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uhrmanm\Documents\Projects\ModelRepository\nauta_efsa_opinion\CPM\Calistri\"/>
    </mc:Choice>
  </mc:AlternateContent>
  <bookViews>
    <workbookView xWindow="0" yWindow="0" windowWidth="28800" windowHeight="12500"/>
  </bookViews>
  <sheets>
    <sheet name="Generic Metadata Schema" sheetId="1" r:id="rId1"/>
    <sheet name="Dose-response Model" sheetId="2" r:id="rId2"/>
    <sheet name="Parameter unit" sheetId="3" r:id="rId3"/>
    <sheet name="Exposure Model" sheetId="4" r:id="rId4"/>
    <sheet name="Process Model" sheetId="5" r:id="rId5"/>
    <sheet name="Predictive Model" sheetId="6" r:id="rId6"/>
    <sheet name="Toxicological reference value M" sheetId="7" r:id="rId7"/>
    <sheet name="QRA Models" sheetId="8" r:id="rId8"/>
    <sheet name="Risk Charact Model" sheetId="9" r:id="rId9"/>
    <sheet name="Other Empirical Model" sheetId="10" r:id="rId10"/>
    <sheet name="(Data)" sheetId="11" r:id="rId11"/>
    <sheet name="Consumption Model" sheetId="12" r:id="rId12"/>
    <sheet name="Health metrics Models" sheetId="13" r:id="rId13"/>
    <sheet name="Method of production" sheetId="14" state="hidden" r:id="rId14"/>
    <sheet name="Hazard type" sheetId="15" state="hidden" r:id="rId15"/>
    <sheet name="Area of origin" sheetId="16" state="hidden" r:id="rId16"/>
    <sheet name="Packaging" sheetId="17" state="hidden" r:id="rId17"/>
    <sheet name="Parameter distribution" sheetId="18" state="hidden" r:id="rId18"/>
    <sheet name="Fisheries area" sheetId="19" state="hidden" r:id="rId19"/>
    <sheet name="Hazard name" sheetId="20" state="hidden" r:id="rId20"/>
    <sheet name="Product treatment" sheetId="21" state="hidden" r:id="rId21"/>
    <sheet name="Format" sheetId="22" state="hidden" r:id="rId22"/>
    <sheet name="Source" sheetId="23" state="hidden" r:id="rId23"/>
    <sheet name="Publication Status" sheetId="24" state="hidden" r:id="rId24"/>
    <sheet name="Publication Type" sheetId="25" state="hidden" r:id="rId25"/>
    <sheet name="Software" sheetId="26" state="hidden" r:id="rId26"/>
    <sheet name="Model Class" sheetId="27" state="hidden" r:id="rId27"/>
    <sheet name="Language" sheetId="28" state="hidden" r:id="rId28"/>
    <sheet name="Basic Process" sheetId="29" state="hidden" r:id="rId29"/>
    <sheet name="Status" sheetId="30" state="hidden" r:id="rId30"/>
    <sheet name="Language written in" sheetId="31" state="hidden" r:id="rId31"/>
    <sheet name="Product-matrix name" sheetId="32" state="hidden" r:id="rId32"/>
    <sheet name="Model Sub-Class" sheetId="33" state="hidden" r:id="rId33"/>
    <sheet name="Hazard ind-sum" sheetId="34" state="hidden" r:id="rId34"/>
    <sheet name="type of exposure" sheetId="35" state="hidden" r:id="rId35"/>
    <sheet name="Fitting procedure" sheetId="36" state="hidden" r:id="rId36"/>
    <sheet name="Parameter unit category" sheetId="37" state="hidden" r:id="rId37"/>
    <sheet name="Model equation class - distribu" sheetId="38" state="hidden" r:id="rId38"/>
    <sheet name="Parameter source" sheetId="39" state="hidden" r:id="rId39"/>
    <sheet name="Parameter classification" sheetId="40" state="hidden" r:id="rId40"/>
    <sheet name="Parameter subject" sheetId="41" state="hidden" r:id="rId41"/>
    <sheet name="Parameter type" sheetId="42" r:id="rId42"/>
    <sheet name="Parameter data type" sheetId="43" r:id="rId43"/>
    <sheet name="Laboratory accreditation" sheetId="44" state="hidden" r:id="rId44"/>
    <sheet name="Food descriptors" sheetId="45" state="hidden" r:id="rId45"/>
    <sheet name="Type of records" sheetId="46" state="hidden" r:id="rId46"/>
    <sheet name="Rights" sheetId="47" state="hidden" r:id="rId47"/>
    <sheet name="Population name" sheetId="48" state="hidden" r:id="rId48"/>
    <sheet name="Region" sheetId="49" state="hidden" r:id="rId49"/>
    <sheet name="Country" sheetId="50" state="hidden" r:id="rId50"/>
    <sheet name="Accreditation procedure for the" sheetId="51" state="hidden" r:id="rId51"/>
    <sheet name="Study Assay Technology Type" sheetId="52" state="hidden" r:id="rId52"/>
    <sheet name="Sampling strategy" sheetId="53" state="hidden" r:id="rId53"/>
    <sheet name="type of sampling program" sheetId="54" state="hidden" r:id="rId54"/>
    <sheet name="Sampling method" sheetId="55" state="hidden" r:id="rId55"/>
    <sheet name="Sampling point" sheetId="56" state="hidden" r:id="rId56"/>
    <sheet name="Methodological tool to collect " sheetId="57" state="hidden" r:id="rId57"/>
    <sheet name="Availability" sheetId="58" state="hidden" r:id="rId58"/>
  </sheets>
  <externalReferences>
    <externalReference r:id="rId59"/>
  </externalReferences>
  <definedNames>
    <definedName name="_xlnm._FilterDatabase" localSheetId="10" hidden="1">'(Data)'!$B$1:$B$131</definedName>
    <definedName name="_xlnm._FilterDatabase" localSheetId="11" hidden="1">'Consumption Model'!$B$1:$B$138</definedName>
    <definedName name="_xlnm._FilterDatabase" localSheetId="1" hidden="1">'Dose-response Model'!$B$1:$B$976</definedName>
    <definedName name="_xlnm._FilterDatabase" localSheetId="3" hidden="1">'Exposure Model'!$B$1:$B$158</definedName>
    <definedName name="_xlnm._FilterDatabase" localSheetId="0" hidden="1">'Generic Metadata Schema'!$A$1:$A$992</definedName>
    <definedName name="_xlnm._FilterDatabase" localSheetId="12" hidden="1">'Health metrics Models'!$B$1:$B$140</definedName>
    <definedName name="_xlnm._FilterDatabase" localSheetId="9" hidden="1">'Other Empirical Model'!$B$1:$B$145</definedName>
    <definedName name="_xlnm._FilterDatabase" localSheetId="5" hidden="1">'Predictive Model'!$B$1:$B$132</definedName>
    <definedName name="_xlnm._FilterDatabase" localSheetId="4" hidden="1">'Process Model'!$B$1:$B$233</definedName>
    <definedName name="_xlnm._FilterDatabase" localSheetId="7" hidden="1">'QRA Models'!$B$1:$B$157</definedName>
    <definedName name="_xlnm._FilterDatabase" localSheetId="8" hidden="1">'Risk Charact Model'!$B$1:$B$157</definedName>
    <definedName name="_xlnm._FilterDatabase" localSheetId="6" hidden="1">'Toxicological reference value M'!$B$1:$B$139</definedName>
  </definedNames>
  <calcPr calcId="162913"/>
</workbook>
</file>

<file path=xl/calcChain.xml><?xml version="1.0" encoding="utf-8"?>
<calcChain xmlns="http://schemas.openxmlformats.org/spreadsheetml/2006/main">
  <c r="V697" i="3" l="1"/>
  <c r="Y696" i="3"/>
  <c r="V696" i="3"/>
  <c r="AA695" i="3"/>
  <c r="Y695" i="3"/>
  <c r="V695" i="3"/>
  <c r="AC694" i="3"/>
  <c r="AA694" i="3"/>
  <c r="Y694" i="3"/>
  <c r="V694" i="3"/>
  <c r="AC693" i="3"/>
  <c r="AA693" i="3"/>
  <c r="Y693" i="3"/>
  <c r="V693" i="3"/>
  <c r="AC692" i="3"/>
  <c r="AA692" i="3"/>
  <c r="Y692" i="3"/>
  <c r="V692" i="3"/>
  <c r="AC691" i="3"/>
  <c r="AA691" i="3"/>
  <c r="Y691" i="3"/>
  <c r="V691" i="3"/>
  <c r="AC690" i="3"/>
  <c r="AA690" i="3"/>
  <c r="Y690" i="3"/>
  <c r="V690" i="3"/>
  <c r="AC689" i="3"/>
  <c r="AA689" i="3"/>
  <c r="Y689" i="3"/>
  <c r="V689" i="3"/>
  <c r="AC688" i="3"/>
  <c r="AA688" i="3"/>
  <c r="Y688" i="3"/>
  <c r="V688" i="3"/>
  <c r="AC687" i="3"/>
  <c r="AA687" i="3"/>
  <c r="Y687" i="3"/>
  <c r="V687" i="3"/>
  <c r="AC686" i="3"/>
  <c r="AA686" i="3"/>
  <c r="Y686" i="3"/>
  <c r="V686" i="3"/>
  <c r="AC685" i="3"/>
  <c r="AA685" i="3"/>
  <c r="Y685" i="3"/>
  <c r="V685" i="3"/>
  <c r="AC684" i="3"/>
  <c r="AA684" i="3"/>
  <c r="Y684" i="3"/>
  <c r="V684" i="3"/>
  <c r="AC683" i="3"/>
  <c r="AA683" i="3"/>
  <c r="Y683" i="3"/>
  <c r="V683" i="3"/>
  <c r="AC682" i="3"/>
  <c r="AA682" i="3"/>
  <c r="Y682" i="3"/>
  <c r="V682" i="3"/>
  <c r="AC681" i="3"/>
  <c r="AA681" i="3"/>
  <c r="Y681" i="3"/>
  <c r="V681" i="3"/>
  <c r="AC680" i="3"/>
  <c r="AD680" i="3" s="1"/>
  <c r="AB680" i="3"/>
  <c r="AA680" i="3"/>
  <c r="Y680" i="3"/>
  <c r="Z680" i="3" s="1"/>
  <c r="W680" i="3"/>
  <c r="V680" i="3"/>
  <c r="T680" i="3"/>
  <c r="U680" i="3" s="1"/>
  <c r="S680" i="3"/>
  <c r="R680" i="3"/>
  <c r="P680" i="3"/>
  <c r="Q680" i="3" s="1"/>
  <c r="O680" i="3"/>
  <c r="N680" i="3"/>
  <c r="L680" i="3"/>
  <c r="M680" i="3" s="1"/>
  <c r="J680" i="3"/>
  <c r="I680" i="3"/>
  <c r="AH679" i="3"/>
  <c r="AI679" i="3" s="1"/>
  <c r="AF679" i="3"/>
  <c r="AE679" i="3"/>
  <c r="AC679" i="3"/>
  <c r="AD679" i="3" s="1"/>
  <c r="AB679" i="3"/>
  <c r="AA679" i="3"/>
  <c r="Y679" i="3"/>
  <c r="Z679" i="3" s="1"/>
  <c r="W679" i="3"/>
  <c r="V679" i="3"/>
  <c r="T679" i="3"/>
  <c r="U679" i="3" s="1"/>
  <c r="S679" i="3"/>
  <c r="R679" i="3"/>
  <c r="P679" i="3"/>
  <c r="Q679" i="3" s="1"/>
  <c r="O679" i="3"/>
  <c r="N679" i="3"/>
  <c r="L679" i="3"/>
  <c r="M679" i="3" s="1"/>
  <c r="I679" i="3"/>
  <c r="J679" i="3" s="1"/>
  <c r="AH678" i="3"/>
  <c r="AI678" i="3" s="1"/>
  <c r="AF678" i="3"/>
  <c r="AE678" i="3"/>
  <c r="AC678" i="3"/>
  <c r="AD678" i="3" s="1"/>
  <c r="AB678" i="3"/>
  <c r="AA678" i="3"/>
  <c r="Y678" i="3"/>
  <c r="Z678" i="3" s="1"/>
  <c r="W678" i="3"/>
  <c r="V678" i="3"/>
  <c r="T678" i="3"/>
  <c r="U678" i="3" s="1"/>
  <c r="S678" i="3"/>
  <c r="R678" i="3"/>
  <c r="P678" i="3"/>
  <c r="Q678" i="3" s="1"/>
  <c r="O678" i="3"/>
  <c r="N678" i="3"/>
  <c r="L678" i="3"/>
  <c r="M678" i="3" s="1"/>
  <c r="I678" i="3"/>
  <c r="J678" i="3" s="1"/>
  <c r="AH677" i="3"/>
  <c r="AI677" i="3" s="1"/>
  <c r="AF677" i="3"/>
  <c r="AE677" i="3"/>
  <c r="AC677" i="3"/>
  <c r="AD677" i="3" s="1"/>
  <c r="AB677" i="3"/>
  <c r="AA677" i="3"/>
  <c r="Y677" i="3"/>
  <c r="Z677" i="3" s="1"/>
  <c r="W677" i="3"/>
  <c r="V677" i="3"/>
  <c r="T677" i="3"/>
  <c r="U677" i="3" s="1"/>
  <c r="S677" i="3"/>
  <c r="R677" i="3"/>
  <c r="P677" i="3"/>
  <c r="Q677" i="3" s="1"/>
  <c r="O677" i="3"/>
  <c r="N677" i="3"/>
  <c r="L677" i="3"/>
  <c r="M677" i="3" s="1"/>
  <c r="I677" i="3"/>
  <c r="J677" i="3" s="1"/>
  <c r="AH676" i="3"/>
  <c r="AI676" i="3" s="1"/>
  <c r="AF676" i="3"/>
  <c r="AE676" i="3"/>
  <c r="AC676" i="3"/>
  <c r="AD676" i="3" s="1"/>
  <c r="AB676" i="3"/>
  <c r="AA676" i="3"/>
  <c r="Y676" i="3"/>
  <c r="Z676" i="3" s="1"/>
  <c r="W676" i="3"/>
  <c r="V676" i="3"/>
  <c r="T676" i="3"/>
  <c r="U676" i="3" s="1"/>
  <c r="S676" i="3"/>
  <c r="R676" i="3"/>
  <c r="P676" i="3"/>
  <c r="Q676" i="3" s="1"/>
  <c r="O676" i="3"/>
  <c r="N676" i="3"/>
  <c r="L676" i="3"/>
  <c r="M676" i="3" s="1"/>
  <c r="I676" i="3"/>
  <c r="J676" i="3" s="1"/>
  <c r="AH675" i="3"/>
  <c r="AI675" i="3" s="1"/>
  <c r="AF675" i="3"/>
  <c r="AE675" i="3"/>
  <c r="AC675" i="3"/>
  <c r="AD675" i="3" s="1"/>
  <c r="AB675" i="3"/>
  <c r="AA675" i="3"/>
  <c r="Y675" i="3"/>
  <c r="Z675" i="3" s="1"/>
  <c r="W675" i="3"/>
  <c r="V675" i="3"/>
  <c r="T675" i="3"/>
  <c r="U675" i="3" s="1"/>
  <c r="S675" i="3"/>
  <c r="R675" i="3"/>
  <c r="P675" i="3"/>
  <c r="Q675" i="3" s="1"/>
  <c r="O675" i="3"/>
  <c r="N675" i="3"/>
  <c r="L675" i="3"/>
  <c r="M675" i="3" s="1"/>
  <c r="I675" i="3"/>
  <c r="J675" i="3" s="1"/>
  <c r="AH674" i="3"/>
  <c r="AI674" i="3" s="1"/>
  <c r="AF674" i="3"/>
  <c r="AE674" i="3"/>
  <c r="AC674" i="3"/>
  <c r="AD674" i="3" s="1"/>
  <c r="AB674" i="3"/>
  <c r="AA674" i="3"/>
  <c r="Y674" i="3"/>
  <c r="Z674" i="3" s="1"/>
  <c r="W674" i="3"/>
  <c r="V674" i="3"/>
  <c r="T674" i="3"/>
  <c r="U674" i="3" s="1"/>
  <c r="S674" i="3"/>
  <c r="R674" i="3"/>
  <c r="P674" i="3"/>
  <c r="Q674" i="3" s="1"/>
  <c r="O674" i="3"/>
  <c r="N674" i="3"/>
  <c r="L674" i="3"/>
  <c r="M674" i="3" s="1"/>
  <c r="I674" i="3"/>
  <c r="J674" i="3" s="1"/>
  <c r="AH673" i="3"/>
  <c r="AI673" i="3" s="1"/>
  <c r="AF673" i="3"/>
  <c r="AE673" i="3"/>
  <c r="AC673" i="3"/>
  <c r="AD673" i="3" s="1"/>
  <c r="AB673" i="3"/>
  <c r="AA673" i="3"/>
  <c r="Y673" i="3"/>
  <c r="Z673" i="3" s="1"/>
  <c r="W673" i="3"/>
  <c r="V673" i="3"/>
  <c r="T673" i="3"/>
  <c r="U673" i="3" s="1"/>
  <c r="S673" i="3"/>
  <c r="R673" i="3"/>
  <c r="P673" i="3"/>
  <c r="Q673" i="3" s="1"/>
  <c r="O673" i="3"/>
  <c r="N673" i="3"/>
  <c r="L673" i="3"/>
  <c r="M673" i="3" s="1"/>
  <c r="I673" i="3"/>
  <c r="J673" i="3" s="1"/>
  <c r="AH672" i="3"/>
  <c r="AI672" i="3" s="1"/>
  <c r="AF672" i="3"/>
  <c r="AE672" i="3"/>
  <c r="AC672" i="3"/>
  <c r="AD672" i="3" s="1"/>
  <c r="AB672" i="3"/>
  <c r="AA672" i="3"/>
  <c r="Y672" i="3"/>
  <c r="Z672" i="3" s="1"/>
  <c r="W672" i="3"/>
  <c r="V672" i="3"/>
  <c r="T672" i="3"/>
  <c r="U672" i="3" s="1"/>
  <c r="S672" i="3"/>
  <c r="R672" i="3"/>
  <c r="P672" i="3"/>
  <c r="Q672" i="3" s="1"/>
  <c r="O672" i="3"/>
  <c r="N672" i="3"/>
  <c r="L672" i="3"/>
  <c r="M672" i="3" s="1"/>
  <c r="I672" i="3"/>
  <c r="J672" i="3" s="1"/>
  <c r="AH671" i="3"/>
  <c r="AI671" i="3" s="1"/>
  <c r="AF671" i="3"/>
  <c r="AE671" i="3"/>
  <c r="AC671" i="3"/>
  <c r="AD671" i="3" s="1"/>
  <c r="AB671" i="3"/>
  <c r="AA671" i="3"/>
  <c r="Y671" i="3"/>
  <c r="Z671" i="3" s="1"/>
  <c r="W671" i="3"/>
  <c r="V671" i="3"/>
  <c r="T671" i="3"/>
  <c r="U671" i="3" s="1"/>
  <c r="S671" i="3"/>
  <c r="R671" i="3"/>
  <c r="P671" i="3"/>
  <c r="Q671" i="3" s="1"/>
  <c r="O671" i="3"/>
  <c r="N671" i="3"/>
  <c r="L671" i="3"/>
  <c r="M671" i="3" s="1"/>
  <c r="I671" i="3"/>
  <c r="J671" i="3" s="1"/>
  <c r="AH670" i="3"/>
  <c r="AI670" i="3" s="1"/>
  <c r="AF670" i="3"/>
  <c r="AE670" i="3"/>
  <c r="AC670" i="3"/>
  <c r="AD670" i="3" s="1"/>
  <c r="AB670" i="3"/>
  <c r="AA670" i="3"/>
  <c r="Y670" i="3"/>
  <c r="Z670" i="3" s="1"/>
  <c r="W670" i="3"/>
  <c r="V670" i="3"/>
  <c r="T670" i="3"/>
  <c r="U670" i="3" s="1"/>
  <c r="S670" i="3"/>
  <c r="R670" i="3"/>
  <c r="P670" i="3"/>
  <c r="Q670" i="3" s="1"/>
  <c r="O670" i="3"/>
  <c r="N670" i="3"/>
  <c r="L670" i="3"/>
  <c r="M670" i="3" s="1"/>
  <c r="I670" i="3"/>
  <c r="J670" i="3" s="1"/>
  <c r="AH669" i="3"/>
  <c r="AI669" i="3" s="1"/>
  <c r="AF669" i="3"/>
  <c r="AE669" i="3"/>
  <c r="AC669" i="3"/>
  <c r="AD669" i="3" s="1"/>
  <c r="AB669" i="3"/>
  <c r="AA669" i="3"/>
  <c r="Y669" i="3"/>
  <c r="Z669" i="3" s="1"/>
  <c r="W669" i="3"/>
  <c r="V669" i="3"/>
  <c r="T669" i="3"/>
  <c r="U669" i="3" s="1"/>
  <c r="S669" i="3"/>
  <c r="R669" i="3"/>
  <c r="P669" i="3"/>
  <c r="Q669" i="3" s="1"/>
  <c r="O669" i="3"/>
  <c r="N669" i="3"/>
  <c r="L669" i="3"/>
  <c r="M669" i="3" s="1"/>
  <c r="I669" i="3"/>
  <c r="J669" i="3" s="1"/>
  <c r="AH668" i="3"/>
  <c r="AI668" i="3" s="1"/>
  <c r="AF668" i="3"/>
  <c r="AE668" i="3"/>
  <c r="AC668" i="3"/>
  <c r="AD668" i="3" s="1"/>
  <c r="AB668" i="3"/>
  <c r="AA668" i="3"/>
  <c r="Y668" i="3"/>
  <c r="Z668" i="3" s="1"/>
  <c r="W668" i="3"/>
  <c r="V668" i="3"/>
  <c r="T668" i="3"/>
  <c r="U668" i="3" s="1"/>
  <c r="S668" i="3"/>
  <c r="R668" i="3"/>
  <c r="P668" i="3"/>
  <c r="Q668" i="3" s="1"/>
  <c r="O668" i="3"/>
  <c r="N668" i="3"/>
  <c r="L668" i="3"/>
  <c r="M668" i="3" s="1"/>
  <c r="I668" i="3"/>
  <c r="J668" i="3" s="1"/>
  <c r="AH667" i="3"/>
  <c r="AI667" i="3" s="1"/>
  <c r="AF667" i="3"/>
  <c r="AE667" i="3"/>
  <c r="AC667" i="3"/>
  <c r="AD667" i="3" s="1"/>
  <c r="AB667" i="3"/>
  <c r="AA667" i="3"/>
  <c r="Y667" i="3"/>
  <c r="Z667" i="3" s="1"/>
  <c r="W667" i="3"/>
  <c r="V667" i="3"/>
  <c r="T667" i="3"/>
  <c r="U667" i="3" s="1"/>
  <c r="S667" i="3"/>
  <c r="R667" i="3"/>
  <c r="P667" i="3"/>
  <c r="Q667" i="3" s="1"/>
  <c r="O667" i="3"/>
  <c r="N667" i="3"/>
  <c r="L667" i="3"/>
  <c r="M667" i="3" s="1"/>
  <c r="I667" i="3"/>
  <c r="J667" i="3" s="1"/>
  <c r="AH666" i="3"/>
  <c r="AI666" i="3" s="1"/>
  <c r="AF666" i="3"/>
  <c r="AE666" i="3"/>
  <c r="AC666" i="3"/>
  <c r="AD666" i="3" s="1"/>
  <c r="AB666" i="3"/>
  <c r="AA666" i="3"/>
  <c r="Y666" i="3"/>
  <c r="Z666" i="3" s="1"/>
  <c r="W666" i="3"/>
  <c r="V666" i="3"/>
  <c r="T666" i="3"/>
  <c r="U666" i="3" s="1"/>
  <c r="S666" i="3"/>
  <c r="R666" i="3"/>
  <c r="P666" i="3"/>
  <c r="Q666" i="3" s="1"/>
  <c r="O666" i="3"/>
  <c r="N666" i="3"/>
  <c r="L666" i="3"/>
  <c r="M666" i="3" s="1"/>
  <c r="I666" i="3"/>
  <c r="J666" i="3" s="1"/>
  <c r="AH665" i="3"/>
  <c r="AI665" i="3" s="1"/>
  <c r="AF665" i="3"/>
  <c r="AE665" i="3"/>
  <c r="AC665" i="3"/>
  <c r="AD665" i="3" s="1"/>
  <c r="AB665" i="3"/>
  <c r="AA665" i="3"/>
  <c r="Y665" i="3"/>
  <c r="Z665" i="3" s="1"/>
  <c r="W665" i="3"/>
  <c r="V665" i="3"/>
  <c r="T665" i="3"/>
  <c r="U665" i="3" s="1"/>
  <c r="S665" i="3"/>
  <c r="R665" i="3"/>
  <c r="P665" i="3"/>
  <c r="Q665" i="3" s="1"/>
  <c r="O665" i="3"/>
  <c r="N665" i="3"/>
  <c r="L665" i="3"/>
  <c r="M665" i="3" s="1"/>
  <c r="I665" i="3"/>
  <c r="J665" i="3" s="1"/>
  <c r="AH664" i="3"/>
  <c r="AI664" i="3" s="1"/>
  <c r="AF664" i="3"/>
  <c r="AE664" i="3"/>
  <c r="AC664" i="3"/>
  <c r="AD664" i="3" s="1"/>
  <c r="AB664" i="3"/>
  <c r="AA664" i="3"/>
  <c r="Y664" i="3"/>
  <c r="Z664" i="3" s="1"/>
  <c r="W664" i="3"/>
  <c r="V664" i="3"/>
  <c r="T664" i="3"/>
  <c r="U664" i="3" s="1"/>
  <c r="S664" i="3"/>
  <c r="R664" i="3"/>
  <c r="P664" i="3"/>
  <c r="Q664" i="3" s="1"/>
  <c r="O664" i="3"/>
  <c r="N664" i="3"/>
  <c r="L664" i="3"/>
  <c r="M664" i="3" s="1"/>
  <c r="I664" i="3"/>
  <c r="J664" i="3" s="1"/>
  <c r="AH663" i="3"/>
  <c r="AI663" i="3" s="1"/>
  <c r="AF663" i="3"/>
  <c r="AE663" i="3"/>
  <c r="AC663" i="3"/>
  <c r="AD663" i="3" s="1"/>
  <c r="AB663" i="3"/>
  <c r="AA663" i="3"/>
  <c r="Y663" i="3"/>
  <c r="Z663" i="3" s="1"/>
  <c r="W663" i="3"/>
  <c r="V663" i="3"/>
  <c r="T663" i="3"/>
  <c r="U663" i="3" s="1"/>
  <c r="S663" i="3"/>
  <c r="R663" i="3"/>
  <c r="P663" i="3"/>
  <c r="Q663" i="3" s="1"/>
  <c r="O663" i="3"/>
  <c r="N663" i="3"/>
  <c r="L663" i="3"/>
  <c r="M663" i="3" s="1"/>
  <c r="I663" i="3"/>
  <c r="J663" i="3" s="1"/>
  <c r="AH662" i="3"/>
  <c r="AI662" i="3" s="1"/>
  <c r="AF662" i="3"/>
  <c r="AE662" i="3"/>
  <c r="AC662" i="3"/>
  <c r="AD662" i="3" s="1"/>
  <c r="AB662" i="3"/>
  <c r="AA662" i="3"/>
  <c r="Y662" i="3"/>
  <c r="Z662" i="3" s="1"/>
  <c r="W662" i="3"/>
  <c r="V662" i="3"/>
  <c r="T662" i="3"/>
  <c r="U662" i="3" s="1"/>
  <c r="S662" i="3"/>
  <c r="R662" i="3"/>
  <c r="P662" i="3"/>
  <c r="Q662" i="3" s="1"/>
  <c r="O662" i="3"/>
  <c r="N662" i="3"/>
  <c r="L662" i="3"/>
  <c r="M662" i="3" s="1"/>
  <c r="I662" i="3"/>
  <c r="J662" i="3" s="1"/>
  <c r="AH661" i="3"/>
  <c r="AI661" i="3" s="1"/>
  <c r="AF661" i="3"/>
  <c r="AE661" i="3"/>
  <c r="AC661" i="3"/>
  <c r="AD661" i="3" s="1"/>
  <c r="AB661" i="3"/>
  <c r="AA661" i="3"/>
  <c r="Y661" i="3"/>
  <c r="Z661" i="3" s="1"/>
  <c r="W661" i="3"/>
  <c r="V661" i="3"/>
  <c r="T661" i="3"/>
  <c r="U661" i="3" s="1"/>
  <c r="S661" i="3"/>
  <c r="R661" i="3"/>
  <c r="P661" i="3"/>
  <c r="Q661" i="3" s="1"/>
  <c r="O661" i="3"/>
  <c r="N661" i="3"/>
  <c r="L661" i="3"/>
  <c r="M661" i="3" s="1"/>
  <c r="I661" i="3"/>
  <c r="J661" i="3" s="1"/>
  <c r="AH660" i="3"/>
  <c r="AI660" i="3" s="1"/>
  <c r="AF660" i="3"/>
  <c r="AE660" i="3"/>
  <c r="AC660" i="3"/>
  <c r="AD660" i="3" s="1"/>
  <c r="AB660" i="3"/>
  <c r="AA660" i="3"/>
  <c r="Y660" i="3"/>
  <c r="Z660" i="3" s="1"/>
  <c r="W660" i="3"/>
  <c r="V660" i="3"/>
  <c r="T660" i="3"/>
  <c r="U660" i="3" s="1"/>
  <c r="S660" i="3"/>
  <c r="R660" i="3"/>
  <c r="P660" i="3"/>
  <c r="Q660" i="3" s="1"/>
  <c r="O660" i="3"/>
  <c r="N660" i="3"/>
  <c r="L660" i="3"/>
  <c r="M660" i="3" s="1"/>
  <c r="J660" i="3"/>
  <c r="I660" i="3"/>
  <c r="AH659" i="3"/>
  <c r="AI659" i="3" s="1"/>
  <c r="AF659" i="3"/>
  <c r="AE659" i="3"/>
  <c r="AC659" i="3"/>
  <c r="AD659" i="3" s="1"/>
  <c r="AB659" i="3"/>
  <c r="AA659" i="3"/>
  <c r="Y659" i="3"/>
  <c r="Z659" i="3" s="1"/>
  <c r="W659" i="3"/>
  <c r="V659" i="3"/>
  <c r="T659" i="3"/>
  <c r="U659" i="3" s="1"/>
  <c r="S659" i="3"/>
  <c r="R659" i="3"/>
  <c r="P659" i="3"/>
  <c r="Q659" i="3" s="1"/>
  <c r="O659" i="3"/>
  <c r="N659" i="3"/>
  <c r="L659" i="3"/>
  <c r="M659" i="3" s="1"/>
  <c r="I659" i="3"/>
  <c r="J659" i="3" s="1"/>
  <c r="AH658" i="3"/>
  <c r="AI658" i="3" s="1"/>
  <c r="AF658" i="3"/>
  <c r="AE658" i="3"/>
  <c r="AC658" i="3"/>
  <c r="AD658" i="3" s="1"/>
  <c r="AB658" i="3"/>
  <c r="AA658" i="3"/>
  <c r="Y658" i="3"/>
  <c r="Z658" i="3" s="1"/>
  <c r="W658" i="3"/>
  <c r="V658" i="3"/>
  <c r="T658" i="3"/>
  <c r="U658" i="3" s="1"/>
  <c r="S658" i="3"/>
  <c r="R658" i="3"/>
  <c r="P658" i="3"/>
  <c r="Q658" i="3" s="1"/>
  <c r="O658" i="3"/>
  <c r="N658" i="3"/>
  <c r="L658" i="3"/>
  <c r="M658" i="3" s="1"/>
  <c r="I658" i="3"/>
  <c r="J658" i="3" s="1"/>
  <c r="AH657" i="3"/>
  <c r="AI657" i="3" s="1"/>
  <c r="AF657" i="3"/>
  <c r="AE657" i="3"/>
  <c r="AC657" i="3"/>
  <c r="AD657" i="3" s="1"/>
  <c r="AB657" i="3"/>
  <c r="AA657" i="3"/>
  <c r="Y657" i="3"/>
  <c r="Z657" i="3" s="1"/>
  <c r="W657" i="3"/>
  <c r="V657" i="3"/>
  <c r="T657" i="3"/>
  <c r="U657" i="3" s="1"/>
  <c r="S657" i="3"/>
  <c r="R657" i="3"/>
  <c r="P657" i="3"/>
  <c r="Q657" i="3" s="1"/>
  <c r="O657" i="3"/>
  <c r="N657" i="3"/>
  <c r="L657" i="3"/>
  <c r="M657" i="3" s="1"/>
  <c r="I657" i="3"/>
  <c r="J657" i="3" s="1"/>
  <c r="AH656" i="3"/>
  <c r="AI656" i="3" s="1"/>
  <c r="AF656" i="3"/>
  <c r="AE656" i="3"/>
  <c r="AC656" i="3"/>
  <c r="AD656" i="3" s="1"/>
  <c r="AB656" i="3"/>
  <c r="AA656" i="3"/>
  <c r="Y656" i="3"/>
  <c r="Z656" i="3" s="1"/>
  <c r="W656" i="3"/>
  <c r="V656" i="3"/>
  <c r="T656" i="3"/>
  <c r="U656" i="3" s="1"/>
  <c r="S656" i="3"/>
  <c r="R656" i="3"/>
  <c r="P656" i="3"/>
  <c r="Q656" i="3" s="1"/>
  <c r="O656" i="3"/>
  <c r="N656" i="3"/>
  <c r="L656" i="3"/>
  <c r="M656" i="3" s="1"/>
  <c r="I656" i="3"/>
  <c r="J656" i="3" s="1"/>
  <c r="AH655" i="3"/>
  <c r="AI655" i="3" s="1"/>
  <c r="AF655" i="3"/>
  <c r="AE655" i="3"/>
  <c r="AC655" i="3"/>
  <c r="AD655" i="3" s="1"/>
  <c r="AB655" i="3"/>
  <c r="AA655" i="3"/>
  <c r="Y655" i="3"/>
  <c r="Z655" i="3" s="1"/>
  <c r="W655" i="3"/>
  <c r="V655" i="3"/>
  <c r="T655" i="3"/>
  <c r="U655" i="3" s="1"/>
  <c r="S655" i="3"/>
  <c r="R655" i="3"/>
  <c r="P655" i="3"/>
  <c r="Q655" i="3" s="1"/>
  <c r="O655" i="3"/>
  <c r="N655" i="3"/>
  <c r="L655" i="3"/>
  <c r="M655" i="3" s="1"/>
  <c r="I655" i="3"/>
  <c r="J655" i="3" s="1"/>
  <c r="AH654" i="3"/>
  <c r="AI654" i="3" s="1"/>
  <c r="AF654" i="3"/>
  <c r="AE654" i="3"/>
  <c r="AC654" i="3"/>
  <c r="AD654" i="3" s="1"/>
  <c r="AB654" i="3"/>
  <c r="AA654" i="3"/>
  <c r="Y654" i="3"/>
  <c r="Z654" i="3" s="1"/>
  <c r="W654" i="3"/>
  <c r="V654" i="3"/>
  <c r="T654" i="3"/>
  <c r="U654" i="3" s="1"/>
  <c r="S654" i="3"/>
  <c r="R654" i="3"/>
  <c r="P654" i="3"/>
  <c r="Q654" i="3" s="1"/>
  <c r="O654" i="3"/>
  <c r="N654" i="3"/>
  <c r="L654" i="3"/>
  <c r="M654" i="3" s="1"/>
  <c r="I654" i="3"/>
  <c r="J654" i="3" s="1"/>
  <c r="AH653" i="3"/>
  <c r="AI653" i="3" s="1"/>
  <c r="AF653" i="3"/>
  <c r="AE653" i="3"/>
  <c r="AC653" i="3"/>
  <c r="AD653" i="3" s="1"/>
  <c r="AB653" i="3"/>
  <c r="AA653" i="3"/>
  <c r="Y653" i="3"/>
  <c r="Z653" i="3" s="1"/>
  <c r="W653" i="3"/>
  <c r="V653" i="3"/>
  <c r="T653" i="3"/>
  <c r="U653" i="3" s="1"/>
  <c r="S653" i="3"/>
  <c r="R653" i="3"/>
  <c r="P653" i="3"/>
  <c r="Q653" i="3" s="1"/>
  <c r="O653" i="3"/>
  <c r="N653" i="3"/>
  <c r="L653" i="3"/>
  <c r="M653" i="3" s="1"/>
  <c r="I653" i="3"/>
  <c r="J653" i="3" s="1"/>
  <c r="AH652" i="3"/>
  <c r="AI652" i="3" s="1"/>
  <c r="AF652" i="3"/>
  <c r="AE652" i="3"/>
  <c r="AC652" i="3"/>
  <c r="AD652" i="3" s="1"/>
  <c r="AB652" i="3"/>
  <c r="AA652" i="3"/>
  <c r="Y652" i="3"/>
  <c r="Z652" i="3" s="1"/>
  <c r="W652" i="3"/>
  <c r="V652" i="3"/>
  <c r="T652" i="3"/>
  <c r="U652" i="3" s="1"/>
  <c r="S652" i="3"/>
  <c r="R652" i="3"/>
  <c r="P652" i="3"/>
  <c r="Q652" i="3" s="1"/>
  <c r="O652" i="3"/>
  <c r="N652" i="3"/>
  <c r="L652" i="3"/>
  <c r="M652" i="3" s="1"/>
  <c r="I652" i="3"/>
  <c r="J652" i="3" s="1"/>
  <c r="AH651" i="3"/>
  <c r="AI651" i="3" s="1"/>
  <c r="AF651" i="3"/>
  <c r="AE651" i="3"/>
  <c r="AC651" i="3"/>
  <c r="AD651" i="3" s="1"/>
  <c r="AB651" i="3"/>
  <c r="AA651" i="3"/>
  <c r="Y651" i="3"/>
  <c r="Z651" i="3" s="1"/>
  <c r="W651" i="3"/>
  <c r="V651" i="3"/>
  <c r="T651" i="3"/>
  <c r="U651" i="3" s="1"/>
  <c r="S651" i="3"/>
  <c r="R651" i="3"/>
  <c r="P651" i="3"/>
  <c r="Q651" i="3" s="1"/>
  <c r="O651" i="3"/>
  <c r="N651" i="3"/>
  <c r="L651" i="3"/>
  <c r="M651" i="3" s="1"/>
  <c r="I651" i="3"/>
  <c r="J651" i="3" s="1"/>
  <c r="AH650" i="3"/>
  <c r="AI650" i="3" s="1"/>
  <c r="AF650" i="3"/>
  <c r="AE650" i="3"/>
  <c r="AC650" i="3"/>
  <c r="AD650" i="3" s="1"/>
  <c r="AB650" i="3"/>
  <c r="AA650" i="3"/>
  <c r="Y650" i="3"/>
  <c r="Z650" i="3" s="1"/>
  <c r="W650" i="3"/>
  <c r="V650" i="3"/>
  <c r="T650" i="3"/>
  <c r="U650" i="3" s="1"/>
  <c r="S650" i="3"/>
  <c r="R650" i="3"/>
  <c r="P650" i="3"/>
  <c r="Q650" i="3" s="1"/>
  <c r="O650" i="3"/>
  <c r="N650" i="3"/>
  <c r="L650" i="3"/>
  <c r="M650" i="3" s="1"/>
  <c r="I650" i="3"/>
  <c r="J650" i="3" s="1"/>
  <c r="AH649" i="3"/>
  <c r="AI649" i="3" s="1"/>
  <c r="AF649" i="3"/>
  <c r="AE649" i="3"/>
  <c r="AC649" i="3"/>
  <c r="AD649" i="3" s="1"/>
  <c r="AB649" i="3"/>
  <c r="AA649" i="3"/>
  <c r="Y649" i="3"/>
  <c r="Z649" i="3" s="1"/>
  <c r="W649" i="3"/>
  <c r="V649" i="3"/>
  <c r="T649" i="3"/>
  <c r="U649" i="3" s="1"/>
  <c r="S649" i="3"/>
  <c r="R649" i="3"/>
  <c r="P649" i="3"/>
  <c r="Q649" i="3" s="1"/>
  <c r="O649" i="3"/>
  <c r="N649" i="3"/>
  <c r="L649" i="3"/>
  <c r="M649" i="3" s="1"/>
  <c r="I649" i="3"/>
  <c r="J649" i="3" s="1"/>
  <c r="AH648" i="3"/>
  <c r="AI648" i="3" s="1"/>
  <c r="AF648" i="3"/>
  <c r="AE648" i="3"/>
  <c r="AC648" i="3"/>
  <c r="AD648" i="3" s="1"/>
  <c r="AB648" i="3"/>
  <c r="AA648" i="3"/>
  <c r="Y648" i="3"/>
  <c r="Z648" i="3" s="1"/>
  <c r="W648" i="3"/>
  <c r="V648" i="3"/>
  <c r="T648" i="3"/>
  <c r="U648" i="3" s="1"/>
  <c r="S648" i="3"/>
  <c r="R648" i="3"/>
  <c r="P648" i="3"/>
  <c r="Q648" i="3" s="1"/>
  <c r="O648" i="3"/>
  <c r="N648" i="3"/>
  <c r="L648" i="3"/>
  <c r="M648" i="3" s="1"/>
  <c r="I648" i="3"/>
  <c r="J648" i="3" s="1"/>
  <c r="AH647" i="3"/>
  <c r="AI647" i="3" s="1"/>
  <c r="AF647" i="3"/>
  <c r="AE647" i="3"/>
  <c r="AC647" i="3"/>
  <c r="AD647" i="3" s="1"/>
  <c r="AB647" i="3"/>
  <c r="AA647" i="3"/>
  <c r="Y647" i="3"/>
  <c r="Z647" i="3" s="1"/>
  <c r="W647" i="3"/>
  <c r="V647" i="3"/>
  <c r="T647" i="3"/>
  <c r="U647" i="3" s="1"/>
  <c r="S647" i="3"/>
  <c r="R647" i="3"/>
  <c r="P647" i="3"/>
  <c r="Q647" i="3" s="1"/>
  <c r="O647" i="3"/>
  <c r="N647" i="3"/>
  <c r="L647" i="3"/>
  <c r="M647" i="3" s="1"/>
  <c r="I647" i="3"/>
  <c r="J647" i="3" s="1"/>
  <c r="AH646" i="3"/>
  <c r="AI646" i="3" s="1"/>
  <c r="AF646" i="3"/>
  <c r="AE646" i="3"/>
  <c r="AC646" i="3"/>
  <c r="AD646" i="3" s="1"/>
  <c r="AB646" i="3"/>
  <c r="AA646" i="3"/>
  <c r="Y646" i="3"/>
  <c r="Z646" i="3" s="1"/>
  <c r="W646" i="3"/>
  <c r="V646" i="3"/>
  <c r="T646" i="3"/>
  <c r="U646" i="3" s="1"/>
  <c r="S646" i="3"/>
  <c r="R646" i="3"/>
  <c r="P646" i="3"/>
  <c r="Q646" i="3" s="1"/>
  <c r="O646" i="3"/>
  <c r="N646" i="3"/>
  <c r="L646" i="3"/>
  <c r="M646" i="3" s="1"/>
  <c r="I646" i="3"/>
  <c r="J646" i="3" s="1"/>
  <c r="AH645" i="3"/>
  <c r="AI645" i="3" s="1"/>
  <c r="AF645" i="3"/>
  <c r="AE645" i="3"/>
  <c r="AC645" i="3"/>
  <c r="AD645" i="3" s="1"/>
  <c r="AB645" i="3"/>
  <c r="AA645" i="3"/>
  <c r="Y645" i="3"/>
  <c r="Z645" i="3" s="1"/>
  <c r="W645" i="3"/>
  <c r="V645" i="3"/>
  <c r="T645" i="3"/>
  <c r="U645" i="3" s="1"/>
  <c r="S645" i="3"/>
  <c r="R645" i="3"/>
  <c r="P645" i="3"/>
  <c r="Q645" i="3" s="1"/>
  <c r="O645" i="3"/>
  <c r="N645" i="3"/>
  <c r="L645" i="3"/>
  <c r="M645" i="3" s="1"/>
  <c r="I645" i="3"/>
  <c r="J645" i="3" s="1"/>
  <c r="AH644" i="3"/>
  <c r="AI644" i="3" s="1"/>
  <c r="AF644" i="3"/>
  <c r="AE644" i="3"/>
  <c r="AC644" i="3"/>
  <c r="AD644" i="3" s="1"/>
  <c r="AB644" i="3"/>
  <c r="AA644" i="3"/>
  <c r="Y644" i="3"/>
  <c r="Z644" i="3" s="1"/>
  <c r="W644" i="3"/>
  <c r="V644" i="3"/>
  <c r="T644" i="3"/>
  <c r="U644" i="3" s="1"/>
  <c r="S644" i="3"/>
  <c r="R644" i="3"/>
  <c r="P644" i="3"/>
  <c r="Q644" i="3" s="1"/>
  <c r="O644" i="3"/>
  <c r="N644" i="3"/>
  <c r="L644" i="3"/>
  <c r="M644" i="3" s="1"/>
  <c r="I644" i="3"/>
  <c r="J644" i="3" s="1"/>
  <c r="AH643" i="3"/>
  <c r="AI643" i="3" s="1"/>
  <c r="AF643" i="3"/>
  <c r="AE643" i="3"/>
  <c r="AC643" i="3"/>
  <c r="AD643" i="3" s="1"/>
  <c r="AB643" i="3"/>
  <c r="AA643" i="3"/>
  <c r="Y643" i="3"/>
  <c r="Z643" i="3" s="1"/>
  <c r="W643" i="3"/>
  <c r="V643" i="3"/>
  <c r="T643" i="3"/>
  <c r="U643" i="3" s="1"/>
  <c r="S643" i="3"/>
  <c r="R643" i="3"/>
  <c r="P643" i="3"/>
  <c r="Q643" i="3" s="1"/>
  <c r="O643" i="3"/>
  <c r="N643" i="3"/>
  <c r="L643" i="3"/>
  <c r="M643" i="3" s="1"/>
  <c r="I643" i="3"/>
  <c r="J643" i="3" s="1"/>
  <c r="AH642" i="3"/>
  <c r="AI642" i="3" s="1"/>
  <c r="AF642" i="3"/>
  <c r="AE642" i="3"/>
  <c r="AC642" i="3"/>
  <c r="AD642" i="3" s="1"/>
  <c r="AB642" i="3"/>
  <c r="AA642" i="3"/>
  <c r="Y642" i="3"/>
  <c r="Z642" i="3" s="1"/>
  <c r="W642" i="3"/>
  <c r="V642" i="3"/>
  <c r="T642" i="3"/>
  <c r="U642" i="3" s="1"/>
  <c r="S642" i="3"/>
  <c r="R642" i="3"/>
  <c r="P642" i="3"/>
  <c r="Q642" i="3" s="1"/>
  <c r="O642" i="3"/>
  <c r="N642" i="3"/>
  <c r="L642" i="3"/>
  <c r="M642" i="3" s="1"/>
  <c r="I642" i="3"/>
  <c r="J642" i="3" s="1"/>
  <c r="AH641" i="3"/>
  <c r="AI641" i="3" s="1"/>
  <c r="AF641" i="3"/>
  <c r="AE641" i="3"/>
  <c r="AC641" i="3"/>
  <c r="AD641" i="3" s="1"/>
  <c r="AB641" i="3"/>
  <c r="AA641" i="3"/>
  <c r="Y641" i="3"/>
  <c r="Z641" i="3" s="1"/>
  <c r="W641" i="3"/>
  <c r="V641" i="3"/>
  <c r="T641" i="3"/>
  <c r="U641" i="3" s="1"/>
  <c r="S641" i="3"/>
  <c r="R641" i="3"/>
  <c r="P641" i="3"/>
  <c r="Q641" i="3" s="1"/>
  <c r="O641" i="3"/>
  <c r="N641" i="3"/>
  <c r="L641" i="3"/>
  <c r="M641" i="3" s="1"/>
  <c r="I641" i="3"/>
  <c r="J641" i="3" s="1"/>
  <c r="AH640" i="3"/>
  <c r="AI640" i="3" s="1"/>
  <c r="AF640" i="3"/>
  <c r="AE640" i="3"/>
  <c r="AC640" i="3"/>
  <c r="AD640" i="3" s="1"/>
  <c r="AB640" i="3"/>
  <c r="AA640" i="3"/>
  <c r="Y640" i="3"/>
  <c r="Z640" i="3" s="1"/>
  <c r="W640" i="3"/>
  <c r="V640" i="3"/>
  <c r="T640" i="3"/>
  <c r="U640" i="3" s="1"/>
  <c r="S640" i="3"/>
  <c r="R640" i="3"/>
  <c r="P640" i="3"/>
  <c r="Q640" i="3" s="1"/>
  <c r="O640" i="3"/>
  <c r="N640" i="3"/>
  <c r="L640" i="3"/>
  <c r="M640" i="3" s="1"/>
  <c r="I640" i="3"/>
  <c r="J640" i="3" s="1"/>
  <c r="AH639" i="3"/>
  <c r="AI639" i="3" s="1"/>
  <c r="AF639" i="3"/>
  <c r="AE639" i="3"/>
  <c r="AC639" i="3"/>
  <c r="AD639" i="3" s="1"/>
  <c r="AB639" i="3"/>
  <c r="AA639" i="3"/>
  <c r="Y639" i="3"/>
  <c r="Z639" i="3" s="1"/>
  <c r="W639" i="3"/>
  <c r="V639" i="3"/>
  <c r="T639" i="3"/>
  <c r="U639" i="3" s="1"/>
  <c r="S639" i="3"/>
  <c r="R639" i="3"/>
  <c r="P639" i="3"/>
  <c r="Q639" i="3" s="1"/>
  <c r="O639" i="3"/>
  <c r="N639" i="3"/>
  <c r="L639" i="3"/>
  <c r="M639" i="3" s="1"/>
  <c r="I639" i="3"/>
  <c r="J639" i="3" s="1"/>
  <c r="AH638" i="3"/>
  <c r="AI638" i="3" s="1"/>
  <c r="AF638" i="3"/>
  <c r="AE638" i="3"/>
  <c r="AC638" i="3"/>
  <c r="AD638" i="3" s="1"/>
  <c r="AB638" i="3"/>
  <c r="AA638" i="3"/>
  <c r="Y638" i="3"/>
  <c r="Z638" i="3" s="1"/>
  <c r="W638" i="3"/>
  <c r="V638" i="3"/>
  <c r="T638" i="3"/>
  <c r="U638" i="3" s="1"/>
  <c r="S638" i="3"/>
  <c r="R638" i="3"/>
  <c r="P638" i="3"/>
  <c r="Q638" i="3" s="1"/>
  <c r="O638" i="3"/>
  <c r="N638" i="3"/>
  <c r="L638" i="3"/>
  <c r="M638" i="3" s="1"/>
  <c r="I638" i="3"/>
  <c r="J638" i="3" s="1"/>
  <c r="AH637" i="3"/>
  <c r="AI637" i="3" s="1"/>
  <c r="AF637" i="3"/>
  <c r="AE637" i="3"/>
  <c r="AC637" i="3"/>
  <c r="AD637" i="3" s="1"/>
  <c r="AB637" i="3"/>
  <c r="AA637" i="3"/>
  <c r="Y637" i="3"/>
  <c r="Z637" i="3" s="1"/>
  <c r="W637" i="3"/>
  <c r="V637" i="3"/>
  <c r="T637" i="3"/>
  <c r="U637" i="3" s="1"/>
  <c r="S637" i="3"/>
  <c r="R637" i="3"/>
  <c r="P637" i="3"/>
  <c r="Q637" i="3" s="1"/>
  <c r="O637" i="3"/>
  <c r="N637" i="3"/>
  <c r="L637" i="3"/>
  <c r="M637" i="3" s="1"/>
  <c r="I637" i="3"/>
  <c r="J637" i="3" s="1"/>
  <c r="AH636" i="3"/>
  <c r="AI636" i="3" s="1"/>
  <c r="AF636" i="3"/>
  <c r="AE636" i="3"/>
  <c r="AC636" i="3"/>
  <c r="AD636" i="3" s="1"/>
  <c r="AB636" i="3"/>
  <c r="AA636" i="3"/>
  <c r="Y636" i="3"/>
  <c r="Z636" i="3" s="1"/>
  <c r="W636" i="3"/>
  <c r="V636" i="3"/>
  <c r="T636" i="3"/>
  <c r="U636" i="3" s="1"/>
  <c r="S636" i="3"/>
  <c r="R636" i="3"/>
  <c r="P636" i="3"/>
  <c r="Q636" i="3" s="1"/>
  <c r="O636" i="3"/>
  <c r="N636" i="3"/>
  <c r="L636" i="3"/>
  <c r="M636" i="3" s="1"/>
  <c r="I636" i="3"/>
  <c r="J636" i="3" s="1"/>
  <c r="AH635" i="3"/>
  <c r="AI635" i="3" s="1"/>
  <c r="AF635" i="3"/>
  <c r="AE635" i="3"/>
  <c r="AC635" i="3"/>
  <c r="AD635" i="3" s="1"/>
  <c r="AB635" i="3"/>
  <c r="AA635" i="3"/>
  <c r="Y635" i="3"/>
  <c r="Z635" i="3" s="1"/>
  <c r="W635" i="3"/>
  <c r="V635" i="3"/>
  <c r="T635" i="3"/>
  <c r="U635" i="3" s="1"/>
  <c r="S635" i="3"/>
  <c r="R635" i="3"/>
  <c r="P635" i="3"/>
  <c r="Q635" i="3" s="1"/>
  <c r="O635" i="3"/>
  <c r="N635" i="3"/>
  <c r="L635" i="3"/>
  <c r="M635" i="3" s="1"/>
  <c r="I635" i="3"/>
  <c r="J635" i="3" s="1"/>
  <c r="AH634" i="3"/>
  <c r="AI634" i="3" s="1"/>
  <c r="AF634" i="3"/>
  <c r="AE634" i="3"/>
  <c r="AC634" i="3"/>
  <c r="AD634" i="3" s="1"/>
  <c r="AB634" i="3"/>
  <c r="AA634" i="3"/>
  <c r="Y634" i="3"/>
  <c r="Z634" i="3" s="1"/>
  <c r="W634" i="3"/>
  <c r="V634" i="3"/>
  <c r="T634" i="3"/>
  <c r="U634" i="3" s="1"/>
  <c r="S634" i="3"/>
  <c r="R634" i="3"/>
  <c r="P634" i="3"/>
  <c r="Q634" i="3" s="1"/>
  <c r="O634" i="3"/>
  <c r="N634" i="3"/>
  <c r="L634" i="3"/>
  <c r="M634" i="3" s="1"/>
  <c r="I634" i="3"/>
  <c r="J634" i="3" s="1"/>
  <c r="AH633" i="3"/>
  <c r="AI633" i="3" s="1"/>
  <c r="AF633" i="3"/>
  <c r="AE633" i="3"/>
  <c r="AC633" i="3"/>
  <c r="AD633" i="3" s="1"/>
  <c r="AB633" i="3"/>
  <c r="AA633" i="3"/>
  <c r="Y633" i="3"/>
  <c r="Z633" i="3" s="1"/>
  <c r="W633" i="3"/>
  <c r="V633" i="3"/>
  <c r="T633" i="3"/>
  <c r="U633" i="3" s="1"/>
  <c r="S633" i="3"/>
  <c r="R633" i="3"/>
  <c r="P633" i="3"/>
  <c r="Q633" i="3" s="1"/>
  <c r="O633" i="3"/>
  <c r="N633" i="3"/>
  <c r="L633" i="3"/>
  <c r="M633" i="3" s="1"/>
  <c r="I633" i="3"/>
  <c r="J633" i="3" s="1"/>
  <c r="AH632" i="3"/>
  <c r="AI632" i="3" s="1"/>
  <c r="AF632" i="3"/>
  <c r="AE632" i="3"/>
  <c r="AC632" i="3"/>
  <c r="AD632" i="3" s="1"/>
  <c r="AB632" i="3"/>
  <c r="AA632" i="3"/>
  <c r="Y632" i="3"/>
  <c r="Z632" i="3" s="1"/>
  <c r="W632" i="3"/>
  <c r="V632" i="3"/>
  <c r="T632" i="3"/>
  <c r="U632" i="3" s="1"/>
  <c r="S632" i="3"/>
  <c r="R632" i="3"/>
  <c r="P632" i="3"/>
  <c r="Q632" i="3" s="1"/>
  <c r="O632" i="3"/>
  <c r="N632" i="3"/>
  <c r="L632" i="3"/>
  <c r="M632" i="3" s="1"/>
  <c r="I632" i="3"/>
  <c r="J632" i="3" s="1"/>
  <c r="AH631" i="3"/>
  <c r="AI631" i="3" s="1"/>
  <c r="AF631" i="3"/>
  <c r="AE631" i="3"/>
  <c r="AC631" i="3"/>
  <c r="AD631" i="3" s="1"/>
  <c r="AB631" i="3"/>
  <c r="AA631" i="3"/>
  <c r="Y631" i="3"/>
  <c r="Z631" i="3" s="1"/>
  <c r="W631" i="3"/>
  <c r="V631" i="3"/>
  <c r="T631" i="3"/>
  <c r="U631" i="3" s="1"/>
  <c r="S631" i="3"/>
  <c r="R631" i="3"/>
  <c r="P631" i="3"/>
  <c r="Q631" i="3" s="1"/>
  <c r="O631" i="3"/>
  <c r="N631" i="3"/>
  <c r="L631" i="3"/>
  <c r="M631" i="3" s="1"/>
  <c r="I631" i="3"/>
  <c r="J631" i="3" s="1"/>
  <c r="AH630" i="3"/>
  <c r="AI630" i="3" s="1"/>
  <c r="AF630" i="3"/>
  <c r="AE630" i="3"/>
  <c r="AC630" i="3"/>
  <c r="AD630" i="3" s="1"/>
  <c r="AB630" i="3"/>
  <c r="AA630" i="3"/>
  <c r="Y630" i="3"/>
  <c r="Z630" i="3" s="1"/>
  <c r="W630" i="3"/>
  <c r="V630" i="3"/>
  <c r="T630" i="3"/>
  <c r="U630" i="3" s="1"/>
  <c r="S630" i="3"/>
  <c r="R630" i="3"/>
  <c r="P630" i="3"/>
  <c r="Q630" i="3" s="1"/>
  <c r="O630" i="3"/>
  <c r="N630" i="3"/>
  <c r="L630" i="3"/>
  <c r="M630" i="3" s="1"/>
  <c r="I630" i="3"/>
  <c r="J630" i="3" s="1"/>
  <c r="AH629" i="3"/>
  <c r="AI629" i="3" s="1"/>
  <c r="AF629" i="3"/>
  <c r="AE629" i="3"/>
  <c r="AC629" i="3"/>
  <c r="AD629" i="3" s="1"/>
  <c r="AB629" i="3"/>
  <c r="AA629" i="3"/>
  <c r="Y629" i="3"/>
  <c r="Z629" i="3" s="1"/>
  <c r="W629" i="3"/>
  <c r="V629" i="3"/>
  <c r="T629" i="3"/>
  <c r="U629" i="3" s="1"/>
  <c r="S629" i="3"/>
  <c r="R629" i="3"/>
  <c r="P629" i="3"/>
  <c r="Q629" i="3" s="1"/>
  <c r="O629" i="3"/>
  <c r="N629" i="3"/>
  <c r="L629" i="3"/>
  <c r="M629" i="3" s="1"/>
  <c r="I629" i="3"/>
  <c r="J629" i="3" s="1"/>
  <c r="AH628" i="3"/>
  <c r="AI628" i="3" s="1"/>
  <c r="AF628" i="3"/>
  <c r="AE628" i="3"/>
  <c r="AC628" i="3"/>
  <c r="AD628" i="3" s="1"/>
  <c r="AB628" i="3"/>
  <c r="AA628" i="3"/>
  <c r="Y628" i="3"/>
  <c r="Z628" i="3" s="1"/>
  <c r="W628" i="3"/>
  <c r="V628" i="3"/>
  <c r="T628" i="3"/>
  <c r="U628" i="3" s="1"/>
  <c r="S628" i="3"/>
  <c r="R628" i="3"/>
  <c r="P628" i="3"/>
  <c r="Q628" i="3" s="1"/>
  <c r="O628" i="3"/>
  <c r="N628" i="3"/>
  <c r="L628" i="3"/>
  <c r="M628" i="3" s="1"/>
  <c r="I628" i="3"/>
  <c r="J628" i="3" s="1"/>
  <c r="AH627" i="3"/>
  <c r="AI627" i="3" s="1"/>
  <c r="AF627" i="3"/>
  <c r="AE627" i="3"/>
  <c r="AC627" i="3"/>
  <c r="AD627" i="3" s="1"/>
  <c r="AB627" i="3"/>
  <c r="AA627" i="3"/>
  <c r="Y627" i="3"/>
  <c r="Z627" i="3" s="1"/>
  <c r="W627" i="3"/>
  <c r="V627" i="3"/>
  <c r="T627" i="3"/>
  <c r="U627" i="3" s="1"/>
  <c r="S627" i="3"/>
  <c r="R627" i="3"/>
  <c r="P627" i="3"/>
  <c r="Q627" i="3" s="1"/>
  <c r="O627" i="3"/>
  <c r="N627" i="3"/>
  <c r="L627" i="3"/>
  <c r="M627" i="3" s="1"/>
  <c r="I627" i="3"/>
  <c r="J627" i="3" s="1"/>
  <c r="AH626" i="3"/>
  <c r="AI626" i="3" s="1"/>
  <c r="AF626" i="3"/>
  <c r="AE626" i="3"/>
  <c r="AC626" i="3"/>
  <c r="AD626" i="3" s="1"/>
  <c r="AB626" i="3"/>
  <c r="AA626" i="3"/>
  <c r="Y626" i="3"/>
  <c r="Z626" i="3" s="1"/>
  <c r="W626" i="3"/>
  <c r="V626" i="3"/>
  <c r="T626" i="3"/>
  <c r="U626" i="3" s="1"/>
  <c r="S626" i="3"/>
  <c r="R626" i="3"/>
  <c r="P626" i="3"/>
  <c r="Q626" i="3" s="1"/>
  <c r="O626" i="3"/>
  <c r="N626" i="3"/>
  <c r="L626" i="3"/>
  <c r="M626" i="3" s="1"/>
  <c r="I626" i="3"/>
  <c r="J626" i="3" s="1"/>
  <c r="AH625" i="3"/>
  <c r="AI625" i="3" s="1"/>
  <c r="AF625" i="3"/>
  <c r="AE625" i="3"/>
  <c r="AC625" i="3"/>
  <c r="AD625" i="3" s="1"/>
  <c r="AB625" i="3"/>
  <c r="AA625" i="3"/>
  <c r="Y625" i="3"/>
  <c r="Z625" i="3" s="1"/>
  <c r="W625" i="3"/>
  <c r="V625" i="3"/>
  <c r="T625" i="3"/>
  <c r="U625" i="3" s="1"/>
  <c r="S625" i="3"/>
  <c r="R625" i="3"/>
  <c r="P625" i="3"/>
  <c r="Q625" i="3" s="1"/>
  <c r="O625" i="3"/>
  <c r="N625" i="3"/>
  <c r="L625" i="3"/>
  <c r="M625" i="3" s="1"/>
  <c r="I625" i="3"/>
  <c r="J625" i="3" s="1"/>
  <c r="AH624" i="3"/>
  <c r="AI624" i="3" s="1"/>
  <c r="AF624" i="3"/>
  <c r="AE624" i="3"/>
  <c r="AC624" i="3"/>
  <c r="AD624" i="3" s="1"/>
  <c r="AB624" i="3"/>
  <c r="AA624" i="3"/>
  <c r="Y624" i="3"/>
  <c r="Z624" i="3" s="1"/>
  <c r="W624" i="3"/>
  <c r="V624" i="3"/>
  <c r="T624" i="3"/>
  <c r="U624" i="3" s="1"/>
  <c r="S624" i="3"/>
  <c r="R624" i="3"/>
  <c r="P624" i="3"/>
  <c r="Q624" i="3" s="1"/>
  <c r="O624" i="3"/>
  <c r="N624" i="3"/>
  <c r="L624" i="3"/>
  <c r="M624" i="3" s="1"/>
  <c r="I624" i="3"/>
  <c r="J624" i="3" s="1"/>
  <c r="AH623" i="3"/>
  <c r="AI623" i="3" s="1"/>
  <c r="AF623" i="3"/>
  <c r="AE623" i="3"/>
  <c r="AC623" i="3"/>
  <c r="AD623" i="3" s="1"/>
  <c r="AB623" i="3"/>
  <c r="AA623" i="3"/>
  <c r="Y623" i="3"/>
  <c r="Z623" i="3" s="1"/>
  <c r="W623" i="3"/>
  <c r="V623" i="3"/>
  <c r="T623" i="3"/>
  <c r="U623" i="3" s="1"/>
  <c r="S623" i="3"/>
  <c r="R623" i="3"/>
  <c r="P623" i="3"/>
  <c r="Q623" i="3" s="1"/>
  <c r="O623" i="3"/>
  <c r="N623" i="3"/>
  <c r="L623" i="3"/>
  <c r="M623" i="3" s="1"/>
  <c r="I623" i="3"/>
  <c r="J623" i="3" s="1"/>
  <c r="AH622" i="3"/>
  <c r="AI622" i="3" s="1"/>
  <c r="AF622" i="3"/>
  <c r="AE622" i="3"/>
  <c r="AC622" i="3"/>
  <c r="AD622" i="3" s="1"/>
  <c r="AB622" i="3"/>
  <c r="AA622" i="3"/>
  <c r="Y622" i="3"/>
  <c r="Z622" i="3" s="1"/>
  <c r="W622" i="3"/>
  <c r="V622" i="3"/>
  <c r="T622" i="3"/>
  <c r="U622" i="3" s="1"/>
  <c r="S622" i="3"/>
  <c r="R622" i="3"/>
  <c r="P622" i="3"/>
  <c r="Q622" i="3" s="1"/>
  <c r="O622" i="3"/>
  <c r="N622" i="3"/>
  <c r="L622" i="3"/>
  <c r="M622" i="3" s="1"/>
  <c r="I622" i="3"/>
  <c r="J622" i="3" s="1"/>
  <c r="AH621" i="3"/>
  <c r="AI621" i="3" s="1"/>
  <c r="AF621" i="3"/>
  <c r="AE621" i="3"/>
  <c r="AC621" i="3"/>
  <c r="AD621" i="3" s="1"/>
  <c r="AB621" i="3"/>
  <c r="AA621" i="3"/>
  <c r="Y621" i="3"/>
  <c r="Z621" i="3" s="1"/>
  <c r="W621" i="3"/>
  <c r="V621" i="3"/>
  <c r="T621" i="3"/>
  <c r="U621" i="3" s="1"/>
  <c r="S621" i="3"/>
  <c r="R621" i="3"/>
  <c r="P621" i="3"/>
  <c r="Q621" i="3" s="1"/>
  <c r="O621" i="3"/>
  <c r="N621" i="3"/>
  <c r="L621" i="3"/>
  <c r="M621" i="3" s="1"/>
  <c r="I621" i="3"/>
  <c r="J621" i="3" s="1"/>
  <c r="AH620" i="3"/>
  <c r="AI620" i="3" s="1"/>
  <c r="AF620" i="3"/>
  <c r="AE620" i="3"/>
  <c r="AC620" i="3"/>
  <c r="AD620" i="3" s="1"/>
  <c r="AB620" i="3"/>
  <c r="AA620" i="3"/>
  <c r="Y620" i="3"/>
  <c r="Z620" i="3" s="1"/>
  <c r="W620" i="3"/>
  <c r="V620" i="3"/>
  <c r="T620" i="3"/>
  <c r="U620" i="3" s="1"/>
  <c r="S620" i="3"/>
  <c r="R620" i="3"/>
  <c r="P620" i="3"/>
  <c r="Q620" i="3" s="1"/>
  <c r="O620" i="3"/>
  <c r="N620" i="3"/>
  <c r="L620" i="3"/>
  <c r="M620" i="3" s="1"/>
  <c r="I620" i="3"/>
  <c r="J620" i="3" s="1"/>
  <c r="AH619" i="3"/>
  <c r="AI619" i="3" s="1"/>
  <c r="AF619" i="3"/>
  <c r="AE619" i="3"/>
  <c r="AC619" i="3"/>
  <c r="AD619" i="3" s="1"/>
  <c r="AB619" i="3"/>
  <c r="AA619" i="3"/>
  <c r="Y619" i="3"/>
  <c r="Z619" i="3" s="1"/>
  <c r="W619" i="3"/>
  <c r="V619" i="3"/>
  <c r="T619" i="3"/>
  <c r="U619" i="3" s="1"/>
  <c r="S619" i="3"/>
  <c r="R619" i="3"/>
  <c r="P619" i="3"/>
  <c r="Q619" i="3" s="1"/>
  <c r="O619" i="3"/>
  <c r="N619" i="3"/>
  <c r="L619" i="3"/>
  <c r="M619" i="3" s="1"/>
  <c r="I619" i="3"/>
  <c r="J619" i="3" s="1"/>
  <c r="AH618" i="3"/>
  <c r="AI618" i="3" s="1"/>
  <c r="AF618" i="3"/>
  <c r="AE618" i="3"/>
  <c r="AC618" i="3"/>
  <c r="AD618" i="3" s="1"/>
  <c r="AB618" i="3"/>
  <c r="AA618" i="3"/>
  <c r="Y618" i="3"/>
  <c r="Z618" i="3" s="1"/>
  <c r="W618" i="3"/>
  <c r="V618" i="3"/>
  <c r="T618" i="3"/>
  <c r="U618" i="3" s="1"/>
  <c r="S618" i="3"/>
  <c r="R618" i="3"/>
  <c r="P618" i="3"/>
  <c r="Q618" i="3" s="1"/>
  <c r="O618" i="3"/>
  <c r="N618" i="3"/>
  <c r="L618" i="3"/>
  <c r="M618" i="3" s="1"/>
  <c r="I618" i="3"/>
  <c r="J618" i="3" s="1"/>
  <c r="AH617" i="3"/>
  <c r="AI617" i="3" s="1"/>
  <c r="AF617" i="3"/>
  <c r="AE617" i="3"/>
  <c r="AC617" i="3"/>
  <c r="AD617" i="3" s="1"/>
  <c r="AB617" i="3"/>
  <c r="AA617" i="3"/>
  <c r="Y617" i="3"/>
  <c r="Z617" i="3" s="1"/>
  <c r="W617" i="3"/>
  <c r="V617" i="3"/>
  <c r="T617" i="3"/>
  <c r="U617" i="3" s="1"/>
  <c r="S617" i="3"/>
  <c r="R617" i="3"/>
  <c r="P617" i="3"/>
  <c r="Q617" i="3" s="1"/>
  <c r="O617" i="3"/>
  <c r="N617" i="3"/>
  <c r="L617" i="3"/>
  <c r="M617" i="3" s="1"/>
  <c r="I617" i="3"/>
  <c r="J617" i="3" s="1"/>
  <c r="AH616" i="3"/>
  <c r="AI616" i="3" s="1"/>
  <c r="AF616" i="3"/>
  <c r="AE616" i="3"/>
  <c r="AC616" i="3"/>
  <c r="AD616" i="3" s="1"/>
  <c r="AB616" i="3"/>
  <c r="AA616" i="3"/>
  <c r="Y616" i="3"/>
  <c r="Z616" i="3" s="1"/>
  <c r="W616" i="3"/>
  <c r="V616" i="3"/>
  <c r="T616" i="3"/>
  <c r="U616" i="3" s="1"/>
  <c r="S616" i="3"/>
  <c r="R616" i="3"/>
  <c r="P616" i="3"/>
  <c r="Q616" i="3" s="1"/>
  <c r="O616" i="3"/>
  <c r="N616" i="3"/>
  <c r="L616" i="3"/>
  <c r="M616" i="3" s="1"/>
  <c r="I616" i="3"/>
  <c r="J616" i="3" s="1"/>
  <c r="AH615" i="3"/>
  <c r="AI615" i="3" s="1"/>
  <c r="AF615" i="3"/>
  <c r="AE615" i="3"/>
  <c r="AC615" i="3"/>
  <c r="AD615" i="3" s="1"/>
  <c r="AB615" i="3"/>
  <c r="AA615" i="3"/>
  <c r="Y615" i="3"/>
  <c r="Z615" i="3" s="1"/>
  <c r="W615" i="3"/>
  <c r="V615" i="3"/>
  <c r="T615" i="3"/>
  <c r="U615" i="3" s="1"/>
  <c r="S615" i="3"/>
  <c r="R615" i="3"/>
  <c r="P615" i="3"/>
  <c r="Q615" i="3" s="1"/>
  <c r="O615" i="3"/>
  <c r="N615" i="3"/>
  <c r="L615" i="3"/>
  <c r="M615" i="3" s="1"/>
  <c r="I615" i="3"/>
  <c r="J615" i="3" s="1"/>
  <c r="AH614" i="3"/>
  <c r="AI614" i="3" s="1"/>
  <c r="AF614" i="3"/>
  <c r="AE614" i="3"/>
  <c r="AC614" i="3"/>
  <c r="AD614" i="3" s="1"/>
  <c r="AB614" i="3"/>
  <c r="AA614" i="3"/>
  <c r="Y614" i="3"/>
  <c r="Z614" i="3" s="1"/>
  <c r="W614" i="3"/>
  <c r="V614" i="3"/>
  <c r="T614" i="3"/>
  <c r="U614" i="3" s="1"/>
  <c r="S614" i="3"/>
  <c r="R614" i="3"/>
  <c r="P614" i="3"/>
  <c r="Q614" i="3" s="1"/>
  <c r="O614" i="3"/>
  <c r="N614" i="3"/>
  <c r="L614" i="3"/>
  <c r="M614" i="3" s="1"/>
  <c r="I614" i="3"/>
  <c r="J614" i="3" s="1"/>
  <c r="AH613" i="3"/>
  <c r="AI613" i="3" s="1"/>
  <c r="AF613" i="3"/>
  <c r="AE613" i="3"/>
  <c r="AC613" i="3"/>
  <c r="AD613" i="3" s="1"/>
  <c r="AB613" i="3"/>
  <c r="AA613" i="3"/>
  <c r="Y613" i="3"/>
  <c r="Z613" i="3" s="1"/>
  <c r="W613" i="3"/>
  <c r="V613" i="3"/>
  <c r="T613" i="3"/>
  <c r="U613" i="3" s="1"/>
  <c r="S613" i="3"/>
  <c r="R613" i="3"/>
  <c r="P613" i="3"/>
  <c r="Q613" i="3" s="1"/>
  <c r="O613" i="3"/>
  <c r="N613" i="3"/>
  <c r="L613" i="3"/>
  <c r="M613" i="3" s="1"/>
  <c r="I613" i="3"/>
  <c r="J613" i="3" s="1"/>
  <c r="AH612" i="3"/>
  <c r="AI612" i="3" s="1"/>
  <c r="AF612" i="3"/>
  <c r="AE612" i="3"/>
  <c r="AC612" i="3"/>
  <c r="AD612" i="3" s="1"/>
  <c r="AB612" i="3"/>
  <c r="AA612" i="3"/>
  <c r="Y612" i="3"/>
  <c r="Z612" i="3" s="1"/>
  <c r="W612" i="3"/>
  <c r="V612" i="3"/>
  <c r="T612" i="3"/>
  <c r="U612" i="3" s="1"/>
  <c r="S612" i="3"/>
  <c r="R612" i="3"/>
  <c r="P612" i="3"/>
  <c r="Q612" i="3" s="1"/>
  <c r="O612" i="3"/>
  <c r="N612" i="3"/>
  <c r="L612" i="3"/>
  <c r="M612" i="3" s="1"/>
  <c r="I612" i="3"/>
  <c r="J612" i="3" s="1"/>
  <c r="AH611" i="3"/>
  <c r="AI611" i="3" s="1"/>
  <c r="AF611" i="3"/>
  <c r="AE611" i="3"/>
  <c r="AC611" i="3"/>
  <c r="AD611" i="3" s="1"/>
  <c r="AB611" i="3"/>
  <c r="AA611" i="3"/>
  <c r="Y611" i="3"/>
  <c r="Z611" i="3" s="1"/>
  <c r="W611" i="3"/>
  <c r="V611" i="3"/>
  <c r="T611" i="3"/>
  <c r="U611" i="3" s="1"/>
  <c r="S611" i="3"/>
  <c r="R611" i="3"/>
  <c r="P611" i="3"/>
  <c r="Q611" i="3" s="1"/>
  <c r="O611" i="3"/>
  <c r="N611" i="3"/>
  <c r="L611" i="3"/>
  <c r="M611" i="3" s="1"/>
  <c r="I611" i="3"/>
  <c r="J611" i="3" s="1"/>
  <c r="AH610" i="3"/>
  <c r="AI610" i="3" s="1"/>
  <c r="AF610" i="3"/>
  <c r="AE610" i="3"/>
  <c r="AC610" i="3"/>
  <c r="AD610" i="3" s="1"/>
  <c r="AB610" i="3"/>
  <c r="AA610" i="3"/>
  <c r="Y610" i="3"/>
  <c r="Z610" i="3" s="1"/>
  <c r="W610" i="3"/>
  <c r="V610" i="3"/>
  <c r="T610" i="3"/>
  <c r="U610" i="3" s="1"/>
  <c r="S610" i="3"/>
  <c r="R610" i="3"/>
  <c r="P610" i="3"/>
  <c r="Q610" i="3" s="1"/>
  <c r="O610" i="3"/>
  <c r="N610" i="3"/>
  <c r="L610" i="3"/>
  <c r="M610" i="3" s="1"/>
  <c r="I610" i="3"/>
  <c r="J610" i="3" s="1"/>
  <c r="AH609" i="3"/>
  <c r="AI609" i="3" s="1"/>
  <c r="AF609" i="3"/>
  <c r="AE609" i="3"/>
  <c r="AC609" i="3"/>
  <c r="AD609" i="3" s="1"/>
  <c r="AB609" i="3"/>
  <c r="AA609" i="3"/>
  <c r="Y609" i="3"/>
  <c r="Z609" i="3" s="1"/>
  <c r="W609" i="3"/>
  <c r="V609" i="3"/>
  <c r="T609" i="3"/>
  <c r="U609" i="3" s="1"/>
  <c r="S609" i="3"/>
  <c r="R609" i="3"/>
  <c r="P609" i="3"/>
  <c r="Q609" i="3" s="1"/>
  <c r="O609" i="3"/>
  <c r="N609" i="3"/>
  <c r="L609" i="3"/>
  <c r="M609" i="3" s="1"/>
  <c r="I609" i="3"/>
  <c r="J609" i="3" s="1"/>
  <c r="AH608" i="3"/>
  <c r="AI608" i="3" s="1"/>
  <c r="AF608" i="3"/>
  <c r="AE608" i="3"/>
  <c r="AC608" i="3"/>
  <c r="AD608" i="3" s="1"/>
  <c r="AB608" i="3"/>
  <c r="AA608" i="3"/>
  <c r="Y608" i="3"/>
  <c r="Z608" i="3" s="1"/>
  <c r="W608" i="3"/>
  <c r="V608" i="3"/>
  <c r="T608" i="3"/>
  <c r="U608" i="3" s="1"/>
  <c r="S608" i="3"/>
  <c r="R608" i="3"/>
  <c r="P608" i="3"/>
  <c r="Q608" i="3" s="1"/>
  <c r="O608" i="3"/>
  <c r="N608" i="3"/>
  <c r="L608" i="3"/>
  <c r="M608" i="3" s="1"/>
  <c r="I608" i="3"/>
  <c r="J608" i="3" s="1"/>
  <c r="AH607" i="3"/>
  <c r="AI607" i="3" s="1"/>
  <c r="AF607" i="3"/>
  <c r="AE607" i="3"/>
  <c r="AC607" i="3"/>
  <c r="AD607" i="3" s="1"/>
  <c r="AB607" i="3"/>
  <c r="AA607" i="3"/>
  <c r="Y607" i="3"/>
  <c r="Z607" i="3" s="1"/>
  <c r="W607" i="3"/>
  <c r="V607" i="3"/>
  <c r="T607" i="3"/>
  <c r="U607" i="3" s="1"/>
  <c r="S607" i="3"/>
  <c r="R607" i="3"/>
  <c r="P607" i="3"/>
  <c r="Q607" i="3" s="1"/>
  <c r="O607" i="3"/>
  <c r="N607" i="3"/>
  <c r="L607" i="3"/>
  <c r="M607" i="3" s="1"/>
  <c r="I607" i="3"/>
  <c r="J607" i="3" s="1"/>
  <c r="AH606" i="3"/>
  <c r="AI606" i="3" s="1"/>
  <c r="AF606" i="3"/>
  <c r="AE606" i="3"/>
  <c r="AC606" i="3"/>
  <c r="AD606" i="3" s="1"/>
  <c r="AB606" i="3"/>
  <c r="AA606" i="3"/>
  <c r="Y606" i="3"/>
  <c r="Z606" i="3" s="1"/>
  <c r="W606" i="3"/>
  <c r="V606" i="3"/>
  <c r="T606" i="3"/>
  <c r="U606" i="3" s="1"/>
  <c r="S606" i="3"/>
  <c r="R606" i="3"/>
  <c r="P606" i="3"/>
  <c r="Q606" i="3" s="1"/>
  <c r="O606" i="3"/>
  <c r="N606" i="3"/>
  <c r="L606" i="3"/>
  <c r="M606" i="3" s="1"/>
  <c r="I606" i="3"/>
  <c r="J606" i="3" s="1"/>
  <c r="AH605" i="3"/>
  <c r="AI605" i="3" s="1"/>
  <c r="AF605" i="3"/>
  <c r="AE605" i="3"/>
  <c r="AC605" i="3"/>
  <c r="AD605" i="3" s="1"/>
  <c r="AB605" i="3"/>
  <c r="AA605" i="3"/>
  <c r="Y605" i="3"/>
  <c r="Z605" i="3" s="1"/>
  <c r="W605" i="3"/>
  <c r="V605" i="3"/>
  <c r="T605" i="3"/>
  <c r="U605" i="3" s="1"/>
  <c r="S605" i="3"/>
  <c r="R605" i="3"/>
  <c r="P605" i="3"/>
  <c r="Q605" i="3" s="1"/>
  <c r="O605" i="3"/>
  <c r="N605" i="3"/>
  <c r="L605" i="3"/>
  <c r="M605" i="3" s="1"/>
  <c r="I605" i="3"/>
  <c r="J605" i="3" s="1"/>
  <c r="AH604" i="3"/>
  <c r="AI604" i="3" s="1"/>
  <c r="AF604" i="3"/>
  <c r="AE604" i="3"/>
  <c r="AC604" i="3"/>
  <c r="AD604" i="3" s="1"/>
  <c r="AB604" i="3"/>
  <c r="AA604" i="3"/>
  <c r="Y604" i="3"/>
  <c r="Z604" i="3" s="1"/>
  <c r="W604" i="3"/>
  <c r="V604" i="3"/>
  <c r="T604" i="3"/>
  <c r="U604" i="3" s="1"/>
  <c r="S604" i="3"/>
  <c r="R604" i="3"/>
  <c r="P604" i="3"/>
  <c r="Q604" i="3" s="1"/>
  <c r="O604" i="3"/>
  <c r="N604" i="3"/>
  <c r="L604" i="3"/>
  <c r="M604" i="3" s="1"/>
  <c r="I604" i="3"/>
  <c r="J604" i="3" s="1"/>
  <c r="AH603" i="3"/>
  <c r="AI603" i="3" s="1"/>
  <c r="AF603" i="3"/>
  <c r="AE603" i="3"/>
  <c r="AC603" i="3"/>
  <c r="AD603" i="3" s="1"/>
  <c r="AB603" i="3"/>
  <c r="AA603" i="3"/>
  <c r="Y603" i="3"/>
  <c r="Z603" i="3" s="1"/>
  <c r="W603" i="3"/>
  <c r="V603" i="3"/>
  <c r="T603" i="3"/>
  <c r="U603" i="3" s="1"/>
  <c r="S603" i="3"/>
  <c r="R603" i="3"/>
  <c r="P603" i="3"/>
  <c r="Q603" i="3" s="1"/>
  <c r="O603" i="3"/>
  <c r="N603" i="3"/>
  <c r="L603" i="3"/>
  <c r="M603" i="3" s="1"/>
  <c r="I603" i="3"/>
  <c r="J603" i="3" s="1"/>
  <c r="AH602" i="3"/>
  <c r="AI602" i="3" s="1"/>
  <c r="AF602" i="3"/>
  <c r="AE602" i="3"/>
  <c r="AC602" i="3"/>
  <c r="AD602" i="3" s="1"/>
  <c r="AB602" i="3"/>
  <c r="AA602" i="3"/>
  <c r="Y602" i="3"/>
  <c r="Z602" i="3" s="1"/>
  <c r="W602" i="3"/>
  <c r="V602" i="3"/>
  <c r="T602" i="3"/>
  <c r="U602" i="3" s="1"/>
  <c r="S602" i="3"/>
  <c r="R602" i="3"/>
  <c r="P602" i="3"/>
  <c r="Q602" i="3" s="1"/>
  <c r="O602" i="3"/>
  <c r="N602" i="3"/>
  <c r="L602" i="3"/>
  <c r="M602" i="3" s="1"/>
  <c r="I602" i="3"/>
  <c r="J602" i="3" s="1"/>
  <c r="AH601" i="3"/>
  <c r="AI601" i="3" s="1"/>
  <c r="AF601" i="3"/>
  <c r="AE601" i="3"/>
  <c r="AC601" i="3"/>
  <c r="AD601" i="3" s="1"/>
  <c r="AB601" i="3"/>
  <c r="AA601" i="3"/>
  <c r="Y601" i="3"/>
  <c r="Z601" i="3" s="1"/>
  <c r="W601" i="3"/>
  <c r="V601" i="3"/>
  <c r="T601" i="3"/>
  <c r="U601" i="3" s="1"/>
  <c r="S601" i="3"/>
  <c r="R601" i="3"/>
  <c r="P601" i="3"/>
  <c r="Q601" i="3" s="1"/>
  <c r="O601" i="3"/>
  <c r="N601" i="3"/>
  <c r="L601" i="3"/>
  <c r="M601" i="3" s="1"/>
  <c r="I601" i="3"/>
  <c r="J601" i="3" s="1"/>
  <c r="AH600" i="3"/>
  <c r="AI600" i="3" s="1"/>
  <c r="AF600" i="3"/>
  <c r="AE600" i="3"/>
  <c r="AC600" i="3"/>
  <c r="AD600" i="3" s="1"/>
  <c r="AB600" i="3"/>
  <c r="AA600" i="3"/>
  <c r="Y600" i="3"/>
  <c r="Z600" i="3" s="1"/>
  <c r="W600" i="3"/>
  <c r="V600" i="3"/>
  <c r="T600" i="3"/>
  <c r="U600" i="3" s="1"/>
  <c r="S600" i="3"/>
  <c r="R600" i="3"/>
  <c r="P600" i="3"/>
  <c r="Q600" i="3" s="1"/>
  <c r="O600" i="3"/>
  <c r="N600" i="3"/>
  <c r="L600" i="3"/>
  <c r="M600" i="3" s="1"/>
  <c r="I600" i="3"/>
  <c r="J600" i="3" s="1"/>
  <c r="AH599" i="3"/>
  <c r="AI599" i="3" s="1"/>
  <c r="AF599" i="3"/>
  <c r="AE599" i="3"/>
  <c r="AC599" i="3"/>
  <c r="AD599" i="3" s="1"/>
  <c r="AB599" i="3"/>
  <c r="AA599" i="3"/>
  <c r="Y599" i="3"/>
  <c r="Z599" i="3" s="1"/>
  <c r="W599" i="3"/>
  <c r="V599" i="3"/>
  <c r="T599" i="3"/>
  <c r="U599" i="3" s="1"/>
  <c r="S599" i="3"/>
  <c r="R599" i="3"/>
  <c r="P599" i="3"/>
  <c r="Q599" i="3" s="1"/>
  <c r="O599" i="3"/>
  <c r="N599" i="3"/>
  <c r="L599" i="3"/>
  <c r="M599" i="3" s="1"/>
  <c r="I599" i="3"/>
  <c r="J599" i="3" s="1"/>
  <c r="AH598" i="3"/>
  <c r="AI598" i="3" s="1"/>
  <c r="AF598" i="3"/>
  <c r="AE598" i="3"/>
  <c r="AC598" i="3"/>
  <c r="AD598" i="3" s="1"/>
  <c r="AB598" i="3"/>
  <c r="AA598" i="3"/>
  <c r="Y598" i="3"/>
  <c r="Z598" i="3" s="1"/>
  <c r="W598" i="3"/>
  <c r="V598" i="3"/>
  <c r="T598" i="3"/>
  <c r="U598" i="3" s="1"/>
  <c r="S598" i="3"/>
  <c r="R598" i="3"/>
  <c r="P598" i="3"/>
  <c r="Q598" i="3" s="1"/>
  <c r="O598" i="3"/>
  <c r="N598" i="3"/>
  <c r="L598" i="3"/>
  <c r="M598" i="3" s="1"/>
  <c r="I598" i="3"/>
  <c r="J598" i="3" s="1"/>
  <c r="AH597" i="3"/>
  <c r="AI597" i="3" s="1"/>
  <c r="AF597" i="3"/>
  <c r="AE597" i="3"/>
  <c r="AC597" i="3"/>
  <c r="AD597" i="3" s="1"/>
  <c r="AB597" i="3"/>
  <c r="AA597" i="3"/>
  <c r="Y597" i="3"/>
  <c r="Z597" i="3" s="1"/>
  <c r="W597" i="3"/>
  <c r="V597" i="3"/>
  <c r="T597" i="3"/>
  <c r="U597" i="3" s="1"/>
  <c r="S597" i="3"/>
  <c r="R597" i="3"/>
  <c r="P597" i="3"/>
  <c r="Q597" i="3" s="1"/>
  <c r="O597" i="3"/>
  <c r="N597" i="3"/>
  <c r="L597" i="3"/>
  <c r="M597" i="3" s="1"/>
  <c r="I597" i="3"/>
  <c r="J597" i="3" s="1"/>
  <c r="AH596" i="3"/>
  <c r="AI596" i="3" s="1"/>
  <c r="AF596" i="3"/>
  <c r="AE596" i="3"/>
  <c r="AC596" i="3"/>
  <c r="AD596" i="3" s="1"/>
  <c r="AB596" i="3"/>
  <c r="AA596" i="3"/>
  <c r="Y596" i="3"/>
  <c r="Z596" i="3" s="1"/>
  <c r="W596" i="3"/>
  <c r="V596" i="3"/>
  <c r="T596" i="3"/>
  <c r="U596" i="3" s="1"/>
  <c r="S596" i="3"/>
  <c r="R596" i="3"/>
  <c r="P596" i="3"/>
  <c r="Q596" i="3" s="1"/>
  <c r="O596" i="3"/>
  <c r="N596" i="3"/>
  <c r="L596" i="3"/>
  <c r="M596" i="3" s="1"/>
  <c r="I596" i="3"/>
  <c r="J596" i="3" s="1"/>
  <c r="AH595" i="3"/>
  <c r="AI595" i="3" s="1"/>
  <c r="AF595" i="3"/>
  <c r="AE595" i="3"/>
  <c r="AC595" i="3"/>
  <c r="AD595" i="3" s="1"/>
  <c r="AB595" i="3"/>
  <c r="AA595" i="3"/>
  <c r="Y595" i="3"/>
  <c r="Z595" i="3" s="1"/>
  <c r="W595" i="3"/>
  <c r="V595" i="3"/>
  <c r="T595" i="3"/>
  <c r="U595" i="3" s="1"/>
  <c r="S595" i="3"/>
  <c r="R595" i="3"/>
  <c r="P595" i="3"/>
  <c r="Q595" i="3" s="1"/>
  <c r="O595" i="3"/>
  <c r="N595" i="3"/>
  <c r="L595" i="3"/>
  <c r="M595" i="3" s="1"/>
  <c r="I595" i="3"/>
  <c r="J595" i="3" s="1"/>
  <c r="AH594" i="3"/>
  <c r="AI594" i="3" s="1"/>
  <c r="AF594" i="3"/>
  <c r="AE594" i="3"/>
  <c r="AC594" i="3"/>
  <c r="AD594" i="3" s="1"/>
  <c r="AB594" i="3"/>
  <c r="AA594" i="3"/>
  <c r="Y594" i="3"/>
  <c r="Z594" i="3" s="1"/>
  <c r="W594" i="3"/>
  <c r="V594" i="3"/>
  <c r="T594" i="3"/>
  <c r="U594" i="3" s="1"/>
  <c r="S594" i="3"/>
  <c r="R594" i="3"/>
  <c r="P594" i="3"/>
  <c r="Q594" i="3" s="1"/>
  <c r="O594" i="3"/>
  <c r="N594" i="3"/>
  <c r="L594" i="3"/>
  <c r="M594" i="3" s="1"/>
  <c r="I594" i="3"/>
  <c r="J594" i="3" s="1"/>
  <c r="AH593" i="3"/>
  <c r="AI593" i="3" s="1"/>
  <c r="AF593" i="3"/>
  <c r="AE593" i="3"/>
  <c r="AC593" i="3"/>
  <c r="AD593" i="3" s="1"/>
  <c r="AB593" i="3"/>
  <c r="AA593" i="3"/>
  <c r="Y593" i="3"/>
  <c r="Z593" i="3" s="1"/>
  <c r="W593" i="3"/>
  <c r="V593" i="3"/>
  <c r="T593" i="3"/>
  <c r="U593" i="3" s="1"/>
  <c r="S593" i="3"/>
  <c r="R593" i="3"/>
  <c r="P593" i="3"/>
  <c r="Q593" i="3" s="1"/>
  <c r="O593" i="3"/>
  <c r="N593" i="3"/>
  <c r="L593" i="3"/>
  <c r="M593" i="3" s="1"/>
  <c r="I593" i="3"/>
  <c r="J593" i="3" s="1"/>
  <c r="AH592" i="3"/>
  <c r="AI592" i="3" s="1"/>
  <c r="AF592" i="3"/>
  <c r="AE592" i="3"/>
  <c r="AC592" i="3"/>
  <c r="AD592" i="3" s="1"/>
  <c r="AB592" i="3"/>
  <c r="AA592" i="3"/>
  <c r="Y592" i="3"/>
  <c r="Z592" i="3" s="1"/>
  <c r="W592" i="3"/>
  <c r="V592" i="3"/>
  <c r="T592" i="3"/>
  <c r="U592" i="3" s="1"/>
  <c r="S592" i="3"/>
  <c r="R592" i="3"/>
  <c r="P592" i="3"/>
  <c r="Q592" i="3" s="1"/>
  <c r="O592" i="3"/>
  <c r="N592" i="3"/>
  <c r="L592" i="3"/>
  <c r="M592" i="3" s="1"/>
  <c r="I592" i="3"/>
  <c r="J592" i="3" s="1"/>
  <c r="AH591" i="3"/>
  <c r="AI591" i="3" s="1"/>
  <c r="AF591" i="3"/>
  <c r="AE591" i="3"/>
  <c r="AC591" i="3"/>
  <c r="AD591" i="3" s="1"/>
  <c r="AB591" i="3"/>
  <c r="AA591" i="3"/>
  <c r="Y591" i="3"/>
  <c r="Z591" i="3" s="1"/>
  <c r="W591" i="3"/>
  <c r="V591" i="3"/>
  <c r="T591" i="3"/>
  <c r="U591" i="3" s="1"/>
  <c r="S591" i="3"/>
  <c r="R591" i="3"/>
  <c r="P591" i="3"/>
  <c r="Q591" i="3" s="1"/>
  <c r="O591" i="3"/>
  <c r="N591" i="3"/>
  <c r="L591" i="3"/>
  <c r="M591" i="3" s="1"/>
  <c r="I591" i="3"/>
  <c r="J591" i="3" s="1"/>
  <c r="AH590" i="3"/>
  <c r="AI590" i="3" s="1"/>
  <c r="AF590" i="3"/>
  <c r="AE590" i="3"/>
  <c r="AC590" i="3"/>
  <c r="AD590" i="3" s="1"/>
  <c r="AB590" i="3"/>
  <c r="AA590" i="3"/>
  <c r="Y590" i="3"/>
  <c r="Z590" i="3" s="1"/>
  <c r="W590" i="3"/>
  <c r="V590" i="3"/>
  <c r="T590" i="3"/>
  <c r="U590" i="3" s="1"/>
  <c r="S590" i="3"/>
  <c r="R590" i="3"/>
  <c r="P590" i="3"/>
  <c r="Q590" i="3" s="1"/>
  <c r="O590" i="3"/>
  <c r="N590" i="3"/>
  <c r="L590" i="3"/>
  <c r="M590" i="3" s="1"/>
  <c r="I590" i="3"/>
  <c r="J590" i="3" s="1"/>
  <c r="AH589" i="3"/>
  <c r="AI589" i="3" s="1"/>
  <c r="AF589" i="3"/>
  <c r="AE589" i="3"/>
  <c r="AC589" i="3"/>
  <c r="AD589" i="3" s="1"/>
  <c r="AB589" i="3"/>
  <c r="AA589" i="3"/>
  <c r="Y589" i="3"/>
  <c r="Z589" i="3" s="1"/>
  <c r="W589" i="3"/>
  <c r="V589" i="3"/>
  <c r="T589" i="3"/>
  <c r="U589" i="3" s="1"/>
  <c r="S589" i="3"/>
  <c r="R589" i="3"/>
  <c r="P589" i="3"/>
  <c r="Q589" i="3" s="1"/>
  <c r="O589" i="3"/>
  <c r="N589" i="3"/>
  <c r="L589" i="3"/>
  <c r="M589" i="3" s="1"/>
  <c r="I589" i="3"/>
  <c r="J589" i="3" s="1"/>
  <c r="AH588" i="3"/>
  <c r="AI588" i="3" s="1"/>
  <c r="AF588" i="3"/>
  <c r="AE588" i="3"/>
  <c r="AC588" i="3"/>
  <c r="AD588" i="3" s="1"/>
  <c r="AB588" i="3"/>
  <c r="AA588" i="3"/>
  <c r="Y588" i="3"/>
  <c r="Z588" i="3" s="1"/>
  <c r="W588" i="3"/>
  <c r="V588" i="3"/>
  <c r="T588" i="3"/>
  <c r="U588" i="3" s="1"/>
  <c r="S588" i="3"/>
  <c r="R588" i="3"/>
  <c r="P588" i="3"/>
  <c r="Q588" i="3" s="1"/>
  <c r="O588" i="3"/>
  <c r="N588" i="3"/>
  <c r="L588" i="3"/>
  <c r="M588" i="3" s="1"/>
  <c r="I588" i="3"/>
  <c r="J588" i="3" s="1"/>
  <c r="AH587" i="3"/>
  <c r="AI587" i="3" s="1"/>
  <c r="AF587" i="3"/>
  <c r="AE587" i="3"/>
  <c r="AC587" i="3"/>
  <c r="AD587" i="3" s="1"/>
  <c r="AB587" i="3"/>
  <c r="AA587" i="3"/>
  <c r="Y587" i="3"/>
  <c r="Z587" i="3" s="1"/>
  <c r="W587" i="3"/>
  <c r="V587" i="3"/>
  <c r="T587" i="3"/>
  <c r="U587" i="3" s="1"/>
  <c r="S587" i="3"/>
  <c r="R587" i="3"/>
  <c r="P587" i="3"/>
  <c r="Q587" i="3" s="1"/>
  <c r="O587" i="3"/>
  <c r="N587" i="3"/>
  <c r="L587" i="3"/>
  <c r="M587" i="3" s="1"/>
  <c r="I587" i="3"/>
  <c r="J587" i="3" s="1"/>
  <c r="AH586" i="3"/>
  <c r="AI586" i="3" s="1"/>
  <c r="AF586" i="3"/>
  <c r="AE586" i="3"/>
  <c r="AC586" i="3"/>
  <c r="AD586" i="3" s="1"/>
  <c r="AB586" i="3"/>
  <c r="AA586" i="3"/>
  <c r="Y586" i="3"/>
  <c r="Z586" i="3" s="1"/>
  <c r="W586" i="3"/>
  <c r="V586" i="3"/>
  <c r="T586" i="3"/>
  <c r="U586" i="3" s="1"/>
  <c r="S586" i="3"/>
  <c r="R586" i="3"/>
  <c r="P586" i="3"/>
  <c r="Q586" i="3" s="1"/>
  <c r="O586" i="3"/>
  <c r="N586" i="3"/>
  <c r="L586" i="3"/>
  <c r="M586" i="3" s="1"/>
  <c r="I586" i="3"/>
  <c r="J586" i="3" s="1"/>
  <c r="AH585" i="3"/>
  <c r="AI585" i="3" s="1"/>
  <c r="AF585" i="3"/>
  <c r="AE585" i="3"/>
  <c r="AC585" i="3"/>
  <c r="AD585" i="3" s="1"/>
  <c r="AB585" i="3"/>
  <c r="AA585" i="3"/>
  <c r="Y585" i="3"/>
  <c r="Z585" i="3" s="1"/>
  <c r="W585" i="3"/>
  <c r="V585" i="3"/>
  <c r="T585" i="3"/>
  <c r="U585" i="3" s="1"/>
  <c r="S585" i="3"/>
  <c r="R585" i="3"/>
  <c r="P585" i="3"/>
  <c r="Q585" i="3" s="1"/>
  <c r="O585" i="3"/>
  <c r="N585" i="3"/>
  <c r="L585" i="3"/>
  <c r="M585" i="3" s="1"/>
  <c r="I585" i="3"/>
  <c r="J585" i="3" s="1"/>
  <c r="AH584" i="3"/>
  <c r="AI584" i="3" s="1"/>
  <c r="AF584" i="3"/>
  <c r="AE584" i="3"/>
  <c r="AC584" i="3"/>
  <c r="AD584" i="3" s="1"/>
  <c r="AB584" i="3"/>
  <c r="AA584" i="3"/>
  <c r="Y584" i="3"/>
  <c r="Z584" i="3" s="1"/>
  <c r="W584" i="3"/>
  <c r="V584" i="3"/>
  <c r="T584" i="3"/>
  <c r="U584" i="3" s="1"/>
  <c r="S584" i="3"/>
  <c r="R584" i="3"/>
  <c r="P584" i="3"/>
  <c r="Q584" i="3" s="1"/>
  <c r="O584" i="3"/>
  <c r="N584" i="3"/>
  <c r="L584" i="3"/>
  <c r="M584" i="3" s="1"/>
  <c r="I584" i="3"/>
  <c r="J584" i="3" s="1"/>
  <c r="AH583" i="3"/>
  <c r="AI583" i="3" s="1"/>
  <c r="AF583" i="3"/>
  <c r="AE583" i="3"/>
  <c r="AC583" i="3"/>
  <c r="AD583" i="3" s="1"/>
  <c r="AB583" i="3"/>
  <c r="AA583" i="3"/>
  <c r="Y583" i="3"/>
  <c r="Z583" i="3" s="1"/>
  <c r="W583" i="3"/>
  <c r="V583" i="3"/>
  <c r="T583" i="3"/>
  <c r="U583" i="3" s="1"/>
  <c r="S583" i="3"/>
  <c r="R583" i="3"/>
  <c r="P583" i="3"/>
  <c r="Q583" i="3" s="1"/>
  <c r="O583" i="3"/>
  <c r="N583" i="3"/>
  <c r="L583" i="3"/>
  <c r="M583" i="3" s="1"/>
  <c r="I583" i="3"/>
  <c r="J583" i="3" s="1"/>
  <c r="AH582" i="3"/>
  <c r="AI582" i="3" s="1"/>
  <c r="AF582" i="3"/>
  <c r="AE582" i="3"/>
  <c r="AC582" i="3"/>
  <c r="AD582" i="3" s="1"/>
  <c r="AB582" i="3"/>
  <c r="AA582" i="3"/>
  <c r="Y582" i="3"/>
  <c r="Z582" i="3" s="1"/>
  <c r="W582" i="3"/>
  <c r="V582" i="3"/>
  <c r="T582" i="3"/>
  <c r="U582" i="3" s="1"/>
  <c r="S582" i="3"/>
  <c r="R582" i="3"/>
  <c r="P582" i="3"/>
  <c r="Q582" i="3" s="1"/>
  <c r="O582" i="3"/>
  <c r="N582" i="3"/>
  <c r="L582" i="3"/>
  <c r="M582" i="3" s="1"/>
  <c r="I582" i="3"/>
  <c r="J582" i="3" s="1"/>
  <c r="AH581" i="3"/>
  <c r="AI581" i="3" s="1"/>
  <c r="AF581" i="3"/>
  <c r="AE581" i="3"/>
  <c r="AC581" i="3"/>
  <c r="AD581" i="3" s="1"/>
  <c r="AB581" i="3"/>
  <c r="AA581" i="3"/>
  <c r="Y581" i="3"/>
  <c r="Z581" i="3" s="1"/>
  <c r="W581" i="3"/>
  <c r="V581" i="3"/>
  <c r="T581" i="3"/>
  <c r="U581" i="3" s="1"/>
  <c r="S581" i="3"/>
  <c r="R581" i="3"/>
  <c r="P581" i="3"/>
  <c r="Q581" i="3" s="1"/>
  <c r="O581" i="3"/>
  <c r="N581" i="3"/>
  <c r="L581" i="3"/>
  <c r="M581" i="3" s="1"/>
  <c r="I581" i="3"/>
  <c r="J581" i="3" s="1"/>
  <c r="AH580" i="3"/>
  <c r="AI580" i="3" s="1"/>
  <c r="AF580" i="3"/>
  <c r="AE580" i="3"/>
  <c r="AC580" i="3"/>
  <c r="AD580" i="3" s="1"/>
  <c r="AB580" i="3"/>
  <c r="AA580" i="3"/>
  <c r="Y580" i="3"/>
  <c r="Z580" i="3" s="1"/>
  <c r="W580" i="3"/>
  <c r="V580" i="3"/>
  <c r="T580" i="3"/>
  <c r="U580" i="3" s="1"/>
  <c r="S580" i="3"/>
  <c r="R580" i="3"/>
  <c r="P580" i="3"/>
  <c r="Q580" i="3" s="1"/>
  <c r="O580" i="3"/>
  <c r="N580" i="3"/>
  <c r="L580" i="3"/>
  <c r="M580" i="3" s="1"/>
  <c r="I580" i="3"/>
  <c r="J580" i="3" s="1"/>
  <c r="AH579" i="3"/>
  <c r="AI579" i="3" s="1"/>
  <c r="AF579" i="3"/>
  <c r="AE579" i="3"/>
  <c r="AC579" i="3"/>
  <c r="AD579" i="3" s="1"/>
  <c r="AB579" i="3"/>
  <c r="AA579" i="3"/>
  <c r="Y579" i="3"/>
  <c r="Z579" i="3" s="1"/>
  <c r="W579" i="3"/>
  <c r="V579" i="3"/>
  <c r="T579" i="3"/>
  <c r="U579" i="3" s="1"/>
  <c r="S579" i="3"/>
  <c r="R579" i="3"/>
  <c r="P579" i="3"/>
  <c r="Q579" i="3" s="1"/>
  <c r="O579" i="3"/>
  <c r="N579" i="3"/>
  <c r="L579" i="3"/>
  <c r="M579" i="3" s="1"/>
  <c r="I579" i="3"/>
  <c r="J579" i="3" s="1"/>
  <c r="AH578" i="3"/>
  <c r="AI578" i="3" s="1"/>
  <c r="AF578" i="3"/>
  <c r="AE578" i="3"/>
  <c r="AC578" i="3"/>
  <c r="AD578" i="3" s="1"/>
  <c r="AB578" i="3"/>
  <c r="AA578" i="3"/>
  <c r="Y578" i="3"/>
  <c r="Z578" i="3" s="1"/>
  <c r="W578" i="3"/>
  <c r="V578" i="3"/>
  <c r="T578" i="3"/>
  <c r="U578" i="3" s="1"/>
  <c r="S578" i="3"/>
  <c r="R578" i="3"/>
  <c r="P578" i="3"/>
  <c r="Q578" i="3" s="1"/>
  <c r="O578" i="3"/>
  <c r="N578" i="3"/>
  <c r="L578" i="3"/>
  <c r="M578" i="3" s="1"/>
  <c r="I578" i="3"/>
  <c r="J578" i="3" s="1"/>
  <c r="AH577" i="3"/>
  <c r="AI577" i="3" s="1"/>
  <c r="AF577" i="3"/>
  <c r="AE577" i="3"/>
  <c r="AC577" i="3"/>
  <c r="AD577" i="3" s="1"/>
  <c r="AB577" i="3"/>
  <c r="AA577" i="3"/>
  <c r="Y577" i="3"/>
  <c r="Z577" i="3" s="1"/>
  <c r="W577" i="3"/>
  <c r="V577" i="3"/>
  <c r="T577" i="3"/>
  <c r="U577" i="3" s="1"/>
  <c r="S577" i="3"/>
  <c r="R577" i="3"/>
  <c r="P577" i="3"/>
  <c r="Q577" i="3" s="1"/>
  <c r="O577" i="3"/>
  <c r="N577" i="3"/>
  <c r="L577" i="3"/>
  <c r="M577" i="3" s="1"/>
  <c r="I577" i="3"/>
  <c r="J577" i="3" s="1"/>
  <c r="AH576" i="3"/>
  <c r="AI576" i="3" s="1"/>
  <c r="AF576" i="3"/>
  <c r="AE576" i="3"/>
  <c r="AC576" i="3"/>
  <c r="AD576" i="3" s="1"/>
  <c r="AB576" i="3"/>
  <c r="AA576" i="3"/>
  <c r="Y576" i="3"/>
  <c r="Z576" i="3" s="1"/>
  <c r="W576" i="3"/>
  <c r="V576" i="3"/>
  <c r="T576" i="3"/>
  <c r="U576" i="3" s="1"/>
  <c r="S576" i="3"/>
  <c r="R576" i="3"/>
  <c r="P576" i="3"/>
  <c r="Q576" i="3" s="1"/>
  <c r="O576" i="3"/>
  <c r="N576" i="3"/>
  <c r="L576" i="3"/>
  <c r="M576" i="3" s="1"/>
  <c r="I576" i="3"/>
  <c r="J576" i="3" s="1"/>
  <c r="AH575" i="3"/>
  <c r="AI575" i="3" s="1"/>
  <c r="AF575" i="3"/>
  <c r="AE575" i="3"/>
  <c r="AC575" i="3"/>
  <c r="AD575" i="3" s="1"/>
  <c r="AB575" i="3"/>
  <c r="AA575" i="3"/>
  <c r="Y575" i="3"/>
  <c r="Z575" i="3" s="1"/>
  <c r="W575" i="3"/>
  <c r="V575" i="3"/>
  <c r="T575" i="3"/>
  <c r="U575" i="3" s="1"/>
  <c r="S575" i="3"/>
  <c r="R575" i="3"/>
  <c r="P575" i="3"/>
  <c r="Q575" i="3" s="1"/>
  <c r="O575" i="3"/>
  <c r="N575" i="3"/>
  <c r="L575" i="3"/>
  <c r="M575" i="3" s="1"/>
  <c r="I575" i="3"/>
  <c r="J575" i="3" s="1"/>
  <c r="AH574" i="3"/>
  <c r="AI574" i="3" s="1"/>
  <c r="AF574" i="3"/>
  <c r="AE574" i="3"/>
  <c r="AC574" i="3"/>
  <c r="AD574" i="3" s="1"/>
  <c r="AB574" i="3"/>
  <c r="AA574" i="3"/>
  <c r="Y574" i="3"/>
  <c r="Z574" i="3" s="1"/>
  <c r="W574" i="3"/>
  <c r="V574" i="3"/>
  <c r="T574" i="3"/>
  <c r="U574" i="3" s="1"/>
  <c r="S574" i="3"/>
  <c r="R574" i="3"/>
  <c r="P574" i="3"/>
  <c r="Q574" i="3" s="1"/>
  <c r="O574" i="3"/>
  <c r="N574" i="3"/>
  <c r="L574" i="3"/>
  <c r="M574" i="3" s="1"/>
  <c r="I574" i="3"/>
  <c r="J574" i="3" s="1"/>
  <c r="AH573" i="3"/>
  <c r="AI573" i="3" s="1"/>
  <c r="AF573" i="3"/>
  <c r="AE573" i="3"/>
  <c r="AC573" i="3"/>
  <c r="AD573" i="3" s="1"/>
  <c r="AB573" i="3"/>
  <c r="AA573" i="3"/>
  <c r="Y573" i="3"/>
  <c r="Z573" i="3" s="1"/>
  <c r="W573" i="3"/>
  <c r="V573" i="3"/>
  <c r="T573" i="3"/>
  <c r="U573" i="3" s="1"/>
  <c r="S573" i="3"/>
  <c r="R573" i="3"/>
  <c r="P573" i="3"/>
  <c r="Q573" i="3" s="1"/>
  <c r="O573" i="3"/>
  <c r="N573" i="3"/>
  <c r="L573" i="3"/>
  <c r="M573" i="3" s="1"/>
  <c r="I573" i="3"/>
  <c r="J573" i="3" s="1"/>
  <c r="AH572" i="3"/>
  <c r="AI572" i="3" s="1"/>
  <c r="AF572" i="3"/>
  <c r="AE572" i="3"/>
  <c r="AC572" i="3"/>
  <c r="AD572" i="3" s="1"/>
  <c r="AB572" i="3"/>
  <c r="AA572" i="3"/>
  <c r="Y572" i="3"/>
  <c r="Z572" i="3" s="1"/>
  <c r="W572" i="3"/>
  <c r="V572" i="3"/>
  <c r="T572" i="3"/>
  <c r="U572" i="3" s="1"/>
  <c r="S572" i="3"/>
  <c r="R572" i="3"/>
  <c r="P572" i="3"/>
  <c r="Q572" i="3" s="1"/>
  <c r="O572" i="3"/>
  <c r="N572" i="3"/>
  <c r="L572" i="3"/>
  <c r="M572" i="3" s="1"/>
  <c r="I572" i="3"/>
  <c r="J572" i="3" s="1"/>
  <c r="AH571" i="3"/>
  <c r="AI571" i="3" s="1"/>
  <c r="AF571" i="3"/>
  <c r="AE571" i="3"/>
  <c r="AC571" i="3"/>
  <c r="AD571" i="3" s="1"/>
  <c r="AB571" i="3"/>
  <c r="AA571" i="3"/>
  <c r="Y571" i="3"/>
  <c r="Z571" i="3" s="1"/>
  <c r="W571" i="3"/>
  <c r="V571" i="3"/>
  <c r="T571" i="3"/>
  <c r="U571" i="3" s="1"/>
  <c r="S571" i="3"/>
  <c r="R571" i="3"/>
  <c r="P571" i="3"/>
  <c r="Q571" i="3" s="1"/>
  <c r="O571" i="3"/>
  <c r="N571" i="3"/>
  <c r="L571" i="3"/>
  <c r="M571" i="3" s="1"/>
  <c r="I571" i="3"/>
  <c r="J571" i="3" s="1"/>
  <c r="AH570" i="3"/>
  <c r="AI570" i="3" s="1"/>
  <c r="AF570" i="3"/>
  <c r="AE570" i="3"/>
  <c r="AC570" i="3"/>
  <c r="AD570" i="3" s="1"/>
  <c r="AB570" i="3"/>
  <c r="AA570" i="3"/>
  <c r="Y570" i="3"/>
  <c r="Z570" i="3" s="1"/>
  <c r="W570" i="3"/>
  <c r="V570" i="3"/>
  <c r="T570" i="3"/>
  <c r="U570" i="3" s="1"/>
  <c r="S570" i="3"/>
  <c r="R570" i="3"/>
  <c r="P570" i="3"/>
  <c r="Q570" i="3" s="1"/>
  <c r="O570" i="3"/>
  <c r="N570" i="3"/>
  <c r="L570" i="3"/>
  <c r="M570" i="3" s="1"/>
  <c r="I570" i="3"/>
  <c r="J570" i="3" s="1"/>
  <c r="AH569" i="3"/>
  <c r="AI569" i="3" s="1"/>
  <c r="AF569" i="3"/>
  <c r="AE569" i="3"/>
  <c r="AC569" i="3"/>
  <c r="AD569" i="3" s="1"/>
  <c r="AB569" i="3"/>
  <c r="AA569" i="3"/>
  <c r="Y569" i="3"/>
  <c r="Z569" i="3" s="1"/>
  <c r="W569" i="3"/>
  <c r="V569" i="3"/>
  <c r="T569" i="3"/>
  <c r="U569" i="3" s="1"/>
  <c r="S569" i="3"/>
  <c r="R569" i="3"/>
  <c r="P569" i="3"/>
  <c r="Q569" i="3" s="1"/>
  <c r="O569" i="3"/>
  <c r="N569" i="3"/>
  <c r="L569" i="3"/>
  <c r="M569" i="3" s="1"/>
  <c r="I569" i="3"/>
  <c r="J569" i="3" s="1"/>
  <c r="AH568" i="3"/>
  <c r="AI568" i="3" s="1"/>
  <c r="AF568" i="3"/>
  <c r="AE568" i="3"/>
  <c r="AC568" i="3"/>
  <c r="AD568" i="3" s="1"/>
  <c r="AB568" i="3"/>
  <c r="AA568" i="3"/>
  <c r="Y568" i="3"/>
  <c r="Z568" i="3" s="1"/>
  <c r="W568" i="3"/>
  <c r="V568" i="3"/>
  <c r="T568" i="3"/>
  <c r="U568" i="3" s="1"/>
  <c r="S568" i="3"/>
  <c r="R568" i="3"/>
  <c r="P568" i="3"/>
  <c r="Q568" i="3" s="1"/>
  <c r="O568" i="3"/>
  <c r="N568" i="3"/>
  <c r="L568" i="3"/>
  <c r="M568" i="3" s="1"/>
  <c r="I568" i="3"/>
  <c r="J568" i="3" s="1"/>
  <c r="AH567" i="3"/>
  <c r="AI567" i="3" s="1"/>
  <c r="AF567" i="3"/>
  <c r="AE567" i="3"/>
  <c r="AC567" i="3"/>
  <c r="AD567" i="3" s="1"/>
  <c r="AB567" i="3"/>
  <c r="AA567" i="3"/>
  <c r="Y567" i="3"/>
  <c r="Z567" i="3" s="1"/>
  <c r="W567" i="3"/>
  <c r="V567" i="3"/>
  <c r="T567" i="3"/>
  <c r="U567" i="3" s="1"/>
  <c r="S567" i="3"/>
  <c r="R567" i="3"/>
  <c r="P567" i="3"/>
  <c r="Q567" i="3" s="1"/>
  <c r="O567" i="3"/>
  <c r="N567" i="3"/>
  <c r="L567" i="3"/>
  <c r="M567" i="3" s="1"/>
  <c r="I567" i="3"/>
  <c r="J567" i="3" s="1"/>
  <c r="AH566" i="3"/>
  <c r="AI566" i="3" s="1"/>
  <c r="AF566" i="3"/>
  <c r="AE566" i="3"/>
  <c r="AC566" i="3"/>
  <c r="AD566" i="3" s="1"/>
  <c r="AB566" i="3"/>
  <c r="AA566" i="3"/>
  <c r="Y566" i="3"/>
  <c r="Z566" i="3" s="1"/>
  <c r="W566" i="3"/>
  <c r="V566" i="3"/>
  <c r="T566" i="3"/>
  <c r="U566" i="3" s="1"/>
  <c r="S566" i="3"/>
  <c r="R566" i="3"/>
  <c r="P566" i="3"/>
  <c r="Q566" i="3" s="1"/>
  <c r="O566" i="3"/>
  <c r="N566" i="3"/>
  <c r="L566" i="3"/>
  <c r="M566" i="3" s="1"/>
  <c r="I566" i="3"/>
  <c r="J566" i="3" s="1"/>
  <c r="AH565" i="3"/>
  <c r="AI565" i="3" s="1"/>
  <c r="AF565" i="3"/>
  <c r="AE565" i="3"/>
  <c r="AC565" i="3"/>
  <c r="AD565" i="3" s="1"/>
  <c r="AB565" i="3"/>
  <c r="AA565" i="3"/>
  <c r="Y565" i="3"/>
  <c r="Z565" i="3" s="1"/>
  <c r="W565" i="3"/>
  <c r="V565" i="3"/>
  <c r="T565" i="3"/>
  <c r="U565" i="3" s="1"/>
  <c r="S565" i="3"/>
  <c r="R565" i="3"/>
  <c r="P565" i="3"/>
  <c r="Q565" i="3" s="1"/>
  <c r="O565" i="3"/>
  <c r="N565" i="3"/>
  <c r="L565" i="3"/>
  <c r="M565" i="3" s="1"/>
  <c r="I565" i="3"/>
  <c r="J565" i="3" s="1"/>
  <c r="AH564" i="3"/>
  <c r="AI564" i="3" s="1"/>
  <c r="AF564" i="3"/>
  <c r="AE564" i="3"/>
  <c r="AC564" i="3"/>
  <c r="AD564" i="3" s="1"/>
  <c r="AB564" i="3"/>
  <c r="AA564" i="3"/>
  <c r="Y564" i="3"/>
  <c r="Z564" i="3" s="1"/>
  <c r="W564" i="3"/>
  <c r="V564" i="3"/>
  <c r="T564" i="3"/>
  <c r="U564" i="3" s="1"/>
  <c r="S564" i="3"/>
  <c r="R564" i="3"/>
  <c r="P564" i="3"/>
  <c r="Q564" i="3" s="1"/>
  <c r="O564" i="3"/>
  <c r="N564" i="3"/>
  <c r="L564" i="3"/>
  <c r="M564" i="3" s="1"/>
  <c r="I564" i="3"/>
  <c r="J564" i="3" s="1"/>
  <c r="AH563" i="3"/>
  <c r="AI563" i="3" s="1"/>
  <c r="AF563" i="3"/>
  <c r="AE563" i="3"/>
  <c r="AC563" i="3"/>
  <c r="AD563" i="3" s="1"/>
  <c r="AB563" i="3"/>
  <c r="AA563" i="3"/>
  <c r="Y563" i="3"/>
  <c r="Z563" i="3" s="1"/>
  <c r="W563" i="3"/>
  <c r="V563" i="3"/>
  <c r="T563" i="3"/>
  <c r="U563" i="3" s="1"/>
  <c r="S563" i="3"/>
  <c r="R563" i="3"/>
  <c r="P563" i="3"/>
  <c r="Q563" i="3" s="1"/>
  <c r="O563" i="3"/>
  <c r="N563" i="3"/>
  <c r="L563" i="3"/>
  <c r="M563" i="3" s="1"/>
  <c r="I563" i="3"/>
  <c r="J563" i="3" s="1"/>
  <c r="AH562" i="3"/>
  <c r="AI562" i="3" s="1"/>
  <c r="AF562" i="3"/>
  <c r="AE562" i="3"/>
  <c r="AC562" i="3"/>
  <c r="AD562" i="3" s="1"/>
  <c r="AB562" i="3"/>
  <c r="AA562" i="3"/>
  <c r="Y562" i="3"/>
  <c r="Z562" i="3" s="1"/>
  <c r="W562" i="3"/>
  <c r="V562" i="3"/>
  <c r="T562" i="3"/>
  <c r="U562" i="3" s="1"/>
  <c r="S562" i="3"/>
  <c r="R562" i="3"/>
  <c r="P562" i="3"/>
  <c r="Q562" i="3" s="1"/>
  <c r="O562" i="3"/>
  <c r="N562" i="3"/>
  <c r="L562" i="3"/>
  <c r="M562" i="3" s="1"/>
  <c r="I562" i="3"/>
  <c r="J562" i="3" s="1"/>
  <c r="AH561" i="3"/>
  <c r="AI561" i="3" s="1"/>
  <c r="AF561" i="3"/>
  <c r="AE561" i="3"/>
  <c r="AC561" i="3"/>
  <c r="AD561" i="3" s="1"/>
  <c r="AB561" i="3"/>
  <c r="AA561" i="3"/>
  <c r="Y561" i="3"/>
  <c r="Z561" i="3" s="1"/>
  <c r="W561" i="3"/>
  <c r="V561" i="3"/>
  <c r="T561" i="3"/>
  <c r="U561" i="3" s="1"/>
  <c r="S561" i="3"/>
  <c r="R561" i="3"/>
  <c r="P561" i="3"/>
  <c r="Q561" i="3" s="1"/>
  <c r="O561" i="3"/>
  <c r="N561" i="3"/>
  <c r="L561" i="3"/>
  <c r="M561" i="3" s="1"/>
  <c r="I561" i="3"/>
  <c r="J561" i="3" s="1"/>
  <c r="AH560" i="3"/>
  <c r="AI560" i="3" s="1"/>
  <c r="AF560" i="3"/>
  <c r="AE560" i="3"/>
  <c r="AC560" i="3"/>
  <c r="AD560" i="3" s="1"/>
  <c r="AB560" i="3"/>
  <c r="AA560" i="3"/>
  <c r="Y560" i="3"/>
  <c r="Z560" i="3" s="1"/>
  <c r="W560" i="3"/>
  <c r="V560" i="3"/>
  <c r="T560" i="3"/>
  <c r="U560" i="3" s="1"/>
  <c r="S560" i="3"/>
  <c r="R560" i="3"/>
  <c r="P560" i="3"/>
  <c r="Q560" i="3" s="1"/>
  <c r="O560" i="3"/>
  <c r="N560" i="3"/>
  <c r="L560" i="3"/>
  <c r="M560" i="3" s="1"/>
  <c r="I560" i="3"/>
  <c r="J560" i="3" s="1"/>
  <c r="AH559" i="3"/>
  <c r="AI559" i="3" s="1"/>
  <c r="AF559" i="3"/>
  <c r="AE559" i="3"/>
  <c r="AC559" i="3"/>
  <c r="AD559" i="3" s="1"/>
  <c r="AB559" i="3"/>
  <c r="AA559" i="3"/>
  <c r="Y559" i="3"/>
  <c r="Z559" i="3" s="1"/>
  <c r="W559" i="3"/>
  <c r="V559" i="3"/>
  <c r="T559" i="3"/>
  <c r="U559" i="3" s="1"/>
  <c r="S559" i="3"/>
  <c r="R559" i="3"/>
  <c r="P559" i="3"/>
  <c r="Q559" i="3" s="1"/>
  <c r="O559" i="3"/>
  <c r="N559" i="3"/>
  <c r="L559" i="3"/>
  <c r="M559" i="3" s="1"/>
  <c r="I559" i="3"/>
  <c r="J559" i="3" s="1"/>
  <c r="AH558" i="3"/>
  <c r="AI558" i="3" s="1"/>
  <c r="AF558" i="3"/>
  <c r="AE558" i="3"/>
  <c r="AC558" i="3"/>
  <c r="AD558" i="3" s="1"/>
  <c r="AB558" i="3"/>
  <c r="AA558" i="3"/>
  <c r="Y558" i="3"/>
  <c r="Z558" i="3" s="1"/>
  <c r="W558" i="3"/>
  <c r="V558" i="3"/>
  <c r="T558" i="3"/>
  <c r="U558" i="3" s="1"/>
  <c r="S558" i="3"/>
  <c r="R558" i="3"/>
  <c r="P558" i="3"/>
  <c r="Q558" i="3" s="1"/>
  <c r="O558" i="3"/>
  <c r="N558" i="3"/>
  <c r="L558" i="3"/>
  <c r="M558" i="3" s="1"/>
  <c r="I558" i="3"/>
  <c r="J558" i="3" s="1"/>
  <c r="AH557" i="3"/>
  <c r="AI557" i="3" s="1"/>
  <c r="AF557" i="3"/>
  <c r="AE557" i="3"/>
  <c r="AC557" i="3"/>
  <c r="AD557" i="3" s="1"/>
  <c r="AB557" i="3"/>
  <c r="AA557" i="3"/>
  <c r="Y557" i="3"/>
  <c r="Z557" i="3" s="1"/>
  <c r="W557" i="3"/>
  <c r="V557" i="3"/>
  <c r="T557" i="3"/>
  <c r="U557" i="3" s="1"/>
  <c r="S557" i="3"/>
  <c r="R557" i="3"/>
  <c r="P557" i="3"/>
  <c r="Q557" i="3" s="1"/>
  <c r="O557" i="3"/>
  <c r="N557" i="3"/>
  <c r="L557" i="3"/>
  <c r="M557" i="3" s="1"/>
  <c r="I557" i="3"/>
  <c r="J557" i="3" s="1"/>
  <c r="AH556" i="3"/>
  <c r="AI556" i="3" s="1"/>
  <c r="AF556" i="3"/>
  <c r="AE556" i="3"/>
  <c r="AC556" i="3"/>
  <c r="AD556" i="3" s="1"/>
  <c r="AB556" i="3"/>
  <c r="AA556" i="3"/>
  <c r="Y556" i="3"/>
  <c r="Z556" i="3" s="1"/>
  <c r="W556" i="3"/>
  <c r="V556" i="3"/>
  <c r="T556" i="3"/>
  <c r="U556" i="3" s="1"/>
  <c r="S556" i="3"/>
  <c r="R556" i="3"/>
  <c r="P556" i="3"/>
  <c r="Q556" i="3" s="1"/>
  <c r="O556" i="3"/>
  <c r="N556" i="3"/>
  <c r="L556" i="3"/>
  <c r="M556" i="3" s="1"/>
  <c r="I556" i="3"/>
  <c r="J556" i="3" s="1"/>
  <c r="AH555" i="3"/>
  <c r="AI555" i="3" s="1"/>
  <c r="AF555" i="3"/>
  <c r="AE555" i="3"/>
  <c r="AC555" i="3"/>
  <c r="AD555" i="3" s="1"/>
  <c r="AB555" i="3"/>
  <c r="AA555" i="3"/>
  <c r="Y555" i="3"/>
  <c r="Z555" i="3" s="1"/>
  <c r="W555" i="3"/>
  <c r="V555" i="3"/>
  <c r="T555" i="3"/>
  <c r="U555" i="3" s="1"/>
  <c r="S555" i="3"/>
  <c r="R555" i="3"/>
  <c r="P555" i="3"/>
  <c r="Q555" i="3" s="1"/>
  <c r="O555" i="3"/>
  <c r="N555" i="3"/>
  <c r="L555" i="3"/>
  <c r="M555" i="3" s="1"/>
  <c r="I555" i="3"/>
  <c r="J555" i="3" s="1"/>
  <c r="AH554" i="3"/>
  <c r="AI554" i="3" s="1"/>
  <c r="AF554" i="3"/>
  <c r="AE554" i="3"/>
  <c r="AC554" i="3"/>
  <c r="AD554" i="3" s="1"/>
  <c r="AB554" i="3"/>
  <c r="AA554" i="3"/>
  <c r="Y554" i="3"/>
  <c r="Z554" i="3" s="1"/>
  <c r="W554" i="3"/>
  <c r="V554" i="3"/>
  <c r="T554" i="3"/>
  <c r="U554" i="3" s="1"/>
  <c r="S554" i="3"/>
  <c r="R554" i="3"/>
  <c r="P554" i="3"/>
  <c r="Q554" i="3" s="1"/>
  <c r="O554" i="3"/>
  <c r="N554" i="3"/>
  <c r="L554" i="3"/>
  <c r="M554" i="3" s="1"/>
  <c r="I554" i="3"/>
  <c r="J554" i="3" s="1"/>
  <c r="AH553" i="3"/>
  <c r="AI553" i="3" s="1"/>
  <c r="AF553" i="3"/>
  <c r="AE553" i="3"/>
  <c r="AC553" i="3"/>
  <c r="AD553" i="3" s="1"/>
  <c r="AB553" i="3"/>
  <c r="AA553" i="3"/>
  <c r="Y553" i="3"/>
  <c r="Z553" i="3" s="1"/>
  <c r="W553" i="3"/>
  <c r="V553" i="3"/>
  <c r="T553" i="3"/>
  <c r="U553" i="3" s="1"/>
  <c r="S553" i="3"/>
  <c r="R553" i="3"/>
  <c r="P553" i="3"/>
  <c r="Q553" i="3" s="1"/>
  <c r="O553" i="3"/>
  <c r="N553" i="3"/>
  <c r="L553" i="3"/>
  <c r="M553" i="3" s="1"/>
  <c r="I553" i="3"/>
  <c r="J553" i="3" s="1"/>
  <c r="AH552" i="3"/>
  <c r="AI552" i="3" s="1"/>
  <c r="AF552" i="3"/>
  <c r="AE552" i="3"/>
  <c r="AC552" i="3"/>
  <c r="AD552" i="3" s="1"/>
  <c r="AB552" i="3"/>
  <c r="AA552" i="3"/>
  <c r="Y552" i="3"/>
  <c r="Z552" i="3" s="1"/>
  <c r="W552" i="3"/>
  <c r="V552" i="3"/>
  <c r="T552" i="3"/>
  <c r="U552" i="3" s="1"/>
  <c r="S552" i="3"/>
  <c r="R552" i="3"/>
  <c r="P552" i="3"/>
  <c r="Q552" i="3" s="1"/>
  <c r="O552" i="3"/>
  <c r="N552" i="3"/>
  <c r="L552" i="3"/>
  <c r="M552" i="3" s="1"/>
  <c r="I552" i="3"/>
  <c r="J552" i="3" s="1"/>
  <c r="AH551" i="3"/>
  <c r="AI551" i="3" s="1"/>
  <c r="AF551" i="3"/>
  <c r="AE551" i="3"/>
  <c r="AC551" i="3"/>
  <c r="AD551" i="3" s="1"/>
  <c r="AB551" i="3"/>
  <c r="AA551" i="3"/>
  <c r="Y551" i="3"/>
  <c r="Z551" i="3" s="1"/>
  <c r="W551" i="3"/>
  <c r="V551" i="3"/>
  <c r="T551" i="3"/>
  <c r="U551" i="3" s="1"/>
  <c r="S551" i="3"/>
  <c r="R551" i="3"/>
  <c r="P551" i="3"/>
  <c r="Q551" i="3" s="1"/>
  <c r="O551" i="3"/>
  <c r="N551" i="3"/>
  <c r="L551" i="3"/>
  <c r="M551" i="3" s="1"/>
  <c r="I551" i="3"/>
  <c r="J551" i="3" s="1"/>
  <c r="AH550" i="3"/>
  <c r="AI550" i="3" s="1"/>
  <c r="AF550" i="3"/>
  <c r="AE550" i="3"/>
  <c r="AC550" i="3"/>
  <c r="AD550" i="3" s="1"/>
  <c r="AB550" i="3"/>
  <c r="AA550" i="3"/>
  <c r="Y550" i="3"/>
  <c r="Z550" i="3" s="1"/>
  <c r="W550" i="3"/>
  <c r="V550" i="3"/>
  <c r="T550" i="3"/>
  <c r="U550" i="3" s="1"/>
  <c r="S550" i="3"/>
  <c r="R550" i="3"/>
  <c r="P550" i="3"/>
  <c r="Q550" i="3" s="1"/>
  <c r="O550" i="3"/>
  <c r="N550" i="3"/>
  <c r="L550" i="3"/>
  <c r="M550" i="3" s="1"/>
  <c r="I550" i="3"/>
  <c r="J550" i="3" s="1"/>
  <c r="AH549" i="3"/>
  <c r="AI549" i="3" s="1"/>
  <c r="AF549" i="3"/>
  <c r="AE549" i="3"/>
  <c r="AC549" i="3"/>
  <c r="AD549" i="3" s="1"/>
  <c r="AB549" i="3"/>
  <c r="AA549" i="3"/>
  <c r="Y549" i="3"/>
  <c r="Z549" i="3" s="1"/>
  <c r="W549" i="3"/>
  <c r="V549" i="3"/>
  <c r="T549" i="3"/>
  <c r="U549" i="3" s="1"/>
  <c r="S549" i="3"/>
  <c r="R549" i="3"/>
  <c r="P549" i="3"/>
  <c r="Q549" i="3" s="1"/>
  <c r="O549" i="3"/>
  <c r="N549" i="3"/>
  <c r="L549" i="3"/>
  <c r="M549" i="3" s="1"/>
  <c r="I549" i="3"/>
  <c r="J549" i="3" s="1"/>
  <c r="AH548" i="3"/>
  <c r="AI548" i="3" s="1"/>
  <c r="AF548" i="3"/>
  <c r="AE548" i="3"/>
  <c r="AC548" i="3"/>
  <c r="AD548" i="3" s="1"/>
  <c r="AB548" i="3"/>
  <c r="AA548" i="3"/>
  <c r="Y548" i="3"/>
  <c r="Z548" i="3" s="1"/>
  <c r="W548" i="3"/>
  <c r="V548" i="3"/>
  <c r="T548" i="3"/>
  <c r="U548" i="3" s="1"/>
  <c r="S548" i="3"/>
  <c r="R548" i="3"/>
  <c r="P548" i="3"/>
  <c r="Q548" i="3" s="1"/>
  <c r="O548" i="3"/>
  <c r="N548" i="3"/>
  <c r="L548" i="3"/>
  <c r="M548" i="3" s="1"/>
  <c r="I548" i="3"/>
  <c r="J548" i="3" s="1"/>
  <c r="AH547" i="3"/>
  <c r="AI547" i="3" s="1"/>
  <c r="AF547" i="3"/>
  <c r="AE547" i="3"/>
  <c r="AC547" i="3"/>
  <c r="AD547" i="3" s="1"/>
  <c r="AB547" i="3"/>
  <c r="AA547" i="3"/>
  <c r="Y547" i="3"/>
  <c r="Z547" i="3" s="1"/>
  <c r="W547" i="3"/>
  <c r="V547" i="3"/>
  <c r="T547" i="3"/>
  <c r="U547" i="3" s="1"/>
  <c r="S547" i="3"/>
  <c r="R547" i="3"/>
  <c r="P547" i="3"/>
  <c r="Q547" i="3" s="1"/>
  <c r="O547" i="3"/>
  <c r="N547" i="3"/>
  <c r="L547" i="3"/>
  <c r="M547" i="3" s="1"/>
  <c r="I547" i="3"/>
  <c r="J547" i="3" s="1"/>
  <c r="AH546" i="3"/>
  <c r="AI546" i="3" s="1"/>
  <c r="AF546" i="3"/>
  <c r="AE546" i="3"/>
  <c r="AC546" i="3"/>
  <c r="AD546" i="3" s="1"/>
  <c r="AB546" i="3"/>
  <c r="AA546" i="3"/>
  <c r="Y546" i="3"/>
  <c r="Z546" i="3" s="1"/>
  <c r="W546" i="3"/>
  <c r="V546" i="3"/>
  <c r="T546" i="3"/>
  <c r="U546" i="3" s="1"/>
  <c r="S546" i="3"/>
  <c r="R546" i="3"/>
  <c r="P546" i="3"/>
  <c r="Q546" i="3" s="1"/>
  <c r="O546" i="3"/>
  <c r="N546" i="3"/>
  <c r="L546" i="3"/>
  <c r="M546" i="3" s="1"/>
  <c r="I546" i="3"/>
  <c r="J546" i="3" s="1"/>
  <c r="AH545" i="3"/>
  <c r="AI545" i="3" s="1"/>
  <c r="AF545" i="3"/>
  <c r="AE545" i="3"/>
  <c r="AC545" i="3"/>
  <c r="AD545" i="3" s="1"/>
  <c r="AB545" i="3"/>
  <c r="AA545" i="3"/>
  <c r="Y545" i="3"/>
  <c r="Z545" i="3" s="1"/>
  <c r="W545" i="3"/>
  <c r="V545" i="3"/>
  <c r="T545" i="3"/>
  <c r="U545" i="3" s="1"/>
  <c r="S545" i="3"/>
  <c r="R545" i="3"/>
  <c r="P545" i="3"/>
  <c r="Q545" i="3" s="1"/>
  <c r="O545" i="3"/>
  <c r="N545" i="3"/>
  <c r="L545" i="3"/>
  <c r="M545" i="3" s="1"/>
  <c r="I545" i="3"/>
  <c r="J545" i="3" s="1"/>
  <c r="AH544" i="3"/>
  <c r="AI544" i="3" s="1"/>
  <c r="AF544" i="3"/>
  <c r="AE544" i="3"/>
  <c r="AC544" i="3"/>
  <c r="AD544" i="3" s="1"/>
  <c r="AB544" i="3"/>
  <c r="AA544" i="3"/>
  <c r="Y544" i="3"/>
  <c r="Z544" i="3" s="1"/>
  <c r="W544" i="3"/>
  <c r="V544" i="3"/>
  <c r="T544" i="3"/>
  <c r="U544" i="3" s="1"/>
  <c r="S544" i="3"/>
  <c r="R544" i="3"/>
  <c r="P544" i="3"/>
  <c r="Q544" i="3" s="1"/>
  <c r="O544" i="3"/>
  <c r="N544" i="3"/>
  <c r="L544" i="3"/>
  <c r="M544" i="3" s="1"/>
  <c r="I544" i="3"/>
  <c r="J544" i="3" s="1"/>
  <c r="AH543" i="3"/>
  <c r="AI543" i="3" s="1"/>
  <c r="AF543" i="3"/>
  <c r="AE543" i="3"/>
  <c r="AC543" i="3"/>
  <c r="AD543" i="3" s="1"/>
  <c r="AB543" i="3"/>
  <c r="AA543" i="3"/>
  <c r="Y543" i="3"/>
  <c r="Z543" i="3" s="1"/>
  <c r="W543" i="3"/>
  <c r="V543" i="3"/>
  <c r="T543" i="3"/>
  <c r="U543" i="3" s="1"/>
  <c r="S543" i="3"/>
  <c r="R543" i="3"/>
  <c r="P543" i="3"/>
  <c r="Q543" i="3" s="1"/>
  <c r="O543" i="3"/>
  <c r="N543" i="3"/>
  <c r="L543" i="3"/>
  <c r="M543" i="3" s="1"/>
  <c r="I543" i="3"/>
  <c r="J543" i="3" s="1"/>
  <c r="AH542" i="3"/>
  <c r="AI542" i="3" s="1"/>
  <c r="AF542" i="3"/>
  <c r="AE542" i="3"/>
  <c r="AC542" i="3"/>
  <c r="AD542" i="3" s="1"/>
  <c r="AB542" i="3"/>
  <c r="AA542" i="3"/>
  <c r="Y542" i="3"/>
  <c r="Z542" i="3" s="1"/>
  <c r="W542" i="3"/>
  <c r="V542" i="3"/>
  <c r="T542" i="3"/>
  <c r="U542" i="3" s="1"/>
  <c r="S542" i="3"/>
  <c r="R542" i="3"/>
  <c r="P542" i="3"/>
  <c r="Q542" i="3" s="1"/>
  <c r="O542" i="3"/>
  <c r="N542" i="3"/>
  <c r="L542" i="3"/>
  <c r="M542" i="3" s="1"/>
  <c r="I542" i="3"/>
  <c r="J542" i="3" s="1"/>
  <c r="AH541" i="3"/>
  <c r="AI541" i="3" s="1"/>
  <c r="AF541" i="3"/>
  <c r="AE541" i="3"/>
  <c r="AC541" i="3"/>
  <c r="AD541" i="3" s="1"/>
  <c r="AB541" i="3"/>
  <c r="AA541" i="3"/>
  <c r="Y541" i="3"/>
  <c r="Z541" i="3" s="1"/>
  <c r="W541" i="3"/>
  <c r="V541" i="3"/>
  <c r="T541" i="3"/>
  <c r="U541" i="3" s="1"/>
  <c r="S541" i="3"/>
  <c r="R541" i="3"/>
  <c r="P541" i="3"/>
  <c r="Q541" i="3" s="1"/>
  <c r="O541" i="3"/>
  <c r="N541" i="3"/>
  <c r="L541" i="3"/>
  <c r="M541" i="3" s="1"/>
  <c r="I541" i="3"/>
  <c r="J541" i="3" s="1"/>
  <c r="AH540" i="3"/>
  <c r="AI540" i="3" s="1"/>
  <c r="AF540" i="3"/>
  <c r="AE540" i="3"/>
  <c r="AC540" i="3"/>
  <c r="AD540" i="3" s="1"/>
  <c r="AB540" i="3"/>
  <c r="AA540" i="3"/>
  <c r="Y540" i="3"/>
  <c r="Z540" i="3" s="1"/>
  <c r="W540" i="3"/>
  <c r="V540" i="3"/>
  <c r="T540" i="3"/>
  <c r="U540" i="3" s="1"/>
  <c r="S540" i="3"/>
  <c r="R540" i="3"/>
  <c r="P540" i="3"/>
  <c r="Q540" i="3" s="1"/>
  <c r="O540" i="3"/>
  <c r="N540" i="3"/>
  <c r="L540" i="3"/>
  <c r="M540" i="3" s="1"/>
  <c r="I540" i="3"/>
  <c r="J540" i="3" s="1"/>
  <c r="AH539" i="3"/>
  <c r="AI539" i="3" s="1"/>
  <c r="AF539" i="3"/>
  <c r="AE539" i="3"/>
  <c r="AC539" i="3"/>
  <c r="AD539" i="3" s="1"/>
  <c r="AB539" i="3"/>
  <c r="AA539" i="3"/>
  <c r="Y539" i="3"/>
  <c r="Z539" i="3" s="1"/>
  <c r="W539" i="3"/>
  <c r="V539" i="3"/>
  <c r="T539" i="3"/>
  <c r="U539" i="3" s="1"/>
  <c r="S539" i="3"/>
  <c r="R539" i="3"/>
  <c r="P539" i="3"/>
  <c r="Q539" i="3" s="1"/>
  <c r="O539" i="3"/>
  <c r="N539" i="3"/>
  <c r="L539" i="3"/>
  <c r="M539" i="3" s="1"/>
  <c r="I539" i="3"/>
  <c r="J539" i="3" s="1"/>
  <c r="AH538" i="3"/>
  <c r="AI538" i="3" s="1"/>
  <c r="AF538" i="3"/>
  <c r="AE538" i="3"/>
  <c r="AC538" i="3"/>
  <c r="AD538" i="3" s="1"/>
  <c r="AB538" i="3"/>
  <c r="AA538" i="3"/>
  <c r="Y538" i="3"/>
  <c r="Z538" i="3" s="1"/>
  <c r="W538" i="3"/>
  <c r="V538" i="3"/>
  <c r="T538" i="3"/>
  <c r="U538" i="3" s="1"/>
  <c r="S538" i="3"/>
  <c r="R538" i="3"/>
  <c r="P538" i="3"/>
  <c r="Q538" i="3" s="1"/>
  <c r="O538" i="3"/>
  <c r="N538" i="3"/>
  <c r="L538" i="3"/>
  <c r="M538" i="3" s="1"/>
  <c r="I538" i="3"/>
  <c r="J538" i="3" s="1"/>
  <c r="AH537" i="3"/>
  <c r="AI537" i="3" s="1"/>
  <c r="AF537" i="3"/>
  <c r="AE537" i="3"/>
  <c r="AC537" i="3"/>
  <c r="AD537" i="3" s="1"/>
  <c r="AB537" i="3"/>
  <c r="AA537" i="3"/>
  <c r="Y537" i="3"/>
  <c r="Z537" i="3" s="1"/>
  <c r="W537" i="3"/>
  <c r="V537" i="3"/>
  <c r="T537" i="3"/>
  <c r="U537" i="3" s="1"/>
  <c r="S537" i="3"/>
  <c r="R537" i="3"/>
  <c r="P537" i="3"/>
  <c r="Q537" i="3" s="1"/>
  <c r="O537" i="3"/>
  <c r="N537" i="3"/>
  <c r="L537" i="3"/>
  <c r="M537" i="3" s="1"/>
  <c r="I537" i="3"/>
  <c r="J537" i="3" s="1"/>
  <c r="AH536" i="3"/>
  <c r="AI536" i="3" s="1"/>
  <c r="AF536" i="3"/>
  <c r="AE536" i="3"/>
  <c r="AC536" i="3"/>
  <c r="AD536" i="3" s="1"/>
  <c r="AB536" i="3"/>
  <c r="AA536" i="3"/>
  <c r="Y536" i="3"/>
  <c r="Z536" i="3" s="1"/>
  <c r="W536" i="3"/>
  <c r="V536" i="3"/>
  <c r="T536" i="3"/>
  <c r="U536" i="3" s="1"/>
  <c r="S536" i="3"/>
  <c r="R536" i="3"/>
  <c r="P536" i="3"/>
  <c r="Q536" i="3" s="1"/>
  <c r="O536" i="3"/>
  <c r="N536" i="3"/>
  <c r="L536" i="3"/>
  <c r="M536" i="3" s="1"/>
  <c r="I536" i="3"/>
  <c r="J536" i="3" s="1"/>
  <c r="AH535" i="3"/>
  <c r="AI535" i="3" s="1"/>
  <c r="AF535" i="3"/>
  <c r="AE535" i="3"/>
  <c r="AC535" i="3"/>
  <c r="AD535" i="3" s="1"/>
  <c r="AB535" i="3"/>
  <c r="AA535" i="3"/>
  <c r="Y535" i="3"/>
  <c r="Z535" i="3" s="1"/>
  <c r="W535" i="3"/>
  <c r="V535" i="3"/>
  <c r="T535" i="3"/>
  <c r="U535" i="3" s="1"/>
  <c r="S535" i="3"/>
  <c r="R535" i="3"/>
  <c r="P535" i="3"/>
  <c r="Q535" i="3" s="1"/>
  <c r="O535" i="3"/>
  <c r="N535" i="3"/>
  <c r="L535" i="3"/>
  <c r="M535" i="3" s="1"/>
  <c r="I535" i="3"/>
  <c r="J535" i="3" s="1"/>
  <c r="AH534" i="3"/>
  <c r="AI534" i="3" s="1"/>
  <c r="AF534" i="3"/>
  <c r="AE534" i="3"/>
  <c r="AC534" i="3"/>
  <c r="AD534" i="3" s="1"/>
  <c r="AB534" i="3"/>
  <c r="AA534" i="3"/>
  <c r="Y534" i="3"/>
  <c r="Z534" i="3" s="1"/>
  <c r="W534" i="3"/>
  <c r="V534" i="3"/>
  <c r="T534" i="3"/>
  <c r="U534" i="3" s="1"/>
  <c r="S534" i="3"/>
  <c r="R534" i="3"/>
  <c r="P534" i="3"/>
  <c r="Q534" i="3" s="1"/>
  <c r="O534" i="3"/>
  <c r="N534" i="3"/>
  <c r="L534" i="3"/>
  <c r="M534" i="3" s="1"/>
  <c r="I534" i="3"/>
  <c r="J534" i="3" s="1"/>
  <c r="AH533" i="3"/>
  <c r="AI533" i="3" s="1"/>
  <c r="AF533" i="3"/>
  <c r="AE533" i="3"/>
  <c r="AC533" i="3"/>
  <c r="AD533" i="3" s="1"/>
  <c r="AB533" i="3"/>
  <c r="AA533" i="3"/>
  <c r="Y533" i="3"/>
  <c r="Z533" i="3" s="1"/>
  <c r="W533" i="3"/>
  <c r="V533" i="3"/>
  <c r="T533" i="3"/>
  <c r="U533" i="3" s="1"/>
  <c r="S533" i="3"/>
  <c r="R533" i="3"/>
  <c r="P533" i="3"/>
  <c r="Q533" i="3" s="1"/>
  <c r="O533" i="3"/>
  <c r="N533" i="3"/>
  <c r="L533" i="3"/>
  <c r="M533" i="3" s="1"/>
  <c r="I533" i="3"/>
  <c r="J533" i="3" s="1"/>
  <c r="AH532" i="3"/>
  <c r="AI532" i="3" s="1"/>
  <c r="AF532" i="3"/>
  <c r="AE532" i="3"/>
  <c r="AC532" i="3"/>
  <c r="AD532" i="3" s="1"/>
  <c r="AB532" i="3"/>
  <c r="AA532" i="3"/>
  <c r="Y532" i="3"/>
  <c r="Z532" i="3" s="1"/>
  <c r="W532" i="3"/>
  <c r="V532" i="3"/>
  <c r="T532" i="3"/>
  <c r="U532" i="3" s="1"/>
  <c r="S532" i="3"/>
  <c r="R532" i="3"/>
  <c r="P532" i="3"/>
  <c r="Q532" i="3" s="1"/>
  <c r="O532" i="3"/>
  <c r="N532" i="3"/>
  <c r="L532" i="3"/>
  <c r="M532" i="3" s="1"/>
  <c r="I532" i="3"/>
  <c r="J532" i="3" s="1"/>
  <c r="AH531" i="3"/>
  <c r="AI531" i="3" s="1"/>
  <c r="AF531" i="3"/>
  <c r="AE531" i="3"/>
  <c r="AC531" i="3"/>
  <c r="AD531" i="3" s="1"/>
  <c r="AB531" i="3"/>
  <c r="AA531" i="3"/>
  <c r="Y531" i="3"/>
  <c r="Z531" i="3" s="1"/>
  <c r="W531" i="3"/>
  <c r="V531" i="3"/>
  <c r="T531" i="3"/>
  <c r="U531" i="3" s="1"/>
  <c r="S531" i="3"/>
  <c r="R531" i="3"/>
  <c r="P531" i="3"/>
  <c r="Q531" i="3" s="1"/>
  <c r="O531" i="3"/>
  <c r="N531" i="3"/>
  <c r="L531" i="3"/>
  <c r="M531" i="3" s="1"/>
  <c r="I531" i="3"/>
  <c r="J531" i="3" s="1"/>
  <c r="AH530" i="3"/>
  <c r="AI530" i="3" s="1"/>
  <c r="AF530" i="3"/>
  <c r="AE530" i="3"/>
  <c r="AC530" i="3"/>
  <c r="AD530" i="3" s="1"/>
  <c r="AB530" i="3"/>
  <c r="AA530" i="3"/>
  <c r="Y530" i="3"/>
  <c r="Z530" i="3" s="1"/>
  <c r="W530" i="3"/>
  <c r="V530" i="3"/>
  <c r="T530" i="3"/>
  <c r="U530" i="3" s="1"/>
  <c r="S530" i="3"/>
  <c r="R530" i="3"/>
  <c r="P530" i="3"/>
  <c r="Q530" i="3" s="1"/>
  <c r="O530" i="3"/>
  <c r="N530" i="3"/>
  <c r="L530" i="3"/>
  <c r="M530" i="3" s="1"/>
  <c r="I530" i="3"/>
  <c r="J530" i="3" s="1"/>
  <c r="AH529" i="3"/>
  <c r="AI529" i="3" s="1"/>
  <c r="AF529" i="3"/>
  <c r="AE529" i="3"/>
  <c r="AC529" i="3"/>
  <c r="AD529" i="3" s="1"/>
  <c r="AB529" i="3"/>
  <c r="AA529" i="3"/>
  <c r="Y529" i="3"/>
  <c r="Z529" i="3" s="1"/>
  <c r="W529" i="3"/>
  <c r="V529" i="3"/>
  <c r="T529" i="3"/>
  <c r="U529" i="3" s="1"/>
  <c r="S529" i="3"/>
  <c r="R529" i="3"/>
  <c r="P529" i="3"/>
  <c r="Q529" i="3" s="1"/>
  <c r="O529" i="3"/>
  <c r="N529" i="3"/>
  <c r="L529" i="3"/>
  <c r="M529" i="3" s="1"/>
  <c r="I529" i="3"/>
  <c r="J529" i="3" s="1"/>
  <c r="AH528" i="3"/>
  <c r="AI528" i="3" s="1"/>
  <c r="AF528" i="3"/>
  <c r="AE528" i="3"/>
  <c r="AC528" i="3"/>
  <c r="AD528" i="3" s="1"/>
  <c r="AB528" i="3"/>
  <c r="AA528" i="3"/>
  <c r="Y528" i="3"/>
  <c r="Z528" i="3" s="1"/>
  <c r="W528" i="3"/>
  <c r="V528" i="3"/>
  <c r="T528" i="3"/>
  <c r="U528" i="3" s="1"/>
  <c r="S528" i="3"/>
  <c r="R528" i="3"/>
  <c r="P528" i="3"/>
  <c r="Q528" i="3" s="1"/>
  <c r="O528" i="3"/>
  <c r="N528" i="3"/>
  <c r="L528" i="3"/>
  <c r="M528" i="3" s="1"/>
  <c r="I528" i="3"/>
  <c r="J528" i="3" s="1"/>
  <c r="AH527" i="3"/>
  <c r="AI527" i="3" s="1"/>
  <c r="AF527" i="3"/>
  <c r="AE527" i="3"/>
  <c r="AC527" i="3"/>
  <c r="AD527" i="3" s="1"/>
  <c r="AB527" i="3"/>
  <c r="AA527" i="3"/>
  <c r="Y527" i="3"/>
  <c r="Z527" i="3" s="1"/>
  <c r="W527" i="3"/>
  <c r="V527" i="3"/>
  <c r="T527" i="3"/>
  <c r="U527" i="3" s="1"/>
  <c r="S527" i="3"/>
  <c r="R527" i="3"/>
  <c r="P527" i="3"/>
  <c r="Q527" i="3" s="1"/>
  <c r="O527" i="3"/>
  <c r="N527" i="3"/>
  <c r="L527" i="3"/>
  <c r="M527" i="3" s="1"/>
  <c r="I527" i="3"/>
  <c r="J527" i="3" s="1"/>
  <c r="AH526" i="3"/>
  <c r="AI526" i="3" s="1"/>
  <c r="AF526" i="3"/>
  <c r="AE526" i="3"/>
  <c r="AC526" i="3"/>
  <c r="AD526" i="3" s="1"/>
  <c r="AB526" i="3"/>
  <c r="AA526" i="3"/>
  <c r="Y526" i="3"/>
  <c r="Z526" i="3" s="1"/>
  <c r="W526" i="3"/>
  <c r="V526" i="3"/>
  <c r="T526" i="3"/>
  <c r="U526" i="3" s="1"/>
  <c r="S526" i="3"/>
  <c r="R526" i="3"/>
  <c r="P526" i="3"/>
  <c r="Q526" i="3" s="1"/>
  <c r="O526" i="3"/>
  <c r="N526" i="3"/>
  <c r="L526" i="3"/>
  <c r="M526" i="3" s="1"/>
  <c r="I526" i="3"/>
  <c r="J526" i="3" s="1"/>
  <c r="AH525" i="3"/>
  <c r="AI525" i="3" s="1"/>
  <c r="AF525" i="3"/>
  <c r="AE525" i="3"/>
  <c r="AC525" i="3"/>
  <c r="AD525" i="3" s="1"/>
  <c r="AB525" i="3"/>
  <c r="AA525" i="3"/>
  <c r="Y525" i="3"/>
  <c r="Z525" i="3" s="1"/>
  <c r="W525" i="3"/>
  <c r="V525" i="3"/>
  <c r="T525" i="3"/>
  <c r="U525" i="3" s="1"/>
  <c r="S525" i="3"/>
  <c r="R525" i="3"/>
  <c r="P525" i="3"/>
  <c r="Q525" i="3" s="1"/>
  <c r="O525" i="3"/>
  <c r="N525" i="3"/>
  <c r="L525" i="3"/>
  <c r="M525" i="3" s="1"/>
  <c r="I525" i="3"/>
  <c r="J525" i="3" s="1"/>
  <c r="AH524" i="3"/>
  <c r="AI524" i="3" s="1"/>
  <c r="AF524" i="3"/>
  <c r="AE524" i="3"/>
  <c r="AC524" i="3"/>
  <c r="AD524" i="3" s="1"/>
  <c r="AB524" i="3"/>
  <c r="AA524" i="3"/>
  <c r="Y524" i="3"/>
  <c r="Z524" i="3" s="1"/>
  <c r="W524" i="3"/>
  <c r="V524" i="3"/>
  <c r="T524" i="3"/>
  <c r="U524" i="3" s="1"/>
  <c r="S524" i="3"/>
  <c r="R524" i="3"/>
  <c r="P524" i="3"/>
  <c r="Q524" i="3" s="1"/>
  <c r="O524" i="3"/>
  <c r="N524" i="3"/>
  <c r="L524" i="3"/>
  <c r="M524" i="3" s="1"/>
  <c r="I524" i="3"/>
  <c r="J524" i="3" s="1"/>
  <c r="AH523" i="3"/>
  <c r="AI523" i="3" s="1"/>
  <c r="AF523" i="3"/>
  <c r="AE523" i="3"/>
  <c r="AC523" i="3"/>
  <c r="AD523" i="3" s="1"/>
  <c r="AB523" i="3"/>
  <c r="AA523" i="3"/>
  <c r="Y523" i="3"/>
  <c r="Z523" i="3" s="1"/>
  <c r="W523" i="3"/>
  <c r="V523" i="3"/>
  <c r="T523" i="3"/>
  <c r="U523" i="3" s="1"/>
  <c r="S523" i="3"/>
  <c r="R523" i="3"/>
  <c r="P523" i="3"/>
  <c r="Q523" i="3" s="1"/>
  <c r="O523" i="3"/>
  <c r="N523" i="3"/>
  <c r="L523" i="3"/>
  <c r="M523" i="3" s="1"/>
  <c r="I523" i="3"/>
  <c r="J523" i="3" s="1"/>
  <c r="AH522" i="3"/>
  <c r="AI522" i="3" s="1"/>
  <c r="AF522" i="3"/>
  <c r="AE522" i="3"/>
  <c r="AC522" i="3"/>
  <c r="AD522" i="3" s="1"/>
  <c r="AB522" i="3"/>
  <c r="AA522" i="3"/>
  <c r="Y522" i="3"/>
  <c r="Z522" i="3" s="1"/>
  <c r="W522" i="3"/>
  <c r="V522" i="3"/>
  <c r="T522" i="3"/>
  <c r="U522" i="3" s="1"/>
  <c r="S522" i="3"/>
  <c r="R522" i="3"/>
  <c r="P522" i="3"/>
  <c r="Q522" i="3" s="1"/>
  <c r="O522" i="3"/>
  <c r="N522" i="3"/>
  <c r="L522" i="3"/>
  <c r="M522" i="3" s="1"/>
  <c r="I522" i="3"/>
  <c r="J522" i="3" s="1"/>
  <c r="AH521" i="3"/>
  <c r="AI521" i="3" s="1"/>
  <c r="AF521" i="3"/>
  <c r="AE521" i="3"/>
  <c r="AC521" i="3"/>
  <c r="AD521" i="3" s="1"/>
  <c r="AB521" i="3"/>
  <c r="AA521" i="3"/>
  <c r="Y521" i="3"/>
  <c r="Z521" i="3" s="1"/>
  <c r="W521" i="3"/>
  <c r="V521" i="3"/>
  <c r="T521" i="3"/>
  <c r="U521" i="3" s="1"/>
  <c r="S521" i="3"/>
  <c r="R521" i="3"/>
  <c r="P521" i="3"/>
  <c r="Q521" i="3" s="1"/>
  <c r="O521" i="3"/>
  <c r="N521" i="3"/>
  <c r="L521" i="3"/>
  <c r="M521" i="3" s="1"/>
  <c r="I521" i="3"/>
  <c r="J521" i="3" s="1"/>
  <c r="AH520" i="3"/>
  <c r="AI520" i="3" s="1"/>
  <c r="AF520" i="3"/>
  <c r="AE520" i="3"/>
  <c r="AC520" i="3"/>
  <c r="AD520" i="3" s="1"/>
  <c r="AB520" i="3"/>
  <c r="AA520" i="3"/>
  <c r="Y520" i="3"/>
  <c r="Z520" i="3" s="1"/>
  <c r="W520" i="3"/>
  <c r="V520" i="3"/>
  <c r="T520" i="3"/>
  <c r="U520" i="3" s="1"/>
  <c r="S520" i="3"/>
  <c r="R520" i="3"/>
  <c r="P520" i="3"/>
  <c r="Q520" i="3" s="1"/>
  <c r="O520" i="3"/>
  <c r="N520" i="3"/>
  <c r="L520" i="3"/>
  <c r="M520" i="3" s="1"/>
  <c r="I520" i="3"/>
  <c r="J520" i="3" s="1"/>
  <c r="AH519" i="3"/>
  <c r="AI519" i="3" s="1"/>
  <c r="AF519" i="3"/>
  <c r="AE519" i="3"/>
  <c r="AC519" i="3"/>
  <c r="AD519" i="3" s="1"/>
  <c r="AB519" i="3"/>
  <c r="AA519" i="3"/>
  <c r="Y519" i="3"/>
  <c r="Z519" i="3" s="1"/>
  <c r="W519" i="3"/>
  <c r="V519" i="3"/>
  <c r="T519" i="3"/>
  <c r="U519" i="3" s="1"/>
  <c r="S519" i="3"/>
  <c r="R519" i="3"/>
  <c r="P519" i="3"/>
  <c r="Q519" i="3" s="1"/>
  <c r="O519" i="3"/>
  <c r="N519" i="3"/>
  <c r="L519" i="3"/>
  <c r="M519" i="3" s="1"/>
  <c r="I519" i="3"/>
  <c r="J519" i="3" s="1"/>
  <c r="AH518" i="3"/>
  <c r="AI518" i="3" s="1"/>
  <c r="AF518" i="3"/>
  <c r="AE518" i="3"/>
  <c r="AC518" i="3"/>
  <c r="AD518" i="3" s="1"/>
  <c r="AB518" i="3"/>
  <c r="AA518" i="3"/>
  <c r="Y518" i="3"/>
  <c r="Z518" i="3" s="1"/>
  <c r="W518" i="3"/>
  <c r="V518" i="3"/>
  <c r="T518" i="3"/>
  <c r="U518" i="3" s="1"/>
  <c r="S518" i="3"/>
  <c r="R518" i="3"/>
  <c r="P518" i="3"/>
  <c r="Q518" i="3" s="1"/>
  <c r="O518" i="3"/>
  <c r="N518" i="3"/>
  <c r="L518" i="3"/>
  <c r="M518" i="3" s="1"/>
  <c r="I518" i="3"/>
  <c r="J518" i="3" s="1"/>
  <c r="AH517" i="3"/>
  <c r="AI517" i="3" s="1"/>
  <c r="AF517" i="3"/>
  <c r="AE517" i="3"/>
  <c r="AC517" i="3"/>
  <c r="AD517" i="3" s="1"/>
  <c r="AB517" i="3"/>
  <c r="AA517" i="3"/>
  <c r="Y517" i="3"/>
  <c r="Z517" i="3" s="1"/>
  <c r="W517" i="3"/>
  <c r="V517" i="3"/>
  <c r="T517" i="3"/>
  <c r="U517" i="3" s="1"/>
  <c r="S517" i="3"/>
  <c r="R517" i="3"/>
  <c r="P517" i="3"/>
  <c r="Q517" i="3" s="1"/>
  <c r="O517" i="3"/>
  <c r="N517" i="3"/>
  <c r="L517" i="3"/>
  <c r="M517" i="3" s="1"/>
  <c r="I517" i="3"/>
  <c r="J517" i="3" s="1"/>
  <c r="AH516" i="3"/>
  <c r="AI516" i="3" s="1"/>
  <c r="AF516" i="3"/>
  <c r="AE516" i="3"/>
  <c r="AC516" i="3"/>
  <c r="AD516" i="3" s="1"/>
  <c r="AB516" i="3"/>
  <c r="AA516" i="3"/>
  <c r="Y516" i="3"/>
  <c r="Z516" i="3" s="1"/>
  <c r="W516" i="3"/>
  <c r="V516" i="3"/>
  <c r="T516" i="3"/>
  <c r="U516" i="3" s="1"/>
  <c r="S516" i="3"/>
  <c r="R516" i="3"/>
  <c r="P516" i="3"/>
  <c r="Q516" i="3" s="1"/>
  <c r="O516" i="3"/>
  <c r="N516" i="3"/>
  <c r="L516" i="3"/>
  <c r="M516" i="3" s="1"/>
  <c r="I516" i="3"/>
  <c r="J516" i="3" s="1"/>
  <c r="AH515" i="3"/>
  <c r="AI515" i="3" s="1"/>
  <c r="AF515" i="3"/>
  <c r="AE515" i="3"/>
  <c r="AC515" i="3"/>
  <c r="AD515" i="3" s="1"/>
  <c r="AB515" i="3"/>
  <c r="AA515" i="3"/>
  <c r="Y515" i="3"/>
  <c r="Z515" i="3" s="1"/>
  <c r="W515" i="3"/>
  <c r="V515" i="3"/>
  <c r="T515" i="3"/>
  <c r="U515" i="3" s="1"/>
  <c r="S515" i="3"/>
  <c r="R515" i="3"/>
  <c r="P515" i="3"/>
  <c r="Q515" i="3" s="1"/>
  <c r="O515" i="3"/>
  <c r="N515" i="3"/>
  <c r="L515" i="3"/>
  <c r="M515" i="3" s="1"/>
  <c r="I515" i="3"/>
  <c r="J515" i="3" s="1"/>
  <c r="AH514" i="3"/>
  <c r="AI514" i="3" s="1"/>
  <c r="AF514" i="3"/>
  <c r="AE514" i="3"/>
  <c r="AC514" i="3"/>
  <c r="AD514" i="3" s="1"/>
  <c r="AB514" i="3"/>
  <c r="AA514" i="3"/>
  <c r="Y514" i="3"/>
  <c r="Z514" i="3" s="1"/>
  <c r="W514" i="3"/>
  <c r="V514" i="3"/>
  <c r="T514" i="3"/>
  <c r="U514" i="3" s="1"/>
  <c r="S514" i="3"/>
  <c r="R514" i="3"/>
  <c r="P514" i="3"/>
  <c r="Q514" i="3" s="1"/>
  <c r="O514" i="3"/>
  <c r="N514" i="3"/>
  <c r="L514" i="3"/>
  <c r="M514" i="3" s="1"/>
  <c r="I514" i="3"/>
  <c r="J514" i="3" s="1"/>
  <c r="AH513" i="3"/>
  <c r="AI513" i="3" s="1"/>
  <c r="AF513" i="3"/>
  <c r="AE513" i="3"/>
  <c r="AC513" i="3"/>
  <c r="AD513" i="3" s="1"/>
  <c r="AB513" i="3"/>
  <c r="AA513" i="3"/>
  <c r="Y513" i="3"/>
  <c r="Z513" i="3" s="1"/>
  <c r="W513" i="3"/>
  <c r="V513" i="3"/>
  <c r="T513" i="3"/>
  <c r="U513" i="3" s="1"/>
  <c r="S513" i="3"/>
  <c r="R513" i="3"/>
  <c r="P513" i="3"/>
  <c r="Q513" i="3" s="1"/>
  <c r="O513" i="3"/>
  <c r="N513" i="3"/>
  <c r="L513" i="3"/>
  <c r="M513" i="3" s="1"/>
  <c r="I513" i="3"/>
  <c r="J513" i="3" s="1"/>
  <c r="AH512" i="3"/>
  <c r="AI512" i="3" s="1"/>
  <c r="AF512" i="3"/>
  <c r="AE512" i="3"/>
  <c r="AC512" i="3"/>
  <c r="AD512" i="3" s="1"/>
  <c r="AB512" i="3"/>
  <c r="AA512" i="3"/>
  <c r="Y512" i="3"/>
  <c r="Z512" i="3" s="1"/>
  <c r="W512" i="3"/>
  <c r="V512" i="3"/>
  <c r="T512" i="3"/>
  <c r="U512" i="3" s="1"/>
  <c r="S512" i="3"/>
  <c r="R512" i="3"/>
  <c r="P512" i="3"/>
  <c r="Q512" i="3" s="1"/>
  <c r="O512" i="3"/>
  <c r="N512" i="3"/>
  <c r="L512" i="3"/>
  <c r="M512" i="3" s="1"/>
  <c r="I512" i="3"/>
  <c r="J512" i="3" s="1"/>
  <c r="AH511" i="3"/>
  <c r="AI511" i="3" s="1"/>
  <c r="AF511" i="3"/>
  <c r="AE511" i="3"/>
  <c r="AC511" i="3"/>
  <c r="AD511" i="3" s="1"/>
  <c r="AB511" i="3"/>
  <c r="AA511" i="3"/>
  <c r="Y511" i="3"/>
  <c r="Z511" i="3" s="1"/>
  <c r="W511" i="3"/>
  <c r="V511" i="3"/>
  <c r="T511" i="3"/>
  <c r="U511" i="3" s="1"/>
  <c r="S511" i="3"/>
  <c r="R511" i="3"/>
  <c r="P511" i="3"/>
  <c r="Q511" i="3" s="1"/>
  <c r="O511" i="3"/>
  <c r="N511" i="3"/>
  <c r="L511" i="3"/>
  <c r="M511" i="3" s="1"/>
  <c r="I511" i="3"/>
  <c r="J511" i="3" s="1"/>
  <c r="AH510" i="3"/>
  <c r="AI510" i="3" s="1"/>
  <c r="AF510" i="3"/>
  <c r="AE510" i="3"/>
  <c r="AC510" i="3"/>
  <c r="AD510" i="3" s="1"/>
  <c r="AB510" i="3"/>
  <c r="AA510" i="3"/>
  <c r="Y510" i="3"/>
  <c r="Z510" i="3" s="1"/>
  <c r="W510" i="3"/>
  <c r="V510" i="3"/>
  <c r="T510" i="3"/>
  <c r="U510" i="3" s="1"/>
  <c r="S510" i="3"/>
  <c r="R510" i="3"/>
  <c r="P510" i="3"/>
  <c r="Q510" i="3" s="1"/>
  <c r="O510" i="3"/>
  <c r="N510" i="3"/>
  <c r="L510" i="3"/>
  <c r="M510" i="3" s="1"/>
  <c r="I510" i="3"/>
  <c r="J510" i="3" s="1"/>
  <c r="AH509" i="3"/>
  <c r="AI509" i="3" s="1"/>
  <c r="AF509" i="3"/>
  <c r="AE509" i="3"/>
  <c r="AC509" i="3"/>
  <c r="AD509" i="3" s="1"/>
  <c r="AB509" i="3"/>
  <c r="AA509" i="3"/>
  <c r="Y509" i="3"/>
  <c r="Z509" i="3" s="1"/>
  <c r="W509" i="3"/>
  <c r="V509" i="3"/>
  <c r="T509" i="3"/>
  <c r="U509" i="3" s="1"/>
  <c r="S509" i="3"/>
  <c r="R509" i="3"/>
  <c r="P509" i="3"/>
  <c r="Q509" i="3" s="1"/>
  <c r="O509" i="3"/>
  <c r="N509" i="3"/>
  <c r="L509" i="3"/>
  <c r="M509" i="3" s="1"/>
  <c r="I509" i="3"/>
  <c r="J509" i="3" s="1"/>
  <c r="AH508" i="3"/>
  <c r="AI508" i="3" s="1"/>
  <c r="AF508" i="3"/>
  <c r="AE508" i="3"/>
  <c r="AC508" i="3"/>
  <c r="AD508" i="3" s="1"/>
  <c r="AB508" i="3"/>
  <c r="AA508" i="3"/>
  <c r="Y508" i="3"/>
  <c r="Z508" i="3" s="1"/>
  <c r="W508" i="3"/>
  <c r="V508" i="3"/>
  <c r="T508" i="3"/>
  <c r="U508" i="3" s="1"/>
  <c r="S508" i="3"/>
  <c r="R508" i="3"/>
  <c r="P508" i="3"/>
  <c r="Q508" i="3" s="1"/>
  <c r="O508" i="3"/>
  <c r="N508" i="3"/>
  <c r="L508" i="3"/>
  <c r="M508" i="3" s="1"/>
  <c r="I508" i="3"/>
  <c r="J508" i="3" s="1"/>
  <c r="AH507" i="3"/>
  <c r="AI507" i="3" s="1"/>
  <c r="AF507" i="3"/>
  <c r="AE507" i="3"/>
  <c r="AC507" i="3"/>
  <c r="AD507" i="3" s="1"/>
  <c r="AB507" i="3"/>
  <c r="AA507" i="3"/>
  <c r="Y507" i="3"/>
  <c r="Z507" i="3" s="1"/>
  <c r="W507" i="3"/>
  <c r="V507" i="3"/>
  <c r="T507" i="3"/>
  <c r="U507" i="3" s="1"/>
  <c r="S507" i="3"/>
  <c r="R507" i="3"/>
  <c r="P507" i="3"/>
  <c r="Q507" i="3" s="1"/>
  <c r="O507" i="3"/>
  <c r="N507" i="3"/>
  <c r="L507" i="3"/>
  <c r="M507" i="3" s="1"/>
  <c r="I507" i="3"/>
  <c r="J507" i="3" s="1"/>
  <c r="AH506" i="3"/>
  <c r="AI506" i="3" s="1"/>
  <c r="AF506" i="3"/>
  <c r="AE506" i="3"/>
  <c r="AC506" i="3"/>
  <c r="AD506" i="3" s="1"/>
  <c r="AB506" i="3"/>
  <c r="AA506" i="3"/>
  <c r="Y506" i="3"/>
  <c r="Z506" i="3" s="1"/>
  <c r="W506" i="3"/>
  <c r="V506" i="3"/>
  <c r="T506" i="3"/>
  <c r="U506" i="3" s="1"/>
  <c r="S506" i="3"/>
  <c r="R506" i="3"/>
  <c r="P506" i="3"/>
  <c r="Q506" i="3" s="1"/>
  <c r="O506" i="3"/>
  <c r="N506" i="3"/>
  <c r="L506" i="3"/>
  <c r="M506" i="3" s="1"/>
  <c r="I506" i="3"/>
  <c r="J506" i="3" s="1"/>
  <c r="AH505" i="3"/>
  <c r="AI505" i="3" s="1"/>
  <c r="AF505" i="3"/>
  <c r="AE505" i="3"/>
  <c r="AC505" i="3"/>
  <c r="AD505" i="3" s="1"/>
  <c r="AB505" i="3"/>
  <c r="AA505" i="3"/>
  <c r="Y505" i="3"/>
  <c r="Z505" i="3" s="1"/>
  <c r="W505" i="3"/>
  <c r="V505" i="3"/>
  <c r="T505" i="3"/>
  <c r="U505" i="3" s="1"/>
  <c r="S505" i="3"/>
  <c r="R505" i="3"/>
  <c r="P505" i="3"/>
  <c r="Q505" i="3" s="1"/>
  <c r="O505" i="3"/>
  <c r="N505" i="3"/>
  <c r="L505" i="3"/>
  <c r="M505" i="3" s="1"/>
  <c r="I505" i="3"/>
  <c r="J505" i="3" s="1"/>
  <c r="AH504" i="3"/>
  <c r="AI504" i="3" s="1"/>
  <c r="AF504" i="3"/>
  <c r="AE504" i="3"/>
  <c r="AC504" i="3"/>
  <c r="AD504" i="3" s="1"/>
  <c r="AB504" i="3"/>
  <c r="AA504" i="3"/>
  <c r="Y504" i="3"/>
  <c r="Z504" i="3" s="1"/>
  <c r="W504" i="3"/>
  <c r="V504" i="3"/>
  <c r="T504" i="3"/>
  <c r="U504" i="3" s="1"/>
  <c r="S504" i="3"/>
  <c r="R504" i="3"/>
  <c r="P504" i="3"/>
  <c r="Q504" i="3" s="1"/>
  <c r="O504" i="3"/>
  <c r="N504" i="3"/>
  <c r="L504" i="3"/>
  <c r="M504" i="3" s="1"/>
  <c r="I504" i="3"/>
  <c r="J504" i="3" s="1"/>
  <c r="AH503" i="3"/>
  <c r="AI503" i="3" s="1"/>
  <c r="AF503" i="3"/>
  <c r="AE503" i="3"/>
  <c r="AC503" i="3"/>
  <c r="AD503" i="3" s="1"/>
  <c r="AB503" i="3"/>
  <c r="AA503" i="3"/>
  <c r="Y503" i="3"/>
  <c r="Z503" i="3" s="1"/>
  <c r="W503" i="3"/>
  <c r="V503" i="3"/>
  <c r="T503" i="3"/>
  <c r="U503" i="3" s="1"/>
  <c r="S503" i="3"/>
  <c r="R503" i="3"/>
  <c r="P503" i="3"/>
  <c r="Q503" i="3" s="1"/>
  <c r="O503" i="3"/>
  <c r="N503" i="3"/>
  <c r="L503" i="3"/>
  <c r="M503" i="3" s="1"/>
  <c r="I503" i="3"/>
  <c r="J503" i="3" s="1"/>
  <c r="AH502" i="3"/>
  <c r="AI502" i="3" s="1"/>
  <c r="AF502" i="3"/>
  <c r="AE502" i="3"/>
  <c r="AC502" i="3"/>
  <c r="AD502" i="3" s="1"/>
  <c r="AB502" i="3"/>
  <c r="AA502" i="3"/>
  <c r="Y502" i="3"/>
  <c r="Z502" i="3" s="1"/>
  <c r="W502" i="3"/>
  <c r="V502" i="3"/>
  <c r="T502" i="3"/>
  <c r="U502" i="3" s="1"/>
  <c r="S502" i="3"/>
  <c r="R502" i="3"/>
  <c r="P502" i="3"/>
  <c r="Q502" i="3" s="1"/>
  <c r="O502" i="3"/>
  <c r="N502" i="3"/>
  <c r="L502" i="3"/>
  <c r="M502" i="3" s="1"/>
  <c r="I502" i="3"/>
  <c r="J502" i="3" s="1"/>
  <c r="AH501" i="3"/>
  <c r="AI501" i="3" s="1"/>
  <c r="AF501" i="3"/>
  <c r="AE501" i="3"/>
  <c r="AC501" i="3"/>
  <c r="AD501" i="3" s="1"/>
  <c r="AB501" i="3"/>
  <c r="AA501" i="3"/>
  <c r="Y501" i="3"/>
  <c r="Z501" i="3" s="1"/>
  <c r="W501" i="3"/>
  <c r="V501" i="3"/>
  <c r="T501" i="3"/>
  <c r="U501" i="3" s="1"/>
  <c r="S501" i="3"/>
  <c r="R501" i="3"/>
  <c r="P501" i="3"/>
  <c r="Q501" i="3" s="1"/>
  <c r="O501" i="3"/>
  <c r="N501" i="3"/>
  <c r="L501" i="3"/>
  <c r="M501" i="3" s="1"/>
  <c r="I501" i="3"/>
  <c r="J501" i="3" s="1"/>
  <c r="AH500" i="3"/>
  <c r="AI500" i="3" s="1"/>
  <c r="AF500" i="3"/>
  <c r="AE500" i="3"/>
  <c r="AC500" i="3"/>
  <c r="AD500" i="3" s="1"/>
  <c r="AB500" i="3"/>
  <c r="AA500" i="3"/>
  <c r="Y500" i="3"/>
  <c r="Z500" i="3" s="1"/>
  <c r="W500" i="3"/>
  <c r="V500" i="3"/>
  <c r="T500" i="3"/>
  <c r="U500" i="3" s="1"/>
  <c r="S500" i="3"/>
  <c r="R500" i="3"/>
  <c r="P500" i="3"/>
  <c r="Q500" i="3" s="1"/>
  <c r="O500" i="3"/>
  <c r="N500" i="3"/>
  <c r="L500" i="3"/>
  <c r="M500" i="3" s="1"/>
  <c r="I500" i="3"/>
  <c r="J500" i="3" s="1"/>
  <c r="AH499" i="3"/>
  <c r="AI499" i="3" s="1"/>
  <c r="AF499" i="3"/>
  <c r="AE499" i="3"/>
  <c r="AC499" i="3"/>
  <c r="AD499" i="3" s="1"/>
  <c r="AB499" i="3"/>
  <c r="AA499" i="3"/>
  <c r="Y499" i="3"/>
  <c r="Z499" i="3" s="1"/>
  <c r="W499" i="3"/>
  <c r="V499" i="3"/>
  <c r="T499" i="3"/>
  <c r="U499" i="3" s="1"/>
  <c r="S499" i="3"/>
  <c r="R499" i="3"/>
  <c r="P499" i="3"/>
  <c r="Q499" i="3" s="1"/>
  <c r="O499" i="3"/>
  <c r="N499" i="3"/>
  <c r="L499" i="3"/>
  <c r="M499" i="3" s="1"/>
  <c r="I499" i="3"/>
  <c r="J499" i="3" s="1"/>
  <c r="AH498" i="3"/>
  <c r="AI498" i="3" s="1"/>
  <c r="AF498" i="3"/>
  <c r="AE498" i="3"/>
  <c r="AC498" i="3"/>
  <c r="AD498" i="3" s="1"/>
  <c r="AB498" i="3"/>
  <c r="AA498" i="3"/>
  <c r="Y498" i="3"/>
  <c r="Z498" i="3" s="1"/>
  <c r="W498" i="3"/>
  <c r="V498" i="3"/>
  <c r="T498" i="3"/>
  <c r="U498" i="3" s="1"/>
  <c r="S498" i="3"/>
  <c r="R498" i="3"/>
  <c r="P498" i="3"/>
  <c r="Q498" i="3" s="1"/>
  <c r="O498" i="3"/>
  <c r="N498" i="3"/>
  <c r="L498" i="3"/>
  <c r="M498" i="3" s="1"/>
  <c r="I498" i="3"/>
  <c r="J498" i="3" s="1"/>
  <c r="AH497" i="3"/>
  <c r="AI497" i="3" s="1"/>
  <c r="AF497" i="3"/>
  <c r="AE497" i="3"/>
  <c r="AC497" i="3"/>
  <c r="AD497" i="3" s="1"/>
  <c r="AB497" i="3"/>
  <c r="AA497" i="3"/>
  <c r="Y497" i="3"/>
  <c r="Z497" i="3" s="1"/>
  <c r="W497" i="3"/>
  <c r="V497" i="3"/>
  <c r="T497" i="3"/>
  <c r="U497" i="3" s="1"/>
  <c r="S497" i="3"/>
  <c r="R497" i="3"/>
  <c r="P497" i="3"/>
  <c r="Q497" i="3" s="1"/>
  <c r="O497" i="3"/>
  <c r="N497" i="3"/>
  <c r="L497" i="3"/>
  <c r="M497" i="3" s="1"/>
  <c r="I497" i="3"/>
  <c r="J497" i="3" s="1"/>
  <c r="AH496" i="3"/>
  <c r="AI496" i="3" s="1"/>
  <c r="AF496" i="3"/>
  <c r="AE496" i="3"/>
  <c r="AC496" i="3"/>
  <c r="AD496" i="3" s="1"/>
  <c r="AB496" i="3"/>
  <c r="AA496" i="3"/>
  <c r="Y496" i="3"/>
  <c r="Z496" i="3" s="1"/>
  <c r="W496" i="3"/>
  <c r="V496" i="3"/>
  <c r="T496" i="3"/>
  <c r="U496" i="3" s="1"/>
  <c r="S496" i="3"/>
  <c r="R496" i="3"/>
  <c r="P496" i="3"/>
  <c r="Q496" i="3" s="1"/>
  <c r="O496" i="3"/>
  <c r="N496" i="3"/>
  <c r="L496" i="3"/>
  <c r="M496" i="3" s="1"/>
  <c r="I496" i="3"/>
  <c r="J496" i="3" s="1"/>
  <c r="AH495" i="3"/>
  <c r="AI495" i="3" s="1"/>
  <c r="AF495" i="3"/>
  <c r="AE495" i="3"/>
  <c r="AC495" i="3"/>
  <c r="AD495" i="3" s="1"/>
  <c r="AB495" i="3"/>
  <c r="AA495" i="3"/>
  <c r="Y495" i="3"/>
  <c r="Z495" i="3" s="1"/>
  <c r="W495" i="3"/>
  <c r="V495" i="3"/>
  <c r="T495" i="3"/>
  <c r="U495" i="3" s="1"/>
  <c r="S495" i="3"/>
  <c r="R495" i="3"/>
  <c r="P495" i="3"/>
  <c r="Q495" i="3" s="1"/>
  <c r="O495" i="3"/>
  <c r="N495" i="3"/>
  <c r="L495" i="3"/>
  <c r="M495" i="3" s="1"/>
  <c r="I495" i="3"/>
  <c r="J495" i="3" s="1"/>
  <c r="AH494" i="3"/>
  <c r="AI494" i="3" s="1"/>
  <c r="AF494" i="3"/>
  <c r="AE494" i="3"/>
  <c r="AC494" i="3"/>
  <c r="AD494" i="3" s="1"/>
  <c r="AB494" i="3"/>
  <c r="AA494" i="3"/>
  <c r="Y494" i="3"/>
  <c r="Z494" i="3" s="1"/>
  <c r="W494" i="3"/>
  <c r="V494" i="3"/>
  <c r="T494" i="3"/>
  <c r="U494" i="3" s="1"/>
  <c r="S494" i="3"/>
  <c r="R494" i="3"/>
  <c r="P494" i="3"/>
  <c r="Q494" i="3" s="1"/>
  <c r="O494" i="3"/>
  <c r="N494" i="3"/>
  <c r="L494" i="3"/>
  <c r="M494" i="3" s="1"/>
  <c r="I494" i="3"/>
  <c r="J494" i="3" s="1"/>
  <c r="AH493" i="3"/>
  <c r="AI493" i="3" s="1"/>
  <c r="AF493" i="3"/>
  <c r="AE493" i="3"/>
  <c r="AC493" i="3"/>
  <c r="AD493" i="3" s="1"/>
  <c r="AB493" i="3"/>
  <c r="AA493" i="3"/>
  <c r="Y493" i="3"/>
  <c r="Z493" i="3" s="1"/>
  <c r="W493" i="3"/>
  <c r="V493" i="3"/>
  <c r="T493" i="3"/>
  <c r="U493" i="3" s="1"/>
  <c r="S493" i="3"/>
  <c r="R493" i="3"/>
  <c r="P493" i="3"/>
  <c r="Q493" i="3" s="1"/>
  <c r="O493" i="3"/>
  <c r="N493" i="3"/>
  <c r="L493" i="3"/>
  <c r="M493" i="3" s="1"/>
  <c r="I493" i="3"/>
  <c r="J493" i="3" s="1"/>
  <c r="AH492" i="3"/>
  <c r="AI492" i="3" s="1"/>
  <c r="AF492" i="3"/>
  <c r="AE492" i="3"/>
  <c r="AC492" i="3"/>
  <c r="AD492" i="3" s="1"/>
  <c r="AB492" i="3"/>
  <c r="AA492" i="3"/>
  <c r="Y492" i="3"/>
  <c r="Z492" i="3" s="1"/>
  <c r="W492" i="3"/>
  <c r="V492" i="3"/>
  <c r="T492" i="3"/>
  <c r="U492" i="3" s="1"/>
  <c r="S492" i="3"/>
  <c r="R492" i="3"/>
  <c r="P492" i="3"/>
  <c r="Q492" i="3" s="1"/>
  <c r="O492" i="3"/>
  <c r="N492" i="3"/>
  <c r="L492" i="3"/>
  <c r="M492" i="3" s="1"/>
  <c r="I492" i="3"/>
  <c r="J492" i="3" s="1"/>
  <c r="AH491" i="3"/>
  <c r="AI491" i="3" s="1"/>
  <c r="AF491" i="3"/>
  <c r="AE491" i="3"/>
  <c r="AC491" i="3"/>
  <c r="AD491" i="3" s="1"/>
  <c r="AB491" i="3"/>
  <c r="AA491" i="3"/>
  <c r="Y491" i="3"/>
  <c r="Z491" i="3" s="1"/>
  <c r="W491" i="3"/>
  <c r="V491" i="3"/>
  <c r="T491" i="3"/>
  <c r="U491" i="3" s="1"/>
  <c r="S491" i="3"/>
  <c r="R491" i="3"/>
  <c r="P491" i="3"/>
  <c r="Q491" i="3" s="1"/>
  <c r="O491" i="3"/>
  <c r="N491" i="3"/>
  <c r="L491" i="3"/>
  <c r="M491" i="3" s="1"/>
  <c r="I491" i="3"/>
  <c r="J491" i="3" s="1"/>
  <c r="AH490" i="3"/>
  <c r="AI490" i="3" s="1"/>
  <c r="AF490" i="3"/>
  <c r="AE490" i="3"/>
  <c r="AC490" i="3"/>
  <c r="AD490" i="3" s="1"/>
  <c r="AB490" i="3"/>
  <c r="AA490" i="3"/>
  <c r="Y490" i="3"/>
  <c r="Z490" i="3" s="1"/>
  <c r="W490" i="3"/>
  <c r="V490" i="3"/>
  <c r="T490" i="3"/>
  <c r="U490" i="3" s="1"/>
  <c r="S490" i="3"/>
  <c r="R490" i="3"/>
  <c r="P490" i="3"/>
  <c r="Q490" i="3" s="1"/>
  <c r="O490" i="3"/>
  <c r="N490" i="3"/>
  <c r="L490" i="3"/>
  <c r="M490" i="3" s="1"/>
  <c r="I490" i="3"/>
  <c r="J490" i="3" s="1"/>
  <c r="AH489" i="3"/>
  <c r="AI489" i="3" s="1"/>
  <c r="AF489" i="3"/>
  <c r="AE489" i="3"/>
  <c r="AC489" i="3"/>
  <c r="AD489" i="3" s="1"/>
  <c r="AB489" i="3"/>
  <c r="AA489" i="3"/>
  <c r="Y489" i="3"/>
  <c r="Z489" i="3" s="1"/>
  <c r="W489" i="3"/>
  <c r="V489" i="3"/>
  <c r="T489" i="3"/>
  <c r="U489" i="3" s="1"/>
  <c r="S489" i="3"/>
  <c r="R489" i="3"/>
  <c r="P489" i="3"/>
  <c r="Q489" i="3" s="1"/>
  <c r="O489" i="3"/>
  <c r="N489" i="3"/>
  <c r="L489" i="3"/>
  <c r="M489" i="3" s="1"/>
  <c r="I489" i="3"/>
  <c r="J489" i="3" s="1"/>
  <c r="AH488" i="3"/>
  <c r="AI488" i="3" s="1"/>
  <c r="AF488" i="3"/>
  <c r="AE488" i="3"/>
  <c r="AC488" i="3"/>
  <c r="AD488" i="3" s="1"/>
  <c r="AB488" i="3"/>
  <c r="AA488" i="3"/>
  <c r="Y488" i="3"/>
  <c r="Z488" i="3" s="1"/>
  <c r="W488" i="3"/>
  <c r="V488" i="3"/>
  <c r="T488" i="3"/>
  <c r="U488" i="3" s="1"/>
  <c r="S488" i="3"/>
  <c r="R488" i="3"/>
  <c r="P488" i="3"/>
  <c r="Q488" i="3" s="1"/>
  <c r="O488" i="3"/>
  <c r="N488" i="3"/>
  <c r="L488" i="3"/>
  <c r="M488" i="3" s="1"/>
  <c r="I488" i="3"/>
  <c r="J488" i="3" s="1"/>
  <c r="AH487" i="3"/>
  <c r="AI487" i="3" s="1"/>
  <c r="AF487" i="3"/>
  <c r="AE487" i="3"/>
  <c r="AC487" i="3"/>
  <c r="AD487" i="3" s="1"/>
  <c r="AB487" i="3"/>
  <c r="AA487" i="3"/>
  <c r="Y487" i="3"/>
  <c r="Z487" i="3" s="1"/>
  <c r="W487" i="3"/>
  <c r="V487" i="3"/>
  <c r="T487" i="3"/>
  <c r="U487" i="3" s="1"/>
  <c r="S487" i="3"/>
  <c r="R487" i="3"/>
  <c r="P487" i="3"/>
  <c r="Q487" i="3" s="1"/>
  <c r="O487" i="3"/>
  <c r="N487" i="3"/>
  <c r="L487" i="3"/>
  <c r="M487" i="3" s="1"/>
  <c r="I487" i="3"/>
  <c r="J487" i="3" s="1"/>
  <c r="AH486" i="3"/>
  <c r="AI486" i="3" s="1"/>
  <c r="AF486" i="3"/>
  <c r="AE486" i="3"/>
  <c r="AC486" i="3"/>
  <c r="AD486" i="3" s="1"/>
  <c r="AB486" i="3"/>
  <c r="AA486" i="3"/>
  <c r="Y486" i="3"/>
  <c r="Z486" i="3" s="1"/>
  <c r="W486" i="3"/>
  <c r="V486" i="3"/>
  <c r="T486" i="3"/>
  <c r="U486" i="3" s="1"/>
  <c r="S486" i="3"/>
  <c r="R486" i="3"/>
  <c r="P486" i="3"/>
  <c r="Q486" i="3" s="1"/>
  <c r="O486" i="3"/>
  <c r="N486" i="3"/>
  <c r="L486" i="3"/>
  <c r="M486" i="3" s="1"/>
  <c r="I486" i="3"/>
  <c r="J486" i="3" s="1"/>
  <c r="AH485" i="3"/>
  <c r="AI485" i="3" s="1"/>
  <c r="AF485" i="3"/>
  <c r="AE485" i="3"/>
  <c r="AC485" i="3"/>
  <c r="AD485" i="3" s="1"/>
  <c r="AB485" i="3"/>
  <c r="AA485" i="3"/>
  <c r="Y485" i="3"/>
  <c r="Z485" i="3" s="1"/>
  <c r="W485" i="3"/>
  <c r="V485" i="3"/>
  <c r="T485" i="3"/>
  <c r="U485" i="3" s="1"/>
  <c r="S485" i="3"/>
  <c r="R485" i="3"/>
  <c r="P485" i="3"/>
  <c r="Q485" i="3" s="1"/>
  <c r="O485" i="3"/>
  <c r="N485" i="3"/>
  <c r="L485" i="3"/>
  <c r="M485" i="3" s="1"/>
  <c r="I485" i="3"/>
  <c r="J485" i="3" s="1"/>
  <c r="AH484" i="3"/>
  <c r="AI484" i="3" s="1"/>
  <c r="AF484" i="3"/>
  <c r="AE484" i="3"/>
  <c r="AC484" i="3"/>
  <c r="AD484" i="3" s="1"/>
  <c r="AB484" i="3"/>
  <c r="AA484" i="3"/>
  <c r="Y484" i="3"/>
  <c r="Z484" i="3" s="1"/>
  <c r="W484" i="3"/>
  <c r="V484" i="3"/>
  <c r="T484" i="3"/>
  <c r="U484" i="3" s="1"/>
  <c r="S484" i="3"/>
  <c r="R484" i="3"/>
  <c r="P484" i="3"/>
  <c r="Q484" i="3" s="1"/>
  <c r="O484" i="3"/>
  <c r="N484" i="3"/>
  <c r="L484" i="3"/>
  <c r="M484" i="3" s="1"/>
  <c r="I484" i="3"/>
  <c r="J484" i="3" s="1"/>
  <c r="AH483" i="3"/>
  <c r="AI483" i="3" s="1"/>
  <c r="AF483" i="3"/>
  <c r="AE483" i="3"/>
  <c r="AC483" i="3"/>
  <c r="AD483" i="3" s="1"/>
  <c r="AB483" i="3"/>
  <c r="AA483" i="3"/>
  <c r="Y483" i="3"/>
  <c r="Z483" i="3" s="1"/>
  <c r="W483" i="3"/>
  <c r="V483" i="3"/>
  <c r="T483" i="3"/>
  <c r="U483" i="3" s="1"/>
  <c r="S483" i="3"/>
  <c r="R483" i="3"/>
  <c r="P483" i="3"/>
  <c r="Q483" i="3" s="1"/>
  <c r="O483" i="3"/>
  <c r="N483" i="3"/>
  <c r="L483" i="3"/>
  <c r="M483" i="3" s="1"/>
  <c r="I483" i="3"/>
  <c r="J483" i="3" s="1"/>
  <c r="AH482" i="3"/>
  <c r="AI482" i="3" s="1"/>
  <c r="AF482" i="3"/>
  <c r="AE482" i="3"/>
  <c r="AC482" i="3"/>
  <c r="AD482" i="3" s="1"/>
  <c r="AB482" i="3"/>
  <c r="AA482" i="3"/>
  <c r="Y482" i="3"/>
  <c r="Z482" i="3" s="1"/>
  <c r="W482" i="3"/>
  <c r="V482" i="3"/>
  <c r="T482" i="3"/>
  <c r="U482" i="3" s="1"/>
  <c r="S482" i="3"/>
  <c r="R482" i="3"/>
  <c r="P482" i="3"/>
  <c r="Q482" i="3" s="1"/>
  <c r="O482" i="3"/>
  <c r="N482" i="3"/>
  <c r="L482" i="3"/>
  <c r="M482" i="3" s="1"/>
  <c r="I482" i="3"/>
  <c r="J482" i="3" s="1"/>
  <c r="AH481" i="3"/>
  <c r="AI481" i="3" s="1"/>
  <c r="AF481" i="3"/>
  <c r="AE481" i="3"/>
  <c r="AC481" i="3"/>
  <c r="AD481" i="3" s="1"/>
  <c r="AB481" i="3"/>
  <c r="AA481" i="3"/>
  <c r="Y481" i="3"/>
  <c r="Z481" i="3" s="1"/>
  <c r="W481" i="3"/>
  <c r="V481" i="3"/>
  <c r="T481" i="3"/>
  <c r="U481" i="3" s="1"/>
  <c r="S481" i="3"/>
  <c r="R481" i="3"/>
  <c r="P481" i="3"/>
  <c r="Q481" i="3" s="1"/>
  <c r="O481" i="3"/>
  <c r="N481" i="3"/>
  <c r="L481" i="3"/>
  <c r="M481" i="3" s="1"/>
  <c r="J481" i="3"/>
  <c r="I481" i="3"/>
  <c r="AH480" i="3"/>
  <c r="AI480" i="3" s="1"/>
  <c r="AF480" i="3"/>
  <c r="AE480" i="3"/>
  <c r="AC480" i="3"/>
  <c r="AD480" i="3" s="1"/>
  <c r="AB480" i="3"/>
  <c r="AA480" i="3"/>
  <c r="Y480" i="3"/>
  <c r="Z480" i="3" s="1"/>
  <c r="W480" i="3"/>
  <c r="V480" i="3"/>
  <c r="T480" i="3"/>
  <c r="U480" i="3" s="1"/>
  <c r="S480" i="3"/>
  <c r="R480" i="3"/>
  <c r="P480" i="3"/>
  <c r="Q480" i="3" s="1"/>
  <c r="O480" i="3"/>
  <c r="N480" i="3"/>
  <c r="L480" i="3"/>
  <c r="M480" i="3" s="1"/>
  <c r="I480" i="3"/>
  <c r="J480" i="3" s="1"/>
  <c r="AH479" i="3"/>
  <c r="AI479" i="3" s="1"/>
  <c r="AF479" i="3"/>
  <c r="AE479" i="3"/>
  <c r="AC479" i="3"/>
  <c r="AD479" i="3" s="1"/>
  <c r="AB479" i="3"/>
  <c r="AA479" i="3"/>
  <c r="Y479" i="3"/>
  <c r="Z479" i="3" s="1"/>
  <c r="W479" i="3"/>
  <c r="V479" i="3"/>
  <c r="T479" i="3"/>
  <c r="U479" i="3" s="1"/>
  <c r="S479" i="3"/>
  <c r="R479" i="3"/>
  <c r="P479" i="3"/>
  <c r="Q479" i="3" s="1"/>
  <c r="O479" i="3"/>
  <c r="N479" i="3"/>
  <c r="L479" i="3"/>
  <c r="M479" i="3" s="1"/>
  <c r="I479" i="3"/>
  <c r="J479" i="3" s="1"/>
  <c r="AH478" i="3"/>
  <c r="AI478" i="3" s="1"/>
  <c r="AF478" i="3"/>
  <c r="AE478" i="3"/>
  <c r="AC478" i="3"/>
  <c r="AD478" i="3" s="1"/>
  <c r="AB478" i="3"/>
  <c r="AA478" i="3"/>
  <c r="Y478" i="3"/>
  <c r="Z478" i="3" s="1"/>
  <c r="W478" i="3"/>
  <c r="V478" i="3"/>
  <c r="T478" i="3"/>
  <c r="U478" i="3" s="1"/>
  <c r="S478" i="3"/>
  <c r="R478" i="3"/>
  <c r="P478" i="3"/>
  <c r="Q478" i="3" s="1"/>
  <c r="O478" i="3"/>
  <c r="N478" i="3"/>
  <c r="L478" i="3"/>
  <c r="M478" i="3" s="1"/>
  <c r="I478" i="3"/>
  <c r="J478" i="3" s="1"/>
  <c r="AH477" i="3"/>
  <c r="AI477" i="3" s="1"/>
  <c r="AF477" i="3"/>
  <c r="AE477" i="3"/>
  <c r="AC477" i="3"/>
  <c r="AD477" i="3" s="1"/>
  <c r="AB477" i="3"/>
  <c r="AA477" i="3"/>
  <c r="Y477" i="3"/>
  <c r="Z477" i="3" s="1"/>
  <c r="W477" i="3"/>
  <c r="V477" i="3"/>
  <c r="T477" i="3"/>
  <c r="U477" i="3" s="1"/>
  <c r="S477" i="3"/>
  <c r="R477" i="3"/>
  <c r="P477" i="3"/>
  <c r="Q477" i="3" s="1"/>
  <c r="O477" i="3"/>
  <c r="N477" i="3"/>
  <c r="L477" i="3"/>
  <c r="M477" i="3" s="1"/>
  <c r="I477" i="3"/>
  <c r="J477" i="3" s="1"/>
  <c r="AH476" i="3"/>
  <c r="AI476" i="3" s="1"/>
  <c r="AF476" i="3"/>
  <c r="AE476" i="3"/>
  <c r="AC476" i="3"/>
  <c r="AD476" i="3" s="1"/>
  <c r="AB476" i="3"/>
  <c r="AA476" i="3"/>
  <c r="Y476" i="3"/>
  <c r="Z476" i="3" s="1"/>
  <c r="W476" i="3"/>
  <c r="V476" i="3"/>
  <c r="T476" i="3"/>
  <c r="U476" i="3" s="1"/>
  <c r="S476" i="3"/>
  <c r="R476" i="3"/>
  <c r="P476" i="3"/>
  <c r="Q476" i="3" s="1"/>
  <c r="O476" i="3"/>
  <c r="N476" i="3"/>
  <c r="L476" i="3"/>
  <c r="M476" i="3" s="1"/>
  <c r="I476" i="3"/>
  <c r="J476" i="3" s="1"/>
  <c r="AH475" i="3"/>
  <c r="AI475" i="3" s="1"/>
  <c r="AF475" i="3"/>
  <c r="AE475" i="3"/>
  <c r="AC475" i="3"/>
  <c r="AD475" i="3" s="1"/>
  <c r="AB475" i="3"/>
  <c r="AA475" i="3"/>
  <c r="Y475" i="3"/>
  <c r="Z475" i="3" s="1"/>
  <c r="W475" i="3"/>
  <c r="V475" i="3"/>
  <c r="T475" i="3"/>
  <c r="U475" i="3" s="1"/>
  <c r="S475" i="3"/>
  <c r="R475" i="3"/>
  <c r="P475" i="3"/>
  <c r="Q475" i="3" s="1"/>
  <c r="O475" i="3"/>
  <c r="N475" i="3"/>
  <c r="L475" i="3"/>
  <c r="M475" i="3" s="1"/>
  <c r="I475" i="3"/>
  <c r="J475" i="3" s="1"/>
  <c r="AH474" i="3"/>
  <c r="AI474" i="3" s="1"/>
  <c r="AF474" i="3"/>
  <c r="AE474" i="3"/>
  <c r="AC474" i="3"/>
  <c r="AD474" i="3" s="1"/>
  <c r="AB474" i="3"/>
  <c r="AA474" i="3"/>
  <c r="Y474" i="3"/>
  <c r="Z474" i="3" s="1"/>
  <c r="W474" i="3"/>
  <c r="V474" i="3"/>
  <c r="T474" i="3"/>
  <c r="U474" i="3" s="1"/>
  <c r="S474" i="3"/>
  <c r="R474" i="3"/>
  <c r="P474" i="3"/>
  <c r="Q474" i="3" s="1"/>
  <c r="O474" i="3"/>
  <c r="N474" i="3"/>
  <c r="L474" i="3"/>
  <c r="M474" i="3" s="1"/>
  <c r="I474" i="3"/>
  <c r="J474" i="3" s="1"/>
  <c r="AH473" i="3"/>
  <c r="AI473" i="3" s="1"/>
  <c r="AF473" i="3"/>
  <c r="AE473" i="3"/>
  <c r="AC473" i="3"/>
  <c r="AD473" i="3" s="1"/>
  <c r="AB473" i="3"/>
  <c r="AA473" i="3"/>
  <c r="Y473" i="3"/>
  <c r="Z473" i="3" s="1"/>
  <c r="W473" i="3"/>
  <c r="V473" i="3"/>
  <c r="T473" i="3"/>
  <c r="U473" i="3" s="1"/>
  <c r="S473" i="3"/>
  <c r="R473" i="3"/>
  <c r="P473" i="3"/>
  <c r="Q473" i="3" s="1"/>
  <c r="O473" i="3"/>
  <c r="N473" i="3"/>
  <c r="L473" i="3"/>
  <c r="M473" i="3" s="1"/>
  <c r="I473" i="3"/>
  <c r="J473" i="3" s="1"/>
  <c r="AH472" i="3"/>
  <c r="AI472" i="3" s="1"/>
  <c r="AF472" i="3"/>
  <c r="AE472" i="3"/>
  <c r="AC472" i="3"/>
  <c r="AD472" i="3" s="1"/>
  <c r="AB472" i="3"/>
  <c r="AA472" i="3"/>
  <c r="Y472" i="3"/>
  <c r="Z472" i="3" s="1"/>
  <c r="W472" i="3"/>
  <c r="V472" i="3"/>
  <c r="T472" i="3"/>
  <c r="U472" i="3" s="1"/>
  <c r="S472" i="3"/>
  <c r="R472" i="3"/>
  <c r="P472" i="3"/>
  <c r="Q472" i="3" s="1"/>
  <c r="O472" i="3"/>
  <c r="N472" i="3"/>
  <c r="L472" i="3"/>
  <c r="M472" i="3" s="1"/>
  <c r="I472" i="3"/>
  <c r="J472" i="3" s="1"/>
  <c r="AH471" i="3"/>
  <c r="AI471" i="3" s="1"/>
  <c r="AF471" i="3"/>
  <c r="AE471" i="3"/>
  <c r="AC471" i="3"/>
  <c r="AD471" i="3" s="1"/>
  <c r="AB471" i="3"/>
  <c r="AA471" i="3"/>
  <c r="Y471" i="3"/>
  <c r="Z471" i="3" s="1"/>
  <c r="W471" i="3"/>
  <c r="V471" i="3"/>
  <c r="T471" i="3"/>
  <c r="U471" i="3" s="1"/>
  <c r="S471" i="3"/>
  <c r="R471" i="3"/>
  <c r="P471" i="3"/>
  <c r="Q471" i="3" s="1"/>
  <c r="O471" i="3"/>
  <c r="N471" i="3"/>
  <c r="L471" i="3"/>
  <c r="M471" i="3" s="1"/>
  <c r="I471" i="3"/>
  <c r="J471" i="3" s="1"/>
  <c r="AH470" i="3"/>
  <c r="AI470" i="3" s="1"/>
  <c r="AF470" i="3"/>
  <c r="AE470" i="3"/>
  <c r="AC470" i="3"/>
  <c r="AD470" i="3" s="1"/>
  <c r="AB470" i="3"/>
  <c r="AA470" i="3"/>
  <c r="Y470" i="3"/>
  <c r="Z470" i="3" s="1"/>
  <c r="W470" i="3"/>
  <c r="V470" i="3"/>
  <c r="T470" i="3"/>
  <c r="U470" i="3" s="1"/>
  <c r="S470" i="3"/>
  <c r="R470" i="3"/>
  <c r="P470" i="3"/>
  <c r="Q470" i="3" s="1"/>
  <c r="O470" i="3"/>
  <c r="N470" i="3"/>
  <c r="L470" i="3"/>
  <c r="M470" i="3" s="1"/>
  <c r="I470" i="3"/>
  <c r="J470" i="3" s="1"/>
  <c r="AH469" i="3"/>
  <c r="AI469" i="3" s="1"/>
  <c r="AF469" i="3"/>
  <c r="AE469" i="3"/>
  <c r="AC469" i="3"/>
  <c r="AD469" i="3" s="1"/>
  <c r="AB469" i="3"/>
  <c r="AA469" i="3"/>
  <c r="Y469" i="3"/>
  <c r="Z469" i="3" s="1"/>
  <c r="W469" i="3"/>
  <c r="V469" i="3"/>
  <c r="T469" i="3"/>
  <c r="U469" i="3" s="1"/>
  <c r="S469" i="3"/>
  <c r="R469" i="3"/>
  <c r="P469" i="3"/>
  <c r="Q469" i="3" s="1"/>
  <c r="O469" i="3"/>
  <c r="N469" i="3"/>
  <c r="L469" i="3"/>
  <c r="M469" i="3" s="1"/>
  <c r="I469" i="3"/>
  <c r="J469" i="3" s="1"/>
  <c r="AH468" i="3"/>
  <c r="AI468" i="3" s="1"/>
  <c r="AF468" i="3"/>
  <c r="AE468" i="3"/>
  <c r="AC468" i="3"/>
  <c r="AD468" i="3" s="1"/>
  <c r="AB468" i="3"/>
  <c r="AA468" i="3"/>
  <c r="Y468" i="3"/>
  <c r="Z468" i="3" s="1"/>
  <c r="W468" i="3"/>
  <c r="V468" i="3"/>
  <c r="T468" i="3"/>
  <c r="U468" i="3" s="1"/>
  <c r="S468" i="3"/>
  <c r="R468" i="3"/>
  <c r="P468" i="3"/>
  <c r="Q468" i="3" s="1"/>
  <c r="O468" i="3"/>
  <c r="N468" i="3"/>
  <c r="L468" i="3"/>
  <c r="M468" i="3" s="1"/>
  <c r="I468" i="3"/>
  <c r="J468" i="3" s="1"/>
  <c r="AH467" i="3"/>
  <c r="AI467" i="3" s="1"/>
  <c r="AF467" i="3"/>
  <c r="AE467" i="3"/>
  <c r="AC467" i="3"/>
  <c r="AD467" i="3" s="1"/>
  <c r="AB467" i="3"/>
  <c r="AA467" i="3"/>
  <c r="Y467" i="3"/>
  <c r="Z467" i="3" s="1"/>
  <c r="W467" i="3"/>
  <c r="V467" i="3"/>
  <c r="T467" i="3"/>
  <c r="U467" i="3" s="1"/>
  <c r="S467" i="3"/>
  <c r="R467" i="3"/>
  <c r="P467" i="3"/>
  <c r="Q467" i="3" s="1"/>
  <c r="O467" i="3"/>
  <c r="N467" i="3"/>
  <c r="L467" i="3"/>
  <c r="M467" i="3" s="1"/>
  <c r="I467" i="3"/>
  <c r="J467" i="3" s="1"/>
  <c r="AH466" i="3"/>
  <c r="AI466" i="3" s="1"/>
  <c r="AF466" i="3"/>
  <c r="AE466" i="3"/>
  <c r="AC466" i="3"/>
  <c r="AD466" i="3" s="1"/>
  <c r="AB466" i="3"/>
  <c r="AA466" i="3"/>
  <c r="Y466" i="3"/>
  <c r="Z466" i="3" s="1"/>
  <c r="W466" i="3"/>
  <c r="V466" i="3"/>
  <c r="T466" i="3"/>
  <c r="U466" i="3" s="1"/>
  <c r="S466" i="3"/>
  <c r="R466" i="3"/>
  <c r="P466" i="3"/>
  <c r="Q466" i="3" s="1"/>
  <c r="O466" i="3"/>
  <c r="N466" i="3"/>
  <c r="L466" i="3"/>
  <c r="M466" i="3" s="1"/>
  <c r="I466" i="3"/>
  <c r="J466" i="3" s="1"/>
  <c r="AH465" i="3"/>
  <c r="AI465" i="3" s="1"/>
  <c r="AF465" i="3"/>
  <c r="AE465" i="3"/>
  <c r="AC465" i="3"/>
  <c r="AD465" i="3" s="1"/>
  <c r="AB465" i="3"/>
  <c r="AA465" i="3"/>
  <c r="Y465" i="3"/>
  <c r="Z465" i="3" s="1"/>
  <c r="W465" i="3"/>
  <c r="V465" i="3"/>
  <c r="T465" i="3"/>
  <c r="U465" i="3" s="1"/>
  <c r="S465" i="3"/>
  <c r="R465" i="3"/>
  <c r="P465" i="3"/>
  <c r="Q465" i="3" s="1"/>
  <c r="O465" i="3"/>
  <c r="N465" i="3"/>
  <c r="L465" i="3"/>
  <c r="M465" i="3" s="1"/>
  <c r="I465" i="3"/>
  <c r="J465" i="3" s="1"/>
  <c r="AH464" i="3"/>
  <c r="AI464" i="3" s="1"/>
  <c r="AF464" i="3"/>
  <c r="AE464" i="3"/>
  <c r="AC464" i="3"/>
  <c r="AD464" i="3" s="1"/>
  <c r="AB464" i="3"/>
  <c r="AA464" i="3"/>
  <c r="Y464" i="3"/>
  <c r="Z464" i="3" s="1"/>
  <c r="W464" i="3"/>
  <c r="V464" i="3"/>
  <c r="T464" i="3"/>
  <c r="U464" i="3" s="1"/>
  <c r="S464" i="3"/>
  <c r="R464" i="3"/>
  <c r="P464" i="3"/>
  <c r="Q464" i="3" s="1"/>
  <c r="O464" i="3"/>
  <c r="N464" i="3"/>
  <c r="L464" i="3"/>
  <c r="M464" i="3" s="1"/>
  <c r="I464" i="3"/>
  <c r="J464" i="3" s="1"/>
  <c r="AH463" i="3"/>
  <c r="AI463" i="3" s="1"/>
  <c r="AF463" i="3"/>
  <c r="AE463" i="3"/>
  <c r="AC463" i="3"/>
  <c r="AD463" i="3" s="1"/>
  <c r="AB463" i="3"/>
  <c r="AA463" i="3"/>
  <c r="Y463" i="3"/>
  <c r="Z463" i="3" s="1"/>
  <c r="W463" i="3"/>
  <c r="V463" i="3"/>
  <c r="T463" i="3"/>
  <c r="U463" i="3" s="1"/>
  <c r="S463" i="3"/>
  <c r="R463" i="3"/>
  <c r="P463" i="3"/>
  <c r="Q463" i="3" s="1"/>
  <c r="O463" i="3"/>
  <c r="N463" i="3"/>
  <c r="L463" i="3"/>
  <c r="M463" i="3" s="1"/>
  <c r="I463" i="3"/>
  <c r="J463" i="3" s="1"/>
  <c r="AH462" i="3"/>
  <c r="AI462" i="3" s="1"/>
  <c r="AF462" i="3"/>
  <c r="AE462" i="3"/>
  <c r="AC462" i="3"/>
  <c r="AD462" i="3" s="1"/>
  <c r="AB462" i="3"/>
  <c r="AA462" i="3"/>
  <c r="Y462" i="3"/>
  <c r="Z462" i="3" s="1"/>
  <c r="W462" i="3"/>
  <c r="V462" i="3"/>
  <c r="T462" i="3"/>
  <c r="U462" i="3" s="1"/>
  <c r="S462" i="3"/>
  <c r="R462" i="3"/>
  <c r="P462" i="3"/>
  <c r="Q462" i="3" s="1"/>
  <c r="O462" i="3"/>
  <c r="N462" i="3"/>
  <c r="L462" i="3"/>
  <c r="M462" i="3" s="1"/>
  <c r="I462" i="3"/>
  <c r="J462" i="3" s="1"/>
  <c r="AH461" i="3"/>
  <c r="AI461" i="3" s="1"/>
  <c r="AF461" i="3"/>
  <c r="AE461" i="3"/>
  <c r="AC461" i="3"/>
  <c r="AD461" i="3" s="1"/>
  <c r="AB461" i="3"/>
  <c r="AA461" i="3"/>
  <c r="Y461" i="3"/>
  <c r="Z461" i="3" s="1"/>
  <c r="W461" i="3"/>
  <c r="V461" i="3"/>
  <c r="T461" i="3"/>
  <c r="U461" i="3" s="1"/>
  <c r="S461" i="3"/>
  <c r="R461" i="3"/>
  <c r="P461" i="3"/>
  <c r="Q461" i="3" s="1"/>
  <c r="O461" i="3"/>
  <c r="N461" i="3"/>
  <c r="L461" i="3"/>
  <c r="M461" i="3" s="1"/>
  <c r="I461" i="3"/>
  <c r="J461" i="3" s="1"/>
  <c r="AH460" i="3"/>
  <c r="AI460" i="3" s="1"/>
  <c r="AF460" i="3"/>
  <c r="AE460" i="3"/>
  <c r="AC460" i="3"/>
  <c r="AD460" i="3" s="1"/>
  <c r="AB460" i="3"/>
  <c r="AA460" i="3"/>
  <c r="Y460" i="3"/>
  <c r="Z460" i="3" s="1"/>
  <c r="W460" i="3"/>
  <c r="V460" i="3"/>
  <c r="T460" i="3"/>
  <c r="U460" i="3" s="1"/>
  <c r="S460" i="3"/>
  <c r="R460" i="3"/>
  <c r="P460" i="3"/>
  <c r="Q460" i="3" s="1"/>
  <c r="O460" i="3"/>
  <c r="N460" i="3"/>
  <c r="L460" i="3"/>
  <c r="M460" i="3" s="1"/>
  <c r="I460" i="3"/>
  <c r="J460" i="3" s="1"/>
  <c r="AH459" i="3"/>
  <c r="AI459" i="3" s="1"/>
  <c r="AF459" i="3"/>
  <c r="AE459" i="3"/>
  <c r="AC459" i="3"/>
  <c r="AD459" i="3" s="1"/>
  <c r="AB459" i="3"/>
  <c r="AA459" i="3"/>
  <c r="Y459" i="3"/>
  <c r="Z459" i="3" s="1"/>
  <c r="W459" i="3"/>
  <c r="V459" i="3"/>
  <c r="T459" i="3"/>
  <c r="U459" i="3" s="1"/>
  <c r="S459" i="3"/>
  <c r="R459" i="3"/>
  <c r="P459" i="3"/>
  <c r="Q459" i="3" s="1"/>
  <c r="O459" i="3"/>
  <c r="N459" i="3"/>
  <c r="L459" i="3"/>
  <c r="M459" i="3" s="1"/>
  <c r="I459" i="3"/>
  <c r="J459" i="3" s="1"/>
  <c r="AH458" i="3"/>
  <c r="AI458" i="3" s="1"/>
  <c r="AF458" i="3"/>
  <c r="AE458" i="3"/>
  <c r="AC458" i="3"/>
  <c r="AD458" i="3" s="1"/>
  <c r="AB458" i="3"/>
  <c r="AA458" i="3"/>
  <c r="Y458" i="3"/>
  <c r="Z458" i="3" s="1"/>
  <c r="W458" i="3"/>
  <c r="V458" i="3"/>
  <c r="T458" i="3"/>
  <c r="U458" i="3" s="1"/>
  <c r="S458" i="3"/>
  <c r="R458" i="3"/>
  <c r="P458" i="3"/>
  <c r="Q458" i="3" s="1"/>
  <c r="O458" i="3"/>
  <c r="N458" i="3"/>
  <c r="L458" i="3"/>
  <c r="M458" i="3" s="1"/>
  <c r="I458" i="3"/>
  <c r="J458" i="3" s="1"/>
  <c r="AH457" i="3"/>
  <c r="AI457" i="3" s="1"/>
  <c r="AF457" i="3"/>
  <c r="AE457" i="3"/>
  <c r="AC457" i="3"/>
  <c r="AD457" i="3" s="1"/>
  <c r="AB457" i="3"/>
  <c r="AA457" i="3"/>
  <c r="Y457" i="3"/>
  <c r="Z457" i="3" s="1"/>
  <c r="W457" i="3"/>
  <c r="V457" i="3"/>
  <c r="T457" i="3"/>
  <c r="U457" i="3" s="1"/>
  <c r="S457" i="3"/>
  <c r="R457" i="3"/>
  <c r="P457" i="3"/>
  <c r="Q457" i="3" s="1"/>
  <c r="O457" i="3"/>
  <c r="N457" i="3"/>
  <c r="L457" i="3"/>
  <c r="M457" i="3" s="1"/>
  <c r="J457" i="3"/>
  <c r="I457" i="3"/>
  <c r="AH456" i="3"/>
  <c r="AI456" i="3" s="1"/>
  <c r="AF456" i="3"/>
  <c r="AE456" i="3"/>
  <c r="AC456" i="3"/>
  <c r="AD456" i="3" s="1"/>
  <c r="AB456" i="3"/>
  <c r="AA456" i="3"/>
  <c r="Y456" i="3"/>
  <c r="Z456" i="3" s="1"/>
  <c r="W456" i="3"/>
  <c r="V456" i="3"/>
  <c r="T456" i="3"/>
  <c r="U456" i="3" s="1"/>
  <c r="S456" i="3"/>
  <c r="R456" i="3"/>
  <c r="P456" i="3"/>
  <c r="Q456" i="3" s="1"/>
  <c r="O456" i="3"/>
  <c r="N456" i="3"/>
  <c r="L456" i="3"/>
  <c r="M456" i="3" s="1"/>
  <c r="I456" i="3"/>
  <c r="J456" i="3" s="1"/>
  <c r="AH455" i="3"/>
  <c r="AI455" i="3" s="1"/>
  <c r="AF455" i="3"/>
  <c r="AE455" i="3"/>
  <c r="AC455" i="3"/>
  <c r="AD455" i="3" s="1"/>
  <c r="AB455" i="3"/>
  <c r="AA455" i="3"/>
  <c r="Y455" i="3"/>
  <c r="Z455" i="3" s="1"/>
  <c r="W455" i="3"/>
  <c r="V455" i="3"/>
  <c r="T455" i="3"/>
  <c r="U455" i="3" s="1"/>
  <c r="S455" i="3"/>
  <c r="R455" i="3"/>
  <c r="P455" i="3"/>
  <c r="Q455" i="3" s="1"/>
  <c r="O455" i="3"/>
  <c r="N455" i="3"/>
  <c r="L455" i="3"/>
  <c r="M455" i="3" s="1"/>
  <c r="I455" i="3"/>
  <c r="J455" i="3" s="1"/>
  <c r="AH454" i="3"/>
  <c r="AI454" i="3" s="1"/>
  <c r="AF454" i="3"/>
  <c r="AE454" i="3"/>
  <c r="AC454" i="3"/>
  <c r="AD454" i="3" s="1"/>
  <c r="AB454" i="3"/>
  <c r="AA454" i="3"/>
  <c r="Y454" i="3"/>
  <c r="Z454" i="3" s="1"/>
  <c r="W454" i="3"/>
  <c r="V454" i="3"/>
  <c r="T454" i="3"/>
  <c r="U454" i="3" s="1"/>
  <c r="S454" i="3"/>
  <c r="R454" i="3"/>
  <c r="P454" i="3"/>
  <c r="Q454" i="3" s="1"/>
  <c r="O454" i="3"/>
  <c r="N454" i="3"/>
  <c r="L454" i="3"/>
  <c r="M454" i="3" s="1"/>
  <c r="I454" i="3"/>
  <c r="J454" i="3" s="1"/>
  <c r="AH453" i="3"/>
  <c r="AI453" i="3" s="1"/>
  <c r="AF453" i="3"/>
  <c r="AE453" i="3"/>
  <c r="AC453" i="3"/>
  <c r="AD453" i="3" s="1"/>
  <c r="AB453" i="3"/>
  <c r="AA453" i="3"/>
  <c r="Y453" i="3"/>
  <c r="Z453" i="3" s="1"/>
  <c r="W453" i="3"/>
  <c r="V453" i="3"/>
  <c r="T453" i="3"/>
  <c r="U453" i="3" s="1"/>
  <c r="S453" i="3"/>
  <c r="R453" i="3"/>
  <c r="P453" i="3"/>
  <c r="Q453" i="3" s="1"/>
  <c r="O453" i="3"/>
  <c r="N453" i="3"/>
  <c r="L453" i="3"/>
  <c r="M453" i="3" s="1"/>
  <c r="I453" i="3"/>
  <c r="J453" i="3" s="1"/>
  <c r="AH452" i="3"/>
  <c r="AI452" i="3" s="1"/>
  <c r="AF452" i="3"/>
  <c r="AE452" i="3"/>
  <c r="AC452" i="3"/>
  <c r="AD452" i="3" s="1"/>
  <c r="AB452" i="3"/>
  <c r="AA452" i="3"/>
  <c r="Y452" i="3"/>
  <c r="Z452" i="3" s="1"/>
  <c r="W452" i="3"/>
  <c r="V452" i="3"/>
  <c r="T452" i="3"/>
  <c r="U452" i="3" s="1"/>
  <c r="S452" i="3"/>
  <c r="R452" i="3"/>
  <c r="P452" i="3"/>
  <c r="Q452" i="3" s="1"/>
  <c r="O452" i="3"/>
  <c r="N452" i="3"/>
  <c r="L452" i="3"/>
  <c r="M452" i="3" s="1"/>
  <c r="I452" i="3"/>
  <c r="J452" i="3" s="1"/>
  <c r="AH451" i="3"/>
  <c r="AI451" i="3" s="1"/>
  <c r="AF451" i="3"/>
  <c r="AE451" i="3"/>
  <c r="AC451" i="3"/>
  <c r="AD451" i="3" s="1"/>
  <c r="AB451" i="3"/>
  <c r="AA451" i="3"/>
  <c r="Y451" i="3"/>
  <c r="Z451" i="3" s="1"/>
  <c r="W451" i="3"/>
  <c r="V451" i="3"/>
  <c r="T451" i="3"/>
  <c r="U451" i="3" s="1"/>
  <c r="S451" i="3"/>
  <c r="R451" i="3"/>
  <c r="P451" i="3"/>
  <c r="Q451" i="3" s="1"/>
  <c r="O451" i="3"/>
  <c r="N451" i="3"/>
  <c r="L451" i="3"/>
  <c r="M451" i="3" s="1"/>
  <c r="I451" i="3"/>
  <c r="J451" i="3" s="1"/>
  <c r="AH450" i="3"/>
  <c r="AI450" i="3" s="1"/>
  <c r="AF450" i="3"/>
  <c r="AE450" i="3"/>
  <c r="AC450" i="3"/>
  <c r="AD450" i="3" s="1"/>
  <c r="AB450" i="3"/>
  <c r="AA450" i="3"/>
  <c r="Y450" i="3"/>
  <c r="Z450" i="3" s="1"/>
  <c r="W450" i="3"/>
  <c r="V450" i="3"/>
  <c r="T450" i="3"/>
  <c r="U450" i="3" s="1"/>
  <c r="S450" i="3"/>
  <c r="R450" i="3"/>
  <c r="P450" i="3"/>
  <c r="Q450" i="3" s="1"/>
  <c r="O450" i="3"/>
  <c r="N450" i="3"/>
  <c r="L450" i="3"/>
  <c r="M450" i="3" s="1"/>
  <c r="I450" i="3"/>
  <c r="J450" i="3" s="1"/>
  <c r="AH449" i="3"/>
  <c r="AI449" i="3" s="1"/>
  <c r="AF449" i="3"/>
  <c r="AE449" i="3"/>
  <c r="AC449" i="3"/>
  <c r="AD449" i="3" s="1"/>
  <c r="AB449" i="3"/>
  <c r="AA449" i="3"/>
  <c r="Y449" i="3"/>
  <c r="Z449" i="3" s="1"/>
  <c r="W449" i="3"/>
  <c r="V449" i="3"/>
  <c r="T449" i="3"/>
  <c r="U449" i="3" s="1"/>
  <c r="S449" i="3"/>
  <c r="R449" i="3"/>
  <c r="P449" i="3"/>
  <c r="Q449" i="3" s="1"/>
  <c r="O449" i="3"/>
  <c r="N449" i="3"/>
  <c r="L449" i="3"/>
  <c r="M449" i="3" s="1"/>
  <c r="I449" i="3"/>
  <c r="J449" i="3" s="1"/>
  <c r="AH448" i="3"/>
  <c r="AI448" i="3" s="1"/>
  <c r="AF448" i="3"/>
  <c r="AE448" i="3"/>
  <c r="AC448" i="3"/>
  <c r="AD448" i="3" s="1"/>
  <c r="AB448" i="3"/>
  <c r="AA448" i="3"/>
  <c r="Y448" i="3"/>
  <c r="Z448" i="3" s="1"/>
  <c r="W448" i="3"/>
  <c r="V448" i="3"/>
  <c r="T448" i="3"/>
  <c r="U448" i="3" s="1"/>
  <c r="S448" i="3"/>
  <c r="R448" i="3"/>
  <c r="P448" i="3"/>
  <c r="Q448" i="3" s="1"/>
  <c r="O448" i="3"/>
  <c r="N448" i="3"/>
  <c r="L448" i="3"/>
  <c r="M448" i="3" s="1"/>
  <c r="I448" i="3"/>
  <c r="J448" i="3" s="1"/>
  <c r="AH447" i="3"/>
  <c r="AI447" i="3" s="1"/>
  <c r="AF447" i="3"/>
  <c r="AE447" i="3"/>
  <c r="AC447" i="3"/>
  <c r="AD447" i="3" s="1"/>
  <c r="AB447" i="3"/>
  <c r="AA447" i="3"/>
  <c r="Y447" i="3"/>
  <c r="Z447" i="3" s="1"/>
  <c r="W447" i="3"/>
  <c r="V447" i="3"/>
  <c r="T447" i="3"/>
  <c r="U447" i="3" s="1"/>
  <c r="S447" i="3"/>
  <c r="R447" i="3"/>
  <c r="P447" i="3"/>
  <c r="Q447" i="3" s="1"/>
  <c r="O447" i="3"/>
  <c r="N447" i="3"/>
  <c r="L447" i="3"/>
  <c r="M447" i="3" s="1"/>
  <c r="I447" i="3"/>
  <c r="J447" i="3" s="1"/>
  <c r="AH446" i="3"/>
  <c r="AI446" i="3" s="1"/>
  <c r="AF446" i="3"/>
  <c r="AE446" i="3"/>
  <c r="AC446" i="3"/>
  <c r="AD446" i="3" s="1"/>
  <c r="AB446" i="3"/>
  <c r="AA446" i="3"/>
  <c r="Y446" i="3"/>
  <c r="Z446" i="3" s="1"/>
  <c r="W446" i="3"/>
  <c r="V446" i="3"/>
  <c r="T446" i="3"/>
  <c r="U446" i="3" s="1"/>
  <c r="S446" i="3"/>
  <c r="R446" i="3"/>
  <c r="P446" i="3"/>
  <c r="Q446" i="3" s="1"/>
  <c r="O446" i="3"/>
  <c r="N446" i="3"/>
  <c r="L446" i="3"/>
  <c r="M446" i="3" s="1"/>
  <c r="I446" i="3"/>
  <c r="J446" i="3" s="1"/>
  <c r="AH445" i="3"/>
  <c r="AI445" i="3" s="1"/>
  <c r="AF445" i="3"/>
  <c r="AE445" i="3"/>
  <c r="AC445" i="3"/>
  <c r="AD445" i="3" s="1"/>
  <c r="AB445" i="3"/>
  <c r="AA445" i="3"/>
  <c r="Y445" i="3"/>
  <c r="Z445" i="3" s="1"/>
  <c r="W445" i="3"/>
  <c r="V445" i="3"/>
  <c r="T445" i="3"/>
  <c r="U445" i="3" s="1"/>
  <c r="S445" i="3"/>
  <c r="R445" i="3"/>
  <c r="P445" i="3"/>
  <c r="Q445" i="3" s="1"/>
  <c r="O445" i="3"/>
  <c r="N445" i="3"/>
  <c r="L445" i="3"/>
  <c r="M445" i="3" s="1"/>
  <c r="I445" i="3"/>
  <c r="J445" i="3" s="1"/>
  <c r="AH444" i="3"/>
  <c r="AI444" i="3" s="1"/>
  <c r="AF444" i="3"/>
  <c r="AE444" i="3"/>
  <c r="AC444" i="3"/>
  <c r="AD444" i="3" s="1"/>
  <c r="AB444" i="3"/>
  <c r="AA444" i="3"/>
  <c r="Y444" i="3"/>
  <c r="Z444" i="3" s="1"/>
  <c r="W444" i="3"/>
  <c r="V444" i="3"/>
  <c r="T444" i="3"/>
  <c r="U444" i="3" s="1"/>
  <c r="S444" i="3"/>
  <c r="R444" i="3"/>
  <c r="P444" i="3"/>
  <c r="Q444" i="3" s="1"/>
  <c r="O444" i="3"/>
  <c r="N444" i="3"/>
  <c r="L444" i="3"/>
  <c r="M444" i="3" s="1"/>
  <c r="I444" i="3"/>
  <c r="J444" i="3" s="1"/>
  <c r="AH443" i="3"/>
  <c r="AI443" i="3" s="1"/>
  <c r="AF443" i="3"/>
  <c r="AE443" i="3"/>
  <c r="AC443" i="3"/>
  <c r="AD443" i="3" s="1"/>
  <c r="AB443" i="3"/>
  <c r="AA443" i="3"/>
  <c r="Y443" i="3"/>
  <c r="Z443" i="3" s="1"/>
  <c r="W443" i="3"/>
  <c r="V443" i="3"/>
  <c r="T443" i="3"/>
  <c r="U443" i="3" s="1"/>
  <c r="S443" i="3"/>
  <c r="R443" i="3"/>
  <c r="P443" i="3"/>
  <c r="Q443" i="3" s="1"/>
  <c r="O443" i="3"/>
  <c r="N443" i="3"/>
  <c r="L443" i="3"/>
  <c r="M443" i="3" s="1"/>
  <c r="I443" i="3"/>
  <c r="J443" i="3" s="1"/>
  <c r="AH442" i="3"/>
  <c r="AI442" i="3" s="1"/>
  <c r="AF442" i="3"/>
  <c r="AE442" i="3"/>
  <c r="AC442" i="3"/>
  <c r="AD442" i="3" s="1"/>
  <c r="AB442" i="3"/>
  <c r="AA442" i="3"/>
  <c r="Y442" i="3"/>
  <c r="Z442" i="3" s="1"/>
  <c r="W442" i="3"/>
  <c r="V442" i="3"/>
  <c r="T442" i="3"/>
  <c r="U442" i="3" s="1"/>
  <c r="S442" i="3"/>
  <c r="R442" i="3"/>
  <c r="P442" i="3"/>
  <c r="Q442" i="3" s="1"/>
  <c r="O442" i="3"/>
  <c r="N442" i="3"/>
  <c r="L442" i="3"/>
  <c r="M442" i="3" s="1"/>
  <c r="I442" i="3"/>
  <c r="J442" i="3" s="1"/>
  <c r="AH441" i="3"/>
  <c r="AI441" i="3" s="1"/>
  <c r="AF441" i="3"/>
  <c r="AE441" i="3"/>
  <c r="AC441" i="3"/>
  <c r="AD441" i="3" s="1"/>
  <c r="AB441" i="3"/>
  <c r="AA441" i="3"/>
  <c r="Y441" i="3"/>
  <c r="Z441" i="3" s="1"/>
  <c r="W441" i="3"/>
  <c r="V441" i="3"/>
  <c r="T441" i="3"/>
  <c r="U441" i="3" s="1"/>
  <c r="S441" i="3"/>
  <c r="R441" i="3"/>
  <c r="P441" i="3"/>
  <c r="Q441" i="3" s="1"/>
  <c r="O441" i="3"/>
  <c r="N441" i="3"/>
  <c r="L441" i="3"/>
  <c r="M441" i="3" s="1"/>
  <c r="J441" i="3"/>
  <c r="I441" i="3"/>
  <c r="AH440" i="3"/>
  <c r="AI440" i="3" s="1"/>
  <c r="AF440" i="3"/>
  <c r="AE440" i="3"/>
  <c r="AC440" i="3"/>
  <c r="AD440" i="3" s="1"/>
  <c r="AB440" i="3"/>
  <c r="AA440" i="3"/>
  <c r="Y440" i="3"/>
  <c r="Z440" i="3" s="1"/>
  <c r="W440" i="3"/>
  <c r="V440" i="3"/>
  <c r="T440" i="3"/>
  <c r="U440" i="3" s="1"/>
  <c r="S440" i="3"/>
  <c r="R440" i="3"/>
  <c r="P440" i="3"/>
  <c r="Q440" i="3" s="1"/>
  <c r="O440" i="3"/>
  <c r="N440" i="3"/>
  <c r="L440" i="3"/>
  <c r="M440" i="3" s="1"/>
  <c r="I440" i="3"/>
  <c r="J440" i="3" s="1"/>
  <c r="AH439" i="3"/>
  <c r="AI439" i="3" s="1"/>
  <c r="AF439" i="3"/>
  <c r="AE439" i="3"/>
  <c r="AC439" i="3"/>
  <c r="AD439" i="3" s="1"/>
  <c r="AB439" i="3"/>
  <c r="AA439" i="3"/>
  <c r="Y439" i="3"/>
  <c r="Z439" i="3" s="1"/>
  <c r="W439" i="3"/>
  <c r="V439" i="3"/>
  <c r="T439" i="3"/>
  <c r="U439" i="3" s="1"/>
  <c r="S439" i="3"/>
  <c r="R439" i="3"/>
  <c r="P439" i="3"/>
  <c r="Q439" i="3" s="1"/>
  <c r="O439" i="3"/>
  <c r="N439" i="3"/>
  <c r="L439" i="3"/>
  <c r="M439" i="3" s="1"/>
  <c r="I439" i="3"/>
  <c r="J439" i="3" s="1"/>
  <c r="AH438" i="3"/>
  <c r="AI438" i="3" s="1"/>
  <c r="AF438" i="3"/>
  <c r="AE438" i="3"/>
  <c r="AC438" i="3"/>
  <c r="AD438" i="3" s="1"/>
  <c r="AB438" i="3"/>
  <c r="AA438" i="3"/>
  <c r="Y438" i="3"/>
  <c r="Z438" i="3" s="1"/>
  <c r="W438" i="3"/>
  <c r="V438" i="3"/>
  <c r="T438" i="3"/>
  <c r="U438" i="3" s="1"/>
  <c r="S438" i="3"/>
  <c r="R438" i="3"/>
  <c r="P438" i="3"/>
  <c r="Q438" i="3" s="1"/>
  <c r="O438" i="3"/>
  <c r="N438" i="3"/>
  <c r="L438" i="3"/>
  <c r="M438" i="3" s="1"/>
  <c r="I438" i="3"/>
  <c r="J438" i="3" s="1"/>
  <c r="AH437" i="3"/>
  <c r="AI437" i="3" s="1"/>
  <c r="AF437" i="3"/>
  <c r="AE437" i="3"/>
  <c r="AC437" i="3"/>
  <c r="AD437" i="3" s="1"/>
  <c r="AB437" i="3"/>
  <c r="AA437" i="3"/>
  <c r="Y437" i="3"/>
  <c r="Z437" i="3" s="1"/>
  <c r="W437" i="3"/>
  <c r="V437" i="3"/>
  <c r="T437" i="3"/>
  <c r="U437" i="3" s="1"/>
  <c r="S437" i="3"/>
  <c r="R437" i="3"/>
  <c r="P437" i="3"/>
  <c r="Q437" i="3" s="1"/>
  <c r="O437" i="3"/>
  <c r="N437" i="3"/>
  <c r="L437" i="3"/>
  <c r="M437" i="3" s="1"/>
  <c r="I437" i="3"/>
  <c r="J437" i="3" s="1"/>
  <c r="AH436" i="3"/>
  <c r="AI436" i="3" s="1"/>
  <c r="AF436" i="3"/>
  <c r="AE436" i="3"/>
  <c r="AC436" i="3"/>
  <c r="AD436" i="3" s="1"/>
  <c r="AB436" i="3"/>
  <c r="AA436" i="3"/>
  <c r="Y436" i="3"/>
  <c r="Z436" i="3" s="1"/>
  <c r="W436" i="3"/>
  <c r="V436" i="3"/>
  <c r="T436" i="3"/>
  <c r="U436" i="3" s="1"/>
  <c r="S436" i="3"/>
  <c r="R436" i="3"/>
  <c r="P436" i="3"/>
  <c r="Q436" i="3" s="1"/>
  <c r="O436" i="3"/>
  <c r="N436" i="3"/>
  <c r="L436" i="3"/>
  <c r="M436" i="3" s="1"/>
  <c r="I436" i="3"/>
  <c r="J436" i="3" s="1"/>
  <c r="AH435" i="3"/>
  <c r="AI435" i="3" s="1"/>
  <c r="AF435" i="3"/>
  <c r="AE435" i="3"/>
  <c r="AC435" i="3"/>
  <c r="AD435" i="3" s="1"/>
  <c r="AB435" i="3"/>
  <c r="AA435" i="3"/>
  <c r="Y435" i="3"/>
  <c r="Z435" i="3" s="1"/>
  <c r="W435" i="3"/>
  <c r="V435" i="3"/>
  <c r="T435" i="3"/>
  <c r="U435" i="3" s="1"/>
  <c r="S435" i="3"/>
  <c r="R435" i="3"/>
  <c r="P435" i="3"/>
  <c r="Q435" i="3" s="1"/>
  <c r="O435" i="3"/>
  <c r="N435" i="3"/>
  <c r="L435" i="3"/>
  <c r="M435" i="3" s="1"/>
  <c r="I435" i="3"/>
  <c r="J435" i="3" s="1"/>
  <c r="AH434" i="3"/>
  <c r="AI434" i="3" s="1"/>
  <c r="AF434" i="3"/>
  <c r="AE434" i="3"/>
  <c r="AC434" i="3"/>
  <c r="AD434" i="3" s="1"/>
  <c r="AB434" i="3"/>
  <c r="AA434" i="3"/>
  <c r="Y434" i="3"/>
  <c r="Z434" i="3" s="1"/>
  <c r="W434" i="3"/>
  <c r="V434" i="3"/>
  <c r="T434" i="3"/>
  <c r="U434" i="3" s="1"/>
  <c r="S434" i="3"/>
  <c r="R434" i="3"/>
  <c r="P434" i="3"/>
  <c r="Q434" i="3" s="1"/>
  <c r="O434" i="3"/>
  <c r="N434" i="3"/>
  <c r="L434" i="3"/>
  <c r="M434" i="3" s="1"/>
  <c r="I434" i="3"/>
  <c r="J434" i="3" s="1"/>
  <c r="AH433" i="3"/>
  <c r="AI433" i="3" s="1"/>
  <c r="AF433" i="3"/>
  <c r="AE433" i="3"/>
  <c r="AC433" i="3"/>
  <c r="AD433" i="3" s="1"/>
  <c r="AB433" i="3"/>
  <c r="AA433" i="3"/>
  <c r="Y433" i="3"/>
  <c r="Z433" i="3" s="1"/>
  <c r="W433" i="3"/>
  <c r="V433" i="3"/>
  <c r="T433" i="3"/>
  <c r="U433" i="3" s="1"/>
  <c r="S433" i="3"/>
  <c r="R433" i="3"/>
  <c r="P433" i="3"/>
  <c r="Q433" i="3" s="1"/>
  <c r="O433" i="3"/>
  <c r="N433" i="3"/>
  <c r="L433" i="3"/>
  <c r="M433" i="3" s="1"/>
  <c r="I433" i="3"/>
  <c r="J433" i="3" s="1"/>
  <c r="AH432" i="3"/>
  <c r="AI432" i="3" s="1"/>
  <c r="AF432" i="3"/>
  <c r="AE432" i="3"/>
  <c r="AC432" i="3"/>
  <c r="AD432" i="3" s="1"/>
  <c r="AB432" i="3"/>
  <c r="AA432" i="3"/>
  <c r="Y432" i="3"/>
  <c r="Z432" i="3" s="1"/>
  <c r="W432" i="3"/>
  <c r="V432" i="3"/>
  <c r="T432" i="3"/>
  <c r="U432" i="3" s="1"/>
  <c r="S432" i="3"/>
  <c r="R432" i="3"/>
  <c r="P432" i="3"/>
  <c r="Q432" i="3" s="1"/>
  <c r="O432" i="3"/>
  <c r="N432" i="3"/>
  <c r="L432" i="3"/>
  <c r="M432" i="3" s="1"/>
  <c r="I432" i="3"/>
  <c r="J432" i="3" s="1"/>
  <c r="AH431" i="3"/>
  <c r="AI431" i="3" s="1"/>
  <c r="AF431" i="3"/>
  <c r="AE431" i="3"/>
  <c r="AC431" i="3"/>
  <c r="AD431" i="3" s="1"/>
  <c r="AB431" i="3"/>
  <c r="AA431" i="3"/>
  <c r="Y431" i="3"/>
  <c r="Z431" i="3" s="1"/>
  <c r="W431" i="3"/>
  <c r="V431" i="3"/>
  <c r="T431" i="3"/>
  <c r="U431" i="3" s="1"/>
  <c r="S431" i="3"/>
  <c r="R431" i="3"/>
  <c r="P431" i="3"/>
  <c r="Q431" i="3" s="1"/>
  <c r="O431" i="3"/>
  <c r="N431" i="3"/>
  <c r="L431" i="3"/>
  <c r="M431" i="3" s="1"/>
  <c r="I431" i="3"/>
  <c r="J431" i="3" s="1"/>
  <c r="AH430" i="3"/>
  <c r="AI430" i="3" s="1"/>
  <c r="AF430" i="3"/>
  <c r="AE430" i="3"/>
  <c r="AC430" i="3"/>
  <c r="AD430" i="3" s="1"/>
  <c r="AB430" i="3"/>
  <c r="AA430" i="3"/>
  <c r="Y430" i="3"/>
  <c r="Z430" i="3" s="1"/>
  <c r="W430" i="3"/>
  <c r="V430" i="3"/>
  <c r="T430" i="3"/>
  <c r="U430" i="3" s="1"/>
  <c r="S430" i="3"/>
  <c r="R430" i="3"/>
  <c r="P430" i="3"/>
  <c r="Q430" i="3" s="1"/>
  <c r="O430" i="3"/>
  <c r="N430" i="3"/>
  <c r="L430" i="3"/>
  <c r="M430" i="3" s="1"/>
  <c r="I430" i="3"/>
  <c r="J430" i="3" s="1"/>
  <c r="AH429" i="3"/>
  <c r="AI429" i="3" s="1"/>
  <c r="AF429" i="3"/>
  <c r="AE429" i="3"/>
  <c r="AC429" i="3"/>
  <c r="AD429" i="3" s="1"/>
  <c r="AB429" i="3"/>
  <c r="AA429" i="3"/>
  <c r="Y429" i="3"/>
  <c r="Z429" i="3" s="1"/>
  <c r="W429" i="3"/>
  <c r="V429" i="3"/>
  <c r="T429" i="3"/>
  <c r="U429" i="3" s="1"/>
  <c r="S429" i="3"/>
  <c r="R429" i="3"/>
  <c r="P429" i="3"/>
  <c r="Q429" i="3" s="1"/>
  <c r="O429" i="3"/>
  <c r="N429" i="3"/>
  <c r="L429" i="3"/>
  <c r="M429" i="3" s="1"/>
  <c r="I429" i="3"/>
  <c r="J429" i="3" s="1"/>
  <c r="AH428" i="3"/>
  <c r="AI428" i="3" s="1"/>
  <c r="AF428" i="3"/>
  <c r="AE428" i="3"/>
  <c r="AC428" i="3"/>
  <c r="AD428" i="3" s="1"/>
  <c r="AB428" i="3"/>
  <c r="AA428" i="3"/>
  <c r="Y428" i="3"/>
  <c r="Z428" i="3" s="1"/>
  <c r="W428" i="3"/>
  <c r="V428" i="3"/>
  <c r="T428" i="3"/>
  <c r="U428" i="3" s="1"/>
  <c r="S428" i="3"/>
  <c r="R428" i="3"/>
  <c r="P428" i="3"/>
  <c r="Q428" i="3" s="1"/>
  <c r="O428" i="3"/>
  <c r="N428" i="3"/>
  <c r="L428" i="3"/>
  <c r="M428" i="3" s="1"/>
  <c r="I428" i="3"/>
  <c r="J428" i="3" s="1"/>
  <c r="AH427" i="3"/>
  <c r="AI427" i="3" s="1"/>
  <c r="AF427" i="3"/>
  <c r="AE427" i="3"/>
  <c r="AC427" i="3"/>
  <c r="AD427" i="3" s="1"/>
  <c r="AB427" i="3"/>
  <c r="AA427" i="3"/>
  <c r="Y427" i="3"/>
  <c r="Z427" i="3" s="1"/>
  <c r="W427" i="3"/>
  <c r="V427" i="3"/>
  <c r="T427" i="3"/>
  <c r="U427" i="3" s="1"/>
  <c r="S427" i="3"/>
  <c r="R427" i="3"/>
  <c r="P427" i="3"/>
  <c r="Q427" i="3" s="1"/>
  <c r="O427" i="3"/>
  <c r="N427" i="3"/>
  <c r="L427" i="3"/>
  <c r="M427" i="3" s="1"/>
  <c r="I427" i="3"/>
  <c r="J427" i="3" s="1"/>
  <c r="AH426" i="3"/>
  <c r="AI426" i="3" s="1"/>
  <c r="AF426" i="3"/>
  <c r="AE426" i="3"/>
  <c r="AC426" i="3"/>
  <c r="AD426" i="3" s="1"/>
  <c r="AB426" i="3"/>
  <c r="AA426" i="3"/>
  <c r="Y426" i="3"/>
  <c r="Z426" i="3" s="1"/>
  <c r="W426" i="3"/>
  <c r="V426" i="3"/>
  <c r="T426" i="3"/>
  <c r="U426" i="3" s="1"/>
  <c r="S426" i="3"/>
  <c r="R426" i="3"/>
  <c r="P426" i="3"/>
  <c r="Q426" i="3" s="1"/>
  <c r="O426" i="3"/>
  <c r="N426" i="3"/>
  <c r="L426" i="3"/>
  <c r="M426" i="3" s="1"/>
  <c r="I426" i="3"/>
  <c r="J426" i="3" s="1"/>
  <c r="AH425" i="3"/>
  <c r="AI425" i="3" s="1"/>
  <c r="AF425" i="3"/>
  <c r="AE425" i="3"/>
  <c r="AC425" i="3"/>
  <c r="AD425" i="3" s="1"/>
  <c r="AB425" i="3"/>
  <c r="AA425" i="3"/>
  <c r="Y425" i="3"/>
  <c r="Z425" i="3" s="1"/>
  <c r="W425" i="3"/>
  <c r="V425" i="3"/>
  <c r="T425" i="3"/>
  <c r="U425" i="3" s="1"/>
  <c r="S425" i="3"/>
  <c r="R425" i="3"/>
  <c r="P425" i="3"/>
  <c r="Q425" i="3" s="1"/>
  <c r="O425" i="3"/>
  <c r="N425" i="3"/>
  <c r="L425" i="3"/>
  <c r="M425" i="3" s="1"/>
  <c r="J425" i="3"/>
  <c r="I425" i="3"/>
  <c r="AH424" i="3"/>
  <c r="AI424" i="3" s="1"/>
  <c r="AF424" i="3"/>
  <c r="AE424" i="3"/>
  <c r="AC424" i="3"/>
  <c r="AD424" i="3" s="1"/>
  <c r="AB424" i="3"/>
  <c r="AA424" i="3"/>
  <c r="Y424" i="3"/>
  <c r="Z424" i="3" s="1"/>
  <c r="W424" i="3"/>
  <c r="V424" i="3"/>
  <c r="T424" i="3"/>
  <c r="U424" i="3" s="1"/>
  <c r="S424" i="3"/>
  <c r="R424" i="3"/>
  <c r="P424" i="3"/>
  <c r="Q424" i="3" s="1"/>
  <c r="O424" i="3"/>
  <c r="N424" i="3"/>
  <c r="L424" i="3"/>
  <c r="M424" i="3" s="1"/>
  <c r="I424" i="3"/>
  <c r="J424" i="3" s="1"/>
  <c r="AH423" i="3"/>
  <c r="AI423" i="3" s="1"/>
  <c r="AF423" i="3"/>
  <c r="AE423" i="3"/>
  <c r="AC423" i="3"/>
  <c r="AD423" i="3" s="1"/>
  <c r="AB423" i="3"/>
  <c r="AA423" i="3"/>
  <c r="Y423" i="3"/>
  <c r="Z423" i="3" s="1"/>
  <c r="W423" i="3"/>
  <c r="V423" i="3"/>
  <c r="T423" i="3"/>
  <c r="U423" i="3" s="1"/>
  <c r="S423" i="3"/>
  <c r="R423" i="3"/>
  <c r="P423" i="3"/>
  <c r="Q423" i="3" s="1"/>
  <c r="O423" i="3"/>
  <c r="N423" i="3"/>
  <c r="L423" i="3"/>
  <c r="M423" i="3" s="1"/>
  <c r="I423" i="3"/>
  <c r="J423" i="3" s="1"/>
  <c r="AH422" i="3"/>
  <c r="AI422" i="3" s="1"/>
  <c r="AF422" i="3"/>
  <c r="AE422" i="3"/>
  <c r="AC422" i="3"/>
  <c r="AD422" i="3" s="1"/>
  <c r="AB422" i="3"/>
  <c r="AA422" i="3"/>
  <c r="Y422" i="3"/>
  <c r="Z422" i="3" s="1"/>
  <c r="W422" i="3"/>
  <c r="V422" i="3"/>
  <c r="T422" i="3"/>
  <c r="U422" i="3" s="1"/>
  <c r="S422" i="3"/>
  <c r="R422" i="3"/>
  <c r="P422" i="3"/>
  <c r="Q422" i="3" s="1"/>
  <c r="O422" i="3"/>
  <c r="N422" i="3"/>
  <c r="L422" i="3"/>
  <c r="M422" i="3" s="1"/>
  <c r="I422" i="3"/>
  <c r="J422" i="3" s="1"/>
  <c r="AH421" i="3"/>
  <c r="AI421" i="3" s="1"/>
  <c r="AF421" i="3"/>
  <c r="AE421" i="3"/>
  <c r="AC421" i="3"/>
  <c r="AD421" i="3" s="1"/>
  <c r="AB421" i="3"/>
  <c r="AA421" i="3"/>
  <c r="Y421" i="3"/>
  <c r="Z421" i="3" s="1"/>
  <c r="W421" i="3"/>
  <c r="V421" i="3"/>
  <c r="T421" i="3"/>
  <c r="U421" i="3" s="1"/>
  <c r="S421" i="3"/>
  <c r="R421" i="3"/>
  <c r="P421" i="3"/>
  <c r="Q421" i="3" s="1"/>
  <c r="O421" i="3"/>
  <c r="N421" i="3"/>
  <c r="L421" i="3"/>
  <c r="M421" i="3" s="1"/>
  <c r="I421" i="3"/>
  <c r="J421" i="3" s="1"/>
  <c r="AH420" i="3"/>
  <c r="AI420" i="3" s="1"/>
  <c r="AF420" i="3"/>
  <c r="AE420" i="3"/>
  <c r="AC420" i="3"/>
  <c r="AD420" i="3" s="1"/>
  <c r="AB420" i="3"/>
  <c r="AA420" i="3"/>
  <c r="Y420" i="3"/>
  <c r="Z420" i="3" s="1"/>
  <c r="W420" i="3"/>
  <c r="V420" i="3"/>
  <c r="T420" i="3"/>
  <c r="U420" i="3" s="1"/>
  <c r="S420" i="3"/>
  <c r="R420" i="3"/>
  <c r="P420" i="3"/>
  <c r="Q420" i="3" s="1"/>
  <c r="O420" i="3"/>
  <c r="N420" i="3"/>
  <c r="L420" i="3"/>
  <c r="M420" i="3" s="1"/>
  <c r="I420" i="3"/>
  <c r="J420" i="3" s="1"/>
  <c r="AH419" i="3"/>
  <c r="AI419" i="3" s="1"/>
  <c r="AF419" i="3"/>
  <c r="AE419" i="3"/>
  <c r="AC419" i="3"/>
  <c r="AD419" i="3" s="1"/>
  <c r="AB419" i="3"/>
  <c r="AA419" i="3"/>
  <c r="Y419" i="3"/>
  <c r="Z419" i="3" s="1"/>
  <c r="W419" i="3"/>
  <c r="V419" i="3"/>
  <c r="T419" i="3"/>
  <c r="U419" i="3" s="1"/>
  <c r="S419" i="3"/>
  <c r="R419" i="3"/>
  <c r="P419" i="3"/>
  <c r="Q419" i="3" s="1"/>
  <c r="O419" i="3"/>
  <c r="N419" i="3"/>
  <c r="L419" i="3"/>
  <c r="M419" i="3" s="1"/>
  <c r="I419" i="3"/>
  <c r="J419" i="3" s="1"/>
  <c r="AH418" i="3"/>
  <c r="AI418" i="3" s="1"/>
  <c r="AF418" i="3"/>
  <c r="AE418" i="3"/>
  <c r="AC418" i="3"/>
  <c r="AD418" i="3" s="1"/>
  <c r="AB418" i="3"/>
  <c r="AA418" i="3"/>
  <c r="Y418" i="3"/>
  <c r="Z418" i="3" s="1"/>
  <c r="W418" i="3"/>
  <c r="V418" i="3"/>
  <c r="T418" i="3"/>
  <c r="U418" i="3" s="1"/>
  <c r="S418" i="3"/>
  <c r="R418" i="3"/>
  <c r="P418" i="3"/>
  <c r="Q418" i="3" s="1"/>
  <c r="O418" i="3"/>
  <c r="N418" i="3"/>
  <c r="L418" i="3"/>
  <c r="M418" i="3" s="1"/>
  <c r="I418" i="3"/>
  <c r="J418" i="3" s="1"/>
  <c r="AH417" i="3"/>
  <c r="AI417" i="3" s="1"/>
  <c r="AF417" i="3"/>
  <c r="AE417" i="3"/>
  <c r="AC417" i="3"/>
  <c r="AD417" i="3" s="1"/>
  <c r="AB417" i="3"/>
  <c r="AA417" i="3"/>
  <c r="Y417" i="3"/>
  <c r="Z417" i="3" s="1"/>
  <c r="W417" i="3"/>
  <c r="V417" i="3"/>
  <c r="T417" i="3"/>
  <c r="U417" i="3" s="1"/>
  <c r="S417" i="3"/>
  <c r="R417" i="3"/>
  <c r="P417" i="3"/>
  <c r="Q417" i="3" s="1"/>
  <c r="O417" i="3"/>
  <c r="N417" i="3"/>
  <c r="L417" i="3"/>
  <c r="M417" i="3" s="1"/>
  <c r="I417" i="3"/>
  <c r="J417" i="3" s="1"/>
  <c r="AH416" i="3"/>
  <c r="AI416" i="3" s="1"/>
  <c r="AF416" i="3"/>
  <c r="AE416" i="3"/>
  <c r="AC416" i="3"/>
  <c r="AD416" i="3" s="1"/>
  <c r="AB416" i="3"/>
  <c r="AA416" i="3"/>
  <c r="Y416" i="3"/>
  <c r="Z416" i="3" s="1"/>
  <c r="W416" i="3"/>
  <c r="V416" i="3"/>
  <c r="T416" i="3"/>
  <c r="U416" i="3" s="1"/>
  <c r="S416" i="3"/>
  <c r="R416" i="3"/>
  <c r="P416" i="3"/>
  <c r="Q416" i="3" s="1"/>
  <c r="O416" i="3"/>
  <c r="N416" i="3"/>
  <c r="L416" i="3"/>
  <c r="M416" i="3" s="1"/>
  <c r="I416" i="3"/>
  <c r="J416" i="3" s="1"/>
  <c r="AH415" i="3"/>
  <c r="AI415" i="3" s="1"/>
  <c r="AF415" i="3"/>
  <c r="AE415" i="3"/>
  <c r="AC415" i="3"/>
  <c r="AD415" i="3" s="1"/>
  <c r="AB415" i="3"/>
  <c r="AA415" i="3"/>
  <c r="Y415" i="3"/>
  <c r="Z415" i="3" s="1"/>
  <c r="W415" i="3"/>
  <c r="V415" i="3"/>
  <c r="T415" i="3"/>
  <c r="U415" i="3" s="1"/>
  <c r="S415" i="3"/>
  <c r="R415" i="3"/>
  <c r="P415" i="3"/>
  <c r="Q415" i="3" s="1"/>
  <c r="O415" i="3"/>
  <c r="N415" i="3"/>
  <c r="L415" i="3"/>
  <c r="M415" i="3" s="1"/>
  <c r="I415" i="3"/>
  <c r="J415" i="3" s="1"/>
  <c r="AH414" i="3"/>
  <c r="AI414" i="3" s="1"/>
  <c r="AF414" i="3"/>
  <c r="AE414" i="3"/>
  <c r="AC414" i="3"/>
  <c r="AD414" i="3" s="1"/>
  <c r="AB414" i="3"/>
  <c r="AA414" i="3"/>
  <c r="Y414" i="3"/>
  <c r="Z414" i="3" s="1"/>
  <c r="W414" i="3"/>
  <c r="V414" i="3"/>
  <c r="T414" i="3"/>
  <c r="U414" i="3" s="1"/>
  <c r="S414" i="3"/>
  <c r="R414" i="3"/>
  <c r="P414" i="3"/>
  <c r="Q414" i="3" s="1"/>
  <c r="O414" i="3"/>
  <c r="N414" i="3"/>
  <c r="L414" i="3"/>
  <c r="M414" i="3" s="1"/>
  <c r="I414" i="3"/>
  <c r="J414" i="3" s="1"/>
  <c r="AH413" i="3"/>
  <c r="AI413" i="3" s="1"/>
  <c r="AF413" i="3"/>
  <c r="AE413" i="3"/>
  <c r="AC413" i="3"/>
  <c r="AD413" i="3" s="1"/>
  <c r="AB413" i="3"/>
  <c r="AA413" i="3"/>
  <c r="Y413" i="3"/>
  <c r="Z413" i="3" s="1"/>
  <c r="W413" i="3"/>
  <c r="V413" i="3"/>
  <c r="T413" i="3"/>
  <c r="U413" i="3" s="1"/>
  <c r="S413" i="3"/>
  <c r="R413" i="3"/>
  <c r="P413" i="3"/>
  <c r="Q413" i="3" s="1"/>
  <c r="O413" i="3"/>
  <c r="N413" i="3"/>
  <c r="L413" i="3"/>
  <c r="M413" i="3" s="1"/>
  <c r="I413" i="3"/>
  <c r="J413" i="3" s="1"/>
  <c r="AH412" i="3"/>
  <c r="AI412" i="3" s="1"/>
  <c r="AF412" i="3"/>
  <c r="AE412" i="3"/>
  <c r="AC412" i="3"/>
  <c r="AD412" i="3" s="1"/>
  <c r="AB412" i="3"/>
  <c r="AA412" i="3"/>
  <c r="Y412" i="3"/>
  <c r="Z412" i="3" s="1"/>
  <c r="W412" i="3"/>
  <c r="V412" i="3"/>
  <c r="T412" i="3"/>
  <c r="U412" i="3" s="1"/>
  <c r="S412" i="3"/>
  <c r="R412" i="3"/>
  <c r="P412" i="3"/>
  <c r="Q412" i="3" s="1"/>
  <c r="O412" i="3"/>
  <c r="N412" i="3"/>
  <c r="L412" i="3"/>
  <c r="M412" i="3" s="1"/>
  <c r="I412" i="3"/>
  <c r="J412" i="3" s="1"/>
  <c r="AH411" i="3"/>
  <c r="AI411" i="3" s="1"/>
  <c r="AF411" i="3"/>
  <c r="AE411" i="3"/>
  <c r="AC411" i="3"/>
  <c r="AD411" i="3" s="1"/>
  <c r="AB411" i="3"/>
  <c r="AA411" i="3"/>
  <c r="Y411" i="3"/>
  <c r="Z411" i="3" s="1"/>
  <c r="W411" i="3"/>
  <c r="V411" i="3"/>
  <c r="T411" i="3"/>
  <c r="U411" i="3" s="1"/>
  <c r="S411" i="3"/>
  <c r="R411" i="3"/>
  <c r="P411" i="3"/>
  <c r="Q411" i="3" s="1"/>
  <c r="O411" i="3"/>
  <c r="N411" i="3"/>
  <c r="L411" i="3"/>
  <c r="M411" i="3" s="1"/>
  <c r="I411" i="3"/>
  <c r="J411" i="3" s="1"/>
  <c r="AH410" i="3"/>
  <c r="AI410" i="3" s="1"/>
  <c r="AF410" i="3"/>
  <c r="AE410" i="3"/>
  <c r="AC410" i="3"/>
  <c r="AD410" i="3" s="1"/>
  <c r="AB410" i="3"/>
  <c r="AA410" i="3"/>
  <c r="Y410" i="3"/>
  <c r="Z410" i="3" s="1"/>
  <c r="W410" i="3"/>
  <c r="V410" i="3"/>
  <c r="T410" i="3"/>
  <c r="U410" i="3" s="1"/>
  <c r="S410" i="3"/>
  <c r="R410" i="3"/>
  <c r="P410" i="3"/>
  <c r="Q410" i="3" s="1"/>
  <c r="O410" i="3"/>
  <c r="N410" i="3"/>
  <c r="L410" i="3"/>
  <c r="M410" i="3" s="1"/>
  <c r="I410" i="3"/>
  <c r="J410" i="3" s="1"/>
  <c r="AH409" i="3"/>
  <c r="AI409" i="3" s="1"/>
  <c r="AF409" i="3"/>
  <c r="AE409" i="3"/>
  <c r="AC409" i="3"/>
  <c r="AD409" i="3" s="1"/>
  <c r="AB409" i="3"/>
  <c r="AA409" i="3"/>
  <c r="Y409" i="3"/>
  <c r="Z409" i="3" s="1"/>
  <c r="W409" i="3"/>
  <c r="V409" i="3"/>
  <c r="T409" i="3"/>
  <c r="U409" i="3" s="1"/>
  <c r="S409" i="3"/>
  <c r="R409" i="3"/>
  <c r="P409" i="3"/>
  <c r="Q409" i="3" s="1"/>
  <c r="O409" i="3"/>
  <c r="N409" i="3"/>
  <c r="L409" i="3"/>
  <c r="M409" i="3" s="1"/>
  <c r="J409" i="3"/>
  <c r="I409" i="3"/>
  <c r="AH408" i="3"/>
  <c r="AI408" i="3" s="1"/>
  <c r="AF408" i="3"/>
  <c r="AE408" i="3"/>
  <c r="AC408" i="3"/>
  <c r="AD408" i="3" s="1"/>
  <c r="AB408" i="3"/>
  <c r="AA408" i="3"/>
  <c r="Y408" i="3"/>
  <c r="Z408" i="3" s="1"/>
  <c r="W408" i="3"/>
  <c r="V408" i="3"/>
  <c r="T408" i="3"/>
  <c r="U408" i="3" s="1"/>
  <c r="S408" i="3"/>
  <c r="R408" i="3"/>
  <c r="P408" i="3"/>
  <c r="Q408" i="3" s="1"/>
  <c r="O408" i="3"/>
  <c r="N408" i="3"/>
  <c r="L408" i="3"/>
  <c r="M408" i="3" s="1"/>
  <c r="I408" i="3"/>
  <c r="J408" i="3" s="1"/>
  <c r="AH407" i="3"/>
  <c r="AI407" i="3" s="1"/>
  <c r="AF407" i="3"/>
  <c r="AE407" i="3"/>
  <c r="AC407" i="3"/>
  <c r="AD407" i="3" s="1"/>
  <c r="AB407" i="3"/>
  <c r="AA407" i="3"/>
  <c r="Y407" i="3"/>
  <c r="Z407" i="3" s="1"/>
  <c r="W407" i="3"/>
  <c r="V407" i="3"/>
  <c r="T407" i="3"/>
  <c r="U407" i="3" s="1"/>
  <c r="S407" i="3"/>
  <c r="R407" i="3"/>
  <c r="P407" i="3"/>
  <c r="Q407" i="3" s="1"/>
  <c r="O407" i="3"/>
  <c r="N407" i="3"/>
  <c r="L407" i="3"/>
  <c r="M407" i="3" s="1"/>
  <c r="I407" i="3"/>
  <c r="J407" i="3" s="1"/>
  <c r="AH406" i="3"/>
  <c r="AI406" i="3" s="1"/>
  <c r="AF406" i="3"/>
  <c r="AE406" i="3"/>
  <c r="AC406" i="3"/>
  <c r="AD406" i="3" s="1"/>
  <c r="AB406" i="3"/>
  <c r="AA406" i="3"/>
  <c r="Y406" i="3"/>
  <c r="Z406" i="3" s="1"/>
  <c r="W406" i="3"/>
  <c r="V406" i="3"/>
  <c r="T406" i="3"/>
  <c r="U406" i="3" s="1"/>
  <c r="S406" i="3"/>
  <c r="R406" i="3"/>
  <c r="P406" i="3"/>
  <c r="Q406" i="3" s="1"/>
  <c r="O406" i="3"/>
  <c r="N406" i="3"/>
  <c r="L406" i="3"/>
  <c r="M406" i="3" s="1"/>
  <c r="I406" i="3"/>
  <c r="J406" i="3" s="1"/>
  <c r="AH405" i="3"/>
  <c r="AI405" i="3" s="1"/>
  <c r="AF405" i="3"/>
  <c r="AE405" i="3"/>
  <c r="AC405" i="3"/>
  <c r="AD405" i="3" s="1"/>
  <c r="AB405" i="3"/>
  <c r="AA405" i="3"/>
  <c r="Y405" i="3"/>
  <c r="Z405" i="3" s="1"/>
  <c r="W405" i="3"/>
  <c r="V405" i="3"/>
  <c r="T405" i="3"/>
  <c r="U405" i="3" s="1"/>
  <c r="S405" i="3"/>
  <c r="R405" i="3"/>
  <c r="P405" i="3"/>
  <c r="Q405" i="3" s="1"/>
  <c r="O405" i="3"/>
  <c r="N405" i="3"/>
  <c r="L405" i="3"/>
  <c r="M405" i="3" s="1"/>
  <c r="I405" i="3"/>
  <c r="J405" i="3" s="1"/>
  <c r="AH404" i="3"/>
  <c r="AI404" i="3" s="1"/>
  <c r="AF404" i="3"/>
  <c r="AE404" i="3"/>
  <c r="AC404" i="3"/>
  <c r="AD404" i="3" s="1"/>
  <c r="AB404" i="3"/>
  <c r="AA404" i="3"/>
  <c r="Y404" i="3"/>
  <c r="Z404" i="3" s="1"/>
  <c r="W404" i="3"/>
  <c r="V404" i="3"/>
  <c r="T404" i="3"/>
  <c r="U404" i="3" s="1"/>
  <c r="S404" i="3"/>
  <c r="R404" i="3"/>
  <c r="P404" i="3"/>
  <c r="Q404" i="3" s="1"/>
  <c r="O404" i="3"/>
  <c r="N404" i="3"/>
  <c r="L404" i="3"/>
  <c r="M404" i="3" s="1"/>
  <c r="I404" i="3"/>
  <c r="J404" i="3" s="1"/>
  <c r="AH403" i="3"/>
  <c r="AI403" i="3" s="1"/>
  <c r="AF403" i="3"/>
  <c r="AE403" i="3"/>
  <c r="AC403" i="3"/>
  <c r="AD403" i="3" s="1"/>
  <c r="AB403" i="3"/>
  <c r="AA403" i="3"/>
  <c r="Y403" i="3"/>
  <c r="Z403" i="3" s="1"/>
  <c r="W403" i="3"/>
  <c r="V403" i="3"/>
  <c r="T403" i="3"/>
  <c r="U403" i="3" s="1"/>
  <c r="S403" i="3"/>
  <c r="R403" i="3"/>
  <c r="P403" i="3"/>
  <c r="Q403" i="3" s="1"/>
  <c r="O403" i="3"/>
  <c r="N403" i="3"/>
  <c r="L403" i="3"/>
  <c r="M403" i="3" s="1"/>
  <c r="I403" i="3"/>
  <c r="J403" i="3" s="1"/>
  <c r="AH402" i="3"/>
  <c r="AI402" i="3" s="1"/>
  <c r="AF402" i="3"/>
  <c r="AE402" i="3"/>
  <c r="AC402" i="3"/>
  <c r="AD402" i="3" s="1"/>
  <c r="AB402" i="3"/>
  <c r="AA402" i="3"/>
  <c r="Y402" i="3"/>
  <c r="Z402" i="3" s="1"/>
  <c r="W402" i="3"/>
  <c r="V402" i="3"/>
  <c r="T402" i="3"/>
  <c r="U402" i="3" s="1"/>
  <c r="S402" i="3"/>
  <c r="R402" i="3"/>
  <c r="P402" i="3"/>
  <c r="Q402" i="3" s="1"/>
  <c r="O402" i="3"/>
  <c r="N402" i="3"/>
  <c r="L402" i="3"/>
  <c r="M402" i="3" s="1"/>
  <c r="I402" i="3"/>
  <c r="J402" i="3" s="1"/>
  <c r="AH401" i="3"/>
  <c r="AI401" i="3" s="1"/>
  <c r="AF401" i="3"/>
  <c r="AE401" i="3"/>
  <c r="AC401" i="3"/>
  <c r="AD401" i="3" s="1"/>
  <c r="AB401" i="3"/>
  <c r="AA401" i="3"/>
  <c r="Y401" i="3"/>
  <c r="Z401" i="3" s="1"/>
  <c r="W401" i="3"/>
  <c r="V401" i="3"/>
  <c r="T401" i="3"/>
  <c r="U401" i="3" s="1"/>
  <c r="S401" i="3"/>
  <c r="R401" i="3"/>
  <c r="P401" i="3"/>
  <c r="Q401" i="3" s="1"/>
  <c r="O401" i="3"/>
  <c r="N401" i="3"/>
  <c r="L401" i="3"/>
  <c r="M401" i="3" s="1"/>
  <c r="I401" i="3"/>
  <c r="J401" i="3" s="1"/>
  <c r="AH400" i="3"/>
  <c r="AI400" i="3" s="1"/>
  <c r="AF400" i="3"/>
  <c r="AE400" i="3"/>
  <c r="AC400" i="3"/>
  <c r="AD400" i="3" s="1"/>
  <c r="AB400" i="3"/>
  <c r="AA400" i="3"/>
  <c r="Y400" i="3"/>
  <c r="Z400" i="3" s="1"/>
  <c r="W400" i="3"/>
  <c r="V400" i="3"/>
  <c r="T400" i="3"/>
  <c r="U400" i="3" s="1"/>
  <c r="S400" i="3"/>
  <c r="R400" i="3"/>
  <c r="P400" i="3"/>
  <c r="Q400" i="3" s="1"/>
  <c r="O400" i="3"/>
  <c r="N400" i="3"/>
  <c r="L400" i="3"/>
  <c r="M400" i="3" s="1"/>
  <c r="I400" i="3"/>
  <c r="J400" i="3" s="1"/>
  <c r="AH399" i="3"/>
  <c r="AI399" i="3" s="1"/>
  <c r="AF399" i="3"/>
  <c r="AE399" i="3"/>
  <c r="AC399" i="3"/>
  <c r="AD399" i="3" s="1"/>
  <c r="AB399" i="3"/>
  <c r="AA399" i="3"/>
  <c r="Y399" i="3"/>
  <c r="Z399" i="3" s="1"/>
  <c r="W399" i="3"/>
  <c r="V399" i="3"/>
  <c r="T399" i="3"/>
  <c r="U399" i="3" s="1"/>
  <c r="S399" i="3"/>
  <c r="R399" i="3"/>
  <c r="P399" i="3"/>
  <c r="Q399" i="3" s="1"/>
  <c r="O399" i="3"/>
  <c r="N399" i="3"/>
  <c r="L399" i="3"/>
  <c r="M399" i="3" s="1"/>
  <c r="I399" i="3"/>
  <c r="J399" i="3" s="1"/>
  <c r="AH398" i="3"/>
  <c r="AI398" i="3" s="1"/>
  <c r="AF398" i="3"/>
  <c r="AE398" i="3"/>
  <c r="AC398" i="3"/>
  <c r="AD398" i="3" s="1"/>
  <c r="AB398" i="3"/>
  <c r="AA398" i="3"/>
  <c r="Y398" i="3"/>
  <c r="Z398" i="3" s="1"/>
  <c r="W398" i="3"/>
  <c r="V398" i="3"/>
  <c r="T398" i="3"/>
  <c r="U398" i="3" s="1"/>
  <c r="S398" i="3"/>
  <c r="R398" i="3"/>
  <c r="P398" i="3"/>
  <c r="Q398" i="3" s="1"/>
  <c r="O398" i="3"/>
  <c r="N398" i="3"/>
  <c r="L398" i="3"/>
  <c r="M398" i="3" s="1"/>
  <c r="I398" i="3"/>
  <c r="J398" i="3" s="1"/>
  <c r="AH397" i="3"/>
  <c r="AI397" i="3" s="1"/>
  <c r="AF397" i="3"/>
  <c r="AE397" i="3"/>
  <c r="AC397" i="3"/>
  <c r="AD397" i="3" s="1"/>
  <c r="AB397" i="3"/>
  <c r="AA397" i="3"/>
  <c r="Y397" i="3"/>
  <c r="Z397" i="3" s="1"/>
  <c r="W397" i="3"/>
  <c r="V397" i="3"/>
  <c r="T397" i="3"/>
  <c r="U397" i="3" s="1"/>
  <c r="S397" i="3"/>
  <c r="R397" i="3"/>
  <c r="P397" i="3"/>
  <c r="Q397" i="3" s="1"/>
  <c r="O397" i="3"/>
  <c r="N397" i="3"/>
  <c r="L397" i="3"/>
  <c r="M397" i="3" s="1"/>
  <c r="I397" i="3"/>
  <c r="J397" i="3" s="1"/>
  <c r="AH396" i="3"/>
  <c r="AI396" i="3" s="1"/>
  <c r="AF396" i="3"/>
  <c r="AE396" i="3"/>
  <c r="AC396" i="3"/>
  <c r="AD396" i="3" s="1"/>
  <c r="AB396" i="3"/>
  <c r="AA396" i="3"/>
  <c r="Y396" i="3"/>
  <c r="Z396" i="3" s="1"/>
  <c r="W396" i="3"/>
  <c r="V396" i="3"/>
  <c r="T396" i="3"/>
  <c r="U396" i="3" s="1"/>
  <c r="S396" i="3"/>
  <c r="R396" i="3"/>
  <c r="P396" i="3"/>
  <c r="Q396" i="3" s="1"/>
  <c r="O396" i="3"/>
  <c r="N396" i="3"/>
  <c r="L396" i="3"/>
  <c r="M396" i="3" s="1"/>
  <c r="I396" i="3"/>
  <c r="J396" i="3" s="1"/>
  <c r="AH395" i="3"/>
  <c r="AI395" i="3" s="1"/>
  <c r="AF395" i="3"/>
  <c r="AE395" i="3"/>
  <c r="AC395" i="3"/>
  <c r="AD395" i="3" s="1"/>
  <c r="AB395" i="3"/>
  <c r="AA395" i="3"/>
  <c r="Y395" i="3"/>
  <c r="Z395" i="3" s="1"/>
  <c r="W395" i="3"/>
  <c r="V395" i="3"/>
  <c r="T395" i="3"/>
  <c r="U395" i="3" s="1"/>
  <c r="S395" i="3"/>
  <c r="R395" i="3"/>
  <c r="P395" i="3"/>
  <c r="Q395" i="3" s="1"/>
  <c r="O395" i="3"/>
  <c r="N395" i="3"/>
  <c r="L395" i="3"/>
  <c r="M395" i="3" s="1"/>
  <c r="I395" i="3"/>
  <c r="J395" i="3" s="1"/>
  <c r="AH394" i="3"/>
  <c r="AI394" i="3" s="1"/>
  <c r="AF394" i="3"/>
  <c r="AE394" i="3"/>
  <c r="AC394" i="3"/>
  <c r="AD394" i="3" s="1"/>
  <c r="AB394" i="3"/>
  <c r="AA394" i="3"/>
  <c r="Y394" i="3"/>
  <c r="Z394" i="3" s="1"/>
  <c r="W394" i="3"/>
  <c r="V394" i="3"/>
  <c r="T394" i="3"/>
  <c r="U394" i="3" s="1"/>
  <c r="S394" i="3"/>
  <c r="R394" i="3"/>
  <c r="P394" i="3"/>
  <c r="Q394" i="3" s="1"/>
  <c r="O394" i="3"/>
  <c r="N394" i="3"/>
  <c r="L394" i="3"/>
  <c r="M394" i="3" s="1"/>
  <c r="I394" i="3"/>
  <c r="J394" i="3" s="1"/>
  <c r="AH393" i="3"/>
  <c r="AI393" i="3" s="1"/>
  <c r="AF393" i="3"/>
  <c r="AE393" i="3"/>
  <c r="AC393" i="3"/>
  <c r="AD393" i="3" s="1"/>
  <c r="AB393" i="3"/>
  <c r="AA393" i="3"/>
  <c r="Y393" i="3"/>
  <c r="Z393" i="3" s="1"/>
  <c r="W393" i="3"/>
  <c r="V393" i="3"/>
  <c r="T393" i="3"/>
  <c r="U393" i="3" s="1"/>
  <c r="S393" i="3"/>
  <c r="R393" i="3"/>
  <c r="P393" i="3"/>
  <c r="Q393" i="3" s="1"/>
  <c r="O393" i="3"/>
  <c r="N393" i="3"/>
  <c r="L393" i="3"/>
  <c r="M393" i="3" s="1"/>
  <c r="J393" i="3"/>
  <c r="I393" i="3"/>
  <c r="AH392" i="3"/>
  <c r="AI392" i="3" s="1"/>
  <c r="AF392" i="3"/>
  <c r="AE392" i="3"/>
  <c r="AC392" i="3"/>
  <c r="AD392" i="3" s="1"/>
  <c r="AB392" i="3"/>
  <c r="AA392" i="3"/>
  <c r="Y392" i="3"/>
  <c r="Z392" i="3" s="1"/>
  <c r="W392" i="3"/>
  <c r="V392" i="3"/>
  <c r="T392" i="3"/>
  <c r="U392" i="3" s="1"/>
  <c r="S392" i="3"/>
  <c r="R392" i="3"/>
  <c r="P392" i="3"/>
  <c r="Q392" i="3" s="1"/>
  <c r="O392" i="3"/>
  <c r="N392" i="3"/>
  <c r="L392" i="3"/>
  <c r="M392" i="3" s="1"/>
  <c r="I392" i="3"/>
  <c r="J392" i="3" s="1"/>
  <c r="AH391" i="3"/>
  <c r="AI391" i="3" s="1"/>
  <c r="AF391" i="3"/>
  <c r="AE391" i="3"/>
  <c r="AC391" i="3"/>
  <c r="AD391" i="3" s="1"/>
  <c r="AB391" i="3"/>
  <c r="AA391" i="3"/>
  <c r="Y391" i="3"/>
  <c r="Z391" i="3" s="1"/>
  <c r="W391" i="3"/>
  <c r="V391" i="3"/>
  <c r="T391" i="3"/>
  <c r="U391" i="3" s="1"/>
  <c r="S391" i="3"/>
  <c r="R391" i="3"/>
  <c r="P391" i="3"/>
  <c r="Q391" i="3" s="1"/>
  <c r="O391" i="3"/>
  <c r="N391" i="3"/>
  <c r="L391" i="3"/>
  <c r="M391" i="3" s="1"/>
  <c r="I391" i="3"/>
  <c r="J391" i="3" s="1"/>
  <c r="AH390" i="3"/>
  <c r="AI390" i="3" s="1"/>
  <c r="AF390" i="3"/>
  <c r="AE390" i="3"/>
  <c r="AC390" i="3"/>
  <c r="AD390" i="3" s="1"/>
  <c r="AB390" i="3"/>
  <c r="AA390" i="3"/>
  <c r="Y390" i="3"/>
  <c r="Z390" i="3" s="1"/>
  <c r="W390" i="3"/>
  <c r="V390" i="3"/>
  <c r="T390" i="3"/>
  <c r="U390" i="3" s="1"/>
  <c r="S390" i="3"/>
  <c r="R390" i="3"/>
  <c r="P390" i="3"/>
  <c r="Q390" i="3" s="1"/>
  <c r="O390" i="3"/>
  <c r="N390" i="3"/>
  <c r="L390" i="3"/>
  <c r="M390" i="3" s="1"/>
  <c r="I390" i="3"/>
  <c r="J390" i="3" s="1"/>
  <c r="AH389" i="3"/>
  <c r="AI389" i="3" s="1"/>
  <c r="AF389" i="3"/>
  <c r="AE389" i="3"/>
  <c r="AC389" i="3"/>
  <c r="AD389" i="3" s="1"/>
  <c r="AB389" i="3"/>
  <c r="AA389" i="3"/>
  <c r="Y389" i="3"/>
  <c r="Z389" i="3" s="1"/>
  <c r="W389" i="3"/>
  <c r="V389" i="3"/>
  <c r="T389" i="3"/>
  <c r="U389" i="3" s="1"/>
  <c r="S389" i="3"/>
  <c r="R389" i="3"/>
  <c r="P389" i="3"/>
  <c r="Q389" i="3" s="1"/>
  <c r="O389" i="3"/>
  <c r="N389" i="3"/>
  <c r="L389" i="3"/>
  <c r="M389" i="3" s="1"/>
  <c r="I389" i="3"/>
  <c r="J389" i="3" s="1"/>
  <c r="AH388" i="3"/>
  <c r="AI388" i="3" s="1"/>
  <c r="AF388" i="3"/>
  <c r="AE388" i="3"/>
  <c r="AC388" i="3"/>
  <c r="AD388" i="3" s="1"/>
  <c r="AB388" i="3"/>
  <c r="AA388" i="3"/>
  <c r="Y388" i="3"/>
  <c r="Z388" i="3" s="1"/>
  <c r="W388" i="3"/>
  <c r="V388" i="3"/>
  <c r="T388" i="3"/>
  <c r="U388" i="3" s="1"/>
  <c r="S388" i="3"/>
  <c r="R388" i="3"/>
  <c r="P388" i="3"/>
  <c r="Q388" i="3" s="1"/>
  <c r="O388" i="3"/>
  <c r="N388" i="3"/>
  <c r="L388" i="3"/>
  <c r="M388" i="3" s="1"/>
  <c r="I388" i="3"/>
  <c r="J388" i="3" s="1"/>
  <c r="AH387" i="3"/>
  <c r="AI387" i="3" s="1"/>
  <c r="AF387" i="3"/>
  <c r="AE387" i="3"/>
  <c r="AC387" i="3"/>
  <c r="AD387" i="3" s="1"/>
  <c r="AB387" i="3"/>
  <c r="AA387" i="3"/>
  <c r="Y387" i="3"/>
  <c r="Z387" i="3" s="1"/>
  <c r="W387" i="3"/>
  <c r="V387" i="3"/>
  <c r="T387" i="3"/>
  <c r="U387" i="3" s="1"/>
  <c r="S387" i="3"/>
  <c r="R387" i="3"/>
  <c r="P387" i="3"/>
  <c r="Q387" i="3" s="1"/>
  <c r="O387" i="3"/>
  <c r="N387" i="3"/>
  <c r="L387" i="3"/>
  <c r="M387" i="3" s="1"/>
  <c r="I387" i="3"/>
  <c r="J387" i="3" s="1"/>
  <c r="AH386" i="3"/>
  <c r="AI386" i="3" s="1"/>
  <c r="AF386" i="3"/>
  <c r="AE386" i="3"/>
  <c r="AC386" i="3"/>
  <c r="AD386" i="3" s="1"/>
  <c r="AB386" i="3"/>
  <c r="AA386" i="3"/>
  <c r="Y386" i="3"/>
  <c r="Z386" i="3" s="1"/>
  <c r="W386" i="3"/>
  <c r="V386" i="3"/>
  <c r="T386" i="3"/>
  <c r="U386" i="3" s="1"/>
  <c r="S386" i="3"/>
  <c r="R386" i="3"/>
  <c r="P386" i="3"/>
  <c r="Q386" i="3" s="1"/>
  <c r="O386" i="3"/>
  <c r="N386" i="3"/>
  <c r="L386" i="3"/>
  <c r="M386" i="3" s="1"/>
  <c r="I386" i="3"/>
  <c r="J386" i="3" s="1"/>
  <c r="AH385" i="3"/>
  <c r="AI385" i="3" s="1"/>
  <c r="AF385" i="3"/>
  <c r="AE385" i="3"/>
  <c r="AC385" i="3"/>
  <c r="AD385" i="3" s="1"/>
  <c r="AB385" i="3"/>
  <c r="AA385" i="3"/>
  <c r="Y385" i="3"/>
  <c r="Z385" i="3" s="1"/>
  <c r="W385" i="3"/>
  <c r="V385" i="3"/>
  <c r="T385" i="3"/>
  <c r="U385" i="3" s="1"/>
  <c r="S385" i="3"/>
  <c r="R385" i="3"/>
  <c r="P385" i="3"/>
  <c r="Q385" i="3" s="1"/>
  <c r="O385" i="3"/>
  <c r="N385" i="3"/>
  <c r="L385" i="3"/>
  <c r="M385" i="3" s="1"/>
  <c r="I385" i="3"/>
  <c r="J385" i="3" s="1"/>
  <c r="AH384" i="3"/>
  <c r="AI384" i="3" s="1"/>
  <c r="AF384" i="3"/>
  <c r="AE384" i="3"/>
  <c r="AC384" i="3"/>
  <c r="AD384" i="3" s="1"/>
  <c r="AB384" i="3"/>
  <c r="AA384" i="3"/>
  <c r="Y384" i="3"/>
  <c r="Z384" i="3" s="1"/>
  <c r="W384" i="3"/>
  <c r="V384" i="3"/>
  <c r="T384" i="3"/>
  <c r="U384" i="3" s="1"/>
  <c r="S384" i="3"/>
  <c r="R384" i="3"/>
  <c r="P384" i="3"/>
  <c r="Q384" i="3" s="1"/>
  <c r="O384" i="3"/>
  <c r="N384" i="3"/>
  <c r="L384" i="3"/>
  <c r="M384" i="3" s="1"/>
  <c r="I384" i="3"/>
  <c r="J384" i="3" s="1"/>
  <c r="AH383" i="3"/>
  <c r="AI383" i="3" s="1"/>
  <c r="AF383" i="3"/>
  <c r="AE383" i="3"/>
  <c r="AC383" i="3"/>
  <c r="AD383" i="3" s="1"/>
  <c r="AB383" i="3"/>
  <c r="AA383" i="3"/>
  <c r="Y383" i="3"/>
  <c r="Z383" i="3" s="1"/>
  <c r="W383" i="3"/>
  <c r="V383" i="3"/>
  <c r="T383" i="3"/>
  <c r="U383" i="3" s="1"/>
  <c r="S383" i="3"/>
  <c r="R383" i="3"/>
  <c r="P383" i="3"/>
  <c r="Q383" i="3" s="1"/>
  <c r="O383" i="3"/>
  <c r="N383" i="3"/>
  <c r="L383" i="3"/>
  <c r="M383" i="3" s="1"/>
  <c r="I383" i="3"/>
  <c r="J383" i="3" s="1"/>
  <c r="AH382" i="3"/>
  <c r="AI382" i="3" s="1"/>
  <c r="AF382" i="3"/>
  <c r="AE382" i="3"/>
  <c r="AC382" i="3"/>
  <c r="AD382" i="3" s="1"/>
  <c r="AB382" i="3"/>
  <c r="AA382" i="3"/>
  <c r="Y382" i="3"/>
  <c r="Z382" i="3" s="1"/>
  <c r="W382" i="3"/>
  <c r="V382" i="3"/>
  <c r="T382" i="3"/>
  <c r="U382" i="3" s="1"/>
  <c r="S382" i="3"/>
  <c r="R382" i="3"/>
  <c r="P382" i="3"/>
  <c r="Q382" i="3" s="1"/>
  <c r="O382" i="3"/>
  <c r="N382" i="3"/>
  <c r="L382" i="3"/>
  <c r="M382" i="3" s="1"/>
  <c r="I382" i="3"/>
  <c r="J382" i="3" s="1"/>
  <c r="AH381" i="3"/>
  <c r="AI381" i="3" s="1"/>
  <c r="AF381" i="3"/>
  <c r="AE381" i="3"/>
  <c r="AC381" i="3"/>
  <c r="AD381" i="3" s="1"/>
  <c r="AB381" i="3"/>
  <c r="AA381" i="3"/>
  <c r="Y381" i="3"/>
  <c r="Z381" i="3" s="1"/>
  <c r="W381" i="3"/>
  <c r="V381" i="3"/>
  <c r="T381" i="3"/>
  <c r="U381" i="3" s="1"/>
  <c r="S381" i="3"/>
  <c r="R381" i="3"/>
  <c r="P381" i="3"/>
  <c r="Q381" i="3" s="1"/>
  <c r="O381" i="3"/>
  <c r="N381" i="3"/>
  <c r="L381" i="3"/>
  <c r="M381" i="3" s="1"/>
  <c r="I381" i="3"/>
  <c r="J381" i="3" s="1"/>
  <c r="AH380" i="3"/>
  <c r="AI380" i="3" s="1"/>
  <c r="AF380" i="3"/>
  <c r="AE380" i="3"/>
  <c r="AC380" i="3"/>
  <c r="AD380" i="3" s="1"/>
  <c r="AB380" i="3"/>
  <c r="AA380" i="3"/>
  <c r="Y380" i="3"/>
  <c r="Z380" i="3" s="1"/>
  <c r="W380" i="3"/>
  <c r="V380" i="3"/>
  <c r="T380" i="3"/>
  <c r="U380" i="3" s="1"/>
  <c r="S380" i="3"/>
  <c r="R380" i="3"/>
  <c r="P380" i="3"/>
  <c r="Q380" i="3" s="1"/>
  <c r="O380" i="3"/>
  <c r="N380" i="3"/>
  <c r="L380" i="3"/>
  <c r="M380" i="3" s="1"/>
  <c r="I380" i="3"/>
  <c r="J380" i="3" s="1"/>
  <c r="AH379" i="3"/>
  <c r="AI379" i="3" s="1"/>
  <c r="AF379" i="3"/>
  <c r="AE379" i="3"/>
  <c r="AC379" i="3"/>
  <c r="AD379" i="3" s="1"/>
  <c r="AB379" i="3"/>
  <c r="AA379" i="3"/>
  <c r="Y379" i="3"/>
  <c r="Z379" i="3" s="1"/>
  <c r="W379" i="3"/>
  <c r="V379" i="3"/>
  <c r="T379" i="3"/>
  <c r="U379" i="3" s="1"/>
  <c r="S379" i="3"/>
  <c r="R379" i="3"/>
  <c r="P379" i="3"/>
  <c r="Q379" i="3" s="1"/>
  <c r="O379" i="3"/>
  <c r="N379" i="3"/>
  <c r="L379" i="3"/>
  <c r="M379" i="3" s="1"/>
  <c r="I379" i="3"/>
  <c r="J379" i="3" s="1"/>
  <c r="AH378" i="3"/>
  <c r="AI378" i="3" s="1"/>
  <c r="AF378" i="3"/>
  <c r="AE378" i="3"/>
  <c r="AC378" i="3"/>
  <c r="AD378" i="3" s="1"/>
  <c r="AB378" i="3"/>
  <c r="AA378" i="3"/>
  <c r="Y378" i="3"/>
  <c r="Z378" i="3" s="1"/>
  <c r="W378" i="3"/>
  <c r="V378" i="3"/>
  <c r="T378" i="3"/>
  <c r="U378" i="3" s="1"/>
  <c r="S378" i="3"/>
  <c r="R378" i="3"/>
  <c r="P378" i="3"/>
  <c r="Q378" i="3" s="1"/>
  <c r="O378" i="3"/>
  <c r="N378" i="3"/>
  <c r="L378" i="3"/>
  <c r="M378" i="3" s="1"/>
  <c r="I378" i="3"/>
  <c r="J378" i="3" s="1"/>
  <c r="AH377" i="3"/>
  <c r="AI377" i="3" s="1"/>
  <c r="AF377" i="3"/>
  <c r="AE377" i="3"/>
  <c r="AC377" i="3"/>
  <c r="AD377" i="3" s="1"/>
  <c r="AB377" i="3"/>
  <c r="AA377" i="3"/>
  <c r="Y377" i="3"/>
  <c r="Z377" i="3" s="1"/>
  <c r="W377" i="3"/>
  <c r="V377" i="3"/>
  <c r="T377" i="3"/>
  <c r="U377" i="3" s="1"/>
  <c r="S377" i="3"/>
  <c r="R377" i="3"/>
  <c r="P377" i="3"/>
  <c r="Q377" i="3" s="1"/>
  <c r="O377" i="3"/>
  <c r="N377" i="3"/>
  <c r="L377" i="3"/>
  <c r="M377" i="3" s="1"/>
  <c r="J377" i="3"/>
  <c r="I377" i="3"/>
  <c r="AH376" i="3"/>
  <c r="AI376" i="3" s="1"/>
  <c r="AF376" i="3"/>
  <c r="AE376" i="3"/>
  <c r="AC376" i="3"/>
  <c r="AD376" i="3" s="1"/>
  <c r="AB376" i="3"/>
  <c r="AA376" i="3"/>
  <c r="Y376" i="3"/>
  <c r="Z376" i="3" s="1"/>
  <c r="W376" i="3"/>
  <c r="V376" i="3"/>
  <c r="T376" i="3"/>
  <c r="U376" i="3" s="1"/>
  <c r="S376" i="3"/>
  <c r="R376" i="3"/>
  <c r="P376" i="3"/>
  <c r="Q376" i="3" s="1"/>
  <c r="O376" i="3"/>
  <c r="N376" i="3"/>
  <c r="L376" i="3"/>
  <c r="M376" i="3" s="1"/>
  <c r="I376" i="3"/>
  <c r="J376" i="3" s="1"/>
  <c r="AH375" i="3"/>
  <c r="AI375" i="3" s="1"/>
  <c r="AF375" i="3"/>
  <c r="AE375" i="3"/>
  <c r="AC375" i="3"/>
  <c r="AD375" i="3" s="1"/>
  <c r="AB375" i="3"/>
  <c r="AA375" i="3"/>
  <c r="Y375" i="3"/>
  <c r="Z375" i="3" s="1"/>
  <c r="W375" i="3"/>
  <c r="V375" i="3"/>
  <c r="T375" i="3"/>
  <c r="U375" i="3" s="1"/>
  <c r="S375" i="3"/>
  <c r="R375" i="3"/>
  <c r="P375" i="3"/>
  <c r="Q375" i="3" s="1"/>
  <c r="O375" i="3"/>
  <c r="N375" i="3"/>
  <c r="L375" i="3"/>
  <c r="M375" i="3" s="1"/>
  <c r="I375" i="3"/>
  <c r="J375" i="3" s="1"/>
  <c r="AH374" i="3"/>
  <c r="AI374" i="3" s="1"/>
  <c r="AF374" i="3"/>
  <c r="AE374" i="3"/>
  <c r="AC374" i="3"/>
  <c r="AD374" i="3" s="1"/>
  <c r="AB374" i="3"/>
  <c r="AA374" i="3"/>
  <c r="Y374" i="3"/>
  <c r="Z374" i="3" s="1"/>
  <c r="W374" i="3"/>
  <c r="V374" i="3"/>
  <c r="T374" i="3"/>
  <c r="U374" i="3" s="1"/>
  <c r="S374" i="3"/>
  <c r="R374" i="3"/>
  <c r="P374" i="3"/>
  <c r="Q374" i="3" s="1"/>
  <c r="O374" i="3"/>
  <c r="N374" i="3"/>
  <c r="L374" i="3"/>
  <c r="M374" i="3" s="1"/>
  <c r="I374" i="3"/>
  <c r="J374" i="3" s="1"/>
  <c r="AH373" i="3"/>
  <c r="AI373" i="3" s="1"/>
  <c r="AF373" i="3"/>
  <c r="AE373" i="3"/>
  <c r="AC373" i="3"/>
  <c r="AD373" i="3" s="1"/>
  <c r="AB373" i="3"/>
  <c r="AA373" i="3"/>
  <c r="Y373" i="3"/>
  <c r="Z373" i="3" s="1"/>
  <c r="W373" i="3"/>
  <c r="V373" i="3"/>
  <c r="T373" i="3"/>
  <c r="U373" i="3" s="1"/>
  <c r="S373" i="3"/>
  <c r="R373" i="3"/>
  <c r="P373" i="3"/>
  <c r="Q373" i="3" s="1"/>
  <c r="O373" i="3"/>
  <c r="N373" i="3"/>
  <c r="L373" i="3"/>
  <c r="M373" i="3" s="1"/>
  <c r="I373" i="3"/>
  <c r="J373" i="3" s="1"/>
  <c r="AH372" i="3"/>
  <c r="AI372" i="3" s="1"/>
  <c r="AF372" i="3"/>
  <c r="AE372" i="3"/>
  <c r="AC372" i="3"/>
  <c r="AD372" i="3" s="1"/>
  <c r="AB372" i="3"/>
  <c r="AA372" i="3"/>
  <c r="Y372" i="3"/>
  <c r="Z372" i="3" s="1"/>
  <c r="W372" i="3"/>
  <c r="V372" i="3"/>
  <c r="T372" i="3"/>
  <c r="U372" i="3" s="1"/>
  <c r="S372" i="3"/>
  <c r="R372" i="3"/>
  <c r="P372" i="3"/>
  <c r="Q372" i="3" s="1"/>
  <c r="O372" i="3"/>
  <c r="N372" i="3"/>
  <c r="L372" i="3"/>
  <c r="M372" i="3" s="1"/>
  <c r="I372" i="3"/>
  <c r="J372" i="3" s="1"/>
  <c r="AH371" i="3"/>
  <c r="AI371" i="3" s="1"/>
  <c r="AF371" i="3"/>
  <c r="AE371" i="3"/>
  <c r="AC371" i="3"/>
  <c r="AD371" i="3" s="1"/>
  <c r="AB371" i="3"/>
  <c r="AA371" i="3"/>
  <c r="Y371" i="3"/>
  <c r="Z371" i="3" s="1"/>
  <c r="W371" i="3"/>
  <c r="V371" i="3"/>
  <c r="T371" i="3"/>
  <c r="U371" i="3" s="1"/>
  <c r="S371" i="3"/>
  <c r="R371" i="3"/>
  <c r="P371" i="3"/>
  <c r="Q371" i="3" s="1"/>
  <c r="O371" i="3"/>
  <c r="N371" i="3"/>
  <c r="L371" i="3"/>
  <c r="M371" i="3" s="1"/>
  <c r="I371" i="3"/>
  <c r="J371" i="3" s="1"/>
  <c r="AH370" i="3"/>
  <c r="AI370" i="3" s="1"/>
  <c r="AF370" i="3"/>
  <c r="AE370" i="3"/>
  <c r="AC370" i="3"/>
  <c r="AD370" i="3" s="1"/>
  <c r="AB370" i="3"/>
  <c r="AA370" i="3"/>
  <c r="Y370" i="3"/>
  <c r="Z370" i="3" s="1"/>
  <c r="W370" i="3"/>
  <c r="V370" i="3"/>
  <c r="T370" i="3"/>
  <c r="U370" i="3" s="1"/>
  <c r="S370" i="3"/>
  <c r="R370" i="3"/>
  <c r="P370" i="3"/>
  <c r="Q370" i="3" s="1"/>
  <c r="O370" i="3"/>
  <c r="N370" i="3"/>
  <c r="L370" i="3"/>
  <c r="M370" i="3" s="1"/>
  <c r="I370" i="3"/>
  <c r="J370" i="3" s="1"/>
  <c r="AH369" i="3"/>
  <c r="AI369" i="3" s="1"/>
  <c r="AF369" i="3"/>
  <c r="AE369" i="3"/>
  <c r="AC369" i="3"/>
  <c r="AD369" i="3" s="1"/>
  <c r="AB369" i="3"/>
  <c r="AA369" i="3"/>
  <c r="Y369" i="3"/>
  <c r="Z369" i="3" s="1"/>
  <c r="W369" i="3"/>
  <c r="V369" i="3"/>
  <c r="T369" i="3"/>
  <c r="U369" i="3" s="1"/>
  <c r="S369" i="3"/>
  <c r="R369" i="3"/>
  <c r="P369" i="3"/>
  <c r="Q369" i="3" s="1"/>
  <c r="O369" i="3"/>
  <c r="N369" i="3"/>
  <c r="L369" i="3"/>
  <c r="M369" i="3" s="1"/>
  <c r="I369" i="3"/>
  <c r="J369" i="3" s="1"/>
  <c r="AH368" i="3"/>
  <c r="AI368" i="3" s="1"/>
  <c r="AF368" i="3"/>
  <c r="AE368" i="3"/>
  <c r="AC368" i="3"/>
  <c r="AD368" i="3" s="1"/>
  <c r="AB368" i="3"/>
  <c r="AA368" i="3"/>
  <c r="Y368" i="3"/>
  <c r="Z368" i="3" s="1"/>
  <c r="W368" i="3"/>
  <c r="V368" i="3"/>
  <c r="T368" i="3"/>
  <c r="U368" i="3" s="1"/>
  <c r="S368" i="3"/>
  <c r="R368" i="3"/>
  <c r="P368" i="3"/>
  <c r="Q368" i="3" s="1"/>
  <c r="O368" i="3"/>
  <c r="N368" i="3"/>
  <c r="L368" i="3"/>
  <c r="M368" i="3" s="1"/>
  <c r="I368" i="3"/>
  <c r="J368" i="3" s="1"/>
  <c r="AH367" i="3"/>
  <c r="AI367" i="3" s="1"/>
  <c r="AF367" i="3"/>
  <c r="AE367" i="3"/>
  <c r="AC367" i="3"/>
  <c r="AD367" i="3" s="1"/>
  <c r="AB367" i="3"/>
  <c r="AA367" i="3"/>
  <c r="Y367" i="3"/>
  <c r="Z367" i="3" s="1"/>
  <c r="W367" i="3"/>
  <c r="V367" i="3"/>
  <c r="T367" i="3"/>
  <c r="U367" i="3" s="1"/>
  <c r="S367" i="3"/>
  <c r="R367" i="3"/>
  <c r="P367" i="3"/>
  <c r="Q367" i="3" s="1"/>
  <c r="O367" i="3"/>
  <c r="N367" i="3"/>
  <c r="L367" i="3"/>
  <c r="M367" i="3" s="1"/>
  <c r="I367" i="3"/>
  <c r="J367" i="3" s="1"/>
  <c r="AH366" i="3"/>
  <c r="AI366" i="3" s="1"/>
  <c r="AF366" i="3"/>
  <c r="AE366" i="3"/>
  <c r="AC366" i="3"/>
  <c r="AD366" i="3" s="1"/>
  <c r="AB366" i="3"/>
  <c r="AA366" i="3"/>
  <c r="Y366" i="3"/>
  <c r="Z366" i="3" s="1"/>
  <c r="W366" i="3"/>
  <c r="V366" i="3"/>
  <c r="T366" i="3"/>
  <c r="U366" i="3" s="1"/>
  <c r="S366" i="3"/>
  <c r="R366" i="3"/>
  <c r="P366" i="3"/>
  <c r="Q366" i="3" s="1"/>
  <c r="O366" i="3"/>
  <c r="N366" i="3"/>
  <c r="L366" i="3"/>
  <c r="M366" i="3" s="1"/>
  <c r="I366" i="3"/>
  <c r="J366" i="3" s="1"/>
  <c r="AH365" i="3"/>
  <c r="AI365" i="3" s="1"/>
  <c r="AF365" i="3"/>
  <c r="AE365" i="3"/>
  <c r="AC365" i="3"/>
  <c r="AD365" i="3" s="1"/>
  <c r="AB365" i="3"/>
  <c r="AA365" i="3"/>
  <c r="Y365" i="3"/>
  <c r="Z365" i="3" s="1"/>
  <c r="W365" i="3"/>
  <c r="V365" i="3"/>
  <c r="T365" i="3"/>
  <c r="U365" i="3" s="1"/>
  <c r="S365" i="3"/>
  <c r="R365" i="3"/>
  <c r="P365" i="3"/>
  <c r="Q365" i="3" s="1"/>
  <c r="O365" i="3"/>
  <c r="N365" i="3"/>
  <c r="L365" i="3"/>
  <c r="M365" i="3" s="1"/>
  <c r="I365" i="3"/>
  <c r="J365" i="3" s="1"/>
  <c r="AH364" i="3"/>
  <c r="AI364" i="3" s="1"/>
  <c r="AF364" i="3"/>
  <c r="AE364" i="3"/>
  <c r="AC364" i="3"/>
  <c r="AD364" i="3" s="1"/>
  <c r="AB364" i="3"/>
  <c r="AA364" i="3"/>
  <c r="Y364" i="3"/>
  <c r="Z364" i="3" s="1"/>
  <c r="W364" i="3"/>
  <c r="V364" i="3"/>
  <c r="T364" i="3"/>
  <c r="U364" i="3" s="1"/>
  <c r="S364" i="3"/>
  <c r="R364" i="3"/>
  <c r="P364" i="3"/>
  <c r="Q364" i="3" s="1"/>
  <c r="O364" i="3"/>
  <c r="N364" i="3"/>
  <c r="L364" i="3"/>
  <c r="M364" i="3" s="1"/>
  <c r="I364" i="3"/>
  <c r="J364" i="3" s="1"/>
  <c r="AH363" i="3"/>
  <c r="AI363" i="3" s="1"/>
  <c r="AF363" i="3"/>
  <c r="AE363" i="3"/>
  <c r="AC363" i="3"/>
  <c r="AD363" i="3" s="1"/>
  <c r="AB363" i="3"/>
  <c r="AA363" i="3"/>
  <c r="Y363" i="3"/>
  <c r="Z363" i="3" s="1"/>
  <c r="W363" i="3"/>
  <c r="V363" i="3"/>
  <c r="T363" i="3"/>
  <c r="U363" i="3" s="1"/>
  <c r="S363" i="3"/>
  <c r="R363" i="3"/>
  <c r="P363" i="3"/>
  <c r="Q363" i="3" s="1"/>
  <c r="O363" i="3"/>
  <c r="N363" i="3"/>
  <c r="L363" i="3"/>
  <c r="M363" i="3" s="1"/>
  <c r="I363" i="3"/>
  <c r="J363" i="3" s="1"/>
  <c r="AH362" i="3"/>
  <c r="AI362" i="3" s="1"/>
  <c r="AF362" i="3"/>
  <c r="AE362" i="3"/>
  <c r="AC362" i="3"/>
  <c r="AD362" i="3" s="1"/>
  <c r="AB362" i="3"/>
  <c r="AA362" i="3"/>
  <c r="Y362" i="3"/>
  <c r="Z362" i="3" s="1"/>
  <c r="W362" i="3"/>
  <c r="V362" i="3"/>
  <c r="T362" i="3"/>
  <c r="U362" i="3" s="1"/>
  <c r="S362" i="3"/>
  <c r="R362" i="3"/>
  <c r="P362" i="3"/>
  <c r="Q362" i="3" s="1"/>
  <c r="O362" i="3"/>
  <c r="N362" i="3"/>
  <c r="L362" i="3"/>
  <c r="M362" i="3" s="1"/>
  <c r="I362" i="3"/>
  <c r="J362" i="3" s="1"/>
  <c r="AH361" i="3"/>
  <c r="AI361" i="3" s="1"/>
  <c r="AF361" i="3"/>
  <c r="AE361" i="3"/>
  <c r="AC361" i="3"/>
  <c r="AD361" i="3" s="1"/>
  <c r="AB361" i="3"/>
  <c r="AA361" i="3"/>
  <c r="Y361" i="3"/>
  <c r="Z361" i="3" s="1"/>
  <c r="W361" i="3"/>
  <c r="V361" i="3"/>
  <c r="T361" i="3"/>
  <c r="U361" i="3" s="1"/>
  <c r="S361" i="3"/>
  <c r="R361" i="3"/>
  <c r="P361" i="3"/>
  <c r="Q361" i="3" s="1"/>
  <c r="O361" i="3"/>
  <c r="N361" i="3"/>
  <c r="L361" i="3"/>
  <c r="M361" i="3" s="1"/>
  <c r="J361" i="3"/>
  <c r="I361" i="3"/>
  <c r="AH360" i="3"/>
  <c r="AI360" i="3" s="1"/>
  <c r="AF360" i="3"/>
  <c r="AE360" i="3"/>
  <c r="AC360" i="3"/>
  <c r="AD360" i="3" s="1"/>
  <c r="AB360" i="3"/>
  <c r="AA360" i="3"/>
  <c r="Y360" i="3"/>
  <c r="Z360" i="3" s="1"/>
  <c r="W360" i="3"/>
  <c r="V360" i="3"/>
  <c r="T360" i="3"/>
  <c r="U360" i="3" s="1"/>
  <c r="S360" i="3"/>
  <c r="R360" i="3"/>
  <c r="Q360" i="3"/>
  <c r="P360" i="3"/>
  <c r="O360" i="3"/>
  <c r="N360" i="3"/>
  <c r="M360" i="3"/>
  <c r="L360" i="3"/>
  <c r="J360" i="3"/>
  <c r="I360" i="3"/>
  <c r="AI359" i="3"/>
  <c r="AH359" i="3"/>
  <c r="AF359" i="3"/>
  <c r="AE359" i="3"/>
  <c r="AD359" i="3"/>
  <c r="AC359" i="3"/>
  <c r="AB359" i="3"/>
  <c r="AA359" i="3"/>
  <c r="Z359" i="3"/>
  <c r="Y359" i="3"/>
  <c r="W359" i="3"/>
  <c r="V359" i="3"/>
  <c r="U359" i="3"/>
  <c r="T359" i="3"/>
  <c r="S359" i="3"/>
  <c r="R359" i="3"/>
  <c r="Q359" i="3"/>
  <c r="P359" i="3"/>
  <c r="O359" i="3"/>
  <c r="N359" i="3"/>
  <c r="M359" i="3"/>
  <c r="L359" i="3"/>
  <c r="J359" i="3"/>
  <c r="I359" i="3"/>
  <c r="AI358" i="3"/>
  <c r="AH358" i="3"/>
  <c r="AF358" i="3"/>
  <c r="AE358" i="3"/>
  <c r="AD358" i="3"/>
  <c r="AC358" i="3"/>
  <c r="AB358" i="3"/>
  <c r="AA358" i="3"/>
  <c r="Z358" i="3"/>
  <c r="Y358" i="3"/>
  <c r="W358" i="3"/>
  <c r="V358" i="3"/>
  <c r="U358" i="3"/>
  <c r="T358" i="3"/>
  <c r="S358" i="3"/>
  <c r="R358" i="3"/>
  <c r="Q358" i="3"/>
  <c r="P358" i="3"/>
  <c r="O358" i="3"/>
  <c r="N358" i="3"/>
  <c r="M358" i="3"/>
  <c r="L358" i="3"/>
  <c r="J358" i="3"/>
  <c r="I358" i="3"/>
  <c r="AI357" i="3"/>
  <c r="AH357" i="3"/>
  <c r="AF357" i="3"/>
  <c r="AE357" i="3"/>
  <c r="AD357" i="3"/>
  <c r="AC357" i="3"/>
  <c r="AB357" i="3"/>
  <c r="AA357" i="3"/>
  <c r="Z357" i="3"/>
  <c r="Y357" i="3"/>
  <c r="W357" i="3"/>
  <c r="V357" i="3"/>
  <c r="U357" i="3"/>
  <c r="T357" i="3"/>
  <c r="S357" i="3"/>
  <c r="R357" i="3"/>
  <c r="Q357" i="3"/>
  <c r="P357" i="3"/>
  <c r="O357" i="3"/>
  <c r="N357" i="3"/>
  <c r="M357" i="3"/>
  <c r="L357" i="3"/>
  <c r="J357" i="3"/>
  <c r="I357" i="3"/>
  <c r="AI356" i="3"/>
  <c r="AH356" i="3"/>
  <c r="AF356" i="3"/>
  <c r="AE356" i="3"/>
  <c r="AD356" i="3"/>
  <c r="AC356" i="3"/>
  <c r="AB356" i="3"/>
  <c r="AA356" i="3"/>
  <c r="Z356" i="3"/>
  <c r="Y356" i="3"/>
  <c r="W356" i="3"/>
  <c r="V356" i="3"/>
  <c r="U356" i="3"/>
  <c r="T356" i="3"/>
  <c r="S356" i="3"/>
  <c r="R356" i="3"/>
  <c r="Q356" i="3"/>
  <c r="P356" i="3"/>
  <c r="O356" i="3"/>
  <c r="N356" i="3"/>
  <c r="M356" i="3"/>
  <c r="L356" i="3"/>
  <c r="J356" i="3"/>
  <c r="I356" i="3"/>
  <c r="AI355" i="3"/>
  <c r="AH355" i="3"/>
  <c r="AF355" i="3"/>
  <c r="AE355" i="3"/>
  <c r="AD355" i="3"/>
  <c r="AC355" i="3"/>
  <c r="AB355" i="3"/>
  <c r="AA355" i="3"/>
  <c r="Z355" i="3"/>
  <c r="Y355" i="3"/>
  <c r="W355" i="3"/>
  <c r="V355" i="3"/>
  <c r="U355" i="3"/>
  <c r="T355" i="3"/>
  <c r="S355" i="3"/>
  <c r="R355" i="3"/>
  <c r="Q355" i="3"/>
  <c r="P355" i="3"/>
  <c r="O355" i="3"/>
  <c r="N355" i="3"/>
  <c r="M355" i="3"/>
  <c r="L355" i="3"/>
  <c r="J355" i="3"/>
  <c r="I355" i="3"/>
  <c r="AI354" i="3"/>
  <c r="AH354" i="3"/>
  <c r="AF354" i="3"/>
  <c r="AE354" i="3"/>
  <c r="AD354" i="3"/>
  <c r="AC354" i="3"/>
  <c r="AB354" i="3"/>
  <c r="AA354" i="3"/>
  <c r="Z354" i="3"/>
  <c r="Y354" i="3"/>
  <c r="W354" i="3"/>
  <c r="V354" i="3"/>
  <c r="U354" i="3"/>
  <c r="T354" i="3"/>
  <c r="S354" i="3"/>
  <c r="R354" i="3"/>
  <c r="Q354" i="3"/>
  <c r="P354" i="3"/>
  <c r="O354" i="3"/>
  <c r="N354" i="3"/>
  <c r="M354" i="3"/>
  <c r="L354" i="3"/>
  <c r="J354" i="3"/>
  <c r="I354" i="3"/>
  <c r="AI353" i="3"/>
  <c r="AH353" i="3"/>
  <c r="AF353" i="3"/>
  <c r="AE353" i="3"/>
  <c r="AD353" i="3"/>
  <c r="AC353" i="3"/>
  <c r="AB353" i="3"/>
  <c r="AA353" i="3"/>
  <c r="Z353" i="3"/>
  <c r="Y353" i="3"/>
  <c r="W353" i="3"/>
  <c r="V353" i="3"/>
  <c r="U353" i="3"/>
  <c r="T353" i="3"/>
  <c r="S353" i="3"/>
  <c r="R353" i="3"/>
  <c r="Q353" i="3"/>
  <c r="P353" i="3"/>
  <c r="O353" i="3"/>
  <c r="N353" i="3"/>
  <c r="M353" i="3"/>
  <c r="L353" i="3"/>
  <c r="J353" i="3"/>
  <c r="I353" i="3"/>
  <c r="AI352" i="3"/>
  <c r="AH352" i="3"/>
  <c r="AF352" i="3"/>
  <c r="AE352" i="3"/>
  <c r="AD352" i="3"/>
  <c r="AC352" i="3"/>
  <c r="AB352" i="3"/>
  <c r="AA352" i="3"/>
  <c r="Z352" i="3"/>
  <c r="Y352" i="3"/>
  <c r="W352" i="3"/>
  <c r="V352" i="3"/>
  <c r="U352" i="3"/>
  <c r="T352" i="3"/>
  <c r="S352" i="3"/>
  <c r="R352" i="3"/>
  <c r="Q352" i="3"/>
  <c r="P352" i="3"/>
  <c r="O352" i="3"/>
  <c r="N352" i="3"/>
  <c r="M352" i="3"/>
  <c r="L352" i="3"/>
  <c r="J352" i="3"/>
  <c r="I352" i="3"/>
  <c r="AI351" i="3"/>
  <c r="AH351" i="3"/>
  <c r="AF351" i="3"/>
  <c r="AE351" i="3"/>
  <c r="AD351" i="3"/>
  <c r="AC351" i="3"/>
  <c r="AB351" i="3"/>
  <c r="AA351" i="3"/>
  <c r="Z351" i="3"/>
  <c r="Y351" i="3"/>
  <c r="W351" i="3"/>
  <c r="V351" i="3"/>
  <c r="U351" i="3"/>
  <c r="T351" i="3"/>
  <c r="S351" i="3"/>
  <c r="R351" i="3"/>
  <c r="Q351" i="3"/>
  <c r="P351" i="3"/>
  <c r="O351" i="3"/>
  <c r="N351" i="3"/>
  <c r="M351" i="3"/>
  <c r="L351" i="3"/>
  <c r="J351" i="3"/>
  <c r="I351" i="3"/>
  <c r="AI350" i="3"/>
  <c r="AH350" i="3"/>
  <c r="AF350" i="3"/>
  <c r="AE350" i="3"/>
  <c r="AD350" i="3"/>
  <c r="AC350" i="3"/>
  <c r="AB350" i="3"/>
  <c r="AA350" i="3"/>
  <c r="Z350" i="3"/>
  <c r="Y350" i="3"/>
  <c r="W350" i="3"/>
  <c r="V350" i="3"/>
  <c r="U350" i="3"/>
  <c r="T350" i="3"/>
  <c r="S350" i="3"/>
  <c r="R350" i="3"/>
  <c r="Q350" i="3"/>
  <c r="P350" i="3"/>
  <c r="O350" i="3"/>
  <c r="N350" i="3"/>
  <c r="M350" i="3"/>
  <c r="L350" i="3"/>
  <c r="J350" i="3"/>
  <c r="I350" i="3"/>
  <c r="AI349" i="3"/>
  <c r="AH349" i="3"/>
  <c r="AF349" i="3"/>
  <c r="AE349" i="3"/>
  <c r="AD349" i="3"/>
  <c r="AC349" i="3"/>
  <c r="AB349" i="3"/>
  <c r="AA349" i="3"/>
  <c r="Z349" i="3"/>
  <c r="Y349" i="3"/>
  <c r="W349" i="3"/>
  <c r="V349" i="3"/>
  <c r="U349" i="3"/>
  <c r="T349" i="3"/>
  <c r="S349" i="3"/>
  <c r="R349" i="3"/>
  <c r="Q349" i="3"/>
  <c r="P349" i="3"/>
  <c r="O349" i="3"/>
  <c r="N349" i="3"/>
  <c r="M349" i="3"/>
  <c r="L349" i="3"/>
  <c r="J349" i="3"/>
  <c r="I349" i="3"/>
  <c r="AI348" i="3"/>
  <c r="AH348" i="3"/>
  <c r="AF348" i="3"/>
  <c r="AE348" i="3"/>
  <c r="AD348" i="3"/>
  <c r="AC348" i="3"/>
  <c r="AB348" i="3"/>
  <c r="AA348" i="3"/>
  <c r="Z348" i="3"/>
  <c r="Y348" i="3"/>
  <c r="W348" i="3"/>
  <c r="V348" i="3"/>
  <c r="U348" i="3"/>
  <c r="T348" i="3"/>
  <c r="S348" i="3"/>
  <c r="R348" i="3"/>
  <c r="Q348" i="3"/>
  <c r="P348" i="3"/>
  <c r="O348" i="3"/>
  <c r="N348" i="3"/>
  <c r="M348" i="3"/>
  <c r="L348" i="3"/>
  <c r="J348" i="3"/>
  <c r="I348" i="3"/>
  <c r="AI347" i="3"/>
  <c r="AH347" i="3"/>
  <c r="AF347" i="3"/>
  <c r="AE347" i="3"/>
  <c r="AD347" i="3"/>
  <c r="AC347" i="3"/>
  <c r="AB347" i="3"/>
  <c r="AA347" i="3"/>
  <c r="Z347" i="3"/>
  <c r="Y347" i="3"/>
  <c r="W347" i="3"/>
  <c r="V347" i="3"/>
  <c r="U347" i="3"/>
  <c r="T347" i="3"/>
  <c r="S347" i="3"/>
  <c r="R347" i="3"/>
  <c r="Q347" i="3"/>
  <c r="P347" i="3"/>
  <c r="O347" i="3"/>
  <c r="N347" i="3"/>
  <c r="M347" i="3"/>
  <c r="L347" i="3"/>
  <c r="J347" i="3"/>
  <c r="I347" i="3"/>
  <c r="AI346" i="3"/>
  <c r="AH346" i="3"/>
  <c r="AF346" i="3"/>
  <c r="AE346" i="3"/>
  <c r="AD346" i="3"/>
  <c r="AC346" i="3"/>
  <c r="AB346" i="3"/>
  <c r="AA346" i="3"/>
  <c r="Z346" i="3"/>
  <c r="Y346" i="3"/>
  <c r="W346" i="3"/>
  <c r="V346" i="3"/>
  <c r="U346" i="3"/>
  <c r="T346" i="3"/>
  <c r="S346" i="3"/>
  <c r="R346" i="3"/>
  <c r="Q346" i="3"/>
  <c r="P346" i="3"/>
  <c r="O346" i="3"/>
  <c r="N346" i="3"/>
  <c r="M346" i="3"/>
  <c r="L346" i="3"/>
  <c r="J346" i="3"/>
  <c r="I346" i="3"/>
  <c r="AI345" i="3"/>
  <c r="AH345" i="3"/>
  <c r="AF345" i="3"/>
  <c r="AE345" i="3"/>
  <c r="AD345" i="3"/>
  <c r="AC345" i="3"/>
  <c r="AB345" i="3"/>
  <c r="AA345" i="3"/>
  <c r="Z345" i="3"/>
  <c r="Y345" i="3"/>
  <c r="W345" i="3"/>
  <c r="V345" i="3"/>
  <c r="U345" i="3"/>
  <c r="T345" i="3"/>
  <c r="S345" i="3"/>
  <c r="R345" i="3"/>
  <c r="Q345" i="3"/>
  <c r="P345" i="3"/>
  <c r="O345" i="3"/>
  <c r="N345" i="3"/>
  <c r="M345" i="3"/>
  <c r="L345" i="3"/>
  <c r="J345" i="3"/>
  <c r="I345" i="3"/>
  <c r="AI344" i="3"/>
  <c r="AH344" i="3"/>
  <c r="AF344" i="3"/>
  <c r="AE344" i="3"/>
  <c r="AD344" i="3"/>
  <c r="AC344" i="3"/>
  <c r="AB344" i="3"/>
  <c r="AA344" i="3"/>
  <c r="Z344" i="3"/>
  <c r="Y344" i="3"/>
  <c r="W344" i="3"/>
  <c r="V344" i="3"/>
  <c r="U344" i="3"/>
  <c r="T344" i="3"/>
  <c r="S344" i="3"/>
  <c r="R344" i="3"/>
  <c r="Q344" i="3"/>
  <c r="P344" i="3"/>
  <c r="O344" i="3"/>
  <c r="N344" i="3"/>
  <c r="M344" i="3"/>
  <c r="L344" i="3"/>
  <c r="J344" i="3"/>
  <c r="I344" i="3"/>
  <c r="AI343" i="3"/>
  <c r="AH343" i="3"/>
  <c r="AF343" i="3"/>
  <c r="AE343" i="3"/>
  <c r="AD343" i="3"/>
  <c r="AC343" i="3"/>
  <c r="AB343" i="3"/>
  <c r="AA343" i="3"/>
  <c r="Z343" i="3"/>
  <c r="Y343" i="3"/>
  <c r="W343" i="3"/>
  <c r="V343" i="3"/>
  <c r="U343" i="3"/>
  <c r="T343" i="3"/>
  <c r="S343" i="3"/>
  <c r="R343" i="3"/>
  <c r="Q343" i="3"/>
  <c r="P343" i="3"/>
  <c r="O343" i="3"/>
  <c r="N343" i="3"/>
  <c r="M343" i="3"/>
  <c r="L343" i="3"/>
  <c r="J343" i="3"/>
  <c r="I343" i="3"/>
  <c r="AI342" i="3"/>
  <c r="AH342" i="3"/>
  <c r="AF342" i="3"/>
  <c r="AE342" i="3"/>
  <c r="AD342" i="3"/>
  <c r="AC342" i="3"/>
  <c r="AB342" i="3"/>
  <c r="AA342" i="3"/>
  <c r="Z342" i="3"/>
  <c r="Y342" i="3"/>
  <c r="W342" i="3"/>
  <c r="V342" i="3"/>
  <c r="U342" i="3"/>
  <c r="T342" i="3"/>
  <c r="S342" i="3"/>
  <c r="R342" i="3"/>
  <c r="Q342" i="3"/>
  <c r="P342" i="3"/>
  <c r="O342" i="3"/>
  <c r="N342" i="3"/>
  <c r="M342" i="3"/>
  <c r="L342" i="3"/>
  <c r="J342" i="3"/>
  <c r="I342" i="3"/>
  <c r="AI341" i="3"/>
  <c r="AH341" i="3"/>
  <c r="AF341" i="3"/>
  <c r="AE341" i="3"/>
  <c r="AD341" i="3"/>
  <c r="AC341" i="3"/>
  <c r="AB341" i="3"/>
  <c r="AA341" i="3"/>
  <c r="Z341" i="3"/>
  <c r="Y341" i="3"/>
  <c r="W341" i="3"/>
  <c r="V341" i="3"/>
  <c r="U341" i="3"/>
  <c r="T341" i="3"/>
  <c r="S341" i="3"/>
  <c r="R341" i="3"/>
  <c r="Q341" i="3"/>
  <c r="P341" i="3"/>
  <c r="O341" i="3"/>
  <c r="N341" i="3"/>
  <c r="M341" i="3"/>
  <c r="L341" i="3"/>
  <c r="J341" i="3"/>
  <c r="I341" i="3"/>
  <c r="AI340" i="3"/>
  <c r="AH340" i="3"/>
  <c r="AF340" i="3"/>
  <c r="AE340" i="3"/>
  <c r="AD340" i="3"/>
  <c r="AC340" i="3"/>
  <c r="AB340" i="3"/>
  <c r="AA340" i="3"/>
  <c r="Z340" i="3"/>
  <c r="Y340" i="3"/>
  <c r="W340" i="3"/>
  <c r="V340" i="3"/>
  <c r="U340" i="3"/>
  <c r="T340" i="3"/>
  <c r="S340" i="3"/>
  <c r="R340" i="3"/>
  <c r="Q340" i="3"/>
  <c r="P340" i="3"/>
  <c r="O340" i="3"/>
  <c r="N340" i="3"/>
  <c r="M340" i="3"/>
  <c r="L340" i="3"/>
  <c r="J340" i="3"/>
  <c r="I340" i="3"/>
  <c r="AI339" i="3"/>
  <c r="AH339" i="3"/>
  <c r="AF339" i="3"/>
  <c r="AE339" i="3"/>
  <c r="AD339" i="3"/>
  <c r="AC339" i="3"/>
  <c r="AB339" i="3"/>
  <c r="AA339" i="3"/>
  <c r="Z339" i="3"/>
  <c r="Y339" i="3"/>
  <c r="W339" i="3"/>
  <c r="V339" i="3"/>
  <c r="U339" i="3"/>
  <c r="T339" i="3"/>
  <c r="S339" i="3"/>
  <c r="R339" i="3"/>
  <c r="Q339" i="3"/>
  <c r="P339" i="3"/>
  <c r="O339" i="3"/>
  <c r="N339" i="3"/>
  <c r="M339" i="3"/>
  <c r="L339" i="3"/>
  <c r="J339" i="3"/>
  <c r="I339" i="3"/>
  <c r="AI338" i="3"/>
  <c r="AH338" i="3"/>
  <c r="AF338" i="3"/>
  <c r="AE338" i="3"/>
  <c r="AD338" i="3"/>
  <c r="AC338" i="3"/>
  <c r="AB338" i="3"/>
  <c r="AA338" i="3"/>
  <c r="Z338" i="3"/>
  <c r="Y338" i="3"/>
  <c r="W338" i="3"/>
  <c r="V338" i="3"/>
  <c r="U338" i="3"/>
  <c r="T338" i="3"/>
  <c r="S338" i="3"/>
  <c r="R338" i="3"/>
  <c r="Q338" i="3"/>
  <c r="P338" i="3"/>
  <c r="O338" i="3"/>
  <c r="N338" i="3"/>
  <c r="M338" i="3"/>
  <c r="L338" i="3"/>
  <c r="J338" i="3"/>
  <c r="I338" i="3"/>
  <c r="AI337" i="3"/>
  <c r="AH337" i="3"/>
  <c r="AF337" i="3"/>
  <c r="AE337" i="3"/>
  <c r="AD337" i="3"/>
  <c r="AC337" i="3"/>
  <c r="AB337" i="3"/>
  <c r="AA337" i="3"/>
  <c r="Z337" i="3"/>
  <c r="Y337" i="3"/>
  <c r="W337" i="3"/>
  <c r="V337" i="3"/>
  <c r="U337" i="3"/>
  <c r="T337" i="3"/>
  <c r="S337" i="3"/>
  <c r="R337" i="3"/>
  <c r="Q337" i="3"/>
  <c r="P337" i="3"/>
  <c r="O337" i="3"/>
  <c r="N337" i="3"/>
  <c r="M337" i="3"/>
  <c r="L337" i="3"/>
  <c r="J337" i="3"/>
  <c r="I337" i="3"/>
  <c r="AI336" i="3"/>
  <c r="AH336" i="3"/>
  <c r="AF336" i="3"/>
  <c r="AE336" i="3"/>
  <c r="AD336" i="3"/>
  <c r="AC336" i="3"/>
  <c r="AB336" i="3"/>
  <c r="AA336" i="3"/>
  <c r="Z336" i="3"/>
  <c r="Y336" i="3"/>
  <c r="W336" i="3"/>
  <c r="V336" i="3"/>
  <c r="U336" i="3"/>
  <c r="T336" i="3"/>
  <c r="S336" i="3"/>
  <c r="R336" i="3"/>
  <c r="Q336" i="3"/>
  <c r="P336" i="3"/>
  <c r="O336" i="3"/>
  <c r="N336" i="3"/>
  <c r="M336" i="3"/>
  <c r="L336" i="3"/>
  <c r="J336" i="3"/>
  <c r="I336" i="3"/>
  <c r="AI335" i="3"/>
  <c r="AH335" i="3"/>
  <c r="AF335" i="3"/>
  <c r="AE335" i="3"/>
  <c r="AD335" i="3"/>
  <c r="AC335" i="3"/>
  <c r="AB335" i="3"/>
  <c r="AA335" i="3"/>
  <c r="Z335" i="3"/>
  <c r="Y335" i="3"/>
  <c r="W335" i="3"/>
  <c r="V335" i="3"/>
  <c r="U335" i="3"/>
  <c r="T335" i="3"/>
  <c r="S335" i="3"/>
  <c r="R335" i="3"/>
  <c r="Q335" i="3"/>
  <c r="P335" i="3"/>
  <c r="O335" i="3"/>
  <c r="N335" i="3"/>
  <c r="M335" i="3"/>
  <c r="L335" i="3"/>
  <c r="J335" i="3"/>
  <c r="I335" i="3"/>
  <c r="AI334" i="3"/>
  <c r="AH334" i="3"/>
  <c r="AF334" i="3"/>
  <c r="AE334" i="3"/>
  <c r="AD334" i="3"/>
  <c r="AC334" i="3"/>
  <c r="AB334" i="3"/>
  <c r="AA334" i="3"/>
  <c r="Z334" i="3"/>
  <c r="Y334" i="3"/>
  <c r="W334" i="3"/>
  <c r="V334" i="3"/>
  <c r="U334" i="3"/>
  <c r="T334" i="3"/>
  <c r="S334" i="3"/>
  <c r="R334" i="3"/>
  <c r="Q334" i="3"/>
  <c r="P334" i="3"/>
  <c r="O334" i="3"/>
  <c r="N334" i="3"/>
  <c r="M334" i="3"/>
  <c r="L334" i="3"/>
  <c r="J334" i="3"/>
  <c r="I334" i="3"/>
  <c r="AI333" i="3"/>
  <c r="AH333" i="3"/>
  <c r="AF333" i="3"/>
  <c r="AE333" i="3"/>
  <c r="AD333" i="3"/>
  <c r="AC333" i="3"/>
  <c r="AB333" i="3"/>
  <c r="AA333" i="3"/>
  <c r="Z333" i="3"/>
  <c r="Y333" i="3"/>
  <c r="W333" i="3"/>
  <c r="V333" i="3"/>
  <c r="U333" i="3"/>
  <c r="T333" i="3"/>
  <c r="S333" i="3"/>
  <c r="R333" i="3"/>
  <c r="Q333" i="3"/>
  <c r="P333" i="3"/>
  <c r="O333" i="3"/>
  <c r="N333" i="3"/>
  <c r="M333" i="3"/>
  <c r="L333" i="3"/>
  <c r="J333" i="3"/>
  <c r="I333" i="3"/>
  <c r="AI332" i="3"/>
  <c r="AH332" i="3"/>
  <c r="AF332" i="3"/>
  <c r="AE332" i="3"/>
  <c r="AD332" i="3"/>
  <c r="AC332" i="3"/>
  <c r="AB332" i="3"/>
  <c r="AA332" i="3"/>
  <c r="Z332" i="3"/>
  <c r="Y332" i="3"/>
  <c r="W332" i="3"/>
  <c r="V332" i="3"/>
  <c r="U332" i="3"/>
  <c r="T332" i="3"/>
  <c r="S332" i="3"/>
  <c r="R332" i="3"/>
  <c r="Q332" i="3"/>
  <c r="P332" i="3"/>
  <c r="O332" i="3"/>
  <c r="N332" i="3"/>
  <c r="M332" i="3"/>
  <c r="L332" i="3"/>
  <c r="J332" i="3"/>
  <c r="I332" i="3"/>
  <c r="AI331" i="3"/>
  <c r="AH331" i="3"/>
  <c r="AF331" i="3"/>
  <c r="AE331" i="3"/>
  <c r="AD331" i="3"/>
  <c r="AC331" i="3"/>
  <c r="AB331" i="3"/>
  <c r="AA331" i="3"/>
  <c r="Z331" i="3"/>
  <c r="Y331" i="3"/>
  <c r="W331" i="3"/>
  <c r="V331" i="3"/>
  <c r="U331" i="3"/>
  <c r="T331" i="3"/>
  <c r="S331" i="3"/>
  <c r="R331" i="3"/>
  <c r="Q331" i="3"/>
  <c r="P331" i="3"/>
  <c r="O331" i="3"/>
  <c r="N331" i="3"/>
  <c r="M331" i="3"/>
  <c r="L331" i="3"/>
  <c r="J331" i="3"/>
  <c r="I331" i="3"/>
  <c r="AI330" i="3"/>
  <c r="AH330" i="3"/>
  <c r="AF330" i="3"/>
  <c r="AE330" i="3"/>
  <c r="AD330" i="3"/>
  <c r="AC330" i="3"/>
  <c r="AB330" i="3"/>
  <c r="AA330" i="3"/>
  <c r="Z330" i="3"/>
  <c r="Y330" i="3"/>
  <c r="W330" i="3"/>
  <c r="V330" i="3"/>
  <c r="U330" i="3"/>
  <c r="T330" i="3"/>
  <c r="S330" i="3"/>
  <c r="R330" i="3"/>
  <c r="Q330" i="3"/>
  <c r="P330" i="3"/>
  <c r="O330" i="3"/>
  <c r="N330" i="3"/>
  <c r="M330" i="3"/>
  <c r="L330" i="3"/>
  <c r="J330" i="3"/>
  <c r="I330" i="3"/>
  <c r="AI329" i="3"/>
  <c r="AH329" i="3"/>
  <c r="AF329" i="3"/>
  <c r="AE329" i="3"/>
  <c r="AD329" i="3"/>
  <c r="AC329" i="3"/>
  <c r="AB329" i="3"/>
  <c r="AA329" i="3"/>
  <c r="Z329" i="3"/>
  <c r="Y329" i="3"/>
  <c r="W329" i="3"/>
  <c r="V329" i="3"/>
  <c r="U329" i="3"/>
  <c r="T329" i="3"/>
  <c r="S329" i="3"/>
  <c r="R329" i="3"/>
  <c r="Q329" i="3"/>
  <c r="P329" i="3"/>
  <c r="O329" i="3"/>
  <c r="N329" i="3"/>
  <c r="M329" i="3"/>
  <c r="L329" i="3"/>
  <c r="J329" i="3"/>
  <c r="I329" i="3"/>
  <c r="AI328" i="3"/>
  <c r="AH328" i="3"/>
  <c r="AF328" i="3"/>
  <c r="AE328" i="3"/>
  <c r="AD328" i="3"/>
  <c r="AC328" i="3"/>
  <c r="AB328" i="3"/>
  <c r="AA328" i="3"/>
  <c r="Z328" i="3"/>
  <c r="Y328" i="3"/>
  <c r="W328" i="3"/>
  <c r="V328" i="3"/>
  <c r="U328" i="3"/>
  <c r="T328" i="3"/>
  <c r="S328" i="3"/>
  <c r="R328" i="3"/>
  <c r="Q328" i="3"/>
  <c r="P328" i="3"/>
  <c r="O328" i="3"/>
  <c r="N328" i="3"/>
  <c r="M328" i="3"/>
  <c r="L328" i="3"/>
  <c r="J328" i="3"/>
  <c r="I328" i="3"/>
  <c r="AI327" i="3"/>
  <c r="AH327" i="3"/>
  <c r="AF327" i="3"/>
  <c r="AE327" i="3"/>
  <c r="AD327" i="3"/>
  <c r="AC327" i="3"/>
  <c r="AB327" i="3"/>
  <c r="AA327" i="3"/>
  <c r="Z327" i="3"/>
  <c r="Y327" i="3"/>
  <c r="W327" i="3"/>
  <c r="V327" i="3"/>
  <c r="U327" i="3"/>
  <c r="T327" i="3"/>
  <c r="S327" i="3"/>
  <c r="R327" i="3"/>
  <c r="Q327" i="3"/>
  <c r="P327" i="3"/>
  <c r="O327" i="3"/>
  <c r="N327" i="3"/>
  <c r="M327" i="3"/>
  <c r="L327" i="3"/>
  <c r="J327" i="3"/>
  <c r="I327" i="3"/>
  <c r="AI326" i="3"/>
  <c r="AH326" i="3"/>
  <c r="AF326" i="3"/>
  <c r="AE326" i="3"/>
  <c r="AD326" i="3"/>
  <c r="AC326" i="3"/>
  <c r="AB326" i="3"/>
  <c r="AA326" i="3"/>
  <c r="Z326" i="3"/>
  <c r="Y326" i="3"/>
  <c r="W326" i="3"/>
  <c r="V326" i="3"/>
  <c r="U326" i="3"/>
  <c r="T326" i="3"/>
  <c r="S326" i="3"/>
  <c r="R326" i="3"/>
  <c r="Q326" i="3"/>
  <c r="P326" i="3"/>
  <c r="O326" i="3"/>
  <c r="N326" i="3"/>
  <c r="M326" i="3"/>
  <c r="L326" i="3"/>
  <c r="J326" i="3"/>
  <c r="I326" i="3"/>
  <c r="AI325" i="3"/>
  <c r="AH325" i="3"/>
  <c r="AF325" i="3"/>
  <c r="AE325" i="3"/>
  <c r="AD325" i="3"/>
  <c r="AC325" i="3"/>
  <c r="AB325" i="3"/>
  <c r="AA325" i="3"/>
  <c r="Z325" i="3"/>
  <c r="Y325" i="3"/>
  <c r="W325" i="3"/>
  <c r="V325" i="3"/>
  <c r="U325" i="3"/>
  <c r="T325" i="3"/>
  <c r="S325" i="3"/>
  <c r="R325" i="3"/>
  <c r="Q325" i="3"/>
  <c r="P325" i="3"/>
  <c r="O325" i="3"/>
  <c r="N325" i="3"/>
  <c r="M325" i="3"/>
  <c r="L325" i="3"/>
  <c r="J325" i="3"/>
  <c r="I325" i="3"/>
  <c r="AI324" i="3"/>
  <c r="AH324" i="3"/>
  <c r="AF324" i="3"/>
  <c r="AE324" i="3"/>
  <c r="AD324" i="3"/>
  <c r="AC324" i="3"/>
  <c r="AB324" i="3"/>
  <c r="AA324" i="3"/>
  <c r="Z324" i="3"/>
  <c r="Y324" i="3"/>
  <c r="W324" i="3"/>
  <c r="V324" i="3"/>
  <c r="U324" i="3"/>
  <c r="T324" i="3"/>
  <c r="S324" i="3"/>
  <c r="R324" i="3"/>
  <c r="Q324" i="3"/>
  <c r="P324" i="3"/>
  <c r="O324" i="3"/>
  <c r="N324" i="3"/>
  <c r="M324" i="3"/>
  <c r="L324" i="3"/>
  <c r="J324" i="3"/>
  <c r="I324" i="3"/>
  <c r="AI323" i="3"/>
  <c r="AH323" i="3"/>
  <c r="AF323" i="3"/>
  <c r="AE323" i="3"/>
  <c r="AD323" i="3"/>
  <c r="AC323" i="3"/>
  <c r="AB323" i="3"/>
  <c r="AA323" i="3"/>
  <c r="Z323" i="3"/>
  <c r="Y323" i="3"/>
  <c r="W323" i="3"/>
  <c r="V323" i="3"/>
  <c r="U323" i="3"/>
  <c r="T323" i="3"/>
  <c r="S323" i="3"/>
  <c r="R323" i="3"/>
  <c r="Q323" i="3"/>
  <c r="P323" i="3"/>
  <c r="O323" i="3"/>
  <c r="N323" i="3"/>
  <c r="M323" i="3"/>
  <c r="L323" i="3"/>
  <c r="J323" i="3"/>
  <c r="I323" i="3"/>
  <c r="AI322" i="3"/>
  <c r="AH322" i="3"/>
  <c r="AF322" i="3"/>
  <c r="AE322" i="3"/>
  <c r="AD322" i="3"/>
  <c r="AC322" i="3"/>
  <c r="AB322" i="3"/>
  <c r="AA322" i="3"/>
  <c r="Z322" i="3"/>
  <c r="Y322" i="3"/>
  <c r="W322" i="3"/>
  <c r="V322" i="3"/>
  <c r="U322" i="3"/>
  <c r="T322" i="3"/>
  <c r="S322" i="3"/>
  <c r="R322" i="3"/>
  <c r="Q322" i="3"/>
  <c r="P322" i="3"/>
  <c r="O322" i="3"/>
  <c r="N322" i="3"/>
  <c r="M322" i="3"/>
  <c r="L322" i="3"/>
  <c r="J322" i="3"/>
  <c r="I322" i="3"/>
  <c r="AI321" i="3"/>
  <c r="AH321" i="3"/>
  <c r="AF321" i="3"/>
  <c r="AE321" i="3"/>
  <c r="AD321" i="3"/>
  <c r="AC321" i="3"/>
  <c r="AB321" i="3"/>
  <c r="AA321" i="3"/>
  <c r="Z321" i="3"/>
  <c r="Y321" i="3"/>
  <c r="W321" i="3"/>
  <c r="V321" i="3"/>
  <c r="U321" i="3"/>
  <c r="T321" i="3"/>
  <c r="S321" i="3"/>
  <c r="R321" i="3"/>
  <c r="Q321" i="3"/>
  <c r="P321" i="3"/>
  <c r="O321" i="3"/>
  <c r="N321" i="3"/>
  <c r="M321" i="3"/>
  <c r="L321" i="3"/>
  <c r="J321" i="3"/>
  <c r="I321" i="3"/>
  <c r="AI320" i="3"/>
  <c r="AH320" i="3"/>
  <c r="AF320" i="3"/>
  <c r="AE320" i="3"/>
  <c r="AD320" i="3"/>
  <c r="AC320" i="3"/>
  <c r="AB320" i="3"/>
  <c r="AA320" i="3"/>
  <c r="Z320" i="3"/>
  <c r="Y320" i="3"/>
  <c r="W320" i="3"/>
  <c r="V320" i="3"/>
  <c r="U320" i="3"/>
  <c r="T320" i="3"/>
  <c r="S320" i="3"/>
  <c r="R320" i="3"/>
  <c r="Q320" i="3"/>
  <c r="P320" i="3"/>
  <c r="O320" i="3"/>
  <c r="N320" i="3"/>
  <c r="M320" i="3"/>
  <c r="L320" i="3"/>
  <c r="J320" i="3"/>
  <c r="I320" i="3"/>
  <c r="AI319" i="3"/>
  <c r="AH319" i="3"/>
  <c r="AF319" i="3"/>
  <c r="AE319" i="3"/>
  <c r="AD319" i="3"/>
  <c r="AC319" i="3"/>
  <c r="AB319" i="3"/>
  <c r="AA319" i="3"/>
  <c r="Z319" i="3"/>
  <c r="Y319" i="3"/>
  <c r="W319" i="3"/>
  <c r="V319" i="3"/>
  <c r="U319" i="3"/>
  <c r="T319" i="3"/>
  <c r="S319" i="3"/>
  <c r="R319" i="3"/>
  <c r="Q319" i="3"/>
  <c r="P319" i="3"/>
  <c r="O319" i="3"/>
  <c r="N319" i="3"/>
  <c r="M319" i="3"/>
  <c r="L319" i="3"/>
  <c r="J319" i="3"/>
  <c r="I319" i="3"/>
  <c r="AI318" i="3"/>
  <c r="AH318" i="3"/>
  <c r="AF318" i="3"/>
  <c r="AE318" i="3"/>
  <c r="AD318" i="3"/>
  <c r="AC318" i="3"/>
  <c r="AB318" i="3"/>
  <c r="AA318" i="3"/>
  <c r="Z318" i="3"/>
  <c r="Y318" i="3"/>
  <c r="W318" i="3"/>
  <c r="V318" i="3"/>
  <c r="U318" i="3"/>
  <c r="T318" i="3"/>
  <c r="S318" i="3"/>
  <c r="R318" i="3"/>
  <c r="Q318" i="3"/>
  <c r="P318" i="3"/>
  <c r="O318" i="3"/>
  <c r="N318" i="3"/>
  <c r="M318" i="3"/>
  <c r="L318" i="3"/>
  <c r="J318" i="3"/>
  <c r="I318" i="3"/>
  <c r="AI317" i="3"/>
  <c r="AH317" i="3"/>
  <c r="AF317" i="3"/>
  <c r="AE317" i="3"/>
  <c r="AD317" i="3"/>
  <c r="AC317" i="3"/>
  <c r="AB317" i="3"/>
  <c r="AA317" i="3"/>
  <c r="Z317" i="3"/>
  <c r="Y317" i="3"/>
  <c r="W317" i="3"/>
  <c r="V317" i="3"/>
  <c r="U317" i="3"/>
  <c r="T317" i="3"/>
  <c r="S317" i="3"/>
  <c r="R317" i="3"/>
  <c r="Q317" i="3"/>
  <c r="P317" i="3"/>
  <c r="O317" i="3"/>
  <c r="N317" i="3"/>
  <c r="M317" i="3"/>
  <c r="L317" i="3"/>
  <c r="J317" i="3"/>
  <c r="I317" i="3"/>
  <c r="AI316" i="3"/>
  <c r="AH316" i="3"/>
  <c r="AF316" i="3"/>
  <c r="AE316" i="3"/>
  <c r="AD316" i="3"/>
  <c r="AC316" i="3"/>
  <c r="AB316" i="3"/>
  <c r="AA316" i="3"/>
  <c r="Z316" i="3"/>
  <c r="Y316" i="3"/>
  <c r="W316" i="3"/>
  <c r="V316" i="3"/>
  <c r="U316" i="3"/>
  <c r="T316" i="3"/>
  <c r="S316" i="3"/>
  <c r="R316" i="3"/>
  <c r="Q316" i="3"/>
  <c r="P316" i="3"/>
  <c r="O316" i="3"/>
  <c r="N316" i="3"/>
  <c r="M316" i="3"/>
  <c r="L316" i="3"/>
  <c r="J316" i="3"/>
  <c r="I316" i="3"/>
  <c r="AI315" i="3"/>
  <c r="AH315" i="3"/>
  <c r="AF315" i="3"/>
  <c r="AE315" i="3"/>
  <c r="AD315" i="3"/>
  <c r="AC315" i="3"/>
  <c r="AB315" i="3"/>
  <c r="AA315" i="3"/>
  <c r="Z315" i="3"/>
  <c r="Y315" i="3"/>
  <c r="W315" i="3"/>
  <c r="V315" i="3"/>
  <c r="U315" i="3"/>
  <c r="T315" i="3"/>
  <c r="S315" i="3"/>
  <c r="R315" i="3"/>
  <c r="Q315" i="3"/>
  <c r="P315" i="3"/>
  <c r="O315" i="3"/>
  <c r="N315" i="3"/>
  <c r="M315" i="3"/>
  <c r="L315" i="3"/>
  <c r="J315" i="3"/>
  <c r="I315" i="3"/>
  <c r="AI314" i="3"/>
  <c r="AH314" i="3"/>
  <c r="AF314" i="3"/>
  <c r="AE314" i="3"/>
  <c r="AD314" i="3"/>
  <c r="AC314" i="3"/>
  <c r="AB314" i="3"/>
  <c r="AA314" i="3"/>
  <c r="Z314" i="3"/>
  <c r="Y314" i="3"/>
  <c r="W314" i="3"/>
  <c r="V314" i="3"/>
  <c r="U314" i="3"/>
  <c r="T314" i="3"/>
  <c r="S314" i="3"/>
  <c r="R314" i="3"/>
  <c r="Q314" i="3"/>
  <c r="P314" i="3"/>
  <c r="O314" i="3"/>
  <c r="N314" i="3"/>
  <c r="M314" i="3"/>
  <c r="L314" i="3"/>
  <c r="J314" i="3"/>
  <c r="I314" i="3"/>
  <c r="AI313" i="3"/>
  <c r="AH313" i="3"/>
  <c r="AF313" i="3"/>
  <c r="AE313" i="3"/>
  <c r="AD313" i="3"/>
  <c r="AC313" i="3"/>
  <c r="AB313" i="3"/>
  <c r="AA313" i="3"/>
  <c r="Z313" i="3"/>
  <c r="Y313" i="3"/>
  <c r="W313" i="3"/>
  <c r="V313" i="3"/>
  <c r="U313" i="3"/>
  <c r="T313" i="3"/>
  <c r="S313" i="3"/>
  <c r="R313" i="3"/>
  <c r="Q313" i="3"/>
  <c r="P313" i="3"/>
  <c r="O313" i="3"/>
  <c r="N313" i="3"/>
  <c r="M313" i="3"/>
  <c r="L313" i="3"/>
  <c r="J313" i="3"/>
  <c r="I313" i="3"/>
  <c r="AI312" i="3"/>
  <c r="AH312" i="3"/>
  <c r="AF312" i="3"/>
  <c r="AE312" i="3"/>
  <c r="AD312" i="3"/>
  <c r="AC312" i="3"/>
  <c r="AB312" i="3"/>
  <c r="AA312" i="3"/>
  <c r="Z312" i="3"/>
  <c r="Y312" i="3"/>
  <c r="W312" i="3"/>
  <c r="V312" i="3"/>
  <c r="U312" i="3"/>
  <c r="T312" i="3"/>
  <c r="S312" i="3"/>
  <c r="R312" i="3"/>
  <c r="Q312" i="3"/>
  <c r="P312" i="3"/>
  <c r="O312" i="3"/>
  <c r="N312" i="3"/>
  <c r="M312" i="3"/>
  <c r="L312" i="3"/>
  <c r="J312" i="3"/>
  <c r="I312" i="3"/>
  <c r="AI311" i="3"/>
  <c r="AH311" i="3"/>
  <c r="AF311" i="3"/>
  <c r="AE311" i="3"/>
  <c r="AD311" i="3"/>
  <c r="AC311" i="3"/>
  <c r="AB311" i="3"/>
  <c r="AA311" i="3"/>
  <c r="Z311" i="3"/>
  <c r="Y311" i="3"/>
  <c r="W311" i="3"/>
  <c r="V311" i="3"/>
  <c r="U311" i="3"/>
  <c r="T311" i="3"/>
  <c r="S311" i="3"/>
  <c r="R311" i="3"/>
  <c r="Q311" i="3"/>
  <c r="P311" i="3"/>
  <c r="O311" i="3"/>
  <c r="N311" i="3"/>
  <c r="M311" i="3"/>
  <c r="L311" i="3"/>
  <c r="J311" i="3"/>
  <c r="I311" i="3"/>
  <c r="AI310" i="3"/>
  <c r="AH310" i="3"/>
  <c r="AF310" i="3"/>
  <c r="AE310" i="3"/>
  <c r="AD310" i="3"/>
  <c r="AC310" i="3"/>
  <c r="AB310" i="3"/>
  <c r="AA310" i="3"/>
  <c r="Z310" i="3"/>
  <c r="Y310" i="3"/>
  <c r="W310" i="3"/>
  <c r="V310" i="3"/>
  <c r="U310" i="3"/>
  <c r="T310" i="3"/>
  <c r="S310" i="3"/>
  <c r="R310" i="3"/>
  <c r="Q310" i="3"/>
  <c r="P310" i="3"/>
  <c r="O310" i="3"/>
  <c r="N310" i="3"/>
  <c r="M310" i="3"/>
  <c r="L310" i="3"/>
  <c r="J310" i="3"/>
  <c r="I310" i="3"/>
  <c r="AI309" i="3"/>
  <c r="AH309" i="3"/>
  <c r="AF309" i="3"/>
  <c r="AE309" i="3"/>
  <c r="AD309" i="3"/>
  <c r="AC309" i="3"/>
  <c r="AB309" i="3"/>
  <c r="AA309" i="3"/>
  <c r="Z309" i="3"/>
  <c r="Y309" i="3"/>
  <c r="W309" i="3"/>
  <c r="V309" i="3"/>
  <c r="U309" i="3"/>
  <c r="T309" i="3"/>
  <c r="S309" i="3"/>
  <c r="R309" i="3"/>
  <c r="Q309" i="3"/>
  <c r="P309" i="3"/>
  <c r="O309" i="3"/>
  <c r="N309" i="3"/>
  <c r="M309" i="3"/>
  <c r="L309" i="3"/>
  <c r="J309" i="3"/>
  <c r="I309" i="3"/>
  <c r="AI308" i="3"/>
  <c r="AH308" i="3"/>
  <c r="AF308" i="3"/>
  <c r="AE308" i="3"/>
  <c r="AD308" i="3"/>
  <c r="AC308" i="3"/>
  <c r="AB308" i="3"/>
  <c r="AA308" i="3"/>
  <c r="Z308" i="3"/>
  <c r="Y308" i="3"/>
  <c r="W308" i="3"/>
  <c r="V308" i="3"/>
  <c r="U308" i="3"/>
  <c r="T308" i="3"/>
  <c r="S308" i="3"/>
  <c r="R308" i="3"/>
  <c r="Q308" i="3"/>
  <c r="P308" i="3"/>
  <c r="O308" i="3"/>
  <c r="N308" i="3"/>
  <c r="M308" i="3"/>
  <c r="L308" i="3"/>
  <c r="J308" i="3"/>
  <c r="I308" i="3"/>
  <c r="AI307" i="3"/>
  <c r="AH307" i="3"/>
  <c r="AF307" i="3"/>
  <c r="AE307" i="3"/>
  <c r="AD307" i="3"/>
  <c r="AC307" i="3"/>
  <c r="AB307" i="3"/>
  <c r="AA307" i="3"/>
  <c r="Z307" i="3"/>
  <c r="Y307" i="3"/>
  <c r="W307" i="3"/>
  <c r="V307" i="3"/>
  <c r="U307" i="3"/>
  <c r="T307" i="3"/>
  <c r="S307" i="3"/>
  <c r="R307" i="3"/>
  <c r="Q307" i="3"/>
  <c r="P307" i="3"/>
  <c r="O307" i="3"/>
  <c r="N307" i="3"/>
  <c r="M307" i="3"/>
  <c r="L307" i="3"/>
  <c r="J307" i="3"/>
  <c r="I307" i="3"/>
  <c r="AI306" i="3"/>
  <c r="AH306" i="3"/>
  <c r="AF306" i="3"/>
  <c r="AE306" i="3"/>
  <c r="AD306" i="3"/>
  <c r="AC306" i="3"/>
  <c r="AB306" i="3"/>
  <c r="AA306" i="3"/>
  <c r="Z306" i="3"/>
  <c r="Y306" i="3"/>
  <c r="W306" i="3"/>
  <c r="V306" i="3"/>
  <c r="U306" i="3"/>
  <c r="T306" i="3"/>
  <c r="S306" i="3"/>
  <c r="R306" i="3"/>
  <c r="Q306" i="3"/>
  <c r="P306" i="3"/>
  <c r="O306" i="3"/>
  <c r="N306" i="3"/>
  <c r="M306" i="3"/>
  <c r="L306" i="3"/>
  <c r="J306" i="3"/>
  <c r="I306" i="3"/>
  <c r="AI305" i="3"/>
  <c r="AH305" i="3"/>
  <c r="AF305" i="3"/>
  <c r="AE305" i="3"/>
  <c r="AD305" i="3"/>
  <c r="AC305" i="3"/>
  <c r="AB305" i="3"/>
  <c r="AA305" i="3"/>
  <c r="Z305" i="3"/>
  <c r="Y305" i="3"/>
  <c r="W305" i="3"/>
  <c r="V305" i="3"/>
  <c r="U305" i="3"/>
  <c r="T305" i="3"/>
  <c r="S305" i="3"/>
  <c r="R305" i="3"/>
  <c r="Q305" i="3"/>
  <c r="P305" i="3"/>
  <c r="O305" i="3"/>
  <c r="N305" i="3"/>
  <c r="M305" i="3"/>
  <c r="L305" i="3"/>
  <c r="J305" i="3"/>
  <c r="I305" i="3"/>
  <c r="AI304" i="3"/>
  <c r="AH304" i="3"/>
  <c r="AF304" i="3"/>
  <c r="AE304" i="3"/>
  <c r="AD304" i="3"/>
  <c r="AC304" i="3"/>
  <c r="AB304" i="3"/>
  <c r="AA304" i="3"/>
  <c r="Z304" i="3"/>
  <c r="Y304" i="3"/>
  <c r="W304" i="3"/>
  <c r="V304" i="3"/>
  <c r="U304" i="3"/>
  <c r="T304" i="3"/>
  <c r="S304" i="3"/>
  <c r="R304" i="3"/>
  <c r="Q304" i="3"/>
  <c r="P304" i="3"/>
  <c r="O304" i="3"/>
  <c r="N304" i="3"/>
  <c r="M304" i="3"/>
  <c r="L304" i="3"/>
  <c r="J304" i="3"/>
  <c r="I304" i="3"/>
  <c r="AI303" i="3"/>
  <c r="AH303" i="3"/>
  <c r="AF303" i="3"/>
  <c r="AE303" i="3"/>
  <c r="AD303" i="3"/>
  <c r="AC303" i="3"/>
  <c r="AB303" i="3"/>
  <c r="AA303" i="3"/>
  <c r="Z303" i="3"/>
  <c r="Y303" i="3"/>
  <c r="W303" i="3"/>
  <c r="V303" i="3"/>
  <c r="U303" i="3"/>
  <c r="T303" i="3"/>
  <c r="S303" i="3"/>
  <c r="R303" i="3"/>
  <c r="Q303" i="3"/>
  <c r="P303" i="3"/>
  <c r="O303" i="3"/>
  <c r="N303" i="3"/>
  <c r="M303" i="3"/>
  <c r="L303" i="3"/>
  <c r="J303" i="3"/>
  <c r="I303" i="3"/>
  <c r="AI302" i="3"/>
  <c r="AH302" i="3"/>
  <c r="AF302" i="3"/>
  <c r="AE302" i="3"/>
  <c r="AD302" i="3"/>
  <c r="AC302" i="3"/>
  <c r="AB302" i="3"/>
  <c r="AA302" i="3"/>
  <c r="Z302" i="3"/>
  <c r="Y302" i="3"/>
  <c r="W302" i="3"/>
  <c r="V302" i="3"/>
  <c r="U302" i="3"/>
  <c r="T302" i="3"/>
  <c r="S302" i="3"/>
  <c r="R302" i="3"/>
  <c r="Q302" i="3"/>
  <c r="P302" i="3"/>
  <c r="O302" i="3"/>
  <c r="N302" i="3"/>
  <c r="M302" i="3"/>
  <c r="L302" i="3"/>
  <c r="J302" i="3"/>
  <c r="I302" i="3"/>
  <c r="AI301" i="3"/>
  <c r="AH301" i="3"/>
  <c r="AF301" i="3"/>
  <c r="AE301" i="3"/>
  <c r="AD301" i="3"/>
  <c r="AC301" i="3"/>
  <c r="AB301" i="3"/>
  <c r="AA301" i="3"/>
  <c r="Z301" i="3"/>
  <c r="Y301" i="3"/>
  <c r="W301" i="3"/>
  <c r="V301" i="3"/>
  <c r="U301" i="3"/>
  <c r="T301" i="3"/>
  <c r="S301" i="3"/>
  <c r="R301" i="3"/>
  <c r="Q301" i="3"/>
  <c r="P301" i="3"/>
  <c r="O301" i="3"/>
  <c r="N301" i="3"/>
  <c r="M301" i="3"/>
  <c r="L301" i="3"/>
  <c r="J301" i="3"/>
  <c r="I301" i="3"/>
  <c r="AI300" i="3"/>
  <c r="AH300" i="3"/>
  <c r="AF300" i="3"/>
  <c r="AE300" i="3"/>
  <c r="AD300" i="3"/>
  <c r="AC300" i="3"/>
  <c r="AB300" i="3"/>
  <c r="AA300" i="3"/>
  <c r="Z300" i="3"/>
  <c r="Y300" i="3"/>
  <c r="W300" i="3"/>
  <c r="V300" i="3"/>
  <c r="U300" i="3"/>
  <c r="T300" i="3"/>
  <c r="S300" i="3"/>
  <c r="R300" i="3"/>
  <c r="Q300" i="3"/>
  <c r="P300" i="3"/>
  <c r="O300" i="3"/>
  <c r="N300" i="3"/>
  <c r="M300" i="3"/>
  <c r="L300" i="3"/>
  <c r="J300" i="3"/>
  <c r="I300" i="3"/>
  <c r="AI299" i="3"/>
  <c r="AH299" i="3"/>
  <c r="AF299" i="3"/>
  <c r="AE299" i="3"/>
  <c r="AD299" i="3"/>
  <c r="AC299" i="3"/>
  <c r="AB299" i="3"/>
  <c r="AA299" i="3"/>
  <c r="Z299" i="3"/>
  <c r="Y299" i="3"/>
  <c r="W299" i="3"/>
  <c r="V299" i="3"/>
  <c r="U299" i="3"/>
  <c r="T299" i="3"/>
  <c r="S299" i="3"/>
  <c r="R299" i="3"/>
  <c r="Q299" i="3"/>
  <c r="P299" i="3"/>
  <c r="O299" i="3"/>
  <c r="N299" i="3"/>
  <c r="M299" i="3"/>
  <c r="L299" i="3"/>
  <c r="J299" i="3"/>
  <c r="I299" i="3"/>
  <c r="AI298" i="3"/>
  <c r="AH298" i="3"/>
  <c r="AF298" i="3"/>
  <c r="AE298" i="3"/>
  <c r="AD298" i="3"/>
  <c r="AC298" i="3"/>
  <c r="AB298" i="3"/>
  <c r="AA298" i="3"/>
  <c r="Z298" i="3"/>
  <c r="Y298" i="3"/>
  <c r="W298" i="3"/>
  <c r="V298" i="3"/>
  <c r="U298" i="3"/>
  <c r="T298" i="3"/>
  <c r="S298" i="3"/>
  <c r="R298" i="3"/>
  <c r="Q298" i="3"/>
  <c r="P298" i="3"/>
  <c r="O298" i="3"/>
  <c r="N298" i="3"/>
  <c r="M298" i="3"/>
  <c r="L298" i="3"/>
  <c r="J298" i="3"/>
  <c r="I298" i="3"/>
  <c r="AI297" i="3"/>
  <c r="AH297" i="3"/>
  <c r="AF297" i="3"/>
  <c r="AE297" i="3"/>
  <c r="AD297" i="3"/>
  <c r="AC297" i="3"/>
  <c r="AB297" i="3"/>
  <c r="AA297" i="3"/>
  <c r="Z297" i="3"/>
  <c r="Y297" i="3"/>
  <c r="W297" i="3"/>
  <c r="V297" i="3"/>
  <c r="U297" i="3"/>
  <c r="T297" i="3"/>
  <c r="S297" i="3"/>
  <c r="R297" i="3"/>
  <c r="Q297" i="3"/>
  <c r="P297" i="3"/>
  <c r="O297" i="3"/>
  <c r="N297" i="3"/>
  <c r="M297" i="3"/>
  <c r="L297" i="3"/>
  <c r="J297" i="3"/>
  <c r="I297" i="3"/>
  <c r="AI296" i="3"/>
  <c r="AH296" i="3"/>
  <c r="AF296" i="3"/>
  <c r="AE296" i="3"/>
  <c r="AD296" i="3"/>
  <c r="AC296" i="3"/>
  <c r="AB296" i="3"/>
  <c r="AA296" i="3"/>
  <c r="Z296" i="3"/>
  <c r="Y296" i="3"/>
  <c r="W296" i="3"/>
  <c r="V296" i="3"/>
  <c r="U296" i="3"/>
  <c r="T296" i="3"/>
  <c r="S296" i="3"/>
  <c r="R296" i="3"/>
  <c r="Q296" i="3"/>
  <c r="P296" i="3"/>
  <c r="O296" i="3"/>
  <c r="N296" i="3"/>
  <c r="M296" i="3"/>
  <c r="L296" i="3"/>
  <c r="J296" i="3"/>
  <c r="I296" i="3"/>
  <c r="AI295" i="3"/>
  <c r="AH295" i="3"/>
  <c r="AF295" i="3"/>
  <c r="AE295" i="3"/>
  <c r="AD295" i="3"/>
  <c r="AC295" i="3"/>
  <c r="AB295" i="3"/>
  <c r="AA295" i="3"/>
  <c r="Z295" i="3"/>
  <c r="Y295" i="3"/>
  <c r="W295" i="3"/>
  <c r="V295" i="3"/>
  <c r="U295" i="3"/>
  <c r="T295" i="3"/>
  <c r="S295" i="3"/>
  <c r="R295" i="3"/>
  <c r="Q295" i="3"/>
  <c r="P295" i="3"/>
  <c r="O295" i="3"/>
  <c r="N295" i="3"/>
  <c r="M295" i="3"/>
  <c r="L295" i="3"/>
  <c r="J295" i="3"/>
  <c r="I295" i="3"/>
  <c r="AI294" i="3"/>
  <c r="AH294" i="3"/>
  <c r="AF294" i="3"/>
  <c r="AE294" i="3"/>
  <c r="AD294" i="3"/>
  <c r="AC294" i="3"/>
  <c r="AB294" i="3"/>
  <c r="AA294" i="3"/>
  <c r="Z294" i="3"/>
  <c r="Y294" i="3"/>
  <c r="W294" i="3"/>
  <c r="V294" i="3"/>
  <c r="U294" i="3"/>
  <c r="T294" i="3"/>
  <c r="S294" i="3"/>
  <c r="R294" i="3"/>
  <c r="Q294" i="3"/>
  <c r="P294" i="3"/>
  <c r="O294" i="3"/>
  <c r="N294" i="3"/>
  <c r="M294" i="3"/>
  <c r="L294" i="3"/>
  <c r="J294" i="3"/>
  <c r="I294" i="3"/>
  <c r="AI293" i="3"/>
  <c r="AH293" i="3"/>
  <c r="AF293" i="3"/>
  <c r="AE293" i="3"/>
  <c r="AD293" i="3"/>
  <c r="AC293" i="3"/>
  <c r="AB293" i="3"/>
  <c r="AA293" i="3"/>
  <c r="Z293" i="3"/>
  <c r="Y293" i="3"/>
  <c r="W293" i="3"/>
  <c r="V293" i="3"/>
  <c r="U293" i="3"/>
  <c r="T293" i="3"/>
  <c r="S293" i="3"/>
  <c r="R293" i="3"/>
  <c r="Q293" i="3"/>
  <c r="P293" i="3"/>
  <c r="O293" i="3"/>
  <c r="N293" i="3"/>
  <c r="M293" i="3"/>
  <c r="L293" i="3"/>
  <c r="J293" i="3"/>
  <c r="I293" i="3"/>
  <c r="AI292" i="3"/>
  <c r="AH292" i="3"/>
  <c r="AF292" i="3"/>
  <c r="AE292" i="3"/>
  <c r="AD292" i="3"/>
  <c r="AC292" i="3"/>
  <c r="AB292" i="3"/>
  <c r="AA292" i="3"/>
  <c r="Z292" i="3"/>
  <c r="Y292" i="3"/>
  <c r="W292" i="3"/>
  <c r="V292" i="3"/>
  <c r="U292" i="3"/>
  <c r="T292" i="3"/>
  <c r="S292" i="3"/>
  <c r="R292" i="3"/>
  <c r="Q292" i="3"/>
  <c r="P292" i="3"/>
  <c r="O292" i="3"/>
  <c r="N292" i="3"/>
  <c r="M292" i="3"/>
  <c r="L292" i="3"/>
  <c r="J292" i="3"/>
  <c r="I292" i="3"/>
  <c r="AI291" i="3"/>
  <c r="AH291" i="3"/>
  <c r="AF291" i="3"/>
  <c r="AE291" i="3"/>
  <c r="AD291" i="3"/>
  <c r="AC291" i="3"/>
  <c r="AB291" i="3"/>
  <c r="AA291" i="3"/>
  <c r="Z291" i="3"/>
  <c r="Y291" i="3"/>
  <c r="W291" i="3"/>
  <c r="V291" i="3"/>
  <c r="U291" i="3"/>
  <c r="T291" i="3"/>
  <c r="S291" i="3"/>
  <c r="R291" i="3"/>
  <c r="Q291" i="3"/>
  <c r="P291" i="3"/>
  <c r="O291" i="3"/>
  <c r="N291" i="3"/>
  <c r="M291" i="3"/>
  <c r="L291" i="3"/>
  <c r="J291" i="3"/>
  <c r="I291" i="3"/>
  <c r="AI290" i="3"/>
  <c r="AH290" i="3"/>
  <c r="AF290" i="3"/>
  <c r="AE290" i="3"/>
  <c r="AD290" i="3"/>
  <c r="AC290" i="3"/>
  <c r="AB290" i="3"/>
  <c r="AA290" i="3"/>
  <c r="Z290" i="3"/>
  <c r="Y290" i="3"/>
  <c r="W290" i="3"/>
  <c r="V290" i="3"/>
  <c r="U290" i="3"/>
  <c r="T290" i="3"/>
  <c r="S290" i="3"/>
  <c r="R290" i="3"/>
  <c r="Q290" i="3"/>
  <c r="P290" i="3"/>
  <c r="O290" i="3"/>
  <c r="N290" i="3"/>
  <c r="M290" i="3"/>
  <c r="L290" i="3"/>
  <c r="J290" i="3"/>
  <c r="I290" i="3"/>
  <c r="AI289" i="3"/>
  <c r="AH289" i="3"/>
  <c r="AF289" i="3"/>
  <c r="AE289" i="3"/>
  <c r="AD289" i="3"/>
  <c r="AC289" i="3"/>
  <c r="AB289" i="3"/>
  <c r="AA289" i="3"/>
  <c r="Z289" i="3"/>
  <c r="Y289" i="3"/>
  <c r="W289" i="3"/>
  <c r="V289" i="3"/>
  <c r="U289" i="3"/>
  <c r="T289" i="3"/>
  <c r="S289" i="3"/>
  <c r="R289" i="3"/>
  <c r="Q289" i="3"/>
  <c r="P289" i="3"/>
  <c r="O289" i="3"/>
  <c r="N289" i="3"/>
  <c r="M289" i="3"/>
  <c r="L289" i="3"/>
  <c r="J289" i="3"/>
  <c r="I289" i="3"/>
  <c r="AI288" i="3"/>
  <c r="AH288" i="3"/>
  <c r="AF288" i="3"/>
  <c r="AE288" i="3"/>
  <c r="AD288" i="3"/>
  <c r="AC288" i="3"/>
  <c r="AB288" i="3"/>
  <c r="AA288" i="3"/>
  <c r="Z288" i="3"/>
  <c r="Y288" i="3"/>
  <c r="W288" i="3"/>
  <c r="V288" i="3"/>
  <c r="U288" i="3"/>
  <c r="T288" i="3"/>
  <c r="S288" i="3"/>
  <c r="R288" i="3"/>
  <c r="Q288" i="3"/>
  <c r="P288" i="3"/>
  <c r="O288" i="3"/>
  <c r="N288" i="3"/>
  <c r="M288" i="3"/>
  <c r="L288" i="3"/>
  <c r="J288" i="3"/>
  <c r="I288" i="3"/>
  <c r="AI287" i="3"/>
  <c r="AH287" i="3"/>
  <c r="AF287" i="3"/>
  <c r="AE287" i="3"/>
  <c r="AD287" i="3"/>
  <c r="AC287" i="3"/>
  <c r="AB287" i="3"/>
  <c r="AA287" i="3"/>
  <c r="Z287" i="3"/>
  <c r="Y287" i="3"/>
  <c r="W287" i="3"/>
  <c r="V287" i="3"/>
  <c r="U287" i="3"/>
  <c r="T287" i="3"/>
  <c r="S287" i="3"/>
  <c r="R287" i="3"/>
  <c r="Q287" i="3"/>
  <c r="P287" i="3"/>
  <c r="O287" i="3"/>
  <c r="N287" i="3"/>
  <c r="M287" i="3"/>
  <c r="L287" i="3"/>
  <c r="J287" i="3"/>
  <c r="I287" i="3"/>
  <c r="AI286" i="3"/>
  <c r="AH286" i="3"/>
  <c r="AF286" i="3"/>
  <c r="AE286" i="3"/>
  <c r="AD286" i="3"/>
  <c r="AC286" i="3"/>
  <c r="AB286" i="3"/>
  <c r="AA286" i="3"/>
  <c r="Z286" i="3"/>
  <c r="Y286" i="3"/>
  <c r="W286" i="3"/>
  <c r="V286" i="3"/>
  <c r="U286" i="3"/>
  <c r="T286" i="3"/>
  <c r="S286" i="3"/>
  <c r="R286" i="3"/>
  <c r="Q286" i="3"/>
  <c r="P286" i="3"/>
  <c r="O286" i="3"/>
  <c r="N286" i="3"/>
  <c r="M286" i="3"/>
  <c r="L286" i="3"/>
  <c r="J286" i="3"/>
  <c r="I286" i="3"/>
  <c r="AI285" i="3"/>
  <c r="AH285" i="3"/>
  <c r="AF285" i="3"/>
  <c r="AE285" i="3"/>
  <c r="AD285" i="3"/>
  <c r="AC285" i="3"/>
  <c r="AB285" i="3"/>
  <c r="AA285" i="3"/>
  <c r="Z285" i="3"/>
  <c r="Y285" i="3"/>
  <c r="W285" i="3"/>
  <c r="V285" i="3"/>
  <c r="U285" i="3"/>
  <c r="T285" i="3"/>
  <c r="S285" i="3"/>
  <c r="R285" i="3"/>
  <c r="Q285" i="3"/>
  <c r="P285" i="3"/>
  <c r="O285" i="3"/>
  <c r="N285" i="3"/>
  <c r="M285" i="3"/>
  <c r="L285" i="3"/>
  <c r="J285" i="3"/>
  <c r="I285" i="3"/>
  <c r="AI284" i="3"/>
  <c r="AH284" i="3"/>
  <c r="AF284" i="3"/>
  <c r="AE284" i="3"/>
  <c r="AD284" i="3"/>
  <c r="AC284" i="3"/>
  <c r="AB284" i="3"/>
  <c r="AA284" i="3"/>
  <c r="Z284" i="3"/>
  <c r="Y284" i="3"/>
  <c r="W284" i="3"/>
  <c r="V284" i="3"/>
  <c r="U284" i="3"/>
  <c r="T284" i="3"/>
  <c r="S284" i="3"/>
  <c r="R284" i="3"/>
  <c r="Q284" i="3"/>
  <c r="P284" i="3"/>
  <c r="O284" i="3"/>
  <c r="N284" i="3"/>
  <c r="M284" i="3"/>
  <c r="L284" i="3"/>
  <c r="J284" i="3"/>
  <c r="I284" i="3"/>
  <c r="AI283" i="3"/>
  <c r="AH283" i="3"/>
  <c r="AF283" i="3"/>
  <c r="AE283" i="3"/>
  <c r="AD283" i="3"/>
  <c r="AC283" i="3"/>
  <c r="AB283" i="3"/>
  <c r="AA283" i="3"/>
  <c r="Z283" i="3"/>
  <c r="Y283" i="3"/>
  <c r="W283" i="3"/>
  <c r="V283" i="3"/>
  <c r="U283" i="3"/>
  <c r="T283" i="3"/>
  <c r="S283" i="3"/>
  <c r="R283" i="3"/>
  <c r="Q283" i="3"/>
  <c r="P283" i="3"/>
  <c r="O283" i="3"/>
  <c r="N283" i="3"/>
  <c r="M283" i="3"/>
  <c r="L283" i="3"/>
  <c r="J283" i="3"/>
  <c r="I283" i="3"/>
  <c r="AI282" i="3"/>
  <c r="AH282" i="3"/>
  <c r="AF282" i="3"/>
  <c r="AE282" i="3"/>
  <c r="AD282" i="3"/>
  <c r="AC282" i="3"/>
  <c r="AB282" i="3"/>
  <c r="AA282" i="3"/>
  <c r="Z282" i="3"/>
  <c r="Y282" i="3"/>
  <c r="W282" i="3"/>
  <c r="V282" i="3"/>
  <c r="U282" i="3"/>
  <c r="T282" i="3"/>
  <c r="S282" i="3"/>
  <c r="R282" i="3"/>
  <c r="Q282" i="3"/>
  <c r="P282" i="3"/>
  <c r="O282" i="3"/>
  <c r="N282" i="3"/>
  <c r="M282" i="3"/>
  <c r="L282" i="3"/>
  <c r="J282" i="3"/>
  <c r="I282" i="3"/>
  <c r="AI281" i="3"/>
  <c r="AH281" i="3"/>
  <c r="AF281" i="3"/>
  <c r="AE281" i="3"/>
  <c r="AD281" i="3"/>
  <c r="AC281" i="3"/>
  <c r="AB281" i="3"/>
  <c r="AA281" i="3"/>
  <c r="Z281" i="3"/>
  <c r="Y281" i="3"/>
  <c r="W281" i="3"/>
  <c r="V281" i="3"/>
  <c r="U281" i="3"/>
  <c r="T281" i="3"/>
  <c r="S281" i="3"/>
  <c r="R281" i="3"/>
  <c r="Q281" i="3"/>
  <c r="P281" i="3"/>
  <c r="O281" i="3"/>
  <c r="N281" i="3"/>
  <c r="M281" i="3"/>
  <c r="L281" i="3"/>
  <c r="J281" i="3"/>
  <c r="I281" i="3"/>
  <c r="AI280" i="3"/>
  <c r="AH280" i="3"/>
  <c r="AF280" i="3"/>
  <c r="AE280" i="3"/>
  <c r="AD280" i="3"/>
  <c r="AC280" i="3"/>
  <c r="AB280" i="3"/>
  <c r="AA280" i="3"/>
  <c r="Z280" i="3"/>
  <c r="Y280" i="3"/>
  <c r="W280" i="3"/>
  <c r="V280" i="3"/>
  <c r="U280" i="3"/>
  <c r="T280" i="3"/>
  <c r="S280" i="3"/>
  <c r="R280" i="3"/>
  <c r="Q280" i="3"/>
  <c r="P280" i="3"/>
  <c r="O280" i="3"/>
  <c r="N280" i="3"/>
  <c r="M280" i="3"/>
  <c r="L280" i="3"/>
  <c r="J280" i="3"/>
  <c r="I280" i="3"/>
  <c r="AI279" i="3"/>
  <c r="AH279" i="3"/>
  <c r="AF279" i="3"/>
  <c r="AE279" i="3"/>
  <c r="AD279" i="3"/>
  <c r="AC279" i="3"/>
  <c r="AB279" i="3"/>
  <c r="AA279" i="3"/>
  <c r="Z279" i="3"/>
  <c r="Y279" i="3"/>
  <c r="W279" i="3"/>
  <c r="V279" i="3"/>
  <c r="U279" i="3"/>
  <c r="T279" i="3"/>
  <c r="S279" i="3"/>
  <c r="R279" i="3"/>
  <c r="Q279" i="3"/>
  <c r="P279" i="3"/>
  <c r="O279" i="3"/>
  <c r="N279" i="3"/>
  <c r="M279" i="3"/>
  <c r="L279" i="3"/>
  <c r="J279" i="3"/>
  <c r="I279" i="3"/>
  <c r="AI278" i="3"/>
  <c r="AH278" i="3"/>
  <c r="AF278" i="3"/>
  <c r="AE278" i="3"/>
  <c r="AD278" i="3"/>
  <c r="AC278" i="3"/>
  <c r="AB278" i="3"/>
  <c r="AA278" i="3"/>
  <c r="Z278" i="3"/>
  <c r="Y278" i="3"/>
  <c r="W278" i="3"/>
  <c r="V278" i="3"/>
  <c r="U278" i="3"/>
  <c r="T278" i="3"/>
  <c r="S278" i="3"/>
  <c r="R278" i="3"/>
  <c r="Q278" i="3"/>
  <c r="P278" i="3"/>
  <c r="O278" i="3"/>
  <c r="N278" i="3"/>
  <c r="M278" i="3"/>
  <c r="L278" i="3"/>
  <c r="J278" i="3"/>
  <c r="I278" i="3"/>
  <c r="AI277" i="3"/>
  <c r="AH277" i="3"/>
  <c r="AF277" i="3"/>
  <c r="AE277" i="3"/>
  <c r="AD277" i="3"/>
  <c r="AC277" i="3"/>
  <c r="AB277" i="3"/>
  <c r="AA277" i="3"/>
  <c r="Z277" i="3"/>
  <c r="Y277" i="3"/>
  <c r="W277" i="3"/>
  <c r="V277" i="3"/>
  <c r="U277" i="3"/>
  <c r="T277" i="3"/>
  <c r="S277" i="3"/>
  <c r="R277" i="3"/>
  <c r="Q277" i="3"/>
  <c r="P277" i="3"/>
  <c r="O277" i="3"/>
  <c r="N277" i="3"/>
  <c r="M277" i="3"/>
  <c r="L277" i="3"/>
  <c r="J277" i="3"/>
  <c r="I277" i="3"/>
  <c r="AI276" i="3"/>
  <c r="AH276" i="3"/>
  <c r="AF276" i="3"/>
  <c r="AE276" i="3"/>
  <c r="AD276" i="3"/>
  <c r="AC276" i="3"/>
  <c r="AB276" i="3"/>
  <c r="AA276" i="3"/>
  <c r="Z276" i="3"/>
  <c r="Y276" i="3"/>
  <c r="W276" i="3"/>
  <c r="V276" i="3"/>
  <c r="U276" i="3"/>
  <c r="T276" i="3"/>
  <c r="S276" i="3"/>
  <c r="R276" i="3"/>
  <c r="Q276" i="3"/>
  <c r="P276" i="3"/>
  <c r="O276" i="3"/>
  <c r="N276" i="3"/>
  <c r="M276" i="3"/>
  <c r="L276" i="3"/>
  <c r="J276" i="3"/>
  <c r="I276" i="3"/>
  <c r="AI275" i="3"/>
  <c r="AH275" i="3"/>
  <c r="AF275" i="3"/>
  <c r="AE275" i="3"/>
  <c r="AD275" i="3"/>
  <c r="AC275" i="3"/>
  <c r="AB275" i="3"/>
  <c r="AA275" i="3"/>
  <c r="Z275" i="3"/>
  <c r="Y275" i="3"/>
  <c r="W275" i="3"/>
  <c r="V275" i="3"/>
  <c r="U275" i="3"/>
  <c r="T275" i="3"/>
  <c r="S275" i="3"/>
  <c r="R275" i="3"/>
  <c r="Q275" i="3"/>
  <c r="P275" i="3"/>
  <c r="O275" i="3"/>
  <c r="N275" i="3"/>
  <c r="M275" i="3"/>
  <c r="L275" i="3"/>
  <c r="J275" i="3"/>
  <c r="I275" i="3"/>
  <c r="AI274" i="3"/>
  <c r="AH274" i="3"/>
  <c r="AF274" i="3"/>
  <c r="AE274" i="3"/>
  <c r="AD274" i="3"/>
  <c r="AC274" i="3"/>
  <c r="AB274" i="3"/>
  <c r="AA274" i="3"/>
  <c r="Z274" i="3"/>
  <c r="Y274" i="3"/>
  <c r="W274" i="3"/>
  <c r="V274" i="3"/>
  <c r="U274" i="3"/>
  <c r="T274" i="3"/>
  <c r="S274" i="3"/>
  <c r="R274" i="3"/>
  <c r="Q274" i="3"/>
  <c r="P274" i="3"/>
  <c r="O274" i="3"/>
  <c r="N274" i="3"/>
  <c r="M274" i="3"/>
  <c r="L274" i="3"/>
  <c r="J274" i="3"/>
  <c r="I274" i="3"/>
  <c r="AI273" i="3"/>
  <c r="AH273" i="3"/>
  <c r="AF273" i="3"/>
  <c r="AE273" i="3"/>
  <c r="AD273" i="3"/>
  <c r="AC273" i="3"/>
  <c r="AB273" i="3"/>
  <c r="AA273" i="3"/>
  <c r="Z273" i="3"/>
  <c r="Y273" i="3"/>
  <c r="W273" i="3"/>
  <c r="V273" i="3"/>
  <c r="U273" i="3"/>
  <c r="T273" i="3"/>
  <c r="S273" i="3"/>
  <c r="R273" i="3"/>
  <c r="Q273" i="3"/>
  <c r="P273" i="3"/>
  <c r="O273" i="3"/>
  <c r="N273" i="3"/>
  <c r="M273" i="3"/>
  <c r="L273" i="3"/>
  <c r="J273" i="3"/>
  <c r="I273" i="3"/>
  <c r="AI272" i="3"/>
  <c r="AH272" i="3"/>
  <c r="AF272" i="3"/>
  <c r="AE272" i="3"/>
  <c r="AD272" i="3"/>
  <c r="AC272" i="3"/>
  <c r="AB272" i="3"/>
  <c r="AA272" i="3"/>
  <c r="Z272" i="3"/>
  <c r="Y272" i="3"/>
  <c r="W272" i="3"/>
  <c r="V272" i="3"/>
  <c r="U272" i="3"/>
  <c r="T272" i="3"/>
  <c r="S272" i="3"/>
  <c r="R272" i="3"/>
  <c r="Q272" i="3"/>
  <c r="P272" i="3"/>
  <c r="O272" i="3"/>
  <c r="N272" i="3"/>
  <c r="M272" i="3"/>
  <c r="L272" i="3"/>
  <c r="J272" i="3"/>
  <c r="I272" i="3"/>
  <c r="AI271" i="3"/>
  <c r="AH271" i="3"/>
  <c r="AF271" i="3"/>
  <c r="AE271" i="3"/>
  <c r="AD271" i="3"/>
  <c r="AC271" i="3"/>
  <c r="AB271" i="3"/>
  <c r="AA271" i="3"/>
  <c r="Z271" i="3"/>
  <c r="Y271" i="3"/>
  <c r="W271" i="3"/>
  <c r="V271" i="3"/>
  <c r="U271" i="3"/>
  <c r="T271" i="3"/>
  <c r="S271" i="3"/>
  <c r="R271" i="3"/>
  <c r="Q271" i="3"/>
  <c r="P271" i="3"/>
  <c r="O271" i="3"/>
  <c r="N271" i="3"/>
  <c r="M271" i="3"/>
  <c r="L271" i="3"/>
  <c r="J271" i="3"/>
  <c r="I271" i="3"/>
  <c r="AI270" i="3"/>
  <c r="AH270" i="3"/>
  <c r="AF270" i="3"/>
  <c r="AE270" i="3"/>
  <c r="AD270" i="3"/>
  <c r="AC270" i="3"/>
  <c r="AB270" i="3"/>
  <c r="AA270" i="3"/>
  <c r="Z270" i="3"/>
  <c r="Y270" i="3"/>
  <c r="W270" i="3"/>
  <c r="V270" i="3"/>
  <c r="U270" i="3"/>
  <c r="T270" i="3"/>
  <c r="S270" i="3"/>
  <c r="R270" i="3"/>
  <c r="Q270" i="3"/>
  <c r="P270" i="3"/>
  <c r="O270" i="3"/>
  <c r="N270" i="3"/>
  <c r="M270" i="3"/>
  <c r="L270" i="3"/>
  <c r="J270" i="3"/>
  <c r="I270" i="3"/>
  <c r="AI269" i="3"/>
  <c r="AH269" i="3"/>
  <c r="AF269" i="3"/>
  <c r="AE269" i="3"/>
  <c r="AD269" i="3"/>
  <c r="AC269" i="3"/>
  <c r="AB269" i="3"/>
  <c r="AA269" i="3"/>
  <c r="Z269" i="3"/>
  <c r="Y269" i="3"/>
  <c r="W269" i="3"/>
  <c r="V269" i="3"/>
  <c r="U269" i="3"/>
  <c r="T269" i="3"/>
  <c r="S269" i="3"/>
  <c r="R269" i="3"/>
  <c r="Q269" i="3"/>
  <c r="P269" i="3"/>
  <c r="O269" i="3"/>
  <c r="N269" i="3"/>
  <c r="M269" i="3"/>
  <c r="L269" i="3"/>
  <c r="J269" i="3"/>
  <c r="I269" i="3"/>
  <c r="AI268" i="3"/>
  <c r="AH268" i="3"/>
  <c r="AF268" i="3"/>
  <c r="AE268" i="3"/>
  <c r="AD268" i="3"/>
  <c r="AC268" i="3"/>
  <c r="AB268" i="3"/>
  <c r="AA268" i="3"/>
  <c r="Z268" i="3"/>
  <c r="Y268" i="3"/>
  <c r="W268" i="3"/>
  <c r="V268" i="3"/>
  <c r="U268" i="3"/>
  <c r="T268" i="3"/>
  <c r="S268" i="3"/>
  <c r="R268" i="3"/>
  <c r="Q268" i="3"/>
  <c r="P268" i="3"/>
  <c r="O268" i="3"/>
  <c r="N268" i="3"/>
  <c r="M268" i="3"/>
  <c r="L268" i="3"/>
  <c r="J268" i="3"/>
  <c r="I268" i="3"/>
  <c r="AI267" i="3"/>
  <c r="AH267" i="3"/>
  <c r="AF267" i="3"/>
  <c r="AE267" i="3"/>
  <c r="AD267" i="3"/>
  <c r="AC267" i="3"/>
  <c r="AB267" i="3"/>
  <c r="AA267" i="3"/>
  <c r="Z267" i="3"/>
  <c r="Y267" i="3"/>
  <c r="W267" i="3"/>
  <c r="V267" i="3"/>
  <c r="U267" i="3"/>
  <c r="T267" i="3"/>
  <c r="S267" i="3"/>
  <c r="R267" i="3"/>
  <c r="Q267" i="3"/>
  <c r="P267" i="3"/>
  <c r="O267" i="3"/>
  <c r="N267" i="3"/>
  <c r="M267" i="3"/>
  <c r="L267" i="3"/>
  <c r="J267" i="3"/>
  <c r="I267" i="3"/>
  <c r="AI266" i="3"/>
  <c r="AH266" i="3"/>
  <c r="AF266" i="3"/>
  <c r="AE266" i="3"/>
  <c r="AD266" i="3"/>
  <c r="AC266" i="3"/>
  <c r="AB266" i="3"/>
  <c r="AA266" i="3"/>
  <c r="Z266" i="3"/>
  <c r="Y266" i="3"/>
  <c r="W266" i="3"/>
  <c r="V266" i="3"/>
  <c r="U266" i="3"/>
  <c r="T266" i="3"/>
  <c r="S266" i="3"/>
  <c r="R266" i="3"/>
  <c r="Q266" i="3"/>
  <c r="P266" i="3"/>
  <c r="O266" i="3"/>
  <c r="N266" i="3"/>
  <c r="M266" i="3"/>
  <c r="L266" i="3"/>
  <c r="J266" i="3"/>
  <c r="I266" i="3"/>
  <c r="AI265" i="3"/>
  <c r="AH265" i="3"/>
  <c r="AF265" i="3"/>
  <c r="AE265" i="3"/>
  <c r="AD265" i="3"/>
  <c r="AC265" i="3"/>
  <c r="AB265" i="3"/>
  <c r="AA265" i="3"/>
  <c r="Z265" i="3"/>
  <c r="Y265" i="3"/>
  <c r="W265" i="3"/>
  <c r="V265" i="3"/>
  <c r="U265" i="3"/>
  <c r="T265" i="3"/>
  <c r="S265" i="3"/>
  <c r="R265" i="3"/>
  <c r="Q265" i="3"/>
  <c r="P265" i="3"/>
  <c r="O265" i="3"/>
  <c r="N265" i="3"/>
  <c r="M265" i="3"/>
  <c r="L265" i="3"/>
  <c r="J265" i="3"/>
  <c r="I265" i="3"/>
  <c r="AI264" i="3"/>
  <c r="AH264" i="3"/>
  <c r="AF264" i="3"/>
  <c r="AE264" i="3"/>
  <c r="AD264" i="3"/>
  <c r="AC264" i="3"/>
  <c r="AB264" i="3"/>
  <c r="AA264" i="3"/>
  <c r="Z264" i="3"/>
  <c r="Y264" i="3"/>
  <c r="W264" i="3"/>
  <c r="V264" i="3"/>
  <c r="U264" i="3"/>
  <c r="T264" i="3"/>
  <c r="S264" i="3"/>
  <c r="R264" i="3"/>
  <c r="Q264" i="3"/>
  <c r="P264" i="3"/>
  <c r="O264" i="3"/>
  <c r="N264" i="3"/>
  <c r="M264" i="3"/>
  <c r="L264" i="3"/>
  <c r="J264" i="3"/>
  <c r="I264" i="3"/>
  <c r="AI263" i="3"/>
  <c r="AH263" i="3"/>
  <c r="AF263" i="3"/>
  <c r="AE263" i="3"/>
  <c r="AD263" i="3"/>
  <c r="AC263" i="3"/>
  <c r="AB263" i="3"/>
  <c r="AA263" i="3"/>
  <c r="Z263" i="3"/>
  <c r="Y263" i="3"/>
  <c r="W263" i="3"/>
  <c r="V263" i="3"/>
  <c r="U263" i="3"/>
  <c r="T263" i="3"/>
  <c r="S263" i="3"/>
  <c r="R263" i="3"/>
  <c r="Q263" i="3"/>
  <c r="P263" i="3"/>
  <c r="O263" i="3"/>
  <c r="N263" i="3"/>
  <c r="M263" i="3"/>
  <c r="L263" i="3"/>
  <c r="J263" i="3"/>
  <c r="I263" i="3"/>
  <c r="AI262" i="3"/>
  <c r="AH262" i="3"/>
  <c r="AF262" i="3"/>
  <c r="AE262" i="3"/>
  <c r="AD262" i="3"/>
  <c r="AC262" i="3"/>
  <c r="AB262" i="3"/>
  <c r="AA262" i="3"/>
  <c r="Z262" i="3"/>
  <c r="Y262" i="3"/>
  <c r="W262" i="3"/>
  <c r="V262" i="3"/>
  <c r="U262" i="3"/>
  <c r="T262" i="3"/>
  <c r="S262" i="3"/>
  <c r="R262" i="3"/>
  <c r="Q262" i="3"/>
  <c r="P262" i="3"/>
  <c r="O262" i="3"/>
  <c r="N262" i="3"/>
  <c r="M262" i="3"/>
  <c r="L262" i="3"/>
  <c r="J262" i="3"/>
  <c r="I262" i="3"/>
  <c r="AI261" i="3"/>
  <c r="AH261" i="3"/>
  <c r="AF261" i="3"/>
  <c r="AE261" i="3"/>
  <c r="AD261" i="3"/>
  <c r="AC261" i="3"/>
  <c r="AB261" i="3"/>
  <c r="AA261" i="3"/>
  <c r="Z261" i="3"/>
  <c r="Y261" i="3"/>
  <c r="W261" i="3"/>
  <c r="V261" i="3"/>
  <c r="U261" i="3"/>
  <c r="T261" i="3"/>
  <c r="S261" i="3"/>
  <c r="R261" i="3"/>
  <c r="Q261" i="3"/>
  <c r="P261" i="3"/>
  <c r="O261" i="3"/>
  <c r="N261" i="3"/>
  <c r="M261" i="3"/>
  <c r="L261" i="3"/>
  <c r="J261" i="3"/>
  <c r="I261" i="3"/>
  <c r="AI260" i="3"/>
  <c r="AH260" i="3"/>
  <c r="AF260" i="3"/>
  <c r="AE260" i="3"/>
  <c r="AD260" i="3"/>
  <c r="AC260" i="3"/>
  <c r="AB260" i="3"/>
  <c r="AA260" i="3"/>
  <c r="Z260" i="3"/>
  <c r="Y260" i="3"/>
  <c r="W260" i="3"/>
  <c r="V260" i="3"/>
  <c r="U260" i="3"/>
  <c r="T260" i="3"/>
  <c r="S260" i="3"/>
  <c r="R260" i="3"/>
  <c r="Q260" i="3"/>
  <c r="P260" i="3"/>
  <c r="O260" i="3"/>
  <c r="N260" i="3"/>
  <c r="M260" i="3"/>
  <c r="L260" i="3"/>
  <c r="J260" i="3"/>
  <c r="I260" i="3"/>
  <c r="AI259" i="3"/>
  <c r="AH259" i="3"/>
  <c r="AF259" i="3"/>
  <c r="AE259" i="3"/>
  <c r="AD259" i="3"/>
  <c r="AC259" i="3"/>
  <c r="AB259" i="3"/>
  <c r="AA259" i="3"/>
  <c r="Z259" i="3"/>
  <c r="Y259" i="3"/>
  <c r="W259" i="3"/>
  <c r="V259" i="3"/>
  <c r="U259" i="3"/>
  <c r="T259" i="3"/>
  <c r="S259" i="3"/>
  <c r="R259" i="3"/>
  <c r="Q259" i="3"/>
  <c r="P259" i="3"/>
  <c r="O259" i="3"/>
  <c r="N259" i="3"/>
  <c r="M259" i="3"/>
  <c r="L259" i="3"/>
  <c r="J259" i="3"/>
  <c r="I259" i="3"/>
  <c r="AI258" i="3"/>
  <c r="AH258" i="3"/>
  <c r="AF258" i="3"/>
  <c r="AE258" i="3"/>
  <c r="AD258" i="3"/>
  <c r="AC258" i="3"/>
  <c r="AB258" i="3"/>
  <c r="AA258" i="3"/>
  <c r="Z258" i="3"/>
  <c r="Y258" i="3"/>
  <c r="W258" i="3"/>
  <c r="V258" i="3"/>
  <c r="U258" i="3"/>
  <c r="T258" i="3"/>
  <c r="S258" i="3"/>
  <c r="R258" i="3"/>
  <c r="Q258" i="3"/>
  <c r="P258" i="3"/>
  <c r="O258" i="3"/>
  <c r="N258" i="3"/>
  <c r="M258" i="3"/>
  <c r="L258" i="3"/>
  <c r="J258" i="3"/>
  <c r="I258" i="3"/>
  <c r="AI257" i="3"/>
  <c r="AH257" i="3"/>
  <c r="AF257" i="3"/>
  <c r="AE257" i="3"/>
  <c r="AD257" i="3"/>
  <c r="AC257" i="3"/>
  <c r="AB257" i="3"/>
  <c r="AA257" i="3"/>
  <c r="Z257" i="3"/>
  <c r="Y257" i="3"/>
  <c r="W257" i="3"/>
  <c r="V257" i="3"/>
  <c r="U257" i="3"/>
  <c r="T257" i="3"/>
  <c r="S257" i="3"/>
  <c r="R257" i="3"/>
  <c r="Q257" i="3"/>
  <c r="P257" i="3"/>
  <c r="O257" i="3"/>
  <c r="N257" i="3"/>
  <c r="M257" i="3"/>
  <c r="L257" i="3"/>
  <c r="J257" i="3"/>
  <c r="I257" i="3"/>
  <c r="AI256" i="3"/>
  <c r="AH256" i="3"/>
  <c r="AF256" i="3"/>
  <c r="AE256" i="3"/>
  <c r="AD256" i="3"/>
  <c r="AC256" i="3"/>
  <c r="AB256" i="3"/>
  <c r="AA256" i="3"/>
  <c r="Z256" i="3"/>
  <c r="Y256" i="3"/>
  <c r="W256" i="3"/>
  <c r="V256" i="3"/>
  <c r="U256" i="3"/>
  <c r="T256" i="3"/>
  <c r="S256" i="3"/>
  <c r="R256" i="3"/>
  <c r="Q256" i="3"/>
  <c r="P256" i="3"/>
  <c r="O256" i="3"/>
  <c r="N256" i="3"/>
  <c r="M256" i="3"/>
  <c r="L256" i="3"/>
  <c r="J256" i="3"/>
  <c r="I256" i="3"/>
  <c r="AI255" i="3"/>
  <c r="AH255" i="3"/>
  <c r="AF255" i="3"/>
  <c r="AE255" i="3"/>
  <c r="AD255" i="3"/>
  <c r="AC255" i="3"/>
  <c r="AB255" i="3"/>
  <c r="AA255" i="3"/>
  <c r="Z255" i="3"/>
  <c r="Y255" i="3"/>
  <c r="W255" i="3"/>
  <c r="V255" i="3"/>
  <c r="U255" i="3"/>
  <c r="T255" i="3"/>
  <c r="S255" i="3"/>
  <c r="R255" i="3"/>
  <c r="Q255" i="3"/>
  <c r="P255" i="3"/>
  <c r="O255" i="3"/>
  <c r="N255" i="3"/>
  <c r="M255" i="3"/>
  <c r="L255" i="3"/>
  <c r="J255" i="3"/>
  <c r="I255" i="3"/>
  <c r="AI254" i="3"/>
  <c r="AH254" i="3"/>
  <c r="AF254" i="3"/>
  <c r="AE254" i="3"/>
  <c r="AD254" i="3"/>
  <c r="AC254" i="3"/>
  <c r="AB254" i="3"/>
  <c r="AA254" i="3"/>
  <c r="Z254" i="3"/>
  <c r="Y254" i="3"/>
  <c r="W254" i="3"/>
  <c r="V254" i="3"/>
  <c r="U254" i="3"/>
  <c r="T254" i="3"/>
  <c r="S254" i="3"/>
  <c r="R254" i="3"/>
  <c r="Q254" i="3"/>
  <c r="P254" i="3"/>
  <c r="O254" i="3"/>
  <c r="N254" i="3"/>
  <c r="M254" i="3"/>
  <c r="L254" i="3"/>
  <c r="J254" i="3"/>
  <c r="I254" i="3"/>
  <c r="AI253" i="3"/>
  <c r="AH253" i="3"/>
  <c r="AF253" i="3"/>
  <c r="AE253" i="3"/>
  <c r="AD253" i="3"/>
  <c r="AC253" i="3"/>
  <c r="AB253" i="3"/>
  <c r="AA253" i="3"/>
  <c r="Z253" i="3"/>
  <c r="Y253" i="3"/>
  <c r="W253" i="3"/>
  <c r="V253" i="3"/>
  <c r="U253" i="3"/>
  <c r="T253" i="3"/>
  <c r="S253" i="3"/>
  <c r="R253" i="3"/>
  <c r="Q253" i="3"/>
  <c r="P253" i="3"/>
  <c r="O253" i="3"/>
  <c r="N253" i="3"/>
  <c r="M253" i="3"/>
  <c r="L253" i="3"/>
  <c r="J253" i="3"/>
  <c r="I253" i="3"/>
  <c r="AI252" i="3"/>
  <c r="AH252" i="3"/>
  <c r="AF252" i="3"/>
  <c r="AE252" i="3"/>
  <c r="AD252" i="3"/>
  <c r="AC252" i="3"/>
  <c r="AB252" i="3"/>
  <c r="AA252" i="3"/>
  <c r="Z252" i="3"/>
  <c r="Y252" i="3"/>
  <c r="W252" i="3"/>
  <c r="V252" i="3"/>
  <c r="U252" i="3"/>
  <c r="T252" i="3"/>
  <c r="S252" i="3"/>
  <c r="R252" i="3"/>
  <c r="Q252" i="3"/>
  <c r="P252" i="3"/>
  <c r="O252" i="3"/>
  <c r="N252" i="3"/>
  <c r="M252" i="3"/>
  <c r="L252" i="3"/>
  <c r="J252" i="3"/>
  <c r="I252" i="3"/>
  <c r="AI251" i="3"/>
  <c r="AH251" i="3"/>
  <c r="AF251" i="3"/>
  <c r="AE251" i="3"/>
  <c r="AD251" i="3"/>
  <c r="AC251" i="3"/>
  <c r="AB251" i="3"/>
  <c r="AA251" i="3"/>
  <c r="Z251" i="3"/>
  <c r="Y251" i="3"/>
  <c r="W251" i="3"/>
  <c r="V251" i="3"/>
  <c r="U251" i="3"/>
  <c r="T251" i="3"/>
  <c r="S251" i="3"/>
  <c r="R251" i="3"/>
  <c r="Q251" i="3"/>
  <c r="P251" i="3"/>
  <c r="O251" i="3"/>
  <c r="N251" i="3"/>
  <c r="M251" i="3"/>
  <c r="L251" i="3"/>
  <c r="J251" i="3"/>
  <c r="I251" i="3"/>
  <c r="AI250" i="3"/>
  <c r="AH250" i="3"/>
  <c r="AF250" i="3"/>
  <c r="AE250" i="3"/>
  <c r="AD250" i="3"/>
  <c r="AC250" i="3"/>
  <c r="AB250" i="3"/>
  <c r="AA250" i="3"/>
  <c r="Z250" i="3"/>
  <c r="Y250" i="3"/>
  <c r="W250" i="3"/>
  <c r="V250" i="3"/>
  <c r="U250" i="3"/>
  <c r="T250" i="3"/>
  <c r="S250" i="3"/>
  <c r="R250" i="3"/>
  <c r="Q250" i="3"/>
  <c r="P250" i="3"/>
  <c r="O250" i="3"/>
  <c r="N250" i="3"/>
  <c r="M250" i="3"/>
  <c r="L250" i="3"/>
  <c r="J250" i="3"/>
  <c r="I250" i="3"/>
  <c r="AI249" i="3"/>
  <c r="AH249" i="3"/>
  <c r="AF249" i="3"/>
  <c r="AE249" i="3"/>
  <c r="AD249" i="3"/>
  <c r="AC249" i="3"/>
  <c r="AB249" i="3"/>
  <c r="AA249" i="3"/>
  <c r="Z249" i="3"/>
  <c r="Y249" i="3"/>
  <c r="W249" i="3"/>
  <c r="V249" i="3"/>
  <c r="U249" i="3"/>
  <c r="T249" i="3"/>
  <c r="S249" i="3"/>
  <c r="R249" i="3"/>
  <c r="Q249" i="3"/>
  <c r="P249" i="3"/>
  <c r="O249" i="3"/>
  <c r="N249" i="3"/>
  <c r="M249" i="3"/>
  <c r="L249" i="3"/>
  <c r="J249" i="3"/>
  <c r="I249" i="3"/>
  <c r="AI248" i="3"/>
  <c r="AH248" i="3"/>
  <c r="AF248" i="3"/>
  <c r="AE248" i="3"/>
  <c r="AD248" i="3"/>
  <c r="AC248" i="3"/>
  <c r="AB248" i="3"/>
  <c r="AA248" i="3"/>
  <c r="Z248" i="3"/>
  <c r="Y248" i="3"/>
  <c r="W248" i="3"/>
  <c r="V248" i="3"/>
  <c r="U248" i="3"/>
  <c r="T248" i="3"/>
  <c r="S248" i="3"/>
  <c r="R248" i="3"/>
  <c r="Q248" i="3"/>
  <c r="P248" i="3"/>
  <c r="O248" i="3"/>
  <c r="N248" i="3"/>
  <c r="M248" i="3"/>
  <c r="L248" i="3"/>
  <c r="J248" i="3"/>
  <c r="I248" i="3"/>
  <c r="AI247" i="3"/>
  <c r="AH247" i="3"/>
  <c r="AF247" i="3"/>
  <c r="AE247" i="3"/>
  <c r="AD247" i="3"/>
  <c r="AC247" i="3"/>
  <c r="AB247" i="3"/>
  <c r="AA247" i="3"/>
  <c r="Z247" i="3"/>
  <c r="Y247" i="3"/>
  <c r="W247" i="3"/>
  <c r="V247" i="3"/>
  <c r="U247" i="3"/>
  <c r="T247" i="3"/>
  <c r="S247" i="3"/>
  <c r="R247" i="3"/>
  <c r="Q247" i="3"/>
  <c r="P247" i="3"/>
  <c r="O247" i="3"/>
  <c r="N247" i="3"/>
  <c r="M247" i="3"/>
  <c r="L247" i="3"/>
  <c r="J247" i="3"/>
  <c r="I247" i="3"/>
  <c r="AI246" i="3"/>
  <c r="AH246" i="3"/>
  <c r="AF246" i="3"/>
  <c r="AE246" i="3"/>
  <c r="AD246" i="3"/>
  <c r="AC246" i="3"/>
  <c r="AB246" i="3"/>
  <c r="AA246" i="3"/>
  <c r="Z246" i="3"/>
  <c r="Y246" i="3"/>
  <c r="W246" i="3"/>
  <c r="V246" i="3"/>
  <c r="U246" i="3"/>
  <c r="T246" i="3"/>
  <c r="S246" i="3"/>
  <c r="R246" i="3"/>
  <c r="Q246" i="3"/>
  <c r="P246" i="3"/>
  <c r="O246" i="3"/>
  <c r="N246" i="3"/>
  <c r="M246" i="3"/>
  <c r="L246" i="3"/>
  <c r="J246" i="3"/>
  <c r="I246" i="3"/>
  <c r="AI245" i="3"/>
  <c r="AH245" i="3"/>
  <c r="AF245" i="3"/>
  <c r="AE245" i="3"/>
  <c r="AD245" i="3"/>
  <c r="AC245" i="3"/>
  <c r="AB245" i="3"/>
  <c r="AA245" i="3"/>
  <c r="Z245" i="3"/>
  <c r="Y245" i="3"/>
  <c r="W245" i="3"/>
  <c r="V245" i="3"/>
  <c r="U245" i="3"/>
  <c r="T245" i="3"/>
  <c r="S245" i="3"/>
  <c r="R245" i="3"/>
  <c r="Q245" i="3"/>
  <c r="P245" i="3"/>
  <c r="O245" i="3"/>
  <c r="N245" i="3"/>
  <c r="M245" i="3"/>
  <c r="L245" i="3"/>
  <c r="J245" i="3"/>
  <c r="I245" i="3"/>
  <c r="AI244" i="3"/>
  <c r="AH244" i="3"/>
  <c r="AF244" i="3"/>
  <c r="AE244" i="3"/>
  <c r="AD244" i="3"/>
  <c r="AC244" i="3"/>
  <c r="AB244" i="3"/>
  <c r="AA244" i="3"/>
  <c r="Z244" i="3"/>
  <c r="Y244" i="3"/>
  <c r="W244" i="3"/>
  <c r="V244" i="3"/>
  <c r="U244" i="3"/>
  <c r="T244" i="3"/>
  <c r="S244" i="3"/>
  <c r="R244" i="3"/>
  <c r="Q244" i="3"/>
  <c r="P244" i="3"/>
  <c r="O244" i="3"/>
  <c r="N244" i="3"/>
  <c r="M244" i="3"/>
  <c r="L244" i="3"/>
  <c r="J244" i="3"/>
  <c r="I244" i="3"/>
  <c r="AI243" i="3"/>
  <c r="AH243" i="3"/>
  <c r="AF243" i="3"/>
  <c r="AE243" i="3"/>
  <c r="AD243" i="3"/>
  <c r="AC243" i="3"/>
  <c r="AB243" i="3"/>
  <c r="AA243" i="3"/>
  <c r="Z243" i="3"/>
  <c r="Y243" i="3"/>
  <c r="W243" i="3"/>
  <c r="V243" i="3"/>
  <c r="U243" i="3"/>
  <c r="T243" i="3"/>
  <c r="S243" i="3"/>
  <c r="R243" i="3"/>
  <c r="Q243" i="3"/>
  <c r="P243" i="3"/>
  <c r="O243" i="3"/>
  <c r="N243" i="3"/>
  <c r="M243" i="3"/>
  <c r="L243" i="3"/>
  <c r="J243" i="3"/>
  <c r="I243" i="3"/>
  <c r="AI242" i="3"/>
  <c r="AH242" i="3"/>
  <c r="AF242" i="3"/>
  <c r="AE242" i="3"/>
  <c r="AD242" i="3"/>
  <c r="AC242" i="3"/>
  <c r="AB242" i="3"/>
  <c r="AA242" i="3"/>
  <c r="Z242" i="3"/>
  <c r="Y242" i="3"/>
  <c r="W242" i="3"/>
  <c r="V242" i="3"/>
  <c r="U242" i="3"/>
  <c r="T242" i="3"/>
  <c r="S242" i="3"/>
  <c r="R242" i="3"/>
  <c r="Q242" i="3"/>
  <c r="P242" i="3"/>
  <c r="O242" i="3"/>
  <c r="N242" i="3"/>
  <c r="M242" i="3"/>
  <c r="L242" i="3"/>
  <c r="J242" i="3"/>
  <c r="I242" i="3"/>
  <c r="AI241" i="3"/>
  <c r="AH241" i="3"/>
  <c r="AF241" i="3"/>
  <c r="AE241" i="3"/>
  <c r="AD241" i="3"/>
  <c r="AC241" i="3"/>
  <c r="AB241" i="3"/>
  <c r="AA241" i="3"/>
  <c r="Z241" i="3"/>
  <c r="Y241" i="3"/>
  <c r="W241" i="3"/>
  <c r="V241" i="3"/>
  <c r="U241" i="3"/>
  <c r="T241" i="3"/>
  <c r="S241" i="3"/>
  <c r="R241" i="3"/>
  <c r="Q241" i="3"/>
  <c r="P241" i="3"/>
  <c r="O241" i="3"/>
  <c r="N241" i="3"/>
  <c r="M241" i="3"/>
  <c r="L241" i="3"/>
  <c r="J241" i="3"/>
  <c r="I241" i="3"/>
  <c r="AI240" i="3"/>
  <c r="AH240" i="3"/>
  <c r="AF240" i="3"/>
  <c r="AE240" i="3"/>
  <c r="AD240" i="3"/>
  <c r="AC240" i="3"/>
  <c r="AB240" i="3"/>
  <c r="AA240" i="3"/>
  <c r="Z240" i="3"/>
  <c r="Y240" i="3"/>
  <c r="W240" i="3"/>
  <c r="V240" i="3"/>
  <c r="U240" i="3"/>
  <c r="T240" i="3"/>
  <c r="S240" i="3"/>
  <c r="R240" i="3"/>
  <c r="Q240" i="3"/>
  <c r="P240" i="3"/>
  <c r="O240" i="3"/>
  <c r="N240" i="3"/>
  <c r="M240" i="3"/>
  <c r="L240" i="3"/>
  <c r="J240" i="3"/>
  <c r="I240" i="3"/>
  <c r="AI239" i="3"/>
  <c r="AH239" i="3"/>
  <c r="AF239" i="3"/>
  <c r="AE239" i="3"/>
  <c r="AD239" i="3"/>
  <c r="AC239" i="3"/>
  <c r="AB239" i="3"/>
  <c r="AA239" i="3"/>
  <c r="Z239" i="3"/>
  <c r="Y239" i="3"/>
  <c r="W239" i="3"/>
  <c r="V239" i="3"/>
  <c r="U239" i="3"/>
  <c r="T239" i="3"/>
  <c r="S239" i="3"/>
  <c r="R239" i="3"/>
  <c r="Q239" i="3"/>
  <c r="P239" i="3"/>
  <c r="O239" i="3"/>
  <c r="N239" i="3"/>
  <c r="M239" i="3"/>
  <c r="L239" i="3"/>
  <c r="J239" i="3"/>
  <c r="I239" i="3"/>
  <c r="AI238" i="3"/>
  <c r="AH238" i="3"/>
  <c r="AF238" i="3"/>
  <c r="AE238" i="3"/>
  <c r="AD238" i="3"/>
  <c r="AC238" i="3"/>
  <c r="AB238" i="3"/>
  <c r="AA238" i="3"/>
  <c r="Z238" i="3"/>
  <c r="Y238" i="3"/>
  <c r="W238" i="3"/>
  <c r="V238" i="3"/>
  <c r="U238" i="3"/>
  <c r="T238" i="3"/>
  <c r="S238" i="3"/>
  <c r="R238" i="3"/>
  <c r="Q238" i="3"/>
  <c r="P238" i="3"/>
  <c r="O238" i="3"/>
  <c r="N238" i="3"/>
  <c r="M238" i="3"/>
  <c r="L238" i="3"/>
  <c r="J238" i="3"/>
  <c r="I238" i="3"/>
  <c r="AI237" i="3"/>
  <c r="AH237" i="3"/>
  <c r="AF237" i="3"/>
  <c r="AE237" i="3"/>
  <c r="AD237" i="3"/>
  <c r="AC237" i="3"/>
  <c r="AB237" i="3"/>
  <c r="AA237" i="3"/>
  <c r="Z237" i="3"/>
  <c r="Y237" i="3"/>
  <c r="W237" i="3"/>
  <c r="V237" i="3"/>
  <c r="U237" i="3"/>
  <c r="T237" i="3"/>
  <c r="S237" i="3"/>
  <c r="R237" i="3"/>
  <c r="Q237" i="3"/>
  <c r="P237" i="3"/>
  <c r="O237" i="3"/>
  <c r="N237" i="3"/>
  <c r="M237" i="3"/>
  <c r="L237" i="3"/>
  <c r="J237" i="3"/>
  <c r="I237" i="3"/>
  <c r="AI236" i="3"/>
  <c r="AH236" i="3"/>
  <c r="AF236" i="3"/>
  <c r="AE236" i="3"/>
  <c r="AD236" i="3"/>
  <c r="AC236" i="3"/>
  <c r="AB236" i="3"/>
  <c r="AA236" i="3"/>
  <c r="Z236" i="3"/>
  <c r="Y236" i="3"/>
  <c r="W236" i="3"/>
  <c r="V236" i="3"/>
  <c r="U236" i="3"/>
  <c r="T236" i="3"/>
  <c r="S236" i="3"/>
  <c r="R236" i="3"/>
  <c r="Q236" i="3"/>
  <c r="P236" i="3"/>
  <c r="O236" i="3"/>
  <c r="N236" i="3"/>
  <c r="M236" i="3"/>
  <c r="L236" i="3"/>
  <c r="J236" i="3"/>
  <c r="I236" i="3"/>
  <c r="AI235" i="3"/>
  <c r="AH235" i="3"/>
  <c r="AF235" i="3"/>
  <c r="AE235" i="3"/>
  <c r="AD235" i="3"/>
  <c r="AC235" i="3"/>
  <c r="AB235" i="3"/>
  <c r="AA235" i="3"/>
  <c r="Z235" i="3"/>
  <c r="Y235" i="3"/>
  <c r="W235" i="3"/>
  <c r="V235" i="3"/>
  <c r="U235" i="3"/>
  <c r="T235" i="3"/>
  <c r="S235" i="3"/>
  <c r="R235" i="3"/>
  <c r="Q235" i="3"/>
  <c r="P235" i="3"/>
  <c r="O235" i="3"/>
  <c r="N235" i="3"/>
  <c r="M235" i="3"/>
  <c r="L235" i="3"/>
  <c r="J235" i="3"/>
  <c r="I235" i="3"/>
  <c r="AI234" i="3"/>
  <c r="AH234" i="3"/>
  <c r="AF234" i="3"/>
  <c r="AE234" i="3"/>
  <c r="AD234" i="3"/>
  <c r="AC234" i="3"/>
  <c r="AB234" i="3"/>
  <c r="AA234" i="3"/>
  <c r="Z234" i="3"/>
  <c r="Y234" i="3"/>
  <c r="W234" i="3"/>
  <c r="V234" i="3"/>
  <c r="U234" i="3"/>
  <c r="T234" i="3"/>
  <c r="S234" i="3"/>
  <c r="R234" i="3"/>
  <c r="Q234" i="3"/>
  <c r="P234" i="3"/>
  <c r="O234" i="3"/>
  <c r="N234" i="3"/>
  <c r="M234" i="3"/>
  <c r="L234" i="3"/>
  <c r="J234" i="3"/>
  <c r="I234" i="3"/>
  <c r="AI233" i="3"/>
  <c r="AH233" i="3"/>
  <c r="AF233" i="3"/>
  <c r="AE233" i="3"/>
  <c r="AD233" i="3"/>
  <c r="AC233" i="3"/>
  <c r="AB233" i="3"/>
  <c r="AA233" i="3"/>
  <c r="Z233" i="3"/>
  <c r="Y233" i="3"/>
  <c r="W233" i="3"/>
  <c r="V233" i="3"/>
  <c r="U233" i="3"/>
  <c r="T233" i="3"/>
  <c r="S233" i="3"/>
  <c r="R233" i="3"/>
  <c r="Q233" i="3"/>
  <c r="P233" i="3"/>
  <c r="O233" i="3"/>
  <c r="N233" i="3"/>
  <c r="M233" i="3"/>
  <c r="L233" i="3"/>
  <c r="J233" i="3"/>
  <c r="I233" i="3"/>
  <c r="AI232" i="3"/>
  <c r="AH232" i="3"/>
  <c r="AF232" i="3"/>
  <c r="AE232" i="3"/>
  <c r="AD232" i="3"/>
  <c r="AC232" i="3"/>
  <c r="AB232" i="3"/>
  <c r="AA232" i="3"/>
  <c r="Z232" i="3"/>
  <c r="Y232" i="3"/>
  <c r="W232" i="3"/>
  <c r="V232" i="3"/>
  <c r="U232" i="3"/>
  <c r="T232" i="3"/>
  <c r="S232" i="3"/>
  <c r="R232" i="3"/>
  <c r="Q232" i="3"/>
  <c r="P232" i="3"/>
  <c r="O232" i="3"/>
  <c r="N232" i="3"/>
  <c r="M232" i="3"/>
  <c r="L232" i="3"/>
  <c r="J232" i="3"/>
  <c r="I232" i="3"/>
  <c r="AI231" i="3"/>
  <c r="AH231" i="3"/>
  <c r="AF231" i="3"/>
  <c r="AE231" i="3"/>
  <c r="AD231" i="3"/>
  <c r="AC231" i="3"/>
  <c r="AB231" i="3"/>
  <c r="AA231" i="3"/>
  <c r="Z231" i="3"/>
  <c r="Y231" i="3"/>
  <c r="W231" i="3"/>
  <c r="V231" i="3"/>
  <c r="U231" i="3"/>
  <c r="T231" i="3"/>
  <c r="S231" i="3"/>
  <c r="R231" i="3"/>
  <c r="Q231" i="3"/>
  <c r="P231" i="3"/>
  <c r="O231" i="3"/>
  <c r="N231" i="3"/>
  <c r="M231" i="3"/>
  <c r="L231" i="3"/>
  <c r="J231" i="3"/>
  <c r="I231" i="3"/>
  <c r="AI230" i="3"/>
  <c r="AH230" i="3"/>
  <c r="AF230" i="3"/>
  <c r="AE230" i="3"/>
  <c r="AD230" i="3"/>
  <c r="AC230" i="3"/>
  <c r="AB230" i="3"/>
  <c r="AA230" i="3"/>
  <c r="Z230" i="3"/>
  <c r="Y230" i="3"/>
  <c r="W230" i="3"/>
  <c r="V230" i="3"/>
  <c r="U230" i="3"/>
  <c r="T230" i="3"/>
  <c r="S230" i="3"/>
  <c r="R230" i="3"/>
  <c r="Q230" i="3"/>
  <c r="P230" i="3"/>
  <c r="O230" i="3"/>
  <c r="N230" i="3"/>
  <c r="M230" i="3"/>
  <c r="L230" i="3"/>
  <c r="J230" i="3"/>
  <c r="I230" i="3"/>
  <c r="AI229" i="3"/>
  <c r="AH229" i="3"/>
  <c r="AF229" i="3"/>
  <c r="AE229" i="3"/>
  <c r="AD229" i="3"/>
  <c r="AC229" i="3"/>
  <c r="AB229" i="3"/>
  <c r="AA229" i="3"/>
  <c r="Z229" i="3"/>
  <c r="Y229" i="3"/>
  <c r="W229" i="3"/>
  <c r="V229" i="3"/>
  <c r="U229" i="3"/>
  <c r="T229" i="3"/>
  <c r="S229" i="3"/>
  <c r="R229" i="3"/>
  <c r="Q229" i="3"/>
  <c r="P229" i="3"/>
  <c r="O229" i="3"/>
  <c r="N229" i="3"/>
  <c r="M229" i="3"/>
  <c r="L229" i="3"/>
  <c r="J229" i="3"/>
  <c r="I229" i="3"/>
  <c r="AI228" i="3"/>
  <c r="AH228" i="3"/>
  <c r="AF228" i="3"/>
  <c r="AE228" i="3"/>
  <c r="AD228" i="3"/>
  <c r="AC228" i="3"/>
  <c r="AB228" i="3"/>
  <c r="AA228" i="3"/>
  <c r="Z228" i="3"/>
  <c r="Y228" i="3"/>
  <c r="W228" i="3"/>
  <c r="V228" i="3"/>
  <c r="U228" i="3"/>
  <c r="T228" i="3"/>
  <c r="S228" i="3"/>
  <c r="R228" i="3"/>
  <c r="Q228" i="3"/>
  <c r="P228" i="3"/>
  <c r="O228" i="3"/>
  <c r="N228" i="3"/>
  <c r="M228" i="3"/>
  <c r="L228" i="3"/>
  <c r="J228" i="3"/>
  <c r="I228" i="3"/>
  <c r="AI227" i="3"/>
  <c r="AH227" i="3"/>
  <c r="AF227" i="3"/>
  <c r="AE227" i="3"/>
  <c r="AD227" i="3"/>
  <c r="AC227" i="3"/>
  <c r="AB227" i="3"/>
  <c r="AA227" i="3"/>
  <c r="Z227" i="3"/>
  <c r="Y227" i="3"/>
  <c r="W227" i="3"/>
  <c r="V227" i="3"/>
  <c r="U227" i="3"/>
  <c r="T227" i="3"/>
  <c r="S227" i="3"/>
  <c r="R227" i="3"/>
  <c r="Q227" i="3"/>
  <c r="P227" i="3"/>
  <c r="O227" i="3"/>
  <c r="N227" i="3"/>
  <c r="M227" i="3"/>
  <c r="L227" i="3"/>
  <c r="J227" i="3"/>
  <c r="I227" i="3"/>
  <c r="AI226" i="3"/>
  <c r="AH226" i="3"/>
  <c r="AF226" i="3"/>
  <c r="AE226" i="3"/>
  <c r="AD226" i="3"/>
  <c r="AC226" i="3"/>
  <c r="AB226" i="3"/>
  <c r="AA226" i="3"/>
  <c r="Z226" i="3"/>
  <c r="Y226" i="3"/>
  <c r="W226" i="3"/>
  <c r="V226" i="3"/>
  <c r="U226" i="3"/>
  <c r="T226" i="3"/>
  <c r="S226" i="3"/>
  <c r="R226" i="3"/>
  <c r="Q226" i="3"/>
  <c r="P226" i="3"/>
  <c r="O226" i="3"/>
  <c r="N226" i="3"/>
  <c r="M226" i="3"/>
  <c r="L226" i="3"/>
  <c r="J226" i="3"/>
  <c r="I226" i="3"/>
  <c r="AI225" i="3"/>
  <c r="AH225" i="3"/>
  <c r="AF225" i="3"/>
  <c r="AE225" i="3"/>
  <c r="AD225" i="3"/>
  <c r="AC225" i="3"/>
  <c r="AB225" i="3"/>
  <c r="AA225" i="3"/>
  <c r="Z225" i="3"/>
  <c r="Y225" i="3"/>
  <c r="W225" i="3"/>
  <c r="V225" i="3"/>
  <c r="U225" i="3"/>
  <c r="T225" i="3"/>
  <c r="S225" i="3"/>
  <c r="R225" i="3"/>
  <c r="Q225" i="3"/>
  <c r="P225" i="3"/>
  <c r="O225" i="3"/>
  <c r="N225" i="3"/>
  <c r="M225" i="3"/>
  <c r="L225" i="3"/>
  <c r="J225" i="3"/>
  <c r="I225" i="3"/>
  <c r="AI224" i="3"/>
  <c r="AH224" i="3"/>
  <c r="AF224" i="3"/>
  <c r="AE224" i="3"/>
  <c r="AD224" i="3"/>
  <c r="AC224" i="3"/>
  <c r="AB224" i="3"/>
  <c r="AA224" i="3"/>
  <c r="Z224" i="3"/>
  <c r="Y224" i="3"/>
  <c r="W224" i="3"/>
  <c r="V224" i="3"/>
  <c r="U224" i="3"/>
  <c r="T224" i="3"/>
  <c r="S224" i="3"/>
  <c r="R224" i="3"/>
  <c r="Q224" i="3"/>
  <c r="P224" i="3"/>
  <c r="O224" i="3"/>
  <c r="N224" i="3"/>
  <c r="M224" i="3"/>
  <c r="L224" i="3"/>
  <c r="J224" i="3"/>
  <c r="I224" i="3"/>
  <c r="AI223" i="3"/>
  <c r="AH223" i="3"/>
  <c r="AF223" i="3"/>
  <c r="AE223" i="3"/>
  <c r="AD223" i="3"/>
  <c r="AC223" i="3"/>
  <c r="AB223" i="3"/>
  <c r="AA223" i="3"/>
  <c r="Z223" i="3"/>
  <c r="Y223" i="3"/>
  <c r="W223" i="3"/>
  <c r="V223" i="3"/>
  <c r="U223" i="3"/>
  <c r="T223" i="3"/>
  <c r="S223" i="3"/>
  <c r="R223" i="3"/>
  <c r="Q223" i="3"/>
  <c r="P223" i="3"/>
  <c r="O223" i="3"/>
  <c r="N223" i="3"/>
  <c r="M223" i="3"/>
  <c r="L223" i="3"/>
  <c r="J223" i="3"/>
  <c r="I223" i="3"/>
  <c r="AI222" i="3"/>
  <c r="AH222" i="3"/>
  <c r="AF222" i="3"/>
  <c r="AE222" i="3"/>
  <c r="AD222" i="3"/>
  <c r="AC222" i="3"/>
  <c r="AB222" i="3"/>
  <c r="AA222" i="3"/>
  <c r="Z222" i="3"/>
  <c r="Y222" i="3"/>
  <c r="W222" i="3"/>
  <c r="V222" i="3"/>
  <c r="U222" i="3"/>
  <c r="T222" i="3"/>
  <c r="S222" i="3"/>
  <c r="R222" i="3"/>
  <c r="Q222" i="3"/>
  <c r="P222" i="3"/>
  <c r="O222" i="3"/>
  <c r="N222" i="3"/>
  <c r="M222" i="3"/>
  <c r="L222" i="3"/>
  <c r="J222" i="3"/>
  <c r="I222" i="3"/>
  <c r="AI221" i="3"/>
  <c r="AH221" i="3"/>
  <c r="AF221" i="3"/>
  <c r="AE221" i="3"/>
  <c r="AD221" i="3"/>
  <c r="AC221" i="3"/>
  <c r="AB221" i="3"/>
  <c r="AA221" i="3"/>
  <c r="Z221" i="3"/>
  <c r="Y221" i="3"/>
  <c r="W221" i="3"/>
  <c r="V221" i="3"/>
  <c r="U221" i="3"/>
  <c r="T221" i="3"/>
  <c r="S221" i="3"/>
  <c r="R221" i="3"/>
  <c r="Q221" i="3"/>
  <c r="P221" i="3"/>
  <c r="O221" i="3"/>
  <c r="N221" i="3"/>
  <c r="M221" i="3"/>
  <c r="L221" i="3"/>
  <c r="J221" i="3"/>
  <c r="I221" i="3"/>
  <c r="AI220" i="3"/>
  <c r="AH220" i="3"/>
  <c r="AF220" i="3"/>
  <c r="AE220" i="3"/>
  <c r="AD220" i="3"/>
  <c r="AC220" i="3"/>
  <c r="AB220" i="3"/>
  <c r="AA220" i="3"/>
  <c r="Z220" i="3"/>
  <c r="Y220" i="3"/>
  <c r="W220" i="3"/>
  <c r="V220" i="3"/>
  <c r="U220" i="3"/>
  <c r="T220" i="3"/>
  <c r="S220" i="3"/>
  <c r="R220" i="3"/>
  <c r="Q220" i="3"/>
  <c r="P220" i="3"/>
  <c r="O220" i="3"/>
  <c r="N220" i="3"/>
  <c r="M220" i="3"/>
  <c r="L220" i="3"/>
  <c r="J220" i="3"/>
  <c r="I220" i="3"/>
  <c r="AI219" i="3"/>
  <c r="AH219" i="3"/>
  <c r="AF219" i="3"/>
  <c r="AE219" i="3"/>
  <c r="AD219" i="3"/>
  <c r="AC219" i="3"/>
  <c r="AB219" i="3"/>
  <c r="AA219" i="3"/>
  <c r="Z219" i="3"/>
  <c r="Y219" i="3"/>
  <c r="W219" i="3"/>
  <c r="V219" i="3"/>
  <c r="U219" i="3"/>
  <c r="T219" i="3"/>
  <c r="S219" i="3"/>
  <c r="R219" i="3"/>
  <c r="Q219" i="3"/>
  <c r="P219" i="3"/>
  <c r="O219" i="3"/>
  <c r="N219" i="3"/>
  <c r="M219" i="3"/>
  <c r="L219" i="3"/>
  <c r="J219" i="3"/>
  <c r="I219" i="3"/>
  <c r="AI218" i="3"/>
  <c r="AH218" i="3"/>
  <c r="AF218" i="3"/>
  <c r="AE218" i="3"/>
  <c r="AD218" i="3"/>
  <c r="AC218" i="3"/>
  <c r="AB218" i="3"/>
  <c r="AA218" i="3"/>
  <c r="Z218" i="3"/>
  <c r="Y218" i="3"/>
  <c r="W218" i="3"/>
  <c r="V218" i="3"/>
  <c r="U218" i="3"/>
  <c r="T218" i="3"/>
  <c r="S218" i="3"/>
  <c r="R218" i="3"/>
  <c r="Q218" i="3"/>
  <c r="P218" i="3"/>
  <c r="O218" i="3"/>
  <c r="N218" i="3"/>
  <c r="M218" i="3"/>
  <c r="L218" i="3"/>
  <c r="J218" i="3"/>
  <c r="I218" i="3"/>
  <c r="AI217" i="3"/>
  <c r="AH217" i="3"/>
  <c r="AF217" i="3"/>
  <c r="AE217" i="3"/>
  <c r="AD217" i="3"/>
  <c r="AC217" i="3"/>
  <c r="AB217" i="3"/>
  <c r="AA217" i="3"/>
  <c r="Z217" i="3"/>
  <c r="Y217" i="3"/>
  <c r="W217" i="3"/>
  <c r="V217" i="3"/>
  <c r="U217" i="3"/>
  <c r="T217" i="3"/>
  <c r="S217" i="3"/>
  <c r="R217" i="3"/>
  <c r="Q217" i="3"/>
  <c r="P217" i="3"/>
  <c r="O217" i="3"/>
  <c r="N217" i="3"/>
  <c r="M217" i="3"/>
  <c r="L217" i="3"/>
  <c r="J217" i="3"/>
  <c r="I217" i="3"/>
  <c r="AI216" i="3"/>
  <c r="AH216" i="3"/>
  <c r="AF216" i="3"/>
  <c r="AE216" i="3"/>
  <c r="AD216" i="3"/>
  <c r="AC216" i="3"/>
  <c r="AB216" i="3"/>
  <c r="AA216" i="3"/>
  <c r="Z216" i="3"/>
  <c r="Y216" i="3"/>
  <c r="W216" i="3"/>
  <c r="V216" i="3"/>
  <c r="U216" i="3"/>
  <c r="T216" i="3"/>
  <c r="S216" i="3"/>
  <c r="R216" i="3"/>
  <c r="Q216" i="3"/>
  <c r="P216" i="3"/>
  <c r="O216" i="3"/>
  <c r="N216" i="3"/>
  <c r="M216" i="3"/>
  <c r="L216" i="3"/>
  <c r="J216" i="3"/>
  <c r="I216" i="3"/>
  <c r="AI215" i="3"/>
  <c r="AH215" i="3"/>
  <c r="AF215" i="3"/>
  <c r="AE215" i="3"/>
  <c r="AD215" i="3"/>
  <c r="AC215" i="3"/>
  <c r="AB215" i="3"/>
  <c r="AA215" i="3"/>
  <c r="Z215" i="3"/>
  <c r="Y215" i="3"/>
  <c r="W215" i="3"/>
  <c r="V215" i="3"/>
  <c r="U215" i="3"/>
  <c r="T215" i="3"/>
  <c r="S215" i="3"/>
  <c r="R215" i="3"/>
  <c r="Q215" i="3"/>
  <c r="P215" i="3"/>
  <c r="O215" i="3"/>
  <c r="N215" i="3"/>
  <c r="M215" i="3"/>
  <c r="L215" i="3"/>
  <c r="J215" i="3"/>
  <c r="I215" i="3"/>
  <c r="AI214" i="3"/>
  <c r="AH214" i="3"/>
  <c r="AF214" i="3"/>
  <c r="AE214" i="3"/>
  <c r="AD214" i="3"/>
  <c r="AC214" i="3"/>
  <c r="AB214" i="3"/>
  <c r="AA214" i="3"/>
  <c r="Z214" i="3"/>
  <c r="Y214" i="3"/>
  <c r="W214" i="3"/>
  <c r="V214" i="3"/>
  <c r="U214" i="3"/>
  <c r="T214" i="3"/>
  <c r="S214" i="3"/>
  <c r="R214" i="3"/>
  <c r="Q214" i="3"/>
  <c r="P214" i="3"/>
  <c r="O214" i="3"/>
  <c r="N214" i="3"/>
  <c r="M214" i="3"/>
  <c r="L214" i="3"/>
  <c r="J214" i="3"/>
  <c r="I214" i="3"/>
  <c r="AI213" i="3"/>
  <c r="AH213" i="3"/>
  <c r="AF213" i="3"/>
  <c r="AE213" i="3"/>
  <c r="AD213" i="3"/>
  <c r="AC213" i="3"/>
  <c r="AB213" i="3"/>
  <c r="AA213" i="3"/>
  <c r="Z213" i="3"/>
  <c r="Y213" i="3"/>
  <c r="W213" i="3"/>
  <c r="V213" i="3"/>
  <c r="U213" i="3"/>
  <c r="T213" i="3"/>
  <c r="S213" i="3"/>
  <c r="R213" i="3"/>
  <c r="Q213" i="3"/>
  <c r="P213" i="3"/>
  <c r="O213" i="3"/>
  <c r="N213" i="3"/>
  <c r="M213" i="3"/>
  <c r="L213" i="3"/>
  <c r="J213" i="3"/>
  <c r="I213" i="3"/>
  <c r="AI212" i="3"/>
  <c r="AH212" i="3"/>
  <c r="AF212" i="3"/>
  <c r="AE212" i="3"/>
  <c r="AD212" i="3"/>
  <c r="AC212" i="3"/>
  <c r="AB212" i="3"/>
  <c r="AA212" i="3"/>
  <c r="Z212" i="3"/>
  <c r="Y212" i="3"/>
  <c r="W212" i="3"/>
  <c r="V212" i="3"/>
  <c r="U212" i="3"/>
  <c r="T212" i="3"/>
  <c r="S212" i="3"/>
  <c r="R212" i="3"/>
  <c r="Q212" i="3"/>
  <c r="P212" i="3"/>
  <c r="O212" i="3"/>
  <c r="N212" i="3"/>
  <c r="M212" i="3"/>
  <c r="L212" i="3"/>
  <c r="J212" i="3"/>
  <c r="I212" i="3"/>
  <c r="AI211" i="3"/>
  <c r="AH211" i="3"/>
  <c r="AF211" i="3"/>
  <c r="AE211" i="3"/>
  <c r="AD211" i="3"/>
  <c r="AC211" i="3"/>
  <c r="AB211" i="3"/>
  <c r="AA211" i="3"/>
  <c r="Z211" i="3"/>
  <c r="Y211" i="3"/>
  <c r="W211" i="3"/>
  <c r="V211" i="3"/>
  <c r="U211" i="3"/>
  <c r="T211" i="3"/>
  <c r="S211" i="3"/>
  <c r="R211" i="3"/>
  <c r="Q211" i="3"/>
  <c r="P211" i="3"/>
  <c r="O211" i="3"/>
  <c r="N211" i="3"/>
  <c r="M211" i="3"/>
  <c r="L211" i="3"/>
  <c r="J211" i="3"/>
  <c r="I211" i="3"/>
  <c r="AI210" i="3"/>
  <c r="AH210" i="3"/>
  <c r="AF210" i="3"/>
  <c r="AE210" i="3"/>
  <c r="AD210" i="3"/>
  <c r="AC210" i="3"/>
  <c r="AB210" i="3"/>
  <c r="AA210" i="3"/>
  <c r="Z210" i="3"/>
  <c r="Y210" i="3"/>
  <c r="W210" i="3"/>
  <c r="V210" i="3"/>
  <c r="U210" i="3"/>
  <c r="T210" i="3"/>
  <c r="S210" i="3"/>
  <c r="R210" i="3"/>
  <c r="Q210" i="3"/>
  <c r="P210" i="3"/>
  <c r="O210" i="3"/>
  <c r="N210" i="3"/>
  <c r="M210" i="3"/>
  <c r="L210" i="3"/>
  <c r="J210" i="3"/>
  <c r="I210" i="3"/>
  <c r="AI209" i="3"/>
  <c r="AH209" i="3"/>
  <c r="AF209" i="3"/>
  <c r="AE209" i="3"/>
  <c r="AD209" i="3"/>
  <c r="AC209" i="3"/>
  <c r="AB209" i="3"/>
  <c r="AA209" i="3"/>
  <c r="Z209" i="3"/>
  <c r="Y209" i="3"/>
  <c r="W209" i="3"/>
  <c r="V209" i="3"/>
  <c r="U209" i="3"/>
  <c r="T209" i="3"/>
  <c r="S209" i="3"/>
  <c r="R209" i="3"/>
  <c r="Q209" i="3"/>
  <c r="P209" i="3"/>
  <c r="O209" i="3"/>
  <c r="N209" i="3"/>
  <c r="M209" i="3"/>
  <c r="L209" i="3"/>
  <c r="J209" i="3"/>
  <c r="I209" i="3"/>
  <c r="AI208" i="3"/>
  <c r="AH208" i="3"/>
  <c r="AF208" i="3"/>
  <c r="AE208" i="3"/>
  <c r="AD208" i="3"/>
  <c r="AC208" i="3"/>
  <c r="AB208" i="3"/>
  <c r="AA208" i="3"/>
  <c r="Z208" i="3"/>
  <c r="Y208" i="3"/>
  <c r="W208" i="3"/>
  <c r="V208" i="3"/>
  <c r="U208" i="3"/>
  <c r="T208" i="3"/>
  <c r="S208" i="3"/>
  <c r="R208" i="3"/>
  <c r="Q208" i="3"/>
  <c r="P208" i="3"/>
  <c r="O208" i="3"/>
  <c r="N208" i="3"/>
  <c r="M208" i="3"/>
  <c r="L208" i="3"/>
  <c r="J208" i="3"/>
  <c r="I208" i="3"/>
  <c r="AI207" i="3"/>
  <c r="AH207" i="3"/>
  <c r="AF207" i="3"/>
  <c r="AE207" i="3"/>
  <c r="AD207" i="3"/>
  <c r="AC207" i="3"/>
  <c r="AB207" i="3"/>
  <c r="AA207" i="3"/>
  <c r="Z207" i="3"/>
  <c r="Y207" i="3"/>
  <c r="W207" i="3"/>
  <c r="V207" i="3"/>
  <c r="U207" i="3"/>
  <c r="T207" i="3"/>
  <c r="S207" i="3"/>
  <c r="R207" i="3"/>
  <c r="Q207" i="3"/>
  <c r="P207" i="3"/>
  <c r="O207" i="3"/>
  <c r="N207" i="3"/>
  <c r="M207" i="3"/>
  <c r="L207" i="3"/>
  <c r="J207" i="3"/>
  <c r="I207" i="3"/>
  <c r="AI206" i="3"/>
  <c r="AH206" i="3"/>
  <c r="AF206" i="3"/>
  <c r="AE206" i="3"/>
  <c r="AD206" i="3"/>
  <c r="AC206" i="3"/>
  <c r="AB206" i="3"/>
  <c r="AA206" i="3"/>
  <c r="Z206" i="3"/>
  <c r="Y206" i="3"/>
  <c r="W206" i="3"/>
  <c r="V206" i="3"/>
  <c r="U206" i="3"/>
  <c r="T206" i="3"/>
  <c r="S206" i="3"/>
  <c r="R206" i="3"/>
  <c r="Q206" i="3"/>
  <c r="P206" i="3"/>
  <c r="O206" i="3"/>
  <c r="N206" i="3"/>
  <c r="M206" i="3"/>
  <c r="L206" i="3"/>
  <c r="J206" i="3"/>
  <c r="I206" i="3"/>
  <c r="AI205" i="3"/>
  <c r="AH205" i="3"/>
  <c r="AF205" i="3"/>
  <c r="AE205" i="3"/>
  <c r="AD205" i="3"/>
  <c r="AC205" i="3"/>
  <c r="AB205" i="3"/>
  <c r="AA205" i="3"/>
  <c r="Z205" i="3"/>
  <c r="Y205" i="3"/>
  <c r="W205" i="3"/>
  <c r="V205" i="3"/>
  <c r="U205" i="3"/>
  <c r="T205" i="3"/>
  <c r="S205" i="3"/>
  <c r="R205" i="3"/>
  <c r="Q205" i="3"/>
  <c r="P205" i="3"/>
  <c r="O205" i="3"/>
  <c r="N205" i="3"/>
  <c r="M205" i="3"/>
  <c r="L205" i="3"/>
  <c r="J205" i="3"/>
  <c r="I205" i="3"/>
  <c r="AI204" i="3"/>
  <c r="AH204" i="3"/>
  <c r="AF204" i="3"/>
  <c r="AE204" i="3"/>
  <c r="AD204" i="3"/>
  <c r="AC204" i="3"/>
  <c r="AB204" i="3"/>
  <c r="AA204" i="3"/>
  <c r="Z204" i="3"/>
  <c r="Y204" i="3"/>
  <c r="W204" i="3"/>
  <c r="V204" i="3"/>
  <c r="U204" i="3"/>
  <c r="T204" i="3"/>
  <c r="S204" i="3"/>
  <c r="R204" i="3"/>
  <c r="Q204" i="3"/>
  <c r="P204" i="3"/>
  <c r="O204" i="3"/>
  <c r="N204" i="3"/>
  <c r="M204" i="3"/>
  <c r="L204" i="3"/>
  <c r="J204" i="3"/>
  <c r="I204" i="3"/>
  <c r="AI203" i="3"/>
  <c r="AH203" i="3"/>
  <c r="AF203" i="3"/>
  <c r="AE203" i="3"/>
  <c r="AD203" i="3"/>
  <c r="AC203" i="3"/>
  <c r="AB203" i="3"/>
  <c r="AA203" i="3"/>
  <c r="Z203" i="3"/>
  <c r="Y203" i="3"/>
  <c r="W203" i="3"/>
  <c r="V203" i="3"/>
  <c r="U203" i="3"/>
  <c r="T203" i="3"/>
  <c r="S203" i="3"/>
  <c r="R203" i="3"/>
  <c r="Q203" i="3"/>
  <c r="P203" i="3"/>
  <c r="O203" i="3"/>
  <c r="N203" i="3"/>
  <c r="M203" i="3"/>
  <c r="L203" i="3"/>
  <c r="J203" i="3"/>
  <c r="I203" i="3"/>
  <c r="AI202" i="3"/>
  <c r="AH202" i="3"/>
  <c r="AF202" i="3"/>
  <c r="AE202" i="3"/>
  <c r="AD202" i="3"/>
  <c r="AC202" i="3"/>
  <c r="AB202" i="3"/>
  <c r="AA202" i="3"/>
  <c r="Z202" i="3"/>
  <c r="Y202" i="3"/>
  <c r="W202" i="3"/>
  <c r="V202" i="3"/>
  <c r="U202" i="3"/>
  <c r="T202" i="3"/>
  <c r="S202" i="3"/>
  <c r="R202" i="3"/>
  <c r="Q202" i="3"/>
  <c r="P202" i="3"/>
  <c r="O202" i="3"/>
  <c r="N202" i="3"/>
  <c r="M202" i="3"/>
  <c r="L202" i="3"/>
  <c r="J202" i="3"/>
  <c r="I202" i="3"/>
  <c r="AI201" i="3"/>
  <c r="AH201" i="3"/>
  <c r="AF201" i="3"/>
  <c r="AE201" i="3"/>
  <c r="AD201" i="3"/>
  <c r="AC201" i="3"/>
  <c r="AB201" i="3"/>
  <c r="AA201" i="3"/>
  <c r="Z201" i="3"/>
  <c r="Y201" i="3"/>
  <c r="W201" i="3"/>
  <c r="V201" i="3"/>
  <c r="U201" i="3"/>
  <c r="T201" i="3"/>
  <c r="S201" i="3"/>
  <c r="R201" i="3"/>
  <c r="Q201" i="3"/>
  <c r="P201" i="3"/>
  <c r="O201" i="3"/>
  <c r="N201" i="3"/>
  <c r="M201" i="3"/>
  <c r="L201" i="3"/>
  <c r="J201" i="3"/>
  <c r="I201" i="3"/>
  <c r="AI200" i="3"/>
  <c r="AH200" i="3"/>
  <c r="AF200" i="3"/>
  <c r="AE200" i="3"/>
  <c r="AD200" i="3"/>
  <c r="AC200" i="3"/>
  <c r="AB200" i="3"/>
  <c r="AA200" i="3"/>
  <c r="Z200" i="3"/>
  <c r="Y200" i="3"/>
  <c r="W200" i="3"/>
  <c r="V200" i="3"/>
  <c r="U200" i="3"/>
  <c r="T200" i="3"/>
  <c r="S200" i="3"/>
  <c r="R200" i="3"/>
  <c r="Q200" i="3"/>
  <c r="P200" i="3"/>
  <c r="O200" i="3"/>
  <c r="N200" i="3"/>
  <c r="M200" i="3"/>
  <c r="L200" i="3"/>
  <c r="J200" i="3"/>
  <c r="I200" i="3"/>
  <c r="AI199" i="3"/>
  <c r="AH199" i="3"/>
  <c r="AF199" i="3"/>
  <c r="AE199" i="3"/>
  <c r="AD199" i="3"/>
  <c r="AC199" i="3"/>
  <c r="AB199" i="3"/>
  <c r="AA199" i="3"/>
  <c r="Z199" i="3"/>
  <c r="Y199" i="3"/>
  <c r="W199" i="3"/>
  <c r="V199" i="3"/>
  <c r="U199" i="3"/>
  <c r="T199" i="3"/>
  <c r="S199" i="3"/>
  <c r="R199" i="3"/>
  <c r="Q199" i="3"/>
  <c r="P199" i="3"/>
  <c r="O199" i="3"/>
  <c r="N199" i="3"/>
  <c r="M199" i="3"/>
  <c r="L199" i="3"/>
  <c r="J199" i="3"/>
  <c r="I199" i="3"/>
  <c r="AI198" i="3"/>
  <c r="AH198" i="3"/>
  <c r="AF198" i="3"/>
  <c r="AE198" i="3"/>
  <c r="AD198" i="3"/>
  <c r="AC198" i="3"/>
  <c r="AB198" i="3"/>
  <c r="AA198" i="3"/>
  <c r="Z198" i="3"/>
  <c r="Y198" i="3"/>
  <c r="W198" i="3"/>
  <c r="V198" i="3"/>
  <c r="U198" i="3"/>
  <c r="T198" i="3"/>
  <c r="S198" i="3"/>
  <c r="R198" i="3"/>
  <c r="Q198" i="3"/>
  <c r="P198" i="3"/>
  <c r="O198" i="3"/>
  <c r="N198" i="3"/>
  <c r="M198" i="3"/>
  <c r="L198" i="3"/>
  <c r="J198" i="3"/>
  <c r="I198" i="3"/>
  <c r="AI197" i="3"/>
  <c r="AH197" i="3"/>
  <c r="AF197" i="3"/>
  <c r="AE197" i="3"/>
  <c r="AD197" i="3"/>
  <c r="AC197" i="3"/>
  <c r="AB197" i="3"/>
  <c r="AA197" i="3"/>
  <c r="Z197" i="3"/>
  <c r="Y197" i="3"/>
  <c r="W197" i="3"/>
  <c r="V197" i="3"/>
  <c r="U197" i="3"/>
  <c r="T197" i="3"/>
  <c r="S197" i="3"/>
  <c r="R197" i="3"/>
  <c r="Q197" i="3"/>
  <c r="P197" i="3"/>
  <c r="O197" i="3"/>
  <c r="N197" i="3"/>
  <c r="M197" i="3"/>
  <c r="L197" i="3"/>
  <c r="J197" i="3"/>
  <c r="I197" i="3"/>
  <c r="AI196" i="3"/>
  <c r="AH196" i="3"/>
  <c r="AF196" i="3"/>
  <c r="AE196" i="3"/>
  <c r="AD196" i="3"/>
  <c r="AC196" i="3"/>
  <c r="AB196" i="3"/>
  <c r="AA196" i="3"/>
  <c r="Z196" i="3"/>
  <c r="Y196" i="3"/>
  <c r="W196" i="3"/>
  <c r="V196" i="3"/>
  <c r="U196" i="3"/>
  <c r="T196" i="3"/>
  <c r="S196" i="3"/>
  <c r="R196" i="3"/>
  <c r="Q196" i="3"/>
  <c r="P196" i="3"/>
  <c r="O196" i="3"/>
  <c r="N196" i="3"/>
  <c r="M196" i="3"/>
  <c r="L196" i="3"/>
  <c r="J196" i="3"/>
  <c r="I196" i="3"/>
  <c r="AI195" i="3"/>
  <c r="AH195" i="3"/>
  <c r="AF195" i="3"/>
  <c r="AE195" i="3"/>
  <c r="AD195" i="3"/>
  <c r="AC195" i="3"/>
  <c r="AB195" i="3"/>
  <c r="AA195" i="3"/>
  <c r="Z195" i="3"/>
  <c r="Y195" i="3"/>
  <c r="W195" i="3"/>
  <c r="V195" i="3"/>
  <c r="U195" i="3"/>
  <c r="T195" i="3"/>
  <c r="S195" i="3"/>
  <c r="R195" i="3"/>
  <c r="Q195" i="3"/>
  <c r="P195" i="3"/>
  <c r="O195" i="3"/>
  <c r="N195" i="3"/>
  <c r="M195" i="3"/>
  <c r="L195" i="3"/>
  <c r="J195" i="3"/>
  <c r="I195" i="3"/>
  <c r="AI194" i="3"/>
  <c r="AH194" i="3"/>
  <c r="AF194" i="3"/>
  <c r="AE194" i="3"/>
  <c r="AD194" i="3"/>
  <c r="AC194" i="3"/>
  <c r="AB194" i="3"/>
  <c r="AA194" i="3"/>
  <c r="Z194" i="3"/>
  <c r="Y194" i="3"/>
  <c r="W194" i="3"/>
  <c r="V194" i="3"/>
  <c r="U194" i="3"/>
  <c r="T194" i="3"/>
  <c r="S194" i="3"/>
  <c r="R194" i="3"/>
  <c r="Q194" i="3"/>
  <c r="P194" i="3"/>
  <c r="O194" i="3"/>
  <c r="N194" i="3"/>
  <c r="M194" i="3"/>
  <c r="L194" i="3"/>
  <c r="J194" i="3"/>
  <c r="I194" i="3"/>
  <c r="AI193" i="3"/>
  <c r="AH193" i="3"/>
  <c r="AF193" i="3"/>
  <c r="AE193" i="3"/>
  <c r="AD193" i="3"/>
  <c r="AC193" i="3"/>
  <c r="AB193" i="3"/>
  <c r="AA193" i="3"/>
  <c r="Z193" i="3"/>
  <c r="Y193" i="3"/>
  <c r="W193" i="3"/>
  <c r="V193" i="3"/>
  <c r="U193" i="3"/>
  <c r="T193" i="3"/>
  <c r="S193" i="3"/>
  <c r="R193" i="3"/>
  <c r="Q193" i="3"/>
  <c r="P193" i="3"/>
  <c r="O193" i="3"/>
  <c r="N193" i="3"/>
  <c r="M193" i="3"/>
  <c r="L193" i="3"/>
  <c r="J193" i="3"/>
  <c r="I193" i="3"/>
  <c r="AI192" i="3"/>
  <c r="AH192" i="3"/>
  <c r="AF192" i="3"/>
  <c r="AE192" i="3"/>
  <c r="AD192" i="3"/>
  <c r="AC192" i="3"/>
  <c r="AB192" i="3"/>
  <c r="AA192" i="3"/>
  <c r="Z192" i="3"/>
  <c r="Y192" i="3"/>
  <c r="W192" i="3"/>
  <c r="V192" i="3"/>
  <c r="U192" i="3"/>
  <c r="T192" i="3"/>
  <c r="S192" i="3"/>
  <c r="R192" i="3"/>
  <c r="Q192" i="3"/>
  <c r="P192" i="3"/>
  <c r="O192" i="3"/>
  <c r="N192" i="3"/>
  <c r="M192" i="3"/>
  <c r="L192" i="3"/>
  <c r="J192" i="3"/>
  <c r="I192" i="3"/>
  <c r="AI191" i="3"/>
  <c r="AH191" i="3"/>
  <c r="AF191" i="3"/>
  <c r="AE191" i="3"/>
  <c r="AD191" i="3"/>
  <c r="AC191" i="3"/>
  <c r="AB191" i="3"/>
  <c r="AA191" i="3"/>
  <c r="Z191" i="3"/>
  <c r="Y191" i="3"/>
  <c r="W191" i="3"/>
  <c r="V191" i="3"/>
  <c r="U191" i="3"/>
  <c r="T191" i="3"/>
  <c r="S191" i="3"/>
  <c r="R191" i="3"/>
  <c r="Q191" i="3"/>
  <c r="P191" i="3"/>
  <c r="O191" i="3"/>
  <c r="N191" i="3"/>
  <c r="M191" i="3"/>
  <c r="L191" i="3"/>
  <c r="J191" i="3"/>
  <c r="I191" i="3"/>
  <c r="AI190" i="3"/>
  <c r="AH190" i="3"/>
  <c r="AF190" i="3"/>
  <c r="AE190" i="3"/>
  <c r="AD190" i="3"/>
  <c r="AC190" i="3"/>
  <c r="AB190" i="3"/>
  <c r="AA190" i="3"/>
  <c r="Z190" i="3"/>
  <c r="Y190" i="3"/>
  <c r="W190" i="3"/>
  <c r="V190" i="3"/>
  <c r="U190" i="3"/>
  <c r="T190" i="3"/>
  <c r="S190" i="3"/>
  <c r="R190" i="3"/>
  <c r="Q190" i="3"/>
  <c r="P190" i="3"/>
  <c r="O190" i="3"/>
  <c r="N190" i="3"/>
  <c r="M190" i="3"/>
  <c r="L190" i="3"/>
  <c r="J190" i="3"/>
  <c r="I190" i="3"/>
  <c r="AI189" i="3"/>
  <c r="AH189" i="3"/>
  <c r="AF189" i="3"/>
  <c r="AE189" i="3"/>
  <c r="AD189" i="3"/>
  <c r="AC189" i="3"/>
  <c r="AB189" i="3"/>
  <c r="AA189" i="3"/>
  <c r="Z189" i="3"/>
  <c r="Y189" i="3"/>
  <c r="W189" i="3"/>
  <c r="V189" i="3"/>
  <c r="U189" i="3"/>
  <c r="T189" i="3"/>
  <c r="S189" i="3"/>
  <c r="R189" i="3"/>
  <c r="Q189" i="3"/>
  <c r="P189" i="3"/>
  <c r="O189" i="3"/>
  <c r="N189" i="3"/>
  <c r="M189" i="3"/>
  <c r="L189" i="3"/>
  <c r="J189" i="3"/>
  <c r="I189" i="3"/>
  <c r="AI188" i="3"/>
  <c r="AH188" i="3"/>
  <c r="AF188" i="3"/>
  <c r="AE188" i="3"/>
  <c r="AD188" i="3"/>
  <c r="AC188" i="3"/>
  <c r="AB188" i="3"/>
  <c r="AA188" i="3"/>
  <c r="Z188" i="3"/>
  <c r="Y188" i="3"/>
  <c r="W188" i="3"/>
  <c r="V188" i="3"/>
  <c r="U188" i="3"/>
  <c r="T188" i="3"/>
  <c r="S188" i="3"/>
  <c r="R188" i="3"/>
  <c r="Q188" i="3"/>
  <c r="P188" i="3"/>
  <c r="O188" i="3"/>
  <c r="N188" i="3"/>
  <c r="M188" i="3"/>
  <c r="L188" i="3"/>
  <c r="J188" i="3"/>
  <c r="I188" i="3"/>
  <c r="AI187" i="3"/>
  <c r="AH187" i="3"/>
  <c r="AF187" i="3"/>
  <c r="AE187" i="3"/>
  <c r="AD187" i="3"/>
  <c r="AC187" i="3"/>
  <c r="AB187" i="3"/>
  <c r="AA187" i="3"/>
  <c r="Z187" i="3"/>
  <c r="Y187" i="3"/>
  <c r="W187" i="3"/>
  <c r="V187" i="3"/>
  <c r="U187" i="3"/>
  <c r="T187" i="3"/>
  <c r="S187" i="3"/>
  <c r="R187" i="3"/>
  <c r="Q187" i="3"/>
  <c r="P187" i="3"/>
  <c r="O187" i="3"/>
  <c r="N187" i="3"/>
  <c r="M187" i="3"/>
  <c r="L187" i="3"/>
  <c r="J187" i="3"/>
  <c r="I187" i="3"/>
  <c r="AI186" i="3"/>
  <c r="AH186" i="3"/>
  <c r="AF186" i="3"/>
  <c r="AE186" i="3"/>
  <c r="AD186" i="3"/>
  <c r="AC186" i="3"/>
  <c r="AB186" i="3"/>
  <c r="AA186" i="3"/>
  <c r="Z186" i="3"/>
  <c r="Y186" i="3"/>
  <c r="W186" i="3"/>
  <c r="V186" i="3"/>
  <c r="U186" i="3"/>
  <c r="T186" i="3"/>
  <c r="S186" i="3"/>
  <c r="R186" i="3"/>
  <c r="Q186" i="3"/>
  <c r="P186" i="3"/>
  <c r="O186" i="3"/>
  <c r="N186" i="3"/>
  <c r="M186" i="3"/>
  <c r="L186" i="3"/>
  <c r="J186" i="3"/>
  <c r="I186" i="3"/>
  <c r="AI185" i="3"/>
  <c r="AH185" i="3"/>
  <c r="AF185" i="3"/>
  <c r="AE185" i="3"/>
  <c r="AD185" i="3"/>
  <c r="AC185" i="3"/>
  <c r="AB185" i="3"/>
  <c r="AA185" i="3"/>
  <c r="Z185" i="3"/>
  <c r="Y185" i="3"/>
  <c r="W185" i="3"/>
  <c r="V185" i="3"/>
  <c r="U185" i="3"/>
  <c r="T185" i="3"/>
  <c r="S185" i="3"/>
  <c r="R185" i="3"/>
  <c r="Q185" i="3"/>
  <c r="P185" i="3"/>
  <c r="O185" i="3"/>
  <c r="N185" i="3"/>
  <c r="M185" i="3"/>
  <c r="L185" i="3"/>
  <c r="J185" i="3"/>
  <c r="I185" i="3"/>
  <c r="AI184" i="3"/>
  <c r="AH184" i="3"/>
  <c r="AF184" i="3"/>
  <c r="AE184" i="3"/>
  <c r="AD184" i="3"/>
  <c r="AC184" i="3"/>
  <c r="AB184" i="3"/>
  <c r="AA184" i="3"/>
  <c r="Z184" i="3"/>
  <c r="Y184" i="3"/>
  <c r="W184" i="3"/>
  <c r="V184" i="3"/>
  <c r="U184" i="3"/>
  <c r="T184" i="3"/>
  <c r="S184" i="3"/>
  <c r="R184" i="3"/>
  <c r="Q184" i="3"/>
  <c r="P184" i="3"/>
  <c r="O184" i="3"/>
  <c r="N184" i="3"/>
  <c r="M184" i="3"/>
  <c r="L184" i="3"/>
  <c r="J184" i="3"/>
  <c r="I184" i="3"/>
  <c r="AI183" i="3"/>
  <c r="AH183" i="3"/>
  <c r="AF183" i="3"/>
  <c r="AE183" i="3"/>
  <c r="AD183" i="3"/>
  <c r="AC183" i="3"/>
  <c r="AB183" i="3"/>
  <c r="AA183" i="3"/>
  <c r="Z183" i="3"/>
  <c r="Y183" i="3"/>
  <c r="W183" i="3"/>
  <c r="V183" i="3"/>
  <c r="U183" i="3"/>
  <c r="T183" i="3"/>
  <c r="S183" i="3"/>
  <c r="R183" i="3"/>
  <c r="Q183" i="3"/>
  <c r="P183" i="3"/>
  <c r="O183" i="3"/>
  <c r="N183" i="3"/>
  <c r="M183" i="3"/>
  <c r="L183" i="3"/>
  <c r="J183" i="3"/>
  <c r="I183" i="3"/>
  <c r="AI182" i="3"/>
  <c r="AH182" i="3"/>
  <c r="AF182" i="3"/>
  <c r="AE182" i="3"/>
  <c r="AD182" i="3"/>
  <c r="AC182" i="3"/>
  <c r="AB182" i="3"/>
  <c r="AA182" i="3"/>
  <c r="Z182" i="3"/>
  <c r="Y182" i="3"/>
  <c r="W182" i="3"/>
  <c r="V182" i="3"/>
  <c r="U182" i="3"/>
  <c r="T182" i="3"/>
  <c r="S182" i="3"/>
  <c r="R182" i="3"/>
  <c r="Q182" i="3"/>
  <c r="P182" i="3"/>
  <c r="O182" i="3"/>
  <c r="N182" i="3"/>
  <c r="M182" i="3"/>
  <c r="L182" i="3"/>
  <c r="J182" i="3"/>
  <c r="I182" i="3"/>
  <c r="AI181" i="3"/>
  <c r="AH181" i="3"/>
  <c r="AF181" i="3"/>
  <c r="AE181" i="3"/>
  <c r="AD181" i="3"/>
  <c r="AC181" i="3"/>
  <c r="AB181" i="3"/>
  <c r="AA181" i="3"/>
  <c r="Z181" i="3"/>
  <c r="Y181" i="3"/>
  <c r="W181" i="3"/>
  <c r="V181" i="3"/>
  <c r="U181" i="3"/>
  <c r="T181" i="3"/>
  <c r="S181" i="3"/>
  <c r="R181" i="3"/>
  <c r="Q181" i="3"/>
  <c r="P181" i="3"/>
  <c r="O181" i="3"/>
  <c r="N181" i="3"/>
  <c r="M181" i="3"/>
  <c r="L181" i="3"/>
  <c r="J181" i="3"/>
  <c r="I181" i="3"/>
  <c r="AI180" i="3"/>
  <c r="AH180" i="3"/>
  <c r="AF180" i="3"/>
  <c r="AE180" i="3"/>
  <c r="AD180" i="3"/>
  <c r="AC180" i="3"/>
  <c r="AB180" i="3"/>
  <c r="AA180" i="3"/>
  <c r="Z180" i="3"/>
  <c r="Y180" i="3"/>
  <c r="W180" i="3"/>
  <c r="V180" i="3"/>
  <c r="U180" i="3"/>
  <c r="T180" i="3"/>
  <c r="S180" i="3"/>
  <c r="R180" i="3"/>
  <c r="Q180" i="3"/>
  <c r="P180" i="3"/>
  <c r="O180" i="3"/>
  <c r="N180" i="3"/>
  <c r="M180" i="3"/>
  <c r="L180" i="3"/>
  <c r="J180" i="3"/>
  <c r="I180" i="3"/>
  <c r="AI179" i="3"/>
  <c r="AH179" i="3"/>
  <c r="AF179" i="3"/>
  <c r="AE179" i="3"/>
  <c r="AD179" i="3"/>
  <c r="AC179" i="3"/>
  <c r="AB179" i="3"/>
  <c r="AA179" i="3"/>
  <c r="Z179" i="3"/>
  <c r="Y179" i="3"/>
  <c r="W179" i="3"/>
  <c r="V179" i="3"/>
  <c r="U179" i="3"/>
  <c r="T179" i="3"/>
  <c r="S179" i="3"/>
  <c r="R179" i="3"/>
  <c r="Q179" i="3"/>
  <c r="P179" i="3"/>
  <c r="O179" i="3"/>
  <c r="N179" i="3"/>
  <c r="M179" i="3"/>
  <c r="L179" i="3"/>
  <c r="J179" i="3"/>
  <c r="I179" i="3"/>
  <c r="AI178" i="3"/>
  <c r="AH178" i="3"/>
  <c r="AF178" i="3"/>
  <c r="AE178" i="3"/>
  <c r="AD178" i="3"/>
  <c r="AC178" i="3"/>
  <c r="AB178" i="3"/>
  <c r="AA178" i="3"/>
  <c r="Z178" i="3"/>
  <c r="Y178" i="3"/>
  <c r="W178" i="3"/>
  <c r="V178" i="3"/>
  <c r="U178" i="3"/>
  <c r="T178" i="3"/>
  <c r="S178" i="3"/>
  <c r="R178" i="3"/>
  <c r="Q178" i="3"/>
  <c r="P178" i="3"/>
  <c r="O178" i="3"/>
  <c r="N178" i="3"/>
  <c r="M178" i="3"/>
  <c r="L178" i="3"/>
  <c r="J178" i="3"/>
  <c r="I178" i="3"/>
  <c r="AI177" i="3"/>
  <c r="AH177" i="3"/>
  <c r="AF177" i="3"/>
  <c r="AE177" i="3"/>
  <c r="AD177" i="3"/>
  <c r="AC177" i="3"/>
  <c r="AB177" i="3"/>
  <c r="AA177" i="3"/>
  <c r="Z177" i="3"/>
  <c r="Y177" i="3"/>
  <c r="W177" i="3"/>
  <c r="V177" i="3"/>
  <c r="U177" i="3"/>
  <c r="T177" i="3"/>
  <c r="S177" i="3"/>
  <c r="R177" i="3"/>
  <c r="Q177" i="3"/>
  <c r="P177" i="3"/>
  <c r="O177" i="3"/>
  <c r="N177" i="3"/>
  <c r="M177" i="3"/>
  <c r="L177" i="3"/>
  <c r="J177" i="3"/>
  <c r="I177" i="3"/>
  <c r="AI176" i="3"/>
  <c r="AH176" i="3"/>
  <c r="AF176" i="3"/>
  <c r="AE176" i="3"/>
  <c r="AD176" i="3"/>
  <c r="AC176" i="3"/>
  <c r="AB176" i="3"/>
  <c r="AA176" i="3"/>
  <c r="Z176" i="3"/>
  <c r="Y176" i="3"/>
  <c r="W176" i="3"/>
  <c r="V176" i="3"/>
  <c r="U176" i="3"/>
  <c r="T176" i="3"/>
  <c r="S176" i="3"/>
  <c r="R176" i="3"/>
  <c r="Q176" i="3"/>
  <c r="P176" i="3"/>
  <c r="O176" i="3"/>
  <c r="N176" i="3"/>
  <c r="M176" i="3"/>
  <c r="L176" i="3"/>
  <c r="J176" i="3"/>
  <c r="I176" i="3"/>
  <c r="AI175" i="3"/>
  <c r="AH175" i="3"/>
  <c r="AF175" i="3"/>
  <c r="AE175" i="3"/>
  <c r="AD175" i="3"/>
  <c r="AC175" i="3"/>
  <c r="AB175" i="3"/>
  <c r="AA175" i="3"/>
  <c r="Z175" i="3"/>
  <c r="Y175" i="3"/>
  <c r="W175" i="3"/>
  <c r="V175" i="3"/>
  <c r="U175" i="3"/>
  <c r="T175" i="3"/>
  <c r="S175" i="3"/>
  <c r="R175" i="3"/>
  <c r="Q175" i="3"/>
  <c r="P175" i="3"/>
  <c r="O175" i="3"/>
  <c r="N175" i="3"/>
  <c r="M175" i="3"/>
  <c r="L175" i="3"/>
  <c r="J175" i="3"/>
  <c r="I175" i="3"/>
  <c r="AI174" i="3"/>
  <c r="AH174" i="3"/>
  <c r="AF174" i="3"/>
  <c r="AE174" i="3"/>
  <c r="AD174" i="3"/>
  <c r="AC174" i="3"/>
  <c r="AB174" i="3"/>
  <c r="AA174" i="3"/>
  <c r="Z174" i="3"/>
  <c r="Y174" i="3"/>
  <c r="W174" i="3"/>
  <c r="V174" i="3"/>
  <c r="U174" i="3"/>
  <c r="T174" i="3"/>
  <c r="S174" i="3"/>
  <c r="R174" i="3"/>
  <c r="Q174" i="3"/>
  <c r="P174" i="3"/>
  <c r="O174" i="3"/>
  <c r="N174" i="3"/>
  <c r="M174" i="3"/>
  <c r="L174" i="3"/>
  <c r="J174" i="3"/>
  <c r="I174" i="3"/>
  <c r="AI173" i="3"/>
  <c r="AH173" i="3"/>
  <c r="AF173" i="3"/>
  <c r="AE173" i="3"/>
  <c r="AD173" i="3"/>
  <c r="AC173" i="3"/>
  <c r="AB173" i="3"/>
  <c r="AA173" i="3"/>
  <c r="Z173" i="3"/>
  <c r="Y173" i="3"/>
  <c r="W173" i="3"/>
  <c r="V173" i="3"/>
  <c r="U173" i="3"/>
  <c r="T173" i="3"/>
  <c r="S173" i="3"/>
  <c r="R173" i="3"/>
  <c r="Q173" i="3"/>
  <c r="P173" i="3"/>
  <c r="O173" i="3"/>
  <c r="N173" i="3"/>
  <c r="M173" i="3"/>
  <c r="L173" i="3"/>
  <c r="J173" i="3"/>
  <c r="I173" i="3"/>
  <c r="AI172" i="3"/>
  <c r="AH172" i="3"/>
  <c r="AF172" i="3"/>
  <c r="AE172" i="3"/>
  <c r="AD172" i="3"/>
  <c r="AC172" i="3"/>
  <c r="AB172" i="3"/>
  <c r="AA172" i="3"/>
  <c r="Z172" i="3"/>
  <c r="Y172" i="3"/>
  <c r="W172" i="3"/>
  <c r="V172" i="3"/>
  <c r="U172" i="3"/>
  <c r="T172" i="3"/>
  <c r="S172" i="3"/>
  <c r="R172" i="3"/>
  <c r="Q172" i="3"/>
  <c r="P172" i="3"/>
  <c r="O172" i="3"/>
  <c r="N172" i="3"/>
  <c r="M172" i="3"/>
  <c r="L172" i="3"/>
  <c r="J172" i="3"/>
  <c r="I172" i="3"/>
  <c r="AI171" i="3"/>
  <c r="AH171" i="3"/>
  <c r="AF171" i="3"/>
  <c r="AE171" i="3"/>
  <c r="AD171" i="3"/>
  <c r="AC171" i="3"/>
  <c r="AB171" i="3"/>
  <c r="AA171" i="3"/>
  <c r="Z171" i="3"/>
  <c r="Y171" i="3"/>
  <c r="W171" i="3"/>
  <c r="V171" i="3"/>
  <c r="U171" i="3"/>
  <c r="T171" i="3"/>
  <c r="S171" i="3"/>
  <c r="R171" i="3"/>
  <c r="Q171" i="3"/>
  <c r="P171" i="3"/>
  <c r="O171" i="3"/>
  <c r="N171" i="3"/>
  <c r="M171" i="3"/>
  <c r="L171" i="3"/>
  <c r="J171" i="3"/>
  <c r="I171" i="3"/>
  <c r="AI170" i="3"/>
  <c r="AH170" i="3"/>
  <c r="AF170" i="3"/>
  <c r="AE170" i="3"/>
  <c r="AD170" i="3"/>
  <c r="AC170" i="3"/>
  <c r="AB170" i="3"/>
  <c r="AA170" i="3"/>
  <c r="Z170" i="3"/>
  <c r="Y170" i="3"/>
  <c r="W170" i="3"/>
  <c r="V170" i="3"/>
  <c r="U170" i="3"/>
  <c r="T170" i="3"/>
  <c r="S170" i="3"/>
  <c r="R170" i="3"/>
  <c r="Q170" i="3"/>
  <c r="P170" i="3"/>
  <c r="O170" i="3"/>
  <c r="N170" i="3"/>
  <c r="M170" i="3"/>
  <c r="L170" i="3"/>
  <c r="J170" i="3"/>
  <c r="I170" i="3"/>
  <c r="AI169" i="3"/>
  <c r="AH169" i="3"/>
  <c r="AF169" i="3"/>
  <c r="AE169" i="3"/>
  <c r="AD169" i="3"/>
  <c r="AC169" i="3"/>
  <c r="AB169" i="3"/>
  <c r="AA169" i="3"/>
  <c r="Z169" i="3"/>
  <c r="Y169" i="3"/>
  <c r="W169" i="3"/>
  <c r="V169" i="3"/>
  <c r="U169" i="3"/>
  <c r="T169" i="3"/>
  <c r="S169" i="3"/>
  <c r="R169" i="3"/>
  <c r="Q169" i="3"/>
  <c r="P169" i="3"/>
  <c r="O169" i="3"/>
  <c r="N169" i="3"/>
  <c r="M169" i="3"/>
  <c r="L169" i="3"/>
  <c r="J169" i="3"/>
  <c r="I169" i="3"/>
  <c r="AI168" i="3"/>
  <c r="AH168" i="3"/>
  <c r="AF168" i="3"/>
  <c r="AE168" i="3"/>
  <c r="AD168" i="3"/>
  <c r="AC168" i="3"/>
  <c r="AB168" i="3"/>
  <c r="AA168" i="3"/>
  <c r="Z168" i="3"/>
  <c r="Y168" i="3"/>
  <c r="W168" i="3"/>
  <c r="V168" i="3"/>
  <c r="U168" i="3"/>
  <c r="T168" i="3"/>
  <c r="S168" i="3"/>
  <c r="R168" i="3"/>
  <c r="Q168" i="3"/>
  <c r="P168" i="3"/>
  <c r="O168" i="3"/>
  <c r="N168" i="3"/>
  <c r="M168" i="3"/>
  <c r="L168" i="3"/>
  <c r="J168" i="3"/>
  <c r="I168" i="3"/>
  <c r="AI167" i="3"/>
  <c r="AH167" i="3"/>
  <c r="AF167" i="3"/>
  <c r="AE167" i="3"/>
  <c r="AD167" i="3"/>
  <c r="AC167" i="3"/>
  <c r="AB167" i="3"/>
  <c r="AA167" i="3"/>
  <c r="Z167" i="3"/>
  <c r="Y167" i="3"/>
  <c r="W167" i="3"/>
  <c r="V167" i="3"/>
  <c r="U167" i="3"/>
  <c r="T167" i="3"/>
  <c r="S167" i="3"/>
  <c r="R167" i="3"/>
  <c r="Q167" i="3"/>
  <c r="P167" i="3"/>
  <c r="O167" i="3"/>
  <c r="N167" i="3"/>
  <c r="M167" i="3"/>
  <c r="L167" i="3"/>
  <c r="J167" i="3"/>
  <c r="I167" i="3"/>
  <c r="AI166" i="3"/>
  <c r="AH166" i="3"/>
  <c r="AF166" i="3"/>
  <c r="AE166" i="3"/>
  <c r="AD166" i="3"/>
  <c r="AC166" i="3"/>
  <c r="AB166" i="3"/>
  <c r="AA166" i="3"/>
  <c r="Z166" i="3"/>
  <c r="Y166" i="3"/>
  <c r="W166" i="3"/>
  <c r="V166" i="3"/>
  <c r="U166" i="3"/>
  <c r="T166" i="3"/>
  <c r="S166" i="3"/>
  <c r="R166" i="3"/>
  <c r="Q166" i="3"/>
  <c r="P166" i="3"/>
  <c r="O166" i="3"/>
  <c r="N166" i="3"/>
  <c r="M166" i="3"/>
  <c r="L166" i="3"/>
  <c r="J166" i="3"/>
  <c r="I166" i="3"/>
  <c r="AI165" i="3"/>
  <c r="AH165" i="3"/>
  <c r="AF165" i="3"/>
  <c r="AE165" i="3"/>
  <c r="AD165" i="3"/>
  <c r="AC165" i="3"/>
  <c r="AB165" i="3"/>
  <c r="AA165" i="3"/>
  <c r="Z165" i="3"/>
  <c r="Y165" i="3"/>
  <c r="W165" i="3"/>
  <c r="V165" i="3"/>
  <c r="U165" i="3"/>
  <c r="T165" i="3"/>
  <c r="S165" i="3"/>
  <c r="R165" i="3"/>
  <c r="Q165" i="3"/>
  <c r="P165" i="3"/>
  <c r="O165" i="3"/>
  <c r="N165" i="3"/>
  <c r="M165" i="3"/>
  <c r="L165" i="3"/>
  <c r="J165" i="3"/>
  <c r="I165" i="3"/>
  <c r="AI164" i="3"/>
  <c r="AH164" i="3"/>
  <c r="AF164" i="3"/>
  <c r="AE164" i="3"/>
  <c r="AD164" i="3"/>
  <c r="AC164" i="3"/>
  <c r="AB164" i="3"/>
  <c r="AA164" i="3"/>
  <c r="Z164" i="3"/>
  <c r="Y164" i="3"/>
  <c r="W164" i="3"/>
  <c r="V164" i="3"/>
  <c r="U164" i="3"/>
  <c r="T164" i="3"/>
  <c r="S164" i="3"/>
  <c r="R164" i="3"/>
  <c r="Q164" i="3"/>
  <c r="P164" i="3"/>
  <c r="O164" i="3"/>
  <c r="N164" i="3"/>
  <c r="M164" i="3"/>
  <c r="L164" i="3"/>
  <c r="J164" i="3"/>
  <c r="I164" i="3"/>
  <c r="AI163" i="3"/>
  <c r="AH163" i="3"/>
  <c r="AF163" i="3"/>
  <c r="AE163" i="3"/>
  <c r="AD163" i="3"/>
  <c r="AC163" i="3"/>
  <c r="AB163" i="3"/>
  <c r="AA163" i="3"/>
  <c r="Z163" i="3"/>
  <c r="Y163" i="3"/>
  <c r="W163" i="3"/>
  <c r="V163" i="3"/>
  <c r="U163" i="3"/>
  <c r="T163" i="3"/>
  <c r="S163" i="3"/>
  <c r="R163" i="3"/>
  <c r="Q163" i="3"/>
  <c r="P163" i="3"/>
  <c r="O163" i="3"/>
  <c r="N163" i="3"/>
  <c r="M163" i="3"/>
  <c r="L163" i="3"/>
  <c r="J163" i="3"/>
  <c r="I163" i="3"/>
  <c r="AI162" i="3"/>
  <c r="AH162" i="3"/>
  <c r="AF162" i="3"/>
  <c r="AE162" i="3"/>
  <c r="AD162" i="3"/>
  <c r="AC162" i="3"/>
  <c r="AB162" i="3"/>
  <c r="AA162" i="3"/>
  <c r="Z162" i="3"/>
  <c r="Y162" i="3"/>
  <c r="W162" i="3"/>
  <c r="V162" i="3"/>
  <c r="U162" i="3"/>
  <c r="T162" i="3"/>
  <c r="S162" i="3"/>
  <c r="R162" i="3"/>
  <c r="Q162" i="3"/>
  <c r="P162" i="3"/>
  <c r="O162" i="3"/>
  <c r="N162" i="3"/>
  <c r="M162" i="3"/>
  <c r="L162" i="3"/>
  <c r="J162" i="3"/>
  <c r="I162" i="3"/>
  <c r="AI161" i="3"/>
  <c r="AH161" i="3"/>
  <c r="AF161" i="3"/>
  <c r="AE161" i="3"/>
  <c r="AD161" i="3"/>
  <c r="AC161" i="3"/>
  <c r="AB161" i="3"/>
  <c r="AA161" i="3"/>
  <c r="Z161" i="3"/>
  <c r="Y161" i="3"/>
  <c r="W161" i="3"/>
  <c r="V161" i="3"/>
  <c r="U161" i="3"/>
  <c r="T161" i="3"/>
  <c r="S161" i="3"/>
  <c r="R161" i="3"/>
  <c r="Q161" i="3"/>
  <c r="P161" i="3"/>
  <c r="O161" i="3"/>
  <c r="N161" i="3"/>
  <c r="M161" i="3"/>
  <c r="L161" i="3"/>
  <c r="J161" i="3"/>
  <c r="I161" i="3"/>
  <c r="AI160" i="3"/>
  <c r="AH160" i="3"/>
  <c r="AF160" i="3"/>
  <c r="AE160" i="3"/>
  <c r="AD160" i="3"/>
  <c r="AC160" i="3"/>
  <c r="AB160" i="3"/>
  <c r="AA160" i="3"/>
  <c r="Z160" i="3"/>
  <c r="Y160" i="3"/>
  <c r="W160" i="3"/>
  <c r="V160" i="3"/>
  <c r="U160" i="3"/>
  <c r="T160" i="3"/>
  <c r="S160" i="3"/>
  <c r="R160" i="3"/>
  <c r="Q160" i="3"/>
  <c r="P160" i="3"/>
  <c r="O160" i="3"/>
  <c r="N160" i="3"/>
  <c r="M160" i="3"/>
  <c r="L160" i="3"/>
  <c r="J160" i="3"/>
  <c r="I160" i="3"/>
  <c r="AI159" i="3"/>
  <c r="AH159" i="3"/>
  <c r="AF159" i="3"/>
  <c r="AE159" i="3"/>
  <c r="AD159" i="3"/>
  <c r="AC159" i="3"/>
  <c r="AB159" i="3"/>
  <c r="AA159" i="3"/>
  <c r="Z159" i="3"/>
  <c r="Y159" i="3"/>
  <c r="W159" i="3"/>
  <c r="V159" i="3"/>
  <c r="U159" i="3"/>
  <c r="T159" i="3"/>
  <c r="S159" i="3"/>
  <c r="R159" i="3"/>
  <c r="Q159" i="3"/>
  <c r="P159" i="3"/>
  <c r="O159" i="3"/>
  <c r="N159" i="3"/>
  <c r="M159" i="3"/>
  <c r="L159" i="3"/>
  <c r="J159" i="3"/>
  <c r="I159" i="3"/>
  <c r="AI158" i="3"/>
  <c r="AH158" i="3"/>
  <c r="AF158" i="3"/>
  <c r="AE158" i="3"/>
  <c r="AD158" i="3"/>
  <c r="AC158" i="3"/>
  <c r="AB158" i="3"/>
  <c r="AA158" i="3"/>
  <c r="Z158" i="3"/>
  <c r="Y158" i="3"/>
  <c r="W158" i="3"/>
  <c r="V158" i="3"/>
  <c r="U158" i="3"/>
  <c r="T158" i="3"/>
  <c r="S158" i="3"/>
  <c r="R158" i="3"/>
  <c r="Q158" i="3"/>
  <c r="P158" i="3"/>
  <c r="O158" i="3"/>
  <c r="N158" i="3"/>
  <c r="M158" i="3"/>
  <c r="L158" i="3"/>
  <c r="J158" i="3"/>
  <c r="I158" i="3"/>
  <c r="AI157" i="3"/>
  <c r="AH157" i="3"/>
  <c r="AF157" i="3"/>
  <c r="AE157" i="3"/>
  <c r="AD157" i="3"/>
  <c r="AC157" i="3"/>
  <c r="AB157" i="3"/>
  <c r="AA157" i="3"/>
  <c r="Z157" i="3"/>
  <c r="Y157" i="3"/>
  <c r="W157" i="3"/>
  <c r="V157" i="3"/>
  <c r="U157" i="3"/>
  <c r="T157" i="3"/>
  <c r="S157" i="3"/>
  <c r="R157" i="3"/>
  <c r="Q157" i="3"/>
  <c r="P157" i="3"/>
  <c r="O157" i="3"/>
  <c r="N157" i="3"/>
  <c r="M157" i="3"/>
  <c r="L157" i="3"/>
  <c r="J157" i="3"/>
  <c r="I157" i="3"/>
  <c r="AI156" i="3"/>
  <c r="AH156" i="3"/>
  <c r="AF156" i="3"/>
  <c r="AE156" i="3"/>
  <c r="AD156" i="3"/>
  <c r="AC156" i="3"/>
  <c r="AB156" i="3"/>
  <c r="AA156" i="3"/>
  <c r="Z156" i="3"/>
  <c r="Y156" i="3"/>
  <c r="W156" i="3"/>
  <c r="V156" i="3"/>
  <c r="U156" i="3"/>
  <c r="T156" i="3"/>
  <c r="S156" i="3"/>
  <c r="R156" i="3"/>
  <c r="Q156" i="3"/>
  <c r="P156" i="3"/>
  <c r="O156" i="3"/>
  <c r="N156" i="3"/>
  <c r="M156" i="3"/>
  <c r="L156" i="3"/>
  <c r="J156" i="3"/>
  <c r="I156" i="3"/>
  <c r="AI155" i="3"/>
  <c r="AH155" i="3"/>
  <c r="AF155" i="3"/>
  <c r="AE155" i="3"/>
  <c r="AD155" i="3"/>
  <c r="AC155" i="3"/>
  <c r="AB155" i="3"/>
  <c r="AA155" i="3"/>
  <c r="Z155" i="3"/>
  <c r="Y155" i="3"/>
  <c r="W155" i="3"/>
  <c r="V155" i="3"/>
  <c r="U155" i="3"/>
  <c r="T155" i="3"/>
  <c r="S155" i="3"/>
  <c r="R155" i="3"/>
  <c r="Q155" i="3"/>
  <c r="P155" i="3"/>
  <c r="O155" i="3"/>
  <c r="N155" i="3"/>
  <c r="M155" i="3"/>
  <c r="L155" i="3"/>
  <c r="J155" i="3"/>
  <c r="I155" i="3"/>
  <c r="AI154" i="3"/>
  <c r="AH154" i="3"/>
  <c r="AF154" i="3"/>
  <c r="AE154" i="3"/>
  <c r="AD154" i="3"/>
  <c r="AC154" i="3"/>
  <c r="AB154" i="3"/>
  <c r="AA154" i="3"/>
  <c r="Z154" i="3"/>
  <c r="Y154" i="3"/>
  <c r="W154" i="3"/>
  <c r="V154" i="3"/>
  <c r="U154" i="3"/>
  <c r="T154" i="3"/>
  <c r="S154" i="3"/>
  <c r="R154" i="3"/>
  <c r="Q154" i="3"/>
  <c r="P154" i="3"/>
  <c r="O154" i="3"/>
  <c r="N154" i="3"/>
  <c r="M154" i="3"/>
  <c r="L154" i="3"/>
  <c r="J154" i="3"/>
  <c r="I154" i="3"/>
  <c r="AI153" i="3"/>
  <c r="AH153" i="3"/>
  <c r="AF153" i="3"/>
  <c r="AE153" i="3"/>
  <c r="AD153" i="3"/>
  <c r="AC153" i="3"/>
  <c r="AB153" i="3"/>
  <c r="AA153" i="3"/>
  <c r="Z153" i="3"/>
  <c r="Y153" i="3"/>
  <c r="W153" i="3"/>
  <c r="V153" i="3"/>
  <c r="U153" i="3"/>
  <c r="T153" i="3"/>
  <c r="S153" i="3"/>
  <c r="R153" i="3"/>
  <c r="Q153" i="3"/>
  <c r="P153" i="3"/>
  <c r="O153" i="3"/>
  <c r="N153" i="3"/>
  <c r="M153" i="3"/>
  <c r="L153" i="3"/>
  <c r="J153" i="3"/>
  <c r="I153" i="3"/>
  <c r="AI152" i="3"/>
  <c r="AH152" i="3"/>
  <c r="AF152" i="3"/>
  <c r="AE152" i="3"/>
  <c r="AD152" i="3"/>
  <c r="AC152" i="3"/>
  <c r="AB152" i="3"/>
  <c r="AA152" i="3"/>
  <c r="Z152" i="3"/>
  <c r="Y152" i="3"/>
  <c r="W152" i="3"/>
  <c r="V152" i="3"/>
  <c r="U152" i="3"/>
  <c r="T152" i="3"/>
  <c r="S152" i="3"/>
  <c r="R152" i="3"/>
  <c r="Q152" i="3"/>
  <c r="P152" i="3"/>
  <c r="O152" i="3"/>
  <c r="N152" i="3"/>
  <c r="M152" i="3"/>
  <c r="L152" i="3"/>
  <c r="J152" i="3"/>
  <c r="I152" i="3"/>
  <c r="AI151" i="3"/>
  <c r="AH151" i="3"/>
  <c r="AF151" i="3"/>
  <c r="AE151" i="3"/>
  <c r="AD151" i="3"/>
  <c r="AC151" i="3"/>
  <c r="AB151" i="3"/>
  <c r="AA151" i="3"/>
  <c r="Z151" i="3"/>
  <c r="Y151" i="3"/>
  <c r="W151" i="3"/>
  <c r="V151" i="3"/>
  <c r="U151" i="3"/>
  <c r="T151" i="3"/>
  <c r="S151" i="3"/>
  <c r="R151" i="3"/>
  <c r="Q151" i="3"/>
  <c r="P151" i="3"/>
  <c r="O151" i="3"/>
  <c r="N151" i="3"/>
  <c r="M151" i="3"/>
  <c r="L151" i="3"/>
  <c r="J151" i="3"/>
  <c r="I151" i="3"/>
  <c r="AI150" i="3"/>
  <c r="AH150" i="3"/>
  <c r="AF150" i="3"/>
  <c r="AE150" i="3"/>
  <c r="AD150" i="3"/>
  <c r="AC150" i="3"/>
  <c r="AB150" i="3"/>
  <c r="AA150" i="3"/>
  <c r="Z150" i="3"/>
  <c r="Y150" i="3"/>
  <c r="W150" i="3"/>
  <c r="V150" i="3"/>
  <c r="U150" i="3"/>
  <c r="T150" i="3"/>
  <c r="S150" i="3"/>
  <c r="R150" i="3"/>
  <c r="Q150" i="3"/>
  <c r="P150" i="3"/>
  <c r="O150" i="3"/>
  <c r="N150" i="3"/>
  <c r="M150" i="3"/>
  <c r="L150" i="3"/>
  <c r="J150" i="3"/>
  <c r="I150" i="3"/>
  <c r="AI149" i="3"/>
  <c r="AH149" i="3"/>
  <c r="AF149" i="3"/>
  <c r="AE149" i="3"/>
  <c r="AD149" i="3"/>
  <c r="AC149" i="3"/>
  <c r="AB149" i="3"/>
  <c r="AA149" i="3"/>
  <c r="Z149" i="3"/>
  <c r="Y149" i="3"/>
  <c r="W149" i="3"/>
  <c r="V149" i="3"/>
  <c r="U149" i="3"/>
  <c r="T149" i="3"/>
  <c r="S149" i="3"/>
  <c r="R149" i="3"/>
  <c r="Q149" i="3"/>
  <c r="P149" i="3"/>
  <c r="O149" i="3"/>
  <c r="N149" i="3"/>
  <c r="M149" i="3"/>
  <c r="L149" i="3"/>
  <c r="J149" i="3"/>
  <c r="I149" i="3"/>
  <c r="AI148" i="3"/>
  <c r="AH148" i="3"/>
  <c r="AF148" i="3"/>
  <c r="AE148" i="3"/>
  <c r="AD148" i="3"/>
  <c r="AC148" i="3"/>
  <c r="AB148" i="3"/>
  <c r="AA148" i="3"/>
  <c r="Z148" i="3"/>
  <c r="Y148" i="3"/>
  <c r="W148" i="3"/>
  <c r="V148" i="3"/>
  <c r="U148" i="3"/>
  <c r="T148" i="3"/>
  <c r="S148" i="3"/>
  <c r="R148" i="3"/>
  <c r="Q148" i="3"/>
  <c r="P148" i="3"/>
  <c r="O148" i="3"/>
  <c r="N148" i="3"/>
  <c r="M148" i="3"/>
  <c r="L148" i="3"/>
  <c r="J148" i="3"/>
  <c r="I148" i="3"/>
  <c r="AI147" i="3"/>
  <c r="AH147" i="3"/>
  <c r="AF147" i="3"/>
  <c r="AE147" i="3"/>
  <c r="AD147" i="3"/>
  <c r="AC147" i="3"/>
  <c r="AB147" i="3"/>
  <c r="AA147" i="3"/>
  <c r="Z147" i="3"/>
  <c r="Y147" i="3"/>
  <c r="W147" i="3"/>
  <c r="V147" i="3"/>
  <c r="U147" i="3"/>
  <c r="T147" i="3"/>
  <c r="S147" i="3"/>
  <c r="R147" i="3"/>
  <c r="Q147" i="3"/>
  <c r="P147" i="3"/>
  <c r="O147" i="3"/>
  <c r="N147" i="3"/>
  <c r="M147" i="3"/>
  <c r="L147" i="3"/>
  <c r="J147" i="3"/>
  <c r="I147" i="3"/>
  <c r="AI146" i="3"/>
  <c r="AH146" i="3"/>
  <c r="AF146" i="3"/>
  <c r="AE146" i="3"/>
  <c r="AD146" i="3"/>
  <c r="AC146" i="3"/>
  <c r="AB146" i="3"/>
  <c r="AA146" i="3"/>
  <c r="Z146" i="3"/>
  <c r="Y146" i="3"/>
  <c r="W146" i="3"/>
  <c r="V146" i="3"/>
  <c r="U146" i="3"/>
  <c r="T146" i="3"/>
  <c r="S146" i="3"/>
  <c r="R146" i="3"/>
  <c r="Q146" i="3"/>
  <c r="P146" i="3"/>
  <c r="O146" i="3"/>
  <c r="N146" i="3"/>
  <c r="M146" i="3"/>
  <c r="L146" i="3"/>
  <c r="J146" i="3"/>
  <c r="I146" i="3"/>
  <c r="AI145" i="3"/>
  <c r="AH145" i="3"/>
  <c r="AF145" i="3"/>
  <c r="AE145" i="3"/>
  <c r="AD145" i="3"/>
  <c r="AC145" i="3"/>
  <c r="AB145" i="3"/>
  <c r="AA145" i="3"/>
  <c r="Z145" i="3"/>
  <c r="Y145" i="3"/>
  <c r="W145" i="3"/>
  <c r="V145" i="3"/>
  <c r="U145" i="3"/>
  <c r="T145" i="3"/>
  <c r="S145" i="3"/>
  <c r="R145" i="3"/>
  <c r="Q145" i="3"/>
  <c r="P145" i="3"/>
  <c r="O145" i="3"/>
  <c r="N145" i="3"/>
  <c r="M145" i="3"/>
  <c r="L145" i="3"/>
  <c r="J145" i="3"/>
  <c r="I145" i="3"/>
  <c r="AI144" i="3"/>
  <c r="AH144" i="3"/>
  <c r="AF144" i="3"/>
  <c r="AE144" i="3"/>
  <c r="AD144" i="3"/>
  <c r="AC144" i="3"/>
  <c r="AB144" i="3"/>
  <c r="AA144" i="3"/>
  <c r="Z144" i="3"/>
  <c r="Y144" i="3"/>
  <c r="W144" i="3"/>
  <c r="V144" i="3"/>
  <c r="U144" i="3"/>
  <c r="T144" i="3"/>
  <c r="S144" i="3"/>
  <c r="R144" i="3"/>
  <c r="Q144" i="3"/>
  <c r="P144" i="3"/>
  <c r="O144" i="3"/>
  <c r="N144" i="3"/>
  <c r="M144" i="3"/>
  <c r="L144" i="3"/>
  <c r="J144" i="3"/>
  <c r="I144" i="3"/>
  <c r="AI143" i="3"/>
  <c r="AH143" i="3"/>
  <c r="AF143" i="3"/>
  <c r="AE143" i="3"/>
  <c r="AD143" i="3"/>
  <c r="AC143" i="3"/>
  <c r="AB143" i="3"/>
  <c r="AA143" i="3"/>
  <c r="Z143" i="3"/>
  <c r="Y143" i="3"/>
  <c r="W143" i="3"/>
  <c r="V143" i="3"/>
  <c r="U143" i="3"/>
  <c r="T143" i="3"/>
  <c r="S143" i="3"/>
  <c r="R143" i="3"/>
  <c r="Q143" i="3"/>
  <c r="P143" i="3"/>
  <c r="O143" i="3"/>
  <c r="N143" i="3"/>
  <c r="M143" i="3"/>
  <c r="L143" i="3"/>
  <c r="J143" i="3"/>
  <c r="I143" i="3"/>
  <c r="AI142" i="3"/>
  <c r="AH142" i="3"/>
  <c r="AF142" i="3"/>
  <c r="AE142" i="3"/>
  <c r="AD142" i="3"/>
  <c r="AC142" i="3"/>
  <c r="AB142" i="3"/>
  <c r="AA142" i="3"/>
  <c r="Z142" i="3"/>
  <c r="Y142" i="3"/>
  <c r="W142" i="3"/>
  <c r="V142" i="3"/>
  <c r="U142" i="3"/>
  <c r="T142" i="3"/>
  <c r="S142" i="3"/>
  <c r="R142" i="3"/>
  <c r="Q142" i="3"/>
  <c r="P142" i="3"/>
  <c r="O142" i="3"/>
  <c r="N142" i="3"/>
  <c r="M142" i="3"/>
  <c r="L142" i="3"/>
  <c r="J142" i="3"/>
  <c r="I142" i="3"/>
  <c r="AI141" i="3"/>
  <c r="AH141" i="3"/>
  <c r="AF141" i="3"/>
  <c r="AE141" i="3"/>
  <c r="AD141" i="3"/>
  <c r="AC141" i="3"/>
  <c r="AB141" i="3"/>
  <c r="AA141" i="3"/>
  <c r="Z141" i="3"/>
  <c r="Y141" i="3"/>
  <c r="W141" i="3"/>
  <c r="V141" i="3"/>
  <c r="U141" i="3"/>
  <c r="T141" i="3"/>
  <c r="S141" i="3"/>
  <c r="R141" i="3"/>
  <c r="Q141" i="3"/>
  <c r="P141" i="3"/>
  <c r="O141" i="3"/>
  <c r="N141" i="3"/>
  <c r="M141" i="3"/>
  <c r="L141" i="3"/>
  <c r="J141" i="3"/>
  <c r="I141" i="3"/>
  <c r="AI140" i="3"/>
  <c r="AH140" i="3"/>
  <c r="AF140" i="3"/>
  <c r="AE140" i="3"/>
  <c r="AD140" i="3"/>
  <c r="AC140" i="3"/>
  <c r="AB140" i="3"/>
  <c r="AA140" i="3"/>
  <c r="Z140" i="3"/>
  <c r="Y140" i="3"/>
  <c r="W140" i="3"/>
  <c r="V140" i="3"/>
  <c r="U140" i="3"/>
  <c r="T140" i="3"/>
  <c r="S140" i="3"/>
  <c r="R140" i="3"/>
  <c r="Q140" i="3"/>
  <c r="P140" i="3"/>
  <c r="O140" i="3"/>
  <c r="N140" i="3"/>
  <c r="M140" i="3"/>
  <c r="L140" i="3"/>
  <c r="J140" i="3"/>
  <c r="I140" i="3"/>
  <c r="AI139" i="3"/>
  <c r="AH139" i="3"/>
  <c r="AF139" i="3"/>
  <c r="AE139" i="3"/>
  <c r="AD139" i="3"/>
  <c r="AC139" i="3"/>
  <c r="AB139" i="3"/>
  <c r="AA139" i="3"/>
  <c r="Z139" i="3"/>
  <c r="Y139" i="3"/>
  <c r="W139" i="3"/>
  <c r="V139" i="3"/>
  <c r="U139" i="3"/>
  <c r="T139" i="3"/>
  <c r="S139" i="3"/>
  <c r="R139" i="3"/>
  <c r="Q139" i="3"/>
  <c r="P139" i="3"/>
  <c r="O139" i="3"/>
  <c r="N139" i="3"/>
  <c r="M139" i="3"/>
  <c r="L139" i="3"/>
  <c r="J139" i="3"/>
  <c r="I139" i="3"/>
  <c r="AI138" i="3"/>
  <c r="AH138" i="3"/>
  <c r="AF138" i="3"/>
  <c r="AE138" i="3"/>
  <c r="AD138" i="3"/>
  <c r="AC138" i="3"/>
  <c r="AB138" i="3"/>
  <c r="AA138" i="3"/>
  <c r="Z138" i="3"/>
  <c r="Y138" i="3"/>
  <c r="W138" i="3"/>
  <c r="V138" i="3"/>
  <c r="U138" i="3"/>
  <c r="T138" i="3"/>
  <c r="S138" i="3"/>
  <c r="R138" i="3"/>
  <c r="Q138" i="3"/>
  <c r="P138" i="3"/>
  <c r="O138" i="3"/>
  <c r="N138" i="3"/>
  <c r="M138" i="3"/>
  <c r="L138" i="3"/>
  <c r="J138" i="3"/>
  <c r="I138" i="3"/>
  <c r="AI137" i="3"/>
  <c r="AH137" i="3"/>
  <c r="AF137" i="3"/>
  <c r="AE137" i="3"/>
  <c r="AD137" i="3"/>
  <c r="AC137" i="3"/>
  <c r="AB137" i="3"/>
  <c r="AA137" i="3"/>
  <c r="Z137" i="3"/>
  <c r="Y137" i="3"/>
  <c r="W137" i="3"/>
  <c r="V137" i="3"/>
  <c r="U137" i="3"/>
  <c r="T137" i="3"/>
  <c r="S137" i="3"/>
  <c r="R137" i="3"/>
  <c r="Q137" i="3"/>
  <c r="P137" i="3"/>
  <c r="O137" i="3"/>
  <c r="N137" i="3"/>
  <c r="M137" i="3"/>
  <c r="L137" i="3"/>
  <c r="J137" i="3"/>
  <c r="I137" i="3"/>
  <c r="AI136" i="3"/>
  <c r="AH136" i="3"/>
  <c r="AF136" i="3"/>
  <c r="AE136" i="3"/>
  <c r="AD136" i="3"/>
  <c r="AC136" i="3"/>
  <c r="AB136" i="3"/>
  <c r="AA136" i="3"/>
  <c r="Z136" i="3"/>
  <c r="Y136" i="3"/>
  <c r="W136" i="3"/>
  <c r="V136" i="3"/>
  <c r="U136" i="3"/>
  <c r="T136" i="3"/>
  <c r="S136" i="3"/>
  <c r="R136" i="3"/>
  <c r="Q136" i="3"/>
  <c r="P136" i="3"/>
  <c r="O136" i="3"/>
  <c r="N136" i="3"/>
  <c r="M136" i="3"/>
  <c r="L136" i="3"/>
  <c r="J136" i="3"/>
  <c r="I136" i="3"/>
  <c r="AI135" i="3"/>
  <c r="AH135" i="3"/>
  <c r="AF135" i="3"/>
  <c r="AE135" i="3"/>
  <c r="AD135" i="3"/>
  <c r="AC135" i="3"/>
  <c r="AB135" i="3"/>
  <c r="AA135" i="3"/>
  <c r="Z135" i="3"/>
  <c r="Y135" i="3"/>
  <c r="W135" i="3"/>
  <c r="V135" i="3"/>
  <c r="U135" i="3"/>
  <c r="T135" i="3"/>
  <c r="S135" i="3"/>
  <c r="R135" i="3"/>
  <c r="Q135" i="3"/>
  <c r="P135" i="3"/>
  <c r="O135" i="3"/>
  <c r="N135" i="3"/>
  <c r="M135" i="3"/>
  <c r="L135" i="3"/>
  <c r="J135" i="3"/>
  <c r="I135" i="3"/>
  <c r="AI134" i="3"/>
  <c r="AH134" i="3"/>
  <c r="AF134" i="3"/>
  <c r="AE134" i="3"/>
  <c r="AD134" i="3"/>
  <c r="AC134" i="3"/>
  <c r="AB134" i="3"/>
  <c r="AA134" i="3"/>
  <c r="Z134" i="3"/>
  <c r="Y134" i="3"/>
  <c r="W134" i="3"/>
  <c r="V134" i="3"/>
  <c r="U134" i="3"/>
  <c r="T134" i="3"/>
  <c r="S134" i="3"/>
  <c r="R134" i="3"/>
  <c r="Q134" i="3"/>
  <c r="P134" i="3"/>
  <c r="O134" i="3"/>
  <c r="N134" i="3"/>
  <c r="M134" i="3"/>
  <c r="L134" i="3"/>
  <c r="J134" i="3"/>
  <c r="I134" i="3"/>
  <c r="AI133" i="3"/>
  <c r="AH133" i="3"/>
  <c r="AF133" i="3"/>
  <c r="AE133" i="3"/>
  <c r="AD133" i="3"/>
  <c r="AC133" i="3"/>
  <c r="AB133" i="3"/>
  <c r="AA133" i="3"/>
  <c r="Z133" i="3"/>
  <c r="Y133" i="3"/>
  <c r="W133" i="3"/>
  <c r="V133" i="3"/>
  <c r="U133" i="3"/>
  <c r="T133" i="3"/>
  <c r="S133" i="3"/>
  <c r="R133" i="3"/>
  <c r="Q133" i="3"/>
  <c r="P133" i="3"/>
  <c r="O133" i="3"/>
  <c r="N133" i="3"/>
  <c r="M133" i="3"/>
  <c r="L133" i="3"/>
  <c r="J133" i="3"/>
  <c r="I133" i="3"/>
  <c r="AI132" i="3"/>
  <c r="AH132" i="3"/>
  <c r="AF132" i="3"/>
  <c r="AE132" i="3"/>
  <c r="AD132" i="3"/>
  <c r="AC132" i="3"/>
  <c r="AB132" i="3"/>
  <c r="AA132" i="3"/>
  <c r="Z132" i="3"/>
  <c r="Y132" i="3"/>
  <c r="W132" i="3"/>
  <c r="V132" i="3"/>
  <c r="U132" i="3"/>
  <c r="T132" i="3"/>
  <c r="S132" i="3"/>
  <c r="R132" i="3"/>
  <c r="Q132" i="3"/>
  <c r="P132" i="3"/>
  <c r="O132" i="3"/>
  <c r="N132" i="3"/>
  <c r="M132" i="3"/>
  <c r="L132" i="3"/>
  <c r="J132" i="3"/>
  <c r="I132" i="3"/>
  <c r="AI131" i="3"/>
  <c r="AH131" i="3"/>
  <c r="AF131" i="3"/>
  <c r="AE131" i="3"/>
  <c r="AD131" i="3"/>
  <c r="AC131" i="3"/>
  <c r="AB131" i="3"/>
  <c r="AA131" i="3"/>
  <c r="Z131" i="3"/>
  <c r="Y131" i="3"/>
  <c r="W131" i="3"/>
  <c r="V131" i="3"/>
  <c r="U131" i="3"/>
  <c r="T131" i="3"/>
  <c r="S131" i="3"/>
  <c r="R131" i="3"/>
  <c r="Q131" i="3"/>
  <c r="P131" i="3"/>
  <c r="O131" i="3"/>
  <c r="N131" i="3"/>
  <c r="M131" i="3"/>
  <c r="L131" i="3"/>
  <c r="J131" i="3"/>
  <c r="I131" i="3"/>
  <c r="AI130" i="3"/>
  <c r="AH130" i="3"/>
  <c r="AF130" i="3"/>
  <c r="AE130" i="3"/>
  <c r="AD130" i="3"/>
  <c r="AC130" i="3"/>
  <c r="AB130" i="3"/>
  <c r="AA130" i="3"/>
  <c r="Z130" i="3"/>
  <c r="Y130" i="3"/>
  <c r="W130" i="3"/>
  <c r="V130" i="3"/>
  <c r="U130" i="3"/>
  <c r="T130" i="3"/>
  <c r="S130" i="3"/>
  <c r="R130" i="3"/>
  <c r="Q130" i="3"/>
  <c r="P130" i="3"/>
  <c r="O130" i="3"/>
  <c r="N130" i="3"/>
  <c r="M130" i="3"/>
  <c r="L130" i="3"/>
  <c r="J130" i="3"/>
  <c r="I130" i="3"/>
  <c r="AI129" i="3"/>
  <c r="AH129" i="3"/>
  <c r="AF129" i="3"/>
  <c r="AE129" i="3"/>
  <c r="AD129" i="3"/>
  <c r="AC129" i="3"/>
  <c r="AB129" i="3"/>
  <c r="AA129" i="3"/>
  <c r="Z129" i="3"/>
  <c r="Y129" i="3"/>
  <c r="W129" i="3"/>
  <c r="V129" i="3"/>
  <c r="U129" i="3"/>
  <c r="T129" i="3"/>
  <c r="S129" i="3"/>
  <c r="R129" i="3"/>
  <c r="Q129" i="3"/>
  <c r="P129" i="3"/>
  <c r="O129" i="3"/>
  <c r="N129" i="3"/>
  <c r="M129" i="3"/>
  <c r="L129" i="3"/>
  <c r="J129" i="3"/>
  <c r="I129" i="3"/>
  <c r="AI128" i="3"/>
  <c r="AH128" i="3"/>
  <c r="AF128" i="3"/>
  <c r="AE128" i="3"/>
  <c r="AD128" i="3"/>
  <c r="AC128" i="3"/>
  <c r="AB128" i="3"/>
  <c r="AA128" i="3"/>
  <c r="Z128" i="3"/>
  <c r="Y128" i="3"/>
  <c r="W128" i="3"/>
  <c r="V128" i="3"/>
  <c r="U128" i="3"/>
  <c r="T128" i="3"/>
  <c r="S128" i="3"/>
  <c r="R128" i="3"/>
  <c r="Q128" i="3"/>
  <c r="P128" i="3"/>
  <c r="O128" i="3"/>
  <c r="N128" i="3"/>
  <c r="M128" i="3"/>
  <c r="L128" i="3"/>
  <c r="J128" i="3"/>
  <c r="I128" i="3"/>
  <c r="AI127" i="3"/>
  <c r="AH127" i="3"/>
  <c r="AF127" i="3"/>
  <c r="AE127" i="3"/>
  <c r="AD127" i="3"/>
  <c r="AC127" i="3"/>
  <c r="AB127" i="3"/>
  <c r="AA127" i="3"/>
  <c r="Z127" i="3"/>
  <c r="Y127" i="3"/>
  <c r="W127" i="3"/>
  <c r="V127" i="3"/>
  <c r="U127" i="3"/>
  <c r="T127" i="3"/>
  <c r="S127" i="3"/>
  <c r="R127" i="3"/>
  <c r="Q127" i="3"/>
  <c r="P127" i="3"/>
  <c r="O127" i="3"/>
  <c r="N127" i="3"/>
  <c r="M127" i="3"/>
  <c r="L127" i="3"/>
  <c r="J127" i="3"/>
  <c r="I127" i="3"/>
  <c r="AI126" i="3"/>
  <c r="AH126" i="3"/>
  <c r="AF126" i="3"/>
  <c r="AE126" i="3"/>
  <c r="AD126" i="3"/>
  <c r="AC126" i="3"/>
  <c r="AB126" i="3"/>
  <c r="AA126" i="3"/>
  <c r="Z126" i="3"/>
  <c r="Y126" i="3"/>
  <c r="W126" i="3"/>
  <c r="V126" i="3"/>
  <c r="U126" i="3"/>
  <c r="T126" i="3"/>
  <c r="S126" i="3"/>
  <c r="R126" i="3"/>
  <c r="Q126" i="3"/>
  <c r="P126" i="3"/>
  <c r="O126" i="3"/>
  <c r="N126" i="3"/>
  <c r="M126" i="3"/>
  <c r="L126" i="3"/>
  <c r="J126" i="3"/>
  <c r="I126" i="3"/>
  <c r="AI125" i="3"/>
  <c r="AH125" i="3"/>
  <c r="AF125" i="3"/>
  <c r="AE125" i="3"/>
  <c r="AD125" i="3"/>
  <c r="AC125" i="3"/>
  <c r="AB125" i="3"/>
  <c r="AA125" i="3"/>
  <c r="Z125" i="3"/>
  <c r="Y125" i="3"/>
  <c r="W125" i="3"/>
  <c r="V125" i="3"/>
  <c r="U125" i="3"/>
  <c r="T125" i="3"/>
  <c r="S125" i="3"/>
  <c r="R125" i="3"/>
  <c r="Q125" i="3"/>
  <c r="P125" i="3"/>
  <c r="O125" i="3"/>
  <c r="N125" i="3"/>
  <c r="M125" i="3"/>
  <c r="L125" i="3"/>
  <c r="J125" i="3"/>
  <c r="I125" i="3"/>
  <c r="AI124" i="3"/>
  <c r="AH124" i="3"/>
  <c r="AF124" i="3"/>
  <c r="AE124" i="3"/>
  <c r="AD124" i="3"/>
  <c r="AC124" i="3"/>
  <c r="AB124" i="3"/>
  <c r="AA124" i="3"/>
  <c r="Z124" i="3"/>
  <c r="Y124" i="3"/>
  <c r="W124" i="3"/>
  <c r="V124" i="3"/>
  <c r="U124" i="3"/>
  <c r="T124" i="3"/>
  <c r="S124" i="3"/>
  <c r="R124" i="3"/>
  <c r="Q124" i="3"/>
  <c r="P124" i="3"/>
  <c r="O124" i="3"/>
  <c r="N124" i="3"/>
  <c r="M124" i="3"/>
  <c r="L124" i="3"/>
  <c r="J124" i="3"/>
  <c r="I124" i="3"/>
  <c r="AI123" i="3"/>
  <c r="AH123" i="3"/>
  <c r="AF123" i="3"/>
  <c r="AE123" i="3"/>
  <c r="AD123" i="3"/>
  <c r="AC123" i="3"/>
  <c r="AB123" i="3"/>
  <c r="AA123" i="3"/>
  <c r="Z123" i="3"/>
  <c r="Y123" i="3"/>
  <c r="W123" i="3"/>
  <c r="V123" i="3"/>
  <c r="U123" i="3"/>
  <c r="T123" i="3"/>
  <c r="S123" i="3"/>
  <c r="R123" i="3"/>
  <c r="Q123" i="3"/>
  <c r="P123" i="3"/>
  <c r="O123" i="3"/>
  <c r="N123" i="3"/>
  <c r="M123" i="3"/>
  <c r="L123" i="3"/>
  <c r="J123" i="3"/>
  <c r="I123" i="3"/>
  <c r="AI122" i="3"/>
  <c r="AH122" i="3"/>
  <c r="AF122" i="3"/>
  <c r="AE122" i="3"/>
  <c r="AD122" i="3"/>
  <c r="AC122" i="3"/>
  <c r="AB122" i="3"/>
  <c r="AA122" i="3"/>
  <c r="Z122" i="3"/>
  <c r="Y122" i="3"/>
  <c r="W122" i="3"/>
  <c r="V122" i="3"/>
  <c r="U122" i="3"/>
  <c r="T122" i="3"/>
  <c r="S122" i="3"/>
  <c r="R122" i="3"/>
  <c r="Q122" i="3"/>
  <c r="P122" i="3"/>
  <c r="O122" i="3"/>
  <c r="N122" i="3"/>
  <c r="M122" i="3"/>
  <c r="L122" i="3"/>
  <c r="J122" i="3"/>
  <c r="I122" i="3"/>
  <c r="AI121" i="3"/>
  <c r="AH121" i="3"/>
  <c r="AF121" i="3"/>
  <c r="AE121" i="3"/>
  <c r="AD121" i="3"/>
  <c r="AC121" i="3"/>
  <c r="AB121" i="3"/>
  <c r="AA121" i="3"/>
  <c r="Z121" i="3"/>
  <c r="Y121" i="3"/>
  <c r="W121" i="3"/>
  <c r="V121" i="3"/>
  <c r="U121" i="3"/>
  <c r="T121" i="3"/>
  <c r="S121" i="3"/>
  <c r="R121" i="3"/>
  <c r="Q121" i="3"/>
  <c r="P121" i="3"/>
  <c r="O121" i="3"/>
  <c r="N121" i="3"/>
  <c r="M121" i="3"/>
  <c r="L121" i="3"/>
  <c r="J121" i="3"/>
  <c r="I121" i="3"/>
  <c r="AI120" i="3"/>
  <c r="AH120" i="3"/>
  <c r="AF120" i="3"/>
  <c r="AE120" i="3"/>
  <c r="AD120" i="3"/>
  <c r="AC120" i="3"/>
  <c r="AB120" i="3"/>
  <c r="AA120" i="3"/>
  <c r="Z120" i="3"/>
  <c r="Y120" i="3"/>
  <c r="W120" i="3"/>
  <c r="V120" i="3"/>
  <c r="U120" i="3"/>
  <c r="T120" i="3"/>
  <c r="S120" i="3"/>
  <c r="R120" i="3"/>
  <c r="Q120" i="3"/>
  <c r="P120" i="3"/>
  <c r="O120" i="3"/>
  <c r="N120" i="3"/>
  <c r="M120" i="3"/>
  <c r="L120" i="3"/>
  <c r="J120" i="3"/>
  <c r="I120" i="3"/>
  <c r="AI119" i="3"/>
  <c r="AH119" i="3"/>
  <c r="AF119" i="3"/>
  <c r="AE119" i="3"/>
  <c r="AD119" i="3"/>
  <c r="AC119" i="3"/>
  <c r="AB119" i="3"/>
  <c r="AA119" i="3"/>
  <c r="Z119" i="3"/>
  <c r="Y119" i="3"/>
  <c r="W119" i="3"/>
  <c r="V119" i="3"/>
  <c r="U119" i="3"/>
  <c r="T119" i="3"/>
  <c r="S119" i="3"/>
  <c r="R119" i="3"/>
  <c r="Q119" i="3"/>
  <c r="P119" i="3"/>
  <c r="O119" i="3"/>
  <c r="N119" i="3"/>
  <c r="M119" i="3"/>
  <c r="L119" i="3"/>
  <c r="J119" i="3"/>
  <c r="I119" i="3"/>
  <c r="AI118" i="3"/>
  <c r="AH118" i="3"/>
  <c r="AF118" i="3"/>
  <c r="AE118" i="3"/>
  <c r="AD118" i="3"/>
  <c r="AC118" i="3"/>
  <c r="AB118" i="3"/>
  <c r="AA118" i="3"/>
  <c r="Z118" i="3"/>
  <c r="Y118" i="3"/>
  <c r="W118" i="3"/>
  <c r="V118" i="3"/>
  <c r="U118" i="3"/>
  <c r="T118" i="3"/>
  <c r="S118" i="3"/>
  <c r="R118" i="3"/>
  <c r="Q118" i="3"/>
  <c r="P118" i="3"/>
  <c r="O118" i="3"/>
  <c r="N118" i="3"/>
  <c r="M118" i="3"/>
  <c r="L118" i="3"/>
  <c r="J118" i="3"/>
  <c r="I118" i="3"/>
  <c r="AI117" i="3"/>
  <c r="AH117" i="3"/>
  <c r="AF117" i="3"/>
  <c r="AE117" i="3"/>
  <c r="AD117" i="3"/>
  <c r="AC117" i="3"/>
  <c r="AB117" i="3"/>
  <c r="AA117" i="3"/>
  <c r="Z117" i="3"/>
  <c r="Y117" i="3"/>
  <c r="W117" i="3"/>
  <c r="V117" i="3"/>
  <c r="U117" i="3"/>
  <c r="T117" i="3"/>
  <c r="S117" i="3"/>
  <c r="R117" i="3"/>
  <c r="Q117" i="3"/>
  <c r="P117" i="3"/>
  <c r="O117" i="3"/>
  <c r="N117" i="3"/>
  <c r="M117" i="3"/>
  <c r="L117" i="3"/>
  <c r="J117" i="3"/>
  <c r="I117" i="3"/>
  <c r="AI116" i="3"/>
  <c r="AH116" i="3"/>
  <c r="AF116" i="3"/>
  <c r="AE116" i="3"/>
  <c r="AD116" i="3"/>
  <c r="AC116" i="3"/>
  <c r="AB116" i="3"/>
  <c r="AA116" i="3"/>
  <c r="Z116" i="3"/>
  <c r="Y116" i="3"/>
  <c r="W116" i="3"/>
  <c r="V116" i="3"/>
  <c r="U116" i="3"/>
  <c r="T116" i="3"/>
  <c r="S116" i="3"/>
  <c r="R116" i="3"/>
  <c r="Q116" i="3"/>
  <c r="P116" i="3"/>
  <c r="O116" i="3"/>
  <c r="N116" i="3"/>
  <c r="M116" i="3"/>
  <c r="L116" i="3"/>
  <c r="J116" i="3"/>
  <c r="I116" i="3"/>
  <c r="AI115" i="3"/>
  <c r="AH115" i="3"/>
  <c r="AF115" i="3"/>
  <c r="AE115" i="3"/>
  <c r="AD115" i="3"/>
  <c r="AC115" i="3"/>
  <c r="AB115" i="3"/>
  <c r="AA115" i="3"/>
  <c r="Z115" i="3"/>
  <c r="Y115" i="3"/>
  <c r="W115" i="3"/>
  <c r="V115" i="3"/>
  <c r="U115" i="3"/>
  <c r="T115" i="3"/>
  <c r="S115" i="3"/>
  <c r="R115" i="3"/>
  <c r="Q115" i="3"/>
  <c r="P115" i="3"/>
  <c r="O115" i="3"/>
  <c r="N115" i="3"/>
  <c r="M115" i="3"/>
  <c r="L115" i="3"/>
  <c r="J115" i="3"/>
  <c r="I115" i="3"/>
  <c r="AI114" i="3"/>
  <c r="AH114" i="3"/>
  <c r="AF114" i="3"/>
  <c r="AE114" i="3"/>
  <c r="AD114" i="3"/>
  <c r="AC114" i="3"/>
  <c r="AB114" i="3"/>
  <c r="AA114" i="3"/>
  <c r="Z114" i="3"/>
  <c r="Y114" i="3"/>
  <c r="W114" i="3"/>
  <c r="V114" i="3"/>
  <c r="U114" i="3"/>
  <c r="T114" i="3"/>
  <c r="S114" i="3"/>
  <c r="R114" i="3"/>
  <c r="Q114" i="3"/>
  <c r="P114" i="3"/>
  <c r="O114" i="3"/>
  <c r="N114" i="3"/>
  <c r="M114" i="3"/>
  <c r="L114" i="3"/>
  <c r="J114" i="3"/>
  <c r="I114" i="3"/>
  <c r="AI113" i="3"/>
  <c r="AH113" i="3"/>
  <c r="AF113" i="3"/>
  <c r="AE113" i="3"/>
  <c r="AD113" i="3"/>
  <c r="AC113" i="3"/>
  <c r="AB113" i="3"/>
  <c r="AA113" i="3"/>
  <c r="Z113" i="3"/>
  <c r="Y113" i="3"/>
  <c r="W113" i="3"/>
  <c r="V113" i="3"/>
  <c r="U113" i="3"/>
  <c r="T113" i="3"/>
  <c r="S113" i="3"/>
  <c r="R113" i="3"/>
  <c r="Q113" i="3"/>
  <c r="P113" i="3"/>
  <c r="O113" i="3"/>
  <c r="N113" i="3"/>
  <c r="M113" i="3"/>
  <c r="L113" i="3"/>
  <c r="J113" i="3"/>
  <c r="I113" i="3"/>
  <c r="AI112" i="3"/>
  <c r="AH112" i="3"/>
  <c r="AF112" i="3"/>
  <c r="AE112" i="3"/>
  <c r="AD112" i="3"/>
  <c r="AC112" i="3"/>
  <c r="AB112" i="3"/>
  <c r="AA112" i="3"/>
  <c r="Z112" i="3"/>
  <c r="Y112" i="3"/>
  <c r="W112" i="3"/>
  <c r="V112" i="3"/>
  <c r="U112" i="3"/>
  <c r="T112" i="3"/>
  <c r="S112" i="3"/>
  <c r="R112" i="3"/>
  <c r="Q112" i="3"/>
  <c r="P112" i="3"/>
  <c r="O112" i="3"/>
  <c r="N112" i="3"/>
  <c r="M112" i="3"/>
  <c r="L112" i="3"/>
  <c r="J112" i="3"/>
  <c r="I112" i="3"/>
  <c r="AI111" i="3"/>
  <c r="AH111" i="3"/>
  <c r="AF111" i="3"/>
  <c r="AE111" i="3"/>
  <c r="AD111" i="3"/>
  <c r="AC111" i="3"/>
  <c r="AB111" i="3"/>
  <c r="AA111" i="3"/>
  <c r="Z111" i="3"/>
  <c r="Y111" i="3"/>
  <c r="W111" i="3"/>
  <c r="V111" i="3"/>
  <c r="U111" i="3"/>
  <c r="T111" i="3"/>
  <c r="S111" i="3"/>
  <c r="R111" i="3"/>
  <c r="Q111" i="3"/>
  <c r="P111" i="3"/>
  <c r="O111" i="3"/>
  <c r="N111" i="3"/>
  <c r="M111" i="3"/>
  <c r="L111" i="3"/>
  <c r="J111" i="3"/>
  <c r="I111" i="3"/>
  <c r="AI110" i="3"/>
  <c r="AH110" i="3"/>
  <c r="AF110" i="3"/>
  <c r="AE110" i="3"/>
  <c r="AD110" i="3"/>
  <c r="AC110" i="3"/>
  <c r="AB110" i="3"/>
  <c r="AA110" i="3"/>
  <c r="Z110" i="3"/>
  <c r="Y110" i="3"/>
  <c r="W110" i="3"/>
  <c r="V110" i="3"/>
  <c r="U110" i="3"/>
  <c r="T110" i="3"/>
  <c r="S110" i="3"/>
  <c r="R110" i="3"/>
  <c r="Q110" i="3"/>
  <c r="P110" i="3"/>
  <c r="O110" i="3"/>
  <c r="N110" i="3"/>
  <c r="M110" i="3"/>
  <c r="L110" i="3"/>
  <c r="J110" i="3"/>
  <c r="I110" i="3"/>
  <c r="AI109" i="3"/>
  <c r="AH109" i="3"/>
  <c r="AF109" i="3"/>
  <c r="AE109" i="3"/>
  <c r="AD109" i="3"/>
  <c r="AC109" i="3"/>
  <c r="AB109" i="3"/>
  <c r="AA109" i="3"/>
  <c r="Z109" i="3"/>
  <c r="Y109" i="3"/>
  <c r="W109" i="3"/>
  <c r="V109" i="3"/>
  <c r="U109" i="3"/>
  <c r="T109" i="3"/>
  <c r="S109" i="3"/>
  <c r="R109" i="3"/>
  <c r="Q109" i="3"/>
  <c r="P109" i="3"/>
  <c r="O109" i="3"/>
  <c r="N109" i="3"/>
  <c r="M109" i="3"/>
  <c r="L109" i="3"/>
  <c r="J109" i="3"/>
  <c r="I109" i="3"/>
  <c r="AI108" i="3"/>
  <c r="AH108" i="3"/>
  <c r="AF108" i="3"/>
  <c r="AE108" i="3"/>
  <c r="AD108" i="3"/>
  <c r="AC108" i="3"/>
  <c r="AB108" i="3"/>
  <c r="AA108" i="3"/>
  <c r="Z108" i="3"/>
  <c r="Y108" i="3"/>
  <c r="W108" i="3"/>
  <c r="V108" i="3"/>
  <c r="U108" i="3"/>
  <c r="T108" i="3"/>
  <c r="S108" i="3"/>
  <c r="R108" i="3"/>
  <c r="Q108" i="3"/>
  <c r="P108" i="3"/>
  <c r="O108" i="3"/>
  <c r="N108" i="3"/>
  <c r="M108" i="3"/>
  <c r="L108" i="3"/>
  <c r="J108" i="3"/>
  <c r="I108" i="3"/>
  <c r="AI107" i="3"/>
  <c r="AH107" i="3"/>
  <c r="AF107" i="3"/>
  <c r="AE107" i="3"/>
  <c r="AD107" i="3"/>
  <c r="AC107" i="3"/>
  <c r="AB107" i="3"/>
  <c r="AA107" i="3"/>
  <c r="Z107" i="3"/>
  <c r="Y107" i="3"/>
  <c r="W107" i="3"/>
  <c r="V107" i="3"/>
  <c r="U107" i="3"/>
  <c r="T107" i="3"/>
  <c r="S107" i="3"/>
  <c r="R107" i="3"/>
  <c r="Q107" i="3"/>
  <c r="P107" i="3"/>
  <c r="O107" i="3"/>
  <c r="N107" i="3"/>
  <c r="M107" i="3"/>
  <c r="L107" i="3"/>
  <c r="J107" i="3"/>
  <c r="I107" i="3"/>
  <c r="AI106" i="3"/>
  <c r="AH106" i="3"/>
  <c r="AF106" i="3"/>
  <c r="AE106" i="3"/>
  <c r="AD106" i="3"/>
  <c r="AC106" i="3"/>
  <c r="AB106" i="3"/>
  <c r="AA106" i="3"/>
  <c r="Z106" i="3"/>
  <c r="Y106" i="3"/>
  <c r="W106" i="3"/>
  <c r="V106" i="3"/>
  <c r="U106" i="3"/>
  <c r="T106" i="3"/>
  <c r="S106" i="3"/>
  <c r="R106" i="3"/>
  <c r="Q106" i="3"/>
  <c r="P106" i="3"/>
  <c r="O106" i="3"/>
  <c r="N106" i="3"/>
  <c r="M106" i="3"/>
  <c r="L106" i="3"/>
  <c r="J106" i="3"/>
  <c r="I106" i="3"/>
  <c r="AI105" i="3"/>
  <c r="AH105" i="3"/>
  <c r="AF105" i="3"/>
  <c r="AE105" i="3"/>
  <c r="AD105" i="3"/>
  <c r="AC105" i="3"/>
  <c r="AB105" i="3"/>
  <c r="AA105" i="3"/>
  <c r="Z105" i="3"/>
  <c r="Y105" i="3"/>
  <c r="W105" i="3"/>
  <c r="V105" i="3"/>
  <c r="U105" i="3"/>
  <c r="T105" i="3"/>
  <c r="S105" i="3"/>
  <c r="R105" i="3"/>
  <c r="Q105" i="3"/>
  <c r="P105" i="3"/>
  <c r="O105" i="3"/>
  <c r="N105" i="3"/>
  <c r="M105" i="3"/>
  <c r="L105" i="3"/>
  <c r="J105" i="3"/>
  <c r="I105" i="3"/>
  <c r="AI104" i="3"/>
  <c r="AH104" i="3"/>
  <c r="AF104" i="3"/>
  <c r="AE104" i="3"/>
  <c r="AD104" i="3"/>
  <c r="AC104" i="3"/>
  <c r="AB104" i="3"/>
  <c r="AA104" i="3"/>
  <c r="Z104" i="3"/>
  <c r="Y104" i="3"/>
  <c r="W104" i="3"/>
  <c r="V104" i="3"/>
  <c r="U104" i="3"/>
  <c r="T104" i="3"/>
  <c r="S104" i="3"/>
  <c r="R104" i="3"/>
  <c r="Q104" i="3"/>
  <c r="P104" i="3"/>
  <c r="O104" i="3"/>
  <c r="N104" i="3"/>
  <c r="M104" i="3"/>
  <c r="L104" i="3"/>
  <c r="J104" i="3"/>
  <c r="I104" i="3"/>
  <c r="AI103" i="3"/>
  <c r="AH103" i="3"/>
  <c r="AF103" i="3"/>
  <c r="AE103" i="3"/>
  <c r="AD103" i="3"/>
  <c r="AC103" i="3"/>
  <c r="AB103" i="3"/>
  <c r="AA103" i="3"/>
  <c r="Z103" i="3"/>
  <c r="Y103" i="3"/>
  <c r="W103" i="3"/>
  <c r="V103" i="3"/>
  <c r="U103" i="3"/>
  <c r="T103" i="3"/>
  <c r="S103" i="3"/>
  <c r="R103" i="3"/>
  <c r="Q103" i="3"/>
  <c r="P103" i="3"/>
  <c r="O103" i="3"/>
  <c r="N103" i="3"/>
  <c r="M103" i="3"/>
  <c r="L103" i="3"/>
  <c r="J103" i="3"/>
  <c r="I103" i="3"/>
  <c r="AI102" i="3"/>
  <c r="AH102" i="3"/>
  <c r="AF102" i="3"/>
  <c r="AE102" i="3"/>
  <c r="AD102" i="3"/>
  <c r="AC102" i="3"/>
  <c r="AB102" i="3"/>
  <c r="AA102" i="3"/>
  <c r="Z102" i="3"/>
  <c r="Y102" i="3"/>
  <c r="W102" i="3"/>
  <c r="V102" i="3"/>
  <c r="U102" i="3"/>
  <c r="T102" i="3"/>
  <c r="S102" i="3"/>
  <c r="R102" i="3"/>
  <c r="Q102" i="3"/>
  <c r="P102" i="3"/>
  <c r="O102" i="3"/>
  <c r="N102" i="3"/>
  <c r="M102" i="3"/>
  <c r="L102" i="3"/>
  <c r="J102" i="3"/>
  <c r="I102" i="3"/>
  <c r="AI101" i="3"/>
  <c r="AH101" i="3"/>
  <c r="AF101" i="3"/>
  <c r="AE101" i="3"/>
  <c r="AD101" i="3"/>
  <c r="AC101" i="3"/>
  <c r="AB101" i="3"/>
  <c r="AA101" i="3"/>
  <c r="Z101" i="3"/>
  <c r="Y101" i="3"/>
  <c r="W101" i="3"/>
  <c r="V101" i="3"/>
  <c r="U101" i="3"/>
  <c r="T101" i="3"/>
  <c r="S101" i="3"/>
  <c r="R101" i="3"/>
  <c r="Q101" i="3"/>
  <c r="P101" i="3"/>
  <c r="O101" i="3"/>
  <c r="N101" i="3"/>
  <c r="M101" i="3"/>
  <c r="L101" i="3"/>
  <c r="J101" i="3"/>
  <c r="I101" i="3"/>
  <c r="AI100" i="3"/>
  <c r="AH100" i="3"/>
  <c r="AF100" i="3"/>
  <c r="AE100" i="3"/>
  <c r="AD100" i="3"/>
  <c r="AC100" i="3"/>
  <c r="AB100" i="3"/>
  <c r="AA100" i="3"/>
  <c r="Z100" i="3"/>
  <c r="Y100" i="3"/>
  <c r="W100" i="3"/>
  <c r="V100" i="3"/>
  <c r="U100" i="3"/>
  <c r="T100" i="3"/>
  <c r="S100" i="3"/>
  <c r="R100" i="3"/>
  <c r="Q100" i="3"/>
  <c r="P100" i="3"/>
  <c r="O100" i="3"/>
  <c r="N100" i="3"/>
  <c r="M100" i="3"/>
  <c r="L100" i="3"/>
  <c r="J100" i="3"/>
  <c r="I100" i="3"/>
  <c r="AI99" i="3"/>
  <c r="AH99" i="3"/>
  <c r="AF99" i="3"/>
  <c r="AE99" i="3"/>
  <c r="AD99" i="3"/>
  <c r="AC99" i="3"/>
  <c r="AB99" i="3"/>
  <c r="AA99" i="3"/>
  <c r="Z99" i="3"/>
  <c r="Y99" i="3"/>
  <c r="W99" i="3"/>
  <c r="V99" i="3"/>
  <c r="U99" i="3"/>
  <c r="T99" i="3"/>
  <c r="S99" i="3"/>
  <c r="R99" i="3"/>
  <c r="Q99" i="3"/>
  <c r="P99" i="3"/>
  <c r="O99" i="3"/>
  <c r="N99" i="3"/>
  <c r="M99" i="3"/>
  <c r="L99" i="3"/>
  <c r="J99" i="3"/>
  <c r="I99" i="3"/>
  <c r="AI98" i="3"/>
  <c r="AH98" i="3"/>
  <c r="AF98" i="3"/>
  <c r="AE98" i="3"/>
  <c r="AD98" i="3"/>
  <c r="AC98" i="3"/>
  <c r="AB98" i="3"/>
  <c r="AA98" i="3"/>
  <c r="Z98" i="3"/>
  <c r="Y98" i="3"/>
  <c r="W98" i="3"/>
  <c r="V98" i="3"/>
  <c r="U98" i="3"/>
  <c r="T98" i="3"/>
  <c r="S98" i="3"/>
  <c r="R98" i="3"/>
  <c r="Q98" i="3"/>
  <c r="P98" i="3"/>
  <c r="O98" i="3"/>
  <c r="N98" i="3"/>
  <c r="M98" i="3"/>
  <c r="L98" i="3"/>
  <c r="J98" i="3"/>
  <c r="I98" i="3"/>
  <c r="AI97" i="3"/>
  <c r="AH97" i="3"/>
  <c r="AF97" i="3"/>
  <c r="AE97" i="3"/>
  <c r="AD97" i="3"/>
  <c r="AC97" i="3"/>
  <c r="AB97" i="3"/>
  <c r="AA97" i="3"/>
  <c r="Z97" i="3"/>
  <c r="Y97" i="3"/>
  <c r="W97" i="3"/>
  <c r="V97" i="3"/>
  <c r="U97" i="3"/>
  <c r="T97" i="3"/>
  <c r="S97" i="3"/>
  <c r="R97" i="3"/>
  <c r="Q97" i="3"/>
  <c r="P97" i="3"/>
  <c r="O97" i="3"/>
  <c r="N97" i="3"/>
  <c r="M97" i="3"/>
  <c r="L97" i="3"/>
  <c r="J97" i="3"/>
  <c r="I97" i="3"/>
  <c r="AI96" i="3"/>
  <c r="AH96" i="3"/>
  <c r="AF96" i="3"/>
  <c r="AE96" i="3"/>
  <c r="AD96" i="3"/>
  <c r="AC96" i="3"/>
  <c r="AB96" i="3"/>
  <c r="AA96" i="3"/>
  <c r="Z96" i="3"/>
  <c r="Y96" i="3"/>
  <c r="W96" i="3"/>
  <c r="V96" i="3"/>
  <c r="U96" i="3"/>
  <c r="T96" i="3"/>
  <c r="S96" i="3"/>
  <c r="R96" i="3"/>
  <c r="Q96" i="3"/>
  <c r="P96" i="3"/>
  <c r="O96" i="3"/>
  <c r="N96" i="3"/>
  <c r="M96" i="3"/>
  <c r="L96" i="3"/>
  <c r="J96" i="3"/>
  <c r="I96" i="3"/>
  <c r="AI95" i="3"/>
  <c r="AH95" i="3"/>
  <c r="AF95" i="3"/>
  <c r="AE95" i="3"/>
  <c r="AD95" i="3"/>
  <c r="AC95" i="3"/>
  <c r="AB95" i="3"/>
  <c r="AA95" i="3"/>
  <c r="Z95" i="3"/>
  <c r="Y95" i="3"/>
  <c r="W95" i="3"/>
  <c r="V95" i="3"/>
  <c r="U95" i="3"/>
  <c r="T95" i="3"/>
  <c r="S95" i="3"/>
  <c r="R95" i="3"/>
  <c r="Q95" i="3"/>
  <c r="P95" i="3"/>
  <c r="O95" i="3"/>
  <c r="N95" i="3"/>
  <c r="M95" i="3"/>
  <c r="L95" i="3"/>
  <c r="J95" i="3"/>
  <c r="I95" i="3"/>
  <c r="AI94" i="3"/>
  <c r="AH94" i="3"/>
  <c r="AF94" i="3"/>
  <c r="AE94" i="3"/>
  <c r="AD94" i="3"/>
  <c r="AC94" i="3"/>
  <c r="AB94" i="3"/>
  <c r="AA94" i="3"/>
  <c r="Z94" i="3"/>
  <c r="Y94" i="3"/>
  <c r="W94" i="3"/>
  <c r="V94" i="3"/>
  <c r="U94" i="3"/>
  <c r="T94" i="3"/>
  <c r="S94" i="3"/>
  <c r="R94" i="3"/>
  <c r="Q94" i="3"/>
  <c r="P94" i="3"/>
  <c r="O94" i="3"/>
  <c r="N94" i="3"/>
  <c r="M94" i="3"/>
  <c r="L94" i="3"/>
  <c r="J94" i="3"/>
  <c r="I94" i="3"/>
  <c r="AI93" i="3"/>
  <c r="AH93" i="3"/>
  <c r="AF93" i="3"/>
  <c r="AE93" i="3"/>
  <c r="AD93" i="3"/>
  <c r="AC93" i="3"/>
  <c r="AB93" i="3"/>
  <c r="AA93" i="3"/>
  <c r="Z93" i="3"/>
  <c r="Y93" i="3"/>
  <c r="W93" i="3"/>
  <c r="V93" i="3"/>
  <c r="U93" i="3"/>
  <c r="T93" i="3"/>
  <c r="S93" i="3"/>
  <c r="R93" i="3"/>
  <c r="Q93" i="3"/>
  <c r="P93" i="3"/>
  <c r="O93" i="3"/>
  <c r="N93" i="3"/>
  <c r="M93" i="3"/>
  <c r="L93" i="3"/>
  <c r="J93" i="3"/>
  <c r="I93" i="3"/>
  <c r="AI92" i="3"/>
  <c r="AH92" i="3"/>
  <c r="AF92" i="3"/>
  <c r="AE92" i="3"/>
  <c r="AD92" i="3"/>
  <c r="AC92" i="3"/>
  <c r="AB92" i="3"/>
  <c r="AA92" i="3"/>
  <c r="Z92" i="3"/>
  <c r="Y92" i="3"/>
  <c r="W92" i="3"/>
  <c r="V92" i="3"/>
  <c r="U92" i="3"/>
  <c r="T92" i="3"/>
  <c r="S92" i="3"/>
  <c r="R92" i="3"/>
  <c r="Q92" i="3"/>
  <c r="P92" i="3"/>
  <c r="O92" i="3"/>
  <c r="N92" i="3"/>
  <c r="M92" i="3"/>
  <c r="L92" i="3"/>
  <c r="J92" i="3"/>
  <c r="I92" i="3"/>
  <c r="AI91" i="3"/>
  <c r="AH91" i="3"/>
  <c r="AF91" i="3"/>
  <c r="AE91" i="3"/>
  <c r="AD91" i="3"/>
  <c r="AC91" i="3"/>
  <c r="AB91" i="3"/>
  <c r="AA91" i="3"/>
  <c r="Z91" i="3"/>
  <c r="Y91" i="3"/>
  <c r="W91" i="3"/>
  <c r="V91" i="3"/>
  <c r="U91" i="3"/>
  <c r="T91" i="3"/>
  <c r="S91" i="3"/>
  <c r="R91" i="3"/>
  <c r="Q91" i="3"/>
  <c r="P91" i="3"/>
  <c r="O91" i="3"/>
  <c r="N91" i="3"/>
  <c r="M91" i="3"/>
  <c r="L91" i="3"/>
  <c r="J91" i="3"/>
  <c r="I91" i="3"/>
  <c r="AI90" i="3"/>
  <c r="AH90" i="3"/>
  <c r="AF90" i="3"/>
  <c r="AE90" i="3"/>
  <c r="AD90" i="3"/>
  <c r="AC90" i="3"/>
  <c r="AB90" i="3"/>
  <c r="AA90" i="3"/>
  <c r="Z90" i="3"/>
  <c r="Y90" i="3"/>
  <c r="W90" i="3"/>
  <c r="V90" i="3"/>
  <c r="U90" i="3"/>
  <c r="T90" i="3"/>
  <c r="S90" i="3"/>
  <c r="R90" i="3"/>
  <c r="Q90" i="3"/>
  <c r="P90" i="3"/>
  <c r="O90" i="3"/>
  <c r="N90" i="3"/>
  <c r="M90" i="3"/>
  <c r="L90" i="3"/>
  <c r="J90" i="3"/>
  <c r="I90" i="3"/>
  <c r="AI89" i="3"/>
  <c r="AH89" i="3"/>
  <c r="AF89" i="3"/>
  <c r="AE89" i="3"/>
  <c r="AD89" i="3"/>
  <c r="AC89" i="3"/>
  <c r="AB89" i="3"/>
  <c r="AA89" i="3"/>
  <c r="Z89" i="3"/>
  <c r="Y89" i="3"/>
  <c r="W89" i="3"/>
  <c r="V89" i="3"/>
  <c r="U89" i="3"/>
  <c r="T89" i="3"/>
  <c r="S89" i="3"/>
  <c r="R89" i="3"/>
  <c r="Q89" i="3"/>
  <c r="P89" i="3"/>
  <c r="O89" i="3"/>
  <c r="N89" i="3"/>
  <c r="M89" i="3"/>
  <c r="L89" i="3"/>
  <c r="J89" i="3"/>
  <c r="I89" i="3"/>
  <c r="AI88" i="3"/>
  <c r="AH88" i="3"/>
  <c r="AF88" i="3"/>
  <c r="AE88" i="3"/>
  <c r="AD88" i="3"/>
  <c r="AC88" i="3"/>
  <c r="AB88" i="3"/>
  <c r="AA88" i="3"/>
  <c r="Z88" i="3"/>
  <c r="Y88" i="3"/>
  <c r="W88" i="3"/>
  <c r="V88" i="3"/>
  <c r="U88" i="3"/>
  <c r="T88" i="3"/>
  <c r="S88" i="3"/>
  <c r="R88" i="3"/>
  <c r="Q88" i="3"/>
  <c r="P88" i="3"/>
  <c r="O88" i="3"/>
  <c r="N88" i="3"/>
  <c r="M88" i="3"/>
  <c r="L88" i="3"/>
  <c r="J88" i="3"/>
  <c r="I88" i="3"/>
  <c r="AI87" i="3"/>
  <c r="AH87" i="3"/>
  <c r="AF87" i="3"/>
  <c r="AE87" i="3"/>
  <c r="AD87" i="3"/>
  <c r="AC87" i="3"/>
  <c r="AB87" i="3"/>
  <c r="AA87" i="3"/>
  <c r="Z87" i="3"/>
  <c r="Y87" i="3"/>
  <c r="W87" i="3"/>
  <c r="V87" i="3"/>
  <c r="U87" i="3"/>
  <c r="T87" i="3"/>
  <c r="S87" i="3"/>
  <c r="R87" i="3"/>
  <c r="Q87" i="3"/>
  <c r="P87" i="3"/>
  <c r="O87" i="3"/>
  <c r="N87" i="3"/>
  <c r="M87" i="3"/>
  <c r="L87" i="3"/>
  <c r="J87" i="3"/>
  <c r="I87" i="3"/>
  <c r="AI86" i="3"/>
  <c r="AH86" i="3"/>
  <c r="AF86" i="3"/>
  <c r="AE86" i="3"/>
  <c r="AD86" i="3"/>
  <c r="AC86" i="3"/>
  <c r="AB86" i="3"/>
  <c r="AA86" i="3"/>
  <c r="Z86" i="3"/>
  <c r="Y86" i="3"/>
  <c r="W86" i="3"/>
  <c r="V86" i="3"/>
  <c r="U86" i="3"/>
  <c r="T86" i="3"/>
  <c r="S86" i="3"/>
  <c r="R86" i="3"/>
  <c r="Q86" i="3"/>
  <c r="P86" i="3"/>
  <c r="O86" i="3"/>
  <c r="N86" i="3"/>
  <c r="M86" i="3"/>
  <c r="L86" i="3"/>
  <c r="J86" i="3"/>
  <c r="I86" i="3"/>
  <c r="AI85" i="3"/>
  <c r="AH85" i="3"/>
  <c r="AF85" i="3"/>
  <c r="AE85" i="3"/>
  <c r="AD85" i="3"/>
  <c r="AC85" i="3"/>
  <c r="AB85" i="3"/>
  <c r="AA85" i="3"/>
  <c r="Z85" i="3"/>
  <c r="Y85" i="3"/>
  <c r="W85" i="3"/>
  <c r="V85" i="3"/>
  <c r="U85" i="3"/>
  <c r="T85" i="3"/>
  <c r="S85" i="3"/>
  <c r="R85" i="3"/>
  <c r="Q85" i="3"/>
  <c r="P85" i="3"/>
  <c r="O85" i="3"/>
  <c r="N85" i="3"/>
  <c r="M85" i="3"/>
  <c r="L85" i="3"/>
  <c r="J85" i="3"/>
  <c r="I85" i="3"/>
  <c r="AI84" i="3"/>
  <c r="AH84" i="3"/>
  <c r="AF84" i="3"/>
  <c r="AE84" i="3"/>
  <c r="AD84" i="3"/>
  <c r="AC84" i="3"/>
  <c r="AB84" i="3"/>
  <c r="AA84" i="3"/>
  <c r="Z84" i="3"/>
  <c r="Y84" i="3"/>
  <c r="W84" i="3"/>
  <c r="V84" i="3"/>
  <c r="U84" i="3"/>
  <c r="T84" i="3"/>
  <c r="S84" i="3"/>
  <c r="R84" i="3"/>
  <c r="Q84" i="3"/>
  <c r="P84" i="3"/>
  <c r="O84" i="3"/>
  <c r="N84" i="3"/>
  <c r="M84" i="3"/>
  <c r="L84" i="3"/>
  <c r="J84" i="3"/>
  <c r="I84" i="3"/>
  <c r="AI83" i="3"/>
  <c r="AH83" i="3"/>
  <c r="AF83" i="3"/>
  <c r="AE83" i="3"/>
  <c r="AD83" i="3"/>
  <c r="AC83" i="3"/>
  <c r="AB83" i="3"/>
  <c r="AA83" i="3"/>
  <c r="Z83" i="3"/>
  <c r="Y83" i="3"/>
  <c r="W83" i="3"/>
  <c r="V83" i="3"/>
  <c r="U83" i="3"/>
  <c r="T83" i="3"/>
  <c r="S83" i="3"/>
  <c r="R83" i="3"/>
  <c r="Q83" i="3"/>
  <c r="P83" i="3"/>
  <c r="O83" i="3"/>
  <c r="N83" i="3"/>
  <c r="M83" i="3"/>
  <c r="L83" i="3"/>
  <c r="J83" i="3"/>
  <c r="I83" i="3"/>
  <c r="AI82" i="3"/>
  <c r="AH82" i="3"/>
  <c r="AF82" i="3"/>
  <c r="AE82" i="3"/>
  <c r="AD82" i="3"/>
  <c r="AC82" i="3"/>
  <c r="AB82" i="3"/>
  <c r="AA82" i="3"/>
  <c r="Z82" i="3"/>
  <c r="Y82" i="3"/>
  <c r="W82" i="3"/>
  <c r="V82" i="3"/>
  <c r="U82" i="3"/>
  <c r="T82" i="3"/>
  <c r="S82" i="3"/>
  <c r="R82" i="3"/>
  <c r="Q82" i="3"/>
  <c r="P82" i="3"/>
  <c r="O82" i="3"/>
  <c r="N82" i="3"/>
  <c r="M82" i="3"/>
  <c r="L82" i="3"/>
  <c r="J82" i="3"/>
  <c r="I82" i="3"/>
  <c r="AI81" i="3"/>
  <c r="AH81" i="3"/>
  <c r="AF81" i="3"/>
  <c r="AE81" i="3"/>
  <c r="AD81" i="3"/>
  <c r="AC81" i="3"/>
  <c r="AB81" i="3"/>
  <c r="AA81" i="3"/>
  <c r="Z81" i="3"/>
  <c r="Y81" i="3"/>
  <c r="W81" i="3"/>
  <c r="V81" i="3"/>
  <c r="U81" i="3"/>
  <c r="T81" i="3"/>
  <c r="S81" i="3"/>
  <c r="R81" i="3"/>
  <c r="Q81" i="3"/>
  <c r="P81" i="3"/>
  <c r="O81" i="3"/>
  <c r="N81" i="3"/>
  <c r="M81" i="3"/>
  <c r="L81" i="3"/>
  <c r="J81" i="3"/>
  <c r="I81" i="3"/>
  <c r="AI80" i="3"/>
  <c r="AH80" i="3"/>
  <c r="AF80" i="3"/>
  <c r="AE80" i="3"/>
  <c r="AD80" i="3"/>
  <c r="AC80" i="3"/>
  <c r="AB80" i="3"/>
  <c r="AA80" i="3"/>
  <c r="Z80" i="3"/>
  <c r="Y80" i="3"/>
  <c r="W80" i="3"/>
  <c r="V80" i="3"/>
  <c r="U80" i="3"/>
  <c r="T80" i="3"/>
  <c r="S80" i="3"/>
  <c r="R80" i="3"/>
  <c r="Q80" i="3"/>
  <c r="P80" i="3"/>
  <c r="O80" i="3"/>
  <c r="N80" i="3"/>
  <c r="M80" i="3"/>
  <c r="L80" i="3"/>
  <c r="J80" i="3"/>
  <c r="I80" i="3"/>
  <c r="AI79" i="3"/>
  <c r="AH79" i="3"/>
  <c r="AF79" i="3"/>
  <c r="AE79" i="3"/>
  <c r="AD79" i="3"/>
  <c r="AC79" i="3"/>
  <c r="AB79" i="3"/>
  <c r="AA79" i="3"/>
  <c r="Z79" i="3"/>
  <c r="Y79" i="3"/>
  <c r="W79" i="3"/>
  <c r="V79" i="3"/>
  <c r="U79" i="3"/>
  <c r="T79" i="3"/>
  <c r="S79" i="3"/>
  <c r="R79" i="3"/>
  <c r="Q79" i="3"/>
  <c r="P79" i="3"/>
  <c r="O79" i="3"/>
  <c r="N79" i="3"/>
  <c r="M79" i="3"/>
  <c r="L79" i="3"/>
  <c r="J79" i="3"/>
  <c r="I79" i="3"/>
  <c r="AI78" i="3"/>
  <c r="AH78" i="3"/>
  <c r="AF78" i="3"/>
  <c r="AE78" i="3"/>
  <c r="AD78" i="3"/>
  <c r="AC78" i="3"/>
  <c r="AB78" i="3"/>
  <c r="AA78" i="3"/>
  <c r="Z78" i="3"/>
  <c r="Y78" i="3"/>
  <c r="W78" i="3"/>
  <c r="V78" i="3"/>
  <c r="U78" i="3"/>
  <c r="T78" i="3"/>
  <c r="S78" i="3"/>
  <c r="R78" i="3"/>
  <c r="Q78" i="3"/>
  <c r="P78" i="3"/>
  <c r="O78" i="3"/>
  <c r="N78" i="3"/>
  <c r="M78" i="3"/>
  <c r="L78" i="3"/>
  <c r="J78" i="3"/>
  <c r="I78" i="3"/>
  <c r="AI77" i="3"/>
  <c r="AH77" i="3"/>
  <c r="AF77" i="3"/>
  <c r="AE77" i="3"/>
  <c r="AD77" i="3"/>
  <c r="AC77" i="3"/>
  <c r="AB77" i="3"/>
  <c r="AA77" i="3"/>
  <c r="Z77" i="3"/>
  <c r="Y77" i="3"/>
  <c r="W77" i="3"/>
  <c r="V77" i="3"/>
  <c r="U77" i="3"/>
  <c r="T77" i="3"/>
  <c r="S77" i="3"/>
  <c r="R77" i="3"/>
  <c r="Q77" i="3"/>
  <c r="P77" i="3"/>
  <c r="O77" i="3"/>
  <c r="N77" i="3"/>
  <c r="M77" i="3"/>
  <c r="L77" i="3"/>
  <c r="J77" i="3"/>
  <c r="I77" i="3"/>
  <c r="AI76" i="3"/>
  <c r="AH76" i="3"/>
  <c r="AF76" i="3"/>
  <c r="AE76" i="3"/>
  <c r="AD76" i="3"/>
  <c r="AC76" i="3"/>
  <c r="AB76" i="3"/>
  <c r="AA76" i="3"/>
  <c r="Z76" i="3"/>
  <c r="Y76" i="3"/>
  <c r="W76" i="3"/>
  <c r="V76" i="3"/>
  <c r="U76" i="3"/>
  <c r="T76" i="3"/>
  <c r="S76" i="3"/>
  <c r="R76" i="3"/>
  <c r="Q76" i="3"/>
  <c r="P76" i="3"/>
  <c r="O76" i="3"/>
  <c r="N76" i="3"/>
  <c r="M76" i="3"/>
  <c r="L76" i="3"/>
  <c r="J76" i="3"/>
  <c r="I76" i="3"/>
  <c r="AI75" i="3"/>
  <c r="AH75" i="3"/>
  <c r="AF75" i="3"/>
  <c r="AE75" i="3"/>
  <c r="AD75" i="3"/>
  <c r="AC75" i="3"/>
  <c r="AB75" i="3"/>
  <c r="AA75" i="3"/>
  <c r="Z75" i="3"/>
  <c r="Y75" i="3"/>
  <c r="W75" i="3"/>
  <c r="V75" i="3"/>
  <c r="U75" i="3"/>
  <c r="T75" i="3"/>
  <c r="S75" i="3"/>
  <c r="R75" i="3"/>
  <c r="Q75" i="3"/>
  <c r="P75" i="3"/>
  <c r="O75" i="3"/>
  <c r="N75" i="3"/>
  <c r="M75" i="3"/>
  <c r="L75" i="3"/>
  <c r="J75" i="3"/>
  <c r="I75" i="3"/>
  <c r="AI74" i="3"/>
  <c r="AH74" i="3"/>
  <c r="AF74" i="3"/>
  <c r="AE74" i="3"/>
  <c r="AD74" i="3"/>
  <c r="AC74" i="3"/>
  <c r="AB74" i="3"/>
  <c r="AA74" i="3"/>
  <c r="Z74" i="3"/>
  <c r="Y74" i="3"/>
  <c r="W74" i="3"/>
  <c r="V74" i="3"/>
  <c r="U74" i="3"/>
  <c r="T74" i="3"/>
  <c r="S74" i="3"/>
  <c r="R74" i="3"/>
  <c r="Q74" i="3"/>
  <c r="P74" i="3"/>
  <c r="O74" i="3"/>
  <c r="N74" i="3"/>
  <c r="M74" i="3"/>
  <c r="L74" i="3"/>
  <c r="J74" i="3"/>
  <c r="I74" i="3"/>
  <c r="AI73" i="3"/>
  <c r="AH73" i="3"/>
  <c r="AF73" i="3"/>
  <c r="AE73" i="3"/>
  <c r="AD73" i="3"/>
  <c r="AC73" i="3"/>
  <c r="AB73" i="3"/>
  <c r="AA73" i="3"/>
  <c r="Z73" i="3"/>
  <c r="Y73" i="3"/>
  <c r="W73" i="3"/>
  <c r="V73" i="3"/>
  <c r="U73" i="3"/>
  <c r="T73" i="3"/>
  <c r="S73" i="3"/>
  <c r="R73" i="3"/>
  <c r="Q73" i="3"/>
  <c r="P73" i="3"/>
  <c r="O73" i="3"/>
  <c r="N73" i="3"/>
  <c r="M73" i="3"/>
  <c r="L73" i="3"/>
  <c r="J73" i="3"/>
  <c r="I73" i="3"/>
  <c r="AI72" i="3"/>
  <c r="AH72" i="3"/>
  <c r="AF72" i="3"/>
  <c r="AE72" i="3"/>
  <c r="AD72" i="3"/>
  <c r="AC72" i="3"/>
  <c r="AB72" i="3"/>
  <c r="AA72" i="3"/>
  <c r="Z72" i="3"/>
  <c r="Y72" i="3"/>
  <c r="W72" i="3"/>
  <c r="V72" i="3"/>
  <c r="U72" i="3"/>
  <c r="T72" i="3"/>
  <c r="S72" i="3"/>
  <c r="R72" i="3"/>
  <c r="Q72" i="3"/>
  <c r="P72" i="3"/>
  <c r="O72" i="3"/>
  <c r="N72" i="3"/>
  <c r="M72" i="3"/>
  <c r="L72" i="3"/>
  <c r="J72" i="3"/>
  <c r="I72" i="3"/>
  <c r="AI71" i="3"/>
  <c r="AH71" i="3"/>
  <c r="AF71" i="3"/>
  <c r="AE71" i="3"/>
  <c r="AD71" i="3"/>
  <c r="AC71" i="3"/>
  <c r="AB71" i="3"/>
  <c r="AA71" i="3"/>
  <c r="Z71" i="3"/>
  <c r="Y71" i="3"/>
  <c r="W71" i="3"/>
  <c r="V71" i="3"/>
  <c r="U71" i="3"/>
  <c r="T71" i="3"/>
  <c r="S71" i="3"/>
  <c r="R71" i="3"/>
  <c r="Q71" i="3"/>
  <c r="P71" i="3"/>
  <c r="O71" i="3"/>
  <c r="N71" i="3"/>
  <c r="M71" i="3"/>
  <c r="L71" i="3"/>
  <c r="J71" i="3"/>
  <c r="I71" i="3"/>
  <c r="AI70" i="3"/>
  <c r="AH70" i="3"/>
  <c r="AF70" i="3"/>
  <c r="AE70" i="3"/>
  <c r="AD70" i="3"/>
  <c r="AC70" i="3"/>
  <c r="AB70" i="3"/>
  <c r="AA70" i="3"/>
  <c r="Z70" i="3"/>
  <c r="Y70" i="3"/>
  <c r="W70" i="3"/>
  <c r="V70" i="3"/>
  <c r="U70" i="3"/>
  <c r="T70" i="3"/>
  <c r="S70" i="3"/>
  <c r="R70" i="3"/>
  <c r="Q70" i="3"/>
  <c r="P70" i="3"/>
  <c r="O70" i="3"/>
  <c r="N70" i="3"/>
  <c r="M70" i="3"/>
  <c r="L70" i="3"/>
  <c r="J70" i="3"/>
  <c r="I70" i="3"/>
  <c r="AI69" i="3"/>
  <c r="AH69" i="3"/>
  <c r="AF69" i="3"/>
  <c r="AE69" i="3"/>
  <c r="AD69" i="3"/>
  <c r="AC69" i="3"/>
  <c r="AB69" i="3"/>
  <c r="AA69" i="3"/>
  <c r="Z69" i="3"/>
  <c r="Y69" i="3"/>
  <c r="W69" i="3"/>
  <c r="V69" i="3"/>
  <c r="U69" i="3"/>
  <c r="T69" i="3"/>
  <c r="S69" i="3"/>
  <c r="R69" i="3"/>
  <c r="Q69" i="3"/>
  <c r="P69" i="3"/>
  <c r="O69" i="3"/>
  <c r="N69" i="3"/>
  <c r="M69" i="3"/>
  <c r="L69" i="3"/>
  <c r="J69" i="3"/>
  <c r="I69" i="3"/>
  <c r="AI68" i="3"/>
  <c r="AH68" i="3"/>
  <c r="AF68" i="3"/>
  <c r="AE68" i="3"/>
  <c r="AD68" i="3"/>
  <c r="AC68" i="3"/>
  <c r="AB68" i="3"/>
  <c r="AA68" i="3"/>
  <c r="Z68" i="3"/>
  <c r="Y68" i="3"/>
  <c r="W68" i="3"/>
  <c r="V68" i="3"/>
  <c r="U68" i="3"/>
  <c r="T68" i="3"/>
  <c r="S68" i="3"/>
  <c r="R68" i="3"/>
  <c r="Q68" i="3"/>
  <c r="P68" i="3"/>
  <c r="O68" i="3"/>
  <c r="N68" i="3"/>
  <c r="M68" i="3"/>
  <c r="L68" i="3"/>
  <c r="J68" i="3"/>
  <c r="I68" i="3"/>
  <c r="AI67" i="3"/>
  <c r="AH67" i="3"/>
  <c r="AF67" i="3"/>
  <c r="AE67" i="3"/>
  <c r="AD67" i="3"/>
  <c r="AC67" i="3"/>
  <c r="AB67" i="3"/>
  <c r="AA67" i="3"/>
  <c r="Z67" i="3"/>
  <c r="Y67" i="3"/>
  <c r="W67" i="3"/>
  <c r="V67" i="3"/>
  <c r="U67" i="3"/>
  <c r="T67" i="3"/>
  <c r="S67" i="3"/>
  <c r="R67" i="3"/>
  <c r="Q67" i="3"/>
  <c r="P67" i="3"/>
  <c r="O67" i="3"/>
  <c r="N67" i="3"/>
  <c r="M67" i="3"/>
  <c r="L67" i="3"/>
  <c r="J67" i="3"/>
  <c r="I67" i="3"/>
  <c r="AI66" i="3"/>
  <c r="AH66" i="3"/>
  <c r="AF66" i="3"/>
  <c r="AE66" i="3"/>
  <c r="AD66" i="3"/>
  <c r="AC66" i="3"/>
  <c r="AB66" i="3"/>
  <c r="AA66" i="3"/>
  <c r="Z66" i="3"/>
  <c r="Y66" i="3"/>
  <c r="W66" i="3"/>
  <c r="V66" i="3"/>
  <c r="U66" i="3"/>
  <c r="T66" i="3"/>
  <c r="S66" i="3"/>
  <c r="R66" i="3"/>
  <c r="Q66" i="3"/>
  <c r="P66" i="3"/>
  <c r="O66" i="3"/>
  <c r="N66" i="3"/>
  <c r="M66" i="3"/>
  <c r="L66" i="3"/>
  <c r="J66" i="3"/>
  <c r="I66" i="3"/>
  <c r="AI65" i="3"/>
  <c r="AH65" i="3"/>
  <c r="AF65" i="3"/>
  <c r="AE65" i="3"/>
  <c r="AD65" i="3"/>
  <c r="AC65" i="3"/>
  <c r="AB65" i="3"/>
  <c r="AA65" i="3"/>
  <c r="Z65" i="3"/>
  <c r="Y65" i="3"/>
  <c r="W65" i="3"/>
  <c r="V65" i="3"/>
  <c r="U65" i="3"/>
  <c r="T65" i="3"/>
  <c r="S65" i="3"/>
  <c r="R65" i="3"/>
  <c r="Q65" i="3"/>
  <c r="P65" i="3"/>
  <c r="O65" i="3"/>
  <c r="N65" i="3"/>
  <c r="M65" i="3"/>
  <c r="L65" i="3"/>
  <c r="J65" i="3"/>
  <c r="I65" i="3"/>
  <c r="AI64" i="3"/>
  <c r="AH64" i="3"/>
  <c r="AF64" i="3"/>
  <c r="AE64" i="3"/>
  <c r="AD64" i="3"/>
  <c r="AC64" i="3"/>
  <c r="AB64" i="3"/>
  <c r="AA64" i="3"/>
  <c r="Z64" i="3"/>
  <c r="Y64" i="3"/>
  <c r="W64" i="3"/>
  <c r="V64" i="3"/>
  <c r="U64" i="3"/>
  <c r="T64" i="3"/>
  <c r="S64" i="3"/>
  <c r="R64" i="3"/>
  <c r="Q64" i="3"/>
  <c r="P64" i="3"/>
  <c r="O64" i="3"/>
  <c r="N64" i="3"/>
  <c r="M64" i="3"/>
  <c r="L64" i="3"/>
  <c r="J64" i="3"/>
  <c r="I64" i="3"/>
  <c r="AI63" i="3"/>
  <c r="AH63" i="3"/>
  <c r="AF63" i="3"/>
  <c r="AE63" i="3"/>
  <c r="AD63" i="3"/>
  <c r="AC63" i="3"/>
  <c r="AB63" i="3"/>
  <c r="AA63" i="3"/>
  <c r="Z63" i="3"/>
  <c r="Y63" i="3"/>
  <c r="W63" i="3"/>
  <c r="V63" i="3"/>
  <c r="U63" i="3"/>
  <c r="T63" i="3"/>
  <c r="S63" i="3"/>
  <c r="R63" i="3"/>
  <c r="Q63" i="3"/>
  <c r="P63" i="3"/>
  <c r="O63" i="3"/>
  <c r="N63" i="3"/>
  <c r="M63" i="3"/>
  <c r="L63" i="3"/>
  <c r="J63" i="3"/>
  <c r="I63" i="3"/>
  <c r="AI62" i="3"/>
  <c r="AH62" i="3"/>
  <c r="AF62" i="3"/>
  <c r="AE62" i="3"/>
  <c r="AD62" i="3"/>
  <c r="AC62" i="3"/>
  <c r="AB62" i="3"/>
  <c r="AA62" i="3"/>
  <c r="Z62" i="3"/>
  <c r="Y62" i="3"/>
  <c r="W62" i="3"/>
  <c r="V62" i="3"/>
  <c r="U62" i="3"/>
  <c r="T62" i="3"/>
  <c r="S62" i="3"/>
  <c r="R62" i="3"/>
  <c r="Q62" i="3"/>
  <c r="P62" i="3"/>
  <c r="O62" i="3"/>
  <c r="N62" i="3"/>
  <c r="M62" i="3"/>
  <c r="L62" i="3"/>
  <c r="J62" i="3"/>
  <c r="I62" i="3"/>
  <c r="AI61" i="3"/>
  <c r="AH61" i="3"/>
  <c r="AF61" i="3"/>
  <c r="AE61" i="3"/>
  <c r="AD61" i="3"/>
  <c r="AC61" i="3"/>
  <c r="AB61" i="3"/>
  <c r="AA61" i="3"/>
  <c r="Z61" i="3"/>
  <c r="Y61" i="3"/>
  <c r="W61" i="3"/>
  <c r="V61" i="3"/>
  <c r="U61" i="3"/>
  <c r="T61" i="3"/>
  <c r="S61" i="3"/>
  <c r="R61" i="3"/>
  <c r="Q61" i="3"/>
  <c r="P61" i="3"/>
  <c r="O61" i="3"/>
  <c r="N61" i="3"/>
  <c r="M61" i="3"/>
  <c r="L61" i="3"/>
  <c r="J61" i="3"/>
  <c r="I61" i="3"/>
  <c r="AI60" i="3"/>
  <c r="AH60" i="3"/>
  <c r="AF60" i="3"/>
  <c r="AE60" i="3"/>
  <c r="AD60" i="3"/>
  <c r="AC60" i="3"/>
  <c r="AB60" i="3"/>
  <c r="AA60" i="3"/>
  <c r="Z60" i="3"/>
  <c r="Y60" i="3"/>
  <c r="W60" i="3"/>
  <c r="V60" i="3"/>
  <c r="U60" i="3"/>
  <c r="T60" i="3"/>
  <c r="S60" i="3"/>
  <c r="R60" i="3"/>
  <c r="Q60" i="3"/>
  <c r="P60" i="3"/>
  <c r="O60" i="3"/>
  <c r="N60" i="3"/>
  <c r="M60" i="3"/>
  <c r="L60" i="3"/>
  <c r="J60" i="3"/>
  <c r="I60" i="3"/>
  <c r="AI59" i="3"/>
  <c r="AH59" i="3"/>
  <c r="AF59" i="3"/>
  <c r="AE59" i="3"/>
  <c r="AD59" i="3"/>
  <c r="AC59" i="3"/>
  <c r="AB59" i="3"/>
  <c r="AA59" i="3"/>
  <c r="Z59" i="3"/>
  <c r="Y59" i="3"/>
  <c r="W59" i="3"/>
  <c r="V59" i="3"/>
  <c r="U59" i="3"/>
  <c r="T59" i="3"/>
  <c r="S59" i="3"/>
  <c r="R59" i="3"/>
  <c r="Q59" i="3"/>
  <c r="P59" i="3"/>
  <c r="O59" i="3"/>
  <c r="N59" i="3"/>
  <c r="M59" i="3"/>
  <c r="L59" i="3"/>
  <c r="J59" i="3"/>
  <c r="I59" i="3"/>
  <c r="AI58" i="3"/>
  <c r="AH58" i="3"/>
  <c r="AF58" i="3"/>
  <c r="AE58" i="3"/>
  <c r="AD58" i="3"/>
  <c r="AC58" i="3"/>
  <c r="AB58" i="3"/>
  <c r="AA58" i="3"/>
  <c r="Z58" i="3"/>
  <c r="Y58" i="3"/>
  <c r="W58" i="3"/>
  <c r="V58" i="3"/>
  <c r="U58" i="3"/>
  <c r="T58" i="3"/>
  <c r="S58" i="3"/>
  <c r="R58" i="3"/>
  <c r="Q58" i="3"/>
  <c r="P58" i="3"/>
  <c r="O58" i="3"/>
  <c r="N58" i="3"/>
  <c r="M58" i="3"/>
  <c r="L58" i="3"/>
  <c r="J58" i="3"/>
  <c r="I58" i="3"/>
  <c r="AI57" i="3"/>
  <c r="AH57" i="3"/>
  <c r="AF57" i="3"/>
  <c r="AE57" i="3"/>
  <c r="AD57" i="3"/>
  <c r="AC57" i="3"/>
  <c r="AB57" i="3"/>
  <c r="AA57" i="3"/>
  <c r="Z57" i="3"/>
  <c r="Y57" i="3"/>
  <c r="W57" i="3"/>
  <c r="V57" i="3"/>
  <c r="U57" i="3"/>
  <c r="T57" i="3"/>
  <c r="S57" i="3"/>
  <c r="R57" i="3"/>
  <c r="Q57" i="3"/>
  <c r="P57" i="3"/>
  <c r="O57" i="3"/>
  <c r="N57" i="3"/>
  <c r="M57" i="3"/>
  <c r="L57" i="3"/>
  <c r="J57" i="3"/>
  <c r="I57" i="3"/>
  <c r="AI56" i="3"/>
  <c r="AH56" i="3"/>
  <c r="AF56" i="3"/>
  <c r="AE56" i="3"/>
  <c r="AD56" i="3"/>
  <c r="AC56" i="3"/>
  <c r="AB56" i="3"/>
  <c r="AA56" i="3"/>
  <c r="Z56" i="3"/>
  <c r="Y56" i="3"/>
  <c r="W56" i="3"/>
  <c r="V56" i="3"/>
  <c r="U56" i="3"/>
  <c r="T56" i="3"/>
  <c r="S56" i="3"/>
  <c r="R56" i="3"/>
  <c r="Q56" i="3"/>
  <c r="P56" i="3"/>
  <c r="O56" i="3"/>
  <c r="N56" i="3"/>
  <c r="M56" i="3"/>
  <c r="L56" i="3"/>
  <c r="J56" i="3"/>
  <c r="I56" i="3"/>
  <c r="AI55" i="3"/>
  <c r="AH55" i="3"/>
  <c r="AF55" i="3"/>
  <c r="AE55" i="3"/>
  <c r="AD55" i="3"/>
  <c r="AC55" i="3"/>
  <c r="AB55" i="3"/>
  <c r="AA55" i="3"/>
  <c r="Z55" i="3"/>
  <c r="Y55" i="3"/>
  <c r="W55" i="3"/>
  <c r="V55" i="3"/>
  <c r="U55" i="3"/>
  <c r="T55" i="3"/>
  <c r="S55" i="3"/>
  <c r="R55" i="3"/>
  <c r="Q55" i="3"/>
  <c r="P55" i="3"/>
  <c r="O55" i="3"/>
  <c r="N55" i="3"/>
  <c r="M55" i="3"/>
  <c r="L55" i="3"/>
  <c r="J55" i="3"/>
  <c r="I55" i="3"/>
  <c r="AI54" i="3"/>
  <c r="AH54" i="3"/>
  <c r="AF54" i="3"/>
  <c r="AE54" i="3"/>
  <c r="AD54" i="3"/>
  <c r="AC54" i="3"/>
  <c r="AB54" i="3"/>
  <c r="AA54" i="3"/>
  <c r="Z54" i="3"/>
  <c r="Y54" i="3"/>
  <c r="W54" i="3"/>
  <c r="V54" i="3"/>
  <c r="U54" i="3"/>
  <c r="T54" i="3"/>
  <c r="S54" i="3"/>
  <c r="R54" i="3"/>
  <c r="Q54" i="3"/>
  <c r="P54" i="3"/>
  <c r="O54" i="3"/>
  <c r="N54" i="3"/>
  <c r="M54" i="3"/>
  <c r="L54" i="3"/>
  <c r="J54" i="3"/>
  <c r="I54" i="3"/>
  <c r="AI53" i="3"/>
  <c r="AH53" i="3"/>
  <c r="AF53" i="3"/>
  <c r="AE53" i="3"/>
  <c r="AD53" i="3"/>
  <c r="AC53" i="3"/>
  <c r="AB53" i="3"/>
  <c r="AA53" i="3"/>
  <c r="Z53" i="3"/>
  <c r="Y53" i="3"/>
  <c r="W53" i="3"/>
  <c r="V53" i="3"/>
  <c r="U53" i="3"/>
  <c r="T53" i="3"/>
  <c r="S53" i="3"/>
  <c r="R53" i="3"/>
  <c r="Q53" i="3"/>
  <c r="P53" i="3"/>
  <c r="O53" i="3"/>
  <c r="N53" i="3"/>
  <c r="M53" i="3"/>
  <c r="L53" i="3"/>
  <c r="J53" i="3"/>
  <c r="I53" i="3"/>
  <c r="AI52" i="3"/>
  <c r="AH52" i="3"/>
  <c r="AF52" i="3"/>
  <c r="AE52" i="3"/>
  <c r="AD52" i="3"/>
  <c r="AC52" i="3"/>
  <c r="AB52" i="3"/>
  <c r="AA52" i="3"/>
  <c r="Z52" i="3"/>
  <c r="Y52" i="3"/>
  <c r="W52" i="3"/>
  <c r="V52" i="3"/>
  <c r="U52" i="3"/>
  <c r="T52" i="3"/>
  <c r="S52" i="3"/>
  <c r="R52" i="3"/>
  <c r="Q52" i="3"/>
  <c r="P52" i="3"/>
  <c r="O52" i="3"/>
  <c r="N52" i="3"/>
  <c r="M52" i="3"/>
  <c r="L52" i="3"/>
  <c r="J52" i="3"/>
  <c r="I52" i="3"/>
  <c r="AI51" i="3"/>
  <c r="AH51" i="3"/>
  <c r="AF51" i="3"/>
  <c r="AE51" i="3"/>
  <c r="AD51" i="3"/>
  <c r="AC51" i="3"/>
  <c r="AB51" i="3"/>
  <c r="AA51" i="3"/>
  <c r="Z51" i="3"/>
  <c r="Y51" i="3"/>
  <c r="W51" i="3"/>
  <c r="V51" i="3"/>
  <c r="U51" i="3"/>
  <c r="T51" i="3"/>
  <c r="S51" i="3"/>
  <c r="R51" i="3"/>
  <c r="Q51" i="3"/>
  <c r="P51" i="3"/>
  <c r="O51" i="3"/>
  <c r="N51" i="3"/>
  <c r="M51" i="3"/>
  <c r="L51" i="3"/>
  <c r="J51" i="3"/>
  <c r="I51" i="3"/>
  <c r="AI50" i="3"/>
  <c r="AH50" i="3"/>
  <c r="AF50" i="3"/>
  <c r="AE50" i="3"/>
  <c r="AD50" i="3"/>
  <c r="AC50" i="3"/>
  <c r="AB50" i="3"/>
  <c r="AA50" i="3"/>
  <c r="Z50" i="3"/>
  <c r="Y50" i="3"/>
  <c r="W50" i="3"/>
  <c r="V50" i="3"/>
  <c r="U50" i="3"/>
  <c r="T50" i="3"/>
  <c r="S50" i="3"/>
  <c r="R50" i="3"/>
  <c r="Q50" i="3"/>
  <c r="P50" i="3"/>
  <c r="O50" i="3"/>
  <c r="N50" i="3"/>
  <c r="M50" i="3"/>
  <c r="L50" i="3"/>
  <c r="J50" i="3"/>
  <c r="I50" i="3"/>
  <c r="AI49" i="3"/>
  <c r="AH49" i="3"/>
  <c r="AF49" i="3"/>
  <c r="AE49" i="3"/>
  <c r="AD49" i="3"/>
  <c r="AC49" i="3"/>
  <c r="AB49" i="3"/>
  <c r="AA49" i="3"/>
  <c r="Z49" i="3"/>
  <c r="Y49" i="3"/>
  <c r="W49" i="3"/>
  <c r="V49" i="3"/>
  <c r="U49" i="3"/>
  <c r="T49" i="3"/>
  <c r="S49" i="3"/>
  <c r="R49" i="3"/>
  <c r="Q49" i="3"/>
  <c r="P49" i="3"/>
  <c r="O49" i="3"/>
  <c r="N49" i="3"/>
  <c r="M49" i="3"/>
  <c r="L49" i="3"/>
  <c r="J49" i="3"/>
  <c r="I49" i="3"/>
  <c r="AI48" i="3"/>
  <c r="AH48" i="3"/>
  <c r="AF48" i="3"/>
  <c r="AE48" i="3"/>
  <c r="AD48" i="3"/>
  <c r="AC48" i="3"/>
  <c r="AB48" i="3"/>
  <c r="AA48" i="3"/>
  <c r="Z48" i="3"/>
  <c r="Y48" i="3"/>
  <c r="W48" i="3"/>
  <c r="V48" i="3"/>
  <c r="U48" i="3"/>
  <c r="T48" i="3"/>
  <c r="S48" i="3"/>
  <c r="R48" i="3"/>
  <c r="Q48" i="3"/>
  <c r="P48" i="3"/>
  <c r="O48" i="3"/>
  <c r="N48" i="3"/>
  <c r="M48" i="3"/>
  <c r="L48" i="3"/>
  <c r="J48" i="3"/>
  <c r="I48" i="3"/>
  <c r="AI47" i="3"/>
  <c r="AH47" i="3"/>
  <c r="AF47" i="3"/>
  <c r="AE47" i="3"/>
  <c r="AD47" i="3"/>
  <c r="AC47" i="3"/>
  <c r="AB47" i="3"/>
  <c r="AA47" i="3"/>
  <c r="Z47" i="3"/>
  <c r="Y47" i="3"/>
  <c r="W47" i="3"/>
  <c r="V47" i="3"/>
  <c r="U47" i="3"/>
  <c r="T47" i="3"/>
  <c r="S47" i="3"/>
  <c r="R47" i="3"/>
  <c r="Q47" i="3"/>
  <c r="P47" i="3"/>
  <c r="O47" i="3"/>
  <c r="N47" i="3"/>
  <c r="M47" i="3"/>
  <c r="L47" i="3"/>
  <c r="J47" i="3"/>
  <c r="I47" i="3"/>
  <c r="AI46" i="3"/>
  <c r="AH46" i="3"/>
  <c r="AF46" i="3"/>
  <c r="AE46" i="3"/>
  <c r="AD46" i="3"/>
  <c r="AC46" i="3"/>
  <c r="AB46" i="3"/>
  <c r="AA46" i="3"/>
  <c r="Z46" i="3"/>
  <c r="Y46" i="3"/>
  <c r="W46" i="3"/>
  <c r="V46" i="3"/>
  <c r="U46" i="3"/>
  <c r="T46" i="3"/>
  <c r="S46" i="3"/>
  <c r="R46" i="3"/>
  <c r="Q46" i="3"/>
  <c r="P46" i="3"/>
  <c r="O46" i="3"/>
  <c r="N46" i="3"/>
  <c r="M46" i="3"/>
  <c r="L46" i="3"/>
  <c r="J46" i="3"/>
  <c r="I46" i="3"/>
  <c r="AI45" i="3"/>
  <c r="AH45" i="3"/>
  <c r="AF45" i="3"/>
  <c r="AE45" i="3"/>
  <c r="AD45" i="3"/>
  <c r="AC45" i="3"/>
  <c r="AB45" i="3"/>
  <c r="AA45" i="3"/>
  <c r="Z45" i="3"/>
  <c r="Y45" i="3"/>
  <c r="W45" i="3"/>
  <c r="V45" i="3"/>
  <c r="U45" i="3"/>
  <c r="T45" i="3"/>
  <c r="S45" i="3"/>
  <c r="R45" i="3"/>
  <c r="Q45" i="3"/>
  <c r="P45" i="3"/>
  <c r="O45" i="3"/>
  <c r="N45" i="3"/>
  <c r="M45" i="3"/>
  <c r="L45" i="3"/>
  <c r="J45" i="3"/>
  <c r="I45" i="3"/>
  <c r="AI44" i="3"/>
  <c r="AH44" i="3"/>
  <c r="AF44" i="3"/>
  <c r="AE44" i="3"/>
  <c r="AD44" i="3"/>
  <c r="AC44" i="3"/>
  <c r="AB44" i="3"/>
  <c r="AA44" i="3"/>
  <c r="Z44" i="3"/>
  <c r="Y44" i="3"/>
  <c r="W44" i="3"/>
  <c r="V44" i="3"/>
  <c r="U44" i="3"/>
  <c r="T44" i="3"/>
  <c r="S44" i="3"/>
  <c r="R44" i="3"/>
  <c r="Q44" i="3"/>
  <c r="P44" i="3"/>
  <c r="O44" i="3"/>
  <c r="N44" i="3"/>
  <c r="M44" i="3"/>
  <c r="L44" i="3"/>
  <c r="J44" i="3"/>
  <c r="I44" i="3"/>
  <c r="AI43" i="3"/>
  <c r="AH43" i="3"/>
  <c r="AF43" i="3"/>
  <c r="AE43" i="3"/>
  <c r="AD43" i="3"/>
  <c r="AC43" i="3"/>
  <c r="AB43" i="3"/>
  <c r="AA43" i="3"/>
  <c r="Z43" i="3"/>
  <c r="Y43" i="3"/>
  <c r="W43" i="3"/>
  <c r="V43" i="3"/>
  <c r="U43" i="3"/>
  <c r="T43" i="3"/>
  <c r="S43" i="3"/>
  <c r="R43" i="3"/>
  <c r="Q43" i="3"/>
  <c r="P43" i="3"/>
  <c r="O43" i="3"/>
  <c r="N43" i="3"/>
  <c r="M43" i="3"/>
  <c r="L43" i="3"/>
  <c r="J43" i="3"/>
  <c r="I43" i="3"/>
  <c r="AI42" i="3"/>
  <c r="AH42" i="3"/>
  <c r="AF42" i="3"/>
  <c r="AE42" i="3"/>
  <c r="AD42" i="3"/>
  <c r="AC42" i="3"/>
  <c r="AB42" i="3"/>
  <c r="AA42" i="3"/>
  <c r="Z42" i="3"/>
  <c r="Y42" i="3"/>
  <c r="W42" i="3"/>
  <c r="V42" i="3"/>
  <c r="U42" i="3"/>
  <c r="T42" i="3"/>
  <c r="S42" i="3"/>
  <c r="R42" i="3"/>
  <c r="Q42" i="3"/>
  <c r="P42" i="3"/>
  <c r="O42" i="3"/>
  <c r="N42" i="3"/>
  <c r="M42" i="3"/>
  <c r="L42" i="3"/>
  <c r="J42" i="3"/>
  <c r="I42" i="3"/>
  <c r="AI41" i="3"/>
  <c r="AH41" i="3"/>
  <c r="AF41" i="3"/>
  <c r="AE41" i="3"/>
  <c r="AD41" i="3"/>
  <c r="AC41" i="3"/>
  <c r="AB41" i="3"/>
  <c r="AA41" i="3"/>
  <c r="Z41" i="3"/>
  <c r="Y41" i="3"/>
  <c r="W41" i="3"/>
  <c r="V41" i="3"/>
  <c r="U41" i="3"/>
  <c r="T41" i="3"/>
  <c r="S41" i="3"/>
  <c r="R41" i="3"/>
  <c r="Q41" i="3"/>
  <c r="P41" i="3"/>
  <c r="O41" i="3"/>
  <c r="N41" i="3"/>
  <c r="M41" i="3"/>
  <c r="L41" i="3"/>
  <c r="J41" i="3"/>
  <c r="I41" i="3"/>
  <c r="AI40" i="3"/>
  <c r="AH40" i="3"/>
  <c r="AF40" i="3"/>
  <c r="AE40" i="3"/>
  <c r="AD40" i="3"/>
  <c r="AC40" i="3"/>
  <c r="AB40" i="3"/>
  <c r="AA40" i="3"/>
  <c r="Z40" i="3"/>
  <c r="Y40" i="3"/>
  <c r="W40" i="3"/>
  <c r="V40" i="3"/>
  <c r="U40" i="3"/>
  <c r="T40" i="3"/>
  <c r="S40" i="3"/>
  <c r="R40" i="3"/>
  <c r="Q40" i="3"/>
  <c r="P40" i="3"/>
  <c r="O40" i="3"/>
  <c r="N40" i="3"/>
  <c r="M40" i="3"/>
  <c r="L40" i="3"/>
  <c r="J40" i="3"/>
  <c r="I40" i="3"/>
  <c r="AI39" i="3"/>
  <c r="AH39" i="3"/>
  <c r="AF39" i="3"/>
  <c r="AE39" i="3"/>
  <c r="AD39" i="3"/>
  <c r="AC39" i="3"/>
  <c r="AB39" i="3"/>
  <c r="AA39" i="3"/>
  <c r="Z39" i="3"/>
  <c r="Y39" i="3"/>
  <c r="W39" i="3"/>
  <c r="V39" i="3"/>
  <c r="U39" i="3"/>
  <c r="T39" i="3"/>
  <c r="S39" i="3"/>
  <c r="R39" i="3"/>
  <c r="Q39" i="3"/>
  <c r="P39" i="3"/>
  <c r="O39" i="3"/>
  <c r="N39" i="3"/>
  <c r="M39" i="3"/>
  <c r="L39" i="3"/>
  <c r="J39" i="3"/>
  <c r="I39" i="3"/>
  <c r="AI38" i="3"/>
  <c r="AH38" i="3"/>
  <c r="AF38" i="3"/>
  <c r="AE38" i="3"/>
  <c r="AD38" i="3"/>
  <c r="AC38" i="3"/>
  <c r="AB38" i="3"/>
  <c r="AA38" i="3"/>
  <c r="Z38" i="3"/>
  <c r="Y38" i="3"/>
  <c r="W38" i="3"/>
  <c r="V38" i="3"/>
  <c r="U38" i="3"/>
  <c r="T38" i="3"/>
  <c r="S38" i="3"/>
  <c r="R38" i="3"/>
  <c r="Q38" i="3"/>
  <c r="P38" i="3"/>
  <c r="O38" i="3"/>
  <c r="N38" i="3"/>
  <c r="M38" i="3"/>
  <c r="L38" i="3"/>
  <c r="J38" i="3"/>
  <c r="I38" i="3"/>
  <c r="AI37" i="3"/>
  <c r="AH37" i="3"/>
  <c r="AF37" i="3"/>
  <c r="AE37" i="3"/>
  <c r="AD37" i="3"/>
  <c r="AC37" i="3"/>
  <c r="AB37" i="3"/>
  <c r="AA37" i="3"/>
  <c r="Z37" i="3"/>
  <c r="Y37" i="3"/>
  <c r="W37" i="3"/>
  <c r="V37" i="3"/>
  <c r="U37" i="3"/>
  <c r="T37" i="3"/>
  <c r="S37" i="3"/>
  <c r="R37" i="3"/>
  <c r="Q37" i="3"/>
  <c r="P37" i="3"/>
  <c r="O37" i="3"/>
  <c r="N37" i="3"/>
  <c r="M37" i="3"/>
  <c r="L37" i="3"/>
  <c r="J37" i="3"/>
  <c r="I37" i="3"/>
  <c r="AI36" i="3"/>
  <c r="AH36" i="3"/>
  <c r="AF36" i="3"/>
  <c r="AE36" i="3"/>
  <c r="AD36" i="3"/>
  <c r="AC36" i="3"/>
  <c r="AB36" i="3"/>
  <c r="AA36" i="3"/>
  <c r="Z36" i="3"/>
  <c r="Y36" i="3"/>
  <c r="W36" i="3"/>
  <c r="V36" i="3"/>
  <c r="U36" i="3"/>
  <c r="T36" i="3"/>
  <c r="S36" i="3"/>
  <c r="R36" i="3"/>
  <c r="Q36" i="3"/>
  <c r="P36" i="3"/>
  <c r="O36" i="3"/>
  <c r="N36" i="3"/>
  <c r="M36" i="3"/>
  <c r="L36" i="3"/>
  <c r="J36" i="3"/>
  <c r="I36" i="3"/>
  <c r="AI35" i="3"/>
  <c r="AH35" i="3"/>
  <c r="AF35" i="3"/>
  <c r="AE35" i="3"/>
  <c r="AD35" i="3"/>
  <c r="AC35" i="3"/>
  <c r="AB35" i="3"/>
  <c r="AA35" i="3"/>
  <c r="Z35" i="3"/>
  <c r="Y35" i="3"/>
  <c r="W35" i="3"/>
  <c r="V35" i="3"/>
  <c r="U35" i="3"/>
  <c r="T35" i="3"/>
  <c r="S35" i="3"/>
  <c r="R35" i="3"/>
  <c r="Q35" i="3"/>
  <c r="P35" i="3"/>
  <c r="O35" i="3"/>
  <c r="N35" i="3"/>
  <c r="M35" i="3"/>
  <c r="L35" i="3"/>
  <c r="J35" i="3"/>
  <c r="I35" i="3"/>
  <c r="AI34" i="3"/>
  <c r="AH34" i="3"/>
  <c r="AF34" i="3"/>
  <c r="AE34" i="3"/>
  <c r="AD34" i="3"/>
  <c r="AC34" i="3"/>
  <c r="AB34" i="3"/>
  <c r="AA34" i="3"/>
  <c r="Z34" i="3"/>
  <c r="Y34" i="3"/>
  <c r="W34" i="3"/>
  <c r="V34" i="3"/>
  <c r="U34" i="3"/>
  <c r="T34" i="3"/>
  <c r="S34" i="3"/>
  <c r="R34" i="3"/>
  <c r="Q34" i="3"/>
  <c r="P34" i="3"/>
  <c r="O34" i="3"/>
  <c r="N34" i="3"/>
  <c r="M34" i="3"/>
  <c r="L34" i="3"/>
  <c r="J34" i="3"/>
  <c r="I34" i="3"/>
  <c r="AI33" i="3"/>
  <c r="AH33" i="3"/>
  <c r="AF33" i="3"/>
  <c r="AE33" i="3"/>
  <c r="AD33" i="3"/>
  <c r="AC33" i="3"/>
  <c r="AB33" i="3"/>
  <c r="AA33" i="3"/>
  <c r="Z33" i="3"/>
  <c r="Y33" i="3"/>
  <c r="W33" i="3"/>
  <c r="V33" i="3"/>
  <c r="U33" i="3"/>
  <c r="T33" i="3"/>
  <c r="S33" i="3"/>
  <c r="R33" i="3"/>
  <c r="Q33" i="3"/>
  <c r="P33" i="3"/>
  <c r="O33" i="3"/>
  <c r="N33" i="3"/>
  <c r="M33" i="3"/>
  <c r="L33" i="3"/>
  <c r="J33" i="3"/>
  <c r="I33" i="3"/>
  <c r="AI32" i="3"/>
  <c r="AH32" i="3"/>
  <c r="AF32" i="3"/>
  <c r="AE32" i="3"/>
  <c r="AD32" i="3"/>
  <c r="AC32" i="3"/>
  <c r="AB32" i="3"/>
  <c r="AA32" i="3"/>
  <c r="Z32" i="3"/>
  <c r="Y32" i="3"/>
  <c r="W32" i="3"/>
  <c r="V32" i="3"/>
  <c r="U32" i="3"/>
  <c r="T32" i="3"/>
  <c r="S32" i="3"/>
  <c r="R32" i="3"/>
  <c r="Q32" i="3"/>
  <c r="P32" i="3"/>
  <c r="O32" i="3"/>
  <c r="N32" i="3"/>
  <c r="M32" i="3"/>
  <c r="L32" i="3"/>
  <c r="J32" i="3"/>
  <c r="I32" i="3"/>
  <c r="AI31" i="3"/>
  <c r="AH31" i="3"/>
  <c r="AF31" i="3"/>
  <c r="AE31" i="3"/>
  <c r="AD31" i="3"/>
  <c r="AC31" i="3"/>
  <c r="AB31" i="3"/>
  <c r="AA31" i="3"/>
  <c r="Z31" i="3"/>
  <c r="Y31" i="3"/>
  <c r="W31" i="3"/>
  <c r="V31" i="3"/>
  <c r="U31" i="3"/>
  <c r="T31" i="3"/>
  <c r="S31" i="3"/>
  <c r="R31" i="3"/>
  <c r="Q31" i="3"/>
  <c r="P31" i="3"/>
  <c r="O31" i="3"/>
  <c r="N31" i="3"/>
  <c r="M31" i="3"/>
  <c r="L31" i="3"/>
  <c r="J31" i="3"/>
  <c r="I31" i="3"/>
  <c r="AI30" i="3"/>
  <c r="AH30" i="3"/>
  <c r="AF30" i="3"/>
  <c r="AE30" i="3"/>
  <c r="AD30" i="3"/>
  <c r="AC30" i="3"/>
  <c r="AB30" i="3"/>
  <c r="AA30" i="3"/>
  <c r="Z30" i="3"/>
  <c r="Y30" i="3"/>
  <c r="W30" i="3"/>
  <c r="V30" i="3"/>
  <c r="U30" i="3"/>
  <c r="T30" i="3"/>
  <c r="S30" i="3"/>
  <c r="R30" i="3"/>
  <c r="Q30" i="3"/>
  <c r="P30" i="3"/>
  <c r="O30" i="3"/>
  <c r="N30" i="3"/>
  <c r="M30" i="3"/>
  <c r="L30" i="3"/>
  <c r="J30" i="3"/>
  <c r="I30" i="3"/>
  <c r="AI29" i="3"/>
  <c r="AH29" i="3"/>
  <c r="AF29" i="3"/>
  <c r="AE29" i="3"/>
  <c r="AD29" i="3"/>
  <c r="AC29" i="3"/>
  <c r="AB29" i="3"/>
  <c r="AA29" i="3"/>
  <c r="Z29" i="3"/>
  <c r="Y29" i="3"/>
  <c r="W29" i="3"/>
  <c r="V29" i="3"/>
  <c r="U29" i="3"/>
  <c r="T29" i="3"/>
  <c r="S29" i="3"/>
  <c r="R29" i="3"/>
  <c r="Q29" i="3"/>
  <c r="P29" i="3"/>
  <c r="O29" i="3"/>
  <c r="N29" i="3"/>
  <c r="M29" i="3"/>
  <c r="L29" i="3"/>
  <c r="J29" i="3"/>
  <c r="I29" i="3"/>
  <c r="AI28" i="3"/>
  <c r="AH28" i="3"/>
  <c r="AF28" i="3"/>
  <c r="AE28" i="3"/>
  <c r="AD28" i="3"/>
  <c r="AC28" i="3"/>
  <c r="AB28" i="3"/>
  <c r="AA28" i="3"/>
  <c r="Z28" i="3"/>
  <c r="Y28" i="3"/>
  <c r="W28" i="3"/>
  <c r="V28" i="3"/>
  <c r="U28" i="3"/>
  <c r="T28" i="3"/>
  <c r="S28" i="3"/>
  <c r="R28" i="3"/>
  <c r="Q28" i="3"/>
  <c r="P28" i="3"/>
  <c r="O28" i="3"/>
  <c r="N28" i="3"/>
  <c r="M28" i="3"/>
  <c r="L28" i="3"/>
  <c r="J28" i="3"/>
  <c r="I28" i="3"/>
  <c r="AI27" i="3"/>
  <c r="AH27" i="3"/>
  <c r="AF27" i="3"/>
  <c r="AE27" i="3"/>
  <c r="AD27" i="3"/>
  <c r="AC27" i="3"/>
  <c r="AB27" i="3"/>
  <c r="AA27" i="3"/>
  <c r="Z27" i="3"/>
  <c r="Y27" i="3"/>
  <c r="W27" i="3"/>
  <c r="V27" i="3"/>
  <c r="U27" i="3"/>
  <c r="T27" i="3"/>
  <c r="S27" i="3"/>
  <c r="R27" i="3"/>
  <c r="Q27" i="3"/>
  <c r="P27" i="3"/>
  <c r="O27" i="3"/>
  <c r="N27" i="3"/>
  <c r="M27" i="3"/>
  <c r="L27" i="3"/>
  <c r="J27" i="3"/>
  <c r="I27" i="3"/>
  <c r="AI26" i="3"/>
  <c r="AH26" i="3"/>
  <c r="AF26" i="3"/>
  <c r="AE26" i="3"/>
  <c r="AD26" i="3"/>
  <c r="AC26" i="3"/>
  <c r="AB26" i="3"/>
  <c r="AA26" i="3"/>
  <c r="Z26" i="3"/>
  <c r="Y26" i="3"/>
  <c r="W26" i="3"/>
  <c r="V26" i="3"/>
  <c r="U26" i="3"/>
  <c r="T26" i="3"/>
  <c r="S26" i="3"/>
  <c r="R26" i="3"/>
  <c r="Q26" i="3"/>
  <c r="P26" i="3"/>
  <c r="O26" i="3"/>
  <c r="N26" i="3"/>
  <c r="M26" i="3"/>
  <c r="L26" i="3"/>
  <c r="J26" i="3"/>
  <c r="I26" i="3"/>
  <c r="AI25" i="3"/>
  <c r="AH25" i="3"/>
  <c r="AF25" i="3"/>
  <c r="AE25" i="3"/>
  <c r="AD25" i="3"/>
  <c r="AC25" i="3"/>
  <c r="AB25" i="3"/>
  <c r="AA25" i="3"/>
  <c r="Z25" i="3"/>
  <c r="Y25" i="3"/>
  <c r="W25" i="3"/>
  <c r="V25" i="3"/>
  <c r="U25" i="3"/>
  <c r="T25" i="3"/>
  <c r="S25" i="3"/>
  <c r="R25" i="3"/>
  <c r="Q25" i="3"/>
  <c r="P25" i="3"/>
  <c r="O25" i="3"/>
  <c r="N25" i="3"/>
  <c r="M25" i="3"/>
  <c r="L25" i="3"/>
  <c r="J25" i="3"/>
  <c r="I25" i="3"/>
  <c r="AI24" i="3"/>
  <c r="AH24" i="3"/>
  <c r="AF24" i="3"/>
  <c r="AE24" i="3"/>
  <c r="AD24" i="3"/>
  <c r="AC24" i="3"/>
  <c r="AB24" i="3"/>
  <c r="AA24" i="3"/>
  <c r="Z24" i="3"/>
  <c r="Y24" i="3"/>
  <c r="W24" i="3"/>
  <c r="V24" i="3"/>
  <c r="U24" i="3"/>
  <c r="T24" i="3"/>
  <c r="S24" i="3"/>
  <c r="R24" i="3"/>
  <c r="Q24" i="3"/>
  <c r="P24" i="3"/>
  <c r="O24" i="3"/>
  <c r="N24" i="3"/>
  <c r="M24" i="3"/>
  <c r="L24" i="3"/>
  <c r="J24" i="3"/>
  <c r="I24" i="3"/>
  <c r="AI23" i="3"/>
  <c r="AH23" i="3"/>
  <c r="AF23" i="3"/>
  <c r="AE23" i="3"/>
  <c r="AD23" i="3"/>
  <c r="AC23" i="3"/>
  <c r="AB23" i="3"/>
  <c r="AA23" i="3"/>
  <c r="Z23" i="3"/>
  <c r="Y23" i="3"/>
  <c r="W23" i="3"/>
  <c r="V23" i="3"/>
  <c r="U23" i="3"/>
  <c r="T23" i="3"/>
  <c r="S23" i="3"/>
  <c r="R23" i="3"/>
  <c r="Q23" i="3"/>
  <c r="P23" i="3"/>
  <c r="O23" i="3"/>
  <c r="N23" i="3"/>
  <c r="M23" i="3"/>
  <c r="L23" i="3"/>
  <c r="I23" i="3"/>
  <c r="J23" i="3" s="1"/>
  <c r="AI22" i="3"/>
  <c r="Q153" i="9" s="1"/>
  <c r="AH22" i="3"/>
  <c r="AF22" i="3"/>
  <c r="AE22" i="3"/>
  <c r="AD22" i="3"/>
  <c r="AC22" i="3"/>
  <c r="AB22" i="3"/>
  <c r="AA22" i="3"/>
  <c r="Z22" i="3"/>
  <c r="Y22" i="3"/>
  <c r="W22" i="3"/>
  <c r="Q136" i="7" s="1"/>
  <c r="V22" i="3"/>
  <c r="U22" i="3"/>
  <c r="T22" i="3"/>
  <c r="S22" i="3"/>
  <c r="Q136" i="13" s="1"/>
  <c r="R22" i="3"/>
  <c r="Q22" i="3"/>
  <c r="Q153" i="8" s="1"/>
  <c r="P22" i="3"/>
  <c r="O22" i="3"/>
  <c r="P153" i="4" s="1"/>
  <c r="N22" i="3"/>
  <c r="M22" i="3"/>
  <c r="L22" i="3"/>
  <c r="I22" i="3"/>
  <c r="J22" i="3" s="1"/>
  <c r="AI21" i="3"/>
  <c r="Q152" i="9" s="1"/>
  <c r="AH21" i="3"/>
  <c r="AF21" i="3"/>
  <c r="AE21" i="3"/>
  <c r="AD21" i="3"/>
  <c r="Q138" i="12" s="1"/>
  <c r="AC21" i="3"/>
  <c r="AB21" i="3"/>
  <c r="AA21" i="3"/>
  <c r="Z21" i="3"/>
  <c r="Y21" i="3"/>
  <c r="W21" i="3"/>
  <c r="Q135" i="7" s="1"/>
  <c r="V21" i="3"/>
  <c r="U21" i="3"/>
  <c r="P133" i="5" s="1"/>
  <c r="T21" i="3"/>
  <c r="S21" i="3"/>
  <c r="Q135" i="13" s="1"/>
  <c r="R21" i="3"/>
  <c r="Q21" i="3"/>
  <c r="Q152" i="8" s="1"/>
  <c r="P21" i="3"/>
  <c r="O21" i="3"/>
  <c r="P152" i="4" s="1"/>
  <c r="N21" i="3"/>
  <c r="M21" i="3"/>
  <c r="P135" i="2" s="1"/>
  <c r="L21" i="3"/>
  <c r="I21" i="3"/>
  <c r="J21" i="3" s="1"/>
  <c r="AI20" i="3"/>
  <c r="Q151" i="9" s="1"/>
  <c r="AH20" i="3"/>
  <c r="AF20" i="3"/>
  <c r="AE20" i="3"/>
  <c r="AD20" i="3"/>
  <c r="Q137" i="12" s="1"/>
  <c r="AC20" i="3"/>
  <c r="AB20" i="3"/>
  <c r="Q132" i="6" s="1"/>
  <c r="AA20" i="3"/>
  <c r="Z20" i="3"/>
  <c r="Q145" i="10" s="1"/>
  <c r="Y20" i="3"/>
  <c r="W20" i="3"/>
  <c r="Q134" i="7" s="1"/>
  <c r="V20" i="3"/>
  <c r="U20" i="3"/>
  <c r="P132" i="5" s="1"/>
  <c r="T20" i="3"/>
  <c r="S20" i="3"/>
  <c r="Q134" i="13" s="1"/>
  <c r="R20" i="3"/>
  <c r="Q20" i="3"/>
  <c r="Q151" i="8" s="1"/>
  <c r="P20" i="3"/>
  <c r="O20" i="3"/>
  <c r="P151" i="4" s="1"/>
  <c r="N20" i="3"/>
  <c r="M20" i="3"/>
  <c r="P134" i="2" s="1"/>
  <c r="L20" i="3"/>
  <c r="I20" i="3"/>
  <c r="J20" i="3" s="1"/>
  <c r="AI19" i="3"/>
  <c r="Q150" i="9" s="1"/>
  <c r="AH19" i="3"/>
  <c r="AF19" i="3"/>
  <c r="AE19" i="3"/>
  <c r="AD19" i="3"/>
  <c r="Q136" i="12" s="1"/>
  <c r="AC19" i="3"/>
  <c r="AB19" i="3"/>
  <c r="Q131" i="6" s="1"/>
  <c r="AA19" i="3"/>
  <c r="Z19" i="3"/>
  <c r="Q144" i="10" s="1"/>
  <c r="Y19" i="3"/>
  <c r="W19" i="3"/>
  <c r="Q133" i="7" s="1"/>
  <c r="V19" i="3"/>
  <c r="U19" i="3"/>
  <c r="P131" i="5" s="1"/>
  <c r="T19" i="3"/>
  <c r="S19" i="3"/>
  <c r="Q133" i="13" s="1"/>
  <c r="R19" i="3"/>
  <c r="Q19" i="3"/>
  <c r="Q150" i="8" s="1"/>
  <c r="P19" i="3"/>
  <c r="O19" i="3"/>
  <c r="P150" i="4" s="1"/>
  <c r="N19" i="3"/>
  <c r="M19" i="3"/>
  <c r="P133" i="2" s="1"/>
  <c r="L19" i="3"/>
  <c r="I19" i="3"/>
  <c r="J19" i="3" s="1"/>
  <c r="AI18" i="3"/>
  <c r="Q149" i="9" s="1"/>
  <c r="AH18" i="3"/>
  <c r="AF18" i="3"/>
  <c r="AE18" i="3"/>
  <c r="AD18" i="3"/>
  <c r="Q135" i="12" s="1"/>
  <c r="AC18" i="3"/>
  <c r="AB18" i="3"/>
  <c r="Q130" i="6" s="1"/>
  <c r="AA18" i="3"/>
  <c r="Z18" i="3"/>
  <c r="Q143" i="10" s="1"/>
  <c r="Y18" i="3"/>
  <c r="W18" i="3"/>
  <c r="Q132" i="7" s="1"/>
  <c r="V18" i="3"/>
  <c r="U18" i="3"/>
  <c r="P130" i="5" s="1"/>
  <c r="T18" i="3"/>
  <c r="S18" i="3"/>
  <c r="Q132" i="13" s="1"/>
  <c r="R18" i="3"/>
  <c r="Q18" i="3"/>
  <c r="Q149" i="8" s="1"/>
  <c r="P18" i="3"/>
  <c r="O18" i="3"/>
  <c r="P149" i="4" s="1"/>
  <c r="N18" i="3"/>
  <c r="M18" i="3"/>
  <c r="P132" i="2" s="1"/>
  <c r="L18" i="3"/>
  <c r="I18" i="3"/>
  <c r="J18" i="3" s="1"/>
  <c r="AI17" i="3"/>
  <c r="Q148" i="9" s="1"/>
  <c r="AH17" i="3"/>
  <c r="AF17" i="3"/>
  <c r="AE17" i="3"/>
  <c r="AD17" i="3"/>
  <c r="Q134" i="12" s="1"/>
  <c r="AC17" i="3"/>
  <c r="AB17" i="3"/>
  <c r="Q129" i="6" s="1"/>
  <c r="AA17" i="3"/>
  <c r="Z17" i="3"/>
  <c r="Q142" i="10" s="1"/>
  <c r="Y17" i="3"/>
  <c r="W17" i="3"/>
  <c r="Q131" i="7" s="1"/>
  <c r="V17" i="3"/>
  <c r="U17" i="3"/>
  <c r="P129" i="5" s="1"/>
  <c r="T17" i="3"/>
  <c r="S17" i="3"/>
  <c r="Q131" i="13" s="1"/>
  <c r="R17" i="3"/>
  <c r="Q17" i="3"/>
  <c r="Q148" i="8" s="1"/>
  <c r="P17" i="3"/>
  <c r="O17" i="3"/>
  <c r="P148" i="4" s="1"/>
  <c r="N17" i="3"/>
  <c r="M17" i="3"/>
  <c r="P131" i="2" s="1"/>
  <c r="L17" i="3"/>
  <c r="I17" i="3"/>
  <c r="J17" i="3" s="1"/>
  <c r="AI16" i="3"/>
  <c r="Q147" i="9" s="1"/>
  <c r="AH16" i="3"/>
  <c r="AF16" i="3"/>
  <c r="Q129" i="11" s="1"/>
  <c r="AE16" i="3"/>
  <c r="AD16" i="3"/>
  <c r="Q133" i="12" s="1"/>
  <c r="AC16" i="3"/>
  <c r="AB16" i="3"/>
  <c r="Q128" i="6" s="1"/>
  <c r="AA16" i="3"/>
  <c r="Z16" i="3"/>
  <c r="Q141" i="10" s="1"/>
  <c r="Y16" i="3"/>
  <c r="W16" i="3"/>
  <c r="Q130" i="7" s="1"/>
  <c r="V16" i="3"/>
  <c r="U16" i="3"/>
  <c r="P128" i="5" s="1"/>
  <c r="T16" i="3"/>
  <c r="S16" i="3"/>
  <c r="Q130" i="13" s="1"/>
  <c r="R16" i="3"/>
  <c r="Q16" i="3"/>
  <c r="Q147" i="8" s="1"/>
  <c r="P16" i="3"/>
  <c r="O16" i="3"/>
  <c r="P147" i="4" s="1"/>
  <c r="N16" i="3"/>
  <c r="M16" i="3"/>
  <c r="L16" i="3"/>
  <c r="I16" i="3"/>
  <c r="J16" i="3" s="1"/>
  <c r="AI15" i="3"/>
  <c r="Q146" i="9" s="1"/>
  <c r="AH15" i="3"/>
  <c r="AF15" i="3"/>
  <c r="Q128" i="11" s="1"/>
  <c r="AE15" i="3"/>
  <c r="AD15" i="3"/>
  <c r="Q132" i="12" s="1"/>
  <c r="AC15" i="3"/>
  <c r="AB15" i="3"/>
  <c r="Q127" i="6" s="1"/>
  <c r="AA15" i="3"/>
  <c r="Z15" i="3"/>
  <c r="Q140" i="10" s="1"/>
  <c r="Y15" i="3"/>
  <c r="W15" i="3"/>
  <c r="Q129" i="7" s="1"/>
  <c r="V15" i="3"/>
  <c r="U15" i="3"/>
  <c r="P127" i="5" s="1"/>
  <c r="T15" i="3"/>
  <c r="S15" i="3"/>
  <c r="Q129" i="13" s="1"/>
  <c r="R15" i="3"/>
  <c r="Q15" i="3"/>
  <c r="Q146" i="8" s="1"/>
  <c r="P15" i="3"/>
  <c r="O15" i="3"/>
  <c r="P146" i="4" s="1"/>
  <c r="N15" i="3"/>
  <c r="M15" i="3"/>
  <c r="P129" i="2" s="1"/>
  <c r="L15" i="3"/>
  <c r="I15" i="3"/>
  <c r="J15" i="3" s="1"/>
  <c r="AI14" i="3"/>
  <c r="Q145" i="9" s="1"/>
  <c r="AH14" i="3"/>
  <c r="AF14" i="3"/>
  <c r="Q127" i="11" s="1"/>
  <c r="AE14" i="3"/>
  <c r="AD14" i="3"/>
  <c r="Q131" i="12" s="1"/>
  <c r="AC14" i="3"/>
  <c r="AB14" i="3"/>
  <c r="Q126" i="6" s="1"/>
  <c r="AA14" i="3"/>
  <c r="Z14" i="3"/>
  <c r="Q139" i="10" s="1"/>
  <c r="Y14" i="3"/>
  <c r="W14" i="3"/>
  <c r="Q128" i="7" s="1"/>
  <c r="V14" i="3"/>
  <c r="U14" i="3"/>
  <c r="P126" i="5" s="1"/>
  <c r="T14" i="3"/>
  <c r="S14" i="3"/>
  <c r="Q128" i="13" s="1"/>
  <c r="R14" i="3"/>
  <c r="Q14" i="3"/>
  <c r="Q145" i="8" s="1"/>
  <c r="P14" i="3"/>
  <c r="O14" i="3"/>
  <c r="P145" i="4" s="1"/>
  <c r="N14" i="3"/>
  <c r="M14" i="3"/>
  <c r="L14" i="3"/>
  <c r="I14" i="3"/>
  <c r="J14" i="3" s="1"/>
  <c r="AI13" i="3"/>
  <c r="Q144" i="9" s="1"/>
  <c r="AH13" i="3"/>
  <c r="AF13" i="3"/>
  <c r="Q126" i="11" s="1"/>
  <c r="AE13" i="3"/>
  <c r="AD13" i="3"/>
  <c r="Q130" i="12" s="1"/>
  <c r="AC13" i="3"/>
  <c r="AB13" i="3"/>
  <c r="Q125" i="6" s="1"/>
  <c r="AA13" i="3"/>
  <c r="Z13" i="3"/>
  <c r="Q138" i="10" s="1"/>
  <c r="Y13" i="3"/>
  <c r="W13" i="3"/>
  <c r="Q127" i="7" s="1"/>
  <c r="V13" i="3"/>
  <c r="U13" i="3"/>
  <c r="P125" i="5" s="1"/>
  <c r="T13" i="3"/>
  <c r="S13" i="3"/>
  <c r="Q127" i="13" s="1"/>
  <c r="R13" i="3"/>
  <c r="Q13" i="3"/>
  <c r="Q144" i="8" s="1"/>
  <c r="P13" i="3"/>
  <c r="O13" i="3"/>
  <c r="P144" i="4" s="1"/>
  <c r="N13" i="3"/>
  <c r="M13" i="3"/>
  <c r="P127" i="2" s="1"/>
  <c r="L13" i="3"/>
  <c r="I13" i="3"/>
  <c r="J13" i="3" s="1"/>
  <c r="AI12" i="3"/>
  <c r="Q143" i="9" s="1"/>
  <c r="AH12" i="3"/>
  <c r="AF12" i="3"/>
  <c r="Q125" i="11" s="1"/>
  <c r="AE12" i="3"/>
  <c r="AD12" i="3"/>
  <c r="Q129" i="12" s="1"/>
  <c r="AC12" i="3"/>
  <c r="AB12" i="3"/>
  <c r="Q124" i="6" s="1"/>
  <c r="AA12" i="3"/>
  <c r="Z12" i="3"/>
  <c r="Q137" i="10" s="1"/>
  <c r="Y12" i="3"/>
  <c r="W12" i="3"/>
  <c r="Q126" i="7" s="1"/>
  <c r="V12" i="3"/>
  <c r="U12" i="3"/>
  <c r="P124" i="5" s="1"/>
  <c r="T12" i="3"/>
  <c r="S12" i="3"/>
  <c r="Q126" i="13" s="1"/>
  <c r="R12" i="3"/>
  <c r="Q12" i="3"/>
  <c r="Q143" i="8" s="1"/>
  <c r="P12" i="3"/>
  <c r="O12" i="3"/>
  <c r="P143" i="4" s="1"/>
  <c r="N12" i="3"/>
  <c r="M12" i="3"/>
  <c r="P126" i="2" s="1"/>
  <c r="L12" i="3"/>
  <c r="I12" i="3"/>
  <c r="J12" i="3" s="1"/>
  <c r="AI11" i="3"/>
  <c r="Q142" i="9" s="1"/>
  <c r="AH11" i="3"/>
  <c r="AF11" i="3"/>
  <c r="Q124" i="11" s="1"/>
  <c r="AE11" i="3"/>
  <c r="AD11" i="3"/>
  <c r="Q128" i="12" s="1"/>
  <c r="AC11" i="3"/>
  <c r="AB11" i="3"/>
  <c r="Q123" i="6" s="1"/>
  <c r="AA11" i="3"/>
  <c r="Z11" i="3"/>
  <c r="Q136" i="10" s="1"/>
  <c r="Y11" i="3"/>
  <c r="W11" i="3"/>
  <c r="Q125" i="7" s="1"/>
  <c r="V11" i="3"/>
  <c r="U11" i="3"/>
  <c r="P123" i="5" s="1"/>
  <c r="T11" i="3"/>
  <c r="S11" i="3"/>
  <c r="Q125" i="13" s="1"/>
  <c r="R11" i="3"/>
  <c r="Q11" i="3"/>
  <c r="Q142" i="8" s="1"/>
  <c r="P11" i="3"/>
  <c r="O11" i="3"/>
  <c r="P142" i="4" s="1"/>
  <c r="N11" i="3"/>
  <c r="M11" i="3"/>
  <c r="P125" i="2" s="1"/>
  <c r="L11" i="3"/>
  <c r="I11" i="3"/>
  <c r="J11" i="3" s="1"/>
  <c r="AI10" i="3"/>
  <c r="Q141" i="9" s="1"/>
  <c r="AH10" i="3"/>
  <c r="AF10" i="3"/>
  <c r="Q123" i="11" s="1"/>
  <c r="AE10" i="3"/>
  <c r="AD10" i="3"/>
  <c r="Q127" i="12" s="1"/>
  <c r="AC10" i="3"/>
  <c r="AB10" i="3"/>
  <c r="Q122" i="6" s="1"/>
  <c r="AA10" i="3"/>
  <c r="Z10" i="3"/>
  <c r="Q135" i="10" s="1"/>
  <c r="Y10" i="3"/>
  <c r="W10" i="3"/>
  <c r="Q124" i="7" s="1"/>
  <c r="V10" i="3"/>
  <c r="U10" i="3"/>
  <c r="P122" i="5" s="1"/>
  <c r="T10" i="3"/>
  <c r="S10" i="3"/>
  <c r="Q124" i="13" s="1"/>
  <c r="R10" i="3"/>
  <c r="Q10" i="3"/>
  <c r="Q141" i="8" s="1"/>
  <c r="P10" i="3"/>
  <c r="O10" i="3"/>
  <c r="P141" i="4" s="1"/>
  <c r="N10" i="3"/>
  <c r="M10" i="3"/>
  <c r="P124" i="2" s="1"/>
  <c r="L10" i="3"/>
  <c r="I10" i="3"/>
  <c r="J10" i="3" s="1"/>
  <c r="AI9" i="3"/>
  <c r="Q140" i="9" s="1"/>
  <c r="AH9" i="3"/>
  <c r="AF9" i="3"/>
  <c r="Q122" i="11" s="1"/>
  <c r="AE9" i="3"/>
  <c r="AD9" i="3"/>
  <c r="Q126" i="12" s="1"/>
  <c r="AC9" i="3"/>
  <c r="AB9" i="3"/>
  <c r="Q121" i="6" s="1"/>
  <c r="AA9" i="3"/>
  <c r="Z9" i="3"/>
  <c r="Q134" i="10" s="1"/>
  <c r="Y9" i="3"/>
  <c r="W9" i="3"/>
  <c r="Q123" i="7" s="1"/>
  <c r="V9" i="3"/>
  <c r="U9" i="3"/>
  <c r="P121" i="5" s="1"/>
  <c r="T9" i="3"/>
  <c r="S9" i="3"/>
  <c r="Q123" i="13" s="1"/>
  <c r="R9" i="3"/>
  <c r="Q9" i="3"/>
  <c r="Q140" i="8" s="1"/>
  <c r="P9" i="3"/>
  <c r="O9" i="3"/>
  <c r="P140" i="4" s="1"/>
  <c r="N9" i="3"/>
  <c r="M9" i="3"/>
  <c r="P123" i="2" s="1"/>
  <c r="L9" i="3"/>
  <c r="I9" i="3"/>
  <c r="J9" i="3" s="1"/>
  <c r="AI8" i="3"/>
  <c r="Q139" i="9" s="1"/>
  <c r="AH8" i="3"/>
  <c r="AF8" i="3"/>
  <c r="Q121" i="11" s="1"/>
  <c r="AE8" i="3"/>
  <c r="AD8" i="3"/>
  <c r="Q125" i="12" s="1"/>
  <c r="AC8" i="3"/>
  <c r="AB8" i="3"/>
  <c r="Q120" i="6" s="1"/>
  <c r="AA8" i="3"/>
  <c r="Z8" i="3"/>
  <c r="Q133" i="10" s="1"/>
  <c r="Y8" i="3"/>
  <c r="W8" i="3"/>
  <c r="Q122" i="7" s="1"/>
  <c r="V8" i="3"/>
  <c r="U8" i="3"/>
  <c r="P120" i="5" s="1"/>
  <c r="T8" i="3"/>
  <c r="S8" i="3"/>
  <c r="Q122" i="13" s="1"/>
  <c r="R8" i="3"/>
  <c r="Q8" i="3"/>
  <c r="Q139" i="8" s="1"/>
  <c r="P8" i="3"/>
  <c r="O8" i="3"/>
  <c r="P139" i="4" s="1"/>
  <c r="N8" i="3"/>
  <c r="M8" i="3"/>
  <c r="P122" i="2" s="1"/>
  <c r="L8" i="3"/>
  <c r="I8" i="3"/>
  <c r="J8" i="3" s="1"/>
  <c r="AI7" i="3"/>
  <c r="Q138" i="9" s="1"/>
  <c r="AH7" i="3"/>
  <c r="AF7" i="3"/>
  <c r="Q120" i="11" s="1"/>
  <c r="AE7" i="3"/>
  <c r="AD7" i="3"/>
  <c r="Q124" i="12" s="1"/>
  <c r="AC7" i="3"/>
  <c r="AB7" i="3"/>
  <c r="Q119" i="6" s="1"/>
  <c r="AA7" i="3"/>
  <c r="Z7" i="3"/>
  <c r="Q132" i="10" s="1"/>
  <c r="Y7" i="3"/>
  <c r="W7" i="3"/>
  <c r="Q121" i="7" s="1"/>
  <c r="V7" i="3"/>
  <c r="U7" i="3"/>
  <c r="P119" i="5" s="1"/>
  <c r="T7" i="3"/>
  <c r="S7" i="3"/>
  <c r="Q121" i="13" s="1"/>
  <c r="R7" i="3"/>
  <c r="Q7" i="3"/>
  <c r="Q138" i="8" s="1"/>
  <c r="P7" i="3"/>
  <c r="O7" i="3"/>
  <c r="P138" i="4" s="1"/>
  <c r="N7" i="3"/>
  <c r="M7" i="3"/>
  <c r="P121" i="2" s="1"/>
  <c r="L7" i="3"/>
  <c r="I7" i="3"/>
  <c r="J7" i="3" s="1"/>
  <c r="AI6" i="3"/>
  <c r="Q137" i="9" s="1"/>
  <c r="AH6" i="3"/>
  <c r="AF6" i="3"/>
  <c r="Q119" i="11" s="1"/>
  <c r="AE6" i="3"/>
  <c r="AD6" i="3"/>
  <c r="Q123" i="12" s="1"/>
  <c r="AC6" i="3"/>
  <c r="AB6" i="3"/>
  <c r="Q118" i="6" s="1"/>
  <c r="AA6" i="3"/>
  <c r="Z6" i="3"/>
  <c r="Q131" i="10" s="1"/>
  <c r="Y6" i="3"/>
  <c r="W6" i="3"/>
  <c r="Q120" i="7" s="1"/>
  <c r="V6" i="3"/>
  <c r="U6" i="3"/>
  <c r="P118" i="5" s="1"/>
  <c r="T6" i="3"/>
  <c r="S6" i="3"/>
  <c r="Q120" i="13" s="1"/>
  <c r="R6" i="3"/>
  <c r="Q6" i="3"/>
  <c r="Q137" i="8" s="1"/>
  <c r="P6" i="3"/>
  <c r="O6" i="3"/>
  <c r="P137" i="4" s="1"/>
  <c r="N6" i="3"/>
  <c r="M6" i="3"/>
  <c r="L6" i="3"/>
  <c r="I6" i="3"/>
  <c r="J6" i="3" s="1"/>
  <c r="AI5" i="3"/>
  <c r="Q136" i="9" s="1"/>
  <c r="AH5" i="3"/>
  <c r="AF5" i="3"/>
  <c r="Q118" i="11" s="1"/>
  <c r="AE5" i="3"/>
  <c r="AD5" i="3"/>
  <c r="Q122" i="12" s="1"/>
  <c r="AC5" i="3"/>
  <c r="AB5" i="3"/>
  <c r="Q117" i="6" s="1"/>
  <c r="AA5" i="3"/>
  <c r="Z5" i="3"/>
  <c r="Q130" i="10" s="1"/>
  <c r="Y5" i="3"/>
  <c r="W5" i="3"/>
  <c r="Q119" i="7" s="1"/>
  <c r="V5" i="3"/>
  <c r="U5" i="3"/>
  <c r="P117" i="5" s="1"/>
  <c r="T5" i="3"/>
  <c r="S5" i="3"/>
  <c r="Q119" i="13" s="1"/>
  <c r="R5" i="3"/>
  <c r="Q5" i="3"/>
  <c r="Q136" i="8" s="1"/>
  <c r="P5" i="3"/>
  <c r="O5" i="3"/>
  <c r="P136" i="4" s="1"/>
  <c r="N5" i="3"/>
  <c r="M5" i="3"/>
  <c r="P119" i="2" s="1"/>
  <c r="L5" i="3"/>
  <c r="I5" i="3"/>
  <c r="J5" i="3" s="1"/>
  <c r="AI4" i="3"/>
  <c r="Q135" i="9" s="1"/>
  <c r="AH4" i="3"/>
  <c r="AF4" i="3"/>
  <c r="Q117" i="11" s="1"/>
  <c r="AE4" i="3"/>
  <c r="AD4" i="3"/>
  <c r="Q121" i="12" s="1"/>
  <c r="AC4" i="3"/>
  <c r="AB4" i="3"/>
  <c r="Q116" i="6" s="1"/>
  <c r="AA4" i="3"/>
  <c r="Z4" i="3"/>
  <c r="Q129" i="10" s="1"/>
  <c r="Y4" i="3"/>
  <c r="W4" i="3"/>
  <c r="Q118" i="7" s="1"/>
  <c r="V4" i="3"/>
  <c r="U4" i="3"/>
  <c r="P116" i="5" s="1"/>
  <c r="T4" i="3"/>
  <c r="S4" i="3"/>
  <c r="Q118" i="13" s="1"/>
  <c r="R4" i="3"/>
  <c r="Q4" i="3"/>
  <c r="Q135" i="8" s="1"/>
  <c r="P4" i="3"/>
  <c r="O4" i="3"/>
  <c r="P135" i="4" s="1"/>
  <c r="N4" i="3"/>
  <c r="M4" i="3"/>
  <c r="P118" i="2" s="1"/>
  <c r="L4" i="3"/>
  <c r="I4" i="3"/>
  <c r="J4" i="3" s="1"/>
  <c r="AI3" i="3"/>
  <c r="Q134" i="9" s="1"/>
  <c r="AH3" i="3"/>
  <c r="AF3" i="3"/>
  <c r="Q116" i="11" s="1"/>
  <c r="AE3" i="3"/>
  <c r="AD3" i="3"/>
  <c r="Q120" i="12" s="1"/>
  <c r="AC3" i="3"/>
  <c r="AB3" i="3"/>
  <c r="Q115" i="6" s="1"/>
  <c r="AA3" i="3"/>
  <c r="Z3" i="3"/>
  <c r="Q128" i="10" s="1"/>
  <c r="Y3" i="3"/>
  <c r="W3" i="3"/>
  <c r="Q117" i="7" s="1"/>
  <c r="V3" i="3"/>
  <c r="U3" i="3"/>
  <c r="P115" i="5" s="1"/>
  <c r="T3" i="3"/>
  <c r="S3" i="3"/>
  <c r="Q117" i="13" s="1"/>
  <c r="R3" i="3"/>
  <c r="Q3" i="3"/>
  <c r="Q134" i="8" s="1"/>
  <c r="P3" i="3"/>
  <c r="O3" i="3"/>
  <c r="P134" i="4" s="1"/>
  <c r="N3" i="3"/>
  <c r="M3" i="3"/>
  <c r="P117" i="2" s="1"/>
  <c r="L3" i="3"/>
  <c r="I3" i="3"/>
  <c r="J3" i="3" s="1"/>
  <c r="P136" i="2"/>
  <c r="P130" i="2"/>
  <c r="P128" i="2"/>
  <c r="P120" i="2"/>
  <c r="A1" i="57"/>
  <c r="A25" i="56"/>
  <c r="B71" i="56"/>
  <c r="A134" i="52"/>
  <c r="A167" i="52"/>
  <c r="C1" i="51"/>
  <c r="A1145" i="49"/>
  <c r="B99" i="50"/>
  <c r="A11" i="55"/>
  <c r="A28" i="52"/>
  <c r="B67" i="52"/>
  <c r="C100" i="52"/>
  <c r="C92" i="52"/>
  <c r="B94" i="52"/>
  <c r="B229" i="50"/>
  <c r="B219" i="50"/>
  <c r="B170" i="52"/>
  <c r="B1041" i="49"/>
  <c r="B1430" i="49"/>
  <c r="B165" i="52"/>
  <c r="A37" i="52"/>
  <c r="A7" i="52"/>
  <c r="B1331" i="49"/>
  <c r="A227" i="50"/>
  <c r="B1139" i="49"/>
  <c r="B16" i="52"/>
  <c r="A1091" i="49"/>
  <c r="B51" i="52"/>
  <c r="B1410" i="49"/>
  <c r="A42" i="52"/>
  <c r="B7" i="56"/>
  <c r="B69" i="50"/>
  <c r="B37" i="52"/>
  <c r="A21" i="54"/>
  <c r="A1429" i="49"/>
  <c r="A987" i="49"/>
  <c r="A2" i="50"/>
  <c r="B957" i="49"/>
  <c r="A17" i="52"/>
  <c r="B151" i="52"/>
  <c r="A249" i="50"/>
  <c r="A243" i="50"/>
  <c r="A252" i="50"/>
  <c r="A137" i="50"/>
  <c r="A93" i="50"/>
  <c r="C171" i="52"/>
  <c r="B1249" i="49"/>
  <c r="A7" i="54"/>
  <c r="B1197" i="49"/>
  <c r="B1351" i="49"/>
  <c r="A122" i="52"/>
  <c r="B1210" i="49"/>
  <c r="C120" i="52"/>
  <c r="B159" i="52"/>
  <c r="B113" i="50"/>
  <c r="A19" i="56"/>
  <c r="A141" i="50"/>
  <c r="B232" i="50"/>
  <c r="A57" i="50"/>
  <c r="B3" i="51"/>
  <c r="C49" i="52"/>
  <c r="B38" i="52"/>
  <c r="C11" i="52"/>
  <c r="B1133" i="49"/>
  <c r="B3" i="56"/>
  <c r="B45" i="50"/>
  <c r="B85" i="50"/>
  <c r="A50" i="50"/>
  <c r="A204" i="50"/>
  <c r="B1137" i="49"/>
  <c r="B155" i="50"/>
  <c r="A481" i="49"/>
  <c r="B189" i="50"/>
  <c r="A160" i="52"/>
  <c r="B198" i="50"/>
  <c r="B112" i="50"/>
  <c r="C99" i="52"/>
  <c r="A1333" i="49"/>
  <c r="B1011" i="49"/>
  <c r="B206" i="50"/>
  <c r="B244" i="50"/>
  <c r="A67" i="50"/>
  <c r="A11" i="50"/>
  <c r="A50" i="52"/>
  <c r="B1466" i="49"/>
  <c r="A3" i="50"/>
  <c r="A609" i="49"/>
  <c r="B8" i="50"/>
  <c r="A36" i="56"/>
  <c r="A68" i="56"/>
  <c r="C27" i="52"/>
  <c r="B4" i="52"/>
  <c r="B1408" i="49"/>
  <c r="B7" i="54"/>
  <c r="A203" i="50"/>
  <c r="A219" i="50"/>
  <c r="A58" i="52"/>
  <c r="B1433" i="49"/>
  <c r="B1323" i="49"/>
  <c r="B1338" i="49"/>
  <c r="B1274" i="49"/>
  <c r="B9" i="54"/>
  <c r="A1132" i="49"/>
  <c r="C34" i="52"/>
  <c r="B1242" i="49"/>
  <c r="B66" i="50"/>
  <c r="B955" i="49"/>
  <c r="B2" i="52"/>
  <c r="B128" i="50"/>
  <c r="B1485" i="49"/>
  <c r="B90" i="52"/>
  <c r="A225" i="50"/>
  <c r="A1147" i="49"/>
  <c r="B132" i="50"/>
  <c r="B40" i="56"/>
  <c r="C51" i="52"/>
  <c r="A5" i="58"/>
  <c r="B235" i="50"/>
  <c r="A1465" i="49"/>
  <c r="A1077" i="49"/>
  <c r="A1223" i="49"/>
  <c r="B95" i="50"/>
  <c r="B18" i="52"/>
  <c r="A1115" i="49"/>
  <c r="A928" i="49"/>
  <c r="B50" i="52"/>
  <c r="A49" i="50"/>
  <c r="A195" i="50"/>
  <c r="B1399" i="49"/>
  <c r="B70" i="56"/>
  <c r="C81" i="52"/>
  <c r="C123" i="52"/>
  <c r="A46" i="52"/>
  <c r="A131" i="50"/>
  <c r="B78" i="52"/>
  <c r="B111" i="52"/>
  <c r="C26" i="52"/>
  <c r="A137" i="52"/>
  <c r="B188" i="50"/>
  <c r="A189" i="50"/>
  <c r="C94" i="52"/>
  <c r="B1415" i="49"/>
  <c r="B1492" i="49"/>
  <c r="C97" i="52"/>
  <c r="B57" i="50"/>
  <c r="A107" i="52"/>
  <c r="B138" i="50"/>
  <c r="C114" i="52"/>
  <c r="C1" i="55"/>
  <c r="B1107" i="49"/>
  <c r="B1463" i="49"/>
  <c r="C4" i="52"/>
  <c r="B212" i="50"/>
  <c r="B1497" i="49"/>
  <c r="B50" i="56"/>
  <c r="B26" i="56"/>
  <c r="A253" i="50"/>
  <c r="B741" i="49"/>
  <c r="B11" i="50"/>
  <c r="C39" i="52"/>
  <c r="B1" i="53"/>
  <c r="A69" i="56"/>
  <c r="B1309" i="49"/>
  <c r="A110" i="52"/>
  <c r="A1265" i="49"/>
  <c r="A115" i="52"/>
  <c r="A84" i="50"/>
  <c r="B1259" i="49"/>
  <c r="B939" i="49"/>
  <c r="B29" i="52"/>
  <c r="B42" i="50"/>
  <c r="A4" i="58"/>
  <c r="A15" i="50"/>
  <c r="B185" i="50"/>
  <c r="A16" i="52"/>
  <c r="A149" i="52"/>
  <c r="A1454" i="49"/>
  <c r="B167" i="52"/>
  <c r="A68" i="52"/>
  <c r="B224" i="50"/>
  <c r="B1050" i="49"/>
  <c r="F26" i="53"/>
  <c r="B72" i="50"/>
  <c r="A1107" i="49"/>
  <c r="A52" i="50"/>
  <c r="B88" i="52"/>
  <c r="B17" i="54"/>
  <c r="C174" i="52"/>
  <c r="B3" i="50"/>
  <c r="B11" i="56"/>
  <c r="A95" i="52"/>
  <c r="A10" i="54"/>
  <c r="A210" i="50"/>
  <c r="B73" i="56"/>
  <c r="A126" i="52"/>
  <c r="B830" i="49"/>
  <c r="A229" i="50"/>
  <c r="A80" i="50"/>
  <c r="A1373" i="49"/>
  <c r="B10" i="55"/>
  <c r="B115" i="52"/>
  <c r="A93" i="52"/>
  <c r="C62" i="52"/>
  <c r="A45" i="56"/>
  <c r="A36" i="52"/>
  <c r="A62" i="56"/>
  <c r="B161" i="52"/>
  <c r="B8" i="53"/>
  <c r="B64" i="52"/>
  <c r="B41" i="52"/>
  <c r="A10" i="55"/>
  <c r="B22" i="52"/>
  <c r="C3" i="53"/>
  <c r="A256" i="50"/>
  <c r="B1277" i="49"/>
  <c r="A1430" i="49"/>
  <c r="A14" i="55"/>
  <c r="B32" i="56"/>
  <c r="A146" i="52"/>
  <c r="B1297" i="49"/>
  <c r="B12" i="55"/>
  <c r="A980" i="49"/>
  <c r="B45" i="56"/>
  <c r="A1236" i="49"/>
  <c r="C108" i="52"/>
  <c r="B1396" i="49"/>
  <c r="B172" i="50"/>
  <c r="A6" i="56"/>
  <c r="B28" i="52"/>
  <c r="A182" i="50"/>
  <c r="B797" i="49"/>
  <c r="A78" i="52"/>
  <c r="B1438" i="49"/>
  <c r="B908" i="49"/>
  <c r="C50" i="52"/>
  <c r="A35" i="56"/>
  <c r="B158" i="50"/>
  <c r="A223" i="50"/>
  <c r="B1350" i="49"/>
  <c r="A1" i="58"/>
  <c r="B986" i="49"/>
  <c r="A44" i="50"/>
  <c r="B74" i="56"/>
  <c r="B52" i="56"/>
  <c r="A2" i="55"/>
  <c r="A60" i="50"/>
  <c r="B613" i="49"/>
  <c r="A1257" i="49"/>
  <c r="B588" i="49"/>
  <c r="A1228" i="49"/>
  <c r="A103" i="50"/>
  <c r="A21" i="52"/>
  <c r="B60" i="56"/>
  <c r="B1413" i="49"/>
  <c r="B2" i="54"/>
  <c r="A162" i="50"/>
  <c r="A127" i="50"/>
  <c r="B8" i="56"/>
  <c r="B1125" i="49"/>
  <c r="B670" i="49"/>
  <c r="B1484" i="49"/>
  <c r="C3" i="55"/>
  <c r="A165" i="50"/>
  <c r="A114" i="50"/>
  <c r="C151" i="52"/>
  <c r="B97" i="52"/>
  <c r="B10" i="56"/>
  <c r="B243" i="50"/>
  <c r="A171" i="52"/>
  <c r="B1114" i="49"/>
  <c r="B1053" i="49"/>
  <c r="A119" i="52"/>
  <c r="B214" i="50"/>
  <c r="A10" i="52"/>
  <c r="B9" i="55"/>
  <c r="A1083" i="49"/>
  <c r="C167" i="52"/>
  <c r="B145" i="52"/>
  <c r="B1343" i="49"/>
  <c r="A64" i="50"/>
  <c r="A118" i="52"/>
  <c r="B18" i="56"/>
  <c r="B925" i="49"/>
  <c r="B60" i="52"/>
  <c r="B55" i="56"/>
  <c r="C69" i="52"/>
  <c r="C101" i="52"/>
  <c r="B13" i="50"/>
  <c r="B191" i="50"/>
  <c r="C17" i="52"/>
  <c r="A53" i="52"/>
  <c r="B4" i="53"/>
  <c r="B146" i="52"/>
  <c r="B72" i="56"/>
  <c r="C165" i="52"/>
  <c r="A108" i="52"/>
  <c r="A9" i="54"/>
  <c r="A205" i="50"/>
  <c r="B19" i="52"/>
  <c r="B119" i="50"/>
  <c r="A113" i="52"/>
  <c r="A7" i="57"/>
  <c r="B6" i="56"/>
  <c r="B4" i="55"/>
  <c r="B33" i="56"/>
  <c r="C76" i="52"/>
  <c r="A59" i="56"/>
  <c r="C58" i="52"/>
  <c r="C136" i="52"/>
  <c r="B132" i="52"/>
  <c r="B1464" i="49"/>
  <c r="B947" i="49"/>
  <c r="A979" i="49"/>
  <c r="A90" i="50"/>
  <c r="B1353" i="49"/>
  <c r="B1234" i="49"/>
  <c r="A12" i="54"/>
  <c r="B117" i="52"/>
  <c r="A8" i="56"/>
  <c r="B24" i="56"/>
  <c r="A1019" i="49"/>
  <c r="A20" i="54"/>
  <c r="C72" i="52"/>
  <c r="B534" i="49"/>
  <c r="B1483" i="49"/>
  <c r="A1" i="56"/>
  <c r="A14" i="50"/>
  <c r="B88" i="50"/>
  <c r="B184" i="50"/>
  <c r="B1500" i="49"/>
  <c r="A13" i="54"/>
  <c r="A216" i="50"/>
  <c r="B89" i="52"/>
  <c r="B30" i="56"/>
  <c r="C154" i="52"/>
  <c r="B1412" i="49"/>
  <c r="B205" i="50"/>
  <c r="C175" i="52"/>
  <c r="A39" i="56"/>
  <c r="B66" i="56"/>
  <c r="A255" i="50"/>
  <c r="B183" i="50"/>
  <c r="A1457" i="49"/>
  <c r="B17" i="52"/>
  <c r="A171" i="50"/>
  <c r="B1237" i="49"/>
  <c r="B62" i="56"/>
  <c r="B227" i="50"/>
  <c r="A240" i="50"/>
  <c r="B1217" i="49"/>
  <c r="B1069" i="49"/>
  <c r="B1386" i="49"/>
  <c r="B12" i="56"/>
  <c r="A1446" i="49"/>
  <c r="A77" i="52"/>
  <c r="B1468" i="49"/>
  <c r="B63" i="52"/>
  <c r="B15" i="55"/>
  <c r="C70" i="52"/>
  <c r="B1434" i="49"/>
  <c r="A527" i="49"/>
  <c r="B1462" i="49"/>
  <c r="B110" i="52"/>
  <c r="C90" i="52"/>
  <c r="B805" i="49"/>
  <c r="A78" i="50"/>
  <c r="B226" i="50"/>
  <c r="A1011" i="49"/>
  <c r="B1374" i="49"/>
  <c r="B65" i="52"/>
  <c r="B1444" i="49"/>
  <c r="B164" i="50"/>
  <c r="A1300" i="49"/>
  <c r="A1480" i="49"/>
  <c r="A1049" i="45"/>
  <c r="B111" i="50"/>
  <c r="C117" i="52"/>
  <c r="B1059" i="49"/>
  <c r="B41" i="56"/>
  <c r="B43" i="52"/>
  <c r="B1194" i="49"/>
  <c r="A15" i="56"/>
  <c r="A52" i="56"/>
  <c r="A40" i="56"/>
  <c r="B1436" i="49"/>
  <c r="A47" i="56"/>
  <c r="B1301" i="49"/>
  <c r="A1364" i="49"/>
  <c r="A1171" i="49"/>
  <c r="B1416" i="49"/>
  <c r="B1105" i="49"/>
  <c r="A192" i="50"/>
  <c r="A1108" i="49"/>
  <c r="A65" i="50"/>
  <c r="B105" i="52"/>
  <c r="A226" i="50"/>
  <c r="A8" i="55"/>
  <c r="B144" i="52"/>
  <c r="B734" i="49"/>
  <c r="A99" i="50"/>
  <c r="B104" i="50"/>
  <c r="B201" i="50"/>
  <c r="A8" i="53"/>
  <c r="A3" i="52"/>
  <c r="A30" i="52"/>
  <c r="C20" i="52"/>
  <c r="B7" i="53"/>
  <c r="B218" i="50"/>
  <c r="B12" i="50"/>
  <c r="B1480" i="49"/>
  <c r="B102" i="52"/>
  <c r="A285" i="49"/>
  <c r="A3" i="58"/>
  <c r="B48" i="52"/>
  <c r="C115" i="52"/>
  <c r="A194" i="50"/>
  <c r="B1267" i="49"/>
  <c r="A27" i="52"/>
  <c r="B48" i="56"/>
  <c r="A865" i="49"/>
  <c r="A187" i="50"/>
  <c r="A242" i="50"/>
  <c r="C57" i="52"/>
  <c r="B1149" i="49"/>
  <c r="A63" i="56"/>
  <c r="B1440" i="49"/>
  <c r="A247" i="50"/>
  <c r="A28" i="50"/>
  <c r="A214" i="50"/>
  <c r="B90" i="50"/>
  <c r="B93" i="52"/>
  <c r="B1370" i="49"/>
  <c r="B446" i="49"/>
  <c r="A96" i="52"/>
  <c r="B1027" i="49"/>
  <c r="A88" i="52"/>
  <c r="A1332" i="49"/>
  <c r="A114" i="52"/>
  <c r="B178" i="50"/>
  <c r="A37" i="56"/>
  <c r="B77" i="52"/>
  <c r="C48" i="52"/>
  <c r="A569" i="49"/>
  <c r="B1074" i="49"/>
  <c r="B12" i="54"/>
  <c r="A8" i="57"/>
  <c r="A1489" i="49"/>
  <c r="B141" i="52"/>
  <c r="A9" i="56"/>
  <c r="B171" i="52"/>
  <c r="A40" i="50"/>
  <c r="B75" i="50"/>
  <c r="A1305" i="49"/>
  <c r="B61" i="52"/>
  <c r="B19" i="56"/>
  <c r="A147" i="50"/>
  <c r="B56" i="56"/>
  <c r="A3" i="55"/>
  <c r="A17" i="56"/>
  <c r="C33" i="52"/>
  <c r="A1012" i="49"/>
  <c r="A56" i="50"/>
  <c r="A11" i="54"/>
  <c r="B120" i="50"/>
  <c r="B10" i="50"/>
  <c r="A1481" i="49"/>
  <c r="C85" i="52"/>
  <c r="B135" i="52"/>
  <c r="A1482" i="49"/>
  <c r="B170" i="50"/>
  <c r="C68" i="52"/>
  <c r="A143" i="50"/>
  <c r="B248" i="50"/>
  <c r="B1121" i="49"/>
  <c r="C36" i="52"/>
  <c r="B44" i="56"/>
  <c r="A1190" i="49"/>
  <c r="A536" i="49"/>
  <c r="A1075" i="49"/>
  <c r="B1235" i="49"/>
  <c r="A823" i="49"/>
  <c r="A941" i="49"/>
  <c r="A145" i="52"/>
  <c r="A1136" i="49"/>
  <c r="A18" i="52"/>
  <c r="A2" i="52"/>
  <c r="B1356" i="49"/>
  <c r="A45" i="52"/>
  <c r="C104" i="52"/>
  <c r="B1460" i="49"/>
  <c r="A70" i="52"/>
  <c r="B542" i="49"/>
  <c r="B156" i="50"/>
  <c r="B1424" i="49"/>
  <c r="B411" i="49"/>
  <c r="A90" i="52"/>
  <c r="B478" i="49"/>
  <c r="B112" i="52"/>
  <c r="A236" i="50"/>
  <c r="A97" i="50"/>
  <c r="B84" i="50"/>
  <c r="B167" i="50"/>
  <c r="A691" i="49"/>
  <c r="B656" i="49"/>
  <c r="A1243" i="49"/>
  <c r="B1470" i="49"/>
  <c r="A961" i="49"/>
  <c r="B1136" i="49"/>
  <c r="B952" i="49"/>
  <c r="B801" i="49"/>
  <c r="C118" i="52"/>
  <c r="B1178" i="49"/>
  <c r="B861" i="49"/>
  <c r="A1414" i="49"/>
  <c r="C52" i="52"/>
  <c r="B1414" i="49"/>
  <c r="A46" i="56"/>
  <c r="C140" i="52"/>
  <c r="A8" i="50"/>
  <c r="B669" i="49"/>
  <c r="B13" i="55"/>
  <c r="C1" i="50"/>
  <c r="A11" i="56"/>
  <c r="B1025" i="49"/>
  <c r="B806" i="49"/>
  <c r="B1083" i="49"/>
  <c r="B1245" i="49"/>
  <c r="A422" i="49"/>
  <c r="A213" i="50"/>
  <c r="B1269" i="49"/>
  <c r="A891" i="49"/>
  <c r="B667" i="49"/>
  <c r="B2" i="46"/>
  <c r="B33" i="52"/>
  <c r="A50" i="56"/>
  <c r="B1187" i="49"/>
  <c r="B34" i="52"/>
  <c r="A1043" i="49"/>
  <c r="C23" i="52"/>
  <c r="B1204" i="49"/>
  <c r="B175" i="52"/>
  <c r="A186" i="50"/>
  <c r="C111" i="52"/>
  <c r="A26" i="52"/>
  <c r="A104" i="52"/>
  <c r="B1153" i="49"/>
  <c r="B169" i="52"/>
  <c r="A1471" i="49"/>
  <c r="A250" i="50"/>
  <c r="B141" i="50"/>
  <c r="A138" i="52"/>
  <c r="A3" i="53"/>
  <c r="A35" i="50"/>
  <c r="C80" i="52"/>
  <c r="B869" i="49"/>
  <c r="B249" i="50"/>
  <c r="A150" i="52"/>
  <c r="B69" i="52"/>
  <c r="A128" i="50"/>
  <c r="A155" i="50"/>
  <c r="B662" i="49"/>
  <c r="A1439" i="49"/>
  <c r="B124" i="52"/>
  <c r="B179" i="50"/>
  <c r="B153" i="50"/>
  <c r="C124" i="52"/>
  <c r="B2" i="55"/>
  <c r="A1415" i="49"/>
  <c r="B176" i="50"/>
  <c r="B180" i="50"/>
  <c r="B20" i="56"/>
  <c r="A931" i="49"/>
  <c r="B15" i="52"/>
  <c r="A107" i="50"/>
  <c r="A1376" i="49"/>
  <c r="C44" i="52"/>
  <c r="A8" i="52"/>
  <c r="A241" i="50"/>
  <c r="B131" i="50"/>
  <c r="A212" i="50"/>
  <c r="B252" i="50"/>
  <c r="A3" i="57"/>
  <c r="A1361" i="49"/>
  <c r="B41" i="50"/>
  <c r="B1448" i="49"/>
  <c r="B9" i="57"/>
  <c r="A71" i="52"/>
  <c r="A83" i="50"/>
  <c r="B1404" i="49"/>
  <c r="A601" i="49"/>
  <c r="A1440" i="49"/>
  <c r="A1152" i="49"/>
  <c r="B71" i="52"/>
  <c r="C2" i="55"/>
  <c r="A15" i="55"/>
  <c r="B773" i="49"/>
  <c r="A1351" i="49"/>
  <c r="A1358" i="49"/>
  <c r="B1106" i="49"/>
  <c r="A1219" i="49"/>
  <c r="B190" i="50"/>
  <c r="A1394" i="49"/>
  <c r="B901" i="49"/>
  <c r="A105" i="50"/>
  <c r="A1493" i="49"/>
  <c r="B1077" i="49"/>
  <c r="B102" i="50"/>
  <c r="B1358" i="49"/>
  <c r="A149" i="50"/>
  <c r="C83" i="52"/>
  <c r="B73" i="50"/>
  <c r="B164" i="52"/>
  <c r="B220" i="50"/>
  <c r="A112" i="50"/>
  <c r="B507" i="49"/>
  <c r="A1406" i="49"/>
  <c r="B148" i="52"/>
  <c r="B57" i="52"/>
  <c r="B1039" i="49"/>
  <c r="B53" i="56"/>
  <c r="B701" i="49"/>
  <c r="A1346" i="49"/>
  <c r="B535" i="49"/>
  <c r="A563" i="49"/>
  <c r="B862" i="49"/>
  <c r="B1091" i="49"/>
  <c r="B1304" i="49"/>
  <c r="A23" i="50"/>
  <c r="A1319" i="45"/>
  <c r="B1167" i="49"/>
  <c r="B109" i="52"/>
  <c r="A207" i="50"/>
  <c r="C116" i="52"/>
  <c r="A166" i="52"/>
  <c r="A1114" i="49"/>
  <c r="C131" i="52"/>
  <c r="B148" i="50"/>
  <c r="B1" i="55"/>
  <c r="A1343" i="49"/>
  <c r="B52" i="52"/>
  <c r="B61" i="56"/>
  <c r="A3" i="51"/>
  <c r="B1365" i="49"/>
  <c r="A1438" i="49"/>
  <c r="A518" i="49"/>
  <c r="B702" i="49"/>
  <c r="A233" i="50"/>
  <c r="B104" i="52"/>
  <c r="A1044" i="49"/>
  <c r="B19" i="55"/>
  <c r="B151" i="50"/>
  <c r="A589" i="49"/>
  <c r="B8" i="49"/>
  <c r="B54" i="52"/>
  <c r="B115" i="50"/>
  <c r="A1" i="53"/>
  <c r="B1061" i="49"/>
  <c r="B837" i="49"/>
  <c r="B1479" i="49"/>
  <c r="B157" i="49"/>
  <c r="A164" i="50"/>
  <c r="A864" i="49"/>
  <c r="A183" i="50"/>
  <c r="A6" i="52"/>
  <c r="A132" i="52"/>
  <c r="B533" i="49"/>
  <c r="B239" i="50"/>
  <c r="A1389" i="49"/>
  <c r="B3" i="53"/>
  <c r="C166" i="52"/>
  <c r="B70" i="52"/>
  <c r="A111" i="52"/>
  <c r="B8" i="52"/>
  <c r="B29" i="56"/>
  <c r="B27" i="52"/>
  <c r="B62" i="52"/>
  <c r="A202" i="50"/>
  <c r="A92" i="52"/>
  <c r="B1406" i="49"/>
  <c r="A3" i="56"/>
  <c r="B1471" i="49"/>
  <c r="B100" i="50"/>
  <c r="B1141" i="49"/>
  <c r="B1349" i="49"/>
  <c r="A1324" i="49"/>
  <c r="B1088" i="49"/>
  <c r="C53" i="52"/>
  <c r="A1411" i="49"/>
  <c r="A142" i="50"/>
  <c r="B574" i="49"/>
  <c r="A125" i="50"/>
  <c r="A75" i="50"/>
  <c r="B1003" i="49"/>
  <c r="A1370" i="49"/>
  <c r="A1283" i="49"/>
  <c r="B42" i="56"/>
  <c r="A21" i="56"/>
  <c r="A1291" i="49"/>
  <c r="A62" i="52"/>
  <c r="B51" i="56"/>
  <c r="A55" i="56"/>
  <c r="B637" i="49"/>
  <c r="A20" i="52"/>
  <c r="A27" i="56"/>
  <c r="B1388" i="49"/>
  <c r="A5" i="56"/>
  <c r="A1285" i="49"/>
  <c r="B545" i="49"/>
  <c r="B510" i="49"/>
  <c r="B433" i="49"/>
  <c r="C168" i="52"/>
  <c r="A945" i="49"/>
  <c r="A1354" i="49"/>
  <c r="B1152" i="49"/>
  <c r="B127" i="52"/>
  <c r="A192" i="49"/>
  <c r="B1398" i="49"/>
  <c r="A151" i="50"/>
  <c r="B59" i="52"/>
  <c r="A728" i="49"/>
  <c r="A1267" i="49"/>
  <c r="A176" i="50"/>
  <c r="B915" i="49"/>
  <c r="B253" i="50"/>
  <c r="B1075" i="49"/>
  <c r="B1155" i="49"/>
  <c r="B1498" i="49"/>
  <c r="B481" i="49"/>
  <c r="C119" i="52"/>
  <c r="B4" i="51"/>
  <c r="A88" i="50"/>
  <c r="B924" i="49"/>
  <c r="B68" i="56"/>
  <c r="A16" i="50"/>
  <c r="A66" i="50"/>
  <c r="A1404" i="49"/>
  <c r="C42" i="52"/>
  <c r="C37" i="52"/>
  <c r="A635" i="49"/>
  <c r="A1011" i="45"/>
  <c r="B1476" i="49"/>
  <c r="A29" i="52"/>
  <c r="B40" i="50"/>
  <c r="B780" i="49"/>
  <c r="A143" i="52"/>
  <c r="A6" i="53"/>
  <c r="B233" i="50"/>
  <c r="A1047" i="45"/>
  <c r="A179" i="50"/>
  <c r="A1177" i="49"/>
  <c r="C129" i="52"/>
  <c r="A1428" i="49"/>
  <c r="B1021" i="49"/>
  <c r="B621" i="49"/>
  <c r="B133" i="50"/>
  <c r="C152" i="52"/>
  <c r="B6" i="54"/>
  <c r="B1" i="56"/>
  <c r="A59" i="52"/>
  <c r="A31" i="56"/>
  <c r="B790" i="49"/>
  <c r="A1004" i="49"/>
  <c r="B1380" i="49"/>
  <c r="A1148" i="49"/>
  <c r="A144" i="52"/>
  <c r="B11" i="52"/>
  <c r="A320" i="49"/>
  <c r="C149" i="52"/>
  <c r="B1109" i="49"/>
  <c r="B65" i="50"/>
  <c r="A31" i="50"/>
  <c r="B134" i="52"/>
  <c r="A1342" i="49"/>
  <c r="C47" i="52"/>
  <c r="A26" i="56"/>
  <c r="A7" i="56"/>
  <c r="B14" i="56"/>
  <c r="B1066" i="49"/>
  <c r="A1081" i="49"/>
  <c r="A1450" i="49"/>
  <c r="B91" i="52"/>
  <c r="A815" i="49"/>
  <c r="B985" i="49"/>
  <c r="A169" i="50"/>
  <c r="A18" i="50"/>
  <c r="B1026" i="49"/>
  <c r="A22" i="50"/>
  <c r="B1461" i="49"/>
  <c r="B1334" i="49"/>
  <c r="A5" i="55"/>
  <c r="A1237" i="45"/>
  <c r="B981" i="49"/>
  <c r="A1452" i="49"/>
  <c r="A1" i="51"/>
  <c r="B566" i="49"/>
  <c r="A66" i="52"/>
  <c r="B10" i="54"/>
  <c r="A1445" i="49"/>
  <c r="B21" i="56"/>
  <c r="B1195" i="49"/>
  <c r="A19" i="50"/>
  <c r="A927" i="49"/>
  <c r="A1466" i="49"/>
  <c r="A142" i="52"/>
  <c r="C170" i="52"/>
  <c r="B38" i="56"/>
  <c r="A105" i="52"/>
  <c r="C71" i="52"/>
  <c r="B42" i="52"/>
  <c r="A1487" i="49"/>
  <c r="A98" i="52"/>
  <c r="B56" i="52"/>
  <c r="A43" i="50"/>
  <c r="A120" i="50"/>
  <c r="C1" i="56"/>
  <c r="B1145" i="49"/>
  <c r="A129" i="50"/>
  <c r="B1372" i="49"/>
  <c r="A1235" i="49"/>
  <c r="A10" i="56"/>
  <c r="A94" i="52"/>
  <c r="A218" i="50"/>
  <c r="B56" i="50"/>
  <c r="A15" i="54"/>
  <c r="A1490" i="49"/>
  <c r="A17" i="55"/>
  <c r="B1045" i="49"/>
  <c r="B961" i="49"/>
  <c r="B1" i="54"/>
  <c r="B865" i="49"/>
  <c r="A48" i="50"/>
  <c r="B1467" i="49"/>
  <c r="B136" i="50"/>
  <c r="B31" i="56"/>
  <c r="B96" i="52"/>
  <c r="A829" i="49"/>
  <c r="B475" i="49"/>
  <c r="B308" i="49"/>
  <c r="B677" i="49"/>
  <c r="B1199" i="49"/>
  <c r="B485" i="49"/>
  <c r="A247" i="49"/>
  <c r="B76" i="56"/>
  <c r="B876" i="49"/>
  <c r="B1455" i="49"/>
  <c r="A283" i="49"/>
  <c r="A23" i="52"/>
  <c r="A633" i="49"/>
  <c r="B889" i="49"/>
  <c r="B34" i="50"/>
  <c r="B1490" i="49"/>
  <c r="A1113" i="49"/>
  <c r="B1131" i="49"/>
  <c r="A1418" i="49"/>
  <c r="A82" i="52"/>
  <c r="A1443" i="49"/>
  <c r="C63" i="52"/>
  <c r="B1333" i="49"/>
  <c r="B96" i="49"/>
  <c r="B95" i="52"/>
  <c r="B946" i="49"/>
  <c r="A135" i="52"/>
  <c r="A19" i="52"/>
  <c r="B1288" i="49"/>
  <c r="A922" i="49"/>
  <c r="B236" i="50"/>
  <c r="A104" i="50"/>
  <c r="A625" i="49"/>
  <c r="A245" i="50"/>
  <c r="B175" i="50"/>
  <c r="B1093" i="49"/>
  <c r="A52" i="52"/>
  <c r="C40" i="52"/>
  <c r="C130" i="52"/>
  <c r="A48" i="56"/>
  <c r="A1261" i="49"/>
  <c r="A892" i="49"/>
  <c r="A632" i="49"/>
  <c r="A136" i="52"/>
  <c r="B8" i="57"/>
  <c r="B152" i="50"/>
  <c r="A817" i="49"/>
  <c r="A201" i="50"/>
  <c r="C18" i="52"/>
  <c r="B153" i="52"/>
  <c r="B5" i="54"/>
  <c r="B114" i="52"/>
  <c r="A2" i="54"/>
  <c r="B140" i="52"/>
  <c r="B20" i="50"/>
  <c r="A1424" i="49"/>
  <c r="A1027" i="49"/>
  <c r="B22" i="56"/>
  <c r="B117" i="50"/>
  <c r="A1326" i="49"/>
  <c r="B133" i="52"/>
  <c r="A158" i="50"/>
  <c r="B1273" i="49"/>
  <c r="B1211" i="49"/>
  <c r="A215" i="50"/>
  <c r="C59" i="52"/>
  <c r="B5" i="50"/>
  <c r="A384" i="49"/>
  <c r="B917" i="49"/>
  <c r="A188" i="50"/>
  <c r="A827" i="49"/>
  <c r="A16" i="56"/>
  <c r="A1260" i="49"/>
  <c r="B403" i="49"/>
  <c r="C1" i="52"/>
  <c r="A38" i="56"/>
  <c r="B174" i="52"/>
  <c r="B173" i="52"/>
  <c r="A1203" i="49"/>
  <c r="B116" i="52"/>
  <c r="A1281" i="49"/>
  <c r="B541" i="49"/>
  <c r="A25" i="50"/>
  <c r="C105" i="52"/>
  <c r="C106" i="52"/>
  <c r="B245" i="50"/>
  <c r="B849" i="49"/>
  <c r="A172" i="50"/>
  <c r="A117" i="52"/>
  <c r="A11" i="52"/>
  <c r="B2" i="51"/>
  <c r="A61" i="52"/>
  <c r="A131" i="52"/>
  <c r="B100" i="52"/>
  <c r="B605" i="49"/>
  <c r="B2" i="56"/>
  <c r="B162" i="50"/>
  <c r="A103" i="52"/>
  <c r="A1009" i="49"/>
  <c r="A79" i="52"/>
  <c r="A175" i="52"/>
  <c r="A72" i="50"/>
  <c r="B1094" i="49"/>
  <c r="A15" i="52"/>
  <c r="B954" i="49"/>
  <c r="B931" i="49"/>
  <c r="B107" i="52"/>
  <c r="B194" i="50"/>
  <c r="A1426" i="49"/>
  <c r="A5" i="53"/>
  <c r="B1458" i="49"/>
  <c r="C21" i="52"/>
  <c r="B123" i="52"/>
  <c r="C15" i="52"/>
  <c r="A49" i="52"/>
  <c r="B181" i="50"/>
  <c r="A89" i="52"/>
  <c r="C29" i="52"/>
  <c r="B407" i="49"/>
  <c r="B139" i="52"/>
  <c r="A198" i="49"/>
  <c r="A756" i="49"/>
  <c r="A163" i="52"/>
  <c r="B1325" i="49"/>
  <c r="A1068" i="49"/>
  <c r="B1082" i="49"/>
  <c r="B975" i="49"/>
  <c r="A242" i="49"/>
  <c r="B1115" i="49"/>
  <c r="B223" i="50"/>
  <c r="A33" i="56"/>
  <c r="C148" i="52"/>
  <c r="A5" i="51"/>
  <c r="C132" i="52"/>
  <c r="A178" i="50"/>
  <c r="B53" i="50"/>
  <c r="B44" i="52"/>
  <c r="A1062" i="49"/>
  <c r="B467" i="49"/>
  <c r="B143" i="50"/>
  <c r="B1394" i="49"/>
  <c r="A1095" i="49"/>
  <c r="B67" i="56"/>
  <c r="A67" i="52"/>
  <c r="B241" i="50"/>
  <c r="A165" i="52"/>
  <c r="B1203" i="49"/>
  <c r="B922" i="49"/>
  <c r="A1285" i="45"/>
  <c r="B237" i="50"/>
  <c r="A585" i="49"/>
  <c r="A521" i="49"/>
  <c r="A4" i="52"/>
  <c r="B195" i="50"/>
  <c r="A1408" i="49"/>
  <c r="B15" i="56"/>
  <c r="A1" i="55"/>
  <c r="B1078" i="49"/>
  <c r="A81" i="50"/>
  <c r="B14" i="52"/>
  <c r="B172" i="52"/>
  <c r="B76" i="50"/>
  <c r="B137" i="50"/>
  <c r="A106" i="52"/>
  <c r="C93" i="52"/>
  <c r="A87" i="50"/>
  <c r="A190" i="50"/>
  <c r="A965" i="49"/>
  <c r="A760" i="49"/>
  <c r="A912" i="49"/>
  <c r="B1241" i="49"/>
  <c r="A1419" i="49"/>
  <c r="A228" i="50"/>
  <c r="B154" i="49"/>
  <c r="B3" i="54"/>
  <c r="A513" i="49"/>
  <c r="A139" i="50"/>
  <c r="B156" i="52"/>
  <c r="A932" i="49"/>
  <c r="A1479" i="49"/>
  <c r="A248" i="50"/>
  <c r="A154" i="50"/>
  <c r="A1434" i="49"/>
  <c r="A48" i="49"/>
  <c r="B84" i="52"/>
  <c r="A38" i="52"/>
  <c r="B163" i="50"/>
  <c r="A1410" i="49"/>
  <c r="A97" i="52"/>
  <c r="B1364" i="49"/>
  <c r="B190" i="49"/>
  <c r="A59" i="49"/>
  <c r="B120" i="52"/>
  <c r="C95" i="52"/>
  <c r="A14" i="52"/>
  <c r="C153" i="52"/>
  <c r="A10" i="50"/>
  <c r="A79" i="50"/>
  <c r="A7" i="50"/>
  <c r="B1256" i="49"/>
  <c r="C91" i="52"/>
  <c r="C28" i="52"/>
  <c r="B57" i="56"/>
  <c r="B1258" i="49"/>
  <c r="A604" i="49"/>
  <c r="A857" i="49"/>
  <c r="A1307" i="49"/>
  <c r="A18" i="54"/>
  <c r="B1452" i="49"/>
  <c r="A159" i="50"/>
  <c r="B977" i="49"/>
  <c r="B3" i="55"/>
  <c r="B1420" i="49"/>
  <c r="A75" i="52"/>
  <c r="C84" i="52"/>
  <c r="B979" i="49"/>
  <c r="C161" i="52"/>
  <c r="A4" i="51"/>
  <c r="A1299" i="49"/>
  <c r="B11" i="54"/>
  <c r="A47" i="52"/>
  <c r="A5" i="57"/>
  <c r="A444" i="49"/>
  <c r="B108" i="52"/>
  <c r="A796" i="49"/>
  <c r="A155" i="52"/>
  <c r="B972" i="49"/>
  <c r="B893" i="49"/>
  <c r="B98" i="52"/>
  <c r="B1008" i="49"/>
  <c r="B2" i="50"/>
  <c r="B197" i="50"/>
  <c r="B39" i="50"/>
  <c r="A89" i="50"/>
  <c r="B909" i="49"/>
  <c r="A56" i="47"/>
  <c r="A127" i="52"/>
  <c r="B1010" i="49"/>
  <c r="B124" i="50"/>
  <c r="B418" i="49"/>
  <c r="A818" i="49"/>
  <c r="A1105" i="49"/>
  <c r="A623" i="49"/>
  <c r="B34" i="56"/>
  <c r="B1006" i="49"/>
  <c r="B1261" i="49"/>
  <c r="A32" i="50"/>
  <c r="A653" i="49"/>
  <c r="A170" i="52"/>
  <c r="A1392" i="49"/>
  <c r="B610" i="49"/>
  <c r="A1385" i="49"/>
  <c r="B1170" i="49"/>
  <c r="B1328" i="49"/>
  <c r="A1321" i="49"/>
  <c r="A897" i="49"/>
  <c r="A852" i="49"/>
  <c r="B595" i="49"/>
  <c r="B755" i="49"/>
  <c r="B993" i="49"/>
  <c r="B1018" i="49"/>
  <c r="A170" i="50"/>
  <c r="A61" i="50"/>
  <c r="B30" i="52"/>
  <c r="B664" i="49"/>
  <c r="A996" i="49"/>
  <c r="A1329" i="45"/>
  <c r="B654" i="49"/>
  <c r="A463" i="49"/>
  <c r="A856" i="49"/>
  <c r="A678" i="49"/>
  <c r="A1153" i="49"/>
  <c r="A759" i="49"/>
  <c r="A461" i="49"/>
  <c r="A45" i="50"/>
  <c r="A542" i="49"/>
  <c r="B1189" i="49"/>
  <c r="B44" i="49"/>
  <c r="B609" i="49"/>
  <c r="A1449" i="49"/>
  <c r="B632" i="49"/>
  <c r="B524" i="49"/>
  <c r="B631" i="49"/>
  <c r="A602" i="49"/>
  <c r="B927" i="49"/>
  <c r="A9" i="50"/>
  <c r="B523" i="49"/>
  <c r="A1256" i="45"/>
  <c r="B331" i="49"/>
  <c r="A691" i="45"/>
  <c r="B698" i="49"/>
  <c r="B38" i="45"/>
  <c r="B129" i="50"/>
  <c r="A1251" i="49"/>
  <c r="B1076" i="49"/>
  <c r="A1473" i="49"/>
  <c r="A74" i="56"/>
  <c r="B971" i="49"/>
  <c r="A108" i="50"/>
  <c r="A1170" i="49"/>
  <c r="A495" i="49"/>
  <c r="B531" i="49"/>
  <c r="B119" i="52"/>
  <c r="A51" i="50"/>
  <c r="B1004" i="49"/>
  <c r="B945" i="49"/>
  <c r="B1040" i="49"/>
  <c r="A1280" i="49"/>
  <c r="B69" i="56"/>
  <c r="B52" i="50"/>
  <c r="B1173" i="49"/>
  <c r="B1278" i="49"/>
  <c r="B938" i="49"/>
  <c r="A1023" i="49"/>
  <c r="B1009" i="49"/>
  <c r="A946" i="49"/>
  <c r="A150" i="50"/>
  <c r="A73" i="50"/>
  <c r="B301" i="49"/>
  <c r="B788" i="49"/>
  <c r="A1201" i="49"/>
  <c r="A926" i="49"/>
  <c r="A1188" i="49"/>
  <c r="B730" i="49"/>
  <c r="B1327" i="49"/>
  <c r="B74" i="52"/>
  <c r="A27" i="50"/>
  <c r="A168" i="52"/>
  <c r="B731" i="49"/>
  <c r="B31" i="52"/>
  <c r="B991" i="49"/>
  <c r="A1282" i="49"/>
  <c r="A1107" i="45"/>
  <c r="C89" i="52"/>
  <c r="B1064" i="49"/>
  <c r="B1214" i="49"/>
  <c r="B26" i="50"/>
  <c r="A1433" i="49"/>
  <c r="B85" i="49"/>
  <c r="A324" i="49"/>
  <c r="B1090" i="49"/>
  <c r="A753" i="49"/>
  <c r="B157" i="52"/>
  <c r="A682" i="49"/>
  <c r="B25" i="50"/>
  <c r="B75" i="52"/>
  <c r="B795" i="49"/>
  <c r="B36" i="50"/>
  <c r="B1457" i="49"/>
  <c r="A690" i="49"/>
  <c r="B1236" i="45"/>
  <c r="A1279" i="45"/>
  <c r="B141" i="49"/>
  <c r="A777" i="45"/>
  <c r="A112" i="32"/>
  <c r="A1409" i="49"/>
  <c r="B497" i="49"/>
  <c r="B202" i="49"/>
  <c r="B222" i="50"/>
  <c r="B956" i="49"/>
  <c r="A49" i="56"/>
  <c r="B24" i="52"/>
  <c r="B76" i="52"/>
  <c r="B118" i="52"/>
  <c r="B216" i="50"/>
  <c r="A824" i="49"/>
  <c r="B1215" i="49"/>
  <c r="B163" i="52"/>
  <c r="B948" i="49"/>
  <c r="A1151" i="49"/>
  <c r="B718" i="49"/>
  <c r="B724" i="49"/>
  <c r="B678" i="49"/>
  <c r="A687" i="49"/>
  <c r="B1087" i="49"/>
  <c r="B1383" i="49"/>
  <c r="A1242" i="49"/>
  <c r="B1252" i="49"/>
  <c r="B996" i="49"/>
  <c r="A256" i="49"/>
  <c r="B1405" i="49"/>
  <c r="A3" i="47"/>
  <c r="A661" i="49"/>
  <c r="B504" i="49"/>
  <c r="A509" i="49"/>
  <c r="C147" i="52"/>
  <c r="B848" i="49"/>
  <c r="B73" i="52"/>
  <c r="A705" i="49"/>
  <c r="B1023" i="49"/>
  <c r="B152" i="52"/>
  <c r="A51" i="56"/>
  <c r="B1275" i="49"/>
  <c r="B19" i="54"/>
  <c r="A54" i="50"/>
  <c r="B3" i="57"/>
  <c r="A42" i="50"/>
  <c r="B1264" i="49"/>
  <c r="A34" i="56"/>
  <c r="C127" i="52"/>
  <c r="B86" i="52"/>
  <c r="A801" i="49"/>
  <c r="B54" i="56"/>
  <c r="A166" i="50"/>
  <c r="A33" i="52"/>
  <c r="B405" i="49"/>
  <c r="A175" i="50"/>
  <c r="A1204" i="49"/>
  <c r="B36" i="56"/>
  <c r="B36" i="52"/>
  <c r="B162" i="52"/>
  <c r="A729" i="49"/>
  <c r="A110" i="50"/>
  <c r="B499" i="49"/>
  <c r="B1282" i="49"/>
  <c r="A14" i="54"/>
  <c r="B83" i="50"/>
  <c r="B1472" i="49"/>
  <c r="B217" i="50"/>
  <c r="B1202" i="49"/>
  <c r="B49" i="52"/>
  <c r="A169" i="52"/>
  <c r="B105" i="50"/>
  <c r="A121" i="52"/>
  <c r="C77" i="52"/>
  <c r="B83" i="52"/>
  <c r="B406" i="49"/>
  <c r="A943" i="49"/>
  <c r="B79" i="49"/>
  <c r="A10" i="47"/>
  <c r="B462" i="49"/>
  <c r="B225" i="50"/>
  <c r="B7" i="55"/>
  <c r="A86" i="50"/>
  <c r="B962" i="49"/>
  <c r="B228" i="50"/>
  <c r="A1145" i="45"/>
  <c r="B1146" i="49"/>
  <c r="B1169" i="49"/>
  <c r="B123" i="50"/>
  <c r="B1130" i="49"/>
  <c r="B256" i="49"/>
  <c r="A1042" i="49"/>
  <c r="B1072" i="49"/>
  <c r="A985" i="45"/>
  <c r="A1167" i="49"/>
  <c r="B841" i="49"/>
  <c r="A35" i="52"/>
  <c r="A146" i="50"/>
  <c r="B661" i="49"/>
  <c r="A918" i="49"/>
  <c r="B1260" i="49"/>
  <c r="B1244" i="49"/>
  <c r="A410" i="49"/>
  <c r="A24" i="52"/>
  <c r="A1059" i="49"/>
  <c r="A1" i="49"/>
  <c r="A1233" i="45"/>
  <c r="B965" i="49"/>
  <c r="A1319" i="49"/>
  <c r="A921" i="49"/>
  <c r="B134" i="49"/>
  <c r="A807" i="49"/>
  <c r="B82" i="52"/>
  <c r="B181" i="49"/>
  <c r="B930" i="49"/>
  <c r="B671" i="49"/>
  <c r="B254" i="50"/>
  <c r="A156" i="50"/>
  <c r="A60" i="52"/>
  <c r="B1495" i="49"/>
  <c r="B1473" i="49"/>
  <c r="B220" i="49"/>
  <c r="B230" i="50"/>
  <c r="A554" i="49"/>
  <c r="A248" i="45"/>
  <c r="A865" i="45"/>
  <c r="A518" i="45"/>
  <c r="A1065" i="49"/>
  <c r="A476" i="49"/>
  <c r="A1212" i="49"/>
  <c r="A44" i="56"/>
  <c r="B1005" i="49"/>
  <c r="A769" i="49"/>
  <c r="A929" i="49"/>
  <c r="A16" i="54"/>
  <c r="B794" i="49"/>
  <c r="A1076" i="49"/>
  <c r="B520" i="49"/>
  <c r="B989" i="49"/>
  <c r="A168" i="50"/>
  <c r="B154" i="50"/>
  <c r="A1318" i="49"/>
  <c r="B18" i="54"/>
  <c r="A504" i="49"/>
  <c r="C109" i="52"/>
  <c r="B1017" i="49"/>
  <c r="A1130" i="49"/>
  <c r="C138" i="52"/>
  <c r="A1060" i="49"/>
  <c r="A1123" i="49"/>
  <c r="B1400" i="49"/>
  <c r="C143" i="52"/>
  <c r="A942" i="49"/>
  <c r="A680" i="49"/>
  <c r="B394" i="49"/>
  <c r="A1331" i="49"/>
  <c r="A1357" i="49"/>
  <c r="A1485" i="49"/>
  <c r="B1227" i="49"/>
  <c r="A254" i="50"/>
  <c r="A39" i="52"/>
  <c r="B1138" i="49"/>
  <c r="A1209" i="49"/>
  <c r="A18" i="55"/>
  <c r="B32" i="52"/>
  <c r="C107" i="52"/>
  <c r="A825" i="49"/>
  <c r="A695" i="49"/>
  <c r="B1140" i="49"/>
  <c r="A1024" i="49"/>
  <c r="A163" i="50"/>
  <c r="A92" i="50"/>
  <c r="A2" i="57"/>
  <c r="A138" i="50"/>
  <c r="A34" i="50"/>
  <c r="A787" i="49"/>
  <c r="A83" i="52"/>
  <c r="B754" i="49"/>
  <c r="B758" i="49"/>
  <c r="A455" i="49"/>
  <c r="B12" i="52"/>
  <c r="A315" i="49"/>
  <c r="B311" i="45"/>
  <c r="B81" i="50"/>
  <c r="B799" i="49"/>
  <c r="B666" i="49"/>
  <c r="B805" i="45"/>
  <c r="A158" i="49"/>
  <c r="A8741" i="20"/>
  <c r="A271" i="49"/>
  <c r="B376" i="49"/>
  <c r="B1080" i="45"/>
  <c r="B27" i="50"/>
  <c r="A1211" i="49"/>
  <c r="A877" i="49"/>
  <c r="A85" i="52"/>
  <c r="A699" i="49"/>
  <c r="A136" i="50"/>
  <c r="B32" i="50"/>
  <c r="A33" i="50"/>
  <c r="A1316" i="49"/>
  <c r="B203" i="50"/>
  <c r="A20" i="56"/>
  <c r="B813" i="49"/>
  <c r="A1338" i="49"/>
  <c r="A550" i="49"/>
  <c r="B1360" i="49"/>
  <c r="A1372" i="49"/>
  <c r="A76" i="56"/>
  <c r="A1301" i="45"/>
  <c r="A954" i="49"/>
  <c r="A1215" i="49"/>
  <c r="A1069" i="49"/>
  <c r="A949" i="49"/>
  <c r="A172" i="52"/>
  <c r="A924" i="49"/>
  <c r="A18" i="56"/>
  <c r="B251" i="50"/>
  <c r="A923" i="49"/>
  <c r="B63" i="50"/>
  <c r="B1366" i="49"/>
  <c r="B660" i="49"/>
  <c r="B161" i="50"/>
  <c r="B200" i="50"/>
  <c r="A134" i="50"/>
  <c r="B64" i="56"/>
  <c r="B978" i="49"/>
  <c r="C172" i="52"/>
  <c r="B1431" i="49"/>
  <c r="B373" i="49"/>
  <c r="A1218" i="49"/>
  <c r="B78" i="49"/>
  <c r="B203" i="49"/>
  <c r="B35" i="49"/>
  <c r="A777" i="49"/>
  <c r="A888" i="49"/>
  <c r="A199" i="50"/>
  <c r="A655" i="49"/>
  <c r="A532" i="49"/>
  <c r="B250" i="49"/>
  <c r="B506" i="49"/>
  <c r="B14" i="48"/>
  <c r="B139" i="50"/>
  <c r="B584" i="49"/>
  <c r="A9" i="57"/>
  <c r="B1000" i="49"/>
  <c r="B75" i="56"/>
  <c r="A751" i="49"/>
  <c r="A1117" i="49"/>
  <c r="A24" i="49"/>
  <c r="B517" i="49"/>
  <c r="A953" i="45"/>
  <c r="B1250" i="49"/>
  <c r="B672" i="49"/>
  <c r="A695" i="45"/>
  <c r="B1225" i="49"/>
  <c r="A1038" i="49"/>
  <c r="A868" i="49"/>
  <c r="A637" i="49"/>
  <c r="A288" i="49"/>
  <c r="B1058" i="49"/>
  <c r="A697" i="49"/>
  <c r="B1481" i="49"/>
  <c r="B26" i="49"/>
  <c r="B1192" i="49"/>
  <c r="A122" i="50"/>
  <c r="B117" i="49"/>
  <c r="B1437" i="49"/>
  <c r="B6" i="46"/>
  <c r="A74" i="50"/>
  <c r="A125" i="52"/>
  <c r="C67" i="52"/>
  <c r="A734" i="49"/>
  <c r="A1017" i="49"/>
  <c r="A1243" i="45"/>
  <c r="B1314" i="49"/>
  <c r="A246" i="50"/>
  <c r="B22" i="48"/>
  <c r="B282" i="49"/>
  <c r="B1097" i="49"/>
  <c r="B113" i="49"/>
  <c r="B43" i="56"/>
  <c r="A64" i="52"/>
  <c r="B4" i="39"/>
  <c r="A66" i="45"/>
  <c r="B1013" i="49"/>
  <c r="A14" i="47"/>
  <c r="B886" i="49"/>
  <c r="B114" i="49"/>
  <c r="B1248" i="49"/>
  <c r="A394" i="49"/>
  <c r="A1369" i="49"/>
  <c r="B186" i="49"/>
  <c r="B1454" i="49"/>
  <c r="B549" i="49"/>
  <c r="B645" i="49"/>
  <c r="B765" i="49"/>
  <c r="A71" i="56"/>
  <c r="B16" i="56"/>
  <c r="A673" i="49"/>
  <c r="B1281" i="49"/>
  <c r="A1335" i="49"/>
  <c r="B581" i="49"/>
  <c r="A198" i="50"/>
  <c r="A167" i="50"/>
  <c r="B1411" i="49"/>
  <c r="C7" i="55"/>
  <c r="A80" i="52"/>
  <c r="B53" i="52"/>
  <c r="B1486" i="49"/>
  <c r="B811" i="49"/>
  <c r="C160" i="52"/>
  <c r="A47" i="50"/>
  <c r="B1426" i="49"/>
  <c r="A833" i="49"/>
  <c r="C64" i="52"/>
  <c r="B1317" i="49"/>
  <c r="B2" i="53"/>
  <c r="A174" i="52"/>
  <c r="A119" i="50"/>
  <c r="B913" i="49"/>
  <c r="B59" i="56"/>
  <c r="A1328" i="49"/>
  <c r="A7" i="53"/>
  <c r="A46" i="50"/>
  <c r="A1179" i="49"/>
  <c r="B25" i="52"/>
  <c r="A7" i="55"/>
  <c r="B24" i="50"/>
  <c r="A1169" i="49"/>
  <c r="B1029" i="49"/>
  <c r="A151" i="49"/>
  <c r="A1299" i="45"/>
  <c r="B58" i="50"/>
  <c r="B1344" i="49"/>
  <c r="B122" i="52"/>
  <c r="B15" i="54"/>
  <c r="C65" i="52"/>
  <c r="A665" i="49"/>
  <c r="B881" i="49"/>
  <c r="A148" i="52"/>
  <c r="A568" i="49"/>
  <c r="B626" i="49"/>
  <c r="A792" i="49"/>
  <c r="B473" i="49"/>
  <c r="A501" i="49"/>
  <c r="A152" i="52"/>
  <c r="B1160" i="49"/>
  <c r="A38" i="49"/>
  <c r="B1138" i="45"/>
  <c r="A56" i="49"/>
  <c r="B486" i="49"/>
  <c r="B213" i="49"/>
  <c r="B1150" i="49"/>
  <c r="B129" i="52"/>
  <c r="A1360" i="49"/>
  <c r="A382" i="49"/>
  <c r="A124" i="50"/>
  <c r="B606" i="49"/>
  <c r="B1127" i="49"/>
  <c r="A573" i="49"/>
  <c r="B109" i="50"/>
  <c r="B628" i="49"/>
  <c r="A1054" i="49"/>
  <c r="A781" i="49"/>
  <c r="A567" i="49"/>
  <c r="B350" i="49"/>
  <c r="B1347" i="49"/>
  <c r="A115" i="50"/>
  <c r="A889" i="49"/>
  <c r="B1453" i="49"/>
  <c r="B360" i="49"/>
  <c r="A39" i="50"/>
  <c r="A486" i="49"/>
  <c r="B2" i="57"/>
  <c r="B863" i="49"/>
  <c r="A1246" i="49"/>
  <c r="A92" i="49"/>
  <c r="B1080" i="49"/>
  <c r="B771" i="45"/>
  <c r="B1263" i="49"/>
  <c r="A1435" i="49"/>
  <c r="A738" i="49"/>
  <c r="A1172" i="49"/>
  <c r="B685" i="49"/>
  <c r="B436" i="49"/>
  <c r="B1265" i="49"/>
  <c r="B1286" i="49"/>
  <c r="C122" i="52"/>
  <c r="A1349" i="49"/>
  <c r="A95" i="50"/>
  <c r="B1" i="50"/>
  <c r="A74" i="52"/>
  <c r="A1002" i="49"/>
  <c r="C98" i="52"/>
  <c r="A1275" i="49"/>
  <c r="C45" i="52"/>
  <c r="B936" i="49"/>
  <c r="B1496" i="49"/>
  <c r="B550" i="49"/>
  <c r="B1219" i="49"/>
  <c r="A1031" i="49"/>
  <c r="B854" i="49"/>
  <c r="A153" i="52"/>
  <c r="A919" i="45"/>
  <c r="B598" i="49"/>
  <c r="A70" i="56"/>
  <c r="A452" i="49"/>
  <c r="A1273" i="49"/>
  <c r="B135" i="50"/>
  <c r="B13" i="52"/>
  <c r="A889" i="45"/>
  <c r="B883" i="49"/>
  <c r="A701" i="49"/>
  <c r="B496" i="49"/>
  <c r="B85" i="52"/>
  <c r="B166" i="52"/>
  <c r="B1223" i="49"/>
  <c r="B1428" i="49"/>
  <c r="A752" i="49"/>
  <c r="A159" i="52"/>
  <c r="B526" i="49"/>
  <c r="B756" i="49"/>
  <c r="B17" i="50"/>
  <c r="A436" i="49"/>
  <c r="A181" i="50"/>
  <c r="B958" i="49"/>
  <c r="A1020" i="49"/>
  <c r="C110" i="52"/>
  <c r="C14" i="52"/>
  <c r="B27" i="56"/>
  <c r="B997" i="49"/>
  <c r="A22" i="56"/>
  <c r="B165" i="50"/>
  <c r="A30" i="49"/>
  <c r="B37" i="50"/>
  <c r="A140" i="52"/>
  <c r="A1221" i="49"/>
  <c r="A898" i="49"/>
  <c r="A710" i="49"/>
  <c r="A1359" i="49"/>
  <c r="B562" i="49"/>
  <c r="A1423" i="49"/>
  <c r="B1324" i="49"/>
  <c r="A8971" i="20"/>
  <c r="A1162" i="45"/>
  <c r="B136" i="52"/>
  <c r="A19" i="55"/>
  <c r="A990" i="49"/>
  <c r="A65" i="56"/>
  <c r="A893" i="49"/>
  <c r="B125" i="49"/>
  <c r="B1224" i="49"/>
  <c r="A106" i="50"/>
  <c r="B5" i="52"/>
  <c r="A560" i="49"/>
  <c r="A235" i="50"/>
  <c r="B381" i="49"/>
  <c r="A1475" i="49"/>
  <c r="A1286" i="49"/>
  <c r="B759" i="49"/>
  <c r="A132" i="50"/>
  <c r="B1" i="57"/>
  <c r="A177" i="50"/>
  <c r="A1383" i="49"/>
  <c r="C7" i="53"/>
  <c r="B413" i="49"/>
  <c r="B1147" i="49"/>
  <c r="A600" i="49"/>
  <c r="B749" i="49"/>
  <c r="B1" i="52"/>
  <c r="B31" i="49"/>
  <c r="B1330" i="45"/>
  <c r="C74" i="52"/>
  <c r="A86" i="52"/>
  <c r="A911" i="49"/>
  <c r="A967" i="49"/>
  <c r="A597" i="49"/>
  <c r="A1029" i="49"/>
  <c r="B66" i="52"/>
  <c r="B1089" i="49"/>
  <c r="B822" i="49"/>
  <c r="C1" i="57"/>
  <c r="A9" i="48"/>
  <c r="A1261" i="45"/>
  <c r="A915" i="49"/>
  <c r="A1287" i="45"/>
  <c r="B1339" i="49"/>
  <c r="B987" i="49"/>
  <c r="B388" i="49"/>
  <c r="A40" i="47"/>
  <c r="B14" i="54"/>
  <c r="A119" i="49"/>
  <c r="A75" i="56"/>
  <c r="B6" i="50"/>
  <c r="B594" i="49"/>
  <c r="A997" i="49"/>
  <c r="A304" i="49"/>
  <c r="B983" i="49"/>
  <c r="B895" i="49"/>
  <c r="B1034" i="49"/>
  <c r="C25" i="52"/>
  <c r="A719" i="49"/>
  <c r="A472" i="49"/>
  <c r="A1229" i="49"/>
  <c r="C82" i="52"/>
  <c r="B867" i="49"/>
  <c r="C19" i="52"/>
  <c r="A894" i="49"/>
  <c r="A671" i="49"/>
  <c r="A1344" i="49"/>
  <c r="B511" i="49"/>
  <c r="A41" i="52"/>
  <c r="A1295" i="49"/>
  <c r="B1254" i="49"/>
  <c r="A1096" i="49"/>
  <c r="B10" i="52"/>
  <c r="A559" i="49"/>
  <c r="A1032" i="49"/>
  <c r="A317" i="49"/>
  <c r="B1403" i="49"/>
  <c r="A871" i="49"/>
  <c r="A1088" i="49"/>
  <c r="B787" i="49"/>
  <c r="B30" i="50"/>
  <c r="B689" i="49"/>
  <c r="A555" i="49"/>
  <c r="B888" i="49"/>
  <c r="A1374" i="49"/>
  <c r="B17" i="56"/>
  <c r="B93" i="50"/>
  <c r="B844" i="49"/>
  <c r="B1290" i="45"/>
  <c r="A174" i="50"/>
  <c r="A1477" i="49"/>
  <c r="B1494" i="49"/>
  <c r="A879" i="45"/>
  <c r="A188" i="49"/>
  <c r="B1270" i="45"/>
  <c r="A1150" i="49"/>
  <c r="B317" i="49"/>
  <c r="A858" i="49"/>
  <c r="B903" i="49"/>
  <c r="A913" i="49"/>
  <c r="B417" i="49"/>
  <c r="B593" i="49"/>
  <c r="A8773" i="20"/>
  <c r="B346" i="49"/>
  <c r="B4" i="54"/>
  <c r="B232" i="49"/>
  <c r="B1425" i="49"/>
  <c r="B1218" i="49"/>
  <c r="A184" i="50"/>
  <c r="B1295" i="49"/>
  <c r="A124" i="52"/>
  <c r="A244" i="50"/>
  <c r="A1100" i="49"/>
  <c r="B1067" i="49"/>
  <c r="B1320" i="49"/>
  <c r="B1465" i="49"/>
  <c r="A121" i="50"/>
  <c r="C43" i="52"/>
  <c r="A562" i="49"/>
  <c r="A60" i="47"/>
  <c r="B969" i="49"/>
  <c r="B78" i="50"/>
  <c r="B899" i="49"/>
  <c r="A1352" i="49"/>
  <c r="A16" i="55"/>
  <c r="A1322" i="45"/>
  <c r="A910" i="49"/>
  <c r="B212" i="49"/>
  <c r="A79" i="47"/>
  <c r="A545" i="45"/>
  <c r="B51" i="50"/>
  <c r="A1074" i="49"/>
  <c r="B445" i="49"/>
  <c r="A1241" i="49"/>
  <c r="B99" i="52"/>
  <c r="A156" i="52"/>
  <c r="A68" i="50"/>
  <c r="B47" i="50"/>
  <c r="B1477" i="49"/>
  <c r="A577" i="49"/>
  <c r="A1495" i="49"/>
  <c r="A1195" i="49"/>
  <c r="A1498" i="49"/>
  <c r="B1332" i="49"/>
  <c r="A258" i="45"/>
  <c r="B1230" i="45"/>
  <c r="A1163" i="49"/>
  <c r="B28" i="56"/>
  <c r="A13" i="55"/>
  <c r="B652" i="49"/>
  <c r="B1417" i="49"/>
  <c r="A123" i="50"/>
  <c r="B1142" i="49"/>
  <c r="A1128" i="49"/>
  <c r="B694" i="49"/>
  <c r="B1181" i="49"/>
  <c r="A1026" i="49"/>
  <c r="B13" i="56"/>
  <c r="A636" i="49"/>
  <c r="B58" i="56"/>
  <c r="B1340" i="49"/>
  <c r="B1311" i="49"/>
  <c r="A1233" i="49"/>
  <c r="B203" i="45"/>
  <c r="A1310" i="49"/>
  <c r="B448" i="45"/>
  <c r="A353" i="32"/>
  <c r="B39" i="49"/>
  <c r="A209" i="50"/>
  <c r="B820" i="49"/>
  <c r="C162" i="52"/>
  <c r="A909" i="49"/>
  <c r="A766" i="49"/>
  <c r="B1329" i="49"/>
  <c r="A1431" i="49"/>
  <c r="B477" i="49"/>
  <c r="A462" i="49"/>
  <c r="A231" i="50"/>
  <c r="B309" i="49"/>
  <c r="A1187" i="45"/>
  <c r="A1271" i="49"/>
  <c r="A831" i="45"/>
  <c r="A785" i="49"/>
  <c r="A783" i="49"/>
  <c r="A789" i="49"/>
  <c r="B136" i="49"/>
  <c r="A1420" i="49"/>
  <c r="B174" i="50"/>
  <c r="B240" i="50"/>
  <c r="A1293" i="45"/>
  <c r="B1268" i="49"/>
  <c r="B160" i="52"/>
  <c r="A855" i="49"/>
  <c r="A144" i="50"/>
  <c r="A12" i="55"/>
  <c r="B70" i="50"/>
  <c r="A61" i="56"/>
  <c r="A1174" i="49"/>
  <c r="A857" i="45"/>
  <c r="A693" i="45"/>
  <c r="C102" i="52"/>
  <c r="A278" i="49"/>
  <c r="B49" i="50"/>
  <c r="B843" i="49"/>
  <c r="A822" i="45"/>
  <c r="B61" i="49"/>
  <c r="B1201" i="49"/>
  <c r="A460" i="49"/>
  <c r="A755" i="45"/>
  <c r="A96" i="49"/>
  <c r="A286" i="45"/>
  <c r="A309" i="49"/>
  <c r="A1292" i="49"/>
  <c r="B1096" i="49"/>
  <c r="B463" i="49"/>
  <c r="B761" i="49"/>
  <c r="A993" i="49"/>
  <c r="B19" i="48"/>
  <c r="AA2" i="33"/>
  <c r="A1154" i="49"/>
  <c r="B421" i="49"/>
  <c r="A456" i="49"/>
  <c r="B824" i="49"/>
  <c r="A1401" i="49"/>
  <c r="A1256" i="49"/>
  <c r="A627" i="45"/>
  <c r="A1100" i="45"/>
  <c r="B747" i="49"/>
  <c r="A1368" i="49"/>
  <c r="B885" i="49"/>
  <c r="B1096" i="45"/>
  <c r="B10" i="48"/>
  <c r="A618" i="49"/>
  <c r="A120" i="45"/>
  <c r="B11" i="45"/>
  <c r="A496" i="49"/>
  <c r="A916" i="49"/>
  <c r="A733" i="49"/>
  <c r="N21" i="33"/>
  <c r="B469" i="45"/>
  <c r="B439" i="45"/>
  <c r="A198" i="45"/>
  <c r="A1327" i="45"/>
  <c r="A702" i="49"/>
  <c r="AG2" i="33"/>
  <c r="B465" i="49"/>
  <c r="B279" i="49"/>
  <c r="A21" i="49"/>
  <c r="B20" i="49"/>
  <c r="A26" i="50"/>
  <c r="B182" i="50"/>
  <c r="C126" i="52"/>
  <c r="A123" i="52"/>
  <c r="B82" i="50"/>
  <c r="B369" i="49"/>
  <c r="B186" i="50"/>
  <c r="B1429" i="49"/>
  <c r="A1448" i="49"/>
  <c r="B1283" i="49"/>
  <c r="A727" i="49"/>
  <c r="A248" i="49"/>
  <c r="A367" i="49"/>
  <c r="B1277" i="45"/>
  <c r="B4" i="49"/>
  <c r="C158" i="52"/>
  <c r="B13" i="48"/>
  <c r="A1216" i="49"/>
  <c r="A773" i="49"/>
  <c r="B130" i="49"/>
  <c r="A1000" i="49"/>
  <c r="A960" i="49"/>
  <c r="A1441" i="49"/>
  <c r="B328" i="49"/>
  <c r="B1170" i="45"/>
  <c r="B680" i="49"/>
  <c r="A985" i="49"/>
  <c r="B1165" i="49"/>
  <c r="A510" i="49"/>
  <c r="B144" i="50"/>
  <c r="B5" i="55"/>
  <c r="B502" i="49"/>
  <c r="C103" i="52"/>
  <c r="B643" i="49"/>
  <c r="B616" i="49"/>
  <c r="B1279" i="49"/>
  <c r="B79" i="52"/>
  <c r="A631" i="49"/>
  <c r="B460" i="49"/>
  <c r="B745" i="49"/>
  <c r="A412" i="49"/>
  <c r="A883" i="45"/>
  <c r="A1183" i="49"/>
  <c r="B1016" i="49"/>
  <c r="A4" i="50"/>
  <c r="B998" i="49"/>
  <c r="B575" i="49"/>
  <c r="A900" i="49"/>
  <c r="B165" i="49"/>
  <c r="B22" i="49"/>
  <c r="A1447" i="49"/>
  <c r="B28" i="50"/>
  <c r="A718" i="49"/>
  <c r="A297" i="32"/>
  <c r="A353" i="45"/>
  <c r="B782" i="49"/>
  <c r="A184" i="45"/>
  <c r="B929" i="49"/>
  <c r="B201" i="45"/>
  <c r="B576" i="45"/>
  <c r="A17" i="48"/>
  <c r="A43" i="47"/>
  <c r="A590" i="49"/>
  <c r="B10" i="49"/>
  <c r="B1238" i="49"/>
  <c r="B137" i="52"/>
  <c r="A956" i="49"/>
  <c r="A722" i="49"/>
  <c r="A1320" i="45"/>
  <c r="B451" i="49"/>
  <c r="A1135" i="45"/>
  <c r="B514" i="49"/>
  <c r="B140" i="49"/>
  <c r="A681" i="45"/>
  <c r="B576" i="49"/>
  <c r="A39" i="45"/>
  <c r="A228" i="32"/>
  <c r="A1175" i="45"/>
  <c r="A252" i="49"/>
  <c r="B1216" i="49"/>
  <c r="A1118" i="49"/>
  <c r="B959" i="49"/>
  <c r="B1120" i="49"/>
  <c r="B96" i="50"/>
  <c r="B279" i="45"/>
  <c r="B653" i="45"/>
  <c r="B640" i="45"/>
  <c r="N20" i="33"/>
  <c r="A187" i="49"/>
  <c r="B568" i="49"/>
  <c r="A43" i="52"/>
  <c r="B1292" i="49"/>
  <c r="B1108" i="49"/>
  <c r="A268" i="49"/>
  <c r="B1179" i="49"/>
  <c r="A166" i="49"/>
  <c r="A1458" i="49"/>
  <c r="B948" i="45"/>
  <c r="B62" i="49"/>
  <c r="A523" i="49"/>
  <c r="B55" i="45"/>
  <c r="B245" i="49"/>
  <c r="A136" i="49"/>
  <c r="A112" i="49"/>
  <c r="A305" i="49"/>
  <c r="A3" i="46"/>
  <c r="B444" i="49"/>
  <c r="A8861" i="20"/>
  <c r="B747" i="45"/>
  <c r="B1012" i="49"/>
  <c r="A54" i="56"/>
  <c r="B29" i="49"/>
  <c r="B99" i="45"/>
  <c r="A19" i="54"/>
  <c r="B709" i="49"/>
  <c r="B160" i="50"/>
  <c r="B1407" i="49"/>
  <c r="B453" i="49"/>
  <c r="B470" i="49"/>
  <c r="B131" i="52"/>
  <c r="A1200" i="49"/>
  <c r="B1171" i="49"/>
  <c r="A810" i="49"/>
  <c r="B6" i="51"/>
  <c r="B726" i="49"/>
  <c r="B493" i="49"/>
  <c r="A120" i="49"/>
  <c r="B617" i="49"/>
  <c r="B852" i="49"/>
  <c r="B48" i="50"/>
  <c r="B1459" i="49"/>
  <c r="B1306" i="49"/>
  <c r="B633" i="49"/>
  <c r="A908" i="49"/>
  <c r="A2" i="51"/>
  <c r="B1352" i="49"/>
  <c r="B74" i="50"/>
  <c r="B1163" i="49"/>
  <c r="A641" i="49"/>
  <c r="B160" i="49"/>
  <c r="C55" i="52"/>
  <c r="A1084" i="49"/>
  <c r="B596" i="49"/>
  <c r="A4" i="55"/>
  <c r="B659" i="49"/>
  <c r="B518" i="49"/>
  <c r="A1034" i="49"/>
  <c r="A109" i="52"/>
  <c r="B984" i="49"/>
  <c r="C169" i="52"/>
  <c r="A1094" i="49"/>
  <c r="B803" i="49"/>
  <c r="B1176" i="49"/>
  <c r="A972" i="49"/>
  <c r="B242" i="50"/>
  <c r="B829" i="49"/>
  <c r="C6" i="55"/>
  <c r="B1159" i="49"/>
  <c r="B900" i="49"/>
  <c r="B1493" i="49"/>
  <c r="A216" i="49"/>
  <c r="B554" i="49"/>
  <c r="A921" i="45"/>
  <c r="A38" i="50"/>
  <c r="A81" i="52"/>
  <c r="A1302" i="49"/>
  <c r="B77" i="50"/>
  <c r="A1144" i="49"/>
  <c r="A276" i="49"/>
  <c r="A1311" i="49"/>
  <c r="B1128" i="49"/>
  <c r="B229" i="49"/>
  <c r="A1407" i="49"/>
  <c r="A34" i="47"/>
  <c r="B940" i="49"/>
  <c r="B87" i="52"/>
  <c r="A17" i="54"/>
  <c r="B1117" i="49"/>
  <c r="B255" i="50"/>
  <c r="B1345" i="49"/>
  <c r="A659" i="49"/>
  <c r="A1143" i="45"/>
  <c r="A157" i="49"/>
  <c r="B116" i="50"/>
  <c r="B1293" i="49"/>
  <c r="A9" i="52"/>
  <c r="B620" i="49"/>
  <c r="A105" i="49"/>
  <c r="A696" i="45"/>
  <c r="A212" i="49"/>
  <c r="A41" i="56"/>
  <c r="A64" i="47"/>
  <c r="B159" i="50"/>
  <c r="A1375" i="49"/>
  <c r="B126" i="50"/>
  <c r="B525" i="49"/>
  <c r="B735" i="49"/>
  <c r="B891" i="49"/>
  <c r="B149" i="52"/>
  <c r="B1231" i="49"/>
  <c r="B94" i="50"/>
  <c r="A1079" i="49"/>
  <c r="A1250" i="49"/>
  <c r="M4" i="33"/>
  <c r="A541" i="45"/>
  <c r="A1142" i="45"/>
  <c r="B1475" i="49"/>
  <c r="A78" i="49"/>
  <c r="B536" i="49"/>
  <c r="A1381" i="49"/>
  <c r="A795" i="49"/>
  <c r="B738" i="49"/>
  <c r="A862" i="49"/>
  <c r="B25" i="56"/>
  <c r="A122" i="49"/>
  <c r="B532" i="49"/>
  <c r="A1271" i="45"/>
  <c r="A1288" i="49"/>
  <c r="B304" i="49"/>
  <c r="B1342" i="49"/>
  <c r="A1378" i="49"/>
  <c r="B607" i="49"/>
  <c r="A1013" i="49"/>
  <c r="B1285" i="45"/>
  <c r="A98" i="50"/>
  <c r="B691" i="49"/>
  <c r="A1308" i="49"/>
  <c r="B932" i="49"/>
  <c r="B197" i="49"/>
  <c r="B332" i="49"/>
  <c r="A757" i="45"/>
  <c r="A74" i="47"/>
  <c r="B599" i="45"/>
  <c r="A1247" i="49"/>
  <c r="B1043" i="45"/>
  <c r="B859" i="45"/>
  <c r="A61" i="45"/>
  <c r="A215" i="49"/>
  <c r="A226" i="45"/>
  <c r="B579" i="49"/>
  <c r="B1099" i="49"/>
  <c r="A316" i="49"/>
  <c r="A905" i="49"/>
  <c r="A101" i="50"/>
  <c r="A9093" i="20"/>
  <c r="B103" i="49"/>
  <c r="B386" i="49"/>
  <c r="AH2" i="33"/>
  <c r="B286" i="49"/>
  <c r="A6" i="41"/>
  <c r="B1213" i="45"/>
  <c r="B1029" i="45"/>
  <c r="A309" i="45"/>
  <c r="A125" i="45"/>
  <c r="A737" i="49"/>
  <c r="A116" i="50"/>
  <c r="B1341" i="49"/>
  <c r="B1103" i="49"/>
  <c r="B60" i="50"/>
  <c r="A162" i="52"/>
  <c r="A683" i="49"/>
  <c r="A1051" i="49"/>
  <c r="A1" i="54"/>
  <c r="B171" i="50"/>
  <c r="A791" i="49"/>
  <c r="A91" i="50"/>
  <c r="A885" i="49"/>
  <c r="B377" i="49"/>
  <c r="A1229" i="45"/>
  <c r="B103" i="50"/>
  <c r="B50" i="50"/>
  <c r="B1385" i="49"/>
  <c r="A717" i="49"/>
  <c r="B591" i="49"/>
  <c r="A1155" i="49"/>
  <c r="A352" i="49"/>
  <c r="B1279" i="45"/>
  <c r="A36" i="50"/>
  <c r="A3" i="54"/>
  <c r="A736" i="49"/>
  <c r="A842" i="49"/>
  <c r="A157" i="50"/>
  <c r="B415" i="49"/>
  <c r="A4" i="53"/>
  <c r="B285" i="49"/>
  <c r="B256" i="50"/>
  <c r="A798" i="49"/>
  <c r="A1160" i="49"/>
  <c r="A59" i="50"/>
  <c r="B1247" i="49"/>
  <c r="A689" i="49"/>
  <c r="A376" i="49"/>
  <c r="B16" i="50"/>
  <c r="B1316" i="49"/>
  <c r="A664" i="49"/>
  <c r="A36" i="47"/>
  <c r="A116" i="49"/>
  <c r="A9035" i="20"/>
  <c r="A6" i="57"/>
  <c r="B16" i="54"/>
  <c r="B544" i="49"/>
  <c r="B111" i="49"/>
  <c r="B3" i="49"/>
  <c r="B700" i="45"/>
  <c r="B277" i="49"/>
  <c r="A1251" i="45"/>
  <c r="B699" i="49"/>
  <c r="A768" i="49"/>
  <c r="D8" i="43"/>
  <c r="B2" i="35"/>
  <c r="A1353" i="49"/>
  <c r="A480" i="49"/>
  <c r="B11" i="41"/>
  <c r="A325" i="49"/>
  <c r="A133" i="49"/>
  <c r="B23" i="56"/>
  <c r="A1491" i="49"/>
  <c r="A1206" i="45"/>
  <c r="A610" i="45"/>
  <c r="B556" i="49"/>
  <c r="A224" i="49"/>
  <c r="B721" i="49"/>
  <c r="A464" i="49"/>
  <c r="B313" i="49"/>
  <c r="B864" i="49"/>
  <c r="B736" i="45"/>
  <c r="B869" i="45"/>
  <c r="A120" i="52"/>
  <c r="A1161" i="49"/>
  <c r="B597" i="45"/>
  <c r="A133" i="52"/>
  <c r="B560" i="49"/>
  <c r="A1055" i="45"/>
  <c r="A1297" i="45"/>
  <c r="A886" i="49"/>
  <c r="B759" i="45"/>
  <c r="A173" i="52"/>
  <c r="B26" i="52"/>
  <c r="B1432" i="49"/>
  <c r="A915" i="45"/>
  <c r="A34" i="45"/>
  <c r="B13" i="45"/>
  <c r="A400" i="45"/>
  <c r="A596" i="49"/>
  <c r="A1085" i="45"/>
  <c r="B1310" i="45"/>
  <c r="B1049" i="49"/>
  <c r="A72" i="47"/>
  <c r="B891" i="45"/>
  <c r="C163" i="52"/>
  <c r="A529" i="49"/>
  <c r="N24" i="33"/>
  <c r="A432" i="49"/>
  <c r="C3" i="52"/>
  <c r="A732" i="49"/>
  <c r="A47" i="47"/>
  <c r="A280" i="49"/>
  <c r="A745" i="49"/>
  <c r="A17" i="50"/>
  <c r="A42" i="31"/>
  <c r="A389" i="49"/>
  <c r="B7" i="52"/>
  <c r="A312" i="45"/>
  <c r="B80" i="50"/>
  <c r="B8974" i="20"/>
  <c r="B1379" i="49"/>
  <c r="B310" i="49"/>
  <c r="B10" i="37"/>
  <c r="A1161" i="45"/>
  <c r="A1474" i="49"/>
  <c r="A2" i="56"/>
  <c r="B92" i="50"/>
  <c r="B40" i="52"/>
  <c r="A545" i="49"/>
  <c r="A793" i="49"/>
  <c r="A116" i="52"/>
  <c r="A1196" i="49"/>
  <c r="B1129" i="49"/>
  <c r="A84" i="52"/>
  <c r="B856" i="49"/>
  <c r="A1269" i="49"/>
  <c r="A1234" i="49"/>
  <c r="B21" i="52"/>
  <c r="A76" i="52"/>
  <c r="B1060" i="49"/>
  <c r="B63" i="56"/>
  <c r="A56" i="52"/>
  <c r="A32" i="52"/>
  <c r="B1207" i="49"/>
  <c r="A39" i="47"/>
  <c r="A1396" i="49"/>
  <c r="A12" i="50"/>
  <c r="B1014" i="49"/>
  <c r="A925" i="49"/>
  <c r="A955" i="49"/>
  <c r="B68" i="49"/>
  <c r="A1089" i="49"/>
  <c r="A1325" i="49"/>
  <c r="A986" i="49"/>
  <c r="B746" i="49"/>
  <c r="B76" i="49"/>
  <c r="B196" i="50"/>
  <c r="A160" i="50"/>
  <c r="A1087" i="49"/>
  <c r="B880" i="49"/>
  <c r="A56" i="21"/>
  <c r="B873" i="49"/>
  <c r="A61" i="49"/>
  <c r="A1049" i="49"/>
  <c r="A714" i="49"/>
  <c r="B3" i="52"/>
  <c r="A1348" i="49"/>
  <c r="B207" i="49"/>
  <c r="B16" i="55"/>
  <c r="A471" i="49"/>
  <c r="B904" i="49"/>
  <c r="B104" i="49"/>
  <c r="B128" i="52"/>
  <c r="A1322" i="49"/>
  <c r="A64" i="49"/>
  <c r="B342" i="49"/>
  <c r="A841" i="49"/>
  <c r="B768" i="49"/>
  <c r="B148" i="49"/>
  <c r="A164" i="52"/>
  <c r="A1191" i="49"/>
  <c r="B426" i="49"/>
  <c r="B316" i="49"/>
  <c r="A134" i="45"/>
  <c r="A133" i="50"/>
  <c r="A1134" i="49"/>
  <c r="B39" i="56"/>
  <c r="B6" i="57"/>
  <c r="A847" i="49"/>
  <c r="A615" i="49"/>
  <c r="B82" i="49"/>
  <c r="A20" i="49"/>
  <c r="A681" i="49"/>
  <c r="B723" i="49"/>
  <c r="B1042" i="49"/>
  <c r="B1154" i="49"/>
  <c r="B125" i="52"/>
  <c r="B818" i="49"/>
  <c r="C2" i="52"/>
  <c r="B714" i="49"/>
  <c r="B39" i="52"/>
  <c r="A4" i="54"/>
  <c r="B44" i="50"/>
  <c r="B630" i="49"/>
  <c r="B573" i="49"/>
  <c r="A724" i="49"/>
  <c r="A713" i="49"/>
  <c r="B875" i="49"/>
  <c r="B138" i="52"/>
  <c r="A60" i="56"/>
  <c r="B9" i="50"/>
  <c r="A626" i="49"/>
  <c r="A99" i="52"/>
  <c r="B1419" i="49"/>
  <c r="A8" i="54"/>
  <c r="M34" i="29"/>
  <c r="A535" i="49"/>
  <c r="B122" i="50"/>
  <c r="A1262" i="49"/>
  <c r="A675" i="49"/>
  <c r="B147" i="52"/>
  <c r="B169" i="50"/>
  <c r="A506" i="49"/>
  <c r="A428" i="49"/>
  <c r="A1045" i="45"/>
  <c r="A688" i="49"/>
  <c r="A487" i="45"/>
  <c r="B855" i="49"/>
  <c r="A1311" i="45"/>
  <c r="B719" i="49"/>
  <c r="B81" i="52"/>
  <c r="B1148" i="49"/>
  <c r="A870" i="49"/>
  <c r="B1156" i="49"/>
  <c r="B314" i="49"/>
  <c r="B75" i="49"/>
  <c r="A616" i="49"/>
  <c r="A522" i="49"/>
  <c r="B253" i="49"/>
  <c r="A356" i="45"/>
  <c r="B1450" i="49"/>
  <c r="B1136" i="45"/>
  <c r="B458" i="49"/>
  <c r="B1318" i="49"/>
  <c r="A1125" i="49"/>
  <c r="A613" i="45"/>
  <c r="A1090" i="49"/>
  <c r="B757" i="45"/>
  <c r="A1178" i="49"/>
  <c r="B555" i="45"/>
  <c r="B858" i="49"/>
  <c r="B887" i="49"/>
  <c r="A27" i="49"/>
  <c r="A373" i="49"/>
  <c r="B86" i="49"/>
  <c r="B334" i="49"/>
  <c r="B1445" i="49"/>
  <c r="B1378" i="49"/>
  <c r="B1361" i="49"/>
  <c r="A153" i="50"/>
  <c r="A1281" i="45"/>
  <c r="B109" i="49"/>
  <c r="B67" i="49"/>
  <c r="A8925" i="20"/>
  <c r="A1198" i="49"/>
  <c r="C54" i="52"/>
  <c r="B810" i="49"/>
  <c r="C56" i="52"/>
  <c r="B783" i="49"/>
  <c r="B910" i="49"/>
  <c r="A1035" i="49"/>
  <c r="A158" i="52"/>
  <c r="A1137" i="49"/>
  <c r="B812" i="49"/>
  <c r="C6" i="52"/>
  <c r="B443" i="49"/>
  <c r="A155" i="49"/>
  <c r="B53" i="49"/>
  <c r="A807" i="45"/>
  <c r="A645" i="49"/>
  <c r="B199" i="49"/>
  <c r="B1296" i="49"/>
  <c r="B825" i="49"/>
  <c r="B833" i="49"/>
  <c r="B68" i="50"/>
  <c r="A184" i="49"/>
  <c r="B150" i="50"/>
  <c r="B150" i="49"/>
  <c r="B1208" i="49"/>
  <c r="B1230" i="49"/>
  <c r="B966" i="49"/>
  <c r="B1369" i="49"/>
  <c r="B557" i="49"/>
  <c r="A1268" i="49"/>
  <c r="B21" i="50"/>
  <c r="A844" i="49"/>
  <c r="B639" i="49"/>
  <c r="A24" i="47"/>
  <c r="A971" i="49"/>
  <c r="A13" i="47"/>
  <c r="B262" i="49"/>
  <c r="B43" i="50"/>
  <c r="A952" i="49"/>
  <c r="B6" i="52"/>
  <c r="B414" i="49"/>
  <c r="A1202" i="49"/>
  <c r="B1079" i="49"/>
  <c r="B58" i="52"/>
  <c r="A1202" i="45"/>
  <c r="A1004" i="45"/>
  <c r="A1016" i="45"/>
  <c r="A10" i="31"/>
  <c r="B55" i="50"/>
  <c r="B338" i="49"/>
  <c r="A53" i="32"/>
  <c r="A1277" i="49"/>
  <c r="B1047" i="49"/>
  <c r="A905" i="45"/>
  <c r="B20" i="37"/>
  <c r="A191" i="45"/>
  <c r="B442" i="49"/>
  <c r="B653" i="49"/>
  <c r="B420" i="49"/>
  <c r="A251" i="50"/>
  <c r="M5" i="33"/>
  <c r="B1307" i="49"/>
  <c r="B826" i="45"/>
  <c r="B1209" i="49"/>
  <c r="A253" i="49"/>
  <c r="B1211" i="45"/>
  <c r="A850" i="49"/>
  <c r="B176" i="49"/>
  <c r="A1259" i="49"/>
  <c r="B207" i="50"/>
  <c r="A863" i="49"/>
  <c r="B647" i="49"/>
  <c r="B47" i="45"/>
  <c r="B1095" i="49"/>
  <c r="A219" i="49"/>
  <c r="B380" i="49"/>
  <c r="A9029" i="20"/>
  <c r="B8962" i="20"/>
  <c r="A999" i="45"/>
  <c r="B35" i="50"/>
  <c r="A233" i="49"/>
  <c r="B1232" i="49"/>
  <c r="B528" i="49"/>
  <c r="A940" i="49"/>
  <c r="A686" i="49"/>
  <c r="A1137" i="45"/>
  <c r="A1257" i="45"/>
  <c r="A196" i="49"/>
  <c r="B337" i="45"/>
  <c r="B599" i="49"/>
  <c r="B95" i="49"/>
  <c r="A9" i="47"/>
  <c r="A1135" i="49"/>
  <c r="B400" i="49"/>
  <c r="B71" i="50"/>
  <c r="B1022" i="49"/>
  <c r="AK3" i="33"/>
  <c r="B550" i="45"/>
  <c r="B753" i="45"/>
  <c r="A1350" i="49"/>
  <c r="B57" i="49"/>
  <c r="B1016" i="45"/>
  <c r="B117" i="45"/>
  <c r="B619" i="49"/>
  <c r="B18" i="21"/>
  <c r="A391" i="45"/>
  <c r="B1216" i="45"/>
  <c r="B8922" i="20"/>
  <c r="A408" i="45"/>
  <c r="B591" i="45"/>
  <c r="B238" i="50"/>
  <c r="A220" i="49"/>
  <c r="B725" i="45"/>
  <c r="A1162" i="49"/>
  <c r="B192" i="49"/>
  <c r="B1030" i="49"/>
  <c r="A70" i="50"/>
  <c r="B1322" i="49"/>
  <c r="B1168" i="49"/>
  <c r="A1252" i="49"/>
  <c r="A585" i="45"/>
  <c r="B1113" i="49"/>
  <c r="A6" i="51"/>
  <c r="B149" i="50"/>
  <c r="A1099" i="45"/>
  <c r="A82" i="50"/>
  <c r="B600" i="49"/>
  <c r="A1328" i="45"/>
  <c r="B247" i="49"/>
  <c r="A556" i="49"/>
  <c r="A312" i="49"/>
  <c r="A761" i="49"/>
  <c r="A1003" i="45"/>
  <c r="B916" i="49"/>
  <c r="A497" i="49"/>
  <c r="A284" i="49"/>
  <c r="B8" i="55"/>
  <c r="B249" i="49"/>
  <c r="A222" i="50"/>
  <c r="B1298" i="49"/>
  <c r="B752" i="49"/>
  <c r="A948" i="49"/>
  <c r="B789" i="49"/>
  <c r="B408" i="49"/>
  <c r="A173" i="50"/>
  <c r="A908" i="45"/>
  <c r="A332" i="49"/>
  <c r="B651" i="49"/>
  <c r="A492" i="49"/>
  <c r="A1078" i="45"/>
  <c r="A112" i="52"/>
  <c r="A161" i="50"/>
  <c r="A24" i="56"/>
  <c r="A193" i="50"/>
  <c r="A1017" i="45"/>
  <c r="A1036" i="49"/>
  <c r="A1330" i="45"/>
  <c r="A96" i="50"/>
  <c r="B325" i="49"/>
  <c r="B92" i="49"/>
  <c r="A1468" i="49"/>
  <c r="A1188" i="45"/>
  <c r="A26" i="49"/>
  <c r="B130" i="52"/>
  <c r="A9067" i="20"/>
  <c r="A604" i="45"/>
  <c r="B181" i="45"/>
  <c r="B268" i="49"/>
  <c r="A8240" i="20"/>
  <c r="B64" i="49"/>
  <c r="A147" i="49"/>
  <c r="B763" i="49"/>
  <c r="D5" i="43"/>
  <c r="A1037" i="49"/>
  <c r="B1033" i="45"/>
  <c r="A717" i="45"/>
  <c r="B716" i="49"/>
  <c r="A132" i="49"/>
  <c r="B636" i="45"/>
  <c r="B395" i="49"/>
  <c r="B1362" i="49"/>
  <c r="B335" i="45"/>
  <c r="B1145" i="45"/>
  <c r="A1165" i="45"/>
  <c r="B168" i="49"/>
  <c r="A329" i="32"/>
  <c r="A1316" i="45"/>
  <c r="B399" i="45"/>
  <c r="A1367" i="49"/>
  <c r="A5" i="47"/>
  <c r="A932" i="45"/>
  <c r="A450" i="45"/>
  <c r="A8828" i="20"/>
  <c r="B623" i="49"/>
  <c r="B238" i="49"/>
  <c r="A567" i="45"/>
  <c r="A907" i="45"/>
  <c r="B170" i="49"/>
  <c r="A240" i="32"/>
  <c r="B903" i="45"/>
  <c r="B594" i="45"/>
  <c r="A1276" i="49"/>
  <c r="A983" i="49"/>
  <c r="B423" i="49"/>
  <c r="B22" i="37"/>
  <c r="B14" i="21"/>
  <c r="A454" i="49"/>
  <c r="B974" i="45"/>
  <c r="A679" i="49"/>
  <c r="A1469" i="49"/>
  <c r="B234" i="50"/>
  <c r="A767" i="45"/>
  <c r="B638" i="49"/>
  <c r="A553" i="49"/>
  <c r="B18" i="48"/>
  <c r="B118" i="50"/>
  <c r="B527" i="49"/>
  <c r="A124" i="49"/>
  <c r="B963" i="49"/>
  <c r="B146" i="49"/>
  <c r="A13" i="50"/>
  <c r="B171" i="45"/>
  <c r="A1244" i="49"/>
  <c r="B1044" i="45"/>
  <c r="B1063" i="45"/>
  <c r="A958" i="49"/>
  <c r="B1151" i="49"/>
  <c r="B416" i="45"/>
  <c r="B1321" i="49"/>
  <c r="A113" i="50"/>
  <c r="A1113" i="45"/>
  <c r="B539" i="49"/>
  <c r="B30" i="21"/>
  <c r="B1393" i="49"/>
  <c r="A5" i="49"/>
  <c r="A799" i="45"/>
  <c r="B320" i="49"/>
  <c r="B195" i="49"/>
  <c r="B46" i="50"/>
  <c r="B12" i="49"/>
  <c r="B1161" i="45"/>
  <c r="A132" i="45"/>
  <c r="A65" i="45"/>
  <c r="A822" i="49"/>
  <c r="B288" i="45"/>
  <c r="A1253" i="49"/>
  <c r="A128" i="52"/>
  <c r="A586" i="49"/>
  <c r="B174" i="49"/>
  <c r="A457" i="49"/>
  <c r="B480" i="49"/>
  <c r="A322" i="45"/>
  <c r="B262" i="45"/>
  <c r="A947" i="49"/>
  <c r="A82" i="47"/>
  <c r="C87" i="52"/>
  <c r="A34" i="49"/>
  <c r="A185" i="49"/>
  <c r="A1390" i="49"/>
  <c r="A728" i="45"/>
  <c r="B293" i="49"/>
  <c r="B748" i="49"/>
  <c r="A1334" i="49"/>
  <c r="B836" i="49"/>
  <c r="B565" i="45"/>
  <c r="A608" i="49"/>
  <c r="A787" i="45"/>
  <c r="N13" i="33"/>
  <c r="A778" i="49"/>
  <c r="B1204" i="45"/>
  <c r="B1296" i="45"/>
  <c r="B1095" i="45"/>
  <c r="A319" i="45"/>
  <c r="A135" i="45"/>
  <c r="B618" i="49"/>
  <c r="A368" i="32"/>
  <c r="A934" i="49"/>
  <c r="A512" i="49"/>
  <c r="B1246" i="49"/>
  <c r="A8995" i="20"/>
  <c r="B173" i="49"/>
  <c r="A1106" i="49"/>
  <c r="B87" i="45"/>
  <c r="B456" i="49"/>
  <c r="B344" i="45"/>
  <c r="B728" i="49"/>
  <c r="A7711" i="20"/>
  <c r="M2" i="29"/>
  <c r="A340" i="49"/>
  <c r="B1229" i="49"/>
  <c r="B281" i="49"/>
  <c r="A1244" i="45"/>
  <c r="A991" i="45"/>
  <c r="B43" i="45"/>
  <c r="A642" i="45"/>
  <c r="A743" i="49"/>
  <c r="B312" i="49"/>
  <c r="N54" i="33"/>
  <c r="A447" i="45"/>
  <c r="B307" i="49"/>
  <c r="A516" i="45"/>
  <c r="A8" i="39"/>
  <c r="C1" i="46"/>
  <c r="B7783" i="20"/>
  <c r="B532" i="45"/>
  <c r="A117" i="45"/>
  <c r="B831" i="45"/>
  <c r="B254" i="45"/>
  <c r="A8869" i="20"/>
  <c r="N17" i="33"/>
  <c r="A432" i="45"/>
  <c r="A502" i="45"/>
  <c r="A1286" i="45"/>
  <c r="A1061" i="45"/>
  <c r="A8818" i="20"/>
  <c r="A175" i="32"/>
  <c r="B204" i="50"/>
  <c r="B264" i="49"/>
  <c r="B953" i="49"/>
  <c r="A53" i="56"/>
  <c r="A646" i="49"/>
  <c r="A23" i="56"/>
  <c r="A43" i="56"/>
  <c r="B776" i="49"/>
  <c r="B681" i="49"/>
  <c r="B586" i="49"/>
  <c r="B587" i="49"/>
  <c r="B163" i="49"/>
  <c r="A760" i="45"/>
  <c r="B1336" i="49"/>
  <c r="A361" i="32"/>
  <c r="B125" i="50"/>
  <c r="B578" i="49"/>
  <c r="A838" i="49"/>
  <c r="B696" i="45"/>
  <c r="A1288" i="45"/>
  <c r="A937" i="49"/>
  <c r="B1308" i="49"/>
  <c r="A1275" i="45"/>
  <c r="A1015" i="49"/>
  <c r="A100" i="52"/>
  <c r="A1171" i="45"/>
  <c r="A292" i="49"/>
  <c r="B999" i="49"/>
  <c r="A829" i="45"/>
  <c r="B933" i="49"/>
  <c r="A221" i="45"/>
  <c r="B32" i="45"/>
  <c r="C86" i="52"/>
  <c r="B457" i="49"/>
  <c r="B908" i="45"/>
  <c r="B1257" i="49"/>
  <c r="A723" i="45"/>
  <c r="B429" i="49"/>
  <c r="A446" i="49"/>
  <c r="A819" i="45"/>
  <c r="A740" i="45"/>
  <c r="B518" i="45"/>
  <c r="A340" i="32"/>
  <c r="A350" i="49"/>
  <c r="A370" i="49"/>
  <c r="B905" i="45"/>
  <c r="B15" i="49"/>
  <c r="B27" i="49"/>
  <c r="A140" i="49"/>
  <c r="A36" i="32"/>
  <c r="A86" i="49"/>
  <c r="A747" i="49"/>
  <c r="B198" i="45"/>
  <c r="B509" i="49"/>
  <c r="B67" i="50"/>
  <c r="B896" i="49"/>
  <c r="B1002" i="49"/>
  <c r="B20" i="54"/>
  <c r="A561" i="49"/>
  <c r="A879" i="49"/>
  <c r="B210" i="49"/>
  <c r="B561" i="49"/>
  <c r="A1025" i="49"/>
  <c r="A358" i="49"/>
  <c r="B725" i="49"/>
  <c r="A845" i="49"/>
  <c r="A1365" i="49"/>
  <c r="A804" i="49"/>
  <c r="B1262" i="49"/>
  <c r="B902" i="49"/>
  <c r="B145" i="50"/>
  <c r="A424" i="49"/>
  <c r="A757" i="49"/>
  <c r="A1180" i="49"/>
  <c r="A1085" i="49"/>
  <c r="A1001" i="49"/>
  <c r="A676" i="49"/>
  <c r="B1205" i="49"/>
  <c r="A979" i="45"/>
  <c r="A1225" i="45"/>
  <c r="A160" i="49"/>
  <c r="A68" i="49"/>
  <c r="A715" i="49"/>
  <c r="A130" i="52"/>
  <c r="B3" i="40"/>
  <c r="B508" i="49"/>
  <c r="B320" i="45"/>
  <c r="A262" i="49"/>
  <c r="A482" i="45"/>
  <c r="B19" i="50"/>
  <c r="B154" i="52"/>
  <c r="B46" i="52"/>
  <c r="B775" i="49"/>
  <c r="A1103" i="49"/>
  <c r="A1432" i="49"/>
  <c r="B778" i="49"/>
  <c r="B771" i="49"/>
  <c r="A218" i="49"/>
  <c r="B663" i="49"/>
  <c r="A216" i="45"/>
  <c r="B208" i="49"/>
  <c r="B646" i="45"/>
  <c r="A1499" i="49"/>
  <c r="B108" i="50"/>
  <c r="A969" i="49"/>
  <c r="A1277" i="45"/>
  <c r="A619" i="49"/>
  <c r="A90" i="49"/>
  <c r="A1215" i="45"/>
  <c r="A67" i="47"/>
  <c r="B366" i="49"/>
  <c r="A660" i="49"/>
  <c r="A528" i="45"/>
  <c r="A741" i="49"/>
  <c r="A26" i="31"/>
  <c r="B28" i="45"/>
  <c r="A770" i="49"/>
  <c r="A267" i="49"/>
  <c r="B416" i="49"/>
  <c r="B79" i="50"/>
  <c r="A837" i="45"/>
  <c r="A1321" i="45"/>
  <c r="B396" i="49"/>
  <c r="B448" i="49"/>
  <c r="A558" i="49"/>
  <c r="B476" i="45"/>
  <c r="B577" i="49"/>
  <c r="A357" i="32"/>
  <c r="A56" i="45"/>
  <c r="B433" i="45"/>
  <c r="A84" i="49"/>
  <c r="A79" i="32"/>
  <c r="B1063" i="49"/>
  <c r="A650" i="49"/>
  <c r="A1181" i="45"/>
  <c r="A342" i="45"/>
  <c r="A179" i="49"/>
  <c r="A952" i="45"/>
  <c r="B1038" i="49"/>
  <c r="A771" i="45"/>
  <c r="A765" i="49"/>
  <c r="B1300" i="45"/>
  <c r="A577" i="45"/>
  <c r="A1095" i="45"/>
  <c r="M16" i="33"/>
  <c r="A381" i="45"/>
  <c r="A1306" i="49"/>
  <c r="A56" i="56"/>
  <c r="A1231" i="49"/>
  <c r="B942" i="49"/>
  <c r="B4" i="56"/>
  <c r="A70" i="49"/>
  <c r="A5" i="54"/>
  <c r="A4" i="57"/>
  <c r="A1264" i="49"/>
  <c r="A1122" i="49"/>
  <c r="B1367" i="49"/>
  <c r="A222" i="49"/>
  <c r="B71" i="49"/>
  <c r="A793" i="45"/>
  <c r="A335" i="49"/>
  <c r="A965" i="45"/>
  <c r="B1152" i="45"/>
  <c r="B1093" i="45"/>
  <c r="A20" i="48"/>
  <c r="B142" i="50"/>
  <c r="B1234" i="45"/>
  <c r="B663" i="45"/>
  <c r="B614" i="49"/>
  <c r="B90" i="49"/>
  <c r="A246" i="45"/>
  <c r="A1046" i="49"/>
  <c r="N59" i="33"/>
  <c r="A1182" i="49"/>
  <c r="A1189" i="45"/>
  <c r="B206" i="49"/>
  <c r="B1154" i="45"/>
  <c r="A364" i="49"/>
  <c r="B597" i="49"/>
  <c r="B213" i="45"/>
  <c r="A1486" i="49"/>
  <c r="A435" i="49"/>
  <c r="A1340" i="49"/>
  <c r="C1" i="53"/>
  <c r="B1384" i="49"/>
  <c r="A72" i="56"/>
  <c r="B1319" i="45"/>
  <c r="B719" i="45"/>
  <c r="N72" i="33"/>
  <c r="B901" i="45"/>
  <c r="B1313" i="49"/>
  <c r="A1187" i="49"/>
  <c r="B6" i="49"/>
  <c r="A12" i="56"/>
  <c r="B72" i="52"/>
  <c r="B52" i="49"/>
  <c r="M28" i="29"/>
  <c r="A762" i="49"/>
  <c r="B779" i="49"/>
  <c r="B189" i="49"/>
  <c r="B422" i="49"/>
  <c r="A507" i="49"/>
  <c r="B760" i="49"/>
  <c r="B148" i="45"/>
  <c r="B1487" i="49"/>
  <c r="A40" i="21"/>
  <c r="B1337" i="49"/>
  <c r="A531" i="49"/>
  <c r="B1130" i="45"/>
  <c r="B138" i="49"/>
  <c r="B35" i="52"/>
  <c r="B124" i="49"/>
  <c r="B397" i="45"/>
  <c r="B973" i="49"/>
  <c r="B1226" i="45"/>
  <c r="A208" i="50"/>
  <c r="A1315" i="49"/>
  <c r="B612" i="49"/>
  <c r="N36" i="29"/>
  <c r="A451" i="49"/>
  <c r="A1427" i="49"/>
  <c r="B419" i="49"/>
  <c r="B2" i="43"/>
  <c r="B704" i="45"/>
  <c r="A961" i="45"/>
  <c r="A1330" i="49"/>
  <c r="B789" i="45"/>
  <c r="A26" i="45"/>
  <c r="B1392" i="49"/>
  <c r="B322" i="49"/>
  <c r="B59" i="50"/>
  <c r="A1217" i="49"/>
  <c r="B65" i="56"/>
  <c r="A1040" i="49"/>
  <c r="A1425" i="49"/>
  <c r="M7" i="29"/>
  <c r="A663" i="49"/>
  <c r="B365" i="49"/>
  <c r="B1023" i="45"/>
  <c r="B278" i="45"/>
  <c r="A1111" i="49"/>
  <c r="A903" i="45"/>
  <c r="A26" i="25"/>
  <c r="A148" i="49"/>
  <c r="B821" i="49"/>
  <c r="A433" i="45"/>
  <c r="A479" i="49"/>
  <c r="A287" i="45"/>
  <c r="A1146" i="45"/>
  <c r="C16" i="21"/>
  <c r="A1149" i="45"/>
  <c r="N34" i="29"/>
  <c r="A264" i="45"/>
  <c r="B8008" i="20"/>
  <c r="B8039" i="20"/>
  <c r="A76" i="50"/>
  <c r="B143" i="52"/>
  <c r="B949" i="49"/>
  <c r="B636" i="49"/>
  <c r="B1348" i="49"/>
  <c r="A82" i="49"/>
  <c r="A1287" i="49"/>
  <c r="A128" i="49"/>
  <c r="B121" i="52"/>
  <c r="A195" i="49"/>
  <c r="A1272" i="49"/>
  <c r="A1146" i="49"/>
  <c r="B743" i="49"/>
  <c r="B777" i="45"/>
  <c r="B1098" i="49"/>
  <c r="B840" i="49"/>
  <c r="B1239" i="49"/>
  <c r="A1056" i="49"/>
  <c r="A45" i="47"/>
  <c r="B252" i="45"/>
  <c r="B101" i="50"/>
  <c r="A1278" i="49"/>
  <c r="A1245" i="49"/>
  <c r="B157" i="50"/>
  <c r="B139" i="49"/>
  <c r="A827" i="45"/>
  <c r="B7" i="39"/>
  <c r="A411" i="49"/>
  <c r="A1174" i="45"/>
  <c r="A906" i="45"/>
  <c r="B216" i="45"/>
  <c r="A1043" i="45"/>
  <c r="A32" i="49"/>
  <c r="A813" i="45"/>
  <c r="B367" i="49"/>
  <c r="B1304" i="45"/>
  <c r="A861" i="49"/>
  <c r="A1280" i="45"/>
  <c r="A414" i="45"/>
  <c r="A9099" i="20"/>
  <c r="A196" i="45"/>
  <c r="A10" i="48"/>
  <c r="A723" i="49"/>
  <c r="A780" i="49"/>
  <c r="B119" i="49"/>
  <c r="A774" i="49"/>
  <c r="B53" i="45"/>
  <c r="A2" i="48"/>
  <c r="A458" i="49"/>
  <c r="A700" i="49"/>
  <c r="A803" i="49"/>
  <c r="A64" i="56"/>
  <c r="M59" i="33"/>
  <c r="B7" i="57"/>
  <c r="A973" i="49"/>
  <c r="B679" i="49"/>
  <c r="B604" i="45"/>
  <c r="A449" i="45"/>
  <c r="B373" i="45"/>
  <c r="A8977" i="20"/>
  <c r="A40" i="49"/>
  <c r="A69" i="50"/>
  <c r="B585" i="45"/>
  <c r="A1456" i="49"/>
  <c r="C8" i="53"/>
  <c r="B516" i="49"/>
  <c r="B1315" i="49"/>
  <c r="N14" i="33"/>
  <c r="B297" i="45"/>
  <c r="A947" i="45"/>
  <c r="A213" i="49"/>
  <c r="A237" i="49"/>
  <c r="B91" i="49"/>
  <c r="A58" i="56"/>
  <c r="B61" i="50"/>
  <c r="A311" i="49"/>
  <c r="B182" i="49"/>
  <c r="B6" i="53"/>
  <c r="B1124" i="49"/>
  <c r="B323" i="49"/>
  <c r="B999" i="45"/>
  <c r="B390" i="49"/>
  <c r="A1003" i="49"/>
  <c r="B522" i="49"/>
  <c r="A839" i="45"/>
  <c r="A775" i="49"/>
  <c r="A232" i="49"/>
  <c r="A29" i="50"/>
  <c r="B1077" i="45"/>
  <c r="A243" i="45"/>
  <c r="B796" i="49"/>
  <c r="A1223" i="45"/>
  <c r="A1080" i="45"/>
  <c r="A263" i="45"/>
  <c r="M67" i="33"/>
  <c r="A8764" i="20"/>
  <c r="B757" i="49"/>
  <c r="A1222" i="45"/>
  <c r="A257" i="32"/>
  <c r="B8" i="37"/>
  <c r="A836" i="49"/>
  <c r="A901" i="45"/>
  <c r="A1442" i="49"/>
  <c r="A1169" i="45"/>
  <c r="B1456" i="49"/>
  <c r="A181" i="32"/>
  <c r="B1220" i="45"/>
  <c r="B127" i="50"/>
  <c r="A758" i="45"/>
  <c r="A764" i="45"/>
  <c r="A93" i="49"/>
  <c r="A1463" i="49"/>
  <c r="B1271" i="49"/>
  <c r="A47" i="49"/>
  <c r="B150" i="45"/>
  <c r="B11" i="43"/>
  <c r="B8858" i="20"/>
  <c r="N5" i="29"/>
  <c r="B57" i="45"/>
  <c r="A323" i="49"/>
  <c r="B269" i="45"/>
  <c r="B291" i="49"/>
  <c r="A65" i="47"/>
  <c r="B1008" i="45"/>
  <c r="A940" i="45"/>
  <c r="B8825" i="20"/>
  <c r="B1090" i="45"/>
  <c r="B1499" i="49"/>
  <c r="A491" i="49"/>
  <c r="A488" i="49"/>
  <c r="A1386" i="49"/>
  <c r="A1016" i="49"/>
  <c r="B11" i="55"/>
  <c r="B47" i="52"/>
  <c r="B22" i="50"/>
  <c r="A1315" i="45"/>
  <c r="B894" i="49"/>
  <c r="A811" i="49"/>
  <c r="A68" i="47"/>
  <c r="A627" i="49"/>
  <c r="B192" i="50"/>
  <c r="B198" i="49"/>
  <c r="B798" i="49"/>
  <c r="A1337" i="49"/>
  <c r="A1329" i="49"/>
  <c r="A696" i="49"/>
  <c r="B1489" i="49"/>
  <c r="B147" i="50"/>
  <c r="B941" i="49"/>
  <c r="A99" i="49"/>
  <c r="B242" i="49"/>
  <c r="A500" i="49"/>
  <c r="B895" i="45"/>
  <c r="A1227" i="49"/>
  <c r="A20" i="50"/>
  <c r="B882" i="49"/>
  <c r="A1010" i="49"/>
  <c r="A44" i="52"/>
  <c r="A1166" i="49"/>
  <c r="A620" i="49"/>
  <c r="A304" i="32"/>
  <c r="N11" i="33"/>
  <c r="B221" i="50"/>
  <c r="B992" i="49"/>
  <c r="B1198" i="49"/>
  <c r="A594" i="49"/>
  <c r="A77" i="50"/>
  <c r="A1208" i="49"/>
  <c r="B259" i="49"/>
  <c r="B142" i="52"/>
  <c r="B210" i="50"/>
  <c r="A139" i="49"/>
  <c r="A674" i="49"/>
  <c r="B80" i="49"/>
  <c r="A1159" i="49"/>
  <c r="B728" i="45"/>
  <c r="A672" i="49"/>
  <c r="B673" i="49"/>
  <c r="B884" i="49"/>
  <c r="B1288" i="45"/>
  <c r="A420" i="49"/>
  <c r="B137" i="49"/>
  <c r="B1158" i="49"/>
  <c r="A130" i="50"/>
  <c r="A1057" i="45"/>
  <c r="A344" i="45"/>
  <c r="B98" i="50"/>
  <c r="B1102" i="45"/>
  <c r="B582" i="45"/>
  <c r="A24" i="50"/>
  <c r="B1191" i="49"/>
  <c r="B1189" i="45"/>
  <c r="A335" i="32"/>
  <c r="B1144" i="49"/>
  <c r="B801" i="45"/>
  <c r="B533" i="45"/>
  <c r="A1124" i="49"/>
  <c r="A576" i="49"/>
  <c r="B951" i="49"/>
  <c r="A976" i="49"/>
  <c r="B603" i="45"/>
  <c r="B471" i="49"/>
  <c r="B24" i="45"/>
  <c r="B797" i="45"/>
  <c r="B707" i="45"/>
  <c r="A933" i="49"/>
  <c r="B142" i="49"/>
  <c r="A247" i="45"/>
  <c r="A114" i="49"/>
  <c r="A455" i="45"/>
  <c r="A1048" i="45"/>
  <c r="A671" i="45"/>
  <c r="A1254" i="49"/>
  <c r="B161" i="49"/>
  <c r="A146" i="49"/>
  <c r="A1235" i="45"/>
  <c r="B335" i="49"/>
  <c r="A744" i="49"/>
  <c r="C60" i="52"/>
  <c r="A953" i="49"/>
  <c r="B580" i="49"/>
  <c r="A629" i="49"/>
  <c r="A851" i="45"/>
  <c r="A5" i="50"/>
  <c r="A1070" i="49"/>
  <c r="B1134" i="49"/>
  <c r="B1253" i="49"/>
  <c r="B370" i="49"/>
  <c r="B1270" i="49"/>
  <c r="A189" i="49"/>
  <c r="B692" i="49"/>
  <c r="B871" i="45"/>
  <c r="A55" i="52"/>
  <c r="B368" i="49"/>
  <c r="A485" i="49"/>
  <c r="A1462" i="49"/>
  <c r="B967" i="49"/>
  <c r="B1053" i="45"/>
  <c r="B912" i="49"/>
  <c r="A1097" i="45"/>
  <c r="B273" i="49"/>
  <c r="A819" i="49"/>
  <c r="B349" i="49"/>
  <c r="B143" i="49"/>
  <c r="A263" i="49"/>
  <c r="B544" i="45"/>
  <c r="B627" i="49"/>
  <c r="B1184" i="49"/>
  <c r="B1376" i="49"/>
  <c r="B128" i="45"/>
  <c r="A386" i="45"/>
  <c r="A936" i="49"/>
  <c r="A855" i="45"/>
  <c r="A621" i="45"/>
  <c r="B199" i="50"/>
  <c r="B89" i="45"/>
  <c r="B221" i="49"/>
  <c r="A388" i="49"/>
  <c r="A1140" i="49"/>
  <c r="B1057" i="49"/>
  <c r="A100" i="45"/>
  <c r="B1085" i="45"/>
  <c r="A317" i="45"/>
  <c r="A881" i="49"/>
  <c r="A292" i="45"/>
  <c r="B820" i="45"/>
  <c r="B24" i="49"/>
  <c r="A593" i="49"/>
  <c r="N52" i="33"/>
  <c r="A100" i="32"/>
  <c r="A552" i="49"/>
  <c r="B651" i="45"/>
  <c r="B874" i="49"/>
  <c r="A1483" i="49"/>
  <c r="B173" i="50"/>
  <c r="A674" i="45"/>
  <c r="B508" i="45"/>
  <c r="A31" i="31"/>
  <c r="A101" i="52"/>
  <c r="A279" i="49"/>
  <c r="B8706" i="20"/>
  <c r="B129" i="49"/>
  <c r="A1144" i="45"/>
  <c r="A548" i="45"/>
  <c r="N48" i="33"/>
  <c r="A538" i="45"/>
  <c r="B1118" i="49"/>
  <c r="B1196" i="45"/>
  <c r="B1418" i="49"/>
  <c r="B220" i="45"/>
  <c r="A1019" i="45"/>
  <c r="A8811" i="20"/>
  <c r="B247" i="45"/>
  <c r="A91" i="49"/>
  <c r="A1168" i="49"/>
  <c r="A494" i="49"/>
  <c r="B160" i="45"/>
  <c r="A881" i="45"/>
  <c r="A76" i="49"/>
  <c r="A181" i="49"/>
  <c r="B449" i="49"/>
  <c r="B384" i="45"/>
  <c r="B851" i="49"/>
  <c r="A1104" i="49"/>
  <c r="A442" i="49"/>
  <c r="A51" i="49"/>
  <c r="A1232" i="49"/>
  <c r="A19" i="49"/>
  <c r="A47" i="31"/>
  <c r="A1147" i="45"/>
  <c r="A1472" i="49"/>
  <c r="B38" i="50"/>
  <c r="A14" i="25"/>
  <c r="A14" i="31"/>
  <c r="B217" i="45"/>
  <c r="B1129" i="45"/>
  <c r="B14" i="43"/>
  <c r="B991" i="45"/>
  <c r="A1138" i="49"/>
  <c r="B1427" i="49"/>
  <c r="A71" i="45"/>
  <c r="B8761" i="20"/>
  <c r="A37" i="25"/>
  <c r="Y4" i="33"/>
  <c r="A692" i="45"/>
  <c r="B1106" i="45"/>
  <c r="A1" i="44"/>
  <c r="B155" i="49"/>
  <c r="B31" i="50"/>
  <c r="C96" i="52"/>
  <c r="B126" i="52"/>
  <c r="A1250" i="45"/>
  <c r="A49" i="47"/>
  <c r="B18" i="50"/>
  <c r="A12" i="52"/>
  <c r="B13" i="54"/>
  <c r="A117" i="50"/>
  <c r="B1035" i="49"/>
  <c r="B737" i="49"/>
  <c r="A784" i="49"/>
  <c r="A1072" i="49"/>
  <c r="A373" i="32"/>
  <c r="B1252" i="45"/>
  <c r="B482" i="49"/>
  <c r="B955" i="45"/>
  <c r="B967" i="45"/>
  <c r="B18" i="49"/>
  <c r="A509" i="45"/>
  <c r="A875" i="49"/>
  <c r="B1390" i="49"/>
  <c r="A930" i="49"/>
  <c r="A1099" i="49"/>
  <c r="B194" i="49"/>
  <c r="A1371" i="49"/>
  <c r="B959" i="45"/>
  <c r="A1195" i="45"/>
  <c r="A48" i="52"/>
  <c r="B1247" i="45"/>
  <c r="B120" i="49"/>
  <c r="B45" i="52"/>
  <c r="B583" i="49"/>
  <c r="B914" i="45"/>
  <c r="B713" i="45"/>
  <c r="A1028" i="49"/>
  <c r="B92" i="52"/>
  <c r="B857" i="49"/>
  <c r="A1186" i="49"/>
  <c r="A87" i="49"/>
  <c r="B631" i="45"/>
  <c r="A6" i="55"/>
  <c r="A1388" i="49"/>
  <c r="N75" i="33"/>
  <c r="B828" i="49"/>
  <c r="A162" i="45"/>
  <c r="A391" i="49"/>
  <c r="A1183" i="45"/>
  <c r="B9050" i="20"/>
  <c r="B8866" i="20"/>
  <c r="B648" i="49"/>
  <c r="B742" i="45"/>
  <c r="B5" i="57"/>
  <c r="B215" i="50"/>
  <c r="B33" i="50"/>
  <c r="B283" i="49"/>
  <c r="B60" i="45"/>
  <c r="A135" i="50"/>
  <c r="A14" i="48"/>
  <c r="B1391" i="49"/>
  <c r="A856" i="45"/>
  <c r="A176" i="32"/>
  <c r="B1171" i="45"/>
  <c r="B987" i="45"/>
  <c r="A906" i="49"/>
  <c r="A1008" i="49"/>
  <c r="B1346" i="49"/>
  <c r="A1208" i="45"/>
  <c r="B826" i="49"/>
  <c r="A938" i="49"/>
  <c r="A764" i="49"/>
  <c r="B1202" i="45"/>
  <c r="A902" i="49"/>
  <c r="B1055" i="49"/>
  <c r="B965" i="45"/>
  <c r="B501" i="45"/>
  <c r="A786" i="49"/>
  <c r="A537" i="49"/>
  <c r="B12" i="43"/>
  <c r="A946" i="45"/>
  <c r="A452" i="45"/>
  <c r="B839" i="45"/>
  <c r="B750" i="49"/>
  <c r="B1276" i="49"/>
  <c r="A347" i="49"/>
  <c r="B451" i="45"/>
  <c r="A1181" i="49"/>
  <c r="B382" i="45"/>
  <c r="B5" i="56"/>
  <c r="A944" i="49"/>
  <c r="B572" i="49"/>
  <c r="B497" i="45"/>
  <c r="A95" i="49"/>
  <c r="B1" i="40"/>
  <c r="B1" i="37"/>
  <c r="A474" i="45"/>
  <c r="A321" i="49"/>
  <c r="M27" i="33"/>
  <c r="B8834" i="20"/>
  <c r="A8613" i="20"/>
  <c r="A230" i="50"/>
  <c r="B790" i="45"/>
  <c r="A998" i="49"/>
  <c r="A229" i="32"/>
  <c r="A1239" i="49"/>
  <c r="A912" i="45"/>
  <c r="A975" i="49"/>
  <c r="B1048" i="45"/>
  <c r="A1421" i="49"/>
  <c r="B329" i="45"/>
  <c r="A754" i="49"/>
  <c r="M51" i="33"/>
  <c r="A473" i="45"/>
  <c r="B857" i="45"/>
  <c r="M74" i="33"/>
  <c r="B306" i="49"/>
  <c r="A1" i="45"/>
  <c r="A1096" i="45"/>
  <c r="B8103" i="20"/>
  <c r="B371" i="49"/>
  <c r="A410" i="45"/>
  <c r="A226" i="49"/>
  <c r="A1289" i="49"/>
  <c r="A721" i="45"/>
  <c r="A77" i="47"/>
  <c r="B6918" i="20"/>
  <c r="B215" i="45"/>
  <c r="B5" i="53"/>
  <c r="A962" i="49"/>
  <c r="B216" i="49"/>
  <c r="B14" i="55"/>
  <c r="B4" i="50"/>
  <c r="C156" i="52"/>
  <c r="B130" i="50"/>
  <c r="B858" i="45"/>
  <c r="B928" i="49"/>
  <c r="A1436" i="49"/>
  <c r="A10" i="28"/>
  <c r="B624" i="49"/>
  <c r="A18" i="32"/>
  <c r="A8901" i="20"/>
  <c r="A71" i="49"/>
  <c r="B1062" i="49"/>
  <c r="B19" i="49"/>
  <c r="B369" i="45"/>
  <c r="N61" i="33"/>
  <c r="A319" i="49"/>
  <c r="A811" i="45"/>
  <c r="B8018" i="20"/>
  <c r="A79" i="49"/>
  <c r="B5" i="51"/>
  <c r="A1021" i="49"/>
  <c r="B819" i="49"/>
  <c r="B1007" i="49"/>
  <c r="A818" i="45"/>
  <c r="A899" i="49"/>
  <c r="A1356" i="49"/>
  <c r="A21" i="50"/>
  <c r="A533" i="49"/>
  <c r="B1112" i="45"/>
  <c r="A771" i="49"/>
  <c r="B1126" i="49"/>
  <c r="B710" i="49"/>
  <c r="A24" i="45"/>
  <c r="A130" i="45"/>
  <c r="B72" i="49"/>
  <c r="A183" i="49"/>
  <c r="B848" i="45"/>
  <c r="A22" i="28"/>
  <c r="A643" i="49"/>
  <c r="A274" i="49"/>
  <c r="B770" i="49"/>
  <c r="A790" i="49"/>
  <c r="A4" i="24"/>
  <c r="A101" i="49"/>
  <c r="A328" i="49"/>
  <c r="A80" i="45"/>
  <c r="A1323" i="45"/>
  <c r="A66" i="56"/>
  <c r="A1395" i="49"/>
  <c r="B766" i="49"/>
  <c r="B1038" i="45"/>
  <c r="A1185" i="45"/>
  <c r="A477" i="45"/>
  <c r="B1070" i="45"/>
  <c r="A887" i="45"/>
  <c r="B274" i="49"/>
  <c r="A1123" i="45"/>
  <c r="B603" i="49"/>
  <c r="A1127" i="45"/>
  <c r="A630" i="49"/>
  <c r="B1375" i="49"/>
  <c r="A379" i="49"/>
  <c r="B1300" i="49"/>
  <c r="B244" i="49"/>
  <c r="A904" i="49"/>
  <c r="B94" i="49"/>
  <c r="A551" i="45"/>
  <c r="A314" i="45"/>
  <c r="B944" i="49"/>
  <c r="B110" i="50"/>
  <c r="A66" i="47"/>
  <c r="B288" i="49"/>
  <c r="B1208" i="45"/>
  <c r="B1442" i="49"/>
  <c r="B1193" i="49"/>
  <c r="A421" i="49"/>
  <c r="M55" i="33"/>
  <c r="A1213" i="45"/>
  <c r="A939" i="49"/>
  <c r="B824" i="45"/>
  <c r="B1" i="51"/>
  <c r="A6" i="50"/>
  <c r="B887" i="45"/>
  <c r="A1269" i="45"/>
  <c r="A1007" i="45"/>
  <c r="A409" i="49"/>
  <c r="A1139" i="45"/>
  <c r="B347" i="49"/>
  <c r="A188" i="32"/>
  <c r="A378" i="45"/>
  <c r="A282" i="45"/>
  <c r="B96" i="45"/>
  <c r="A30" i="47"/>
  <c r="A557" i="45"/>
  <c r="B414" i="45"/>
  <c r="A804" i="45"/>
  <c r="A140" i="50"/>
  <c r="B611" i="45"/>
  <c r="A484" i="49"/>
  <c r="B494" i="49"/>
  <c r="B695" i="45"/>
  <c r="A809" i="49"/>
  <c r="B675" i="49"/>
  <c r="Y2" i="33"/>
  <c r="B952" i="45"/>
  <c r="A640" i="49"/>
  <c r="A252" i="45"/>
  <c r="B775" i="45"/>
  <c r="B437" i="45"/>
  <c r="B1036" i="49"/>
  <c r="A721" i="49"/>
  <c r="A1068" i="45"/>
  <c r="A183" i="32"/>
  <c r="B840" i="45"/>
  <c r="B665" i="49"/>
  <c r="A296" i="49"/>
  <c r="B778" i="45"/>
  <c r="A1013" i="45"/>
  <c r="B16" i="49"/>
  <c r="A1166" i="45"/>
  <c r="A670" i="45"/>
  <c r="A52" i="45"/>
  <c r="B712" i="45"/>
  <c r="B7759" i="20"/>
  <c r="A789" i="45"/>
  <c r="B8165" i="20"/>
  <c r="B402" i="49"/>
  <c r="A634" i="45"/>
  <c r="B106" i="50"/>
  <c r="B85" i="45"/>
  <c r="A50" i="47"/>
  <c r="A204" i="49"/>
  <c r="A8675" i="20"/>
  <c r="B914" i="49"/>
  <c r="A649" i="49"/>
  <c r="B1111" i="49"/>
  <c r="A324" i="45"/>
  <c r="A1284" i="49"/>
  <c r="A228" i="45"/>
  <c r="B65" i="49"/>
  <c r="A9125" i="20"/>
  <c r="A970" i="49"/>
  <c r="A97" i="45"/>
  <c r="B614" i="45"/>
  <c r="A983" i="45"/>
  <c r="B1274" i="45"/>
  <c r="B842" i="49"/>
  <c r="A1239" i="45"/>
  <c r="M35" i="33"/>
  <c r="A440" i="45"/>
  <c r="B1335" i="49"/>
  <c r="B263" i="49"/>
  <c r="B4" i="48"/>
  <c r="B97" i="50"/>
  <c r="B827" i="49"/>
  <c r="A1" i="36"/>
  <c r="B299" i="45"/>
  <c r="A1009" i="45"/>
  <c r="A584" i="49"/>
  <c r="B924" i="45"/>
  <c r="B183" i="45"/>
  <c r="B823" i="49"/>
  <c r="A1035" i="45"/>
  <c r="A98" i="49"/>
  <c r="B732" i="49"/>
  <c r="Z2" i="33"/>
  <c r="B883" i="45"/>
  <c r="B793" i="49"/>
  <c r="A984" i="49"/>
  <c r="A497" i="45"/>
  <c r="B998" i="45"/>
  <c r="A141" i="52"/>
  <c r="B1011" i="45"/>
  <c r="A286" i="49"/>
  <c r="C1" i="48"/>
  <c r="A821" i="49"/>
  <c r="C1" i="40"/>
  <c r="A1168" i="45"/>
  <c r="A1262" i="45"/>
  <c r="A36" i="45"/>
  <c r="A1312" i="45"/>
  <c r="A1197" i="45"/>
  <c r="A719" i="45"/>
  <c r="A405" i="49"/>
  <c r="B23" i="37"/>
  <c r="A92" i="45"/>
  <c r="B14" i="37"/>
  <c r="A802" i="49"/>
  <c r="A1298" i="45"/>
  <c r="B839" i="49"/>
  <c r="B8666" i="20"/>
  <c r="A427" i="49"/>
  <c r="A705" i="45"/>
  <c r="A584" i="45"/>
  <c r="A60" i="45"/>
  <c r="B126" i="49"/>
  <c r="B1043" i="49"/>
  <c r="C17" i="43"/>
  <c r="A917" i="45"/>
  <c r="N12" i="33"/>
  <c r="B134" i="45"/>
  <c r="A1211" i="45"/>
  <c r="O68" i="33"/>
  <c r="B834" i="49"/>
  <c r="A298" i="49"/>
  <c r="B1206" i="49"/>
  <c r="A295" i="45"/>
  <c r="A1142" i="49"/>
  <c r="B30" i="45"/>
  <c r="A1110" i="49"/>
  <c r="B159" i="49"/>
  <c r="B226" i="49"/>
  <c r="A530" i="49"/>
  <c r="B63" i="49"/>
  <c r="B1255" i="49"/>
  <c r="A86" i="47"/>
  <c r="A959" i="45"/>
  <c r="B8730" i="20"/>
  <c r="A973" i="45"/>
  <c r="B9114" i="20"/>
  <c r="A1040" i="45"/>
  <c r="B470" i="45"/>
  <c r="A8719" i="20"/>
  <c r="B610" i="45"/>
  <c r="A49" i="31"/>
  <c r="A8545" i="20"/>
  <c r="A7572" i="20"/>
  <c r="Y7" i="33"/>
  <c r="B1303" i="49"/>
  <c r="A270" i="49"/>
  <c r="A1405" i="49"/>
  <c r="A277" i="45"/>
  <c r="B3" i="48"/>
  <c r="A368" i="45"/>
  <c r="A306" i="45"/>
  <c r="C21" i="21"/>
  <c r="A138" i="45"/>
  <c r="A387" i="49"/>
  <c r="B199" i="45"/>
  <c r="B876" i="45"/>
  <c r="M66" i="33"/>
  <c r="C15" i="43"/>
  <c r="A1314" i="49"/>
  <c r="B340" i="49"/>
  <c r="A30" i="56"/>
  <c r="B1422" i="49"/>
  <c r="B113" i="45"/>
  <c r="B344" i="49"/>
  <c r="A801" i="45"/>
  <c r="B1125" i="45"/>
  <c r="A1101" i="49"/>
  <c r="B742" i="49"/>
  <c r="B70" i="45"/>
  <c r="A4" i="49"/>
  <c r="B20" i="52"/>
  <c r="A191" i="50"/>
  <c r="A294" i="49"/>
  <c r="A25" i="25"/>
  <c r="A231" i="45"/>
  <c r="B1330" i="49"/>
  <c r="A515" i="49"/>
  <c r="A289" i="32"/>
  <c r="A939" i="45"/>
  <c r="B1006" i="45"/>
  <c r="A109" i="50"/>
  <c r="B38" i="49"/>
  <c r="A374" i="49"/>
  <c r="B1401" i="49"/>
  <c r="A356" i="32"/>
  <c r="A91" i="52"/>
  <c r="A988" i="49"/>
  <c r="A57" i="52"/>
  <c r="A313" i="45"/>
  <c r="B1249" i="45"/>
  <c r="A628" i="45"/>
  <c r="N16" i="33"/>
  <c r="B777" i="49"/>
  <c r="A108" i="49"/>
  <c r="B46" i="49"/>
  <c r="A207" i="32"/>
  <c r="C5" i="55"/>
  <c r="B357" i="49"/>
  <c r="A621" i="49"/>
  <c r="B1317" i="45"/>
  <c r="B16" i="43"/>
  <c r="A1355" i="49"/>
  <c r="A1002" i="45"/>
  <c r="A846" i="45"/>
  <c r="B444" i="45"/>
  <c r="A1" i="38"/>
  <c r="A186" i="45"/>
  <c r="A434" i="49"/>
  <c r="A1294" i="45"/>
  <c r="B756" i="45"/>
  <c r="A914" i="45"/>
  <c r="N8" i="33"/>
  <c r="B326" i="45"/>
  <c r="A26" i="47"/>
  <c r="A336" i="45"/>
  <c r="A575" i="49"/>
  <c r="B237" i="45"/>
  <c r="A970" i="45"/>
  <c r="B8071" i="20"/>
  <c r="B4" i="41"/>
  <c r="B147" i="45"/>
  <c r="B434" i="49"/>
  <c r="A1141" i="49"/>
  <c r="A380" i="45"/>
  <c r="B705" i="49"/>
  <c r="A408" i="49"/>
  <c r="A824" i="45"/>
  <c r="B1222" i="49"/>
  <c r="A742" i="45"/>
  <c r="A794" i="49"/>
  <c r="A568" i="45"/>
  <c r="A310" i="49"/>
  <c r="B397" i="49"/>
  <c r="A913" i="45"/>
  <c r="B1323" i="45"/>
  <c r="B1363" i="49"/>
  <c r="B1166" i="49"/>
  <c r="B269" i="49"/>
  <c r="A8229" i="20"/>
  <c r="A1224" i="49"/>
  <c r="B469" i="49"/>
  <c r="A407" i="49"/>
  <c r="A788" i="49"/>
  <c r="A1120" i="49"/>
  <c r="B465" i="45"/>
  <c r="A390" i="49"/>
  <c r="A351" i="49"/>
  <c r="A121" i="45"/>
  <c r="A1057" i="49"/>
  <c r="B792" i="49"/>
  <c r="A1207" i="49"/>
  <c r="A605" i="49"/>
  <c r="B1157" i="49"/>
  <c r="A1039" i="49"/>
  <c r="A1041" i="45"/>
  <c r="B69" i="49"/>
  <c r="B21" i="45"/>
  <c r="B784" i="49"/>
  <c r="A1327" i="49"/>
  <c r="A1317" i="49"/>
  <c r="B336" i="49"/>
  <c r="A991" i="49"/>
  <c r="B256" i="45"/>
  <c r="B9018" i="20"/>
  <c r="B1287" i="49"/>
  <c r="B86" i="50"/>
  <c r="B450" i="49"/>
  <c r="A1210" i="49"/>
  <c r="A21" i="47"/>
  <c r="B1033" i="49"/>
  <c r="A420" i="45"/>
  <c r="B9058" i="20"/>
  <c r="D1" i="43"/>
  <c r="B9102" i="20"/>
  <c r="B183" i="49"/>
  <c r="A487" i="49"/>
  <c r="A388" i="45"/>
  <c r="A104" i="49"/>
  <c r="B821" i="45"/>
  <c r="B629" i="49"/>
  <c r="A75" i="47"/>
  <c r="A200" i="50"/>
  <c r="B230" i="49"/>
  <c r="A352" i="32"/>
  <c r="A1129" i="49"/>
  <c r="B1214" i="45"/>
  <c r="A766" i="45"/>
  <c r="A562" i="45"/>
  <c r="B525" i="45"/>
  <c r="A110" i="49"/>
  <c r="B428" i="49"/>
  <c r="B315" i="49"/>
  <c r="A918" i="45"/>
  <c r="B380" i="45"/>
  <c r="A868" i="45"/>
  <c r="B720" i="45"/>
  <c r="B600" i="45"/>
  <c r="A8746" i="20"/>
  <c r="A770" i="45"/>
  <c r="B562" i="45"/>
  <c r="A111" i="50"/>
  <c r="A35" i="25"/>
  <c r="B410" i="49"/>
  <c r="A240" i="45"/>
  <c r="B729" i="45"/>
  <c r="A989" i="45"/>
  <c r="A8509" i="20"/>
  <c r="E4" i="33"/>
  <c r="B463" i="45"/>
  <c r="B9034" i="20"/>
  <c r="A956" i="45"/>
  <c r="A1205" i="45"/>
  <c r="B552" i="45"/>
  <c r="B8753" i="20"/>
  <c r="Z7" i="33"/>
  <c r="A126" i="50"/>
  <c r="B351" i="49"/>
  <c r="B962" i="45"/>
  <c r="B8839" i="20"/>
  <c r="A8232" i="20"/>
  <c r="B7404" i="20"/>
  <c r="B8146" i="20"/>
  <c r="AM4" i="33"/>
  <c r="A194" i="45"/>
  <c r="B7532" i="20"/>
  <c r="A8283" i="20"/>
  <c r="B1005" i="45"/>
  <c r="M11" i="33"/>
  <c r="A124" i="32"/>
  <c r="B567" i="45"/>
  <c r="B230" i="45"/>
  <c r="B923" i="45"/>
  <c r="A57" i="47"/>
  <c r="B343" i="45"/>
  <c r="B8722" i="20"/>
  <c r="B9" i="49"/>
  <c r="B8392" i="20"/>
  <c r="A7147" i="20"/>
  <c r="B892" i="45"/>
  <c r="A828" i="49"/>
  <c r="B9" i="56"/>
  <c r="A13" i="56"/>
  <c r="A397" i="45"/>
  <c r="B1295" i="45"/>
  <c r="N31" i="33"/>
  <c r="A692" i="49"/>
  <c r="B298" i="49"/>
  <c r="A470" i="45"/>
  <c r="A1047" i="49"/>
  <c r="A498" i="45"/>
  <c r="A643" i="45"/>
  <c r="A513" i="45"/>
  <c r="A1298" i="49"/>
  <c r="M65" i="33"/>
  <c r="B791" i="49"/>
  <c r="B12" i="45"/>
  <c r="B779" i="45"/>
  <c r="A1175" i="49"/>
  <c r="A19" i="48"/>
  <c r="A8659" i="20"/>
  <c r="B1187" i="45"/>
  <c r="A849" i="45"/>
  <c r="B23" i="49"/>
  <c r="A665" i="45"/>
  <c r="A15" i="49"/>
  <c r="A603" i="49"/>
  <c r="A1118" i="45"/>
  <c r="B2" i="30"/>
  <c r="A8645" i="20"/>
  <c r="A1038" i="45"/>
  <c r="B313" i="45"/>
  <c r="B8465" i="20"/>
  <c r="A9010" i="20"/>
  <c r="A840" i="45"/>
  <c r="A565" i="45"/>
  <c r="A8957" i="20"/>
  <c r="N17" i="29"/>
  <c r="B7556" i="20"/>
  <c r="A5" i="44"/>
  <c r="A8451" i="20"/>
  <c r="B3" i="37"/>
  <c r="B197" i="45"/>
  <c r="B171" i="49"/>
  <c r="B898" i="49"/>
  <c r="A8674" i="20"/>
  <c r="A45" i="25"/>
  <c r="N14" i="29"/>
  <c r="A127" i="32"/>
  <c r="B356" i="45"/>
  <c r="A632" i="45"/>
  <c r="B359" i="49"/>
  <c r="A1059" i="45"/>
  <c r="A679" i="45"/>
  <c r="N44" i="33"/>
  <c r="A1079" i="45"/>
  <c r="C18" i="43"/>
  <c r="A7230" i="20"/>
  <c r="A92" i="32"/>
  <c r="B8729" i="20"/>
  <c r="A9007" i="20"/>
  <c r="B261" i="45"/>
  <c r="A8595" i="20"/>
  <c r="A12" i="43"/>
  <c r="A614" i="49"/>
  <c r="A1064" i="49"/>
  <c r="B48" i="49"/>
  <c r="B986" i="45"/>
  <c r="A519" i="49"/>
  <c r="B22" i="45"/>
  <c r="M8" i="33"/>
  <c r="A9027" i="20"/>
  <c r="A3" i="36"/>
  <c r="A417" i="45"/>
  <c r="A830" i="49"/>
  <c r="A631" i="45"/>
  <c r="B224" i="45"/>
  <c r="A55" i="32"/>
  <c r="A8528" i="20"/>
  <c r="A9037" i="20"/>
  <c r="M52" i="33"/>
  <c r="C16" i="43"/>
  <c r="A7824" i="20"/>
  <c r="A61" i="47"/>
  <c r="C145" i="52"/>
  <c r="A1149" i="49"/>
  <c r="B1447" i="49"/>
  <c r="A30" i="50"/>
  <c r="A1041" i="49"/>
  <c r="B468" i="49"/>
  <c r="B276" i="49"/>
  <c r="B1220" i="49"/>
  <c r="A1071" i="49"/>
  <c r="A237" i="50"/>
  <c r="A571" i="49"/>
  <c r="C12" i="21"/>
  <c r="A1203" i="45"/>
  <c r="A803" i="45"/>
  <c r="A1110" i="45"/>
  <c r="A15" i="31"/>
  <c r="A1307" i="45"/>
  <c r="B348" i="45"/>
  <c r="B1042" i="45"/>
  <c r="B8" i="21"/>
  <c r="B681" i="45"/>
  <c r="A63" i="32"/>
  <c r="B693" i="45"/>
  <c r="A468" i="49"/>
  <c r="B625" i="49"/>
  <c r="A1325" i="45"/>
  <c r="B871" i="49"/>
  <c r="B929" i="45"/>
  <c r="A1112" i="49"/>
  <c r="A27" i="28"/>
  <c r="A481" i="45"/>
  <c r="A1228" i="45"/>
  <c r="B193" i="50"/>
  <c r="A1267" i="45"/>
  <c r="A351" i="32"/>
  <c r="A825" i="45"/>
  <c r="A51" i="47"/>
  <c r="B535" i="45"/>
  <c r="B1491" i="49"/>
  <c r="A1270" i="49"/>
  <c r="A1451" i="49"/>
  <c r="A78" i="47"/>
  <c r="A169" i="32"/>
  <c r="B1421" i="49"/>
  <c r="B587" i="45"/>
  <c r="A31" i="32"/>
  <c r="A1240" i="49"/>
  <c r="B8282" i="20"/>
  <c r="B667" i="45"/>
  <c r="A670" i="49"/>
  <c r="A23" i="49"/>
  <c r="A374" i="45"/>
  <c r="B950" i="49"/>
  <c r="A806" i="49"/>
  <c r="B1151" i="45"/>
  <c r="B102" i="45"/>
  <c r="A366" i="49"/>
  <c r="A1034" i="45"/>
  <c r="B8738" i="20"/>
  <c r="B500" i="49"/>
  <c r="B158" i="45"/>
  <c r="B563" i="49"/>
  <c r="A872" i="49"/>
  <c r="B859" i="49"/>
  <c r="B187" i="50"/>
  <c r="A854" i="49"/>
  <c r="B608" i="45"/>
  <c r="A180" i="50"/>
  <c r="A1036" i="45"/>
  <c r="C79" i="52"/>
  <c r="B121" i="49"/>
  <c r="B119" i="45"/>
  <c r="B36" i="49"/>
  <c r="B1176" i="45"/>
  <c r="B1280" i="49"/>
  <c r="A88" i="49"/>
  <c r="A157" i="52"/>
  <c r="B960" i="49"/>
  <c r="A220" i="50"/>
  <c r="A972" i="45"/>
  <c r="A833" i="45"/>
  <c r="A8997" i="20"/>
  <c r="B222" i="49"/>
  <c r="A349" i="45"/>
  <c r="A510" i="45"/>
  <c r="B866" i="49"/>
  <c r="A564" i="45"/>
  <c r="A1071" i="45"/>
  <c r="B214" i="49"/>
  <c r="B1222" i="45"/>
  <c r="A390" i="45"/>
  <c r="B878" i="49"/>
  <c r="A823" i="45"/>
  <c r="A33" i="47"/>
  <c r="A1127" i="49"/>
  <c r="B906" i="45"/>
  <c r="A473" i="49"/>
  <c r="A250" i="45"/>
  <c r="A188" i="45"/>
  <c r="B1255" i="45"/>
  <c r="B1101" i="49"/>
  <c r="A164" i="32"/>
  <c r="B1028" i="49"/>
  <c r="A911" i="45"/>
  <c r="B151" i="45"/>
  <c r="B266" i="49"/>
  <c r="B817" i="49"/>
  <c r="A143" i="49"/>
  <c r="B1326" i="49"/>
  <c r="A698" i="45"/>
  <c r="A595" i="49"/>
  <c r="B1164" i="49"/>
  <c r="A848" i="49"/>
  <c r="C46" i="52"/>
  <c r="A8753" i="20"/>
  <c r="A58" i="45"/>
  <c r="A127" i="45"/>
  <c r="B284" i="45"/>
  <c r="A11" i="27"/>
  <c r="B920" i="45"/>
  <c r="B227" i="45"/>
  <c r="A659" i="45"/>
  <c r="A854" i="45"/>
  <c r="M37" i="33"/>
  <c r="B1057" i="45"/>
  <c r="B8058" i="20"/>
  <c r="A746" i="45"/>
  <c r="B8208" i="20"/>
  <c r="A869" i="49"/>
  <c r="A8380" i="20"/>
  <c r="A293" i="49"/>
  <c r="A153" i="32"/>
  <c r="A951" i="49"/>
  <c r="A277" i="49"/>
  <c r="A656" i="45"/>
  <c r="B127" i="49"/>
  <c r="A58" i="49"/>
  <c r="A1295" i="45"/>
  <c r="A1158" i="49"/>
  <c r="B245" i="45"/>
  <c r="B1389" i="49"/>
  <c r="B472" i="49"/>
  <c r="B1243" i="49"/>
  <c r="B79" i="45"/>
  <c r="A327" i="49"/>
  <c r="B484" i="49"/>
  <c r="B1032" i="49"/>
  <c r="B427" i="45"/>
  <c r="B16" i="48"/>
  <c r="A6" i="54"/>
  <c r="A42" i="56"/>
  <c r="D3" i="43"/>
  <c r="A1131" i="45"/>
  <c r="A923" i="45"/>
  <c r="B592" i="49"/>
  <c r="B1286" i="45"/>
  <c r="B168" i="52"/>
  <c r="B1119" i="49"/>
  <c r="A1060" i="45"/>
  <c r="B1071" i="49"/>
  <c r="A280" i="45"/>
  <c r="B358" i="45"/>
  <c r="B84" i="49"/>
  <c r="B1354" i="49"/>
  <c r="A98" i="45"/>
  <c r="A8843" i="20"/>
  <c r="A343" i="49"/>
  <c r="B944" i="45"/>
  <c r="B431" i="45"/>
  <c r="A914" i="49"/>
  <c r="A720" i="45"/>
  <c r="B935" i="45"/>
  <c r="A25" i="21"/>
  <c r="B26" i="21"/>
  <c r="B509" i="45"/>
  <c r="A989" i="49"/>
  <c r="B715" i="45"/>
  <c r="A967" i="45"/>
  <c r="A1417" i="49"/>
  <c r="B47" i="56"/>
  <c r="A51" i="52"/>
  <c r="A3" i="23"/>
  <c r="A440" i="49"/>
  <c r="A612" i="45"/>
  <c r="B846" i="49"/>
  <c r="B483" i="45"/>
  <c r="A5" i="43"/>
  <c r="B383" i="49"/>
  <c r="A334" i="49"/>
  <c r="B1196" i="49"/>
  <c r="B275" i="49"/>
  <c r="B490" i="49"/>
  <c r="B110" i="49"/>
  <c r="A9" i="24"/>
  <c r="A3" i="35"/>
  <c r="B12" i="48"/>
  <c r="A569" i="45"/>
  <c r="A342" i="49"/>
  <c r="A201" i="32"/>
  <c r="A7837" i="20"/>
  <c r="A1126" i="49"/>
  <c r="B7" i="43"/>
  <c r="B92" i="45"/>
  <c r="A1039" i="45"/>
  <c r="A117" i="32"/>
  <c r="A1400" i="49"/>
  <c r="B1439" i="49"/>
  <c r="B1271" i="45"/>
  <c r="A4" i="41"/>
  <c r="A63" i="49"/>
  <c r="B8898" i="20"/>
  <c r="A272" i="49"/>
  <c r="B473" i="45"/>
  <c r="B919" i="49"/>
  <c r="A185" i="50"/>
  <c r="B1245" i="45"/>
  <c r="A59" i="47"/>
  <c r="A762" i="45"/>
  <c r="B244" i="45"/>
  <c r="A725" i="49"/>
  <c r="A1242" i="45"/>
  <c r="B292" i="49"/>
  <c r="B1215" i="45"/>
  <c r="C4" i="43"/>
  <c r="A797" i="45"/>
  <c r="B43" i="49"/>
  <c r="A364" i="32"/>
  <c r="B8046" i="20"/>
  <c r="A288" i="32"/>
  <c r="A5086" i="20"/>
  <c r="B485" i="45"/>
  <c r="A213" i="32"/>
  <c r="A711" i="45"/>
  <c r="C28" i="21"/>
  <c r="A84" i="47"/>
  <c r="A730" i="49"/>
  <c r="A988" i="45"/>
  <c r="B345" i="45"/>
  <c r="B8085" i="20"/>
  <c r="A22" i="21"/>
  <c r="B98" i="45"/>
  <c r="A44" i="47"/>
  <c r="B394" i="45"/>
  <c r="A449" i="49"/>
  <c r="B598" i="45"/>
  <c r="A7987" i="20"/>
  <c r="B1409" i="49"/>
  <c r="B438" i="49"/>
  <c r="B1213" i="49"/>
  <c r="B40" i="49"/>
  <c r="A751" i="45"/>
  <c r="B224" i="49"/>
  <c r="A260" i="49"/>
  <c r="B672" i="45"/>
  <c r="B202" i="50"/>
  <c r="B505" i="49"/>
  <c r="B153" i="49"/>
  <c r="B1" i="39"/>
  <c r="B1488" i="49"/>
  <c r="A539" i="49"/>
  <c r="B17" i="43"/>
  <c r="A969" i="45"/>
  <c r="A415" i="49"/>
  <c r="B1048" i="49"/>
  <c r="A1164" i="45"/>
  <c r="A890" i="49"/>
  <c r="B968" i="49"/>
  <c r="A1189" i="49"/>
  <c r="B21" i="54"/>
  <c r="A910" i="45"/>
  <c r="B780" i="45"/>
  <c r="B331" i="45"/>
  <c r="A240" i="49"/>
  <c r="B28" i="49"/>
  <c r="B213" i="50"/>
  <c r="A1293" i="49"/>
  <c r="A25" i="32"/>
  <c r="B323" i="45"/>
  <c r="A313" i="49"/>
  <c r="A511" i="45"/>
  <c r="B815" i="49"/>
  <c r="B8378" i="20"/>
  <c r="B923" i="49"/>
  <c r="B4" i="45"/>
  <c r="B1212" i="49"/>
  <c r="A519" i="45"/>
  <c r="C10" i="52"/>
  <c r="B740" i="49"/>
  <c r="A1399" i="49"/>
  <c r="A925" i="45"/>
  <c r="B495" i="49"/>
  <c r="A164" i="45"/>
  <c r="B486" i="45"/>
  <c r="A103" i="45"/>
  <c r="A1464" i="49"/>
  <c r="B83" i="49"/>
  <c r="A8795" i="20"/>
  <c r="B1056" i="49"/>
  <c r="B8802" i="20"/>
  <c r="A4" i="27"/>
  <c r="B422" i="45"/>
  <c r="A8715" i="20"/>
  <c r="A31" i="52"/>
  <c r="B724" i="45"/>
  <c r="A1" i="24"/>
  <c r="A541" i="49"/>
  <c r="AA2" i="29"/>
  <c r="B495" i="45"/>
  <c r="A260" i="45"/>
  <c r="A888" i="45"/>
  <c r="A266" i="49"/>
  <c r="B1191" i="45"/>
  <c r="B180" i="49"/>
  <c r="A846" i="49"/>
  <c r="B9090" i="20"/>
  <c r="A726" i="49"/>
  <c r="B1469" i="49"/>
  <c r="B1" i="43"/>
  <c r="B294" i="49"/>
  <c r="A607" i="49"/>
  <c r="B902" i="45"/>
  <c r="A368" i="49"/>
  <c r="B365" i="45"/>
  <c r="B954" i="45"/>
  <c r="A197" i="49"/>
  <c r="B400" i="45"/>
  <c r="B408" i="45"/>
  <c r="B517" i="45"/>
  <c r="B1233" i="49"/>
  <c r="A1476" i="49"/>
  <c r="A1323" i="49"/>
  <c r="A649" i="45"/>
  <c r="A181" i="45"/>
  <c r="A62" i="50"/>
  <c r="C16" i="52"/>
  <c r="A117" i="49"/>
  <c r="B209" i="49"/>
  <c r="A1248" i="49"/>
  <c r="A1087" i="45"/>
  <c r="B123" i="49"/>
  <c r="B1" i="36"/>
  <c r="B1188" i="49"/>
  <c r="B457" i="45"/>
  <c r="A1132" i="45"/>
  <c r="A1214" i="49"/>
  <c r="A749" i="49"/>
  <c r="B564" i="49"/>
  <c r="B890" i="49"/>
  <c r="B890" i="45"/>
  <c r="B910" i="45"/>
  <c r="B1218" i="45"/>
  <c r="A707" i="45"/>
  <c r="A4" i="44"/>
  <c r="A15" i="48"/>
  <c r="A1413" i="49"/>
  <c r="B501" i="49"/>
  <c r="B879" i="49"/>
  <c r="B98" i="49"/>
  <c r="B8154" i="20"/>
  <c r="F2" i="29"/>
  <c r="B235" i="45"/>
  <c r="A1210" i="45"/>
  <c r="B1182" i="45"/>
  <c r="A253" i="45"/>
  <c r="B7719" i="20"/>
  <c r="A663" i="45"/>
  <c r="A282" i="49"/>
  <c r="B1118" i="45"/>
  <c r="A1101" i="45"/>
  <c r="A1305" i="45"/>
  <c r="B42" i="49"/>
  <c r="A1268" i="45"/>
  <c r="A230" i="49"/>
  <c r="B892" i="49"/>
  <c r="A285" i="45"/>
  <c r="B1143" i="45"/>
  <c r="B350" i="45"/>
  <c r="B1251" i="49"/>
  <c r="A493" i="49"/>
  <c r="A23" i="47"/>
  <c r="B46" i="56"/>
  <c r="B188" i="49"/>
  <c r="A817" i="45"/>
  <c r="A8" i="48"/>
  <c r="B1235" i="45"/>
  <c r="A9123" i="20"/>
  <c r="B838" i="45"/>
  <c r="B834" i="45"/>
  <c r="O74" i="33"/>
  <c r="B66" i="49"/>
  <c r="B8" i="48"/>
  <c r="A173" i="49"/>
  <c r="A1289" i="45"/>
  <c r="A389" i="45"/>
  <c r="A142" i="45"/>
  <c r="A812" i="45"/>
  <c r="A607" i="45"/>
  <c r="A8144" i="20"/>
  <c r="B272" i="49"/>
  <c r="A556" i="45"/>
  <c r="B1305" i="49"/>
  <c r="A647" i="45"/>
  <c r="B1021" i="45"/>
  <c r="A832" i="45"/>
  <c r="B1081" i="45"/>
  <c r="A365" i="45"/>
  <c r="A739" i="45"/>
  <c r="B196" i="45"/>
  <c r="A520" i="45"/>
  <c r="A499" i="45"/>
  <c r="B201" i="49"/>
  <c r="B63" i="45"/>
  <c r="A1282" i="45"/>
  <c r="G2" i="33"/>
  <c r="B52" i="45"/>
  <c r="A877" i="45"/>
  <c r="B8728" i="20"/>
  <c r="A992" i="49"/>
  <c r="A1249" i="49"/>
  <c r="B8231" i="20"/>
  <c r="B407" i="45"/>
  <c r="A795" i="45"/>
  <c r="B7711" i="20"/>
  <c r="B996" i="45"/>
  <c r="B873" i="45"/>
  <c r="M25" i="33"/>
  <c r="A933" i="45"/>
  <c r="B695" i="49"/>
  <c r="A9073" i="20"/>
  <c r="A8786" i="20"/>
  <c r="B9052" i="20"/>
  <c r="A116" i="45"/>
  <c r="B764" i="45"/>
  <c r="B132" i="49"/>
  <c r="A124" i="45"/>
  <c r="B120" i="45"/>
  <c r="B816" i="45"/>
  <c r="A8496" i="20"/>
  <c r="B8878" i="20"/>
  <c r="B6" i="48"/>
  <c r="A971" i="45"/>
  <c r="C54" i="21"/>
  <c r="B390" i="45"/>
  <c r="A565" i="49"/>
  <c r="A456" i="45"/>
  <c r="A341" i="32"/>
  <c r="B23" i="21"/>
  <c r="A8556" i="20"/>
  <c r="B7995" i="20"/>
  <c r="A336" i="32"/>
  <c r="A505" i="49"/>
  <c r="A225" i="49"/>
  <c r="K2" i="29"/>
  <c r="B361" i="45"/>
  <c r="A108" i="32"/>
  <c r="B11" i="37"/>
  <c r="A645" i="45"/>
  <c r="A409" i="45"/>
  <c r="B885" i="45"/>
  <c r="A7763" i="20"/>
  <c r="N58" i="33"/>
  <c r="B7246" i="20"/>
  <c r="A89" i="45"/>
  <c r="A978" i="45"/>
  <c r="B235" i="49"/>
  <c r="B8364" i="20"/>
  <c r="B515" i="45"/>
  <c r="B760" i="45"/>
  <c r="A468" i="45"/>
  <c r="A8946" i="20"/>
  <c r="B7" i="21"/>
  <c r="A293" i="45"/>
  <c r="A3" i="30"/>
  <c r="A7950" i="20"/>
  <c r="A16" i="23"/>
  <c r="A4830" i="20"/>
  <c r="B8313" i="20"/>
  <c r="A551" i="49"/>
  <c r="A1291" i="45"/>
  <c r="A23" i="37"/>
  <c r="A848" i="45"/>
  <c r="A3" i="37"/>
  <c r="B303" i="45"/>
  <c r="B255" i="45"/>
  <c r="A10" i="45"/>
  <c r="U1" i="33"/>
  <c r="B627" i="45"/>
  <c r="B832" i="49"/>
  <c r="A654" i="49"/>
  <c r="B42" i="45"/>
  <c r="A1129" i="45"/>
  <c r="A8859" i="20"/>
  <c r="B646" i="49"/>
  <c r="A1467" i="49"/>
  <c r="A15" i="32"/>
  <c r="B64" i="45"/>
  <c r="B1478" i="49"/>
  <c r="A698" i="49"/>
  <c r="B384" i="49"/>
  <c r="A669" i="49"/>
  <c r="A28" i="49"/>
  <c r="A1310" i="45"/>
  <c r="A85" i="49"/>
  <c r="B441" i="45"/>
  <c r="B1280" i="45"/>
  <c r="A8304" i="20"/>
  <c r="A8717" i="20"/>
  <c r="A298" i="45"/>
  <c r="B707" i="49"/>
  <c r="B7598" i="20"/>
  <c r="A1" i="50"/>
  <c r="A73" i="52"/>
  <c r="B37" i="49"/>
  <c r="A147" i="52"/>
  <c r="B943" i="49"/>
  <c r="A1437" i="49"/>
  <c r="A1213" i="49"/>
  <c r="B796" i="45"/>
  <c r="A860" i="49"/>
  <c r="A1058" i="49"/>
  <c r="B1397" i="49"/>
  <c r="A41" i="50"/>
  <c r="B1157" i="45"/>
  <c r="B113" i="52"/>
  <c r="B318" i="49"/>
  <c r="A805" i="49"/>
  <c r="B1114" i="45"/>
  <c r="B658" i="49"/>
  <c r="A109" i="49"/>
  <c r="B559" i="45"/>
  <c r="A763" i="45"/>
  <c r="B540" i="45"/>
  <c r="A706" i="49"/>
  <c r="A1496" i="49"/>
  <c r="A6" i="49"/>
  <c r="A404" i="49"/>
  <c r="A431" i="49"/>
  <c r="A8357" i="20"/>
  <c r="A1297" i="49"/>
  <c r="B1119" i="45"/>
  <c r="A570" i="45"/>
  <c r="B488" i="49"/>
  <c r="A666" i="49"/>
  <c r="B921" i="49"/>
  <c r="A891" i="45"/>
  <c r="B89" i="50"/>
  <c r="A557" i="49"/>
  <c r="A159" i="49"/>
  <c r="B1083" i="45"/>
  <c r="B172" i="49"/>
  <c r="B166" i="50"/>
  <c r="C135" i="52"/>
  <c r="B674" i="49"/>
  <c r="A123" i="49"/>
  <c r="A42" i="49"/>
  <c r="A600" i="45"/>
  <c r="A922" i="45"/>
  <c r="B153" i="45"/>
  <c r="B1001" i="45"/>
  <c r="B2" i="40"/>
  <c r="A1082" i="49"/>
  <c r="A1461" i="49"/>
  <c r="A884" i="49"/>
  <c r="A516" i="49"/>
  <c r="B957" i="45"/>
  <c r="A624" i="49"/>
  <c r="A1143" i="49"/>
  <c r="A168" i="49"/>
  <c r="B1162" i="45"/>
  <c r="B601" i="49"/>
  <c r="B73" i="45"/>
  <c r="A613" i="49"/>
  <c r="A445" i="49"/>
  <c r="A14" i="56"/>
  <c r="A738" i="45"/>
  <c r="A800" i="49"/>
  <c r="B23" i="50"/>
  <c r="B193" i="49"/>
  <c r="A32" i="56"/>
  <c r="B640" i="49"/>
  <c r="A1112" i="45"/>
  <c r="A993" i="45"/>
  <c r="B1172" i="49"/>
  <c r="A423" i="45"/>
  <c r="B73" i="49"/>
  <c r="A178" i="49"/>
  <c r="A981" i="49"/>
  <c r="A1284" i="45"/>
  <c r="A111" i="49"/>
  <c r="A161" i="45"/>
  <c r="A661" i="45"/>
  <c r="A154" i="52"/>
  <c r="B139" i="45"/>
  <c r="A874" i="45"/>
  <c r="A95" i="32"/>
  <c r="A841" i="45"/>
  <c r="A1180" i="45"/>
  <c r="A102" i="52"/>
  <c r="A8779" i="20"/>
  <c r="A651" i="45"/>
  <c r="A199" i="49"/>
  <c r="B976" i="49"/>
  <c r="B717" i="45"/>
  <c r="A779" i="45"/>
  <c r="A8739" i="20"/>
  <c r="A8133" i="20"/>
  <c r="A1014" i="49"/>
  <c r="B260" i="49"/>
  <c r="A878" i="45"/>
  <c r="B8583" i="20"/>
  <c r="B1368" i="49"/>
  <c r="AL3" i="33"/>
  <c r="B1019" i="49"/>
  <c r="B479" i="49"/>
  <c r="B270" i="49"/>
  <c r="A609" i="45"/>
  <c r="B809" i="49"/>
  <c r="A6" i="45"/>
  <c r="B712" i="49"/>
  <c r="A1377" i="49"/>
  <c r="B827" i="45"/>
  <c r="A776" i="45"/>
  <c r="A271" i="32"/>
  <c r="B1123" i="49"/>
  <c r="N34" i="33"/>
  <c r="A1207" i="45"/>
  <c r="A93" i="45"/>
  <c r="A1030" i="45"/>
  <c r="B8026" i="20"/>
  <c r="B1156" i="45"/>
  <c r="A281" i="49"/>
  <c r="B888" i="45"/>
  <c r="B551" i="49"/>
  <c r="A26" i="28"/>
  <c r="A372" i="45"/>
  <c r="A9130" i="20"/>
  <c r="A1263" i="45"/>
  <c r="B51" i="49"/>
  <c r="A19" i="23"/>
  <c r="B1088" i="45"/>
  <c r="B8151" i="20"/>
  <c r="B105" i="49"/>
  <c r="B1168" i="45"/>
  <c r="A1279" i="49"/>
  <c r="B1020" i="49"/>
  <c r="A8" i="43"/>
  <c r="A337" i="49"/>
  <c r="A638" i="49"/>
  <c r="B807" i="45"/>
  <c r="A1015" i="45"/>
  <c r="A1306" i="45"/>
  <c r="B893" i="45"/>
  <c r="B399" i="49"/>
  <c r="A1098" i="49"/>
  <c r="A94" i="50"/>
  <c r="A955" i="45"/>
  <c r="A1313" i="45"/>
  <c r="A950" i="45"/>
  <c r="B625" i="45"/>
  <c r="A1052" i="49"/>
  <c r="B492" i="49"/>
  <c r="M69" i="33"/>
  <c r="A1264" i="45"/>
  <c r="B831" i="49"/>
  <c r="B1269" i="45"/>
  <c r="B1223" i="45"/>
  <c r="A931" i="45"/>
  <c r="A29" i="56"/>
  <c r="A876" i="45"/>
  <c r="A301" i="49"/>
  <c r="B8794" i="20"/>
  <c r="B1183" i="49"/>
  <c r="B352" i="49"/>
  <c r="B311" i="49"/>
  <c r="A356" i="49"/>
  <c r="A1042" i="45"/>
  <c r="B454" i="45"/>
  <c r="B572" i="45"/>
  <c r="B271" i="45"/>
  <c r="A281" i="32"/>
  <c r="A784" i="45"/>
  <c r="B333" i="45"/>
  <c r="A814" i="45"/>
  <c r="A72" i="32"/>
  <c r="B189" i="45"/>
  <c r="B515" i="49"/>
  <c r="A994" i="49"/>
  <c r="A1173" i="45"/>
  <c r="A656" i="49"/>
  <c r="B1289" i="49"/>
  <c r="A130" i="49"/>
  <c r="A360" i="49"/>
  <c r="A437" i="45"/>
  <c r="A418" i="45"/>
  <c r="A199" i="45"/>
  <c r="B341" i="45"/>
  <c r="A8747" i="20"/>
  <c r="A8016" i="20"/>
  <c r="A206" i="50"/>
  <c r="B808" i="49"/>
  <c r="A786" i="45"/>
  <c r="A177" i="49"/>
  <c r="B38" i="21"/>
  <c r="A1220" i="49"/>
  <c r="A223" i="45"/>
  <c r="B1258" i="45"/>
  <c r="B1163" i="45"/>
  <c r="A220" i="45"/>
  <c r="B250" i="50"/>
  <c r="A150" i="45"/>
  <c r="B1085" i="49"/>
  <c r="B88" i="45"/>
  <c r="A232" i="50"/>
  <c r="A8" i="47"/>
  <c r="A1301" i="49"/>
  <c r="A1177" i="45"/>
  <c r="B683" i="45"/>
  <c r="B158" i="52"/>
  <c r="A344" i="49"/>
  <c r="A1237" i="49"/>
  <c r="B166" i="49"/>
  <c r="B8846" i="20"/>
  <c r="A8" i="45"/>
  <c r="B772" i="45"/>
  <c r="A234" i="50"/>
  <c r="A414" i="49"/>
  <c r="A442" i="45"/>
  <c r="B1209" i="45"/>
  <c r="A658" i="49"/>
  <c r="D15" i="43"/>
  <c r="B8890" i="20"/>
  <c r="B62" i="50"/>
  <c r="B969" i="45"/>
  <c r="A8756" i="20"/>
  <c r="B798" i="45"/>
  <c r="N71" i="33"/>
  <c r="A1470" i="49"/>
  <c r="A238" i="49"/>
  <c r="B39" i="21"/>
  <c r="A8349" i="20"/>
  <c r="A8462" i="20"/>
  <c r="A55" i="25"/>
  <c r="B781" i="49"/>
  <c r="A54" i="47"/>
  <c r="A740" i="49"/>
  <c r="A84" i="32"/>
  <c r="B50" i="49"/>
  <c r="A41" i="49"/>
  <c r="A9009" i="20"/>
  <c r="B8680" i="20"/>
  <c r="A7102" i="20"/>
  <c r="B519" i="45"/>
  <c r="A106" i="49"/>
  <c r="A1246" i="45"/>
  <c r="A8293" i="20"/>
  <c r="B304" i="45"/>
  <c r="A684" i="49"/>
  <c r="B68" i="52"/>
  <c r="C5" i="53"/>
  <c r="A11" i="48"/>
  <c r="A1139" i="49"/>
  <c r="B1291" i="45"/>
  <c r="A1444" i="49"/>
  <c r="B933" i="45"/>
  <c r="A867" i="45"/>
  <c r="A21" i="48"/>
  <c r="A338" i="49"/>
  <c r="B141" i="45"/>
  <c r="B850" i="49"/>
  <c r="A1006" i="49"/>
  <c r="A419" i="49"/>
  <c r="B3" i="44"/>
  <c r="B853" i="49"/>
  <c r="A69" i="47"/>
  <c r="B1115" i="45"/>
  <c r="B175" i="49"/>
  <c r="B55" i="52"/>
  <c r="B785" i="49"/>
  <c r="A1478" i="49"/>
  <c r="C121" i="52"/>
  <c r="B870" i="45"/>
  <c r="A716" i="49"/>
  <c r="B29" i="50"/>
  <c r="A489" i="49"/>
  <c r="B254" i="49"/>
  <c r="B1143" i="49"/>
  <c r="A546" i="45"/>
  <c r="B163" i="45"/>
  <c r="A1080" i="49"/>
  <c r="A536" i="45"/>
  <c r="A9" i="31"/>
  <c r="A217" i="45"/>
  <c r="B877" i="49"/>
  <c r="B227" i="49"/>
  <c r="B491" i="45"/>
  <c r="B321" i="49"/>
  <c r="B1326" i="45"/>
  <c r="A57" i="56"/>
  <c r="A853" i="49"/>
  <c r="A1259" i="45"/>
  <c r="B59" i="49"/>
  <c r="B512" i="49"/>
  <c r="A1048" i="49"/>
  <c r="A4" i="35"/>
  <c r="B687" i="49"/>
  <c r="A942" i="45"/>
  <c r="A703" i="49"/>
  <c r="B558" i="49"/>
  <c r="A712" i="45"/>
  <c r="A673" i="45"/>
  <c r="B583" i="45"/>
  <c r="A859" i="49"/>
  <c r="B814" i="49"/>
  <c r="B716" i="45"/>
  <c r="B77" i="45"/>
  <c r="B8295" i="20"/>
  <c r="A112" i="45"/>
  <c r="B467" i="45"/>
  <c r="B974" i="49"/>
  <c r="AG5" i="33"/>
  <c r="N28" i="29"/>
  <c r="B1132" i="49"/>
  <c r="A1313" i="49"/>
  <c r="B93" i="49"/>
  <c r="C73" i="52"/>
  <c r="A6" i="46"/>
  <c r="A378" i="49"/>
  <c r="B521" i="49"/>
  <c r="A514" i="45"/>
  <c r="A102" i="45"/>
  <c r="A758" i="49"/>
  <c r="A7845" i="20"/>
  <c r="C2" i="30"/>
  <c r="B1050" i="45"/>
  <c r="N37" i="33"/>
  <c r="A796" i="45"/>
  <c r="B8954" i="20"/>
  <c r="A1067" i="45"/>
  <c r="A887" i="49"/>
  <c r="B114" i="50"/>
  <c r="B543" i="49"/>
  <c r="A1274" i="49"/>
  <c r="A125" i="49"/>
  <c r="C1" i="54"/>
  <c r="A129" i="52"/>
  <c r="A83" i="47"/>
  <c r="B89" i="49"/>
  <c r="B655" i="49"/>
  <c r="A7" i="49"/>
  <c r="A1393" i="49"/>
  <c r="B91" i="50"/>
  <c r="A13" i="48"/>
  <c r="B512" i="45"/>
  <c r="B706" i="49"/>
  <c r="A200" i="49"/>
  <c r="B1268" i="45"/>
  <c r="A326" i="49"/>
  <c r="A8907" i="20"/>
  <c r="B56" i="49"/>
  <c r="A42" i="25"/>
  <c r="B324" i="49"/>
  <c r="M47" i="33"/>
  <c r="A1290" i="49"/>
  <c r="A611" i="49"/>
  <c r="A28" i="47"/>
  <c r="B491" i="49"/>
  <c r="A1066" i="49"/>
  <c r="A68" i="45"/>
  <c r="B1242" i="45"/>
  <c r="B8978" i="20"/>
  <c r="A8707" i="20"/>
  <c r="B889" i="45"/>
  <c r="A309" i="32"/>
  <c r="B911" i="49"/>
  <c r="A903" i="49"/>
  <c r="A1412" i="49"/>
  <c r="B8455" i="20"/>
  <c r="A37" i="31"/>
  <c r="A546" i="49"/>
  <c r="B1116" i="49"/>
  <c r="B466" i="45"/>
  <c r="A617" i="45"/>
  <c r="B567" i="49"/>
  <c r="B1264" i="45"/>
  <c r="C3" i="35"/>
  <c r="B56" i="21"/>
  <c r="B868" i="49"/>
  <c r="B478" i="45"/>
  <c r="A1093" i="45"/>
  <c r="B1062" i="45"/>
  <c r="A16" i="45"/>
  <c r="A213" i="45"/>
  <c r="B749" i="45"/>
  <c r="A843" i="49"/>
  <c r="A8981" i="20"/>
  <c r="B8487" i="20"/>
  <c r="A78" i="45"/>
  <c r="A1119" i="45"/>
  <c r="A1" i="42"/>
  <c r="B128" i="49"/>
  <c r="B7847" i="20"/>
  <c r="A365" i="49"/>
  <c r="A1312" i="49"/>
  <c r="B240" i="49"/>
  <c r="B722" i="45"/>
  <c r="A963" i="49"/>
  <c r="A9131" i="20"/>
  <c r="A8874" i="20"/>
  <c r="B8441" i="20"/>
  <c r="B623" i="45"/>
  <c r="B1321" i="45"/>
  <c r="A974" i="45"/>
  <c r="V2" i="29"/>
  <c r="B8871" i="20"/>
  <c r="A201" i="45"/>
  <c r="B9113" i="20"/>
  <c r="B8470" i="20"/>
  <c r="A8754" i="20"/>
  <c r="A96" i="32"/>
  <c r="B739" i="45"/>
  <c r="A725" i="45"/>
  <c r="B8663" i="20"/>
  <c r="B1134" i="45"/>
  <c r="B872" i="45"/>
  <c r="A7" i="41"/>
  <c r="B287" i="49"/>
  <c r="B54" i="50"/>
  <c r="B1381" i="49"/>
  <c r="A1258" i="49"/>
  <c r="A324" i="32"/>
  <c r="A272" i="45"/>
  <c r="A159" i="45"/>
  <c r="B785" i="45"/>
  <c r="B8123" i="20"/>
  <c r="B4" i="37"/>
  <c r="N68" i="33"/>
  <c r="B91" i="45"/>
  <c r="B116" i="45"/>
  <c r="A8605" i="20"/>
  <c r="M70" i="33"/>
  <c r="A6724" i="20"/>
  <c r="B976" i="45"/>
  <c r="B1260" i="45"/>
  <c r="B107" i="50"/>
  <c r="B1282" i="45"/>
  <c r="A799" i="49"/>
  <c r="A1226" i="49"/>
  <c r="M76" i="33"/>
  <c r="B177" i="50"/>
  <c r="A207" i="49"/>
  <c r="B184" i="45"/>
  <c r="N42" i="33"/>
  <c r="B11" i="48"/>
  <c r="B8359" i="20"/>
  <c r="B1180" i="49"/>
  <c r="A465" i="49"/>
  <c r="J5" i="33"/>
  <c r="A8435" i="20"/>
  <c r="A316" i="32"/>
  <c r="A1309" i="45"/>
  <c r="A48" i="32"/>
  <c r="A144" i="45"/>
  <c r="B1174" i="45"/>
  <c r="A7936" i="20"/>
  <c r="B49" i="45"/>
  <c r="B571" i="45"/>
  <c r="B233" i="49"/>
  <c r="M26" i="33"/>
  <c r="B21" i="37"/>
  <c r="A8360" i="20"/>
  <c r="B1357" i="49"/>
  <c r="B8743" i="20"/>
  <c r="A8485" i="20"/>
  <c r="M20" i="29"/>
  <c r="A386" i="32"/>
  <c r="C2" i="29"/>
  <c r="B9" i="43"/>
  <c r="B87" i="50"/>
  <c r="A1308" i="45"/>
  <c r="B8136" i="20"/>
  <c r="A7856" i="20"/>
  <c r="B251" i="49"/>
  <c r="A8033" i="20"/>
  <c r="A7865" i="20"/>
  <c r="A8681" i="20"/>
  <c r="A866" i="45"/>
  <c r="A8381" i="20"/>
  <c r="B297" i="49"/>
  <c r="A73" i="47"/>
  <c r="M30" i="33"/>
  <c r="B766" i="45"/>
  <c r="B1192" i="45"/>
  <c r="A1160" i="45"/>
  <c r="A782" i="45"/>
  <c r="A9109" i="20"/>
  <c r="A436" i="45"/>
  <c r="A25" i="37"/>
  <c r="A582" i="49"/>
  <c r="B9" i="39"/>
  <c r="A1241" i="45"/>
  <c r="B327" i="49"/>
  <c r="A525" i="49"/>
  <c r="B218" i="49"/>
  <c r="A211" i="50"/>
  <c r="B389" i="49"/>
  <c r="A34" i="52"/>
  <c r="A599" i="49"/>
  <c r="A399" i="49"/>
  <c r="A570" i="49"/>
  <c r="A929" i="45"/>
  <c r="B1082" i="45"/>
  <c r="A228" i="49"/>
  <c r="A1193" i="49"/>
  <c r="A978" i="49"/>
  <c r="A30" i="31"/>
  <c r="A413" i="45"/>
  <c r="B134" i="50"/>
  <c r="B668" i="49"/>
  <c r="A636" i="45"/>
  <c r="A167" i="45"/>
  <c r="A22" i="52"/>
  <c r="A353" i="49"/>
  <c r="B519" i="49"/>
  <c r="A55" i="47"/>
  <c r="A193" i="45"/>
  <c r="A107" i="49"/>
  <c r="B708" i="49"/>
  <c r="B291" i="45"/>
  <c r="A189" i="45"/>
  <c r="A1" i="30"/>
  <c r="A583" i="45"/>
  <c r="B430" i="49"/>
  <c r="B355" i="45"/>
  <c r="M23" i="33"/>
  <c r="B1318" i="45"/>
  <c r="A1" i="35"/>
  <c r="B1322" i="45"/>
  <c r="B252" i="49"/>
  <c r="A1199" i="49"/>
  <c r="A9" i="27"/>
  <c r="B375" i="49"/>
  <c r="A1176" i="49"/>
  <c r="B1149" i="45"/>
  <c r="B6" i="45"/>
  <c r="A502" i="49"/>
  <c r="B268" i="45"/>
  <c r="A831" i="49"/>
  <c r="M26" i="29"/>
  <c r="N29" i="29"/>
  <c r="A396" i="49"/>
  <c r="B772" i="49"/>
  <c r="A118" i="45"/>
  <c r="C34" i="21"/>
  <c r="B925" i="45"/>
  <c r="B1266" i="49"/>
  <c r="B1040" i="45"/>
  <c r="B1135" i="49"/>
  <c r="A763" i="49"/>
  <c r="A9021" i="20"/>
  <c r="B975" i="45"/>
  <c r="A8464" i="20"/>
  <c r="A1460" i="49"/>
  <c r="A85" i="47"/>
  <c r="A5" i="52"/>
  <c r="A72" i="52"/>
  <c r="B18" i="55"/>
  <c r="A720" i="49"/>
  <c r="B1110" i="49"/>
  <c r="B1025" i="45"/>
  <c r="B8930" i="20"/>
  <c r="A217" i="50"/>
  <c r="B764" i="49"/>
  <c r="A1028" i="45"/>
  <c r="B547" i="49"/>
  <c r="A8939" i="20"/>
  <c r="A58" i="47"/>
  <c r="A8723" i="20"/>
  <c r="B1310" i="49"/>
  <c r="A65" i="52"/>
  <c r="B660" i="45"/>
  <c r="A8835" i="20"/>
  <c r="B644" i="49"/>
  <c r="N63" i="33"/>
  <c r="B330" i="49"/>
  <c r="A564" i="49"/>
  <c r="B1382" i="49"/>
  <c r="B565" i="49"/>
  <c r="A517" i="49"/>
  <c r="B237" i="49"/>
  <c r="B222" i="45"/>
  <c r="A866" i="49"/>
  <c r="A1005" i="49"/>
  <c r="B425" i="49"/>
  <c r="A8765" i="20"/>
  <c r="B1267" i="45"/>
  <c r="A1217" i="45"/>
  <c r="A131" i="49"/>
  <c r="A1090" i="45"/>
  <c r="AC2" i="29"/>
  <c r="A182" i="45"/>
  <c r="B680" i="45"/>
  <c r="B1257" i="45"/>
  <c r="B261" i="49"/>
  <c r="A544" i="49"/>
  <c r="A775" i="45"/>
  <c r="A8996" i="20"/>
  <c r="A8881" i="20"/>
  <c r="B920" i="49"/>
  <c r="B1449" i="49"/>
  <c r="B1061" i="45"/>
  <c r="B459" i="49"/>
  <c r="B9064" i="20"/>
  <c r="A6" i="28"/>
  <c r="B327" i="45"/>
  <c r="C6" i="21"/>
  <c r="C39" i="21"/>
  <c r="B870" i="49"/>
  <c r="B8274" i="20"/>
  <c r="A623" i="45"/>
  <c r="C13" i="43"/>
  <c r="A43" i="49"/>
  <c r="B682" i="45"/>
  <c r="C2" i="35"/>
  <c r="A580" i="49"/>
  <c r="A345" i="45"/>
  <c r="A1379" i="49"/>
  <c r="B553" i="49"/>
  <c r="B71" i="45"/>
  <c r="A49" i="45"/>
  <c r="B7" i="41"/>
  <c r="A625" i="45"/>
  <c r="B8972" i="20"/>
  <c r="A977" i="45"/>
  <c r="A1197" i="49"/>
  <c r="A598" i="45"/>
  <c r="A7236" i="20"/>
  <c r="B7918" i="20"/>
  <c r="B547" i="45"/>
  <c r="E9" i="33"/>
  <c r="B8714" i="20"/>
  <c r="A8574" i="20"/>
  <c r="B540" i="49"/>
  <c r="A8805" i="20"/>
  <c r="A156" i="49"/>
  <c r="B169" i="45"/>
  <c r="B7502" i="20"/>
  <c r="A2" i="21"/>
  <c r="B7302" i="20"/>
  <c r="B7020" i="20"/>
  <c r="B180" i="45"/>
  <c r="B382" i="49"/>
  <c r="A275" i="49"/>
  <c r="B1355" i="49"/>
  <c r="A152" i="49"/>
  <c r="A718" i="45"/>
  <c r="A38" i="31"/>
  <c r="A39" i="32"/>
  <c r="A8777" i="20"/>
  <c r="B58" i="49"/>
  <c r="B124" i="45"/>
  <c r="A995" i="49"/>
  <c r="A41" i="47"/>
  <c r="A19" i="47"/>
  <c r="B1244" i="45"/>
  <c r="B783" i="45"/>
  <c r="A1314" i="45"/>
  <c r="B960" i="45"/>
  <c r="A7" i="23"/>
  <c r="B1283" i="45"/>
  <c r="B621" i="45"/>
  <c r="A172" i="49"/>
  <c r="A4" i="37"/>
  <c r="A7971" i="20"/>
  <c r="B455" i="45"/>
  <c r="A1124" i="45"/>
  <c r="A17" i="47"/>
  <c r="B2" i="48"/>
  <c r="M3" i="29"/>
  <c r="B629" i="45"/>
  <c r="B303" i="49"/>
  <c r="B9062" i="20"/>
  <c r="B1017" i="45"/>
  <c r="B1329" i="45"/>
  <c r="A355" i="49"/>
  <c r="B9036" i="20"/>
  <c r="A1105" i="45"/>
  <c r="B645" i="45"/>
  <c r="A475" i="49"/>
  <c r="A7997" i="20"/>
  <c r="N9" i="33"/>
  <c r="Y1" i="33"/>
  <c r="A180" i="49"/>
  <c r="B42" i="21"/>
  <c r="A997" i="45"/>
  <c r="A864" i="45"/>
  <c r="B9" i="45"/>
  <c r="A7792" i="20"/>
  <c r="A89" i="32"/>
  <c r="B367" i="45"/>
  <c r="A794" i="45"/>
  <c r="Y2" i="29"/>
  <c r="B8240" i="20"/>
  <c r="A8322" i="20"/>
  <c r="B239" i="45"/>
  <c r="A88" i="45"/>
  <c r="A239" i="49"/>
  <c r="B1228" i="49"/>
  <c r="B1305" i="45"/>
  <c r="A20" i="32"/>
  <c r="B814" i="45"/>
  <c r="A217" i="32"/>
  <c r="A7275" i="20"/>
  <c r="B8841" i="20"/>
  <c r="A755" i="49"/>
  <c r="A957" i="49"/>
  <c r="B219" i="45"/>
  <c r="A839" i="49"/>
  <c r="B8634" i="20"/>
  <c r="B8250" i="20"/>
  <c r="A7805" i="20"/>
  <c r="B1074" i="45"/>
  <c r="A982" i="45"/>
  <c r="C29" i="21"/>
  <c r="A4" i="46"/>
  <c r="B9048" i="20"/>
  <c r="A8852" i="20"/>
  <c r="B7028" i="20"/>
  <c r="A18" i="48"/>
  <c r="A15" i="37"/>
  <c r="A8933" i="20"/>
  <c r="A7781" i="20"/>
  <c r="B334" i="45"/>
  <c r="A54" i="49"/>
  <c r="A445" i="45"/>
  <c r="A327" i="32"/>
  <c r="B7811" i="20"/>
  <c r="B8924" i="20"/>
  <c r="A7969" i="20"/>
  <c r="A7989" i="20"/>
  <c r="A37" i="32"/>
  <c r="B8661" i="20"/>
  <c r="B15" i="43"/>
  <c r="A137" i="45"/>
  <c r="A8422" i="20"/>
  <c r="A5418" i="20"/>
  <c r="B897" i="45"/>
  <c r="B377" i="45"/>
  <c r="B1177" i="49"/>
  <c r="B669" i="45"/>
  <c r="B343" i="49"/>
  <c r="A8565" i="20"/>
  <c r="A180" i="32"/>
  <c r="A1172" i="45"/>
  <c r="B7914" i="20"/>
  <c r="B6764" i="20"/>
  <c r="B8870" i="20"/>
  <c r="E11" i="29"/>
  <c r="B941" i="45"/>
  <c r="A8129" i="20"/>
  <c r="B359" i="45"/>
  <c r="A6346" i="20"/>
  <c r="A8903" i="20"/>
  <c r="A104" i="45"/>
  <c r="A8" i="26"/>
  <c r="A617" i="49"/>
  <c r="A1296" i="45"/>
  <c r="B6385" i="20"/>
  <c r="B1120" i="45"/>
  <c r="B5745" i="20"/>
  <c r="B204" i="45"/>
  <c r="B55" i="21"/>
  <c r="A7777" i="20"/>
  <c r="A8824" i="20"/>
  <c r="B9133" i="20"/>
  <c r="B8284" i="20"/>
  <c r="A8186" i="20"/>
  <c r="B7406" i="20"/>
  <c r="A348" i="45"/>
  <c r="A304" i="45"/>
  <c r="A1159" i="45"/>
  <c r="A45" i="49"/>
  <c r="B9031" i="20"/>
  <c r="M33" i="33"/>
  <c r="B481" i="45"/>
  <c r="A8921" i="20"/>
  <c r="A115" i="32"/>
  <c r="B5765" i="20"/>
  <c r="A8689" i="20"/>
  <c r="A21" i="28"/>
  <c r="A8842" i="20"/>
  <c r="A140" i="32"/>
  <c r="A895" i="49"/>
  <c r="B99" i="49"/>
  <c r="A46" i="21"/>
  <c r="A7974" i="20"/>
  <c r="A8912" i="20"/>
  <c r="B206" i="45"/>
  <c r="A377" i="32"/>
  <c r="A553" i="45"/>
  <c r="A335" i="45"/>
  <c r="A540" i="49"/>
  <c r="A895" i="45"/>
  <c r="B898" i="45"/>
  <c r="A1205" i="49"/>
  <c r="A514" i="49"/>
  <c r="A559" i="45"/>
  <c r="B8850" i="20"/>
  <c r="B260" i="45"/>
  <c r="B8342" i="20"/>
  <c r="A54" i="52"/>
  <c r="A210" i="49"/>
  <c r="B9015" i="20"/>
  <c r="A1069" i="45"/>
  <c r="C1" i="39"/>
  <c r="A242" i="45"/>
  <c r="A25" i="52"/>
  <c r="A8083" i="20"/>
  <c r="C24" i="21"/>
  <c r="A51" i="32"/>
  <c r="E12" i="29"/>
  <c r="A303" i="32"/>
  <c r="A8504" i="20"/>
  <c r="B8838" i="20"/>
  <c r="A241" i="45"/>
  <c r="A354" i="49"/>
  <c r="B9046" i="20"/>
  <c r="A736" i="45"/>
  <c r="B8760" i="20"/>
  <c r="A22" i="48"/>
  <c r="A2" i="47"/>
  <c r="A206" i="49"/>
  <c r="A484" i="45"/>
  <c r="A976" i="45"/>
  <c r="A57" i="49"/>
  <c r="A152" i="50"/>
  <c r="A8696" i="20"/>
  <c r="B633" i="45"/>
  <c r="A8809" i="20"/>
  <c r="A200" i="45"/>
  <c r="A1156" i="45"/>
  <c r="A27" i="47"/>
  <c r="B8447" i="20"/>
  <c r="B8773" i="20"/>
  <c r="B347" i="45"/>
  <c r="B319" i="49"/>
  <c r="A175" i="49"/>
  <c r="A1" i="40"/>
  <c r="B8881" i="20"/>
  <c r="B8400" i="20"/>
  <c r="B581" i="45"/>
  <c r="B8836" i="20"/>
  <c r="A371" i="45"/>
  <c r="A9117" i="20"/>
  <c r="A16" i="47"/>
  <c r="B177" i="45"/>
  <c r="B7978" i="20"/>
  <c r="A588" i="49"/>
  <c r="A76" i="45"/>
  <c r="A1054" i="45"/>
  <c r="B368" i="45"/>
  <c r="A8305" i="20"/>
  <c r="B182" i="45"/>
  <c r="B593" i="45"/>
  <c r="A998" i="45"/>
  <c r="N7" i="29"/>
  <c r="B7765" i="20"/>
  <c r="A8147" i="20"/>
  <c r="A675" i="45"/>
  <c r="A8452" i="20"/>
  <c r="A25" i="31"/>
  <c r="B926" i="45"/>
  <c r="A543" i="49"/>
  <c r="A258" i="32"/>
  <c r="I4" i="33"/>
  <c r="B1092" i="49"/>
  <c r="A615" i="45"/>
  <c r="D13" i="43"/>
  <c r="A8190" i="20"/>
  <c r="A1126" i="45"/>
  <c r="B15" i="21"/>
  <c r="A8793" i="20"/>
  <c r="B8892" i="20"/>
  <c r="A8403" i="20"/>
  <c r="A296" i="32"/>
  <c r="A7769" i="20"/>
  <c r="D11" i="43"/>
  <c r="B7751" i="20"/>
  <c r="B146" i="45"/>
  <c r="N3" i="33"/>
  <c r="A7650" i="20"/>
  <c r="A21" i="21"/>
  <c r="Q1" i="29"/>
  <c r="B7896" i="20"/>
  <c r="B9129" i="20"/>
  <c r="A8590" i="20"/>
  <c r="A734" i="45"/>
  <c r="A8214" i="20"/>
  <c r="B7767" i="20"/>
  <c r="A6865" i="20"/>
  <c r="A8177" i="20"/>
  <c r="B2716" i="20"/>
  <c r="B850" i="45"/>
  <c r="C32" i="21"/>
  <c r="B8402" i="20"/>
  <c r="B8889" i="20"/>
  <c r="B316" i="45"/>
  <c r="F4" i="33"/>
  <c r="B7470" i="20"/>
  <c r="A44" i="45"/>
  <c r="A23" i="21"/>
  <c r="B7749" i="20"/>
  <c r="B1010" i="45"/>
  <c r="A9011" i="20"/>
  <c r="A4" i="47"/>
  <c r="A1005" i="45"/>
  <c r="B7874" i="20"/>
  <c r="A182" i="49"/>
  <c r="A401" i="49"/>
  <c r="B546" i="49"/>
  <c r="B7938" i="20"/>
  <c r="B6830" i="20"/>
  <c r="A146" i="45"/>
  <c r="A371" i="49"/>
  <c r="B84" i="45"/>
  <c r="AH2" i="29"/>
  <c r="A1072" i="45"/>
  <c r="B7736" i="20"/>
  <c r="B907" i="45"/>
  <c r="B362" i="49"/>
  <c r="A417" i="49"/>
  <c r="B769" i="45"/>
  <c r="A1403" i="49"/>
  <c r="A1339" i="49"/>
  <c r="B846" i="45"/>
  <c r="B475" i="45"/>
  <c r="B35" i="45"/>
  <c r="A749" i="45"/>
  <c r="B774" i="45"/>
  <c r="A298" i="32"/>
  <c r="B737" i="45"/>
  <c r="B178" i="49"/>
  <c r="B1299" i="45"/>
  <c r="B12" i="37"/>
  <c r="B9116" i="20"/>
  <c r="A9097" i="20"/>
  <c r="B212" i="45"/>
  <c r="B7558" i="20"/>
  <c r="B161" i="45"/>
  <c r="A1033" i="45"/>
  <c r="B8906" i="20"/>
  <c r="N33" i="29"/>
  <c r="A1120" i="45"/>
  <c r="A974" i="49"/>
  <c r="B411" i="45"/>
  <c r="A40" i="25"/>
  <c r="B9017" i="20"/>
  <c r="B819" i="45"/>
  <c r="A8507" i="20"/>
  <c r="A8871" i="20"/>
  <c r="B8970" i="20"/>
  <c r="B1014" i="45"/>
  <c r="A1150" i="45"/>
  <c r="A294" i="45"/>
  <c r="A576" i="45"/>
  <c r="A8296" i="20"/>
  <c r="B804" i="45"/>
  <c r="B8544" i="20"/>
  <c r="B701" i="45"/>
  <c r="A17" i="31"/>
  <c r="B51" i="21"/>
  <c r="B435" i="49"/>
  <c r="A1102" i="49"/>
  <c r="A8339" i="20"/>
  <c r="A9047" i="20"/>
  <c r="A7749" i="20"/>
  <c r="A364" i="45"/>
  <c r="A7604" i="20"/>
  <c r="B7278" i="20"/>
  <c r="B1206" i="45"/>
  <c r="M1" i="33"/>
  <c r="N6" i="29"/>
  <c r="A7600" i="20"/>
  <c r="A234" i="49"/>
  <c r="A370" i="45"/>
  <c r="B9004" i="20"/>
  <c r="B27" i="21"/>
  <c r="O77" i="33"/>
  <c r="A599" i="45"/>
  <c r="B909" i="45"/>
  <c r="B877" i="45"/>
  <c r="N60" i="33"/>
  <c r="A7760" i="20"/>
  <c r="A8097" i="20"/>
  <c r="A139" i="32"/>
  <c r="A284" i="32"/>
  <c r="A1023" i="45"/>
  <c r="A9085" i="20"/>
  <c r="A348" i="49"/>
  <c r="A642" i="49"/>
  <c r="A225" i="45"/>
  <c r="B1299" i="49"/>
  <c r="A496" i="45"/>
  <c r="B684" i="49"/>
  <c r="A634" i="49"/>
  <c r="A15" i="28"/>
  <c r="A276" i="32"/>
  <c r="B1188" i="45"/>
  <c r="B985" i="45"/>
  <c r="B1031" i="49"/>
  <c r="A8759" i="20"/>
  <c r="F13" i="33"/>
  <c r="A1063" i="49"/>
  <c r="B45" i="49"/>
  <c r="B753" i="49"/>
  <c r="A1075" i="45"/>
  <c r="A1266" i="45"/>
  <c r="B569" i="49"/>
  <c r="A1109" i="49"/>
  <c r="B489" i="49"/>
  <c r="B243" i="49"/>
  <c r="A214" i="45"/>
  <c r="B693" i="49"/>
  <c r="B1044" i="49"/>
  <c r="A1167" i="45"/>
  <c r="B608" i="49"/>
  <c r="A126" i="49"/>
  <c r="B7374" i="20"/>
  <c r="B984" i="45"/>
  <c r="B7834" i="20"/>
  <c r="A815" i="45"/>
  <c r="A80" i="47"/>
  <c r="B1291" i="49"/>
  <c r="A74" i="49"/>
  <c r="A416" i="49"/>
  <c r="B649" i="49"/>
  <c r="A16" i="49"/>
  <c r="A1176" i="45"/>
  <c r="B168" i="50"/>
  <c r="A1362" i="49"/>
  <c r="A754" i="45"/>
  <c r="B1172" i="45"/>
  <c r="B80" i="52"/>
  <c r="A1045" i="49"/>
  <c r="B1253" i="45"/>
  <c r="B461" i="49"/>
  <c r="B56" i="45"/>
  <c r="A5" i="41"/>
  <c r="A176" i="49"/>
  <c r="A849" i="49"/>
  <c r="C6" i="43"/>
  <c r="A10" i="49"/>
  <c r="B409" i="49"/>
  <c r="A880" i="45"/>
  <c r="A115" i="49"/>
  <c r="A781" i="45"/>
  <c r="A223" i="32"/>
  <c r="A9107" i="20"/>
  <c r="F14" i="33"/>
  <c r="A8044" i="20"/>
  <c r="B767" i="49"/>
  <c r="B122" i="49"/>
  <c r="A11" i="41"/>
  <c r="B241" i="45"/>
  <c r="B187" i="49"/>
  <c r="A1050" i="49"/>
  <c r="B774" i="49"/>
  <c r="N25" i="29"/>
  <c r="A806" i="45"/>
  <c r="B145" i="49"/>
  <c r="B474" i="49"/>
  <c r="A1398" i="49"/>
  <c r="A35" i="31"/>
  <c r="B5" i="45"/>
  <c r="A7564" i="20"/>
  <c r="B64" i="50"/>
  <c r="B722" i="49"/>
  <c r="A375" i="49"/>
  <c r="B842" i="45"/>
  <c r="B568" i="45"/>
  <c r="A528" i="49"/>
  <c r="B829" i="45"/>
  <c r="A450" i="49"/>
  <c r="A1073" i="45"/>
  <c r="B379" i="49"/>
  <c r="B872" i="49"/>
  <c r="B459" i="45"/>
  <c r="B1072" i="45"/>
  <c r="N8" i="29"/>
  <c r="A8791" i="20"/>
  <c r="B1147" i="45"/>
  <c r="B1051" i="45"/>
  <c r="A893" i="45"/>
  <c r="A1222" i="49"/>
  <c r="B387" i="45"/>
  <c r="A8709" i="20"/>
  <c r="A837" i="49"/>
  <c r="B156" i="45"/>
  <c r="B1181" i="45"/>
  <c r="A392" i="49"/>
  <c r="A619" i="45"/>
  <c r="A233" i="45"/>
  <c r="A1030" i="49"/>
  <c r="A327" i="45"/>
  <c r="B223" i="45"/>
  <c r="A18" i="49"/>
  <c r="A984" i="45"/>
  <c r="A118" i="50"/>
  <c r="A8893" i="20"/>
  <c r="A896" i="49"/>
  <c r="A299" i="49"/>
  <c r="A8636" i="20"/>
  <c r="A9" i="49"/>
  <c r="B7086" i="20"/>
  <c r="A256" i="45"/>
  <c r="A246" i="49"/>
  <c r="B703" i="49"/>
  <c r="B188" i="45"/>
  <c r="B912" i="45"/>
  <c r="A8879" i="20"/>
  <c r="A241" i="32"/>
  <c r="A737" i="45"/>
  <c r="B1030" i="45"/>
  <c r="A430" i="49"/>
  <c r="B638" i="45"/>
  <c r="C4" i="40"/>
  <c r="A8624" i="20"/>
  <c r="A71" i="47"/>
  <c r="A614" i="45"/>
  <c r="B107" i="45"/>
  <c r="B733" i="49"/>
  <c r="B24" i="37"/>
  <c r="B1325" i="45"/>
  <c r="C14" i="43"/>
  <c r="A29" i="47"/>
  <c r="A8581" i="20"/>
  <c r="B832" i="45"/>
  <c r="A441" i="45"/>
  <c r="B445" i="45"/>
  <c r="A121" i="49"/>
  <c r="B388" i="45"/>
  <c r="A1" i="52"/>
  <c r="A322" i="49"/>
  <c r="A8987" i="20"/>
  <c r="B7214" i="20"/>
  <c r="A1025" i="45"/>
  <c r="A145" i="32"/>
  <c r="A7993" i="20"/>
  <c r="M33" i="29"/>
  <c r="A664" i="45"/>
  <c r="B404" i="49"/>
  <c r="B8750" i="20"/>
  <c r="B744" i="49"/>
  <c r="A9034" i="20"/>
  <c r="A820" i="45"/>
  <c r="B115" i="45"/>
  <c r="A7739" i="20"/>
  <c r="B1054" i="49"/>
  <c r="A37" i="47"/>
  <c r="B1312" i="49"/>
  <c r="A851" i="49"/>
  <c r="A8849" i="20"/>
  <c r="B734" i="45"/>
  <c r="A1055" i="49"/>
  <c r="A7281" i="20"/>
  <c r="A531" i="45"/>
  <c r="C1" i="41"/>
  <c r="A1324" i="45"/>
  <c r="A33" i="45"/>
  <c r="A1201" i="45"/>
  <c r="A426" i="45"/>
  <c r="M41" i="33"/>
  <c r="A7795" i="20"/>
  <c r="A1093" i="49"/>
  <c r="A135" i="49"/>
  <c r="A9053" i="20"/>
  <c r="A372" i="49"/>
  <c r="A1" i="39"/>
  <c r="A4" i="39"/>
  <c r="A302" i="49"/>
  <c r="B7630" i="20"/>
  <c r="B7082" i="20"/>
  <c r="N15" i="29"/>
  <c r="B59" i="45"/>
  <c r="A418" i="49"/>
  <c r="B575" i="45"/>
  <c r="B434" i="45"/>
  <c r="A1058" i="45"/>
  <c r="A7" i="27"/>
  <c r="A957" i="45"/>
  <c r="B739" i="49"/>
  <c r="A1309" i="49"/>
  <c r="A7" i="28"/>
  <c r="B8469" i="20"/>
  <c r="A8749" i="20"/>
  <c r="A2" i="40"/>
  <c r="A700" i="45"/>
  <c r="B309" i="45"/>
  <c r="B1210" i="45"/>
  <c r="B7054" i="20"/>
  <c r="A9042" i="20"/>
  <c r="B8785" i="20"/>
  <c r="B7807" i="20"/>
  <c r="A1121" i="49"/>
  <c r="B8994" i="20"/>
  <c r="B1162" i="49"/>
  <c r="A1238" i="45"/>
  <c r="B622" i="49"/>
  <c r="B195" i="45"/>
  <c r="A325" i="32"/>
  <c r="A943" i="45"/>
  <c r="A8428" i="20"/>
  <c r="B174" i="45"/>
  <c r="B301" i="45"/>
  <c r="A1104" i="45"/>
  <c r="A1185" i="49"/>
  <c r="A202" i="45"/>
  <c r="A503" i="45"/>
  <c r="B676" i="45"/>
  <c r="B768" i="45"/>
  <c r="A1078" i="49"/>
  <c r="A7976" i="20"/>
  <c r="A5" i="25"/>
  <c r="A6244" i="20"/>
  <c r="B918" i="45"/>
  <c r="A1018" i="49"/>
  <c r="B108" i="45"/>
  <c r="M1" i="29"/>
  <c r="A904" i="45"/>
  <c r="B8936" i="20"/>
  <c r="W2" i="33"/>
  <c r="AE2" i="33"/>
  <c r="A561" i="45"/>
  <c r="B6758" i="20"/>
  <c r="A251" i="45"/>
  <c r="F8" i="29"/>
  <c r="B8891" i="20"/>
  <c r="B7949" i="20"/>
  <c r="B398" i="45"/>
  <c r="B7920" i="20"/>
  <c r="A890" i="45"/>
  <c r="A9" i="45"/>
  <c r="A7441" i="20"/>
  <c r="B1443" i="49"/>
  <c r="A1119" i="49"/>
  <c r="A8643" i="20"/>
  <c r="A72" i="45"/>
  <c r="A7941" i="20"/>
  <c r="B7210" i="20"/>
  <c r="B6734" i="20"/>
  <c r="E7" i="33"/>
  <c r="B8337" i="20"/>
  <c r="B328" i="45"/>
  <c r="A1066" i="45"/>
  <c r="B8301" i="20"/>
  <c r="N62" i="33"/>
  <c r="A9079" i="20"/>
  <c r="A358" i="45"/>
  <c r="B8184" i="20"/>
  <c r="M14" i="29"/>
  <c r="A300" i="45"/>
  <c r="A6628" i="20"/>
  <c r="A6980" i="20"/>
  <c r="B1246" i="45"/>
  <c r="B7116" i="20"/>
  <c r="B25" i="45"/>
  <c r="B1320" i="45"/>
  <c r="A535" i="45"/>
  <c r="A302" i="45"/>
  <c r="B211" i="45"/>
  <c r="B8091" i="20"/>
  <c r="A591" i="45"/>
  <c r="A305" i="45"/>
  <c r="A5802" i="20"/>
  <c r="B5691" i="20"/>
  <c r="B23" i="45"/>
  <c r="B1285" i="49"/>
  <c r="A7108" i="20"/>
  <c r="A3" i="44"/>
  <c r="A385" i="49"/>
  <c r="B8807" i="20"/>
  <c r="A477" i="49"/>
  <c r="A8241" i="20"/>
  <c r="M46" i="33"/>
  <c r="A458" i="45"/>
  <c r="A7853" i="20"/>
  <c r="A7771" i="20"/>
  <c r="N23" i="33"/>
  <c r="B7720" i="20"/>
  <c r="B1103" i="45"/>
  <c r="A7779" i="20"/>
  <c r="A704" i="49"/>
  <c r="B14" i="49"/>
  <c r="A313" i="32"/>
  <c r="A8005" i="20"/>
  <c r="A8592" i="20"/>
  <c r="B7524" i="20"/>
  <c r="B714" i="45"/>
  <c r="B6884" i="20"/>
  <c r="A50" i="45"/>
  <c r="A3" i="21"/>
  <c r="A566" i="49"/>
  <c r="A52" i="47"/>
  <c r="B8828" i="20"/>
  <c r="A33" i="49"/>
  <c r="A8905" i="20"/>
  <c r="B1312" i="45"/>
  <c r="A8069" i="20"/>
  <c r="B1086" i="49"/>
  <c r="B143" i="45"/>
  <c r="B8133" i="20"/>
  <c r="A453" i="45"/>
  <c r="B152" i="49"/>
  <c r="B813" i="45"/>
  <c r="A60" i="49"/>
  <c r="B9016" i="20"/>
  <c r="B1261" i="45"/>
  <c r="A1184" i="45"/>
  <c r="B8682" i="20"/>
  <c r="A699" i="45"/>
  <c r="A752" i="45"/>
  <c r="A386" i="49"/>
  <c r="A572" i="45"/>
  <c r="B77" i="49"/>
  <c r="A7665" i="20"/>
  <c r="A8346" i="20"/>
  <c r="A377" i="49"/>
  <c r="A1046" i="45"/>
  <c r="A158" i="45"/>
  <c r="A359" i="45"/>
  <c r="A249" i="45"/>
  <c r="A8112" i="20"/>
  <c r="A357" i="49"/>
  <c r="B2" i="39"/>
  <c r="A129" i="45"/>
  <c r="A582" i="45"/>
  <c r="B8031" i="20"/>
  <c r="B121" i="45"/>
  <c r="Z4" i="33"/>
  <c r="B668" i="45"/>
  <c r="B72" i="45"/>
  <c r="N38" i="29"/>
  <c r="A1001" i="45"/>
  <c r="B1205" i="45"/>
  <c r="A1254" i="45"/>
  <c r="B1081" i="49"/>
  <c r="A3" i="41"/>
  <c r="A20" i="21"/>
  <c r="A885" i="45"/>
  <c r="B7145" i="20"/>
  <c r="A75" i="49"/>
  <c r="A7" i="45"/>
  <c r="A685" i="45"/>
  <c r="A46" i="47"/>
  <c r="A982" i="49"/>
  <c r="A264" i="49"/>
  <c r="B1301" i="45"/>
  <c r="A7822" i="20"/>
  <c r="A8542" i="20"/>
  <c r="B179" i="45"/>
  <c r="B7682" i="20"/>
  <c r="A820" i="49"/>
  <c r="B853" i="45"/>
  <c r="B112" i="45"/>
  <c r="B7943" i="20"/>
  <c r="A81" i="45"/>
  <c r="A7864" i="20"/>
  <c r="A385" i="32"/>
  <c r="A644" i="45"/>
  <c r="B8700" i="20"/>
  <c r="D4" i="43"/>
  <c r="B453" i="45"/>
  <c r="A17" i="21"/>
  <c r="B34" i="21"/>
  <c r="A301" i="32"/>
  <c r="B9132" i="20"/>
  <c r="B492" i="45"/>
  <c r="B6826" i="20"/>
  <c r="A8477" i="20"/>
  <c r="A7548" i="20"/>
  <c r="B7334" i="20"/>
  <c r="F12" i="29"/>
  <c r="A9036" i="20"/>
  <c r="A7813" i="20"/>
  <c r="C19" i="21"/>
  <c r="B8712" i="20"/>
  <c r="B6748" i="20"/>
  <c r="B648" i="45"/>
  <c r="A7872" i="20"/>
  <c r="B49" i="49"/>
  <c r="A9" i="41"/>
  <c r="A684" i="45"/>
  <c r="B8159" i="20"/>
  <c r="B7941" i="20"/>
  <c r="A22" i="31"/>
  <c r="A7403" i="20"/>
  <c r="B361" i="49"/>
  <c r="A8629" i="20"/>
  <c r="A7279" i="20"/>
  <c r="A22" i="25"/>
  <c r="A578" i="45"/>
  <c r="A382" i="45"/>
  <c r="B190" i="45"/>
  <c r="A105" i="32"/>
  <c r="A1198" i="45"/>
  <c r="A482" i="49"/>
  <c r="A1382" i="49"/>
  <c r="B863" i="45"/>
  <c r="B6533" i="20"/>
  <c r="A66" i="49"/>
  <c r="A651" i="49"/>
  <c r="M75" i="33"/>
  <c r="B1113" i="45"/>
  <c r="B8778" i="20"/>
  <c r="A7984" i="20"/>
  <c r="A223" i="49"/>
  <c r="A1086" i="45"/>
  <c r="A8980" i="20"/>
  <c r="B7540" i="20"/>
  <c r="A966" i="45"/>
  <c r="B7876" i="20"/>
  <c r="A8763" i="20"/>
  <c r="B8985" i="20"/>
  <c r="A624" i="45"/>
  <c r="A512" i="45"/>
  <c r="B539" i="45"/>
  <c r="B844" i="45"/>
  <c r="A406" i="45"/>
  <c r="B8453" i="20"/>
  <c r="B635" i="49"/>
  <c r="A1283" i="45"/>
  <c r="B569" i="45"/>
  <c r="C7" i="43"/>
  <c r="B1289" i="45"/>
  <c r="A459" i="45"/>
  <c r="A145" i="49"/>
  <c r="B8849" i="20"/>
  <c r="A171" i="45"/>
  <c r="B995" i="49"/>
  <c r="A592" i="49"/>
  <c r="A756" i="45"/>
  <c r="B689" i="45"/>
  <c r="A47" i="21"/>
  <c r="N56" i="33"/>
  <c r="A1010" i="45"/>
  <c r="A146" i="32"/>
  <c r="B979" i="45"/>
  <c r="B1219" i="45"/>
  <c r="A8053" i="20"/>
  <c r="B333" i="49"/>
  <c r="A9025" i="20"/>
  <c r="A7" i="24"/>
  <c r="A15" i="23"/>
  <c r="B7994" i="20"/>
  <c r="B1020" i="45"/>
  <c r="B487" i="49"/>
  <c r="A42" i="45"/>
  <c r="A8700" i="20"/>
  <c r="B8391" i="20"/>
  <c r="A8582" i="20"/>
  <c r="A23" i="25"/>
  <c r="A7942" i="20"/>
  <c r="B7638" i="20"/>
  <c r="B8" i="41"/>
  <c r="M64" i="33"/>
  <c r="B1272" i="49"/>
  <c r="O69" i="33"/>
  <c r="A151" i="52"/>
  <c r="B602" i="49"/>
  <c r="A883" i="49"/>
  <c r="A63" i="50"/>
  <c r="A354" i="45"/>
  <c r="B816" i="49"/>
  <c r="A1341" i="49"/>
  <c r="B13" i="49"/>
  <c r="A2" i="44"/>
  <c r="B682" i="49"/>
  <c r="C3" i="43"/>
  <c r="A244" i="49"/>
  <c r="B23" i="52"/>
  <c r="A1067" i="49"/>
  <c r="A245" i="49"/>
  <c r="B1037" i="49"/>
  <c r="A403" i="49"/>
  <c r="B918" i="49"/>
  <c r="B1482" i="49"/>
  <c r="B1104" i="45"/>
  <c r="A224" i="32"/>
  <c r="B1227" i="45"/>
  <c r="B1018" i="45"/>
  <c r="B524" i="45"/>
  <c r="A844" i="45"/>
  <c r="A709" i="49"/>
  <c r="A1320" i="49"/>
  <c r="A179" i="32"/>
  <c r="A1141" i="45"/>
  <c r="B192" i="45"/>
  <c r="B1161" i="49"/>
  <c r="B421" i="45"/>
  <c r="A945" i="45"/>
  <c r="A1245" i="45"/>
  <c r="A816" i="49"/>
  <c r="A713" i="45"/>
  <c r="A1227" i="45"/>
  <c r="A1164" i="49"/>
  <c r="A867" i="49"/>
  <c r="B5" i="49"/>
  <c r="A874" i="49"/>
  <c r="B697" i="49"/>
  <c r="B55" i="49"/>
  <c r="B8977" i="20"/>
  <c r="M53" i="33"/>
  <c r="A876" i="49"/>
  <c r="N10" i="33"/>
  <c r="B1256" i="45"/>
  <c r="A94" i="49"/>
  <c r="A447" i="49"/>
  <c r="B424" i="49"/>
  <c r="A161" i="32"/>
  <c r="A361" i="49"/>
  <c r="B8762" i="20"/>
  <c r="A233" i="32"/>
  <c r="A9091" i="20"/>
  <c r="B1121" i="45"/>
  <c r="A533" i="45"/>
  <c r="B731" i="45"/>
  <c r="A8955" i="20"/>
  <c r="A254" i="49"/>
  <c r="B1004" i="45"/>
  <c r="A400" i="49"/>
  <c r="B75" i="45"/>
  <c r="A161" i="52"/>
  <c r="B209" i="50"/>
  <c r="B1324" i="45"/>
  <c r="A224" i="50"/>
  <c r="A1070" i="45"/>
  <c r="B990" i="49"/>
  <c r="B6" i="35"/>
  <c r="B257" i="49"/>
  <c r="B1446" i="49"/>
  <c r="A8892" i="20"/>
  <c r="A63" i="45"/>
  <c r="A149" i="45"/>
  <c r="B8716" i="20"/>
  <c r="A251" i="49"/>
  <c r="B1052" i="45"/>
  <c r="A1157" i="49"/>
  <c r="B205" i="45"/>
  <c r="B690" i="49"/>
  <c r="A55" i="49"/>
  <c r="A65" i="49"/>
  <c r="A102" i="50"/>
  <c r="A29" i="49"/>
  <c r="B590" i="49"/>
  <c r="A53" i="49"/>
  <c r="A935" i="49"/>
  <c r="B393" i="45"/>
  <c r="A1014" i="45"/>
  <c r="B179" i="49"/>
  <c r="A41" i="32"/>
  <c r="A185" i="45"/>
  <c r="A1050" i="45"/>
  <c r="A144" i="49"/>
  <c r="A8614" i="20"/>
  <c r="B536" i="45"/>
  <c r="A2" i="24"/>
  <c r="J2" i="29"/>
  <c r="A1152" i="45"/>
  <c r="B6021" i="20"/>
  <c r="A554" i="45"/>
  <c r="A8289" i="20"/>
  <c r="A149" i="49"/>
  <c r="B101" i="49"/>
  <c r="A8211" i="20"/>
  <c r="B878" i="45"/>
  <c r="A1178" i="45"/>
  <c r="A307" i="49"/>
  <c r="A501" i="45"/>
  <c r="A7909" i="20"/>
  <c r="A708" i="45"/>
  <c r="B7230" i="20"/>
  <c r="A8102" i="20"/>
  <c r="B664" i="45"/>
  <c r="A743" i="45"/>
  <c r="B8986" i="20"/>
  <c r="B802" i="49"/>
  <c r="A505" i="45"/>
  <c r="A9041" i="20"/>
  <c r="B280" i="45"/>
  <c r="A5" i="37"/>
  <c r="A2" i="36"/>
  <c r="B1127" i="45"/>
  <c r="A9059" i="20"/>
  <c r="B8710" i="20"/>
  <c r="A1273" i="45"/>
  <c r="A38" i="47"/>
  <c r="B922" i="45"/>
  <c r="C8" i="43"/>
  <c r="A987" i="45"/>
  <c r="B1276" i="45"/>
  <c r="B856" i="45"/>
  <c r="A208" i="45"/>
  <c r="B403" i="45"/>
  <c r="B993" i="45"/>
  <c r="B339" i="45"/>
  <c r="A8421" i="20"/>
  <c r="A8336" i="20"/>
  <c r="A205" i="49"/>
  <c r="B811" i="45"/>
  <c r="B223" i="49"/>
  <c r="B879" i="45"/>
  <c r="M21" i="33"/>
  <c r="B1" i="21"/>
  <c r="B968" i="45"/>
  <c r="B8388" i="20"/>
  <c r="B427" i="49"/>
  <c r="B2" i="44"/>
  <c r="A340" i="45"/>
  <c r="B765" i="45"/>
  <c r="B513" i="49"/>
  <c r="B8530" i="20"/>
  <c r="M63" i="33"/>
  <c r="B8600" i="20"/>
  <c r="A25" i="49"/>
  <c r="A8845" i="20"/>
  <c r="B7087" i="20"/>
  <c r="B710" i="45"/>
  <c r="A159" i="32"/>
  <c r="B736" i="49"/>
  <c r="B988" i="45"/>
  <c r="A4" i="45"/>
  <c r="B9042" i="20"/>
  <c r="A7827" i="20"/>
  <c r="B1055" i="45"/>
  <c r="B8032" i="20"/>
  <c r="B118" i="45"/>
  <c r="B147" i="49"/>
  <c r="B461" i="45"/>
  <c r="A1117" i="45"/>
  <c r="A45" i="45"/>
  <c r="B8570" i="20"/>
  <c r="N76" i="33"/>
  <c r="A549" i="45"/>
  <c r="A1240" i="45"/>
  <c r="A201" i="49"/>
  <c r="A8078" i="20"/>
  <c r="B709" i="45"/>
  <c r="A8841" i="20"/>
  <c r="A302" i="32"/>
  <c r="B982" i="45"/>
  <c r="A532" i="45"/>
  <c r="A236" i="49"/>
  <c r="B8677" i="20"/>
  <c r="A1008" i="45"/>
  <c r="A9135" i="20"/>
  <c r="B7898" i="20"/>
  <c r="B1308" i="45"/>
  <c r="A142" i="49"/>
  <c r="A790" i="45"/>
  <c r="A60" i="32"/>
  <c r="B683" i="49"/>
  <c r="A8237" i="20"/>
  <c r="A103" i="32"/>
  <c r="B233" i="45"/>
  <c r="B8584" i="20"/>
  <c r="A28" i="45"/>
  <c r="B405" i="45"/>
  <c r="A210" i="32"/>
  <c r="B6766" i="20"/>
  <c r="B704" i="49"/>
  <c r="B529" i="45"/>
  <c r="A261" i="32"/>
  <c r="B236" i="49"/>
  <c r="B9122" i="20"/>
  <c r="M15" i="33"/>
  <c r="A4" i="48"/>
  <c r="A395" i="49"/>
  <c r="A8101" i="20"/>
  <c r="A441" i="49"/>
  <c r="B8346" i="20"/>
  <c r="Y1" i="29"/>
  <c r="B404" i="45"/>
  <c r="B982" i="49"/>
  <c r="B5" i="35"/>
  <c r="A8884" i="20"/>
  <c r="A8131" i="20"/>
  <c r="B647" i="45"/>
  <c r="O75" i="33"/>
  <c r="A944" i="45"/>
  <c r="B837" i="45"/>
  <c r="A8956" i="20"/>
  <c r="A380" i="49"/>
  <c r="A814" i="49"/>
  <c r="M6" i="33"/>
  <c r="B937" i="49"/>
  <c r="A1231" i="45"/>
  <c r="B259" i="45"/>
  <c r="M4" i="29"/>
  <c r="B8506" i="20"/>
  <c r="B7594" i="20"/>
  <c r="B7017" i="20"/>
  <c r="B131" i="45"/>
  <c r="A8533" i="20"/>
  <c r="A17" i="25"/>
  <c r="B7778" i="20"/>
  <c r="A19" i="21"/>
  <c r="B8918" i="20"/>
  <c r="B8430" i="20"/>
  <c r="A571" i="45"/>
  <c r="B1036" i="45"/>
  <c r="B8940" i="20"/>
  <c r="A928" i="45"/>
  <c r="A9061" i="20"/>
  <c r="B1015" i="49"/>
  <c r="A466" i="45"/>
  <c r="A8682" i="20"/>
  <c r="B67" i="45"/>
  <c r="B953" i="45"/>
  <c r="B312" i="45"/>
  <c r="A7965" i="20"/>
  <c r="B35" i="21"/>
  <c r="B7422" i="20"/>
  <c r="B8774" i="20"/>
  <c r="A459" i="49"/>
  <c r="B989" i="45"/>
  <c r="A606" i="45"/>
  <c r="B7747" i="20"/>
  <c r="A1253" i="45"/>
  <c r="A7810" i="20"/>
  <c r="B8" i="39"/>
  <c r="B8721" i="20"/>
  <c r="A1219" i="45"/>
  <c r="A847" i="45"/>
  <c r="A429" i="49"/>
  <c r="A8968" i="20"/>
  <c r="B635" i="45"/>
  <c r="B6895" i="20"/>
  <c r="A384" i="45"/>
  <c r="M15" i="29"/>
  <c r="D16" i="43"/>
  <c r="A7800" i="20"/>
  <c r="A7904" i="20"/>
  <c r="A8278" i="20"/>
  <c r="A5248" i="20"/>
  <c r="A262" i="45"/>
  <c r="N30" i="29"/>
  <c r="B7706" i="20"/>
  <c r="E5" i="33"/>
  <c r="B258" i="49"/>
  <c r="A383" i="49"/>
  <c r="A1397" i="49"/>
  <c r="B1284" i="49"/>
  <c r="B8576" i="20"/>
  <c r="B7530" i="20"/>
  <c r="A8716" i="20"/>
  <c r="A185" i="32"/>
  <c r="B1" i="45"/>
  <c r="B176" i="45"/>
  <c r="B8219" i="20"/>
  <c r="B8833" i="20"/>
  <c r="A662" i="45"/>
  <c r="B7044" i="20"/>
  <c r="B951" i="45"/>
  <c r="A586" i="45"/>
  <c r="A1391" i="49"/>
  <c r="A57" i="31"/>
  <c r="A8474" i="20"/>
  <c r="A778" i="45"/>
  <c r="B1031" i="45"/>
  <c r="A53" i="45"/>
  <c r="A1249" i="45"/>
  <c r="B7989" i="20"/>
  <c r="A17" i="45"/>
  <c r="B9127" i="20"/>
  <c r="B1046" i="45"/>
  <c r="B8520" i="20"/>
  <c r="B552" i="49"/>
  <c r="A157" i="45"/>
  <c r="A5" i="21"/>
  <c r="A50" i="31"/>
  <c r="A6718" i="20"/>
  <c r="N39" i="33"/>
  <c r="B8686" i="20"/>
  <c r="B990" i="45"/>
  <c r="A172" i="32"/>
  <c r="C26" i="21"/>
  <c r="A95" i="45"/>
  <c r="B7428" i="20"/>
  <c r="B843" i="45"/>
  <c r="A486" i="45"/>
  <c r="B60" i="49"/>
  <c r="B656" i="45"/>
  <c r="B551" i="45"/>
  <c r="C8" i="21"/>
  <c r="A1387" i="49"/>
  <c r="A100" i="50"/>
  <c r="B341" i="49"/>
  <c r="B1159" i="45"/>
  <c r="B503" i="45"/>
  <c r="B994" i="49"/>
  <c r="B882" i="45"/>
  <c r="A2" i="37"/>
  <c r="B278" i="49"/>
  <c r="M19" i="29"/>
  <c r="B6876" i="20"/>
  <c r="B8766" i="20"/>
  <c r="A54" i="31"/>
  <c r="A996" i="45"/>
  <c r="A949" i="45"/>
  <c r="B8055" i="20"/>
  <c r="A1459" i="49"/>
  <c r="B620" i="45"/>
  <c r="M32" i="29"/>
  <c r="B1225" i="45"/>
  <c r="A968" i="49"/>
  <c r="A8272" i="20"/>
  <c r="A7888" i="20"/>
  <c r="B8082" i="20"/>
  <c r="A8969" i="20"/>
  <c r="A254" i="32"/>
  <c r="A3" i="26"/>
  <c r="A478" i="45"/>
  <c r="B928" i="45"/>
  <c r="B9022" i="20"/>
  <c r="B8514" i="20"/>
  <c r="A574" i="49"/>
  <c r="B541" i="45"/>
  <c r="N23" i="29"/>
  <c r="B39" i="45"/>
  <c r="A6680" i="20"/>
  <c r="B8921" i="20"/>
  <c r="B7722" i="20"/>
  <c r="B7830" i="20"/>
  <c r="A8656" i="20"/>
  <c r="A37" i="49"/>
  <c r="A6999" i="20"/>
  <c r="B207" i="45"/>
  <c r="B8718" i="20"/>
  <c r="A8974" i="20"/>
  <c r="A710" i="45"/>
  <c r="A11" i="23"/>
  <c r="A8873" i="20"/>
  <c r="B8213" i="20"/>
  <c r="B8909" i="20"/>
  <c r="A30" i="45"/>
  <c r="A1212" i="45"/>
  <c r="N77" i="33"/>
  <c r="A8472" i="20"/>
  <c r="A8008" i="20"/>
  <c r="A8230" i="20"/>
  <c r="B8711" i="20"/>
  <c r="A222" i="32"/>
  <c r="A8171" i="20"/>
  <c r="B7829" i="20"/>
  <c r="A809" i="45"/>
  <c r="B8942" i="20"/>
  <c r="A333" i="32"/>
  <c r="A7947" i="20"/>
  <c r="A365" i="32"/>
  <c r="B8048" i="20"/>
  <c r="B1314" i="45"/>
  <c r="A234" i="45"/>
  <c r="B339" i="49"/>
  <c r="B8782" i="20"/>
  <c r="A204" i="32"/>
  <c r="A3" i="45"/>
  <c r="A6710" i="20"/>
  <c r="B5633" i="20"/>
  <c r="B732" i="45"/>
  <c r="A826" i="49"/>
  <c r="A750" i="49"/>
  <c r="C2" i="53"/>
  <c r="B8333" i="20"/>
  <c r="B504" i="45"/>
  <c r="A638" i="45"/>
  <c r="B121" i="50"/>
  <c r="B1327" i="45"/>
  <c r="B5893" i="20"/>
  <c r="B246" i="50"/>
  <c r="A1453" i="49"/>
  <c r="A211" i="45"/>
  <c r="B1207" i="45"/>
  <c r="B8934" i="20"/>
  <c r="A774" i="45"/>
  <c r="A9105" i="20"/>
  <c r="A1121" i="45"/>
  <c r="A345" i="49"/>
  <c r="B854" i="45"/>
  <c r="B8072" i="20"/>
  <c r="A40" i="31"/>
  <c r="B1068" i="49"/>
  <c r="B7046" i="20"/>
  <c r="R2" i="29"/>
  <c r="B927" i="45"/>
  <c r="A8013" i="20"/>
  <c r="A7806" i="20"/>
  <c r="B659" i="45"/>
  <c r="B155" i="52"/>
  <c r="A349" i="49"/>
  <c r="A1136" i="45"/>
  <c r="B412" i="49"/>
  <c r="A250" i="49"/>
  <c r="A6" i="47"/>
  <c r="A16" i="37"/>
  <c r="B8983" i="20"/>
  <c r="A8499" i="20"/>
  <c r="B751" i="45"/>
  <c r="C2" i="43"/>
  <c r="B916" i="45"/>
  <c r="A4" i="23"/>
  <c r="B376" i="45"/>
  <c r="A6763" i="20"/>
  <c r="F9" i="29"/>
  <c r="B596" i="45"/>
  <c r="B472" i="45"/>
  <c r="B284" i="49"/>
  <c r="A591" i="49"/>
  <c r="A8762" i="20"/>
  <c r="B676" i="49"/>
  <c r="A7893" i="20"/>
  <c r="B381" i="45"/>
  <c r="A1179" i="45"/>
  <c r="B286" i="45"/>
  <c r="A964" i="45"/>
  <c r="B9039" i="20"/>
  <c r="A245" i="32"/>
  <c r="A652" i="45"/>
  <c r="A733" i="45"/>
  <c r="A70" i="47"/>
  <c r="A8703" i="20"/>
  <c r="B560" i="45"/>
  <c r="B9041" i="20"/>
  <c r="A7" i="32"/>
  <c r="B439" i="49"/>
  <c r="M17" i="33"/>
  <c r="B958" i="45"/>
  <c r="B761" i="45"/>
  <c r="B7049" i="20"/>
  <c r="B372" i="45"/>
  <c r="B7663" i="20"/>
  <c r="A735" i="49"/>
  <c r="A239" i="45"/>
  <c r="A169" i="45"/>
  <c r="B8191" i="20"/>
  <c r="A44" i="21"/>
  <c r="A8827" i="20"/>
  <c r="A257" i="49"/>
  <c r="A6" i="31"/>
  <c r="A744" i="45"/>
  <c r="AC1" i="33"/>
  <c r="A153" i="45"/>
  <c r="B8713" i="20"/>
  <c r="B7407" i="20"/>
  <c r="A7198" i="20"/>
  <c r="A158" i="32"/>
  <c r="A229" i="49"/>
  <c r="B8993" i="20"/>
  <c r="B720" i="49"/>
  <c r="M44" i="33"/>
  <c r="A6731" i="20"/>
  <c r="B8007" i="20"/>
  <c r="A5886" i="20"/>
  <c r="B8016" i="20"/>
  <c r="A11" i="28"/>
  <c r="B7326" i="20"/>
  <c r="A5694" i="20"/>
  <c r="B8421" i="20"/>
  <c r="A6570" i="20"/>
  <c r="A7986" i="20"/>
  <c r="A7039" i="20"/>
  <c r="B978" i="45"/>
  <c r="A8776" i="20"/>
  <c r="A211" i="49"/>
  <c r="A57" i="32"/>
  <c r="I8" i="33"/>
  <c r="B6822" i="20"/>
  <c r="A5726" i="20"/>
  <c r="B8293" i="20"/>
  <c r="B9" i="52"/>
  <c r="A22" i="47"/>
  <c r="B8770" i="20"/>
  <c r="B1001" i="49"/>
  <c r="B1290" i="49"/>
  <c r="A508" i="45"/>
  <c r="B1069" i="45"/>
  <c r="A1156" i="49"/>
  <c r="A8829" i="20"/>
  <c r="A319" i="32"/>
  <c r="B1052" i="49"/>
  <c r="A622" i="49"/>
  <c r="A981" i="45"/>
  <c r="B392" i="49"/>
  <c r="A178" i="45"/>
  <c r="A439" i="45"/>
  <c r="A290" i="45"/>
  <c r="B688" i="49"/>
  <c r="A580" i="45"/>
  <c r="N46" i="33"/>
  <c r="B290" i="49"/>
  <c r="A1209" i="45"/>
  <c r="A490" i="49"/>
  <c r="C150" i="52"/>
  <c r="B8815" i="20"/>
  <c r="A359" i="32"/>
  <c r="A729" i="45"/>
  <c r="M57" i="33"/>
  <c r="B5" i="46"/>
  <c r="B364" i="49"/>
  <c r="A8206" i="20"/>
  <c r="B964" i="49"/>
  <c r="B972" i="45"/>
  <c r="B231" i="49"/>
  <c r="A256" i="32"/>
  <c r="B360" i="45"/>
  <c r="A62" i="47"/>
  <c r="B624" i="45"/>
  <c r="A927" i="45"/>
  <c r="A727" i="45"/>
  <c r="A1074" i="45"/>
  <c r="B606" i="45"/>
  <c r="B440" i="45"/>
  <c r="A8341" i="20"/>
  <c r="N29" i="33"/>
  <c r="B7" i="45"/>
  <c r="A488" i="45"/>
  <c r="A603" i="45"/>
  <c r="A8093" i="20"/>
  <c r="B7866" i="20"/>
  <c r="B7430" i="20"/>
  <c r="A9044" i="20"/>
  <c r="B500" i="45"/>
  <c r="A17" i="43"/>
  <c r="B589" i="49"/>
  <c r="B1233" i="45"/>
  <c r="A8684" i="20"/>
  <c r="B1212" i="45"/>
  <c r="A1088" i="45"/>
  <c r="A526" i="45"/>
  <c r="B8953" i="20"/>
  <c r="B9111" i="20"/>
  <c r="A174" i="32"/>
  <c r="A7964" i="20"/>
  <c r="B211" i="49"/>
  <c r="B618" i="45"/>
  <c r="B401" i="49"/>
  <c r="B8160" i="20"/>
  <c r="B7952" i="20"/>
  <c r="A2957" i="20"/>
  <c r="B1302" i="49"/>
  <c r="B7735" i="20"/>
  <c r="A8769" i="20"/>
  <c r="A270" i="32"/>
  <c r="B9009" i="20"/>
  <c r="A8049" i="20"/>
  <c r="A10" i="43"/>
  <c r="A8844" i="20"/>
  <c r="A8989" i="20"/>
  <c r="A248" i="32"/>
  <c r="B7852" i="20"/>
  <c r="B234" i="49"/>
  <c r="B1059" i="45"/>
  <c r="C1" i="43"/>
  <c r="M78" i="33"/>
  <c r="A9003" i="20"/>
  <c r="A747" i="45"/>
  <c r="B1359" i="49"/>
  <c r="A543" i="45"/>
  <c r="B1117" i="45"/>
  <c r="A49" i="49"/>
  <c r="B5509" i="20"/>
  <c r="A8857" i="20"/>
  <c r="B1298" i="45"/>
  <c r="B1177" i="45"/>
  <c r="A765" i="45"/>
  <c r="B17" i="45"/>
  <c r="B21" i="49"/>
  <c r="A1248" i="45"/>
  <c r="B637" i="45"/>
  <c r="A3747" i="20"/>
  <c r="B601" i="45"/>
  <c r="R2" i="33"/>
  <c r="A54" i="25"/>
  <c r="B8658" i="20"/>
  <c r="B6990" i="20"/>
  <c r="B8793" i="20"/>
  <c r="A31" i="45"/>
  <c r="B239" i="49"/>
  <c r="B14" i="45"/>
  <c r="A8221" i="20"/>
  <c r="B6950" i="20"/>
  <c r="A1044" i="45"/>
  <c r="B7151" i="20"/>
  <c r="B200" i="45"/>
  <c r="B7739" i="20"/>
  <c r="B101" i="45"/>
  <c r="A8172" i="20"/>
  <c r="A8653" i="20"/>
  <c r="B1076" i="45"/>
  <c r="A8721" i="20"/>
  <c r="B8615" i="20"/>
  <c r="A8408" i="20"/>
  <c r="A702" i="45"/>
  <c r="A7531" i="20"/>
  <c r="A7435" i="20"/>
  <c r="B7206" i="20"/>
  <c r="A395" i="45"/>
  <c r="A9108" i="20"/>
  <c r="A8371" i="20"/>
  <c r="B935" i="49"/>
  <c r="B45" i="45"/>
  <c r="V2" i="33"/>
  <c r="A6884" i="20"/>
  <c r="B7271" i="20"/>
  <c r="A3243" i="20"/>
  <c r="A261" i="49"/>
  <c r="A1130" i="45"/>
  <c r="B111" i="45"/>
  <c r="B8598" i="20"/>
  <c r="A318" i="49"/>
  <c r="A8192" i="20"/>
  <c r="A834" i="49"/>
  <c r="B8304" i="20"/>
  <c r="B6698" i="20"/>
  <c r="B7907" i="20"/>
  <c r="B9006" i="20"/>
  <c r="N33" i="33"/>
  <c r="B8210" i="20"/>
  <c r="B6315" i="20"/>
  <c r="A50" i="21"/>
  <c r="B981" i="45"/>
  <c r="A138" i="32"/>
  <c r="A1226" i="45"/>
  <c r="E7" i="29"/>
  <c r="A8359" i="20"/>
  <c r="A8627" i="20"/>
  <c r="A7715" i="20"/>
  <c r="B8560" i="20"/>
  <c r="B7566" i="20"/>
  <c r="A6705" i="20"/>
  <c r="B934" i="45"/>
  <c r="B1034" i="45"/>
  <c r="B670" i="45"/>
  <c r="A7153" i="20"/>
  <c r="A8516" i="20"/>
  <c r="B1032" i="45"/>
  <c r="A7819" i="20"/>
  <c r="B971" i="45"/>
  <c r="B7797" i="20"/>
  <c r="A377" i="45"/>
  <c r="A154" i="45"/>
  <c r="A712" i="49"/>
  <c r="B194" i="45"/>
  <c r="B939" i="45"/>
  <c r="B8648" i="20"/>
  <c r="A212" i="32"/>
  <c r="A909" i="45"/>
  <c r="W2" i="29"/>
  <c r="A788" i="45"/>
  <c r="B7518" i="20"/>
  <c r="B118" i="49"/>
  <c r="A708" i="49"/>
  <c r="A598" i="49"/>
  <c r="A255" i="45"/>
  <c r="A320" i="32"/>
  <c r="B8264" i="20"/>
  <c r="B943" i="45"/>
  <c r="B3" i="39"/>
  <c r="B1054" i="45"/>
  <c r="B905" i="49"/>
  <c r="A472" i="45"/>
  <c r="N37" i="29"/>
  <c r="A1347" i="49"/>
  <c r="B6" i="41"/>
  <c r="A13" i="21"/>
  <c r="B7622" i="20"/>
  <c r="B129" i="45"/>
  <c r="B8946" i="20"/>
  <c r="A208" i="49"/>
  <c r="N22" i="33"/>
  <c r="B8908" i="20"/>
  <c r="A1033" i="49"/>
  <c r="B769" i="49"/>
  <c r="A87" i="32"/>
  <c r="A731" i="49"/>
  <c r="M61" i="33"/>
  <c r="A8713" i="20"/>
  <c r="B50" i="21"/>
  <c r="A6238" i="20"/>
  <c r="A307" i="32"/>
  <c r="B214" i="45"/>
  <c r="B164" i="45"/>
  <c r="A100" i="49"/>
  <c r="A8963" i="20"/>
  <c r="B8956" i="20"/>
  <c r="A8917" i="20"/>
  <c r="A8224" i="20"/>
  <c r="B415" i="45"/>
  <c r="B7930" i="20"/>
  <c r="A5374" i="20"/>
  <c r="B298" i="45"/>
  <c r="B6469" i="20"/>
  <c r="A7918" i="20"/>
  <c r="B35" i="56"/>
  <c r="B6892" i="20"/>
  <c r="A9002" i="20"/>
  <c r="B8995" i="20"/>
  <c r="A8578" i="20"/>
  <c r="A628" i="49"/>
  <c r="A69" i="49"/>
  <c r="A612" i="49"/>
  <c r="B1105" i="45"/>
  <c r="B200" i="49"/>
  <c r="A7995" i="20"/>
  <c r="A308" i="45"/>
  <c r="M10" i="29"/>
  <c r="A9127" i="20"/>
  <c r="A8459" i="20"/>
  <c r="B713" i="49"/>
  <c r="B1146" i="45"/>
  <c r="A1083" i="45"/>
  <c r="B8926" i="20"/>
  <c r="A22" i="32"/>
  <c r="A44" i="31"/>
  <c r="A330" i="45"/>
  <c r="B7671" i="20"/>
  <c r="B8499" i="20"/>
  <c r="A6974" i="20"/>
  <c r="B173" i="45"/>
  <c r="A8691" i="20"/>
  <c r="A343" i="45"/>
  <c r="B8796" i="20"/>
  <c r="B44" i="45"/>
  <c r="B430" i="45"/>
  <c r="N78" i="33"/>
  <c r="B1131" i="45"/>
  <c r="B287" i="45"/>
  <c r="B7125" i="20"/>
  <c r="B7561" i="20"/>
  <c r="B5685" i="20"/>
  <c r="B851" i="45"/>
  <c r="B9070" i="20"/>
  <c r="A8486" i="20"/>
  <c r="B7911" i="20"/>
  <c r="A102" i="49"/>
  <c r="B6149" i="20"/>
  <c r="M43" i="33"/>
  <c r="A24" i="31"/>
  <c r="A5508" i="20"/>
  <c r="B9084" i="20"/>
  <c r="D14" i="43"/>
  <c r="B7318" i="20"/>
  <c r="B791" i="45"/>
  <c r="B807" i="49"/>
  <c r="A40" i="52"/>
  <c r="B6988" i="20"/>
  <c r="B432" i="45"/>
  <c r="B718" i="45"/>
  <c r="A328" i="45"/>
  <c r="A7025" i="20"/>
  <c r="A8731" i="20"/>
  <c r="B424" i="45"/>
  <c r="B402" i="45"/>
  <c r="N18" i="29"/>
  <c r="B8745" i="20"/>
  <c r="A8526" i="20"/>
  <c r="B6790" i="20"/>
  <c r="B7673" i="20"/>
  <c r="B815" i="45"/>
  <c r="A655" i="45"/>
  <c r="A7659" i="20"/>
  <c r="B7182" i="20"/>
  <c r="B520" i="45"/>
  <c r="A682" i="45"/>
  <c r="C48" i="21"/>
  <c r="N36" i="33"/>
  <c r="B7743" i="20"/>
  <c r="A8539" i="20"/>
  <c r="A534" i="49"/>
  <c r="B3184" i="20"/>
  <c r="B697" i="45"/>
  <c r="B455" i="49"/>
  <c r="B3" i="45"/>
  <c r="B8419" i="20"/>
  <c r="B7238" i="20"/>
  <c r="B8088" i="20"/>
  <c r="B8546" i="20"/>
  <c r="A41" i="25"/>
  <c r="B1174" i="49"/>
  <c r="A836" i="45"/>
  <c r="B33" i="45"/>
  <c r="A6826" i="20"/>
  <c r="B1182" i="49"/>
  <c r="B1122" i="45"/>
  <c r="A46" i="45"/>
  <c r="A995" i="45"/>
  <c r="B7842" i="20"/>
  <c r="B7254" i="20"/>
  <c r="A9081" i="20"/>
  <c r="B6927" i="20"/>
  <c r="B1231" i="45"/>
  <c r="B6757" i="20"/>
  <c r="A8885" i="20"/>
  <c r="B1986" i="20"/>
  <c r="A22" i="37"/>
  <c r="A29" i="21"/>
  <c r="A7707" i="20"/>
  <c r="A151" i="32"/>
  <c r="A1238" i="49"/>
  <c r="B6759" i="20"/>
  <c r="A5778" i="20"/>
  <c r="B7143" i="20"/>
  <c r="A7327" i="20"/>
  <c r="A7529" i="20"/>
  <c r="A4754" i="20"/>
  <c r="A843" i="45"/>
  <c r="A371" i="32"/>
  <c r="B7118" i="20"/>
  <c r="B616" i="45"/>
  <c r="B8379" i="20"/>
  <c r="A7479" i="20"/>
  <c r="B267" i="49"/>
  <c r="B7864" i="20"/>
  <c r="B8748" i="20"/>
  <c r="B8777" i="20"/>
  <c r="B142" i="45"/>
  <c r="A742" i="49"/>
  <c r="B7667" i="20"/>
  <c r="A7954" i="20"/>
  <c r="E11" i="33"/>
  <c r="B6236" i="20"/>
  <c r="A8924" i="20"/>
  <c r="B7957" i="20"/>
  <c r="B6921" i="20"/>
  <c r="A174" i="49"/>
  <c r="C1" i="35"/>
  <c r="B146" i="50"/>
  <c r="A7877" i="20"/>
  <c r="B6788" i="20"/>
  <c r="A7679" i="20"/>
  <c r="A8291" i="20"/>
  <c r="A8417" i="20"/>
  <c r="A163" i="49"/>
  <c r="A650" i="45"/>
  <c r="B7268" i="20"/>
  <c r="A6442" i="20"/>
  <c r="B8632" i="20"/>
  <c r="A7331" i="20"/>
  <c r="N4" i="29"/>
  <c r="A6660" i="20"/>
  <c r="B349" i="45"/>
  <c r="A437" i="49"/>
  <c r="A8309" i="20"/>
  <c r="B9079" i="20"/>
  <c r="C38" i="21"/>
  <c r="A279" i="32"/>
  <c r="B8920" i="20"/>
  <c r="B7586" i="20"/>
  <c r="A8162" i="20"/>
  <c r="A4905" i="20"/>
  <c r="A7580" i="20"/>
  <c r="N55" i="33"/>
  <c r="A10" i="25"/>
  <c r="A8815" i="20"/>
  <c r="N73" i="33"/>
  <c r="B8689" i="20"/>
  <c r="B537" i="45"/>
  <c r="B5797" i="20"/>
  <c r="A8200" i="20"/>
  <c r="B7148" i="20"/>
  <c r="A8883" i="20"/>
  <c r="B595" i="45"/>
  <c r="A7" i="37"/>
  <c r="B8371" i="20"/>
  <c r="B1084" i="49"/>
  <c r="B265" i="49"/>
  <c r="A7396" i="20"/>
  <c r="B7599" i="20"/>
  <c r="B332" i="45"/>
  <c r="B7439" i="20"/>
  <c r="A7621" i="20"/>
  <c r="A5355" i="20"/>
  <c r="A8303" i="20"/>
  <c r="A7210" i="20"/>
  <c r="B6872" i="20"/>
  <c r="A53" i="25"/>
  <c r="A8481" i="20"/>
  <c r="B743" i="45"/>
  <c r="B8334" i="20"/>
  <c r="A205" i="32"/>
  <c r="B4439" i="20"/>
  <c r="O78" i="33"/>
  <c r="B1474" i="20"/>
  <c r="B9065" i="20"/>
  <c r="A3273" i="20"/>
  <c r="B809" i="45"/>
  <c r="A1155" i="45"/>
  <c r="A186" i="49"/>
  <c r="B9118" i="20"/>
  <c r="B1251" i="45"/>
  <c r="B8106" i="20"/>
  <c r="B460" i="45"/>
  <c r="B744" i="45"/>
  <c r="B7364" i="20"/>
  <c r="B450" i="45"/>
  <c r="B9012" i="20"/>
  <c r="A19" i="28"/>
  <c r="A8752" i="20"/>
  <c r="A1605" i="20"/>
  <c r="A6675" i="20"/>
  <c r="B6623" i="20"/>
  <c r="A5386" i="20"/>
  <c r="B8623" i="20"/>
  <c r="B795" i="45"/>
  <c r="E2" i="29"/>
  <c r="A433" i="49"/>
  <c r="A170" i="49"/>
  <c r="B7534" i="20"/>
  <c r="A443" i="49"/>
  <c r="A431" i="45"/>
  <c r="B296" i="45"/>
  <c r="B763" i="45"/>
  <c r="E8" i="29"/>
  <c r="M31" i="33"/>
  <c r="A2" i="28"/>
  <c r="B191" i="49"/>
  <c r="B8534" i="20"/>
  <c r="A6605" i="20"/>
  <c r="B6213" i="20"/>
  <c r="B7601" i="20"/>
  <c r="B8081" i="20"/>
  <c r="N19" i="33"/>
  <c r="B6998" i="20"/>
  <c r="B7728" i="20"/>
  <c r="B370" i="45"/>
  <c r="B6874" i="20"/>
  <c r="B5197" i="20"/>
  <c r="B7258" i="20"/>
  <c r="A3613" i="20"/>
  <c r="A7648" i="20"/>
  <c r="A6205" i="20"/>
  <c r="A5214" i="20"/>
  <c r="B15" i="45"/>
  <c r="A34" i="21"/>
  <c r="U2" i="29"/>
  <c r="B7890" i="20"/>
  <c r="A8480" i="20"/>
  <c r="A197" i="50"/>
  <c r="A8115" i="20"/>
  <c r="B1190" i="49"/>
  <c r="A269" i="49"/>
  <c r="A82" i="32"/>
  <c r="B558" i="45"/>
  <c r="A8748" i="20"/>
  <c r="A6295" i="20"/>
  <c r="A8185" i="20"/>
  <c r="A1703" i="20"/>
  <c r="B100" i="49"/>
  <c r="A8483" i="20"/>
  <c r="B3470" i="20"/>
  <c r="B3854" i="20"/>
  <c r="B3214" i="20"/>
  <c r="A206" i="32"/>
  <c r="B7944" i="20"/>
  <c r="B7370" i="20"/>
  <c r="B7877" i="20"/>
  <c r="B5515" i="20"/>
  <c r="A5950" i="20"/>
  <c r="A8750" i="20"/>
  <c r="A6987" i="20"/>
  <c r="B7538" i="20"/>
  <c r="A5278" i="20"/>
  <c r="A8610" i="20"/>
  <c r="N67" i="33"/>
  <c r="A39" i="25"/>
  <c r="A9071" i="20"/>
  <c r="B52" i="21"/>
  <c r="B931" i="45"/>
  <c r="B754" i="45"/>
  <c r="B62" i="45"/>
  <c r="B5957" i="20"/>
  <c r="B6860" i="20"/>
  <c r="B7332" i="20"/>
  <c r="A306" i="32"/>
  <c r="A8400" i="20"/>
  <c r="A8213" i="20"/>
  <c r="B7248" i="20"/>
  <c r="B17" i="48"/>
  <c r="B8790" i="20"/>
  <c r="A297" i="49"/>
  <c r="A838" i="45"/>
  <c r="A1133" i="49"/>
  <c r="B1451" i="49"/>
  <c r="B1051" i="49"/>
  <c r="A1422" i="49"/>
  <c r="B1178" i="45"/>
  <c r="A148" i="50"/>
  <c r="B1102" i="49"/>
  <c r="A1206" i="49"/>
  <c r="A345" i="32"/>
  <c r="A1345" i="49"/>
  <c r="B378" i="49"/>
  <c r="B432" i="49"/>
  <c r="B426" i="45"/>
  <c r="B493" i="45"/>
  <c r="A8923" i="20"/>
  <c r="A503" i="49"/>
  <c r="B1185" i="49"/>
  <c r="A9045" i="20"/>
  <c r="A9115" i="20"/>
  <c r="B103" i="52"/>
  <c r="A8965" i="20"/>
  <c r="C8" i="55"/>
  <c r="A1061" i="49"/>
  <c r="C1" i="44"/>
  <c r="A8797" i="20"/>
  <c r="B860" i="45"/>
  <c r="A8445" i="20"/>
  <c r="B87" i="49"/>
  <c r="A301" i="45"/>
  <c r="A42" i="47"/>
  <c r="A499" i="49"/>
  <c r="B454" i="49"/>
  <c r="B1107" i="45"/>
  <c r="A549" i="49"/>
  <c r="A523" i="45"/>
  <c r="B1112" i="49"/>
  <c r="A80" i="32"/>
  <c r="AE2" i="29"/>
  <c r="A311" i="32"/>
  <c r="B977" i="45"/>
  <c r="A72" i="49"/>
  <c r="B886" i="45"/>
  <c r="B806" i="45"/>
  <c r="A7952" i="20"/>
  <c r="B277" i="45"/>
  <c r="A143" i="32"/>
  <c r="B425" i="45"/>
  <c r="D17" i="43"/>
  <c r="B665" i="45"/>
  <c r="C3" i="21"/>
  <c r="A8392" i="20"/>
  <c r="B1435" i="49"/>
  <c r="A19" i="31"/>
  <c r="B926" i="49"/>
  <c r="A495" i="45"/>
  <c r="A886" i="45"/>
  <c r="A103" i="49"/>
  <c r="A8837" i="20"/>
  <c r="B7698" i="20"/>
  <c r="A8051" i="20"/>
  <c r="A33" i="31"/>
  <c r="B1019" i="45"/>
  <c r="A489" i="45"/>
  <c r="N69" i="33"/>
  <c r="B1071" i="45"/>
  <c r="B36" i="45"/>
  <c r="C55" i="21"/>
  <c r="A12" i="21"/>
  <c r="A8064" i="20"/>
  <c r="B1035" i="45"/>
  <c r="A454" i="45"/>
  <c r="A7927" i="20"/>
  <c r="B8575" i="20"/>
  <c r="A9132" i="20"/>
  <c r="A8651" i="20"/>
  <c r="A2" i="58"/>
  <c r="A169" i="49"/>
  <c r="A7511" i="20"/>
  <c r="B97" i="49"/>
  <c r="B392" i="45"/>
  <c r="A424" i="45"/>
  <c r="A706" i="45"/>
  <c r="B5" i="48"/>
  <c r="A362" i="49"/>
  <c r="A748" i="49"/>
  <c r="C88" i="52"/>
  <c r="A626" i="45"/>
  <c r="A808" i="49"/>
  <c r="B9106" i="20"/>
  <c r="B7023" i="20"/>
  <c r="A658" i="45"/>
  <c r="F8" i="33"/>
  <c r="B6" i="55"/>
  <c r="A274" i="32"/>
  <c r="B8142" i="20"/>
  <c r="B253" i="45"/>
  <c r="A894" i="45"/>
  <c r="A783" i="45"/>
  <c r="M24" i="33"/>
  <c r="A67" i="49"/>
  <c r="B1185" i="45"/>
  <c r="A435" i="45"/>
  <c r="A871" i="45"/>
  <c r="B8538" i="20"/>
  <c r="A2" i="41"/>
  <c r="M60" i="33"/>
  <c r="A464" i="45"/>
  <c r="N11" i="29"/>
  <c r="A900" i="45"/>
  <c r="B896" i="45"/>
  <c r="B1070" i="49"/>
  <c r="B353" i="49"/>
  <c r="B7935" i="20"/>
  <c r="A462" i="45"/>
  <c r="B1" i="48"/>
  <c r="B6772" i="20"/>
  <c r="B1371" i="49"/>
  <c r="B9096" i="20"/>
  <c r="A652" i="49"/>
  <c r="B641" i="49"/>
  <c r="B2" i="37"/>
  <c r="B152" i="45"/>
  <c r="A6014" i="20"/>
  <c r="B8894" i="20"/>
  <c r="B7880" i="20"/>
  <c r="B8185" i="20"/>
  <c r="A662" i="49"/>
  <c r="A361" i="45"/>
  <c r="B793" i="45"/>
  <c r="A8" i="27"/>
  <c r="A161" i="49"/>
  <c r="B7510" i="20"/>
  <c r="A320" i="45"/>
  <c r="A1492" i="49"/>
  <c r="A63" i="47"/>
  <c r="A164" i="49"/>
  <c r="B464" i="45"/>
  <c r="N35" i="29"/>
  <c r="A222" i="45"/>
  <c r="G2" i="29"/>
  <c r="M71" i="33"/>
  <c r="A8484" i="20"/>
  <c r="A45" i="32"/>
  <c r="M12" i="29"/>
  <c r="A1062" i="45"/>
  <c r="B2" i="29"/>
  <c r="B8311" i="20"/>
  <c r="A6954" i="20"/>
  <c r="A133" i="45"/>
  <c r="B54" i="45"/>
  <c r="A121" i="32"/>
  <c r="B7929" i="20"/>
  <c r="A7019" i="20"/>
  <c r="A8701" i="20"/>
  <c r="A7744" i="20"/>
  <c r="B8631" i="20"/>
  <c r="A834" i="45"/>
  <c r="B8042" i="20"/>
  <c r="B8303" i="20"/>
  <c r="B281" i="45"/>
  <c r="B8886" i="20"/>
  <c r="A300" i="49"/>
  <c r="A50" i="25"/>
  <c r="B15" i="50"/>
  <c r="B133" i="49"/>
  <c r="B692" i="45"/>
  <c r="B401" i="45"/>
  <c r="A1134" i="45"/>
  <c r="A255" i="49"/>
  <c r="A741" i="45"/>
  <c r="N27" i="33"/>
  <c r="B7486" i="20"/>
  <c r="A9" i="21"/>
  <c r="A7773" i="20"/>
  <c r="A8771" i="20"/>
  <c r="A31" i="49"/>
  <c r="A4" i="56"/>
  <c r="B1141" i="45"/>
  <c r="B9092" i="20"/>
  <c r="B1238" i="45"/>
  <c r="A7934" i="20"/>
  <c r="A9076" i="20"/>
  <c r="A177" i="45"/>
  <c r="A547" i="49"/>
  <c r="A690" i="45"/>
  <c r="B8635" i="20"/>
  <c r="A958" i="45"/>
  <c r="B300" i="45"/>
  <c r="A8929" i="20"/>
  <c r="A238" i="50"/>
  <c r="B116" i="49"/>
  <c r="B510" i="45"/>
  <c r="B942" i="45"/>
  <c r="F3" i="33"/>
  <c r="B255" i="49"/>
  <c r="A8669" i="20"/>
  <c r="A926" i="45"/>
  <c r="A8998" i="20"/>
  <c r="B1012" i="45"/>
  <c r="B375" i="45"/>
  <c r="A959" i="49"/>
  <c r="A1232" i="45"/>
  <c r="B9068" i="20"/>
  <c r="A1184" i="49"/>
  <c r="A81" i="32"/>
  <c r="A1173" i="49"/>
  <c r="A1294" i="49"/>
  <c r="B1180" i="45"/>
  <c r="B964" i="45"/>
  <c r="A555" i="45"/>
  <c r="B802" i="45"/>
  <c r="B135" i="45"/>
  <c r="A901" i="49"/>
  <c r="A394" i="45"/>
  <c r="A67" i="56"/>
  <c r="Y6" i="33"/>
  <c r="B8109" i="20"/>
  <c r="B932" i="45"/>
  <c r="B9105" i="20"/>
  <c r="B1116" i="45"/>
  <c r="B711" i="49"/>
  <c r="A265" i="32"/>
  <c r="B671" i="45"/>
  <c r="B479" i="45"/>
  <c r="B7958" i="20"/>
  <c r="B8302" i="20"/>
  <c r="A37" i="21"/>
  <c r="B8988" i="20"/>
  <c r="B7954" i="20"/>
  <c r="A1092" i="49"/>
  <c r="A476" i="45"/>
  <c r="B643" i="45"/>
  <c r="A469" i="45"/>
  <c r="A575" i="45"/>
  <c r="A333" i="49"/>
  <c r="B276" i="45"/>
  <c r="B1111" i="45"/>
  <c r="B167" i="45"/>
  <c r="A8783" i="20"/>
  <c r="A355" i="45"/>
  <c r="B2" i="49"/>
  <c r="A8865" i="20"/>
  <c r="B9000" i="20"/>
  <c r="M73" i="33"/>
  <c r="B8671" i="20"/>
  <c r="B7172" i="20"/>
  <c r="A492" i="45"/>
  <c r="A526" i="49"/>
  <c r="A8125" i="20"/>
  <c r="B8434" i="20"/>
  <c r="A427" i="45"/>
  <c r="A7838" i="20"/>
  <c r="A8778" i="20"/>
  <c r="B8162" i="20"/>
  <c r="A194" i="32"/>
  <c r="B1000" i="45"/>
  <c r="A39" i="49"/>
  <c r="B8605" i="20"/>
  <c r="M8" i="29"/>
  <c r="B7213" i="20"/>
  <c r="B5121" i="20"/>
  <c r="A292" i="32"/>
  <c r="A37" i="50"/>
  <c r="A33" i="21"/>
  <c r="A1064" i="45"/>
  <c r="A165" i="32"/>
  <c r="A7920" i="20"/>
  <c r="A405" i="45"/>
  <c r="A1221" i="45"/>
  <c r="A24" i="25"/>
  <c r="B8029" i="20"/>
  <c r="B8053" i="20"/>
  <c r="C5" i="35"/>
  <c r="A136" i="45"/>
  <c r="B8426" i="20"/>
  <c r="A7980" i="20"/>
  <c r="A596" i="45"/>
  <c r="A7834" i="20"/>
  <c r="A463" i="45"/>
  <c r="B166" i="45"/>
  <c r="A1131" i="49"/>
  <c r="A63" i="52"/>
  <c r="A461" i="45"/>
  <c r="A7680" i="20"/>
  <c r="B8798" i="20"/>
  <c r="A9052" i="20"/>
  <c r="A8552" i="20"/>
  <c r="A6891" i="20"/>
  <c r="A267" i="45"/>
  <c r="A907" i="49"/>
  <c r="A672" i="45"/>
  <c r="B70" i="49"/>
  <c r="M29" i="33"/>
  <c r="A52" i="32"/>
  <c r="B7" i="49"/>
  <c r="A1488" i="49"/>
  <c r="A8742" i="20"/>
  <c r="A7626" i="20"/>
  <c r="B6481" i="20"/>
  <c r="A5898" i="20"/>
  <c r="B5371" i="20"/>
  <c r="B8824" i="20"/>
  <c r="B947" i="45"/>
  <c r="B1164" i="45"/>
  <c r="B8552" i="20"/>
  <c r="A8584" i="20"/>
  <c r="B8876" i="20"/>
  <c r="A637" i="45"/>
  <c r="B6972" i="20"/>
  <c r="B352" i="45"/>
  <c r="M32" i="33"/>
  <c r="B1184" i="45"/>
  <c r="A203" i="32"/>
  <c r="B8696" i="20"/>
  <c r="B9119" i="20"/>
  <c r="N64" i="33"/>
  <c r="A1302" i="45"/>
  <c r="M50" i="33"/>
  <c r="B8813" i="20"/>
  <c r="C11" i="43"/>
  <c r="B8603" i="20"/>
  <c r="B6085" i="20"/>
  <c r="A2822" i="20"/>
  <c r="A8436" i="20"/>
  <c r="B5305" i="20"/>
  <c r="B7266" i="20"/>
  <c r="B8991" i="20"/>
  <c r="A7875" i="20"/>
  <c r="A23" i="28"/>
  <c r="B8792" i="20"/>
  <c r="B93" i="45"/>
  <c r="A2731" i="20"/>
  <c r="B9" i="48"/>
  <c r="A3115" i="20"/>
  <c r="A835" i="49"/>
  <c r="B4464" i="20"/>
  <c r="C44" i="21"/>
  <c r="A8453" i="20"/>
  <c r="A5988" i="20"/>
  <c r="A7737" i="20"/>
  <c r="A8914" i="20"/>
  <c r="B8772" i="20"/>
  <c r="B6750" i="20"/>
  <c r="B830" i="45"/>
  <c r="A111" i="32"/>
  <c r="B10" i="43"/>
  <c r="A268" i="45"/>
  <c r="B6756" i="20"/>
  <c r="A8826" i="20"/>
  <c r="B5756" i="20"/>
  <c r="B6880" i="20"/>
  <c r="B7936" i="20"/>
  <c r="B6985" i="20"/>
  <c r="A6897" i="20"/>
  <c r="B8093" i="20"/>
  <c r="A8673" i="20"/>
  <c r="B480" i="45"/>
  <c r="B1068" i="45"/>
  <c r="B8517" i="20"/>
  <c r="A9012" i="20"/>
  <c r="B8959" i="20"/>
  <c r="B1024" i="49"/>
  <c r="A8810" i="20"/>
  <c r="A474" i="49"/>
  <c r="B810" i="45"/>
  <c r="A73" i="32"/>
  <c r="A273" i="45"/>
  <c r="A57" i="25"/>
  <c r="A1163" i="45"/>
  <c r="B8224" i="20"/>
  <c r="A7249" i="20"/>
  <c r="A8898" i="20"/>
  <c r="B7264" i="20"/>
  <c r="B8746" i="20"/>
  <c r="B6" i="21"/>
  <c r="C22" i="21"/>
  <c r="A870" i="45"/>
  <c r="A6090" i="20"/>
  <c r="A32" i="25"/>
  <c r="B7480" i="20"/>
  <c r="B1200" i="45"/>
  <c r="A1022" i="45"/>
  <c r="A289" i="45"/>
  <c r="A5" i="39"/>
  <c r="A1086" i="49"/>
  <c r="B202" i="45"/>
  <c r="A406" i="49"/>
  <c r="A1109" i="45"/>
  <c r="A413" i="49"/>
  <c r="A845" i="45"/>
  <c r="A295" i="49"/>
  <c r="B8451" i="20"/>
  <c r="AG4" i="33"/>
  <c r="A990" i="45"/>
  <c r="B7006" i="20"/>
  <c r="AI5" i="33"/>
  <c r="A65" i="32"/>
  <c r="A7685" i="20"/>
  <c r="A7896" i="20"/>
  <c r="A44" i="32"/>
  <c r="C4" i="21"/>
  <c r="B6147" i="20"/>
  <c r="A6711" i="20"/>
  <c r="B6075" i="20"/>
  <c r="A5290" i="20"/>
  <c r="B949" i="45"/>
  <c r="A6699" i="20"/>
  <c r="A187" i="32"/>
  <c r="A8149" i="20"/>
  <c r="A8489" i="20"/>
  <c r="B6914" i="20"/>
  <c r="A6441" i="20"/>
  <c r="B7426" i="20"/>
  <c r="B4793" i="20"/>
  <c r="A7624" i="20"/>
  <c r="B523" i="45"/>
  <c r="A7" i="47"/>
  <c r="B385" i="45"/>
  <c r="B7974" i="20"/>
  <c r="B803" i="45"/>
  <c r="A325" i="45"/>
  <c r="A1084" i="45"/>
  <c r="A8388" i="20"/>
  <c r="B177" i="49"/>
  <c r="A862" i="45"/>
  <c r="A84" i="45"/>
  <c r="A16" i="21"/>
  <c r="B8277" i="20"/>
  <c r="A7921" i="20"/>
  <c r="B7452" i="20"/>
  <c r="B7993" i="20"/>
  <c r="A29" i="25"/>
  <c r="B9130" i="20"/>
  <c r="A299" i="45"/>
  <c r="A8252" i="20"/>
  <c r="A453" i="49"/>
  <c r="B652" i="45"/>
  <c r="A8897" i="20"/>
  <c r="B8263" i="20"/>
  <c r="B7999" i="20"/>
  <c r="B264" i="45"/>
  <c r="B9077" i="20"/>
  <c r="B1" i="41"/>
  <c r="B50" i="45"/>
  <c r="B8639" i="20"/>
  <c r="B7466" i="20"/>
  <c r="A12" i="31"/>
  <c r="N31" i="29"/>
  <c r="A8825" i="20"/>
  <c r="A6949" i="20"/>
  <c r="A8379" i="20"/>
  <c r="B8287" i="20"/>
  <c r="A6052" i="20"/>
  <c r="B7931" i="20"/>
  <c r="A1326" i="45"/>
  <c r="B881" i="45"/>
  <c r="A18" i="23"/>
  <c r="B3443" i="20"/>
  <c r="B290" i="45"/>
  <c r="A2694" i="20"/>
  <c r="A378" i="32"/>
  <c r="A2599" i="20"/>
  <c r="B208" i="45"/>
  <c r="A711" i="49"/>
  <c r="A1186" i="45"/>
  <c r="M39" i="33"/>
  <c r="A8935" i="20"/>
  <c r="A7847" i="20"/>
  <c r="A160" i="45"/>
  <c r="B7342" i="20"/>
  <c r="A6474" i="20"/>
  <c r="A5834" i="20"/>
  <c r="B11" i="49"/>
  <c r="B6806" i="20"/>
  <c r="B7649" i="20"/>
  <c r="A6095" i="20"/>
  <c r="A8071" i="20"/>
  <c r="A660" i="45"/>
  <c r="A828" i="45"/>
  <c r="A7677" i="20"/>
  <c r="M18" i="33"/>
  <c r="A7172" i="20"/>
  <c r="A594" i="45"/>
  <c r="A8598" i="20"/>
  <c r="A70" i="45"/>
  <c r="A579" i="49"/>
  <c r="A7595" i="20"/>
  <c r="A7835" i="20"/>
  <c r="B8596" i="20"/>
  <c r="B257" i="45"/>
  <c r="B5641" i="20"/>
  <c r="B7436" i="20"/>
  <c r="A6904" i="20"/>
  <c r="B8173" i="20"/>
  <c r="A6500" i="20"/>
  <c r="A8740" i="20"/>
  <c r="B363" i="45"/>
  <c r="A479" i="45"/>
  <c r="B7668" i="20"/>
  <c r="B9100" i="20"/>
  <c r="B458" i="45"/>
  <c r="B1100" i="49"/>
  <c r="B1099" i="45"/>
  <c r="B322" i="45"/>
  <c r="B21" i="21"/>
  <c r="B8440" i="20"/>
  <c r="B8083" i="20"/>
  <c r="B5750" i="20"/>
  <c r="A254" i="45"/>
  <c r="B527" i="45"/>
  <c r="A1092" i="45"/>
  <c r="A36" i="49"/>
  <c r="A785" i="45"/>
  <c r="B615" i="49"/>
  <c r="A667" i="49"/>
  <c r="A1022" i="49"/>
  <c r="B37" i="56"/>
  <c r="B149" i="49"/>
  <c r="A281" i="45"/>
  <c r="A812" i="49"/>
  <c r="A676" i="45"/>
  <c r="A882" i="49"/>
  <c r="A767" i="49"/>
  <c r="C57" i="21"/>
  <c r="A444" i="45"/>
  <c r="A1303" i="49"/>
  <c r="B1287" i="45"/>
  <c r="A1097" i="49"/>
  <c r="A641" i="45"/>
  <c r="B33" i="49"/>
  <c r="B1263" i="45"/>
  <c r="A287" i="32"/>
  <c r="B300" i="49"/>
  <c r="B294" i="45"/>
  <c r="B54" i="49"/>
  <c r="A707" i="49"/>
  <c r="A992" i="45"/>
  <c r="A772" i="49"/>
  <c r="A329" i="49"/>
  <c r="B452" i="45"/>
  <c r="A241" i="49"/>
  <c r="A97" i="49"/>
  <c r="B1309" i="45"/>
  <c r="A36" i="21"/>
  <c r="A257" i="45"/>
  <c r="B5" i="37"/>
  <c r="A290" i="49"/>
  <c r="B8232" i="20"/>
  <c r="B354" i="49"/>
  <c r="A8505" i="20"/>
  <c r="A81" i="47"/>
  <c r="A504" i="45"/>
  <c r="A490" i="45"/>
  <c r="A303" i="49"/>
  <c r="A5" i="48"/>
  <c r="A5" i="46"/>
  <c r="A8062" i="20"/>
  <c r="A715" i="45"/>
  <c r="A8931" i="20"/>
  <c r="B7279" i="20"/>
  <c r="B723" i="45"/>
  <c r="B7300" i="20"/>
  <c r="A508" i="49"/>
  <c r="B554" i="45"/>
  <c r="B94" i="45"/>
  <c r="A15" i="43"/>
  <c r="A610" i="49"/>
  <c r="A8568" i="20"/>
  <c r="B1079" i="45"/>
  <c r="A8040" i="20"/>
  <c r="A8107" i="20"/>
  <c r="A264" i="32"/>
  <c r="B8095" i="20"/>
  <c r="A6116" i="20"/>
  <c r="A520" i="49"/>
  <c r="A8549" i="20"/>
  <c r="A375" i="32"/>
  <c r="A8363" i="20"/>
  <c r="A8467" i="20"/>
  <c r="A7518" i="20"/>
  <c r="A7880" i="20"/>
  <c r="A85" i="32"/>
  <c r="A396" i="45"/>
  <c r="B733" i="45"/>
  <c r="B1294" i="45"/>
  <c r="B8709" i="20"/>
  <c r="A1157" i="45"/>
  <c r="B528" i="45"/>
  <c r="A1111" i="45"/>
  <c r="A1052" i="45"/>
  <c r="B34" i="45"/>
  <c r="B133" i="45"/>
  <c r="B31" i="21"/>
  <c r="A29" i="45"/>
  <c r="B263" i="45"/>
  <c r="A1094" i="45"/>
  <c r="I1" i="29"/>
  <c r="B1087" i="45"/>
  <c r="A9049" i="20"/>
  <c r="A438" i="49"/>
  <c r="B8914" i="20"/>
  <c r="M24" i="29"/>
  <c r="A500" i="45"/>
  <c r="A101" i="32"/>
  <c r="A677" i="49"/>
  <c r="B7823" i="20"/>
  <c r="A46" i="49"/>
  <c r="A278" i="45"/>
  <c r="M27" i="29"/>
  <c r="A9100" i="20"/>
  <c r="B7588" i="20"/>
  <c r="Z3" i="33"/>
  <c r="B8202" i="20"/>
  <c r="B393" i="49"/>
  <c r="A8962" i="20"/>
  <c r="B1272" i="45"/>
  <c r="B8806" i="20"/>
  <c r="B7839" i="20"/>
  <c r="A363" i="49"/>
  <c r="A9" i="25"/>
  <c r="B9112" i="20"/>
  <c r="A180" i="45"/>
  <c r="A35" i="45"/>
  <c r="B7731" i="20"/>
  <c r="B8218" i="20"/>
  <c r="B1173" i="45"/>
  <c r="B167" i="49"/>
  <c r="B1148" i="45"/>
  <c r="A8601" i="20"/>
  <c r="A2" i="53"/>
  <c r="A648" i="45"/>
  <c r="A402" i="45"/>
  <c r="B516" i="45"/>
  <c r="A7915" i="20"/>
  <c r="B702" i="45"/>
  <c r="B1066" i="45"/>
  <c r="A34" i="32"/>
  <c r="B762" i="49"/>
  <c r="B8317" i="20"/>
  <c r="B741" i="45"/>
  <c r="C9" i="43"/>
  <c r="B727" i="49"/>
  <c r="A491" i="45"/>
  <c r="A156" i="32"/>
  <c r="B7692" i="20"/>
  <c r="A7900" i="20"/>
  <c r="A30" i="25"/>
  <c r="B431" i="49"/>
  <c r="B945" i="45"/>
  <c r="B751" i="49"/>
  <c r="B9037" i="20"/>
  <c r="A8317" i="20"/>
  <c r="A7982" i="20"/>
  <c r="A8166" i="20"/>
  <c r="A8899" i="20"/>
  <c r="A999" i="49"/>
  <c r="A24" i="28"/>
  <c r="A648" i="49"/>
  <c r="B6924" i="20"/>
  <c r="F5" i="33"/>
  <c r="A150" i="49"/>
  <c r="B8543" i="20"/>
  <c r="C10" i="43"/>
  <c r="B7270" i="20"/>
  <c r="B7660" i="20"/>
  <c r="B7976" i="20"/>
  <c r="A52" i="25"/>
  <c r="A963" i="45"/>
  <c r="A34" i="31"/>
  <c r="A688" i="45"/>
  <c r="A137" i="32"/>
  <c r="A8275" i="20"/>
  <c r="B721" i="45"/>
  <c r="B8175" i="20"/>
  <c r="B529" i="49"/>
  <c r="B7975" i="20"/>
  <c r="A122" i="45"/>
  <c r="A7832" i="20"/>
  <c r="A592" i="45"/>
  <c r="A485" i="45"/>
  <c r="B14" i="50"/>
  <c r="B823" i="45"/>
  <c r="B7654" i="20"/>
  <c r="A8851" i="20"/>
  <c r="A238" i="32"/>
  <c r="A813" i="49"/>
  <c r="B109" i="45"/>
  <c r="A938" i="45"/>
  <c r="A683" i="45"/>
  <c r="B7273" i="20"/>
  <c r="A4" i="30"/>
  <c r="A119" i="45"/>
  <c r="B41" i="21"/>
  <c r="B464" i="49"/>
  <c r="A415" i="45"/>
  <c r="A3" i="22"/>
  <c r="A176" i="45"/>
  <c r="A318" i="45"/>
  <c r="A7955" i="20"/>
  <c r="B1183" i="45"/>
  <c r="A951" i="45"/>
  <c r="A287" i="49"/>
  <c r="A919" i="49"/>
  <c r="A647" i="49"/>
  <c r="B534" i="45"/>
  <c r="B7701" i="20"/>
  <c r="A8661" i="20"/>
  <c r="A1032" i="45"/>
  <c r="B308" i="45"/>
  <c r="B655" i="45"/>
  <c r="B471" i="45"/>
  <c r="A328" i="32"/>
  <c r="A578" i="49"/>
  <c r="B836" i="45"/>
  <c r="A19" i="32"/>
  <c r="B530" i="49"/>
  <c r="B715" i="49"/>
  <c r="B209" i="45"/>
  <c r="A148" i="32"/>
  <c r="A8708" i="20"/>
  <c r="B9094" i="20"/>
  <c r="B9007" i="20"/>
  <c r="B685" i="45"/>
  <c r="A920" i="45"/>
  <c r="B786" i="49"/>
  <c r="A8803" i="20"/>
  <c r="B348" i="49"/>
  <c r="A152" i="45"/>
  <c r="B835" i="45"/>
  <c r="N18" i="33"/>
  <c r="A950" i="49"/>
  <c r="A8652" i="20"/>
  <c r="B271" i="49"/>
  <c r="A12" i="32"/>
  <c r="B1024" i="45"/>
  <c r="B7174" i="20"/>
  <c r="A880" i="49"/>
  <c r="B164" i="49"/>
  <c r="B970" i="45"/>
  <c r="A9" i="39"/>
  <c r="B231" i="50"/>
  <c r="B628" i="45"/>
  <c r="B436" i="45"/>
  <c r="A6669" i="20"/>
  <c r="B429" i="45"/>
  <c r="A331" i="32"/>
  <c r="B1153" i="45"/>
  <c r="B329" i="49"/>
  <c r="B6965" i="20"/>
  <c r="A6871" i="20"/>
  <c r="A49" i="25"/>
  <c r="A916" i="45"/>
  <c r="B1278" i="45"/>
  <c r="A8269" i="20"/>
  <c r="B474" i="45"/>
  <c r="B7108" i="20"/>
  <c r="A87" i="45"/>
  <c r="A11" i="37"/>
  <c r="B477" i="45"/>
  <c r="A9051" i="20"/>
  <c r="Y5" i="33"/>
  <c r="B25" i="21"/>
  <c r="A7064" i="20"/>
  <c r="B8323" i="20"/>
  <c r="A8780" i="20"/>
  <c r="M30" i="29"/>
  <c r="A1296" i="49"/>
  <c r="B8131" i="20"/>
  <c r="B385" i="49"/>
  <c r="A8057" i="20"/>
  <c r="B825" i="45"/>
  <c r="B1602" i="20"/>
  <c r="B208" i="50"/>
  <c r="AM3" i="33"/>
  <c r="A460" i="45"/>
  <c r="B919" i="45"/>
  <c r="B17" i="37"/>
  <c r="N66" i="33"/>
  <c r="B8607" i="20"/>
  <c r="A291" i="49"/>
  <c r="A8160" i="20"/>
  <c r="A33" i="25"/>
  <c r="B661" i="45"/>
  <c r="A1318" i="45"/>
  <c r="B956" i="45"/>
  <c r="B219" i="49"/>
  <c r="A5" i="28"/>
  <c r="A8155" i="20"/>
  <c r="C13" i="21"/>
  <c r="B1193" i="45"/>
  <c r="A759" i="45"/>
  <c r="A896" i="45"/>
  <c r="B7951" i="20"/>
  <c r="B7164" i="20"/>
  <c r="A9018" i="20"/>
  <c r="A579" i="45"/>
  <c r="B950" i="45"/>
  <c r="A83" i="45"/>
  <c r="F12" i="33"/>
  <c r="B7770" i="20"/>
  <c r="B8479" i="20"/>
  <c r="A200" i="32"/>
  <c r="A202" i="49"/>
  <c r="B799" i="45"/>
  <c r="B1297" i="45"/>
  <c r="B1167" i="45"/>
  <c r="A8677" i="20"/>
  <c r="B9126" i="20"/>
  <c r="A6212" i="20"/>
  <c r="A451" i="45"/>
  <c r="B7916" i="20"/>
  <c r="A1" i="48"/>
  <c r="A3" i="27"/>
  <c r="B456" i="45"/>
  <c r="B270" i="45"/>
  <c r="A7466" i="20"/>
  <c r="A465" i="45"/>
  <c r="C23" i="21"/>
  <c r="A1108" i="45"/>
  <c r="A8867" i="20"/>
  <c r="A9020" i="20"/>
  <c r="B8547" i="20"/>
  <c r="A1194" i="45"/>
  <c r="B441" i="49"/>
  <c r="B217" i="49"/>
  <c r="A8" i="24"/>
  <c r="B13" i="43"/>
  <c r="B557" i="45"/>
  <c r="A8021" i="20"/>
  <c r="B6814" i="20"/>
  <c r="A193" i="49"/>
  <c r="A12" i="47"/>
  <c r="A8233" i="20"/>
  <c r="B7008" i="20"/>
  <c r="B6069" i="20"/>
  <c r="B6857" i="20"/>
  <c r="B6862" i="20"/>
  <c r="B8096" i="20"/>
  <c r="A5022" i="20"/>
  <c r="A8075" i="20"/>
  <c r="A6058" i="20"/>
  <c r="A6890" i="20"/>
  <c r="A4978" i="20"/>
  <c r="B6928" i="20"/>
  <c r="A6514" i="20"/>
  <c r="B7445" i="20"/>
  <c r="B5913" i="20"/>
  <c r="A52" i="49"/>
  <c r="B81" i="45"/>
  <c r="A1056" i="45"/>
  <c r="B880" i="45"/>
  <c r="B8971" i="20"/>
  <c r="A902" i="45"/>
  <c r="A677" i="45"/>
  <c r="B115" i="49"/>
  <c r="A8517" i="20"/>
  <c r="B7150" i="20"/>
  <c r="A7905" i="20"/>
  <c r="A9032" i="20"/>
  <c r="B1423" i="49"/>
  <c r="A1053" i="49"/>
  <c r="A5058" i="20"/>
  <c r="A8877" i="20"/>
  <c r="A284" i="45"/>
  <c r="A6686" i="20"/>
  <c r="B8948" i="20"/>
  <c r="B412" i="45"/>
  <c r="A8121" i="20"/>
  <c r="A8174" i="20"/>
  <c r="B2" i="36"/>
  <c r="A22" i="45"/>
  <c r="A7204" i="20"/>
  <c r="A132" i="32"/>
  <c r="A8796" i="20"/>
  <c r="B7509" i="20"/>
  <c r="B6869" i="20"/>
  <c r="B782" i="45"/>
  <c r="B7965" i="20"/>
  <c r="B7897" i="20"/>
  <c r="B1126" i="45"/>
  <c r="A245" i="45"/>
  <c r="F5" i="29"/>
  <c r="A5310" i="20"/>
  <c r="A269" i="32"/>
  <c r="A6922" i="20"/>
  <c r="B345" i="49"/>
  <c r="A8029" i="20"/>
  <c r="B7840" i="20"/>
  <c r="A8772" i="20"/>
  <c r="A6178" i="20"/>
  <c r="A5105" i="20"/>
  <c r="A2" i="45"/>
  <c r="B687" i="45"/>
  <c r="B1027" i="45"/>
  <c r="B1" i="30"/>
  <c r="A8637" i="20"/>
  <c r="B8256" i="20"/>
  <c r="A392" i="45"/>
  <c r="B4" i="57"/>
  <c r="A1018" i="45"/>
  <c r="B86" i="45"/>
  <c r="A666" i="45"/>
  <c r="M3" i="33"/>
  <c r="A17" i="32"/>
  <c r="B8640" i="20"/>
  <c r="B7372" i="20"/>
  <c r="B7997" i="20"/>
  <c r="B317" i="45"/>
  <c r="A954" i="45"/>
  <c r="A527" i="45"/>
  <c r="B770" i="45"/>
  <c r="B8643" i="20"/>
  <c r="M14" i="33"/>
  <c r="A8227" i="20"/>
  <c r="A6797" i="20"/>
  <c r="B7220" i="20"/>
  <c r="B845" i="49"/>
  <c r="A76" i="32"/>
  <c r="A1266" i="49"/>
  <c r="A7639" i="20"/>
  <c r="A7211" i="20"/>
  <c r="B9056" i="20"/>
  <c r="B7369" i="20"/>
  <c r="B5557" i="20"/>
  <c r="A6526" i="20"/>
  <c r="A8678" i="20"/>
  <c r="M13" i="33"/>
  <c r="A165" i="49"/>
  <c r="B446" i="45"/>
  <c r="B16" i="45"/>
  <c r="A1007" i="49"/>
  <c r="A4938" i="20"/>
  <c r="B1045" i="45"/>
  <c r="A8307" i="20"/>
  <c r="A8685" i="20"/>
  <c r="A4906" i="20"/>
  <c r="A566" i="45"/>
  <c r="A791" i="45"/>
  <c r="A746" i="49"/>
  <c r="B1049" i="45"/>
  <c r="A6620" i="20"/>
  <c r="A5464" i="20"/>
  <c r="A5980" i="20"/>
  <c r="A8260" i="20"/>
  <c r="B860" i="49"/>
  <c r="B196" i="49"/>
  <c r="A1234" i="45"/>
  <c r="A6" i="39"/>
  <c r="A930" i="45"/>
  <c r="B553" i="45"/>
  <c r="A9096" i="20"/>
  <c r="A8285" i="20"/>
  <c r="A8389" i="20"/>
  <c r="A810" i="45"/>
  <c r="A7377" i="20"/>
  <c r="B8629" i="20"/>
  <c r="B53" i="21"/>
  <c r="A203" i="45"/>
  <c r="B1197" i="45"/>
  <c r="B6525" i="20"/>
  <c r="A7334" i="20"/>
  <c r="B5885" i="20"/>
  <c r="A7846" i="20"/>
  <c r="A322" i="32"/>
  <c r="B8251" i="20"/>
  <c r="B7412" i="20"/>
  <c r="B24" i="21"/>
  <c r="B5859" i="20"/>
  <c r="B78" i="45"/>
  <c r="B6371" i="20"/>
  <c r="B8626" i="20"/>
  <c r="B5539" i="20"/>
  <c r="B74" i="49"/>
  <c r="B937" i="45"/>
  <c r="B559" i="49"/>
  <c r="A6654" i="20"/>
  <c r="A9080" i="20"/>
  <c r="A235" i="45"/>
  <c r="A8301" i="20"/>
  <c r="M6" i="29"/>
  <c r="B8424" i="20"/>
  <c r="A135" i="32"/>
  <c r="B6889" i="20"/>
  <c r="A948" i="45"/>
  <c r="A9075" i="20"/>
  <c r="A6040" i="20"/>
  <c r="B6818" i="20"/>
  <c r="A6106" i="20"/>
  <c r="A5444" i="20"/>
  <c r="A12" i="49"/>
  <c r="A8387" i="20"/>
  <c r="A78" i="32"/>
  <c r="B7968" i="20"/>
  <c r="B8939" i="20"/>
  <c r="Z5" i="33"/>
  <c r="A1258" i="45"/>
  <c r="B20" i="48"/>
  <c r="B9063" i="20"/>
  <c r="A5206" i="20"/>
  <c r="B6802" i="20"/>
  <c r="A5590" i="20"/>
  <c r="B7870" i="20"/>
  <c r="A4950" i="20"/>
  <c r="B8875" i="20"/>
  <c r="A5334" i="20"/>
  <c r="A493" i="45"/>
  <c r="B307" i="45"/>
  <c r="B8319" i="20"/>
  <c r="A8597" i="20"/>
  <c r="B7062" i="20"/>
  <c r="A6558" i="20"/>
  <c r="A966" i="49"/>
  <c r="A91" i="32"/>
  <c r="B8351" i="20"/>
  <c r="B674" i="45"/>
  <c r="A1" i="26"/>
  <c r="A6859" i="20"/>
  <c r="A9122" i="20"/>
  <c r="B2898" i="20"/>
  <c r="AI2" i="33"/>
  <c r="B379" i="45"/>
  <c r="A47" i="32"/>
  <c r="B9038" i="20"/>
  <c r="A9136" i="20"/>
  <c r="B69" i="45"/>
  <c r="B7" i="48"/>
  <c r="B172" i="45"/>
  <c r="M54" i="33"/>
  <c r="A191" i="32"/>
  <c r="A5982" i="20"/>
  <c r="B144" i="49"/>
  <c r="A12" i="48"/>
  <c r="B1248" i="45"/>
  <c r="A1102" i="45"/>
  <c r="A33" i="32"/>
  <c r="A13" i="52"/>
  <c r="B1047" i="45"/>
  <c r="A190" i="45"/>
  <c r="A8448" i="20"/>
  <c r="B8040" i="20"/>
  <c r="A376" i="45"/>
  <c r="A7636" i="20"/>
  <c r="B1026" i="45"/>
  <c r="A48" i="21"/>
  <c r="N26" i="33"/>
  <c r="B178" i="45"/>
  <c r="A1218" i="45"/>
  <c r="A8620" i="20"/>
  <c r="B546" i="45"/>
  <c r="A46" i="31"/>
  <c r="A732" i="45"/>
  <c r="B185" i="45"/>
  <c r="A192" i="45"/>
  <c r="A1037" i="45"/>
  <c r="B16" i="37"/>
  <c r="A8988" i="20"/>
  <c r="J7" i="33"/>
  <c r="A28" i="21"/>
  <c r="A369" i="45"/>
  <c r="A8781" i="20"/>
  <c r="A114" i="32"/>
  <c r="B8130" i="20"/>
  <c r="B8144" i="20"/>
  <c r="A8979" i="20"/>
  <c r="A1252" i="45"/>
  <c r="B8170" i="20"/>
  <c r="A1" i="43"/>
  <c r="B9013" i="20"/>
  <c r="B632" i="45"/>
  <c r="A8524" i="20"/>
  <c r="A8733" i="20"/>
  <c r="A308" i="32"/>
  <c r="B8437" i="20"/>
  <c r="A730" i="45"/>
  <c r="B476" i="49"/>
  <c r="N22" i="29"/>
  <c r="A114" i="45"/>
  <c r="B503" i="49"/>
  <c r="B131" i="49"/>
  <c r="B305" i="49"/>
  <c r="A8488" i="20"/>
  <c r="B155" i="45"/>
  <c r="B8681" i="20"/>
  <c r="B726" i="45"/>
  <c r="B921" i="45"/>
  <c r="A8114" i="20"/>
  <c r="B934" i="49"/>
  <c r="A5476" i="20"/>
  <c r="B8314" i="20"/>
  <c r="B46" i="21"/>
  <c r="A8952" i="20"/>
  <c r="A6564" i="20"/>
  <c r="A1158" i="45"/>
  <c r="B5803" i="20"/>
  <c r="B5675" i="20"/>
  <c r="B4921" i="20"/>
  <c r="B7799" i="20"/>
  <c r="B7986" i="20"/>
  <c r="B7260" i="20"/>
  <c r="B6257" i="20"/>
  <c r="B1186" i="45"/>
  <c r="B571" i="49"/>
  <c r="B27" i="45"/>
  <c r="B773" i="45"/>
  <c r="B8873" i="20"/>
  <c r="B112" i="49"/>
  <c r="A7693" i="20"/>
  <c r="A48" i="47"/>
  <c r="A9084" i="20"/>
  <c r="B706" i="45"/>
  <c r="B7791" i="20"/>
  <c r="B6957" i="20"/>
  <c r="B7247" i="20"/>
  <c r="B7610" i="20"/>
  <c r="B678" i="45"/>
  <c r="A7870" i="20"/>
  <c r="A7371" i="20"/>
  <c r="A8119" i="20"/>
  <c r="A1076" i="45"/>
  <c r="B7962" i="20"/>
  <c r="B7644" i="20"/>
  <c r="B130" i="45"/>
  <c r="B8285" i="20"/>
  <c r="B8247" i="20"/>
  <c r="A87" i="52"/>
  <c r="B340" i="45"/>
  <c r="B8386" i="20"/>
  <c r="A739" i="49"/>
  <c r="A5" i="32"/>
  <c r="B980" i="45"/>
  <c r="A1098" i="45"/>
  <c r="A7948" i="20"/>
  <c r="B2" i="21"/>
  <c r="B4993" i="20"/>
  <c r="B966" i="45"/>
  <c r="B7401" i="20"/>
  <c r="B8343" i="20"/>
  <c r="A5774" i="20"/>
  <c r="A590" i="45"/>
  <c r="A620" i="45"/>
  <c r="B6886" i="20"/>
  <c r="B1474" i="49"/>
  <c r="A35" i="49"/>
  <c r="A5380" i="20"/>
  <c r="A7271" i="20"/>
  <c r="A7015" i="20"/>
  <c r="A964" i="49"/>
  <c r="A8300" i="20"/>
  <c r="B8235" i="20"/>
  <c r="B6238" i="20"/>
  <c r="B6968" i="20"/>
  <c r="A426" i="49"/>
  <c r="B4730" i="20"/>
  <c r="A4513" i="20"/>
  <c r="A208" i="32"/>
  <c r="A8722" i="20"/>
  <c r="B8366" i="20"/>
  <c r="A6" i="48"/>
  <c r="B1232" i="45"/>
  <c r="A2" i="49"/>
  <c r="N40" i="33"/>
  <c r="A6725" i="20"/>
  <c r="B7762" i="20"/>
  <c r="B729" i="49"/>
  <c r="A8609" i="20"/>
  <c r="A1224" i="45"/>
  <c r="B7396" i="20"/>
  <c r="A407" i="45"/>
  <c r="B938" i="45"/>
  <c r="B8618" i="20"/>
  <c r="A127" i="49"/>
  <c r="B543" i="45"/>
  <c r="M16" i="29"/>
  <c r="B18" i="43"/>
  <c r="A3741" i="20"/>
  <c r="A1" i="22"/>
  <c r="B4252" i="20"/>
  <c r="B7782" i="20"/>
  <c r="B6718" i="20"/>
  <c r="B8702" i="20"/>
  <c r="A542" i="45"/>
  <c r="B605" i="45"/>
  <c r="B25" i="49"/>
  <c r="A373" i="45"/>
  <c r="A1193" i="45"/>
  <c r="A165" i="45"/>
  <c r="A4996" i="20"/>
  <c r="A6967" i="20"/>
  <c r="B9054" i="20"/>
  <c r="A8318" i="20"/>
  <c r="B9099" i="20"/>
  <c r="A6594" i="20"/>
  <c r="A7119" i="20"/>
  <c r="A6242" i="20"/>
  <c r="B994" i="45"/>
  <c r="B8941" i="20"/>
  <c r="A471" i="45"/>
  <c r="B8186" i="20"/>
  <c r="B8197" i="20"/>
  <c r="B8501" i="20"/>
  <c r="B8124" i="20"/>
  <c r="B7836" i="20"/>
  <c r="A1024" i="45"/>
  <c r="B363" i="49"/>
  <c r="A6110" i="20"/>
  <c r="A1151" i="45"/>
  <c r="A312" i="32"/>
  <c r="B1221" i="49"/>
  <c r="B7076" i="20"/>
  <c r="A1270" i="45"/>
  <c r="A6088" i="20"/>
  <c r="A5939" i="20"/>
  <c r="A8056" i="20"/>
  <c r="B97" i="45"/>
  <c r="B8602" i="20"/>
  <c r="A8737" i="20"/>
  <c r="A4" i="40"/>
  <c r="B8735" i="20"/>
  <c r="A5427" i="20"/>
  <c r="AG1" i="29"/>
  <c r="B542" i="45"/>
  <c r="A4" i="26"/>
  <c r="A296" i="45"/>
  <c r="B5" i="44"/>
  <c r="B8967" i="20"/>
  <c r="A1196" i="45"/>
  <c r="A2" i="27"/>
  <c r="A8558" i="20"/>
  <c r="A5598" i="20"/>
  <c r="A701" i="45"/>
  <c r="A5780" i="20"/>
  <c r="A5110" i="20"/>
  <c r="B686" i="45"/>
  <c r="B7727" i="20"/>
  <c r="B8215" i="20"/>
  <c r="A6659" i="20"/>
  <c r="A13" i="45"/>
  <c r="A8208" i="20"/>
  <c r="A360" i="45"/>
  <c r="B7284" i="20"/>
  <c r="A5948" i="20"/>
  <c r="A5596" i="20"/>
  <c r="B3342" i="20"/>
  <c r="A5628" i="20"/>
  <c r="A5340" i="20"/>
  <c r="B1041" i="45"/>
  <c r="A7702" i="20"/>
  <c r="A8816" i="20"/>
  <c r="A7139" i="20"/>
  <c r="B8049" i="20"/>
  <c r="A8860" i="20"/>
  <c r="A9094" i="20"/>
  <c r="B5861" i="20"/>
  <c r="B8868" i="20"/>
  <c r="B1956" i="20"/>
  <c r="B6953" i="20"/>
  <c r="B6457" i="20"/>
  <c r="B8509" i="20"/>
  <c r="B7137" i="20"/>
  <c r="B8" i="54"/>
  <c r="A5967" i="20"/>
  <c r="A6185" i="20"/>
  <c r="C61" i="52"/>
  <c r="A7109" i="20"/>
  <c r="A387" i="45"/>
  <c r="A8030" i="20"/>
  <c r="B6720" i="20"/>
  <c r="A5942" i="20"/>
  <c r="B5087" i="20"/>
  <c r="A6454" i="20"/>
  <c r="B5495" i="20"/>
  <c r="A5622" i="20"/>
  <c r="B4831" i="20"/>
  <c r="B7262" i="20"/>
  <c r="B7338" i="20"/>
  <c r="A8947" i="20"/>
  <c r="A8089" i="20"/>
  <c r="B6129" i="20"/>
  <c r="B6983" i="20"/>
  <c r="A5706" i="20"/>
  <c r="B7495" i="20"/>
  <c r="A6981" i="20"/>
  <c r="B8620" i="20"/>
  <c r="B7094" i="20"/>
  <c r="A6916" i="20"/>
  <c r="B4739" i="20"/>
  <c r="A5910" i="20"/>
  <c r="A7520" i="20"/>
  <c r="A8079" i="20"/>
  <c r="B5969" i="20"/>
  <c r="B4859" i="20"/>
  <c r="B5243" i="20"/>
  <c r="A6635" i="20"/>
  <c r="B847" i="49"/>
  <c r="B8627" i="20"/>
  <c r="A4740" i="20"/>
  <c r="A1029" i="45"/>
  <c r="B8724" i="20"/>
  <c r="A8169" i="20"/>
  <c r="A5424" i="20"/>
  <c r="B8171" i="20"/>
  <c r="A6973" i="20"/>
  <c r="B8478" i="20"/>
  <c r="B6359" i="20"/>
  <c r="B9073" i="20"/>
  <c r="B7477" i="20"/>
  <c r="B234" i="45"/>
  <c r="A8579" i="20"/>
  <c r="B700" i="49"/>
  <c r="Q2" i="29"/>
  <c r="C20" i="21"/>
  <c r="B45" i="21"/>
  <c r="A714" i="45"/>
  <c r="B6958" i="20"/>
  <c r="B413" i="45"/>
  <c r="N3" i="29"/>
  <c r="B8488" i="20"/>
  <c r="A11" i="32"/>
  <c r="A6814" i="20"/>
  <c r="B4434" i="20"/>
  <c r="A2829" i="20"/>
  <c r="B4178" i="20"/>
  <c r="B582" i="49"/>
  <c r="A8427" i="20"/>
  <c r="B8246" i="20"/>
  <c r="A446" i="45"/>
  <c r="B8014" i="20"/>
  <c r="B7854" i="20"/>
  <c r="A1319" i="20"/>
  <c r="A5289" i="20"/>
  <c r="A252" i="32"/>
  <c r="A144" i="32"/>
  <c r="A293" i="32"/>
  <c r="A183" i="45"/>
  <c r="A685" i="49"/>
  <c r="A133" i="32"/>
  <c r="B6767" i="20"/>
  <c r="B8965" i="20"/>
  <c r="B6473" i="20"/>
  <c r="A3206" i="20"/>
  <c r="B7542" i="20"/>
  <c r="A8648" i="20"/>
  <c r="A259" i="45"/>
  <c r="A8626" i="20"/>
  <c r="A7323" i="20"/>
  <c r="B5961" i="20"/>
  <c r="A6566" i="20"/>
  <c r="A7067" i="20"/>
  <c r="A267" i="32"/>
  <c r="A1073" i="49"/>
  <c r="A605" i="45"/>
  <c r="A8128" i="20"/>
  <c r="B9020" i="20"/>
  <c r="A215" i="45"/>
  <c r="A2" i="30"/>
  <c r="A189" i="32"/>
  <c r="A339" i="32"/>
  <c r="A478" i="49"/>
  <c r="A7745" i="20"/>
  <c r="B5888" i="20"/>
  <c r="A5322" i="20"/>
  <c r="A5718" i="20"/>
  <c r="B7488" i="20"/>
  <c r="B4986" i="20"/>
  <c r="F7" i="33"/>
  <c r="B15" i="48"/>
  <c r="A71" i="32"/>
  <c r="B8749" i="20"/>
  <c r="B9011" i="20"/>
  <c r="B7685" i="20"/>
  <c r="B8059" i="20"/>
  <c r="A7850" i="20"/>
  <c r="A17" i="49"/>
  <c r="A10" i="23"/>
  <c r="A273" i="32"/>
  <c r="A1122" i="45"/>
  <c r="A7350" i="20"/>
  <c r="B6145" i="20"/>
  <c r="A7778" i="20"/>
  <c r="B6529" i="20"/>
  <c r="A4003" i="20"/>
  <c r="B8454" i="20"/>
  <c r="A56" i="31"/>
  <c r="B8535" i="20"/>
  <c r="A23" i="45"/>
  <c r="A635" i="45"/>
  <c r="B7398" i="20"/>
  <c r="B8498" i="20"/>
  <c r="B522" i="45"/>
  <c r="A5162" i="20"/>
  <c r="A1116" i="45"/>
  <c r="A8799" i="20"/>
  <c r="B499" i="45"/>
  <c r="A330" i="49"/>
  <c r="A7780" i="20"/>
  <c r="A6759" i="20"/>
  <c r="A8628" i="20"/>
  <c r="A7143" i="20"/>
  <c r="B7330" i="20"/>
  <c r="A6490" i="20"/>
  <c r="A7956" i="20"/>
  <c r="A8787" i="20"/>
  <c r="A357" i="45"/>
  <c r="A8900" i="20"/>
  <c r="A7912" i="20"/>
  <c r="A6755" i="20"/>
  <c r="A8045" i="20"/>
  <c r="A7267" i="20"/>
  <c r="B6787" i="20"/>
  <c r="A4001" i="20"/>
  <c r="A54" i="32"/>
  <c r="B8354" i="20"/>
  <c r="A8654" i="20"/>
  <c r="B8198" i="20"/>
  <c r="A8315" i="20"/>
  <c r="B494" i="45"/>
  <c r="B8461" i="20"/>
  <c r="A8081" i="20"/>
  <c r="B7827" i="20"/>
  <c r="B8518" i="20"/>
  <c r="A7823" i="20"/>
  <c r="A498" i="49"/>
  <c r="A8382" i="20"/>
  <c r="B8818" i="20"/>
  <c r="B1094" i="45"/>
  <c r="B6837" i="20"/>
  <c r="A4756" i="20"/>
  <c r="A6666" i="20"/>
  <c r="A5140" i="20"/>
  <c r="A7351" i="20"/>
  <c r="B6459" i="20"/>
  <c r="B7221" i="20"/>
  <c r="B158" i="49"/>
  <c r="B7697" i="20"/>
  <c r="A8384" i="20"/>
  <c r="B156" i="49"/>
  <c r="B9021" i="20"/>
  <c r="B7269" i="20"/>
  <c r="M5" i="29"/>
  <c r="B7653" i="20"/>
  <c r="A6272" i="20"/>
  <c r="B7331" i="20"/>
  <c r="N35" i="33"/>
  <c r="B7850" i="20"/>
  <c r="B7138" i="20"/>
  <c r="B114" i="45"/>
  <c r="A118" i="32"/>
  <c r="D10" i="43"/>
  <c r="B7024" i="20"/>
  <c r="A8594" i="20"/>
  <c r="A7426" i="20"/>
  <c r="A1190" i="45"/>
  <c r="B1198" i="45"/>
  <c r="B1123" i="45"/>
  <c r="B21" i="48"/>
  <c r="A7127" i="20"/>
  <c r="A5822" i="20"/>
  <c r="B8657" i="20"/>
  <c r="A7051" i="20"/>
  <c r="C36" i="21"/>
  <c r="A5150" i="20"/>
  <c r="A8655" i="20"/>
  <c r="A6334" i="20"/>
  <c r="B41" i="45"/>
  <c r="A7852" i="20"/>
  <c r="B29" i="45"/>
  <c r="B6723" i="20"/>
  <c r="B8763" i="20"/>
  <c r="A6292" i="20"/>
  <c r="B5643" i="20"/>
  <c r="A6689" i="20"/>
  <c r="A5811" i="20"/>
  <c r="B8457" i="20"/>
  <c r="A1191" i="45"/>
  <c r="B654" i="45"/>
  <c r="A7703" i="20"/>
  <c r="A8142" i="20"/>
  <c r="A8540" i="20"/>
  <c r="A8226" i="20"/>
  <c r="B1690" i="20"/>
  <c r="B856" i="20"/>
  <c r="A8401" i="20"/>
  <c r="B4959" i="20"/>
  <c r="B7808" i="20"/>
  <c r="B5085" i="20"/>
  <c r="B231" i="45"/>
  <c r="A6478" i="20"/>
  <c r="A574" i="45"/>
  <c r="B8604" i="20"/>
  <c r="B5511" i="20"/>
  <c r="A4010" i="20"/>
  <c r="A6807" i="20"/>
  <c r="B5319" i="20"/>
  <c r="B4448" i="20"/>
  <c r="B4999" i="20"/>
  <c r="A8047" i="20"/>
  <c r="A3300" i="20"/>
  <c r="A3721" i="20"/>
  <c r="A6036" i="20"/>
  <c r="A7446" i="20"/>
  <c r="B6518" i="20"/>
  <c r="A5244" i="20"/>
  <c r="A3933" i="20"/>
  <c r="A8456" i="20"/>
  <c r="M39" i="29"/>
  <c r="A315" i="32"/>
  <c r="A8993" i="20"/>
  <c r="B5627" i="20"/>
  <c r="A7104" i="20"/>
  <c r="A1197" i="20"/>
  <c r="A8986" i="20"/>
  <c r="A7129" i="20"/>
  <c r="B5978" i="20"/>
  <c r="A1750" i="20"/>
  <c r="A7482" i="20"/>
  <c r="A8019" i="20"/>
  <c r="B8614" i="20"/>
  <c r="A90" i="32"/>
  <c r="B8744" i="20"/>
  <c r="A384" i="32"/>
  <c r="A1336" i="49"/>
  <c r="A398" i="49"/>
  <c r="A8419" i="20"/>
  <c r="B7549" i="20"/>
  <c r="A199" i="32"/>
  <c r="B7009" i="20"/>
  <c r="B7521" i="20"/>
  <c r="B6753" i="20"/>
  <c r="A511" i="49"/>
  <c r="A438" i="45"/>
  <c r="B8831" i="20"/>
  <c r="B875" i="45"/>
  <c r="N51" i="33"/>
  <c r="A8152" i="20"/>
  <c r="B7894" i="20"/>
  <c r="B8869" i="20"/>
  <c r="A8593" i="20"/>
  <c r="B8557" i="20"/>
  <c r="B324" i="45"/>
  <c r="B40" i="45"/>
  <c r="A8833" i="20"/>
  <c r="A8475" i="20"/>
  <c r="A6366" i="20"/>
  <c r="B657" i="49"/>
  <c r="A52" i="21"/>
  <c r="B6979" i="20"/>
  <c r="A5348" i="20"/>
  <c r="A372" i="32"/>
  <c r="A1000" i="45"/>
  <c r="B7971" i="20"/>
  <c r="A4836" i="20"/>
  <c r="A5205" i="20"/>
  <c r="B8482" i="20"/>
  <c r="B6283" i="20"/>
  <c r="A4693" i="20"/>
  <c r="A8789" i="20"/>
  <c r="A6" i="35"/>
  <c r="A960" i="45"/>
  <c r="A1082" i="45"/>
  <c r="A8416" i="20"/>
  <c r="B310" i="45"/>
  <c r="B498" i="45"/>
  <c r="B8791" i="20"/>
  <c r="B364" i="45"/>
  <c r="B7568" i="20"/>
  <c r="A7589" i="20"/>
  <c r="B7607" i="20"/>
  <c r="A8302" i="20"/>
  <c r="B5801" i="20"/>
  <c r="B8395" i="20"/>
  <c r="A8188" i="20"/>
  <c r="B8697" i="20"/>
  <c r="B7160" i="20"/>
  <c r="A5066" i="20"/>
  <c r="B8006" i="20"/>
  <c r="A6379" i="20"/>
  <c r="A7156" i="20"/>
  <c r="A8476" i="20"/>
  <c r="A6123" i="20"/>
  <c r="B319" i="45"/>
  <c r="A8882" i="20"/>
  <c r="A18" i="21"/>
  <c r="A8216" i="20"/>
  <c r="A8243" i="20"/>
  <c r="A3591" i="20"/>
  <c r="A20" i="28"/>
  <c r="A3975" i="20"/>
  <c r="A7799" i="20"/>
  <c r="B6650" i="20"/>
  <c r="A7113" i="20"/>
  <c r="A6876" i="20"/>
  <c r="B7704" i="20"/>
  <c r="B1307" i="45"/>
  <c r="A5268" i="20"/>
  <c r="A5652" i="20"/>
  <c r="A5012" i="20"/>
  <c r="A602" i="45"/>
  <c r="E14" i="33"/>
  <c r="B420" i="45"/>
  <c r="B326" i="49"/>
  <c r="A8140" i="20"/>
  <c r="B1" i="35"/>
  <c r="B6202" i="20"/>
  <c r="A9" i="43"/>
  <c r="A4949" i="20"/>
  <c r="A300" i="32"/>
  <c r="B5860" i="20"/>
  <c r="A197" i="32"/>
  <c r="B7012" i="20"/>
  <c r="B787" i="45"/>
  <c r="A8692" i="20"/>
  <c r="B8413" i="20"/>
  <c r="A853" i="45"/>
  <c r="B3696" i="20"/>
  <c r="A276" i="45"/>
  <c r="B4080" i="20"/>
  <c r="B7687" i="20"/>
  <c r="A162" i="49"/>
  <c r="A7292" i="20"/>
  <c r="A9066" i="20"/>
  <c r="B8423" i="20"/>
  <c r="A3" i="48"/>
  <c r="B686" i="49"/>
  <c r="B7141" i="20"/>
  <c r="B32" i="49"/>
  <c r="B8362" i="20"/>
  <c r="A2" i="29"/>
  <c r="B8367" i="20"/>
  <c r="A8839" i="20"/>
  <c r="B7438" i="20"/>
  <c r="A8670" i="20"/>
  <c r="B7329" i="20"/>
  <c r="B852" i="45"/>
  <c r="A7849" i="20"/>
  <c r="A8001" i="20"/>
  <c r="A5036" i="20"/>
  <c r="B7100" i="20"/>
  <c r="B8368" i="20"/>
  <c r="A7798" i="20"/>
  <c r="A149" i="32"/>
  <c r="A5417" i="20"/>
  <c r="E4" i="29"/>
  <c r="A209" i="45"/>
  <c r="B8435" i="20"/>
  <c r="A5854" i="20"/>
  <c r="A4657" i="20"/>
  <c r="A4388" i="20"/>
  <c r="B5873" i="20"/>
  <c r="A23" i="32"/>
  <c r="B8408" i="20"/>
  <c r="A7840" i="20"/>
  <c r="N74" i="33"/>
  <c r="B7388" i="20"/>
  <c r="A7714" i="20"/>
  <c r="A7998" i="20"/>
  <c r="B6977" i="20"/>
  <c r="A5078" i="20"/>
  <c r="A4004" i="20"/>
  <c r="A8126" i="20"/>
  <c r="B3" i="41"/>
  <c r="A703" i="45"/>
  <c r="B8024" i="20"/>
  <c r="B8044" i="20"/>
  <c r="A7726" i="20"/>
  <c r="B3433" i="20"/>
  <c r="B6944" i="20"/>
  <c r="B7002" i="20"/>
  <c r="A81" i="49"/>
  <c r="M9" i="33"/>
  <c r="A14" i="21"/>
  <c r="B6933" i="20"/>
  <c r="B6609" i="20"/>
  <c r="B4677" i="20"/>
  <c r="A7447" i="20"/>
  <c r="B6097" i="20"/>
  <c r="B6686" i="20"/>
  <c r="A6404" i="20"/>
  <c r="A16" i="48"/>
  <c r="A9015" i="20"/>
  <c r="B570" i="45"/>
  <c r="A6618" i="20"/>
  <c r="B7899" i="20"/>
  <c r="B4195" i="20"/>
  <c r="B8559" i="20"/>
  <c r="A4484" i="20"/>
  <c r="B6644" i="20"/>
  <c r="A2989" i="20"/>
  <c r="B4944" i="20"/>
  <c r="A8470" i="20"/>
  <c r="B8668" i="20"/>
  <c r="A7491" i="20"/>
  <c r="B6603" i="20"/>
  <c r="A6484" i="20"/>
  <c r="B159" i="45"/>
  <c r="A4289" i="20"/>
  <c r="B291" i="19"/>
  <c r="B8092" i="20"/>
  <c r="B4123" i="20"/>
  <c r="B5213" i="20"/>
  <c r="A7026" i="20"/>
  <c r="A6685" i="20"/>
  <c r="A6828" i="20"/>
  <c r="B7947" i="20"/>
  <c r="B7794" i="20"/>
  <c r="A8908" i="20"/>
  <c r="A8570" i="20"/>
  <c r="B4820" i="20"/>
  <c r="A8728" i="20"/>
  <c r="B7963" i="20"/>
  <c r="B2354" i="20"/>
  <c r="A7159" i="20"/>
  <c r="A5550" i="20"/>
  <c r="A1943" i="20"/>
  <c r="B5315" i="20"/>
  <c r="A57" i="45"/>
  <c r="B8456" i="20"/>
  <c r="A170" i="45"/>
  <c r="A4" i="25"/>
  <c r="B7709" i="20"/>
  <c r="B8275" i="20"/>
  <c r="A5473" i="20"/>
  <c r="A41" i="21"/>
  <c r="B8382" i="20"/>
  <c r="B6404" i="20"/>
  <c r="B2772" i="20"/>
  <c r="B7933" i="20"/>
  <c r="A6449" i="20"/>
  <c r="A7907" i="20"/>
  <c r="B3062" i="20"/>
  <c r="A36" i="20"/>
  <c r="A5421" i="20"/>
  <c r="B6588" i="20"/>
  <c r="B3976" i="20"/>
  <c r="A2064" i="20"/>
  <c r="A553" i="16"/>
  <c r="B5405" i="20"/>
  <c r="A388" i="20"/>
  <c r="A7708" i="20"/>
  <c r="B1594" i="16"/>
  <c r="A5365" i="20"/>
  <c r="B2547" i="20"/>
  <c r="A7414" i="20"/>
  <c r="A7263" i="20"/>
  <c r="A1148" i="45"/>
  <c r="B8169" i="20"/>
  <c r="B8121" i="20"/>
  <c r="B6724" i="20"/>
  <c r="A2531" i="20"/>
  <c r="A8262" i="20"/>
  <c r="B6337" i="20"/>
  <c r="A6596" i="20"/>
  <c r="A6131" i="20"/>
  <c r="B2760" i="20"/>
  <c r="A1665" i="20"/>
  <c r="A5180" i="20"/>
  <c r="A3049" i="20"/>
  <c r="A4086" i="20"/>
  <c r="A2825" i="20"/>
  <c r="B7737" i="20"/>
  <c r="B6833" i="20"/>
  <c r="A4267" i="20"/>
  <c r="B6060" i="20"/>
  <c r="B7674" i="20"/>
  <c r="J3" i="33"/>
  <c r="A207" i="45"/>
  <c r="A6851" i="20"/>
  <c r="A21" i="45"/>
  <c r="A6068" i="20"/>
  <c r="A5215" i="20"/>
  <c r="B5477" i="20"/>
  <c r="B5631" i="20"/>
  <c r="B4168" i="20"/>
  <c r="B207" i="20"/>
  <c r="B5469" i="20"/>
  <c r="B6439" i="20"/>
  <c r="A3127" i="20"/>
  <c r="B1191" i="16"/>
  <c r="B5500" i="20"/>
  <c r="B7891" i="20"/>
  <c r="A8248" i="20"/>
  <c r="A10" i="21"/>
  <c r="A7458" i="20"/>
  <c r="A131" i="32"/>
  <c r="A7002" i="20"/>
  <c r="A4109" i="20"/>
  <c r="AM2" i="29"/>
  <c r="A4979" i="20"/>
  <c r="A3580" i="20"/>
  <c r="B1510" i="20"/>
  <c r="A7305" i="20"/>
  <c r="B5046" i="20"/>
  <c r="A214" i="32"/>
  <c r="B3079" i="20"/>
  <c r="A8110" i="20"/>
  <c r="A329" i="45"/>
  <c r="A4313" i="20"/>
  <c r="A2111" i="20"/>
  <c r="B2379" i="20"/>
  <c r="A8348" i="20"/>
  <c r="B7955" i="20"/>
  <c r="A1644" i="20"/>
  <c r="B4579" i="20"/>
  <c r="B7788" i="20"/>
  <c r="A6950" i="20"/>
  <c r="B2754" i="20"/>
  <c r="B992" i="45"/>
  <c r="A7287" i="20"/>
  <c r="A3491" i="20"/>
  <c r="A8116" i="20"/>
  <c r="B8608" i="20"/>
  <c r="B626" i="45"/>
  <c r="B6025" i="20"/>
  <c r="B7675" i="20"/>
  <c r="A7047" i="20"/>
  <c r="B6657" i="20"/>
  <c r="A6858" i="20"/>
  <c r="B5952" i="20"/>
  <c r="B4427" i="20"/>
  <c r="A2380" i="20"/>
  <c r="A5404" i="20"/>
  <c r="A4061" i="20"/>
  <c r="A4190" i="20"/>
  <c r="A1193" i="16"/>
  <c r="B7202" i="20"/>
  <c r="A5911" i="20"/>
  <c r="A5698" i="20"/>
  <c r="A7535" i="20"/>
  <c r="A1731" i="20"/>
  <c r="B6873" i="20"/>
  <c r="B5715" i="20"/>
  <c r="A2739" i="20"/>
  <c r="A195" i="45"/>
  <c r="B7376" i="20"/>
  <c r="A4493" i="20"/>
  <c r="A7450" i="20"/>
  <c r="A5514" i="20"/>
  <c r="A6071" i="20"/>
  <c r="B3808" i="20"/>
  <c r="A9110" i="20"/>
  <c r="A6358" i="20"/>
  <c r="A5759" i="20"/>
  <c r="A5600" i="20"/>
  <c r="B4143" i="20"/>
  <c r="A5878" i="20"/>
  <c r="A2923" i="20"/>
  <c r="A6340" i="20"/>
  <c r="A5233" i="20"/>
  <c r="B5667" i="20"/>
  <c r="A5532" i="20"/>
  <c r="A3569" i="20"/>
  <c r="B8326" i="20"/>
  <c r="A1905" i="20"/>
  <c r="B11" i="21"/>
  <c r="A7873" i="20"/>
  <c r="B8803" i="20"/>
  <c r="B8244" i="20"/>
  <c r="A8527" i="20"/>
  <c r="A6833" i="20"/>
  <c r="B6304" i="20"/>
  <c r="B6402" i="20"/>
  <c r="A8103" i="20"/>
  <c r="A8092" i="20"/>
  <c r="A3152" i="20"/>
  <c r="B6501" i="20"/>
  <c r="A6661" i="20"/>
  <c r="A7619" i="20"/>
  <c r="A6359" i="20"/>
  <c r="A2970" i="20"/>
  <c r="A501" i="20"/>
  <c r="A9064" i="20"/>
  <c r="B2372" i="20"/>
  <c r="B7500" i="20"/>
  <c r="A7492" i="20"/>
  <c r="B7038" i="20"/>
  <c r="A4736" i="20"/>
  <c r="C1" i="36"/>
  <c r="A5722" i="20"/>
  <c r="B8705" i="20"/>
  <c r="B374" i="45"/>
  <c r="A6979" i="20"/>
  <c r="B6648" i="20"/>
  <c r="A316" i="45"/>
  <c r="B8809" i="20"/>
  <c r="A53" i="50"/>
  <c r="A5962" i="20"/>
  <c r="B961" i="45"/>
  <c r="A6714" i="20"/>
  <c r="N28" i="33"/>
  <c r="B7648" i="20"/>
  <c r="B5889" i="20"/>
  <c r="A8508" i="20"/>
  <c r="A7484" i="20"/>
  <c r="A9103" i="20"/>
  <c r="A8184" i="20"/>
  <c r="B8485" i="20"/>
  <c r="A6602" i="20"/>
  <c r="B8145" i="20"/>
  <c r="A7911" i="20"/>
  <c r="A6462" i="20"/>
  <c r="A8361" i="20"/>
  <c r="A113" i="32"/>
  <c r="A314" i="32"/>
  <c r="A8497" i="20"/>
  <c r="A4" i="21"/>
  <c r="A272" i="32"/>
  <c r="A5576" i="20"/>
  <c r="B817" i="45"/>
  <c r="A8992" i="20"/>
  <c r="A9024" i="20"/>
  <c r="A7042" i="20"/>
  <c r="A4932" i="20"/>
  <c r="A16" i="25"/>
  <c r="B7462" i="20"/>
  <c r="B6703" i="20"/>
  <c r="B1634" i="20"/>
  <c r="A8611" i="20"/>
  <c r="A4102" i="20"/>
  <c r="A206" i="45"/>
  <c r="B8929" i="20"/>
  <c r="B6635" i="20"/>
  <c r="A4515" i="20"/>
  <c r="A640" i="45"/>
  <c r="A29" i="31"/>
  <c r="A6856" i="20"/>
  <c r="A6644" i="20"/>
  <c r="A8170" i="20"/>
  <c r="A8179" i="20"/>
  <c r="A3275" i="20"/>
  <c r="A8420" i="20"/>
  <c r="B7498" i="20"/>
  <c r="A1477" i="20"/>
  <c r="B83" i="45"/>
  <c r="A8429" i="20"/>
  <c r="A7601" i="20"/>
  <c r="A7697" i="20"/>
  <c r="M38" i="33"/>
  <c r="M22" i="33"/>
  <c r="A7523" i="20"/>
  <c r="B8984" i="20"/>
  <c r="B1065" i="45"/>
  <c r="A393" i="45"/>
  <c r="A8734" i="20"/>
  <c r="B7013" i="20"/>
  <c r="A7586" i="20"/>
  <c r="A4942" i="20"/>
  <c r="A6044" i="20"/>
  <c r="A7975" i="20"/>
  <c r="B2485" i="20"/>
  <c r="B5717" i="20"/>
  <c r="A4764" i="20"/>
  <c r="A8473" i="20"/>
  <c r="A558" i="45"/>
  <c r="B4114" i="20"/>
  <c r="A11" i="21"/>
  <c r="B7227" i="20"/>
  <c r="B4449" i="20"/>
  <c r="A5905" i="20"/>
  <c r="A4912" i="20"/>
  <c r="B5187" i="20"/>
  <c r="B740" i="45"/>
  <c r="A5858" i="20"/>
  <c r="B2881" i="20"/>
  <c r="A7857" i="20"/>
  <c r="B2300" i="20"/>
  <c r="A7299" i="20"/>
  <c r="B6127" i="20"/>
  <c r="B8212" i="20"/>
  <c r="B8229" i="20"/>
  <c r="A8175" i="20"/>
  <c r="A5402" i="20"/>
  <c r="B8365" i="20"/>
  <c r="B2738" i="20"/>
  <c r="B3244" i="20"/>
  <c r="B4995" i="20"/>
  <c r="A5345" i="20"/>
  <c r="B1762" i="20"/>
  <c r="A6437" i="20"/>
  <c r="A1797" i="20"/>
  <c r="B6651" i="20"/>
  <c r="B6138" i="20"/>
  <c r="A5272" i="20"/>
  <c r="B1667" i="20"/>
  <c r="A6652" i="20"/>
  <c r="B6538" i="20"/>
  <c r="B309" i="19"/>
  <c r="B7945" i="20"/>
  <c r="B5012" i="20"/>
  <c r="B781" i="20"/>
  <c r="B4977" i="20"/>
  <c r="B804" i="49"/>
  <c r="B4762" i="20"/>
  <c r="B8462" i="20"/>
  <c r="A9004" i="20"/>
  <c r="B9091" i="20"/>
  <c r="B7042" i="20"/>
  <c r="J2" i="33"/>
  <c r="A5868" i="20"/>
  <c r="A7333" i="20"/>
  <c r="A4604" i="20"/>
  <c r="A8910" i="20"/>
  <c r="B7812" i="20"/>
  <c r="B4266" i="20"/>
  <c r="B8310" i="20"/>
  <c r="A7451" i="20"/>
  <c r="B7405" i="20"/>
  <c r="B7639" i="20"/>
  <c r="A6782" i="20"/>
  <c r="A6438" i="20"/>
  <c r="B4159" i="20"/>
  <c r="A5041" i="20"/>
  <c r="A4959" i="20"/>
  <c r="B3058" i="20"/>
  <c r="A3555" i="20"/>
  <c r="A3703" i="20"/>
  <c r="A7294" i="20"/>
  <c r="A4878" i="20"/>
  <c r="A4994" i="20"/>
  <c r="A6546" i="20"/>
  <c r="B8004" i="20"/>
  <c r="A7122" i="20"/>
  <c r="A375" i="19"/>
  <c r="B6543" i="20"/>
  <c r="A3981" i="20"/>
  <c r="B657" i="45"/>
  <c r="A239" i="50"/>
  <c r="A5106" i="20"/>
  <c r="A2947" i="20"/>
  <c r="B6969" i="20"/>
  <c r="B7219" i="20"/>
  <c r="A326" i="20"/>
  <c r="A6642" i="20"/>
  <c r="B4518" i="20"/>
  <c r="G135" i="12"/>
  <c r="B5759" i="20"/>
  <c r="A3835" i="20"/>
  <c r="B8069" i="20"/>
  <c r="A7940" i="20"/>
  <c r="A6838" i="20"/>
  <c r="B3228" i="20"/>
  <c r="B8002" i="20"/>
  <c r="B4274" i="20"/>
  <c r="B4839" i="20"/>
  <c r="A4917" i="20"/>
  <c r="A8345" i="20"/>
  <c r="B4201" i="20"/>
  <c r="A885" i="20"/>
  <c r="A7493" i="20"/>
  <c r="A5769" i="20"/>
  <c r="B2212" i="20"/>
  <c r="A5188" i="20"/>
  <c r="A8333" i="20"/>
  <c r="A8284" i="20"/>
  <c r="A4892" i="20"/>
  <c r="B1313" i="45"/>
  <c r="A21" i="25"/>
  <c r="B538" i="49"/>
  <c r="A375" i="45"/>
  <c r="A369" i="49"/>
  <c r="B675" i="45"/>
  <c r="B8283" i="20"/>
  <c r="B1150" i="45"/>
  <c r="B7789" i="20"/>
  <c r="B776" i="45"/>
  <c r="A253" i="32"/>
  <c r="B280" i="49"/>
  <c r="B3" i="46"/>
  <c r="A1276" i="45"/>
  <c r="A175" i="45"/>
  <c r="A8104" i="20"/>
  <c r="B8567" i="20"/>
  <c r="B267" i="45"/>
  <c r="A7949" i="20"/>
  <c r="C2" i="40"/>
  <c r="B9080" i="20"/>
  <c r="A221" i="50"/>
  <c r="B482" i="45"/>
  <c r="A7973" i="20"/>
  <c r="B6597" i="20"/>
  <c r="A573" i="45"/>
  <c r="A311" i="45"/>
  <c r="B1292" i="45"/>
  <c r="B356" i="49"/>
  <c r="B8879" i="20"/>
  <c r="C1" i="45"/>
  <c r="B6878" i="20"/>
  <c r="A7758" i="20"/>
  <c r="A8866" i="20"/>
  <c r="A1200" i="45"/>
  <c r="A5930" i="20"/>
  <c r="A25" i="45"/>
  <c r="A7" i="31"/>
  <c r="A8964" i="20"/>
  <c r="A1192" i="49"/>
  <c r="A160" i="32"/>
  <c r="A630" i="45"/>
  <c r="A97" i="32"/>
  <c r="B17" i="55"/>
  <c r="B8242" i="20"/>
  <c r="B82" i="45"/>
  <c r="A8676" i="20"/>
  <c r="B49" i="56"/>
  <c r="A134" i="49"/>
  <c r="A68" i="32"/>
  <c r="B406" i="45"/>
  <c r="B1240" i="49"/>
  <c r="B136" i="45"/>
  <c r="B537" i="49"/>
  <c r="E1" i="29"/>
  <c r="B970" i="49"/>
  <c r="B184" i="49"/>
  <c r="B1142" i="45"/>
  <c r="B946" i="45"/>
  <c r="A259" i="49"/>
  <c r="A1500" i="49"/>
  <c r="B8522" i="20"/>
  <c r="B8562" i="20"/>
  <c r="M17" i="29"/>
  <c r="A263" i="32"/>
  <c r="A1497" i="49"/>
  <c r="B1046" i="49"/>
  <c r="B548" i="45"/>
  <c r="B584" i="45"/>
  <c r="B862" i="45"/>
  <c r="A1204" i="45"/>
  <c r="A7722" i="20"/>
  <c r="A154" i="49"/>
  <c r="A892" i="45"/>
  <c r="B1294" i="49"/>
  <c r="B1226" i="49"/>
  <c r="A191" i="49"/>
  <c r="A7796" i="20"/>
  <c r="A1" i="46"/>
  <c r="B8821" i="20"/>
  <c r="A14" i="45"/>
  <c r="A986" i="45"/>
  <c r="B7981" i="20"/>
  <c r="A8067" i="20"/>
  <c r="A7787" i="20"/>
  <c r="A6" i="21"/>
  <c r="A852" i="45"/>
  <c r="A6614" i="20"/>
  <c r="B1075" i="45"/>
  <c r="E10" i="33"/>
  <c r="B1217" i="45"/>
  <c r="A1012" i="45"/>
  <c r="A5" i="24"/>
  <c r="A8525" i="20"/>
  <c r="B6774" i="20"/>
  <c r="B708" i="45"/>
  <c r="A7667" i="20"/>
  <c r="B175" i="45"/>
  <c r="A8961" i="20"/>
  <c r="A421" i="45"/>
  <c r="A5555" i="20"/>
  <c r="B440" i="49"/>
  <c r="B6701" i="20"/>
  <c r="A7471" i="20"/>
  <c r="B483" i="49"/>
  <c r="A9019" i="20"/>
  <c r="A8576" i="20"/>
  <c r="A58" i="50"/>
  <c r="A8714" i="20"/>
  <c r="A8219" i="20"/>
  <c r="B7867" i="20"/>
  <c r="A179" i="45"/>
  <c r="A4129" i="20"/>
  <c r="B398" i="49"/>
  <c r="A7977" i="20"/>
  <c r="B1302" i="45"/>
  <c r="A399" i="45"/>
  <c r="A404" i="45"/>
  <c r="A7690" i="20"/>
  <c r="A338" i="45"/>
  <c r="A7028" i="20"/>
  <c r="B8199" i="20"/>
  <c r="B7802" i="20"/>
  <c r="B1073" i="45"/>
  <c r="B4" i="44"/>
  <c r="B8645" i="20"/>
  <c r="B1084" i="45"/>
  <c r="J8" i="33"/>
  <c r="B8336" i="20"/>
  <c r="B88" i="49"/>
  <c r="B8237" i="20"/>
  <c r="A321" i="45"/>
  <c r="A71" i="50"/>
  <c r="A12" i="25"/>
  <c r="N70" i="33"/>
  <c r="A8644" i="20"/>
  <c r="B7381" i="20"/>
  <c r="A7963" i="20"/>
  <c r="A768" i="45"/>
  <c r="A968" i="45"/>
  <c r="A694" i="45"/>
  <c r="A8331" i="20"/>
  <c r="AK1" i="29"/>
  <c r="A9101" i="20"/>
  <c r="B639" i="45"/>
  <c r="B6765" i="20"/>
  <c r="B983" i="45"/>
  <c r="A85" i="45"/>
  <c r="B8206" i="20"/>
  <c r="A8222" i="20"/>
  <c r="B650" i="45"/>
  <c r="M38" i="29"/>
  <c r="A6230" i="20"/>
  <c r="B1098" i="45"/>
  <c r="B8674" i="20"/>
  <c r="A383" i="45"/>
  <c r="A835" i="45"/>
  <c r="A352" i="45"/>
  <c r="B7655" i="20"/>
  <c r="A8501" i="20"/>
  <c r="A7594" i="20"/>
  <c r="B5189" i="20"/>
  <c r="A3619" i="20"/>
  <c r="A6197" i="20"/>
  <c r="B8786" i="20"/>
  <c r="B995" i="45"/>
  <c r="B7454" i="20"/>
  <c r="A8" i="32"/>
  <c r="A8061" i="20"/>
  <c r="A7985" i="20"/>
  <c r="B8308" i="20"/>
  <c r="B3282" i="20"/>
  <c r="B428" i="45"/>
  <c r="B76" i="45"/>
  <c r="B7657" i="20"/>
  <c r="A217" i="49"/>
  <c r="A331" i="45"/>
  <c r="B9028" i="20"/>
  <c r="A977" i="49"/>
  <c r="B8296" i="20"/>
  <c r="B6531" i="20"/>
  <c r="A4290" i="20"/>
  <c r="B9049" i="20"/>
  <c r="A3" i="49"/>
  <c r="B8527" i="20"/>
  <c r="A8625" i="20"/>
  <c r="A686" i="45"/>
  <c r="B6019" i="20"/>
  <c r="A3778" i="20"/>
  <c r="B9103" i="20"/>
  <c r="A466" i="49"/>
  <c r="A401" i="45"/>
  <c r="B7626" i="20"/>
  <c r="B7775" i="20"/>
  <c r="A186" i="32"/>
  <c r="A167" i="49"/>
  <c r="B8352" i="20"/>
  <c r="B7593" i="20"/>
  <c r="B8429" i="20"/>
  <c r="A8819" i="20"/>
  <c r="A7097" i="20"/>
  <c r="A7340" i="20"/>
  <c r="A1194" i="49"/>
  <c r="A8600" i="20"/>
  <c r="B7337" i="20"/>
  <c r="B6334" i="20"/>
  <c r="B8610" i="20"/>
  <c r="B8937" i="20"/>
  <c r="B169" i="49"/>
  <c r="B8090" i="20"/>
  <c r="A6579" i="20"/>
  <c r="B8656" i="20"/>
  <c r="A8850" i="20"/>
  <c r="A6323" i="20"/>
  <c r="N5" i="33"/>
  <c r="A8821" i="20"/>
  <c r="A8" i="37"/>
  <c r="A69" i="52"/>
  <c r="A6839" i="20"/>
  <c r="B6203" i="20"/>
  <c r="B6709" i="20"/>
  <c r="B6587" i="20"/>
  <c r="B5377" i="20"/>
  <c r="B7117" i="20"/>
  <c r="A935" i="45"/>
  <c r="A8563" i="20"/>
  <c r="A8082" i="20"/>
  <c r="N13" i="29"/>
  <c r="B8335" i="20"/>
  <c r="C5" i="43"/>
  <c r="A8024" i="20"/>
  <c r="B6697" i="20"/>
  <c r="A341" i="49"/>
  <c r="A8641" i="20"/>
  <c r="A1290" i="45"/>
  <c r="B7112" i="20"/>
  <c r="B5771" i="20"/>
  <c r="A6817" i="20"/>
  <c r="A6677" i="20"/>
  <c r="A7201" i="20"/>
  <c r="AG2" i="29"/>
  <c r="A6548" i="20"/>
  <c r="B6155" i="20"/>
  <c r="B7967" i="20"/>
  <c r="A8572" i="20"/>
  <c r="A2" i="31"/>
  <c r="B8167" i="20"/>
  <c r="B7619" i="20"/>
  <c r="B8348" i="20"/>
  <c r="B5585" i="20"/>
  <c r="B7913" i="20"/>
  <c r="B6899" i="20"/>
  <c r="A5378" i="20"/>
  <c r="A307" i="45"/>
  <c r="A524" i="49"/>
  <c r="A7242" i="20"/>
  <c r="B8579" i="20"/>
  <c r="A7306" i="20"/>
  <c r="B7831" i="20"/>
  <c r="A5724" i="20"/>
  <c r="A6108" i="20"/>
  <c r="A5468" i="20"/>
  <c r="B8884" i="20"/>
  <c r="A1274" i="45"/>
  <c r="C46" i="21"/>
  <c r="B835" i="49"/>
  <c r="A7082" i="20"/>
  <c r="A14" i="23"/>
  <c r="A4750" i="20"/>
  <c r="B7306" i="20"/>
  <c r="A5134" i="20"/>
  <c r="A8567" i="20"/>
  <c r="B6453" i="20"/>
  <c r="A7666" i="20"/>
  <c r="A8245" i="20"/>
  <c r="A7727" i="20"/>
  <c r="A873" i="45"/>
  <c r="B6513" i="20"/>
  <c r="B228" i="49"/>
  <c r="A14" i="49"/>
  <c r="B5754" i="20"/>
  <c r="A657" i="45"/>
  <c r="A255" i="32"/>
  <c r="B51" i="45"/>
  <c r="A8132" i="20"/>
  <c r="A18" i="28"/>
  <c r="A3463" i="20"/>
  <c r="A9121" i="20"/>
  <c r="A4778" i="20"/>
  <c r="A5674" i="20"/>
  <c r="B6225" i="20"/>
  <c r="B711" i="45"/>
  <c r="B9" i="41"/>
  <c r="B7922" i="20"/>
  <c r="A9013" i="20"/>
  <c r="B868" i="45"/>
  <c r="A8705" i="20"/>
  <c r="C50" i="21"/>
  <c r="A6562" i="20"/>
  <c r="A5922" i="20"/>
  <c r="E2" i="33"/>
  <c r="A7661" i="20"/>
  <c r="B296" i="49"/>
  <c r="A7192" i="20"/>
  <c r="A1230" i="45"/>
  <c r="A12" i="27"/>
  <c r="B8077" i="20"/>
  <c r="B8463" i="20"/>
  <c r="B7420" i="20"/>
  <c r="A8292" i="20"/>
  <c r="A8788" i="20"/>
  <c r="A27" i="31"/>
  <c r="B7212" i="20"/>
  <c r="A7957" i="20"/>
  <c r="A4840" i="20"/>
  <c r="A32" i="31"/>
  <c r="C1" i="30"/>
  <c r="B5775" i="20"/>
  <c r="A9116" i="20"/>
  <c r="B8223" i="20"/>
  <c r="B8373" i="20"/>
  <c r="A1304" i="49"/>
  <c r="A521" i="45"/>
  <c r="A308" i="49"/>
  <c r="B7526" i="20"/>
  <c r="A8729" i="20"/>
  <c r="A581" i="45"/>
  <c r="A8492" i="20"/>
  <c r="B7689" i="20"/>
  <c r="B3171" i="20"/>
  <c r="B7855" i="20"/>
  <c r="A7286" i="20"/>
  <c r="B5626" i="20"/>
  <c r="B1104" i="49"/>
  <c r="A45" i="31"/>
  <c r="A8976" i="20"/>
  <c r="A5124" i="20"/>
  <c r="A5154" i="20"/>
  <c r="A3846" i="20"/>
  <c r="A7310" i="20"/>
  <c r="A4898" i="20"/>
  <c r="A3590" i="20"/>
  <c r="A1380" i="49"/>
  <c r="B443" i="45"/>
  <c r="A40" i="32"/>
  <c r="A8646" i="20"/>
  <c r="A6894" i="20"/>
  <c r="A4259" i="20"/>
  <c r="A7278" i="20"/>
  <c r="A4655" i="20"/>
  <c r="B9074" i="20"/>
  <c r="B8572" i="20"/>
  <c r="B7360" i="20"/>
  <c r="B1028" i="45"/>
  <c r="A434" i="45"/>
  <c r="B9123" i="20"/>
  <c r="B8933" i="20"/>
  <c r="A8936" i="20"/>
  <c r="B8211" i="20"/>
  <c r="B6708" i="20"/>
  <c r="A8168" i="20"/>
  <c r="B8637" i="20"/>
  <c r="A8198" i="20"/>
  <c r="B8010" i="20"/>
  <c r="B26" i="45"/>
  <c r="A5517" i="20"/>
  <c r="B6746" i="20"/>
  <c r="B4685" i="20"/>
  <c r="B20" i="21"/>
  <c r="A5005" i="20"/>
  <c r="A1026" i="45"/>
  <c r="A1106" i="45"/>
  <c r="A110" i="32"/>
  <c r="B409" i="45"/>
  <c r="A8984" i="20"/>
  <c r="A1089" i="45"/>
  <c r="B6484" i="20"/>
  <c r="A19" i="37"/>
  <c r="A5255" i="20"/>
  <c r="A270" i="45"/>
  <c r="A6651" i="20"/>
  <c r="A7107" i="20"/>
  <c r="A6870" i="20"/>
  <c r="B5792" i="20"/>
  <c r="A7709" i="20"/>
  <c r="B8360" i="20"/>
  <c r="B8683" i="20"/>
  <c r="B6656" i="20"/>
  <c r="A7177" i="20"/>
  <c r="A6300" i="20"/>
  <c r="A5794" i="20"/>
  <c r="A8299" i="20"/>
  <c r="B8111" i="20"/>
  <c r="B7695" i="20"/>
  <c r="N45" i="33"/>
  <c r="A18" i="43"/>
  <c r="A7264" i="20"/>
  <c r="B8394" i="20"/>
  <c r="B8577" i="20"/>
  <c r="A10" i="26"/>
  <c r="B7307" i="20"/>
  <c r="B6902" i="20"/>
  <c r="A840" i="49"/>
  <c r="B225" i="45"/>
  <c r="A8123" i="20"/>
  <c r="B738" i="45"/>
  <c r="A8028" i="20"/>
  <c r="A4253" i="20"/>
  <c r="B7750" i="20"/>
  <c r="A4643" i="20"/>
  <c r="A8165" i="20"/>
  <c r="A7831" i="20"/>
  <c r="A154" i="32"/>
  <c r="B7757" i="20"/>
  <c r="A4285" i="20"/>
  <c r="A6684" i="20"/>
  <c r="A205" i="45"/>
  <c r="A8204" i="20"/>
  <c r="B8555" i="20"/>
  <c r="O2" i="33"/>
  <c r="B7851" i="20"/>
  <c r="B5763" i="20"/>
  <c r="B784" i="45"/>
  <c r="A13" i="32"/>
  <c r="A8259" i="20"/>
  <c r="A11" i="31"/>
  <c r="A7215" i="20"/>
  <c r="A6129" i="20"/>
  <c r="A7599" i="20"/>
  <c r="A6513" i="20"/>
  <c r="A6959" i="20"/>
  <c r="A5873" i="20"/>
  <c r="A7343" i="20"/>
  <c r="B8961" i="20"/>
  <c r="M77" i="33"/>
  <c r="A689" i="45"/>
  <c r="N21" i="29"/>
  <c r="B7075" i="20"/>
  <c r="B4775" i="20"/>
  <c r="A7546" i="20"/>
  <c r="B5159" i="20"/>
  <c r="A5611" i="20"/>
  <c r="A6362" i="20"/>
  <c r="B6800" i="20"/>
  <c r="B6251" i="20"/>
  <c r="B6263" i="20"/>
  <c r="A6678" i="20"/>
  <c r="B5632" i="20"/>
  <c r="A7755" i="20"/>
  <c r="A6151" i="20"/>
  <c r="B7795" i="20"/>
  <c r="A1300" i="45"/>
  <c r="A4918" i="20"/>
  <c r="B5541" i="20"/>
  <c r="A7603" i="20"/>
  <c r="A7370" i="20"/>
  <c r="B6208" i="20"/>
  <c r="A7420" i="20"/>
  <c r="B6604" i="20"/>
  <c r="B4522" i="20"/>
  <c r="H113" i="13"/>
  <c r="B8377" i="20"/>
  <c r="B7473" i="20"/>
  <c r="B4740" i="20"/>
  <c r="A383" i="32"/>
  <c r="B6011" i="20"/>
  <c r="B7937" i="20"/>
  <c r="B2955" i="20"/>
  <c r="B2674" i="20"/>
  <c r="A7412" i="20"/>
  <c r="B8475" i="20"/>
  <c r="B6908" i="20"/>
  <c r="B8476" i="20"/>
  <c r="A8498" i="20"/>
  <c r="A5393" i="20"/>
  <c r="A3959" i="20"/>
  <c r="B5821" i="20"/>
  <c r="A4992" i="20"/>
  <c r="A3255" i="20"/>
  <c r="B1319" i="16"/>
  <c r="A861" i="45"/>
  <c r="B6948" i="20"/>
  <c r="B8548" i="20"/>
  <c r="A8888" i="20"/>
  <c r="A235" i="49"/>
  <c r="B8063" i="20"/>
  <c r="A381" i="32"/>
  <c r="B897" i="49"/>
  <c r="A4868" i="20"/>
  <c r="B690" i="45"/>
  <c r="B1194" i="45"/>
  <c r="A142" i="32"/>
  <c r="B7292" i="20"/>
  <c r="A7402" i="20"/>
  <c r="B366" i="45"/>
  <c r="B7634" i="20"/>
  <c r="B8486" i="20"/>
  <c r="B6922" i="20"/>
  <c r="A8804" i="20"/>
  <c r="A8621" i="20"/>
  <c r="B1377" i="49"/>
  <c r="B8902" i="20"/>
  <c r="A6737" i="20"/>
  <c r="A9043" i="20"/>
  <c r="B8192" i="20"/>
  <c r="B6823" i="20"/>
  <c r="A6985" i="20"/>
  <c r="B7658" i="20"/>
  <c r="B487" i="45"/>
  <c r="A8326" i="20"/>
  <c r="B612" i="45"/>
  <c r="A7848" i="20"/>
  <c r="A53" i="31"/>
  <c r="A8718" i="20"/>
  <c r="A3906" i="20"/>
  <c r="B7199" i="20"/>
  <c r="B7130" i="20"/>
  <c r="B8599" i="20"/>
  <c r="B6735" i="20"/>
  <c r="B5489" i="20"/>
  <c r="A105" i="45"/>
  <c r="A4843" i="20"/>
  <c r="B6687" i="20"/>
  <c r="A2" i="39"/>
  <c r="A646" i="45"/>
  <c r="A265" i="49"/>
  <c r="A244" i="45"/>
  <c r="B5637" i="20"/>
  <c r="A8312" i="20"/>
  <c r="B7516" i="20"/>
  <c r="B41" i="49"/>
  <c r="A6372" i="20"/>
  <c r="B8477" i="20"/>
  <c r="B251" i="45"/>
  <c r="A5956" i="20"/>
  <c r="A6993" i="20"/>
  <c r="A8314" i="20"/>
  <c r="B7241" i="20"/>
  <c r="A8276" i="20"/>
  <c r="A5410" i="20"/>
  <c r="B8950" i="20"/>
  <c r="B8374" i="20"/>
  <c r="A1255" i="49"/>
  <c r="B7180" i="20"/>
  <c r="B5809" i="20"/>
  <c r="B7032" i="20"/>
  <c r="B5110" i="20"/>
  <c r="M13" i="29"/>
  <c r="A7012" i="20"/>
  <c r="A761" i="45"/>
  <c r="A6398" i="20"/>
  <c r="A8890" i="20"/>
  <c r="A7095" i="20"/>
  <c r="A8" i="21"/>
  <c r="A6994" i="20"/>
  <c r="B5611" i="20"/>
  <c r="B6397" i="20"/>
  <c r="B315" i="45"/>
  <c r="B2242" i="20"/>
  <c r="A8256" i="20"/>
  <c r="A51" i="21"/>
  <c r="F10" i="29"/>
  <c r="A494" i="45"/>
  <c r="A1891" i="20"/>
  <c r="A2275" i="20"/>
  <c r="A1635" i="20"/>
  <c r="B8422" i="20"/>
  <c r="A333" i="45"/>
  <c r="B7136" i="20"/>
  <c r="A131" i="45"/>
  <c r="A7582" i="20"/>
  <c r="A7713" i="20"/>
  <c r="A8774" i="20"/>
  <c r="B6904" i="20"/>
  <c r="B6477" i="20"/>
  <c r="B6991" i="20"/>
  <c r="A8634" i="20"/>
  <c r="B526" i="45"/>
  <c r="A62" i="32"/>
  <c r="B5605" i="20"/>
  <c r="B7620" i="20"/>
  <c r="A5034" i="20"/>
  <c r="A6935" i="20"/>
  <c r="A5176" i="20"/>
  <c r="A7728" i="20"/>
  <c r="A274" i="45"/>
  <c r="B7848" i="20"/>
  <c r="B7982" i="20"/>
  <c r="B7512" i="20"/>
  <c r="A8070" i="20"/>
  <c r="A8991" i="20"/>
  <c r="A7797" i="20"/>
  <c r="A595" i="45"/>
  <c r="M36" i="33"/>
  <c r="B8439" i="20"/>
  <c r="A145" i="50"/>
  <c r="B8266" i="20"/>
  <c r="A669" i="45"/>
  <c r="B7826" i="20"/>
  <c r="A8136" i="20"/>
  <c r="A7689" i="20"/>
  <c r="B7508" i="20"/>
  <c r="A282" i="32"/>
  <c r="B1275" i="45"/>
  <c r="A7000" i="20"/>
  <c r="A6572" i="20"/>
  <c r="A7089" i="20"/>
  <c r="B6328" i="20"/>
  <c r="B6072" i="20"/>
  <c r="B6782" i="20"/>
  <c r="A9070" i="20"/>
  <c r="A8143" i="20"/>
  <c r="A8027" i="20"/>
  <c r="B5995" i="20"/>
  <c r="B8338" i="20"/>
  <c r="A1103" i="45"/>
  <c r="A27" i="45"/>
  <c r="B8289" i="20"/>
  <c r="A38" i="25"/>
  <c r="B6663" i="20"/>
  <c r="A5082" i="20"/>
  <c r="B6401" i="20"/>
  <c r="B1186" i="49"/>
  <c r="B808" i="45"/>
  <c r="A8942" i="20"/>
  <c r="A7688" i="20"/>
  <c r="B841" i="45"/>
  <c r="B750" i="45"/>
  <c r="B7449" i="20"/>
  <c r="B7152" i="20"/>
  <c r="B6509" i="20"/>
  <c r="A59" i="45"/>
  <c r="A8983" i="20"/>
  <c r="A6820" i="20"/>
  <c r="B8556" i="20"/>
  <c r="A5006" i="20"/>
  <c r="A108" i="45"/>
  <c r="B642" i="45"/>
  <c r="A9" i="55"/>
  <c r="A5546" i="20"/>
  <c r="B8425" i="20"/>
  <c r="B248" i="45"/>
  <c r="B6425" i="20"/>
  <c r="A8423" i="20"/>
  <c r="A341" i="45"/>
  <c r="AK4" i="33"/>
  <c r="B232" i="45"/>
  <c r="A212" i="45"/>
  <c r="B353" i="45"/>
  <c r="B7458" i="20"/>
  <c r="B6030" i="20"/>
  <c r="B7832" i="20"/>
  <c r="A6" i="43"/>
  <c r="A273" i="49"/>
  <c r="B7631" i="20"/>
  <c r="B5979" i="20"/>
  <c r="B6592" i="20"/>
  <c r="B6303" i="20"/>
  <c r="B6647" i="20"/>
  <c r="A507" i="45"/>
  <c r="B6885" i="20"/>
  <c r="A332" i="45"/>
  <c r="A4877" i="20"/>
  <c r="B8281" i="20"/>
  <c r="A3323" i="20"/>
  <c r="O70" i="33"/>
  <c r="B1065" i="49"/>
  <c r="A3257" i="20"/>
  <c r="B6890" i="20"/>
  <c r="A4796" i="20"/>
  <c r="B2452" i="20"/>
  <c r="A6351" i="20"/>
  <c r="B2800" i="20"/>
  <c r="A234" i="32"/>
  <c r="B6540" i="20"/>
  <c r="B5697" i="20"/>
  <c r="A5648" i="20"/>
  <c r="A7784" i="20"/>
  <c r="B6194" i="20"/>
  <c r="B1853" i="20"/>
  <c r="B8964" i="20"/>
  <c r="A3426" i="20"/>
  <c r="A1740" i="20"/>
  <c r="B5115" i="20"/>
  <c r="A6887" i="20"/>
  <c r="B7977" i="20"/>
  <c r="A5316" i="20"/>
  <c r="B7387" i="20"/>
  <c r="A7382" i="20"/>
  <c r="B6562" i="20"/>
  <c r="B4350" i="20"/>
  <c r="A107" i="45"/>
  <c r="B8181" i="20"/>
  <c r="A8187" i="20"/>
  <c r="B585" i="49"/>
  <c r="A370" i="32"/>
  <c r="A7503" i="20"/>
  <c r="A7611" i="20"/>
  <c r="B5865" i="20"/>
  <c r="A4225" i="20"/>
  <c r="A5609" i="20"/>
  <c r="B3466" i="20"/>
  <c r="A3259" i="20"/>
  <c r="B1554" i="16"/>
  <c r="B3555" i="20"/>
  <c r="A2978" i="20"/>
  <c r="A1751" i="16"/>
  <c r="B3432" i="20"/>
  <c r="A3263" i="20"/>
  <c r="A1827" i="20"/>
  <c r="A1111" i="16"/>
  <c r="B5351" i="20"/>
  <c r="A3099" i="20"/>
  <c r="B7716" i="20"/>
  <c r="A5375" i="20"/>
  <c r="A7527" i="20"/>
  <c r="A4758" i="20"/>
  <c r="A6223" i="20"/>
  <c r="A6895" i="20"/>
  <c r="A4451" i="20"/>
  <c r="A1020" i="45"/>
  <c r="B6161" i="20"/>
  <c r="B4915" i="20"/>
  <c r="A2" i="25"/>
  <c r="B7205" i="20"/>
  <c r="B5198" i="20"/>
  <c r="B3859" i="20"/>
  <c r="A4894" i="20"/>
  <c r="A5208" i="20"/>
  <c r="B4552" i="20"/>
  <c r="B591" i="20"/>
  <c r="B6642" i="20"/>
  <c r="A6342" i="20"/>
  <c r="A7785" i="20"/>
  <c r="A195" i="32"/>
  <c r="B6554" i="20"/>
  <c r="A7433" i="20"/>
  <c r="B3297" i="20"/>
  <c r="B3778" i="20"/>
  <c r="B1328" i="45"/>
  <c r="B6799" i="20"/>
  <c r="B7267" i="20"/>
  <c r="A6084" i="20"/>
  <c r="A8108" i="20"/>
  <c r="A7614" i="20"/>
  <c r="B6731" i="20"/>
  <c r="A7252" i="20"/>
  <c r="B1250" i="45"/>
  <c r="B6259" i="20"/>
  <c r="A8151" i="20"/>
  <c r="B7170" i="20"/>
  <c r="B5786" i="20"/>
  <c r="B5955" i="20"/>
  <c r="B3822" i="20"/>
  <c r="A3190" i="20"/>
  <c r="B8969" i="20"/>
  <c r="B8222" i="20"/>
  <c r="A5795" i="20"/>
  <c r="A7669" i="20"/>
  <c r="A8491" i="20"/>
  <c r="B6491" i="20"/>
  <c r="A3517" i="20"/>
  <c r="B6113" i="20"/>
  <c r="A2151" i="20"/>
  <c r="A4062" i="20"/>
  <c r="A7142" i="20"/>
  <c r="B4387" i="20"/>
  <c r="A1839" i="16"/>
  <c r="A6616" i="20"/>
  <c r="B5369" i="20"/>
  <c r="B5694" i="20"/>
  <c r="A1567" i="20"/>
  <c r="B5019" i="20"/>
  <c r="A6386" i="20"/>
  <c r="B3002" i="20"/>
  <c r="B5681" i="20"/>
  <c r="A5376" i="20"/>
  <c r="A7" i="43"/>
  <c r="B7325" i="20"/>
  <c r="A7062" i="20"/>
  <c r="B9067" i="20"/>
  <c r="A4449" i="20"/>
  <c r="B8073" i="20"/>
  <c r="A4450" i="20"/>
  <c r="B2867" i="20"/>
  <c r="B104" i="45"/>
  <c r="B7201" i="20"/>
  <c r="A4771" i="20"/>
  <c r="A7363" i="20"/>
  <c r="B7228" i="20"/>
  <c r="A8551" i="20"/>
  <c r="B4838" i="20"/>
  <c r="B241" i="49"/>
  <c r="A9112" i="20"/>
  <c r="A2019" i="20"/>
  <c r="A163" i="32"/>
  <c r="B5825" i="20"/>
  <c r="A5156" i="20"/>
  <c r="A5619" i="20"/>
  <c r="A4220" i="20"/>
  <c r="B2635" i="20"/>
  <c r="B6467" i="20"/>
  <c r="B4334" i="20"/>
  <c r="A3574" i="20"/>
  <c r="B4142" i="20"/>
  <c r="A7874" i="20"/>
  <c r="A5158" i="20"/>
  <c r="B6500" i="20"/>
  <c r="B980" i="49"/>
  <c r="B9014" i="20"/>
  <c r="B8845" i="20"/>
  <c r="A7315" i="20"/>
  <c r="B205" i="49"/>
  <c r="A6753" i="20"/>
  <c r="A8199" i="20"/>
  <c r="B746" i="45"/>
  <c r="B4110" i="20"/>
  <c r="S2" i="33"/>
  <c r="B7461" i="20"/>
  <c r="A8052" i="20"/>
  <c r="A8530" i="20"/>
  <c r="B4664" i="20"/>
  <c r="A962" i="20"/>
  <c r="B7665" i="20"/>
  <c r="A3460" i="20"/>
  <c r="A1619" i="20"/>
  <c r="A3268" i="20"/>
  <c r="B386" i="45"/>
  <c r="B3561" i="20"/>
  <c r="B6167" i="20"/>
  <c r="A5361" i="20"/>
  <c r="A6767" i="20"/>
  <c r="A326" i="45"/>
  <c r="A1115" i="45"/>
  <c r="A8207" i="20"/>
  <c r="B1169" i="45"/>
  <c r="A6062" i="20"/>
  <c r="B5143" i="20"/>
  <c r="B8865" i="20"/>
  <c r="A7641" i="20"/>
  <c r="B6148" i="20"/>
  <c r="B7858" i="20"/>
  <c r="B8698" i="20"/>
  <c r="A7664" i="20"/>
  <c r="A6181" i="20"/>
  <c r="A289" i="49"/>
  <c r="B4366" i="20"/>
  <c r="A589" i="45"/>
  <c r="B6001" i="20"/>
  <c r="B6353" i="20"/>
  <c r="B6013" i="20"/>
  <c r="B511" i="45"/>
  <c r="A107" i="32"/>
  <c r="B5445" i="20"/>
  <c r="B7074" i="20"/>
  <c r="A5182" i="20"/>
  <c r="B437" i="49"/>
  <c r="A8163" i="20"/>
  <c r="B6197" i="20"/>
  <c r="B8707" i="20"/>
  <c r="N20" i="29"/>
  <c r="B8669" i="20"/>
  <c r="A8894" i="20"/>
  <c r="A7195" i="20"/>
  <c r="A1165" i="49"/>
  <c r="B6437" i="20"/>
  <c r="B684" i="45"/>
  <c r="B3538" i="20"/>
  <c r="B7570" i="20"/>
  <c r="A6480" i="20"/>
  <c r="B355" i="49"/>
  <c r="B7814" i="20"/>
  <c r="B8290" i="20"/>
  <c r="B7081" i="20"/>
  <c r="B7912" i="20"/>
  <c r="A9040" i="20"/>
  <c r="A8603" i="20"/>
  <c r="A331" i="49"/>
  <c r="B1108" i="45"/>
  <c r="B3740" i="20"/>
  <c r="B6379" i="20"/>
  <c r="B5507" i="20"/>
  <c r="A1" i="31"/>
  <c r="A5745" i="20"/>
  <c r="B7699" i="20"/>
  <c r="A4358" i="20"/>
  <c r="A8337" i="20"/>
  <c r="A428" i="45"/>
  <c r="B5867" i="20"/>
  <c r="B5116" i="20"/>
  <c r="A268" i="32"/>
  <c r="A7044" i="20"/>
  <c r="A8409" i="20"/>
  <c r="A5867" i="20"/>
  <c r="B2830" i="20"/>
  <c r="B7397" i="20"/>
  <c r="A247" i="32"/>
  <c r="B5929" i="20"/>
  <c r="B8943" i="20"/>
  <c r="A7234" i="20"/>
  <c r="B9089" i="20"/>
  <c r="A323" i="45"/>
  <c r="A42" i="32"/>
  <c r="A8" i="31"/>
  <c r="B5689" i="20"/>
  <c r="B6938" i="20"/>
  <c r="B7335" i="20"/>
  <c r="B374" i="49"/>
  <c r="B7872" i="20"/>
  <c r="B1037" i="45"/>
  <c r="B7092" i="20"/>
  <c r="B7343" i="20"/>
  <c r="A8768" i="20"/>
  <c r="B8358" i="20"/>
  <c r="B4924" i="20"/>
  <c r="B4790" i="20"/>
  <c r="B5409" i="20"/>
  <c r="A4842" i="20"/>
  <c r="A7077" i="20"/>
  <c r="A7413" i="20"/>
  <c r="B8027" i="20"/>
  <c r="A8461" i="20"/>
  <c r="B1178" i="20"/>
  <c r="B7520" i="20"/>
  <c r="A6369" i="20"/>
  <c r="A6210" i="20"/>
  <c r="B5076" i="20"/>
  <c r="A6551" i="20"/>
  <c r="B8318" i="20"/>
  <c r="B7001" i="20"/>
  <c r="A7375" i="20"/>
  <c r="A4628" i="20"/>
  <c r="B5621" i="20"/>
  <c r="B2068" i="20"/>
  <c r="A26" i="32"/>
  <c r="B6128" i="20"/>
  <c r="B5494" i="20"/>
  <c r="B6662" i="20"/>
  <c r="A7968" i="20"/>
  <c r="B6077" i="20"/>
  <c r="B5897" i="20"/>
  <c r="B3784" i="20"/>
  <c r="A8090" i="20"/>
  <c r="A8657" i="20"/>
  <c r="B3138" i="20"/>
  <c r="B8561" i="20"/>
  <c r="A3408" i="20"/>
  <c r="A6226" i="20"/>
  <c r="M56" i="33"/>
  <c r="B8755" i="20"/>
  <c r="A5428" i="20"/>
  <c r="B3373" i="20"/>
  <c r="B6550" i="20"/>
  <c r="A4308" i="20"/>
  <c r="B1666" i="20"/>
  <c r="A7336" i="20"/>
  <c r="A3444" i="20"/>
  <c r="B8253" i="20"/>
  <c r="A2813" i="20"/>
  <c r="F11" i="29"/>
  <c r="A7833" i="20"/>
  <c r="B8804" i="20"/>
  <c r="A7068" i="20"/>
  <c r="A8647" i="20"/>
  <c r="A7966" i="20"/>
  <c r="A3366" i="20"/>
  <c r="B1923" i="20"/>
  <c r="A6003" i="20"/>
  <c r="B6318" i="20"/>
  <c r="B1387" i="49"/>
  <c r="B6146" i="20"/>
  <c r="A5735" i="20"/>
  <c r="B3440" i="20"/>
  <c r="A5352" i="20"/>
  <c r="A8356" i="20"/>
  <c r="A6318" i="20"/>
  <c r="B8300" i="20"/>
  <c r="A3105" i="20"/>
  <c r="B8427" i="20"/>
  <c r="A5812" i="20"/>
  <c r="B3409" i="20"/>
  <c r="A5346" i="20"/>
  <c r="A4881" i="20"/>
  <c r="B6640" i="20"/>
  <c r="A1349" i="20"/>
  <c r="B7400" i="20"/>
  <c r="A8066" i="20"/>
  <c r="A7316" i="20"/>
  <c r="A7387" i="20"/>
  <c r="A4506" i="20"/>
  <c r="B8675" i="20"/>
  <c r="A6746" i="20"/>
  <c r="A6587" i="20"/>
  <c r="B8927" i="20"/>
  <c r="A1565" i="20"/>
  <c r="A3341" i="20"/>
  <c r="A7035" i="20"/>
  <c r="A3830" i="20"/>
  <c r="B5404" i="20"/>
  <c r="A110" i="20"/>
  <c r="B6346" i="20"/>
  <c r="A2781" i="20"/>
  <c r="B4763" i="20"/>
  <c r="B5556" i="20"/>
  <c r="A4961" i="20"/>
  <c r="B7596" i="20"/>
  <c r="B1282" i="20"/>
  <c r="B7859" i="20"/>
  <c r="A8667" i="20"/>
  <c r="A5474" i="20"/>
  <c r="B7617" i="20"/>
  <c r="A4819" i="20"/>
  <c r="B7281" i="20"/>
  <c r="B6836" i="20"/>
  <c r="A3354" i="20"/>
  <c r="A6458" i="20"/>
  <c r="B7135" i="20"/>
  <c r="B7250" i="20"/>
  <c r="B8380" i="20"/>
  <c r="A5390" i="20"/>
  <c r="A1125" i="45"/>
  <c r="B5313" i="20"/>
  <c r="A155" i="45"/>
  <c r="A1416" i="49"/>
  <c r="A1260" i="45"/>
  <c r="B997" i="45"/>
  <c r="A1053" i="45"/>
  <c r="B915" i="45"/>
  <c r="A1255" i="45"/>
  <c r="A8616" i="20"/>
  <c r="A548" i="49"/>
  <c r="B611" i="49"/>
  <c r="B6954" i="20"/>
  <c r="A28" i="56"/>
  <c r="A8277" i="20"/>
  <c r="A832" i="49"/>
  <c r="A218" i="45"/>
  <c r="B8775" i="20"/>
  <c r="A303" i="45"/>
  <c r="B8568" i="20"/>
  <c r="A237" i="45"/>
  <c r="B7987" i="20"/>
  <c r="B81" i="49"/>
  <c r="A221" i="49"/>
  <c r="B906" i="49"/>
  <c r="B8221" i="20"/>
  <c r="A45" i="21"/>
  <c r="A77" i="45"/>
  <c r="B9026" i="20"/>
  <c r="A9074" i="20"/>
  <c r="B7142" i="20"/>
  <c r="A9" i="26"/>
  <c r="N7" i="33"/>
  <c r="A7962" i="20"/>
  <c r="B7882" i="20"/>
  <c r="B7574" i="20"/>
  <c r="B6813" i="20"/>
  <c r="A601" i="45"/>
  <c r="A4810" i="20"/>
  <c r="A8635" i="20"/>
  <c r="B8255" i="20"/>
  <c r="B8406" i="20"/>
  <c r="B6761" i="20"/>
  <c r="A31" i="47"/>
  <c r="A412" i="45"/>
  <c r="A1081" i="45"/>
  <c r="B8910" i="20"/>
  <c r="B8050" i="20"/>
  <c r="A141" i="49"/>
  <c r="A8695" i="20"/>
  <c r="B1311" i="45"/>
  <c r="B8410" i="20"/>
  <c r="A380" i="32"/>
  <c r="A6769" i="20"/>
  <c r="A709" i="45"/>
  <c r="A39" i="31"/>
  <c r="B336" i="45"/>
  <c r="M35" i="29"/>
  <c r="B1175" i="49"/>
  <c r="B438" i="45"/>
  <c r="B7004" i="20"/>
  <c r="A8909" i="20"/>
  <c r="A7718" i="20"/>
  <c r="A8555" i="20"/>
  <c r="B8149" i="20"/>
  <c r="B6443" i="20"/>
  <c r="B1228" i="45"/>
  <c r="B8491" i="20"/>
  <c r="C17" i="21"/>
  <c r="A57" i="21"/>
  <c r="B8432" i="20"/>
  <c r="B1078" i="45"/>
  <c r="A136" i="32"/>
  <c r="A7237" i="20"/>
  <c r="B8056" i="20"/>
  <c r="B8737" i="20"/>
  <c r="A530" i="45"/>
  <c r="A6236" i="20"/>
  <c r="O71" i="33"/>
  <c r="B145" i="45"/>
  <c r="A3" i="40"/>
  <c r="M19" i="33"/>
  <c r="A882" i="45"/>
  <c r="B7597" i="20"/>
  <c r="B8125" i="20"/>
  <c r="B7098" i="20"/>
  <c r="B6778" i="20"/>
  <c r="B5841" i="20"/>
  <c r="B1015" i="45"/>
  <c r="B1056" i="45"/>
  <c r="B8776" i="20"/>
  <c r="A1363" i="49"/>
  <c r="B8407" i="20"/>
  <c r="C37" i="21"/>
  <c r="B6732" i="20"/>
  <c r="B592" i="45"/>
  <c r="B8035" i="20"/>
  <c r="A5" i="31"/>
  <c r="B289" i="49"/>
  <c r="B383" i="45"/>
  <c r="B1273" i="45"/>
  <c r="A17" i="37"/>
  <c r="B696" i="49"/>
  <c r="B8662" i="20"/>
  <c r="A297" i="45"/>
  <c r="B6641" i="20"/>
  <c r="A6385" i="20"/>
  <c r="A8441" i="20"/>
  <c r="A182" i="32"/>
  <c r="B1262" i="45"/>
  <c r="B3568" i="20"/>
  <c r="B1190" i="45"/>
  <c r="B8166" i="20"/>
  <c r="A6" i="25"/>
  <c r="A6206" i="20"/>
  <c r="B1155" i="45"/>
  <c r="A470" i="49"/>
  <c r="A7655" i="20"/>
  <c r="B6982" i="20"/>
  <c r="B7846" i="20"/>
  <c r="B293" i="45"/>
  <c r="B6557" i="20"/>
  <c r="A5578" i="20"/>
  <c r="A8514" i="20"/>
  <c r="B7939" i="20"/>
  <c r="B5114" i="20"/>
  <c r="A517" i="45"/>
  <c r="A86" i="45"/>
  <c r="A1230" i="49"/>
  <c r="A7337" i="20"/>
  <c r="C40" i="21"/>
  <c r="A211" i="32"/>
  <c r="A259" i="32"/>
  <c r="B8586" i="20"/>
  <c r="B20" i="45"/>
  <c r="N38" i="33"/>
  <c r="B5899" i="20"/>
  <c r="B8756" i="20"/>
  <c r="A8856" i="20"/>
  <c r="A429" i="45"/>
  <c r="F6" i="33"/>
  <c r="A20" i="45"/>
  <c r="A8450" i="20"/>
  <c r="A917" i="49"/>
  <c r="B275" i="45"/>
  <c r="B8384" i="20"/>
  <c r="B7386" i="20"/>
  <c r="A7222" i="20"/>
  <c r="B6017" i="20"/>
  <c r="B7393" i="20"/>
  <c r="B884" i="45"/>
  <c r="B7773" i="20"/>
  <c r="B7779" i="20"/>
  <c r="B6629" i="20"/>
  <c r="A275" i="45"/>
  <c r="Y3" i="33"/>
  <c r="B1013" i="45"/>
  <c r="B8209" i="20"/>
  <c r="A7951" i="20"/>
  <c r="B7494" i="20"/>
  <c r="B940" i="45"/>
  <c r="A7282" i="20"/>
  <c r="A5342" i="20"/>
  <c r="N9" i="29"/>
  <c r="A8512" i="20"/>
  <c r="B292" i="45"/>
  <c r="A230" i="45"/>
  <c r="B462" i="45"/>
  <c r="B8431" i="20"/>
  <c r="A1" i="33"/>
  <c r="A8820" i="20"/>
  <c r="N27" i="29"/>
  <c r="B6942" i="20"/>
  <c r="B7107" i="20"/>
  <c r="B9032" i="20"/>
  <c r="B6411" i="20"/>
  <c r="A196" i="32"/>
  <c r="A587" i="49"/>
  <c r="B66" i="45"/>
  <c r="A147" i="32"/>
  <c r="A8390" i="20"/>
  <c r="B1241" i="45"/>
  <c r="B6141" i="20"/>
  <c r="A224" i="45"/>
  <c r="B68" i="45"/>
  <c r="A8439" i="20"/>
  <c r="B8291" i="20"/>
  <c r="A800" i="45"/>
  <c r="A7878" i="20"/>
  <c r="A5043" i="20"/>
  <c r="B8450" i="20"/>
  <c r="C15" i="21"/>
  <c r="A4787" i="20"/>
  <c r="B447" i="45"/>
  <c r="A18" i="47"/>
  <c r="A7243" i="20"/>
  <c r="B247" i="50"/>
  <c r="A8970" i="20"/>
  <c r="A230" i="32"/>
  <c r="A7390" i="20"/>
  <c r="A716" i="45"/>
  <c r="B8258" i="20"/>
  <c r="B7605" i="20"/>
  <c r="B7921" i="20"/>
  <c r="A1989" i="20"/>
  <c r="B1221" i="45"/>
  <c r="A7339" i="20"/>
  <c r="A4977" i="20"/>
  <c r="B391" i="45"/>
  <c r="B899" i="45"/>
  <c r="M48" i="33"/>
  <c r="A244" i="32"/>
  <c r="A5212" i="20"/>
  <c r="B2958" i="20"/>
  <c r="A6460" i="20"/>
  <c r="A4956" i="20"/>
  <c r="B2702" i="20"/>
  <c r="B106" i="45"/>
  <c r="A8325" i="20"/>
  <c r="B8194" i="20"/>
  <c r="B8015" i="20"/>
  <c r="B7885" i="20"/>
  <c r="A7309" i="20"/>
  <c r="A9114" i="20"/>
  <c r="A6752" i="20"/>
  <c r="B5177" i="20"/>
  <c r="B6273" i="20"/>
  <c r="A5610" i="20"/>
  <c r="B7317" i="20"/>
  <c r="A8463" i="20"/>
  <c r="C1" i="37"/>
  <c r="B5853" i="20"/>
  <c r="B6365" i="20"/>
  <c r="B5533" i="20"/>
  <c r="B6829" i="20"/>
  <c r="A332" i="32"/>
  <c r="B8503" i="20"/>
  <c r="A8807" i="20"/>
  <c r="N26" i="29"/>
  <c r="A8554" i="20"/>
  <c r="B5287" i="20"/>
  <c r="B1166" i="45"/>
  <c r="B6287" i="20"/>
  <c r="A7032" i="20"/>
  <c r="B5031" i="20"/>
  <c r="A8671" i="20"/>
  <c r="B9029" i="20"/>
  <c r="A354" i="32"/>
  <c r="A8954" i="20"/>
  <c r="B7837" i="20"/>
  <c r="B9125" i="20"/>
  <c r="B6476" i="20"/>
  <c r="A8872" i="20"/>
  <c r="A5247" i="20"/>
  <c r="A7125" i="20"/>
  <c r="B679" i="45"/>
  <c r="B8138" i="20"/>
  <c r="B6193" i="20"/>
  <c r="A7437" i="20"/>
  <c r="U2" i="33"/>
  <c r="A1247" i="45"/>
  <c r="A14" i="28"/>
  <c r="A4874" i="20"/>
  <c r="A5642" i="20"/>
  <c r="B6321" i="20"/>
  <c r="A5852" i="20"/>
  <c r="A204" i="45"/>
  <c r="B452" i="49"/>
  <c r="B12" i="21"/>
  <c r="B917" i="45"/>
  <c r="A7170" i="20"/>
  <c r="A6224" i="20"/>
  <c r="A7566" i="20"/>
  <c r="B6747" i="20"/>
  <c r="A6914" i="20"/>
  <c r="A5200" i="20"/>
  <c r="A7298" i="20"/>
  <c r="B8234" i="20"/>
  <c r="B1101" i="45"/>
  <c r="B7244" i="20"/>
  <c r="B8135" i="20"/>
  <c r="A16" i="28"/>
  <c r="B22" i="21"/>
  <c r="B3" i="43"/>
  <c r="A7917" i="20"/>
  <c r="B144" i="45"/>
  <c r="A7537" i="20"/>
  <c r="A55" i="21"/>
  <c r="B6059" i="20"/>
  <c r="A588" i="45"/>
  <c r="A934" i="45"/>
  <c r="A96" i="45"/>
  <c r="A8268" i="20"/>
  <c r="B812" i="45"/>
  <c r="A166" i="45"/>
  <c r="B7919" i="20"/>
  <c r="A8157" i="20"/>
  <c r="A346" i="45"/>
  <c r="A7929" i="20"/>
  <c r="A129" i="32"/>
  <c r="A7524" i="20"/>
  <c r="A8279" i="20"/>
  <c r="B6848" i="20"/>
  <c r="A7829" i="20"/>
  <c r="A7696" i="20"/>
  <c r="A32" i="45"/>
  <c r="AI4" i="33"/>
  <c r="B662" i="45"/>
  <c r="B33" i="21"/>
  <c r="B7887" i="20"/>
  <c r="A6901" i="20"/>
  <c r="B7193" i="20"/>
  <c r="B5833" i="20"/>
  <c r="A62" i="45"/>
  <c r="A8055" i="20"/>
  <c r="B5547" i="20"/>
  <c r="B5577" i="20"/>
  <c r="A5030" i="20"/>
  <c r="B6681" i="20"/>
  <c r="A8694" i="20"/>
  <c r="B5965" i="20"/>
  <c r="B8679" i="20"/>
  <c r="A115" i="45"/>
  <c r="A336" i="49"/>
  <c r="A8745" i="20"/>
  <c r="A704" i="45"/>
  <c r="B8678" i="20"/>
  <c r="A8940" i="20"/>
  <c r="A167" i="32"/>
  <c r="A80" i="49"/>
  <c r="A227" i="45"/>
  <c r="A7782" i="20"/>
  <c r="A7820" i="20"/>
  <c r="A30" i="32"/>
  <c r="B5242" i="20"/>
  <c r="A5462" i="20"/>
  <c r="B7536" i="20"/>
  <c r="A6046" i="20"/>
  <c r="B8511" i="20"/>
  <c r="B792" i="45"/>
  <c r="B8288" i="20"/>
  <c r="A8944" i="20"/>
  <c r="B6462" i="20"/>
  <c r="A8478" i="20"/>
  <c r="A47" i="25"/>
  <c r="AC1" i="29"/>
  <c r="B8653" i="20"/>
  <c r="A8812" i="20"/>
  <c r="A7569" i="20"/>
  <c r="A8904" i="20"/>
  <c r="A2775" i="20"/>
  <c r="A7830" i="20"/>
  <c r="A7757" i="20"/>
  <c r="A7022" i="20"/>
  <c r="A3719" i="20"/>
  <c r="A7925" i="20"/>
  <c r="A102" i="32"/>
  <c r="A50" i="49"/>
  <c r="A403" i="45"/>
  <c r="A4615" i="20"/>
  <c r="B4960" i="20"/>
  <c r="A4359" i="20"/>
  <c r="A1263" i="49"/>
  <c r="B5931" i="20"/>
  <c r="A8281" i="20"/>
  <c r="N6" i="33"/>
  <c r="B8867" i="20"/>
  <c r="B8877" i="20"/>
  <c r="A2343" i="20"/>
  <c r="A8880" i="20"/>
  <c r="B2931" i="20"/>
  <c r="B8187" i="20"/>
  <c r="A2087" i="20"/>
  <c r="B6916" i="20"/>
  <c r="A1236" i="45"/>
  <c r="B8051" i="20"/>
  <c r="A7992" i="20"/>
  <c r="A5092" i="20"/>
  <c r="A8194" i="20"/>
  <c r="B8719" i="20"/>
  <c r="M37" i="29"/>
  <c r="B8654" i="20"/>
  <c r="C4" i="55"/>
  <c r="B3824" i="20"/>
  <c r="A69" i="32"/>
  <c r="A6964" i="20"/>
  <c r="B7869" i="20"/>
  <c r="A4762" i="20"/>
  <c r="A524" i="45"/>
  <c r="A8238" i="20"/>
  <c r="B5238" i="20"/>
  <c r="B5622" i="20"/>
  <c r="B4982" i="20"/>
  <c r="B170" i="45"/>
  <c r="B8416" i="20"/>
  <c r="B7813" i="20"/>
  <c r="A5" i="23"/>
  <c r="B8843" i="20"/>
  <c r="B8387" i="20"/>
  <c r="A3295" i="20"/>
  <c r="A74" i="32"/>
  <c r="A1763" i="20"/>
  <c r="B7715" i="20"/>
  <c r="A3039" i="20"/>
  <c r="B588" i="45"/>
  <c r="N57" i="33"/>
  <c r="E10" i="29"/>
  <c r="A8836" i="20"/>
  <c r="A4798" i="20"/>
  <c r="A7774" i="20"/>
  <c r="A3334" i="20"/>
  <c r="B7824" i="20"/>
  <c r="A7710" i="20"/>
  <c r="B8573" i="20"/>
  <c r="A4385" i="20"/>
  <c r="B30" i="49"/>
  <c r="A7003" i="20"/>
  <c r="B642" i="49"/>
  <c r="B8699" i="20"/>
  <c r="B788" i="45"/>
  <c r="A8000" i="20"/>
  <c r="B7259" i="20"/>
  <c r="B7208" i="20"/>
  <c r="A7261" i="20"/>
  <c r="A178" i="32"/>
  <c r="A797" i="49"/>
  <c r="A7809" i="20"/>
  <c r="B677" i="45"/>
  <c r="A8612" i="20"/>
  <c r="A249" i="49"/>
  <c r="A3017" i="20"/>
  <c r="A9068" i="20"/>
  <c r="A3697" i="20"/>
  <c r="A8889" i="20"/>
  <c r="A2761" i="20"/>
  <c r="A8328" i="20"/>
  <c r="B7734" i="20"/>
  <c r="C42" i="21"/>
  <c r="B1100" i="45"/>
  <c r="A7924" i="20"/>
  <c r="A8294" i="20"/>
  <c r="B3683" i="20"/>
  <c r="A8251" i="20"/>
  <c r="A3718" i="20"/>
  <c r="A4828" i="20"/>
  <c r="A4749" i="20"/>
  <c r="A8080" i="20"/>
  <c r="B8019" i="20"/>
  <c r="B617" i="45"/>
  <c r="A6836" i="20"/>
  <c r="B4761" i="20"/>
  <c r="B7045" i="20"/>
  <c r="A2259" i="20"/>
  <c r="B644" i="45"/>
  <c r="B7906" i="20"/>
  <c r="B6183" i="20"/>
  <c r="A118" i="49"/>
  <c r="A9028" i="20"/>
  <c r="A480" i="45"/>
  <c r="A7510" i="20"/>
  <c r="A8032" i="20"/>
  <c r="A7105" i="20"/>
  <c r="A6629" i="20"/>
  <c r="A5246" i="20"/>
  <c r="A5720" i="20"/>
  <c r="A2691" i="20"/>
  <c r="B719" i="20"/>
  <c r="B6493" i="20"/>
  <c r="A6528" i="20"/>
  <c r="A1723" i="20"/>
  <c r="B1703" i="16"/>
  <c r="A1" i="28"/>
  <c r="A4721" i="20"/>
  <c r="F9" i="33"/>
  <c r="A4860" i="20"/>
  <c r="A2697" i="20"/>
  <c r="A7988" i="20"/>
  <c r="A14" i="32"/>
  <c r="B5205" i="20"/>
  <c r="A8460" i="20"/>
  <c r="B7608" i="20"/>
  <c r="B7243" i="20"/>
  <c r="A7508" i="20"/>
  <c r="A5572" i="20"/>
  <c r="A7344" i="20"/>
  <c r="B5712" i="20"/>
  <c r="B7131" i="20"/>
  <c r="B8708" i="20"/>
  <c r="A367" i="45"/>
  <c r="B6539" i="20"/>
  <c r="A8633" i="20"/>
  <c r="A537" i="45"/>
  <c r="A8261" i="20"/>
  <c r="B337" i="49"/>
  <c r="B7741" i="20"/>
  <c r="A3108" i="20"/>
  <c r="B9033" i="20"/>
  <c r="B7679" i="20"/>
  <c r="B8468" i="20"/>
  <c r="B5505" i="20"/>
  <c r="A7256" i="20"/>
  <c r="B391" i="49"/>
  <c r="B904" i="45"/>
  <c r="A8510" i="20"/>
  <c r="A8358" i="20"/>
  <c r="B545" i="45"/>
  <c r="A7897" i="20"/>
  <c r="A8896" i="20"/>
  <c r="B6230" i="20"/>
  <c r="A258" i="49"/>
  <c r="B570" i="49"/>
  <c r="B786" i="45"/>
  <c r="B847" i="45"/>
  <c r="B8874" i="20"/>
  <c r="A6846" i="20"/>
  <c r="B7198" i="20"/>
  <c r="A8270" i="20"/>
  <c r="A7057" i="20"/>
  <c r="A4125" i="20"/>
  <c r="A7768" i="20"/>
  <c r="A8323" i="20"/>
  <c r="A74" i="45"/>
  <c r="B7862" i="20"/>
  <c r="B28" i="21"/>
  <c r="A5732" i="20"/>
  <c r="A6093" i="20"/>
  <c r="B8101" i="20"/>
  <c r="B395" i="45"/>
  <c r="A1" i="41"/>
  <c r="A5450" i="20"/>
  <c r="B1158" i="45"/>
  <c r="A873" i="49"/>
  <c r="B7953" i="20"/>
  <c r="A6852" i="20"/>
  <c r="A9090" i="20"/>
  <c r="A8913" i="20"/>
  <c r="AC2" i="33"/>
  <c r="B5088" i="20"/>
  <c r="A6158" i="20"/>
  <c r="B513" i="45"/>
  <c r="B6027" i="20"/>
  <c r="A6050" i="20"/>
  <c r="B5481" i="20"/>
  <c r="A1225" i="49"/>
  <c r="B6700" i="20"/>
  <c r="B7781" i="20"/>
  <c r="B5457" i="20"/>
  <c r="A6772" i="20"/>
  <c r="A7825" i="20"/>
  <c r="B4731" i="20"/>
  <c r="B7583" i="20"/>
  <c r="B8262" i="20"/>
  <c r="B6986" i="20"/>
  <c r="A362" i="45"/>
  <c r="A7570" i="20"/>
  <c r="B7358" i="20"/>
  <c r="B8134" i="20"/>
  <c r="A8493" i="20"/>
  <c r="A8209" i="20"/>
  <c r="B5941" i="20"/>
  <c r="B8094" i="20"/>
  <c r="B5847" i="20"/>
  <c r="B7793" i="20"/>
  <c r="A5925" i="20"/>
  <c r="B496" i="45"/>
  <c r="A6794" i="20"/>
  <c r="B7056" i="20"/>
  <c r="B7349" i="20"/>
  <c r="B755" i="45"/>
  <c r="B7529" i="20"/>
  <c r="A8205" i="20"/>
  <c r="B7022" i="20"/>
  <c r="A4862" i="20"/>
  <c r="A202" i="32"/>
  <c r="A8395" i="20"/>
  <c r="B6820" i="20"/>
  <c r="A43" i="32"/>
  <c r="B8099" i="20"/>
  <c r="A8534" i="20"/>
  <c r="C5" i="21"/>
  <c r="A8560" i="20"/>
  <c r="B609" i="45"/>
  <c r="A101" i="45"/>
  <c r="A6929" i="20"/>
  <c r="B7612" i="20"/>
  <c r="B8779" i="20"/>
  <c r="B7904" i="20"/>
  <c r="A18" i="31"/>
  <c r="B9010" i="20"/>
  <c r="B1229" i="45"/>
  <c r="B3" i="36"/>
  <c r="A6940" i="20"/>
  <c r="B8647" i="20"/>
  <c r="B8068" i="20"/>
  <c r="B8086" i="20"/>
  <c r="A140" i="45"/>
  <c r="A8413" i="20"/>
  <c r="B5999" i="20"/>
  <c r="A6" i="27"/>
  <c r="A306" i="49"/>
  <c r="B305" i="45"/>
  <c r="A235" i="32"/>
  <c r="A8231" i="20"/>
  <c r="A7931" i="20"/>
  <c r="AL2" i="29"/>
  <c r="B7774" i="20"/>
  <c r="A8385" i="20"/>
  <c r="B6729" i="20"/>
  <c r="B5971" i="20"/>
  <c r="A8321" i="20"/>
  <c r="B5" i="21"/>
  <c r="A687" i="45"/>
  <c r="A8372" i="20"/>
  <c r="B6403" i="20"/>
  <c r="B4622" i="20"/>
  <c r="A6906" i="20"/>
  <c r="B6003" i="20"/>
  <c r="B8592" i="20"/>
  <c r="B3056" i="20"/>
  <c r="B630" i="45"/>
  <c r="A8536" i="20"/>
  <c r="B7215" i="20"/>
  <c r="B2340" i="20"/>
  <c r="B2921" i="20"/>
  <c r="B2084" i="20"/>
  <c r="B102" i="49"/>
  <c r="B8480" i="20"/>
  <c r="B6658" i="20"/>
  <c r="A3620" i="20"/>
  <c r="B7489" i="20"/>
  <c r="A3335" i="20"/>
  <c r="A7368" i="20"/>
  <c r="C41" i="21"/>
  <c r="B7353" i="20"/>
  <c r="A7552" i="20"/>
  <c r="B8727" i="20"/>
  <c r="A8002" i="20"/>
  <c r="A5646" i="20"/>
  <c r="B2596" i="20"/>
  <c r="AL2" i="33"/>
  <c r="A7741" i="20"/>
  <c r="B8691" i="20"/>
  <c r="B5713" i="20"/>
  <c r="A5511" i="20"/>
  <c r="A7725" i="20"/>
  <c r="B7777" i="20"/>
  <c r="A4999" i="20"/>
  <c r="A980" i="45"/>
  <c r="A7338" i="20"/>
  <c r="B1316" i="45"/>
  <c r="B8975" i="20"/>
  <c r="A6234" i="20"/>
  <c r="C2" i="33"/>
  <c r="B7650" i="20"/>
  <c r="A7894" i="20"/>
  <c r="B7384" i="20"/>
  <c r="A4890" i="20"/>
  <c r="B8504" i="20"/>
  <c r="A4038" i="20"/>
  <c r="B3150" i="20"/>
  <c r="B1466" i="16"/>
  <c r="A7008" i="20"/>
  <c r="A6002" i="20"/>
  <c r="A3236" i="20"/>
  <c r="A8583" i="20"/>
  <c r="A5075" i="20"/>
  <c r="D7" i="43"/>
  <c r="A5202" i="20"/>
  <c r="A6776" i="20"/>
  <c r="A4097" i="20"/>
  <c r="A3498" i="20"/>
  <c r="B8882" i="20"/>
  <c r="A1923" i="20"/>
  <c r="A706" i="20"/>
  <c r="A295" i="32"/>
  <c r="A321" i="32"/>
  <c r="B613" i="45"/>
  <c r="A9048" i="20"/>
  <c r="A123" i="45"/>
  <c r="A3151" i="20"/>
  <c r="B7522" i="20"/>
  <c r="B4692" i="20"/>
  <c r="B8238" i="20"/>
  <c r="B6896" i="20"/>
  <c r="A2461" i="20"/>
  <c r="A5230" i="20"/>
  <c r="A6364" i="20"/>
  <c r="A5773" i="20"/>
  <c r="B8844" i="20"/>
  <c r="A106" i="32"/>
  <c r="B19" i="45"/>
  <c r="A7348" i="20"/>
  <c r="B5483" i="20"/>
  <c r="A5664" i="20"/>
  <c r="A7179" i="20"/>
  <c r="B5875" i="20"/>
  <c r="B6044" i="20"/>
  <c r="B8137" i="20"/>
  <c r="A7698" i="20"/>
  <c r="A6809" i="20"/>
  <c r="B6535" i="20"/>
  <c r="B3819" i="20"/>
  <c r="A5917" i="20"/>
  <c r="A4701" i="20"/>
  <c r="B6166" i="20"/>
  <c r="A3717" i="20"/>
  <c r="A4846" i="20"/>
  <c r="A4185" i="20"/>
  <c r="A1855" i="20"/>
  <c r="B1867" i="20"/>
  <c r="A2875" i="20"/>
  <c r="A5829" i="20"/>
  <c r="B2622" i="20"/>
  <c r="B679" i="20"/>
  <c r="A3083" i="20"/>
  <c r="B5229" i="20"/>
  <c r="B8399" i="20"/>
  <c r="B6847" i="20"/>
  <c r="B4467" i="20"/>
  <c r="A5908" i="20"/>
  <c r="B7242" i="20"/>
  <c r="A8967" i="20"/>
  <c r="A8031" i="20"/>
  <c r="A7448" i="20"/>
  <c r="A6309" i="20"/>
  <c r="A4500" i="20"/>
  <c r="A5564" i="20"/>
  <c r="A4189" i="20"/>
  <c r="A4318" i="20"/>
  <c r="A1321" i="16"/>
  <c r="A639" i="49"/>
  <c r="B5669" i="20"/>
  <c r="B6137" i="20"/>
  <c r="A177" i="32"/>
  <c r="A36" i="31"/>
  <c r="A5461" i="20"/>
  <c r="B555" i="49"/>
  <c r="A5966" i="20"/>
  <c r="J6" i="33"/>
  <c r="B7504" i="20"/>
  <c r="A5679" i="20"/>
  <c r="A2507" i="20"/>
  <c r="A5770" i="20"/>
  <c r="A6327" i="20"/>
  <c r="B3936" i="20"/>
  <c r="A6007" i="20"/>
  <c r="B7128" i="20"/>
  <c r="A2628" i="20"/>
  <c r="A2895" i="20"/>
  <c r="B236" i="45"/>
  <c r="A8631" i="20"/>
  <c r="A4231" i="20"/>
  <c r="A9111" i="20"/>
  <c r="A411" i="45"/>
  <c r="B7070" i="20"/>
  <c r="A7335" i="20"/>
  <c r="A4341" i="20"/>
  <c r="B3132" i="20"/>
  <c r="A190" i="32"/>
  <c r="B4758" i="20"/>
  <c r="A3348" i="20"/>
  <c r="A4477" i="20"/>
  <c r="A6396" i="20"/>
  <c r="A1333" i="20"/>
  <c r="A2940" i="20"/>
  <c r="B2866" i="20"/>
  <c r="A4287" i="20"/>
  <c r="A1065" i="16"/>
  <c r="A4081" i="20"/>
  <c r="A580" i="20"/>
  <c r="B6888" i="20"/>
  <c r="A2045" i="20"/>
  <c r="A5409" i="20"/>
  <c r="A344" i="20"/>
  <c r="B2851" i="20"/>
  <c r="B5082" i="20"/>
  <c r="A2491" i="20"/>
  <c r="C40" i="18"/>
  <c r="A6702" i="20"/>
  <c r="B8182" i="20"/>
  <c r="A11" i="47"/>
  <c r="A3577" i="20"/>
  <c r="B8519" i="20"/>
  <c r="A8399" i="20"/>
  <c r="A7854" i="20"/>
  <c r="A6298" i="20"/>
  <c r="A3317" i="20"/>
  <c r="B1654" i="20"/>
  <c r="B514" i="45"/>
  <c r="A5581" i="20"/>
  <c r="B3499" i="20"/>
  <c r="A4941" i="20"/>
  <c r="A5020" i="20"/>
  <c r="A2857" i="20"/>
  <c r="A3958" i="20"/>
  <c r="A5978" i="20"/>
  <c r="B6045" i="20"/>
  <c r="A198" i="32"/>
  <c r="A6018" i="20"/>
  <c r="A3939" i="20"/>
  <c r="A277" i="32"/>
  <c r="A8443" i="20"/>
  <c r="A6435" i="20"/>
  <c r="A2" i="35"/>
  <c r="B6693" i="20"/>
  <c r="B4686" i="20"/>
  <c r="B3849" i="20"/>
  <c r="B8928" i="20"/>
  <c r="B5379" i="20"/>
  <c r="B4040" i="20"/>
  <c r="B4268" i="20"/>
  <c r="B8989" i="20"/>
  <c r="A6780" i="20"/>
  <c r="B5997" i="20"/>
  <c r="A6029" i="20"/>
  <c r="A7254" i="20"/>
  <c r="B5223" i="20"/>
  <c r="A7585" i="20"/>
  <c r="B7948" i="20"/>
  <c r="A5033" i="20"/>
  <c r="A6076" i="20"/>
  <c r="A4445" i="20"/>
  <c r="F2" i="33"/>
  <c r="A7979" i="20"/>
  <c r="A5260" i="20"/>
  <c r="Q1" i="33"/>
  <c r="B6139" i="20"/>
  <c r="A20" i="37"/>
  <c r="A2700" i="20"/>
  <c r="B8078" i="20"/>
  <c r="A7084" i="20"/>
  <c r="A4869" i="20"/>
  <c r="A2262" i="20"/>
  <c r="A5161" i="20"/>
  <c r="B8545" i="20"/>
  <c r="B5521" i="20"/>
  <c r="A6282" i="20"/>
  <c r="B4807" i="20"/>
  <c r="B6621" i="20"/>
  <c r="B3728" i="20"/>
  <c r="A2738" i="20"/>
  <c r="A236" i="45"/>
  <c r="B8128" i="20"/>
  <c r="B8625" i="20"/>
  <c r="A44" i="25"/>
  <c r="B1402" i="49"/>
  <c r="N10" i="29"/>
  <c r="B272" i="45"/>
  <c r="B8823" i="20"/>
  <c r="B1007" i="45"/>
  <c r="A13" i="31"/>
  <c r="B8765" i="20"/>
  <c r="B26" i="37"/>
  <c r="A2980" i="20"/>
  <c r="B8037" i="20"/>
  <c r="A7" i="39"/>
  <c r="A2403" i="20"/>
  <c r="B338" i="45"/>
  <c r="A7944" i="20"/>
  <c r="B6262" i="20"/>
  <c r="B185" i="49"/>
  <c r="N4" i="33"/>
  <c r="B210" i="45"/>
  <c r="B7256" i="20"/>
  <c r="B8370" i="20"/>
  <c r="B7744" i="20"/>
  <c r="A173" i="32"/>
  <c r="A28" i="32"/>
  <c r="B8580" i="20"/>
  <c r="B7089" i="20"/>
  <c r="A27" i="25"/>
  <c r="A8018" i="20"/>
  <c r="B6205" i="20"/>
  <c r="B6505" i="20"/>
  <c r="B7253" i="20"/>
  <c r="B7768" i="20"/>
  <c r="A6622" i="20"/>
  <c r="B9095" i="20"/>
  <c r="A19" i="45"/>
  <c r="B8233" i="20"/>
  <c r="B8493" i="20"/>
  <c r="S2" i="29"/>
  <c r="B7305" i="20"/>
  <c r="B7730" i="20"/>
  <c r="A11" i="25"/>
  <c r="A5617" i="20"/>
  <c r="B6339" i="20"/>
  <c r="A1494" i="49"/>
  <c r="A8258" i="20"/>
  <c r="B7535" i="20"/>
  <c r="B6678" i="20"/>
  <c r="B4732" i="20"/>
  <c r="B8074" i="20"/>
  <c r="B318" i="45"/>
  <c r="A8432" i="20"/>
  <c r="A1027" i="45"/>
  <c r="A5084" i="20"/>
  <c r="B5947" i="20"/>
  <c r="A4546" i="20"/>
  <c r="B8759" i="20"/>
  <c r="A221" i="32"/>
  <c r="B46" i="45"/>
  <c r="B47" i="49"/>
  <c r="B4988" i="20"/>
  <c r="A8784" i="20"/>
  <c r="A8823" i="20"/>
  <c r="A13" i="28"/>
  <c r="A1345" i="20"/>
  <c r="B4592" i="20"/>
  <c r="B7523" i="20"/>
  <c r="A7628" i="20"/>
  <c r="B19" i="21"/>
  <c r="B8132" i="20"/>
  <c r="B6490" i="20"/>
  <c r="A8831" i="20"/>
  <c r="B7124" i="20"/>
  <c r="B911" i="45"/>
  <c r="B4451" i="20"/>
  <c r="A6400" i="20"/>
  <c r="B5176" i="20"/>
  <c r="A8041" i="20"/>
  <c r="A2987" i="20"/>
  <c r="A5483" i="20"/>
  <c r="A6426" i="20"/>
  <c r="B9035" i="20"/>
  <c r="B4576" i="20"/>
  <c r="B7350" i="20"/>
  <c r="A2097" i="20"/>
  <c r="A8244" i="20"/>
  <c r="B4844" i="20"/>
  <c r="B8963" i="20"/>
  <c r="B7311" i="20"/>
  <c r="B6710" i="20"/>
  <c r="A5504" i="20"/>
  <c r="A1709" i="20"/>
  <c r="B8585" i="20"/>
  <c r="A1538" i="20"/>
  <c r="A5530" i="20"/>
  <c r="B6163" i="20"/>
  <c r="B6780" i="20"/>
  <c r="A3010" i="20"/>
  <c r="A26" i="21"/>
  <c r="B3216" i="20"/>
  <c r="B5123" i="20"/>
  <c r="B6210" i="20"/>
  <c r="A8043" i="20"/>
  <c r="B1954" i="20"/>
  <c r="B2732" i="20"/>
  <c r="B7114" i="20"/>
  <c r="B1973" i="20"/>
  <c r="B1103" i="20"/>
  <c r="A7686" i="20"/>
  <c r="A4724" i="20"/>
  <c r="B3690" i="20"/>
  <c r="A92" i="11"/>
  <c r="A3262" i="20"/>
  <c r="A1225" i="20"/>
  <c r="B5951" i="20"/>
  <c r="A2622" i="20"/>
  <c r="B1638" i="20"/>
  <c r="B5921" i="20"/>
  <c r="A420" i="20"/>
  <c r="B7043" i="20"/>
  <c r="A3485" i="20"/>
  <c r="B8385" i="20"/>
  <c r="B7718" i="20"/>
  <c r="A6857" i="20"/>
  <c r="B6947" i="20"/>
  <c r="B3558" i="20"/>
  <c r="A6276" i="20"/>
  <c r="B449" i="45"/>
  <c r="B5779" i="20"/>
  <c r="A6908" i="20"/>
  <c r="A38" i="32"/>
  <c r="B5391" i="20"/>
  <c r="B7700" i="20"/>
  <c r="B3955" i="20"/>
  <c r="B6980" i="20"/>
  <c r="A3938" i="20"/>
  <c r="A5169" i="20"/>
  <c r="A5223" i="20"/>
  <c r="A8802" i="20"/>
  <c r="B3250" i="20"/>
  <c r="A2522" i="20"/>
  <c r="A7530" i="20"/>
  <c r="A4875" i="20"/>
  <c r="A1170" i="20"/>
  <c r="A443" i="45"/>
  <c r="B2468" i="20"/>
  <c r="A7756" i="20"/>
  <c r="A2975" i="20"/>
  <c r="A5096" i="20"/>
  <c r="A4113" i="20"/>
  <c r="A9072" i="20"/>
  <c r="A2375" i="20"/>
  <c r="A247" i="19"/>
  <c r="B6449" i="20"/>
  <c r="A7369" i="20"/>
  <c r="B130" i="12"/>
  <c r="A8330" i="20"/>
  <c r="B4700" i="20"/>
  <c r="B6064" i="20"/>
  <c r="B193" i="45"/>
  <c r="A7729" i="20"/>
  <c r="B391" i="16"/>
  <c r="B5772" i="20"/>
  <c r="B9069" i="20"/>
  <c r="A5862" i="20"/>
  <c r="A5884" i="20"/>
  <c r="A6667" i="20"/>
  <c r="B5813" i="20"/>
  <c r="B5609" i="20"/>
  <c r="A7525" i="20"/>
  <c r="A7505" i="20"/>
  <c r="B5657" i="20"/>
  <c r="A1013" i="20"/>
  <c r="B4711" i="20"/>
  <c r="A6141" i="20"/>
  <c r="A8189" i="20"/>
  <c r="A305" i="32"/>
  <c r="A4244" i="20"/>
  <c r="A1861" i="20"/>
  <c r="B5372" i="20"/>
  <c r="A6808" i="20"/>
  <c r="A7759" i="20"/>
  <c r="B6879" i="20"/>
  <c r="A1384" i="49"/>
  <c r="A153" i="49"/>
  <c r="B498" i="49"/>
  <c r="A381" i="49"/>
  <c r="B8973" i="20"/>
  <c r="A55" i="45"/>
  <c r="B149" i="45"/>
  <c r="A8712" i="20"/>
  <c r="A9026" i="20"/>
  <c r="A7434" i="20"/>
  <c r="B8687" i="20"/>
  <c r="B548" i="49"/>
  <c r="A8730" i="20"/>
  <c r="B8594" i="20"/>
  <c r="A8109" i="20"/>
  <c r="A9129" i="20"/>
  <c r="B7618" i="20"/>
  <c r="B1303" i="45"/>
  <c r="A53" i="47"/>
  <c r="M25" i="29"/>
  <c r="B5623" i="20"/>
  <c r="B8740" i="20"/>
  <c r="B861" i="45"/>
  <c r="B7800" i="20"/>
  <c r="A748" i="45"/>
  <c r="A3457" i="20"/>
  <c r="B8327" i="20"/>
  <c r="A346" i="49"/>
  <c r="A3" i="39"/>
  <c r="A7814" i="20"/>
  <c r="A608" i="45"/>
  <c r="A7747" i="20"/>
  <c r="B8214" i="20"/>
  <c r="B157" i="45"/>
  <c r="B8122" i="20"/>
  <c r="B703" i="45"/>
  <c r="A6766" i="20"/>
  <c r="A8324" i="20"/>
  <c r="A875" i="45"/>
  <c r="A423" i="49"/>
  <c r="A560" i="45"/>
  <c r="A1091" i="45"/>
  <c r="A8973" i="20"/>
  <c r="B221" i="45"/>
  <c r="A1" i="34"/>
  <c r="A5116" i="20"/>
  <c r="A5534" i="20"/>
  <c r="B346" i="45"/>
  <c r="B204" i="49"/>
  <c r="A4964" i="20"/>
  <c r="A8941" i="20"/>
  <c r="A334" i="32"/>
  <c r="A529" i="45"/>
  <c r="B6828" i="20"/>
  <c r="A8181" i="20"/>
  <c r="B8067" i="20"/>
  <c r="A4" i="43"/>
  <c r="B8896" i="20"/>
  <c r="B8483" i="20"/>
  <c r="B7909" i="20"/>
  <c r="B8512" i="20"/>
  <c r="B6812" i="20"/>
  <c r="B3410" i="20"/>
  <c r="A4743" i="20"/>
  <c r="A4820" i="20"/>
  <c r="B5443" i="20"/>
  <c r="A266" i="32"/>
  <c r="B2630" i="20"/>
  <c r="B2370" i="20"/>
  <c r="B162" i="49"/>
  <c r="A7" i="48"/>
  <c r="B8958" i="20"/>
  <c r="AL4" i="33"/>
  <c r="B874" i="45"/>
  <c r="B6997" i="20"/>
  <c r="A1366" i="49"/>
  <c r="B1293" i="45"/>
  <c r="B7411" i="20"/>
  <c r="A9083" i="20"/>
  <c r="A7300" i="20"/>
  <c r="B727" i="45"/>
  <c r="B8814" i="20"/>
  <c r="B913" i="45"/>
  <c r="A6934" i="20"/>
  <c r="A5502" i="20"/>
  <c r="B7577" i="20"/>
  <c r="B7178" i="20"/>
  <c r="B7437" i="20"/>
  <c r="A8099" i="20"/>
  <c r="A8332" i="20"/>
  <c r="A962" i="45"/>
  <c r="A16" i="43"/>
  <c r="B9115" i="20"/>
  <c r="A7364" i="20"/>
  <c r="B8239" i="20"/>
  <c r="A5688" i="20"/>
  <c r="B4796" i="20"/>
  <c r="B673" i="45"/>
  <c r="B7760" i="20"/>
  <c r="A41" i="45"/>
  <c r="B9134" i="20"/>
  <c r="B7030" i="20"/>
  <c r="A5788" i="20"/>
  <c r="B9019" i="20"/>
  <c r="A5252" i="20"/>
  <c r="B6584" i="20"/>
  <c r="A8288" i="20"/>
  <c r="B6754" i="20"/>
  <c r="B650" i="49"/>
  <c r="A7094" i="20"/>
  <c r="B7068" i="20"/>
  <c r="B6515" i="20"/>
  <c r="A4048" i="20"/>
  <c r="B8888" i="20"/>
  <c r="B5325" i="20"/>
  <c r="A522" i="45"/>
  <c r="B8502" i="20"/>
  <c r="B8045" i="20"/>
  <c r="B8880" i="20"/>
  <c r="A7930" i="20"/>
  <c r="A8744" i="20"/>
  <c r="A5470" i="20"/>
  <c r="B7628" i="20"/>
  <c r="B8105" i="20"/>
  <c r="A4176" i="20"/>
  <c r="B6858" i="20"/>
  <c r="A7440" i="20"/>
  <c r="B7821" i="20"/>
  <c r="B8507" i="20"/>
  <c r="B6702" i="20"/>
  <c r="A7329" i="20"/>
  <c r="A941" i="45"/>
  <c r="B488" i="45"/>
  <c r="A314" i="49"/>
  <c r="A8164" i="20"/>
  <c r="B530" i="45"/>
  <c r="B4726" i="20"/>
  <c r="B818" i="45"/>
  <c r="A6716" i="20"/>
  <c r="B1858" i="20"/>
  <c r="C52" i="21"/>
  <c r="B9109" i="20"/>
  <c r="B688" i="45"/>
  <c r="B5501" i="20"/>
  <c r="A9087" i="20"/>
  <c r="A129" i="49"/>
  <c r="A8415" i="20"/>
  <c r="B419" i="45"/>
  <c r="A7091" i="20"/>
  <c r="A1063" i="45"/>
  <c r="A4516" i="20"/>
  <c r="B7093" i="20"/>
  <c r="A7332" i="20"/>
  <c r="B6235" i="20"/>
  <c r="B1236" i="49"/>
  <c r="B7232" i="20"/>
  <c r="B694" i="45"/>
  <c r="A3462" i="20"/>
  <c r="A7658" i="20"/>
  <c r="B1002" i="45"/>
  <c r="A7352" i="20"/>
  <c r="A1" i="32"/>
  <c r="B5600" i="20"/>
  <c r="B8549" i="20"/>
  <c r="A2910" i="20"/>
  <c r="A6600" i="20"/>
  <c r="A3633" i="20"/>
  <c r="A7712" i="20"/>
  <c r="A8310" i="20"/>
  <c r="B2365" i="20"/>
  <c r="A7472" i="20"/>
  <c r="A2471" i="20"/>
  <c r="B6659" i="20"/>
  <c r="A4550" i="20"/>
  <c r="A75" i="32"/>
  <c r="A7136" i="20"/>
  <c r="A7717" i="20"/>
  <c r="A6150" i="20"/>
  <c r="B2027" i="20"/>
  <c r="A6423" i="20"/>
  <c r="B7385" i="20"/>
  <c r="B8553" i="20"/>
  <c r="B5063" i="20"/>
  <c r="A5542" i="20"/>
  <c r="B5814" i="20"/>
  <c r="A5798" i="20"/>
  <c r="A7660" i="20"/>
  <c r="B705" i="45"/>
  <c r="B5459" i="20"/>
  <c r="B7421" i="20"/>
  <c r="A3459" i="20"/>
  <c r="A2850" i="20"/>
  <c r="A11" i="45"/>
  <c r="A47" i="45"/>
  <c r="A6927" i="20"/>
  <c r="A5809" i="20"/>
  <c r="B10" i="12"/>
  <c r="B9001" i="20"/>
  <c r="A1575" i="20"/>
  <c r="A9124" i="20"/>
  <c r="A4732" i="20"/>
  <c r="B1240" i="45"/>
  <c r="A8393" i="20"/>
  <c r="A8587" i="20"/>
  <c r="A8848" i="20"/>
  <c r="A6417" i="20"/>
  <c r="A1851" i="20"/>
  <c r="B6189" i="20"/>
  <c r="A130" i="32"/>
  <c r="A5448" i="20"/>
  <c r="B5840" i="20"/>
  <c r="A2" i="33"/>
  <c r="A3492" i="20"/>
  <c r="A8994" i="20"/>
  <c r="B7525" i="20"/>
  <c r="B7844" i="20"/>
  <c r="A936" i="45"/>
  <c r="A5098" i="20"/>
  <c r="B6245" i="20"/>
  <c r="B7895" i="20"/>
  <c r="B8458" i="20"/>
  <c r="A5636" i="20"/>
  <c r="A9133" i="20"/>
  <c r="B6691" i="20"/>
  <c r="A5949" i="20"/>
  <c r="B7960" i="20"/>
  <c r="B6881" i="20"/>
  <c r="A8088" i="20"/>
  <c r="A7855" i="20"/>
  <c r="A1461" i="20"/>
  <c r="A7355" i="20"/>
  <c r="G53" i="13"/>
  <c r="A7742" i="20"/>
  <c r="A8374" i="20"/>
  <c r="B8589" i="20"/>
  <c r="A5044" i="20"/>
  <c r="A7761" i="20"/>
  <c r="A3066" i="20"/>
  <c r="A2" i="22"/>
  <c r="A3338" i="20"/>
  <c r="B8494" i="20"/>
  <c r="A7112" i="20"/>
  <c r="A1353" i="20"/>
  <c r="B8820" i="20"/>
  <c r="A6956" i="20"/>
  <c r="A5492" i="20"/>
  <c r="B8141" i="20"/>
  <c r="B4835" i="20"/>
  <c r="B7493" i="20"/>
  <c r="B2524" i="20"/>
  <c r="B6387" i="20"/>
  <c r="A3168" i="20"/>
  <c r="A6270" i="20"/>
  <c r="B7297" i="20"/>
  <c r="A5055" i="20"/>
  <c r="B8150" i="20"/>
  <c r="A5449" i="20"/>
  <c r="A937" i="16"/>
  <c r="A6632" i="20"/>
  <c r="A4497" i="20"/>
  <c r="B9025" i="20"/>
  <c r="B8383" i="20"/>
  <c r="B4606" i="20"/>
  <c r="B6153" i="20"/>
  <c r="A35" i="21"/>
  <c r="B4925" i="20"/>
  <c r="B8155" i="20"/>
  <c r="B8811" i="20"/>
  <c r="B6269" i="20"/>
  <c r="A323" i="32"/>
  <c r="A7602" i="20"/>
  <c r="A3526" i="20"/>
  <c r="A7565" i="20"/>
  <c r="B5100" i="20"/>
  <c r="I3" i="33"/>
  <c r="A1409" i="20"/>
  <c r="B1752" i="20"/>
  <c r="B9108" i="20"/>
  <c r="A6869" i="20"/>
  <c r="H23" i="11"/>
  <c r="A7146" i="20"/>
  <c r="B7784" i="20"/>
  <c r="A4802" i="20"/>
  <c r="A7362" i="20"/>
  <c r="A8895" i="20"/>
  <c r="B7287" i="20"/>
  <c r="A5710" i="20"/>
  <c r="A2842" i="20"/>
  <c r="A654" i="45"/>
  <c r="B7754" i="20"/>
  <c r="A7746" i="20"/>
  <c r="A7304" i="20"/>
  <c r="A7438" i="20"/>
  <c r="A611" i="45"/>
  <c r="B7314" i="20"/>
  <c r="A360" i="32"/>
  <c r="B6966" i="20"/>
  <c r="B5270" i="20"/>
  <c r="A7388" i="20"/>
  <c r="B3307" i="20"/>
  <c r="A3393" i="20"/>
  <c r="AG3" i="33"/>
  <c r="E3" i="33"/>
  <c r="A6706" i="20"/>
  <c r="A8433" i="20"/>
  <c r="A6" i="26"/>
  <c r="B6485" i="20"/>
  <c r="A5331" i="20"/>
  <c r="A7297" i="20"/>
  <c r="A4386" i="20"/>
  <c r="A4348" i="20"/>
  <c r="B1884" i="20"/>
  <c r="B1618" i="20"/>
  <c r="B368" i="20"/>
  <c r="B7883" i="20"/>
  <c r="B506" i="45"/>
  <c r="B5663" i="20"/>
  <c r="A2663" i="20"/>
  <c r="B8652" i="20"/>
  <c r="A4780" i="20"/>
  <c r="A4987" i="20"/>
  <c r="A7542" i="20"/>
  <c r="A1687" i="20"/>
  <c r="A8442" i="20"/>
  <c r="A920" i="49"/>
  <c r="B8932" i="20"/>
  <c r="A8344" i="20"/>
  <c r="B8344" i="20"/>
  <c r="B4587" i="20"/>
  <c r="A7731" i="20"/>
  <c r="A8919" i="20"/>
  <c r="B7764" i="20"/>
  <c r="A337" i="45"/>
  <c r="A8" i="28"/>
  <c r="B7733" i="20"/>
  <c r="A8320" i="20"/>
  <c r="A2889" i="20"/>
  <c r="B9088" i="20"/>
  <c r="A75" i="45"/>
  <c r="A8235" i="20"/>
  <c r="A73" i="56"/>
  <c r="A8077" i="20"/>
  <c r="B6744" i="20"/>
  <c r="B7277" i="20"/>
  <c r="A1214" i="45"/>
  <c r="A1138" i="45"/>
  <c r="B7321" i="20"/>
  <c r="B5553" i="20"/>
  <c r="A6844" i="20"/>
  <c r="A5668" i="20"/>
  <c r="B9086" i="20"/>
  <c r="A5639" i="20"/>
  <c r="B8381" i="20"/>
  <c r="B7280" i="20"/>
  <c r="B8158" i="20"/>
  <c r="A616" i="45"/>
  <c r="B8271" i="20"/>
  <c r="A1304" i="45"/>
  <c r="A7657" i="20"/>
  <c r="A8350" i="20"/>
  <c r="A6743" i="20"/>
  <c r="A8242" i="20"/>
  <c r="B7652" i="20"/>
  <c r="B8433" i="20"/>
  <c r="B8789" i="20"/>
  <c r="B7979" i="20"/>
  <c r="B4903" i="20"/>
  <c r="A32" i="21"/>
  <c r="A12" i="45"/>
  <c r="B2986" i="20"/>
  <c r="A1175" i="20"/>
  <c r="A5968" i="20"/>
  <c r="B9078" i="20"/>
  <c r="A7010" i="20"/>
  <c r="A7303" i="20"/>
  <c r="B47" i="21"/>
  <c r="A3224" i="20"/>
  <c r="B5869" i="20"/>
  <c r="A239" i="32"/>
  <c r="A4067" i="20"/>
  <c r="A1208" i="20"/>
  <c r="B5993" i="20"/>
  <c r="A5412" i="20"/>
  <c r="B556" i="45"/>
  <c r="A1571" i="20"/>
  <c r="A271" i="45"/>
  <c r="A5035" i="20"/>
  <c r="A3103" i="20"/>
  <c r="B5532" i="20"/>
  <c r="B5917" i="20"/>
  <c r="A6948" i="20"/>
  <c r="B8630" i="20"/>
  <c r="A7490" i="20"/>
  <c r="A7625" i="20"/>
  <c r="A4940" i="20"/>
  <c r="B5250" i="20"/>
  <c r="A7374" i="20"/>
  <c r="B4454" i="20"/>
  <c r="B6427" i="20"/>
  <c r="A8702" i="20"/>
  <c r="A6612" i="20"/>
  <c r="B5722" i="20"/>
  <c r="B5549" i="20"/>
  <c r="B3752" i="20"/>
  <c r="A3877" i="20"/>
  <c r="A4237" i="20"/>
  <c r="A4858" i="20"/>
  <c r="A380" i="20"/>
  <c r="B5740" i="20"/>
  <c r="A6917" i="20"/>
  <c r="B123" i="19"/>
  <c r="A3417" i="20"/>
  <c r="A7307" i="20"/>
  <c r="A5442" i="20"/>
  <c r="B6275" i="20"/>
  <c r="A7609" i="20"/>
  <c r="A8577" i="20"/>
  <c r="B8913" i="20"/>
  <c r="A4317" i="20"/>
  <c r="B5098" i="20"/>
  <c r="B6373" i="20"/>
  <c r="A5804" i="20"/>
  <c r="A1116" i="20"/>
  <c r="A8023" i="20"/>
  <c r="A6533" i="20"/>
  <c r="A3167" i="20"/>
  <c r="A363" i="45"/>
  <c r="A7672" i="20"/>
  <c r="B57" i="21"/>
  <c r="A6168" i="20"/>
  <c r="A6583" i="20"/>
  <c r="A6399" i="20"/>
  <c r="B7224" i="20"/>
  <c r="B3882" i="20"/>
  <c r="A6745" i="20"/>
  <c r="A110" i="45"/>
  <c r="B8316" i="20"/>
  <c r="B4561" i="20"/>
  <c r="A8553" i="20"/>
  <c r="A7654" i="20"/>
  <c r="B7354" i="20"/>
  <c r="M49" i="33"/>
  <c r="B5014" i="20"/>
  <c r="A3851" i="20"/>
  <c r="A7265" i="20"/>
  <c r="A3294" i="20"/>
  <c r="A6291" i="20"/>
  <c r="A8340" i="20"/>
  <c r="A5133" i="20"/>
  <c r="B2274" i="20"/>
  <c r="A6032" i="20"/>
  <c r="A4474" i="20"/>
  <c r="A4463" i="20"/>
  <c r="B5919" i="20"/>
  <c r="B6370" i="20"/>
  <c r="A3008" i="20"/>
  <c r="A6933" i="20"/>
  <c r="A4324" i="20"/>
  <c r="A424" i="20"/>
  <c r="B7969" i="20"/>
  <c r="A3664" i="20"/>
  <c r="A3875" i="20"/>
  <c r="A7646" i="20"/>
  <c r="A5958" i="20"/>
  <c r="A6356" i="20"/>
  <c r="A5254" i="20"/>
  <c r="A8466" i="20"/>
  <c r="B6560" i="20"/>
  <c r="A5413" i="20"/>
  <c r="A8693" i="20"/>
  <c r="A4663" i="20"/>
  <c r="A1115" i="20"/>
  <c r="A11" i="43"/>
  <c r="B6971" i="20"/>
  <c r="B8540" i="20"/>
  <c r="B1281" i="45"/>
  <c r="B7786" i="20"/>
  <c r="B2814" i="20"/>
  <c r="A8589" i="20"/>
  <c r="A5257" i="20"/>
  <c r="M62" i="33"/>
  <c r="A7081" i="20"/>
  <c r="A5175" i="20"/>
  <c r="B8997" i="20"/>
  <c r="A337" i="32"/>
  <c r="B7717" i="20"/>
  <c r="B7572" i="20"/>
  <c r="A7883" i="20"/>
  <c r="A7789" i="20"/>
  <c r="A7794" i="20"/>
  <c r="B8935" i="20"/>
  <c r="B6792" i="20"/>
  <c r="B7966" i="20"/>
  <c r="A5935" i="20"/>
  <c r="B4121" i="20"/>
  <c r="A4195" i="20"/>
  <c r="A4343" i="20"/>
  <c r="A515" i="45"/>
  <c r="A7555" i="20"/>
  <c r="A2994" i="20"/>
  <c r="B6804" i="20"/>
  <c r="A2859" i="20"/>
  <c r="A6748" i="20"/>
  <c r="A8250" i="20"/>
  <c r="A5786" i="20"/>
  <c r="B8992" i="20"/>
  <c r="A7202" i="20"/>
  <c r="B5788" i="20"/>
  <c r="A6252" i="20"/>
  <c r="B9057" i="20"/>
  <c r="A7591" i="20"/>
  <c r="A4597" i="20"/>
  <c r="B2444" i="20"/>
  <c r="A362" i="32"/>
  <c r="B6065" i="20"/>
  <c r="A6507" i="20"/>
  <c r="B7769" i="20"/>
  <c r="A5608" i="20"/>
  <c r="A4834" i="20"/>
  <c r="B5447" i="20"/>
  <c r="B1916" i="20"/>
  <c r="A1030" i="20"/>
  <c r="A347" i="32"/>
  <c r="B6360" i="20"/>
  <c r="B4713" i="20"/>
  <c r="A19" i="25"/>
  <c r="A5018" i="20"/>
  <c r="A2563" i="20"/>
  <c r="A3506" i="20"/>
  <c r="B5109" i="20"/>
  <c r="A6531" i="20"/>
  <c r="B4073" i="20"/>
  <c r="B2116" i="20"/>
  <c r="B7606" i="20"/>
  <c r="A4402" i="20"/>
  <c r="A5313" i="20"/>
  <c r="B4717" i="20"/>
  <c r="A8076" i="20"/>
  <c r="A2387" i="20"/>
  <c r="A4673" i="20"/>
  <c r="A3883" i="20"/>
  <c r="B4336" i="20"/>
  <c r="A5274" i="20"/>
  <c r="B4764" i="20"/>
  <c r="A1" i="25"/>
  <c r="B9124" i="20"/>
  <c r="A808" i="45"/>
  <c r="A269" i="45"/>
  <c r="B507" i="45"/>
  <c r="A2" i="32"/>
  <c r="B7146" i="20"/>
  <c r="B7190" i="20"/>
  <c r="A805" i="45"/>
  <c r="B6331" i="20"/>
  <c r="B6887" i="20"/>
  <c r="A4915" i="20"/>
  <c r="A6703" i="20"/>
  <c r="A5545" i="20"/>
  <c r="A9017" i="20"/>
  <c r="B7810" i="20"/>
  <c r="A15" i="47"/>
  <c r="B578" i="45"/>
  <c r="A8529" i="20"/>
  <c r="B6483" i="20"/>
  <c r="A7534" i="20"/>
  <c r="A7933" i="20"/>
  <c r="B6666" i="20"/>
  <c r="B8571" i="20"/>
  <c r="B6345" i="20"/>
  <c r="A4381" i="20"/>
  <c r="A7140" i="20"/>
  <c r="C41" i="52"/>
  <c r="B7910" i="20"/>
  <c r="B5244" i="20"/>
  <c r="A6882" i="20"/>
  <c r="A12" i="23"/>
  <c r="C53" i="21"/>
  <c r="A5604" i="20"/>
  <c r="B4208" i="20"/>
  <c r="A5266" i="20"/>
  <c r="A9038" i="20"/>
  <c r="B8949" i="20"/>
  <c r="B8526" i="20"/>
  <c r="A7644" i="20"/>
  <c r="A7732" i="20"/>
  <c r="B8320" i="20"/>
  <c r="B8690" i="20"/>
  <c r="A7055" i="20"/>
  <c r="B6177" i="20"/>
  <c r="B7285" i="20"/>
  <c r="B5848" i="20"/>
  <c r="A171" i="49"/>
  <c r="B7450" i="20"/>
  <c r="A4034" i="20"/>
  <c r="B8859" i="20"/>
  <c r="A7063" i="20"/>
  <c r="A6497" i="20"/>
  <c r="A5122" i="20"/>
  <c r="A6133" i="20"/>
  <c r="B8901" i="20"/>
  <c r="B2761" i="20"/>
  <c r="B7095" i="20"/>
  <c r="B6" i="37"/>
  <c r="A5747" i="20"/>
  <c r="B5755" i="20"/>
  <c r="B2196" i="20"/>
  <c r="B5057" i="20"/>
  <c r="A7681" i="20"/>
  <c r="A5582" i="20"/>
  <c r="A2229" i="20"/>
  <c r="A4614" i="20"/>
  <c r="B6434" i="20"/>
  <c r="A6947" i="20"/>
  <c r="A5242" i="20"/>
  <c r="A7290" i="20"/>
  <c r="A9050" i="20"/>
  <c r="A7465" i="20"/>
  <c r="A7392" i="20"/>
  <c r="B5575" i="20"/>
  <c r="B8245" i="20"/>
  <c r="B4816" i="20"/>
  <c r="B4546" i="20"/>
  <c r="B6637" i="20"/>
  <c r="B773" i="20"/>
  <c r="A4774" i="20"/>
  <c r="B1423" i="20"/>
  <c r="A3548" i="20"/>
  <c r="A3855" i="20"/>
  <c r="B6050" i="20"/>
  <c r="A2908" i="20"/>
  <c r="A4524" i="20"/>
  <c r="A6881" i="20"/>
  <c r="A5209" i="20"/>
  <c r="A23" i="31"/>
  <c r="A7579" i="20"/>
  <c r="A5850" i="20"/>
  <c r="A145" i="45"/>
  <c r="B7051" i="20"/>
  <c r="B7073" i="20"/>
  <c r="B5326" i="20"/>
  <c r="B7871" i="20"/>
  <c r="A388" i="32"/>
  <c r="A4372" i="20"/>
  <c r="B745" i="45"/>
  <c r="B1265" i="45"/>
  <c r="B4034" i="20"/>
  <c r="B6111" i="20"/>
  <c r="A2724" i="20"/>
  <c r="A7522" i="20"/>
  <c r="B6048" i="20"/>
  <c r="B6932" i="20"/>
  <c r="B8340" i="20"/>
  <c r="A38" i="45"/>
  <c r="A5589" i="20"/>
  <c r="A1995" i="20"/>
  <c r="C11" i="21"/>
  <c r="A3135" i="20"/>
  <c r="A194" i="20"/>
  <c r="B7483" i="20"/>
  <c r="B3041" i="20"/>
  <c r="A5186" i="20"/>
  <c r="B6622" i="20"/>
  <c r="A6086" i="20"/>
  <c r="A5923" i="20"/>
  <c r="A173" i="45"/>
  <c r="A3431" i="20"/>
  <c r="A3056" i="20"/>
  <c r="B8312" i="20"/>
  <c r="B5163" i="20"/>
  <c r="B7218" i="20"/>
  <c r="B4368" i="20"/>
  <c r="B8177" i="20"/>
  <c r="A8012" i="20"/>
  <c r="A7766" i="20"/>
  <c r="B9098" i="20"/>
  <c r="B8261" i="20"/>
  <c r="B5629" i="20"/>
  <c r="B7590" i="20"/>
  <c r="I2" i="29"/>
  <c r="A168" i="45"/>
  <c r="B7707" i="20"/>
  <c r="A6146" i="20"/>
  <c r="A7910" i="20"/>
  <c r="A2373" i="20"/>
  <c r="A41" i="31"/>
  <c r="B8061" i="20"/>
  <c r="B7991" i="20"/>
  <c r="A122" i="32"/>
  <c r="A7634" i="20"/>
  <c r="B615" i="45"/>
  <c r="A668" i="49"/>
  <c r="B8565" i="20"/>
  <c r="O76" i="33"/>
  <c r="A6923" i="20"/>
  <c r="A6936" i="20"/>
  <c r="B7340" i="20"/>
  <c r="B7037" i="20"/>
  <c r="B8466" i="20"/>
  <c r="B5519" i="20"/>
  <c r="B7555" i="20"/>
  <c r="B8294" i="20"/>
  <c r="B19" i="37"/>
  <c r="B8742" i="20"/>
  <c r="A1216" i="45"/>
  <c r="B1124" i="45"/>
  <c r="A7273" i="20"/>
  <c r="B7725" i="20"/>
  <c r="A5194" i="20"/>
  <c r="B3666" i="20"/>
  <c r="B7925" i="20"/>
  <c r="A260" i="32"/>
  <c r="A7937" i="20"/>
  <c r="A7052" i="20"/>
  <c r="A2501" i="20"/>
  <c r="A6420" i="20"/>
  <c r="B6893" i="20"/>
  <c r="A6793" i="20"/>
  <c r="B5838" i="20"/>
  <c r="B5612" i="20"/>
  <c r="B6655" i="20"/>
  <c r="A6186" i="20"/>
  <c r="B7286" i="20"/>
  <c r="B8349" i="20"/>
  <c r="A5681" i="20"/>
  <c r="A7317" i="20"/>
  <c r="B7459" i="20"/>
  <c r="A1721" i="20"/>
  <c r="B5953" i="20"/>
  <c r="A7341" i="20"/>
  <c r="A7704" i="20"/>
  <c r="B8168" i="20"/>
  <c r="A4455" i="20"/>
  <c r="B8189" i="20"/>
  <c r="A2194" i="20"/>
  <c r="A3401" i="20"/>
  <c r="B8733" i="20"/>
  <c r="A6134" i="20"/>
  <c r="B2146" i="20"/>
  <c r="B5946" i="20"/>
  <c r="B5239" i="20"/>
  <c r="B5147" i="20"/>
  <c r="A35" i="13"/>
  <c r="A9057" i="20"/>
  <c r="B6810" i="20"/>
  <c r="C47" i="21"/>
  <c r="B6051" i="20"/>
  <c r="B3442" i="20"/>
  <c r="B2434" i="20"/>
  <c r="A6722" i="20"/>
  <c r="A2535" i="20"/>
  <c r="B3438" i="20"/>
  <c r="B4684" i="20"/>
  <c r="B5406" i="20"/>
  <c r="A1243" i="20"/>
  <c r="A59" i="32"/>
  <c r="B7585" i="20"/>
  <c r="A7439" i="20"/>
  <c r="A7045" i="20"/>
  <c r="A1159" i="20"/>
  <c r="B6680" i="20"/>
  <c r="A4066" i="20"/>
  <c r="B4842" i="20"/>
  <c r="A6704" i="20"/>
  <c r="B6083" i="20"/>
  <c r="B3046" i="20"/>
  <c r="B8172" i="20"/>
  <c r="B7111" i="20"/>
  <c r="B7016" i="20"/>
  <c r="A6257" i="20"/>
  <c r="B7879" i="20"/>
  <c r="A120" i="32"/>
  <c r="B7233" i="20"/>
  <c r="A8806" i="20"/>
  <c r="B6861" i="20"/>
  <c r="B6595" i="20"/>
  <c r="A3226" i="20"/>
  <c r="B7290" i="20"/>
  <c r="B8112" i="20"/>
  <c r="B2532" i="20"/>
  <c r="A8266" i="20"/>
  <c r="A5434" i="20"/>
  <c r="B5526" i="20"/>
  <c r="B5206" i="20"/>
  <c r="B4854" i="20"/>
  <c r="B7714" i="20"/>
  <c r="A8959" i="20"/>
  <c r="B5225" i="20"/>
  <c r="B6930" i="20"/>
  <c r="B8345" i="20"/>
  <c r="A1279" i="20"/>
  <c r="B3152" i="20"/>
  <c r="A3251" i="20"/>
  <c r="A5849" i="20"/>
  <c r="B6340" i="20"/>
  <c r="B2325" i="20"/>
  <c r="B5554" i="20"/>
  <c r="A794" i="20"/>
  <c r="A6122" i="20"/>
  <c r="B1434" i="20"/>
  <c r="A7869" i="20"/>
  <c r="A6599" i="20"/>
  <c r="A67" i="45"/>
  <c r="A7898" i="20"/>
  <c r="A8710" i="20"/>
  <c r="A4192" i="20"/>
  <c r="A6" i="23"/>
  <c r="B580" i="45"/>
  <c r="B5810" i="20"/>
  <c r="A4645" i="20"/>
  <c r="A1050" i="20"/>
  <c r="B8912" i="20"/>
  <c r="A5820" i="20"/>
  <c r="B1926" i="20"/>
  <c r="A2729" i="20"/>
  <c r="A5250" i="20"/>
  <c r="A7151" i="20"/>
  <c r="B3335" i="20"/>
  <c r="B3022" i="20"/>
  <c r="A5565" i="20"/>
  <c r="A5634" i="20"/>
  <c r="A3384" i="20"/>
  <c r="B2306" i="20"/>
  <c r="Z6" i="33"/>
  <c r="A7460" i="20"/>
  <c r="A6717" i="20"/>
  <c r="B2838" i="20"/>
  <c r="A5121" i="20"/>
  <c r="B4611" i="20"/>
  <c r="B4849" i="20"/>
  <c r="B6186" i="20"/>
  <c r="B1570" i="20"/>
  <c r="A4443" i="20"/>
  <c r="A4664" i="20"/>
  <c r="A3565" i="20"/>
  <c r="B3928" i="20"/>
  <c r="B8827" i="20"/>
  <c r="B5016" i="20"/>
  <c r="A8212" i="20"/>
  <c r="A1529" i="20"/>
  <c r="A3412" i="20"/>
  <c r="A4415" i="20"/>
  <c r="B7057" i="20"/>
  <c r="B2294" i="20"/>
  <c r="B4395" i="20"/>
  <c r="B5478" i="20"/>
  <c r="B5586" i="20"/>
  <c r="A4578" i="20"/>
  <c r="B5970" i="20"/>
  <c r="A578" i="20"/>
  <c r="B5068" i="20"/>
  <c r="A1739" i="20"/>
  <c r="B7186" i="20"/>
  <c r="A4666" i="20"/>
  <c r="A5438" i="20"/>
  <c r="A676" i="20"/>
  <c r="A1881" i="20"/>
  <c r="B4997" i="20"/>
  <c r="A5629" i="20"/>
  <c r="B1370" i="20"/>
  <c r="B3636" i="20"/>
  <c r="B8205" i="20"/>
  <c r="B4050" i="20"/>
  <c r="B7515" i="20"/>
  <c r="A2914" i="20"/>
  <c r="B344" i="20"/>
  <c r="B5619" i="20"/>
  <c r="B4476" i="20"/>
  <c r="B1402" i="20"/>
  <c r="A845" i="20"/>
  <c r="A1765" i="20"/>
  <c r="B4094" i="20"/>
  <c r="B6574" i="20"/>
  <c r="A5784" i="20"/>
  <c r="A3142" i="20"/>
  <c r="A3622" i="20"/>
  <c r="B104" i="11"/>
  <c r="A2101" i="20"/>
  <c r="B4817" i="20"/>
  <c r="B6319" i="20"/>
  <c r="A8855" i="20"/>
  <c r="B1586" i="20"/>
  <c r="A6209" i="20"/>
  <c r="A5792" i="20"/>
  <c r="A798" i="45"/>
  <c r="A2614" i="20"/>
  <c r="A3654" i="20"/>
  <c r="A2003" i="20"/>
  <c r="B5133" i="20"/>
  <c r="A5507" i="20"/>
  <c r="A3920" i="20"/>
  <c r="B32" i="21"/>
  <c r="B6808" i="20"/>
  <c r="A3905" i="20"/>
  <c r="B6286" i="20"/>
  <c r="A3833" i="20"/>
  <c r="A5650" i="20"/>
  <c r="A6918" i="20"/>
  <c r="B5625" i="20"/>
  <c r="A8926" i="20"/>
  <c r="B2914" i="20"/>
  <c r="A4" i="17"/>
  <c r="A3774" i="20"/>
  <c r="B1728" i="16"/>
  <c r="B7133" i="20"/>
  <c r="B1088" i="16"/>
  <c r="B743" i="16"/>
  <c r="B2190" i="20"/>
  <c r="B1362" i="20"/>
  <c r="B3723" i="20"/>
  <c r="A1495" i="16"/>
  <c r="B2711" i="20"/>
  <c r="B2718" i="20"/>
  <c r="B2819" i="20"/>
  <c r="B1117" i="20"/>
  <c r="A1649" i="20"/>
  <c r="A622" i="45"/>
  <c r="B4124" i="20"/>
  <c r="M45" i="33"/>
  <c r="B6158" i="20"/>
  <c r="B7645" i="20"/>
  <c r="A2203" i="20"/>
  <c r="A1281" i="16"/>
  <c r="B4402" i="20"/>
  <c r="A2515" i="20"/>
  <c r="B5222" i="20"/>
  <c r="A6019" i="20"/>
  <c r="B2148" i="20"/>
  <c r="B3739" i="20"/>
  <c r="B6784" i="20"/>
  <c r="B3619" i="20"/>
  <c r="A4801" i="20"/>
  <c r="A4523" i="20"/>
  <c r="A34" i="25"/>
  <c r="A2941" i="20"/>
  <c r="A7" i="26"/>
  <c r="B5122" i="20"/>
  <c r="B8569" i="20"/>
  <c r="A386" i="20"/>
  <c r="B243" i="45"/>
  <c r="A4470" i="20"/>
  <c r="A5173" i="20"/>
  <c r="A8522" i="20"/>
  <c r="B7345" i="20"/>
  <c r="B7932" i="20"/>
  <c r="B5960" i="20"/>
  <c r="A2711" i="20"/>
  <c r="A1671" i="20"/>
  <c r="A2469" i="20"/>
  <c r="B5984" i="20"/>
  <c r="B9051" i="20"/>
  <c r="A6113" i="20"/>
  <c r="B7240" i="20"/>
  <c r="B2739" i="20"/>
  <c r="G64" i="13"/>
  <c r="B8089" i="20"/>
  <c r="A5512" i="20"/>
  <c r="A5635" i="20"/>
  <c r="B5412" i="20"/>
  <c r="B1040" i="20"/>
  <c r="A1776" i="20"/>
  <c r="B3363" i="20"/>
  <c r="A2647" i="20"/>
  <c r="B8097" i="20"/>
  <c r="B1116" i="20"/>
  <c r="B4354" i="20"/>
  <c r="B4223" i="20"/>
  <c r="A5405" i="20"/>
  <c r="AM2" i="33"/>
  <c r="B34" i="49"/>
  <c r="A8" i="23"/>
  <c r="B1135" i="45"/>
  <c r="B8309" i="20"/>
  <c r="A425" i="45"/>
  <c r="N19" i="29"/>
  <c r="A8161" i="20"/>
  <c r="A802" i="45"/>
  <c r="C1" i="49"/>
  <c r="A227" i="49"/>
  <c r="B248" i="49"/>
  <c r="A572" i="49"/>
  <c r="B8693" i="20"/>
  <c r="B126" i="45"/>
  <c r="A483" i="45"/>
  <c r="A745" i="45"/>
  <c r="B6974" i="20"/>
  <c r="B9082" i="20"/>
  <c r="B417" i="45"/>
  <c r="B8" i="45"/>
  <c r="B1395" i="49"/>
  <c r="B658" i="45"/>
  <c r="A8364" i="20"/>
  <c r="A9077" i="20"/>
  <c r="B7917" i="20"/>
  <c r="M34" i="33"/>
  <c r="A8822" i="20"/>
  <c r="B7902" i="20"/>
  <c r="A606" i="49"/>
  <c r="B8952" i="20"/>
  <c r="A7776" i="20"/>
  <c r="A8690" i="20"/>
  <c r="B8183" i="20"/>
  <c r="B8621" i="20"/>
  <c r="B8842" i="20"/>
  <c r="A4131" i="20"/>
  <c r="A924" i="45"/>
  <c r="A6020" i="20"/>
  <c r="A363" i="32"/>
  <c r="A225" i="32"/>
  <c r="A203" i="49"/>
  <c r="A8117" i="20"/>
  <c r="A8875" i="20"/>
  <c r="A11" i="49"/>
  <c r="B5891" i="20"/>
  <c r="B5635" i="20"/>
  <c r="A3138" i="20"/>
  <c r="A7748" i="20"/>
  <c r="B8279" i="20"/>
  <c r="A6479" i="20"/>
  <c r="A7802" i="20"/>
  <c r="A7886" i="20"/>
  <c r="B8857" i="20"/>
  <c r="B8108" i="20"/>
  <c r="B7705" i="20"/>
  <c r="B6682" i="20"/>
  <c r="A6167" i="20"/>
  <c r="B7102" i="20"/>
  <c r="A2882" i="20"/>
  <c r="A2626" i="20"/>
  <c r="A116" i="32"/>
  <c r="A8405" i="20"/>
  <c r="A430" i="45"/>
  <c r="A10" i="41"/>
  <c r="B4803" i="20"/>
  <c r="B1165" i="45"/>
  <c r="A9092" i="20"/>
  <c r="B8047" i="20"/>
  <c r="B299" i="49"/>
  <c r="B6798" i="20"/>
  <c r="B6809" i="20"/>
  <c r="B5563" i="20"/>
  <c r="B240" i="45"/>
  <c r="B8110" i="20"/>
  <c r="B396" i="45"/>
  <c r="B9066" i="20"/>
  <c r="A8743" i="20"/>
  <c r="A8218" i="20"/>
  <c r="B140" i="50"/>
  <c r="A8985" i="20"/>
  <c r="B6405" i="20"/>
  <c r="A7788" i="20"/>
  <c r="B389" i="45"/>
  <c r="A6798" i="20"/>
  <c r="A5282" i="20"/>
  <c r="A8891" i="20"/>
  <c r="A7631" i="20"/>
  <c r="A6321" i="20"/>
  <c r="B100" i="45"/>
  <c r="B8174" i="20"/>
  <c r="B8127" i="20"/>
  <c r="A8264" i="20"/>
  <c r="A7558" i="20"/>
  <c r="A5730" i="20"/>
  <c r="B7710" i="20"/>
  <c r="C10" i="21"/>
  <c r="A8886" i="20"/>
  <c r="M68" i="33"/>
  <c r="B5693" i="20"/>
  <c r="A5" i="27"/>
  <c r="B151" i="49"/>
  <c r="A7691" i="20"/>
  <c r="A4723" i="20"/>
  <c r="B6996" i="20"/>
  <c r="B649" i="45"/>
  <c r="B8414" i="20"/>
  <c r="A6313" i="20"/>
  <c r="A8566" i="20"/>
  <c r="A5270" i="20"/>
  <c r="B7835" i="20"/>
  <c r="A8036" i="20"/>
  <c r="B3288" i="20"/>
  <c r="B7377" i="20"/>
  <c r="B7079" i="20"/>
  <c r="A5054" i="20"/>
  <c r="B7761" i="20"/>
  <c r="B3598" i="20"/>
  <c r="B7069" i="20"/>
  <c r="A2788" i="20"/>
  <c r="B2180" i="20"/>
  <c r="A8377" i="20"/>
  <c r="A830" i="45"/>
  <c r="B132" i="45"/>
  <c r="A2161" i="20"/>
  <c r="B8826" i="20"/>
  <c r="B1140" i="45"/>
  <c r="A359" i="49"/>
  <c r="B7721" i="20"/>
  <c r="A35" i="32"/>
  <c r="B125" i="45"/>
  <c r="A162" i="32"/>
  <c r="A109" i="32"/>
  <c r="A792" i="45"/>
  <c r="A5666" i="20"/>
  <c r="A8430" i="20"/>
  <c r="B6577" i="20"/>
  <c r="A232" i="32"/>
  <c r="B7472" i="20"/>
  <c r="B6325" i="20"/>
  <c r="B274" i="45"/>
  <c r="B7265" i="20"/>
  <c r="A137" i="49"/>
  <c r="A5318" i="20"/>
  <c r="B7310" i="20"/>
  <c r="A6761" i="20"/>
  <c r="A6878" i="20"/>
  <c r="A8515" i="20"/>
  <c r="A8334" i="20"/>
  <c r="A36" i="25"/>
  <c r="B6187" i="20"/>
  <c r="B1224" i="45"/>
  <c r="B8025" i="20"/>
  <c r="A291" i="32"/>
  <c r="B489" i="45"/>
  <c r="B8332" i="20"/>
  <c r="B7123" i="20"/>
  <c r="B8951" i="20"/>
  <c r="A5262" i="20"/>
  <c r="B6309" i="20"/>
  <c r="A8958" i="20"/>
  <c r="A872" i="45"/>
  <c r="A8438" i="20"/>
  <c r="A7516" i="20"/>
  <c r="A5558" i="20"/>
  <c r="B6831" i="20"/>
  <c r="A8663" i="20"/>
  <c r="A4447" i="20"/>
  <c r="B7007" i="20"/>
  <c r="B5569" i="20"/>
  <c r="B4887" i="20"/>
  <c r="B7973" i="20"/>
  <c r="B4582" i="20"/>
  <c r="B6834" i="20"/>
  <c r="B5607" i="20"/>
  <c r="A5943" i="20"/>
  <c r="B3747" i="20"/>
  <c r="A2067" i="20"/>
  <c r="B7591" i="20"/>
  <c r="A6370" i="20"/>
  <c r="A6444" i="20"/>
  <c r="B4966" i="20"/>
  <c r="B4320" i="20"/>
  <c r="B7157" i="20"/>
  <c r="B4010" i="20"/>
  <c r="A5527" i="20"/>
  <c r="B2945" i="20"/>
  <c r="B7222" i="20"/>
  <c r="A3422" i="20"/>
  <c r="A4140" i="20"/>
  <c r="A2708" i="20"/>
  <c r="A3330" i="20"/>
  <c r="B8795" i="20"/>
  <c r="B5606" i="20"/>
  <c r="B8028" i="20"/>
  <c r="B8252" i="20"/>
  <c r="A6222" i="20"/>
  <c r="B7077" i="20"/>
  <c r="A5396" i="20"/>
  <c r="B49" i="21"/>
  <c r="A3677" i="20"/>
  <c r="A6436" i="20"/>
  <c r="B8955" i="20"/>
  <c r="B6841" i="20"/>
  <c r="A8286" i="20"/>
  <c r="A4471" i="20"/>
  <c r="B1831" i="16"/>
  <c r="A8519" i="20"/>
  <c r="A7991" i="20"/>
  <c r="B5192" i="20"/>
  <c r="A653" i="45"/>
  <c r="A7383" i="20"/>
  <c r="A7618" i="20"/>
  <c r="A6164" i="20"/>
  <c r="B7637" i="20"/>
  <c r="B8405" i="20"/>
  <c r="A5662" i="20"/>
  <c r="A27" i="21"/>
  <c r="B936" i="45"/>
  <c r="A4132" i="20"/>
  <c r="A30" i="21"/>
  <c r="A8054" i="20"/>
  <c r="D2" i="43"/>
  <c r="A5630" i="20"/>
  <c r="B5945" i="20"/>
  <c r="A8249" i="20"/>
  <c r="B855" i="45"/>
  <c r="A8" i="41"/>
  <c r="B8917" i="20"/>
  <c r="B6593" i="20"/>
  <c r="B6894" i="20"/>
  <c r="B5441" i="20"/>
  <c r="A2854" i="20"/>
  <c r="A4817" i="20"/>
  <c r="A8757" i="20"/>
  <c r="A8009" i="20"/>
  <c r="B6842" i="20"/>
  <c r="B6596" i="20"/>
  <c r="B3926" i="20"/>
  <c r="B8883" i="20"/>
  <c r="A1447" i="20"/>
  <c r="B5094" i="20"/>
  <c r="A7454" i="20"/>
  <c r="B8003" i="20"/>
  <c r="B5221" i="20"/>
  <c r="B5493" i="20"/>
  <c r="B6846" i="20"/>
  <c r="A4674" i="20"/>
  <c r="A7092" i="20"/>
  <c r="A3676" i="20"/>
  <c r="A3048" i="20"/>
  <c r="A7576" i="20"/>
  <c r="A7361" i="20"/>
  <c r="A6791" i="20"/>
  <c r="A5725" i="20"/>
  <c r="A8072" i="20"/>
  <c r="A3934" i="20"/>
  <c r="B40" i="21"/>
  <c r="B6015" i="20"/>
  <c r="B4216" i="20"/>
  <c r="B484" i="45"/>
  <c r="A5269" i="20"/>
  <c r="A3689" i="20"/>
  <c r="B3726" i="20"/>
  <c r="A5767" i="20"/>
  <c r="A6312" i="20"/>
  <c r="A339" i="49"/>
  <c r="B2990" i="20"/>
  <c r="A6942" i="20"/>
  <c r="A9082" i="20"/>
  <c r="A6648" i="20"/>
  <c r="A4886" i="20"/>
  <c r="A7384" i="20"/>
  <c r="A5659" i="20"/>
  <c r="B7942" i="20"/>
  <c r="B4417" i="20"/>
  <c r="A7173" i="20"/>
  <c r="A6100" i="20"/>
  <c r="B2771" i="20"/>
  <c r="A4866" i="20"/>
  <c r="B122" i="45"/>
  <c r="A7416" i="20"/>
  <c r="A5297" i="20"/>
  <c r="A6148" i="20"/>
  <c r="A5304" i="20"/>
  <c r="B932" i="20"/>
  <c r="A6231" i="20"/>
  <c r="A4973" i="20"/>
  <c r="A7088" i="20"/>
  <c r="A7075" i="20"/>
  <c r="A3943" i="20"/>
  <c r="A4530" i="20"/>
  <c r="A5801" i="20"/>
  <c r="A6552" i="20"/>
  <c r="B4858" i="20"/>
  <c r="B866" i="45"/>
  <c r="A7515" i="20"/>
  <c r="A50" i="32"/>
  <c r="B9104" i="20"/>
  <c r="A7662" i="20"/>
  <c r="B1706" i="20"/>
  <c r="A6762" i="20"/>
  <c r="A262" i="32"/>
  <c r="A3319" i="20"/>
  <c r="B7304" i="20"/>
  <c r="B5597" i="20"/>
  <c r="B5484" i="20"/>
  <c r="A5933" i="20"/>
  <c r="A3202" i="20"/>
  <c r="B4914" i="20"/>
  <c r="B3569" i="20"/>
  <c r="A4083" i="20"/>
  <c r="A2798" i="20"/>
  <c r="B6131" i="20"/>
  <c r="B3624" i="20"/>
  <c r="A5144" i="20"/>
  <c r="B2285" i="20"/>
  <c r="B1234" i="20"/>
  <c r="B2984" i="20"/>
  <c r="A6627" i="20"/>
  <c r="B1540" i="20"/>
  <c r="A4885" i="20"/>
  <c r="B8860" i="20"/>
  <c r="A8720" i="20"/>
  <c r="B295" i="49"/>
  <c r="A8706" i="20"/>
  <c r="B8259" i="20"/>
  <c r="B6817" i="20"/>
  <c r="A539" i="45"/>
  <c r="A8792" i="20"/>
  <c r="A4777" i="20"/>
  <c r="N47" i="33"/>
  <c r="B295" i="45"/>
  <c r="A5836" i="20"/>
  <c r="A467" i="49"/>
  <c r="B8054" i="20"/>
  <c r="A4822" i="20"/>
  <c r="A4198" i="20"/>
  <c r="B8157" i="20"/>
  <c r="A32" i="32"/>
  <c r="A51" i="31"/>
  <c r="A7228" i="20"/>
  <c r="A7074" i="20"/>
  <c r="A3847" i="20"/>
  <c r="B7888" i="20"/>
  <c r="A8766" i="20"/>
  <c r="A4257" i="20"/>
  <c r="A6451" i="20"/>
  <c r="B7169" i="20"/>
  <c r="B8703" i="20"/>
  <c r="A2023" i="20"/>
  <c r="B607" i="45"/>
  <c r="B8409" i="20"/>
  <c r="A243" i="49"/>
  <c r="A55" i="31"/>
  <c r="B8087" i="20"/>
  <c r="B8306" i="20"/>
  <c r="A5890" i="20"/>
  <c r="B7274" i="20"/>
  <c r="A1021" i="45"/>
  <c r="A7401" i="20"/>
  <c r="E13" i="33"/>
  <c r="B9093" i="20"/>
  <c r="A8537" i="20"/>
  <c r="B9008" i="20"/>
  <c r="A3364" i="20"/>
  <c r="B5944" i="20"/>
  <c r="A4948" i="20"/>
  <c r="A6862" i="20"/>
  <c r="A7808" i="20"/>
  <c r="B2445" i="20"/>
  <c r="A3779" i="20"/>
  <c r="B6937" i="20"/>
  <c r="A6742" i="20"/>
  <c r="A5918" i="20"/>
  <c r="A7174" i="20"/>
  <c r="A7260" i="20"/>
  <c r="B5029" i="20"/>
  <c r="B3730" i="20"/>
  <c r="A5191" i="20"/>
  <c r="B865" i="45"/>
  <c r="B5366" i="20"/>
  <c r="B5701" i="20"/>
  <c r="B7798" i="20"/>
  <c r="A3625" i="20"/>
  <c r="B7440" i="20"/>
  <c r="A5136" i="20"/>
  <c r="A6850" i="20"/>
  <c r="A5181" i="20"/>
  <c r="B767" i="45"/>
  <c r="A6939" i="20"/>
  <c r="B6733" i="20"/>
  <c r="A6960" i="20"/>
  <c r="A7499" i="20"/>
  <c r="B5709" i="20"/>
  <c r="B862" i="20"/>
  <c r="B6526" i="20"/>
  <c r="B6038" i="20"/>
  <c r="B8298" i="20"/>
  <c r="A6453" i="20"/>
  <c r="A8215" i="20"/>
  <c r="A3504" i="20"/>
  <c r="A5762" i="20"/>
  <c r="A5441" i="20"/>
  <c r="B341" i="16"/>
  <c r="B5857" i="20"/>
  <c r="A2141" i="20"/>
  <c r="A3397" i="20"/>
  <c r="C35" i="21"/>
  <c r="B3649" i="20"/>
  <c r="A8316" i="20"/>
  <c r="B6631" i="20"/>
  <c r="B505" i="45"/>
  <c r="A2215" i="20"/>
  <c r="A6308" i="20"/>
  <c r="M28" i="33"/>
  <c r="B8646" i="20"/>
  <c r="A5916" i="20"/>
  <c r="A4882" i="20"/>
  <c r="A3845" i="20"/>
  <c r="B7257" i="20"/>
  <c r="B3430" i="20"/>
  <c r="B7011" i="20"/>
  <c r="A8562" i="20"/>
  <c r="A2513" i="20"/>
  <c r="A8375" i="20"/>
  <c r="A7457" i="20"/>
  <c r="A3" i="31"/>
  <c r="A6487" i="20"/>
  <c r="A6026" i="20"/>
  <c r="A6192" i="20"/>
  <c r="B127" i="45"/>
  <c r="B5686" i="20"/>
  <c r="A4967" i="20"/>
  <c r="B9045" i="20"/>
  <c r="B8590" i="20"/>
  <c r="B2226" i="20"/>
  <c r="A5518" i="20"/>
  <c r="A4884" i="20"/>
  <c r="B1239" i="45"/>
  <c r="B5927" i="20"/>
  <c r="A8911" i="20"/>
  <c r="A4745" i="20"/>
  <c r="B8533" i="20"/>
  <c r="B4941" i="20"/>
  <c r="A3985" i="20"/>
  <c r="A9058" i="20"/>
  <c r="B8412" i="20"/>
  <c r="A3573" i="20"/>
  <c r="A2715" i="20"/>
  <c r="A5715" i="20"/>
  <c r="A4077" i="20"/>
  <c r="A5561" i="20"/>
  <c r="B5568" i="20"/>
  <c r="B8525" i="20"/>
  <c r="B7000" i="20"/>
  <c r="A4071" i="20"/>
  <c r="A3196" i="20"/>
  <c r="A7828" i="20"/>
  <c r="B5723" i="20"/>
  <c r="B7341" i="20"/>
  <c r="B5049" i="20"/>
  <c r="A8311" i="20"/>
  <c r="A1182" i="45"/>
  <c r="A8622" i="20"/>
  <c r="B4011" i="20"/>
  <c r="A7185" i="20"/>
  <c r="A7509" i="20"/>
  <c r="A83" i="11"/>
  <c r="B6721" i="20"/>
  <c r="B5074" i="20"/>
  <c r="A994" i="45"/>
  <c r="B8893" i="20"/>
  <c r="A7675" i="20"/>
  <c r="B5877" i="20"/>
  <c r="B36" i="21"/>
  <c r="A4295" i="20"/>
  <c r="A1423" i="20"/>
  <c r="B6751" i="20"/>
  <c r="B8601" i="20"/>
  <c r="B5462" i="20"/>
  <c r="A218" i="32"/>
  <c r="A5729" i="20"/>
  <c r="B6940" i="20"/>
  <c r="B666" i="45"/>
  <c r="A2149" i="20"/>
  <c r="B2781" i="20"/>
  <c r="B6464" i="20"/>
  <c r="A6054" i="20"/>
  <c r="B5894" i="20"/>
  <c r="B7234" i="20"/>
  <c r="A5906" i="20"/>
  <c r="B6267" i="20"/>
  <c r="B3785" i="20"/>
  <c r="A6530" i="20"/>
  <c r="A6161" i="20"/>
  <c r="A5147" i="20"/>
  <c r="B8938" i="20"/>
  <c r="B4048" i="20"/>
  <c r="B1312" i="20"/>
  <c r="A48" i="45"/>
  <c r="A6569" i="20"/>
  <c r="A7134" i="20"/>
  <c r="B238" i="45"/>
  <c r="B8911" i="20"/>
  <c r="A2485" i="20"/>
  <c r="A8704" i="20"/>
  <c r="A4808" i="20"/>
  <c r="A1868" i="20"/>
  <c r="B6499" i="20"/>
  <c r="A3549" i="20"/>
  <c r="A3678" i="20"/>
  <c r="A681" i="16"/>
  <c r="B4832" i="20"/>
  <c r="A6958" i="20"/>
  <c r="A7750" i="20"/>
  <c r="B7446" i="20"/>
  <c r="A7502" i="20"/>
  <c r="A7876" i="20"/>
  <c r="A8100" i="20"/>
  <c r="A4115" i="20"/>
  <c r="A8922" i="20"/>
  <c r="A6577" i="20"/>
  <c r="B2074" i="20"/>
  <c r="A702" i="20"/>
  <c r="B7053" i="20"/>
  <c r="B5052" i="20"/>
  <c r="A6606" i="20"/>
  <c r="B1665" i="20"/>
  <c r="A6646" i="20"/>
  <c r="A42" i="21"/>
  <c r="A3647" i="20"/>
  <c r="A8506" i="20"/>
  <c r="B4543" i="20"/>
  <c r="B5915" i="20"/>
  <c r="A4916" i="20"/>
  <c r="B1029" i="20"/>
  <c r="B2972" i="20"/>
  <c r="B7120" i="20"/>
  <c r="A8039" i="20"/>
  <c r="A343" i="19"/>
  <c r="B1091" i="45"/>
  <c r="B6675" i="20"/>
  <c r="A1845" i="20"/>
  <c r="B589" i="45"/>
  <c r="B7184" i="20"/>
  <c r="A367" i="32"/>
  <c r="B249" i="45"/>
  <c r="B7820" i="20"/>
  <c r="A8037" i="20"/>
  <c r="B5472" i="20"/>
  <c r="B2" i="45"/>
  <c r="A753" i="45"/>
  <c r="B6762" i="20"/>
  <c r="A8930" i="20"/>
  <c r="B6272" i="20"/>
  <c r="A7087" i="20"/>
  <c r="A6953" i="20"/>
  <c r="B8764" i="20"/>
  <c r="B2770" i="20"/>
  <c r="B95" i="45"/>
  <c r="B8260" i="20"/>
  <c r="A342" i="32"/>
  <c r="A7150" i="20"/>
  <c r="M36" i="29"/>
  <c r="A4" i="31"/>
  <c r="B6565" i="20"/>
  <c r="M58" i="33"/>
  <c r="A3213" i="20"/>
  <c r="B7635" i="20"/>
  <c r="A6951" i="20"/>
  <c r="B8931" i="20"/>
  <c r="A49" i="32"/>
  <c r="A379" i="32"/>
  <c r="B5343" i="20"/>
  <c r="A7803" i="20"/>
  <c r="A9039" i="20"/>
  <c r="A7395" i="20"/>
  <c r="B302" i="45"/>
  <c r="B2715" i="20"/>
  <c r="B3952" i="20"/>
  <c r="B138" i="45"/>
  <c r="A3" i="43"/>
  <c r="B8616" i="20"/>
  <c r="A1831" i="20"/>
  <c r="A5261" i="20"/>
  <c r="A6414" i="20"/>
  <c r="A6070" i="20"/>
  <c r="B8541" i="20"/>
  <c r="A7180" i="20"/>
  <c r="B6952" i="20"/>
  <c r="B7533" i="20"/>
  <c r="A8687" i="20"/>
  <c r="A10" i="32"/>
  <c r="B4967" i="20"/>
  <c r="A6328" i="20"/>
  <c r="B5252" i="20"/>
  <c r="B6348" i="20"/>
  <c r="B163" i="19"/>
  <c r="B6005" i="20"/>
  <c r="B2977" i="20"/>
  <c r="B8581" i="20"/>
  <c r="B8152" i="20"/>
  <c r="A6136" i="20"/>
  <c r="A8666" i="20"/>
  <c r="B1447" i="16"/>
  <c r="A5137" i="20"/>
  <c r="A8210" i="20"/>
  <c r="B5564" i="20"/>
  <c r="B2999" i="20"/>
  <c r="B8339" i="20"/>
  <c r="B6456" i="20"/>
  <c r="A8228" i="20"/>
  <c r="A644" i="49"/>
  <c r="A8847" i="20"/>
  <c r="B3552" i="20"/>
  <c r="A4746" i="20"/>
  <c r="B5273" i="20"/>
  <c r="B350" i="20"/>
  <c r="A7036" i="20"/>
  <c r="B135" i="49"/>
  <c r="A731" i="45"/>
  <c r="B6546" i="20"/>
  <c r="B9044" i="20"/>
  <c r="B6572" i="20"/>
  <c r="A6608" i="20"/>
  <c r="B6707" i="20"/>
  <c r="A6" i="20"/>
  <c r="B2910" i="20"/>
  <c r="A5160" i="20"/>
  <c r="B835" i="20"/>
  <c r="B3811" i="20"/>
  <c r="B423" i="16"/>
  <c r="A6065" i="20"/>
  <c r="A5099" i="20"/>
  <c r="B5216" i="20"/>
  <c r="A5238" i="20"/>
  <c r="B4641" i="20"/>
  <c r="B7333" i="20"/>
  <c r="B7742" i="20"/>
  <c r="B8676" i="20"/>
  <c r="A5567" i="20"/>
  <c r="A3333" i="20"/>
  <c r="B7646" i="20"/>
  <c r="A1125" i="20"/>
  <c r="B3749" i="20"/>
  <c r="A210" i="45"/>
  <c r="B6511" i="20"/>
  <c r="A6468" i="20"/>
  <c r="A98" i="32"/>
  <c r="A7076" i="20"/>
  <c r="A2873" i="20"/>
  <c r="A7906" i="20"/>
  <c r="A5423" i="20"/>
  <c r="A8541" i="20"/>
  <c r="A7023" i="20"/>
  <c r="A3935" i="20"/>
  <c r="A7266" i="20"/>
  <c r="B13" i="37"/>
  <c r="B283" i="45"/>
  <c r="A7274" i="20"/>
  <c r="B8692" i="20"/>
  <c r="A8617" i="20"/>
  <c r="A4274" i="20"/>
  <c r="A6550" i="20"/>
  <c r="A4213" i="20"/>
  <c r="B2" i="33"/>
  <c r="B5545" i="20"/>
  <c r="B8329" i="20"/>
  <c r="B8505" i="20"/>
  <c r="B3265" i="20"/>
  <c r="A4713" i="20"/>
  <c r="A8949" i="20"/>
  <c r="B468" i="45"/>
  <c r="B8751" i="20"/>
  <c r="B6815" i="20"/>
  <c r="A7171" i="20"/>
  <c r="A8176" i="20"/>
  <c r="A7945" i="20"/>
  <c r="A7098" i="20"/>
  <c r="B2114" i="20"/>
  <c r="B107" i="49"/>
  <c r="N25" i="33"/>
  <c r="A49" i="21"/>
  <c r="A6822" i="20"/>
  <c r="B31" i="45"/>
  <c r="A9104" i="20"/>
  <c r="A6970" i="20"/>
  <c r="A525" i="45"/>
  <c r="B285" i="45"/>
  <c r="B6726" i="20"/>
  <c r="B8649" i="20"/>
  <c r="M18" i="29"/>
  <c r="A8257" i="20"/>
  <c r="A6067" i="20"/>
  <c r="A7736" i="20"/>
  <c r="A735" i="45"/>
  <c r="A8808" i="20"/>
  <c r="A6099" i="20"/>
  <c r="A6114" i="20"/>
  <c r="A552" i="45"/>
  <c r="B5628" i="20"/>
  <c r="B5705" i="20"/>
  <c r="A618" i="45"/>
  <c r="B8236" i="20"/>
  <c r="B9136" i="20"/>
  <c r="A425" i="49"/>
  <c r="A7017" i="20"/>
  <c r="A7851" i="20"/>
  <c r="B8200" i="20"/>
  <c r="A4" i="32"/>
  <c r="C18" i="21"/>
  <c r="A8966" i="20"/>
  <c r="B7065" i="20"/>
  <c r="A2245" i="20"/>
  <c r="A6818" i="20"/>
  <c r="B5937" i="20"/>
  <c r="A5941" i="20"/>
  <c r="A1976" i="20"/>
  <c r="B7207" i="20"/>
  <c r="B9002" i="20"/>
  <c r="A8366" i="20"/>
  <c r="A4610" i="20"/>
  <c r="B5903" i="20"/>
  <c r="B563" i="45"/>
  <c r="B3954" i="20"/>
  <c r="B8369" i="20"/>
  <c r="A7429" i="20"/>
  <c r="B1262" i="20"/>
  <c r="A7354" i="20"/>
  <c r="A94" i="45"/>
  <c r="B5981" i="20"/>
  <c r="B6760" i="20"/>
  <c r="A141" i="45"/>
  <c r="B2586" i="20"/>
  <c r="B8207" i="20"/>
  <c r="A8308" i="20"/>
  <c r="B3284" i="20"/>
  <c r="A5010" i="20"/>
  <c r="A17" i="23"/>
  <c r="B383" i="16"/>
  <c r="A1407" i="20"/>
  <c r="A8" i="49"/>
  <c r="A4214" i="20"/>
  <c r="A4962" i="20"/>
  <c r="A8838" i="20"/>
  <c r="B335" i="20"/>
  <c r="B4929" i="20"/>
  <c r="B6791" i="20"/>
  <c r="B1680" i="20"/>
  <c r="B6398" i="20"/>
  <c r="A5891" i="20"/>
  <c r="B1306" i="45"/>
  <c r="B1689" i="20"/>
  <c r="A6639" i="20"/>
  <c r="B1109" i="45"/>
  <c r="A3085" i="20"/>
  <c r="A1637" i="20"/>
  <c r="B6223" i="20"/>
  <c r="A4258" i="20"/>
  <c r="B6053" i="20"/>
  <c r="B945" i="20"/>
  <c r="B833" i="45"/>
  <c r="B8816" i="20"/>
  <c r="A5810" i="20"/>
  <c r="A4092" i="20"/>
  <c r="B6712" i="20"/>
  <c r="A5708" i="20"/>
  <c r="B7103" i="20"/>
  <c r="A6695" i="20"/>
  <c r="B6399" i="20"/>
  <c r="A5226" i="20"/>
  <c r="A1181" i="20"/>
  <c r="A5500" i="20"/>
  <c r="B7105" i="20"/>
  <c r="B6157" i="20"/>
  <c r="B4562" i="20"/>
  <c r="B3937" i="20"/>
  <c r="A5229" i="20"/>
  <c r="A3586" i="20"/>
  <c r="B6347" i="20"/>
  <c r="A3964" i="20"/>
  <c r="A6873" i="20"/>
  <c r="A8916" i="20"/>
  <c r="B9110" i="20"/>
  <c r="A6754" i="20"/>
  <c r="B7683" i="20"/>
  <c r="A4219" i="20"/>
  <c r="A5866" i="20"/>
  <c r="B357" i="45"/>
  <c r="A4522" i="20"/>
  <c r="A7533" i="20"/>
  <c r="B3217" i="20"/>
  <c r="B6002" i="20"/>
  <c r="B6519" i="20"/>
  <c r="B5322" i="20"/>
  <c r="B691" i="45"/>
  <c r="A2077" i="20"/>
  <c r="B2682" i="20"/>
  <c r="A1577" i="20"/>
  <c r="B2529" i="20"/>
  <c r="B5939" i="20"/>
  <c r="A7232" i="20"/>
  <c r="B7435" i="20"/>
  <c r="B7237" i="20"/>
  <c r="B2706" i="20"/>
  <c r="A3098" i="20"/>
  <c r="M10" i="33"/>
  <c r="A4594" i="20"/>
  <c r="G56" i="13"/>
  <c r="A4908" i="20"/>
  <c r="A5803" i="20"/>
  <c r="B6672" i="20"/>
  <c r="A4094" i="20"/>
  <c r="B7293" i="20"/>
  <c r="B6104" i="20"/>
  <c r="A8726" i="20"/>
  <c r="A2814" i="20"/>
  <c r="A2961" i="20"/>
  <c r="A3523" i="20"/>
  <c r="A8608" i="20"/>
  <c r="B9061" i="20"/>
  <c r="A4782" i="20"/>
  <c r="A6447" i="20"/>
  <c r="B4714" i="20"/>
  <c r="A7021" i="20"/>
  <c r="B6407" i="20"/>
  <c r="A1291" i="20"/>
  <c r="B6537" i="20"/>
  <c r="B5876" i="20"/>
  <c r="B2888" i="20"/>
  <c r="B2012" i="20"/>
  <c r="A5447" i="20"/>
  <c r="A3395" i="20"/>
  <c r="B1299" i="20"/>
  <c r="B7448" i="20"/>
  <c r="B6677" i="20"/>
  <c r="B4098" i="20"/>
  <c r="F26" i="11"/>
  <c r="B6749" i="20"/>
  <c r="B6067" i="20"/>
  <c r="B3234" i="20"/>
  <c r="B143" i="18"/>
  <c r="A1453" i="20"/>
  <c r="B730" i="45"/>
  <c r="B5354" i="20"/>
  <c r="A3610" i="20"/>
  <c r="B8916" i="20"/>
  <c r="A3399" i="20"/>
  <c r="A3879" i="20"/>
  <c r="A419" i="20"/>
  <c r="B6071" i="20"/>
  <c r="B6521" i="20"/>
  <c r="A48" i="31"/>
  <c r="A6254" i="20"/>
  <c r="B3179" i="20"/>
  <c r="A6037" i="20"/>
  <c r="A2399" i="20"/>
  <c r="B3883" i="20"/>
  <c r="A253" i="19"/>
  <c r="A5225" i="20"/>
  <c r="B7550" i="20"/>
  <c r="A2205" i="20"/>
  <c r="A1559" i="20"/>
  <c r="B4721" i="20"/>
  <c r="A6476" i="20"/>
  <c r="B1426" i="20"/>
  <c r="A8271" i="20"/>
  <c r="B7444" i="20"/>
  <c r="A8017" i="20"/>
  <c r="A936" i="20"/>
  <c r="B5963" i="20"/>
  <c r="B7471" i="20"/>
  <c r="B5144" i="20"/>
  <c r="A8329" i="20"/>
  <c r="A2017" i="20"/>
  <c r="A8410" i="20"/>
  <c r="E5" i="29"/>
  <c r="A1123" i="20"/>
  <c r="A2886" i="20"/>
  <c r="B6783" i="20"/>
  <c r="B7487" i="20"/>
  <c r="B2125" i="20"/>
  <c r="A1735" i="20"/>
  <c r="A2367" i="20"/>
  <c r="B7889" i="20"/>
  <c r="A216" i="19"/>
  <c r="A6012" i="20"/>
  <c r="B7559" i="20"/>
  <c r="A2787" i="20"/>
  <c r="A8274" i="20"/>
  <c r="A2084" i="20"/>
  <c r="B6981" i="20"/>
  <c r="B4403" i="20"/>
  <c r="A4250" i="20"/>
  <c r="B2677" i="20"/>
  <c r="B2856" i="20"/>
  <c r="B226" i="45"/>
  <c r="A8770" i="20"/>
  <c r="A2486" i="20"/>
  <c r="A4161" i="20"/>
  <c r="B4585" i="20"/>
  <c r="A3265" i="20"/>
  <c r="B3100" i="20"/>
  <c r="A2623" i="20"/>
  <c r="B5083" i="20"/>
  <c r="H18" i="13"/>
  <c r="A144" i="19"/>
  <c r="H117" i="11"/>
  <c r="A6345" i="20"/>
  <c r="B51" i="19"/>
  <c r="B105" i="13"/>
  <c r="A629" i="16"/>
  <c r="B6739" i="20"/>
  <c r="B7825" i="20"/>
  <c r="B4035" i="20"/>
  <c r="C2" i="21"/>
  <c r="A3347" i="20"/>
  <c r="A5077" i="20"/>
  <c r="A4022" i="20"/>
  <c r="A7013" i="20"/>
  <c r="B6271" i="20"/>
  <c r="B6517" i="20"/>
  <c r="B116" i="19"/>
  <c r="M2" i="33"/>
  <c r="A5814" i="20"/>
  <c r="A3299" i="20"/>
  <c r="A6028" i="20"/>
  <c r="A2596" i="20"/>
  <c r="A8178" i="20"/>
  <c r="B9083" i="20"/>
  <c r="B151" i="20"/>
  <c r="B9121" i="20"/>
  <c r="B6725" i="20"/>
  <c r="B7429" i="20"/>
  <c r="B1921" i="20"/>
  <c r="A13" i="25"/>
  <c r="B6320" i="20"/>
  <c r="B8695" i="20"/>
  <c r="A1705" i="16"/>
  <c r="B6714" i="20"/>
  <c r="A8156" i="20"/>
  <c r="B2728" i="20"/>
  <c r="A6115" i="20"/>
  <c r="A2402" i="20"/>
  <c r="A6694" i="20"/>
  <c r="B6536" i="20"/>
  <c r="A3303" i="20"/>
  <c r="A8280" i="20"/>
  <c r="A2780" i="20"/>
  <c r="A4734" i="20"/>
  <c r="B7465" i="20"/>
  <c r="A258" i="20"/>
  <c r="B4272" i="20"/>
  <c r="B8947" i="20"/>
  <c r="B4170" i="20"/>
  <c r="B4795" i="20"/>
  <c r="B3974" i="20"/>
  <c r="B5151" i="20"/>
  <c r="B2884" i="20"/>
  <c r="A1687" i="16"/>
  <c r="B724" i="20"/>
  <c r="B5486" i="20"/>
  <c r="B2181" i="20"/>
  <c r="B3" i="12"/>
  <c r="B550" i="16"/>
  <c r="B5165" i="20"/>
  <c r="A62" i="49"/>
  <c r="B105" i="45"/>
  <c r="B358" i="49"/>
  <c r="A1170" i="45"/>
  <c r="A540" i="45"/>
  <c r="A8091" i="20"/>
  <c r="B717" i="49"/>
  <c r="A1220" i="45"/>
  <c r="A657" i="49"/>
  <c r="B8269" i="20"/>
  <c r="B619" i="45"/>
  <c r="B3" i="35"/>
  <c r="A9" i="37"/>
  <c r="B6956" i="20"/>
  <c r="B8163" i="20"/>
  <c r="A7816" i="20"/>
  <c r="B9081" i="20"/>
  <c r="A858" i="45"/>
  <c r="B5887" i="20"/>
  <c r="B242" i="45"/>
  <c r="A382" i="32"/>
  <c r="B7140" i="20"/>
  <c r="A8569" i="20"/>
  <c r="B3982" i="20"/>
  <c r="A629" i="45"/>
  <c r="B7085" i="20"/>
  <c r="B7772" i="20"/>
  <c r="B8982" i="20"/>
  <c r="A8124" i="20"/>
  <c r="B8633" i="20"/>
  <c r="B150" i="52"/>
  <c r="B5617" i="20"/>
  <c r="B1003" i="45"/>
  <c r="A8120" i="20"/>
  <c r="C7" i="21"/>
  <c r="B7805" i="20"/>
  <c r="A668" i="45"/>
  <c r="A8446" i="20"/>
  <c r="A726" i="45"/>
  <c r="B7015" i="20"/>
  <c r="A351" i="45"/>
  <c r="B137" i="45"/>
  <c r="B6910" i="20"/>
  <c r="A338" i="32"/>
  <c r="A13" i="49"/>
  <c r="B8817" i="20"/>
  <c r="A3394" i="20"/>
  <c r="A56" i="25"/>
  <c r="A9" i="32"/>
  <c r="B7433" i="20"/>
  <c r="A51" i="25"/>
  <c r="A8014" i="20"/>
  <c r="B140" i="45"/>
  <c r="A448" i="49"/>
  <c r="A8065" i="20"/>
  <c r="A6786" i="20"/>
  <c r="A8046" i="20"/>
  <c r="B8500" i="20"/>
  <c r="B1144" i="45"/>
  <c r="A7" i="21"/>
  <c r="A448" i="45"/>
  <c r="A7563" i="20"/>
  <c r="A6251" i="20"/>
  <c r="A7054" i="20"/>
  <c r="B1022" i="45"/>
  <c r="B5" i="43"/>
  <c r="B8411" i="20"/>
  <c r="B4065" i="20"/>
  <c r="A226" i="32"/>
  <c r="B502" i="45"/>
  <c r="F10" i="33"/>
  <c r="B963" i="45"/>
  <c r="A150" i="32"/>
  <c r="A597" i="45"/>
  <c r="A5489" i="20"/>
  <c r="A8724" i="20"/>
  <c r="A821" i="45"/>
  <c r="A769" i="45"/>
  <c r="B7822" i="20"/>
  <c r="A385" i="45"/>
  <c r="A7916" i="20"/>
  <c r="A8801" i="20"/>
  <c r="B8611" i="20"/>
  <c r="A776" i="49"/>
  <c r="A5538" i="20"/>
  <c r="B849" i="45"/>
  <c r="B6925" i="20"/>
  <c r="C9" i="21"/>
  <c r="A77" i="49"/>
  <c r="A6698" i="20"/>
  <c r="A227" i="32"/>
  <c r="B5699" i="20"/>
  <c r="A58" i="32"/>
  <c r="A5" i="26"/>
  <c r="A6296" i="20"/>
  <c r="B6270" i="20"/>
  <c r="A860" i="45"/>
  <c r="B8490" i="20"/>
  <c r="A7651" i="20"/>
  <c r="N2" i="33"/>
  <c r="B17" i="49"/>
  <c r="A5276" i="20"/>
  <c r="A4926" i="20"/>
  <c r="B8484" i="20"/>
  <c r="A7485" i="20"/>
  <c r="B5925" i="20"/>
  <c r="B9072" i="20"/>
  <c r="E9" i="29"/>
  <c r="I1" i="33"/>
  <c r="A6607" i="20"/>
  <c r="A1959" i="20"/>
  <c r="A9014" i="20"/>
  <c r="B5739" i="20"/>
  <c r="B8107" i="20"/>
  <c r="A1445" i="20"/>
  <c r="A6653" i="20"/>
  <c r="B7144" i="20"/>
  <c r="B7959" i="20"/>
  <c r="A4191" i="20"/>
  <c r="A3023" i="20"/>
  <c r="A5625" i="20"/>
  <c r="A7701" i="20"/>
  <c r="B7288" i="20"/>
  <c r="A6180" i="20"/>
  <c r="A8619" i="20"/>
  <c r="A5892" i="20"/>
  <c r="B8856" i="20"/>
  <c r="A8937" i="20"/>
  <c r="A7860" i="20"/>
  <c r="B1122" i="49"/>
  <c r="A5227" i="20"/>
  <c r="A26" i="37"/>
  <c r="B7390" i="20"/>
  <c r="M31" i="29"/>
  <c r="B6313" i="20"/>
  <c r="A9016" i="20"/>
  <c r="B6863" i="20"/>
  <c r="A209" i="32"/>
  <c r="A7100" i="20"/>
  <c r="A126" i="32"/>
  <c r="A8760" i="20"/>
  <c r="B1203" i="45"/>
  <c r="F11" i="33"/>
  <c r="A166" i="32"/>
  <c r="B7693" i="20"/>
  <c r="A5976" i="20"/>
  <c r="A1199" i="45"/>
  <c r="B8341" i="20"/>
  <c r="A7379" i="20"/>
  <c r="B6390" i="20"/>
  <c r="B5433" i="20"/>
  <c r="B7478" i="20"/>
  <c r="A4162" i="20"/>
  <c r="B973" i="45"/>
  <c r="A8290" i="20"/>
  <c r="A1192" i="45"/>
  <c r="A8735" i="20"/>
  <c r="B3310" i="20"/>
  <c r="A1191" i="20"/>
  <c r="A15" i="45"/>
  <c r="B1179" i="45"/>
  <c r="B8566" i="20"/>
  <c r="A3997" i="20"/>
  <c r="B8161" i="20"/>
  <c r="B5665" i="20"/>
  <c r="B800" i="49"/>
  <c r="B5013" i="20"/>
  <c r="A7166" i="20"/>
  <c r="A8699" i="20"/>
  <c r="B8393" i="20"/>
  <c r="B225" i="49"/>
  <c r="A6604" i="20"/>
  <c r="B2501" i="20"/>
  <c r="A4326" i="20"/>
  <c r="A3451" i="20"/>
  <c r="B164" i="20"/>
  <c r="A1711" i="16"/>
  <c r="A1071" i="16"/>
  <c r="A1957" i="20"/>
  <c r="B7181" i="20"/>
  <c r="A4623" i="20"/>
  <c r="A8295" i="20"/>
  <c r="B8612" i="20"/>
  <c r="A70" i="32"/>
  <c r="A9" i="12"/>
  <c r="B8990" i="20"/>
  <c r="A7674" i="20"/>
  <c r="B4801" i="20"/>
  <c r="A425" i="16"/>
  <c r="B187" i="45"/>
  <c r="A5714" i="20"/>
  <c r="B26" i="17"/>
  <c r="A3786" i="20"/>
  <c r="B6959" i="20"/>
  <c r="A7551" i="20"/>
  <c r="B6618" i="20"/>
  <c r="A7786" i="20"/>
  <c r="B5070" i="20"/>
  <c r="A9" i="23"/>
  <c r="B6102" i="20"/>
  <c r="A3806" i="20"/>
  <c r="A6584" i="20"/>
  <c r="A4035" i="20"/>
  <c r="A3650" i="20"/>
  <c r="B8848" i="20"/>
  <c r="A4726" i="20"/>
  <c r="B211" i="50"/>
  <c r="A6831" i="20"/>
  <c r="A773" i="45"/>
  <c r="A5828" i="20"/>
  <c r="A35" i="47"/>
  <c r="M40" i="33"/>
  <c r="A6294" i="20"/>
  <c r="A7932" i="20"/>
  <c r="B6581" i="20"/>
  <c r="A6811" i="20"/>
  <c r="A8544" i="20"/>
  <c r="A8602" i="20"/>
  <c r="A5830" i="20"/>
  <c r="A6658" i="20"/>
  <c r="A6001" i="20"/>
  <c r="A209" i="49"/>
  <c r="A279" i="45"/>
  <c r="A8632" i="20"/>
  <c r="A8915" i="20"/>
  <c r="N50" i="33"/>
  <c r="A8697" i="20"/>
  <c r="B9128" i="20"/>
  <c r="A8059" i="20"/>
  <c r="B7399" i="20"/>
  <c r="B847" i="20"/>
  <c r="B6632" i="20"/>
  <c r="B6548" i="20"/>
  <c r="A5498" i="20"/>
  <c r="B6109" i="20"/>
  <c r="A6556" i="20"/>
  <c r="A5686" i="20"/>
  <c r="A2007" i="20"/>
  <c r="B6014" i="20"/>
  <c r="B7926" i="20"/>
  <c r="A416" i="45"/>
  <c r="B1284" i="45"/>
  <c r="A7613" i="20"/>
  <c r="B7996" i="20"/>
  <c r="B6409" i="20"/>
  <c r="B2172" i="20"/>
  <c r="A6863" i="20"/>
  <c r="A13" i="43"/>
  <c r="A6554" i="20"/>
  <c r="A4495" i="20"/>
  <c r="B6807" i="20"/>
  <c r="B1346" i="20"/>
  <c r="A6350" i="20"/>
  <c r="A6256" i="20"/>
  <c r="B8731" i="20"/>
  <c r="A3805" i="20"/>
  <c r="B4625" i="20"/>
  <c r="A9126" i="20"/>
  <c r="A9054" i="20"/>
  <c r="B433" i="20"/>
  <c r="B7104" i="20"/>
  <c r="A5167" i="20"/>
  <c r="A7752" i="20"/>
  <c r="A6306" i="20"/>
  <c r="A6788" i="20"/>
  <c r="A2678" i="20"/>
  <c r="A9118" i="20"/>
  <c r="B8852" i="20"/>
  <c r="A7735" i="20"/>
  <c r="A8858" i="20"/>
  <c r="A6259" i="20"/>
  <c r="A2" i="23"/>
  <c r="A5899" i="20"/>
  <c r="C39" i="18"/>
  <c r="B5879" i="20"/>
  <c r="B4972" i="20"/>
  <c r="A878" i="49"/>
  <c r="B6154" i="20"/>
  <c r="B2987" i="20"/>
  <c r="B4238" i="20"/>
  <c r="B5671" i="20"/>
  <c r="B9" i="21"/>
  <c r="A6324" i="20"/>
  <c r="A5838" i="20"/>
  <c r="A2431" i="20"/>
  <c r="A7459" i="20"/>
  <c r="A5754" i="20"/>
  <c r="A6137" i="20"/>
  <c r="B266" i="45"/>
  <c r="A7649" i="20"/>
  <c r="A5097" i="20"/>
  <c r="B4836" i="20"/>
  <c r="B8588" i="20"/>
  <c r="A6302" i="20"/>
  <c r="A7544" i="20"/>
  <c r="B6091" i="20"/>
  <c r="A5235" i="20"/>
  <c r="B8864" i="20"/>
  <c r="B5429" i="20"/>
  <c r="A2871" i="20"/>
  <c r="B935" i="16"/>
  <c r="B7034" i="20"/>
  <c r="A7881" i="20"/>
  <c r="B4734" i="20"/>
  <c r="A194" i="49"/>
  <c r="A5076" i="20"/>
  <c r="A9078" i="20"/>
  <c r="A5429" i="20"/>
  <c r="A4670" i="20"/>
  <c r="A7640" i="20"/>
  <c r="B2832" i="20"/>
  <c r="B3280" i="20"/>
  <c r="B528" i="20"/>
  <c r="A6792" i="20"/>
  <c r="A4760" i="20"/>
  <c r="A1847" i="20"/>
  <c r="H31" i="11"/>
  <c r="A6279" i="20"/>
  <c r="B5139" i="20"/>
  <c r="B4137" i="20"/>
  <c r="A6508" i="20"/>
  <c r="A7330" i="20"/>
  <c r="B8835" i="20"/>
  <c r="A680" i="45"/>
  <c r="B8895" i="20"/>
  <c r="B4" i="30"/>
  <c r="A7938" i="20"/>
  <c r="A816" i="45"/>
  <c r="A1006" i="45"/>
  <c r="M12" i="33"/>
  <c r="A8751" i="20"/>
  <c r="A2" i="46"/>
  <c r="A7478" i="20"/>
  <c r="A4812" i="20"/>
  <c r="A8437" i="20"/>
  <c r="B273" i="45"/>
  <c r="A4735" i="20"/>
  <c r="A4814" i="20"/>
  <c r="B418" i="45"/>
  <c r="B8551" i="20"/>
  <c r="B265" i="45"/>
  <c r="B7629" i="20"/>
  <c r="A4487" i="20"/>
  <c r="A7356" i="20"/>
  <c r="A8945" i="20"/>
  <c r="A7217" i="20"/>
  <c r="A8494" i="20"/>
  <c r="A6532" i="20"/>
  <c r="A6195" i="20"/>
  <c r="A52" i="31"/>
  <c r="A7891" i="20"/>
  <c r="B8726" i="20"/>
  <c r="A5210" i="20"/>
  <c r="A8" i="25"/>
  <c r="A77" i="32"/>
  <c r="B7702" i="20"/>
  <c r="B7209" i="20"/>
  <c r="A5503" i="20"/>
  <c r="B7368" i="20"/>
  <c r="A5570" i="20"/>
  <c r="B6752" i="20"/>
  <c r="B6852" i="20"/>
  <c r="B17" i="21"/>
  <c r="A6286" i="20"/>
  <c r="A8862" i="20"/>
  <c r="A8220" i="20"/>
  <c r="B7394" i="20"/>
  <c r="B6229" i="20"/>
  <c r="A859" i="45"/>
  <c r="B4922" i="20"/>
  <c r="A7407" i="20"/>
  <c r="B7236" i="20"/>
  <c r="A3869" i="20"/>
  <c r="A5526" i="20"/>
  <c r="B7980" i="20"/>
  <c r="A2992" i="20"/>
  <c r="B6919" i="20"/>
  <c r="A6117" i="20"/>
  <c r="A8573" i="20"/>
  <c r="B3905" i="20"/>
  <c r="B5344" i="20"/>
  <c r="B4987" i="20"/>
  <c r="B7633" i="20"/>
  <c r="B5749" i="20"/>
  <c r="B2482" i="20"/>
  <c r="A7583" i="20"/>
  <c r="A5519" i="20"/>
  <c r="B6301" i="20"/>
  <c r="A4717" i="20"/>
  <c r="B2928" i="20"/>
  <c r="B5415" i="20"/>
  <c r="A6903" i="20"/>
  <c r="A5294" i="20"/>
  <c r="A7590" i="20"/>
  <c r="B3498" i="20"/>
  <c r="B8350" i="20"/>
  <c r="A4788" i="20"/>
  <c r="B4738" i="20"/>
  <c r="B6441" i="20"/>
  <c r="B5048" i="20"/>
  <c r="A2843" i="20"/>
  <c r="A8159" i="20"/>
  <c r="B2942" i="20"/>
  <c r="B2402" i="20"/>
  <c r="B3213" i="20"/>
  <c r="A4181" i="20"/>
  <c r="A3984" i="20"/>
  <c r="A8122" i="20"/>
  <c r="A3541" i="20"/>
  <c r="A1377" i="20"/>
  <c r="A6038" i="20"/>
  <c r="A4112" i="20"/>
  <c r="A5826" i="20"/>
  <c r="B6211" i="20"/>
  <c r="A5902" i="20"/>
  <c r="B1200" i="49"/>
  <c r="A4944" i="20"/>
  <c r="A4766" i="20"/>
  <c r="A6121" i="20"/>
  <c r="A1449" i="16"/>
  <c r="B7670" i="20"/>
  <c r="B4970" i="20"/>
  <c r="A534" i="45"/>
  <c r="A172" i="45"/>
  <c r="A3129" i="20"/>
  <c r="B3154" i="20"/>
  <c r="A3357" i="20"/>
  <c r="B6945" i="20"/>
  <c r="A6266" i="20"/>
  <c r="A7770" i="20"/>
  <c r="A1521" i="20"/>
  <c r="B7303" i="20"/>
  <c r="B6999" i="20"/>
  <c r="A5887" i="20"/>
  <c r="B7078" i="20"/>
  <c r="B5980" i="20"/>
  <c r="B1341" i="20"/>
  <c r="B4457" i="20"/>
  <c r="B4860" i="20"/>
  <c r="B250" i="45"/>
  <c r="A8201" i="20"/>
  <c r="A7393" i="20"/>
  <c r="A7270" i="20"/>
  <c r="B5827" i="20"/>
  <c r="A6611" i="20"/>
  <c r="A3339" i="20"/>
  <c r="B302" i="49"/>
  <c r="A7152" i="20"/>
  <c r="B3891" i="20"/>
  <c r="A4755" i="20"/>
  <c r="A1935" i="20"/>
  <c r="B5487" i="20"/>
  <c r="B511" i="16"/>
  <c r="B5528" i="20"/>
  <c r="B8265" i="20"/>
  <c r="B6058" i="20"/>
  <c r="A6799" i="20"/>
  <c r="B5610" i="20"/>
  <c r="B8080" i="20"/>
  <c r="B7729" i="20"/>
  <c r="A7868" i="20"/>
  <c r="A6955" i="20"/>
  <c r="A8782" i="20"/>
  <c r="B9" i="37"/>
  <c r="A6333" i="20"/>
  <c r="B4989" i="20"/>
  <c r="A6228" i="20"/>
  <c r="B3283" i="20"/>
  <c r="B6240" i="20"/>
  <c r="A7078" i="20"/>
  <c r="B4659" i="20"/>
  <c r="A6030" i="20"/>
  <c r="A5338" i="20"/>
  <c r="A54" i="45"/>
  <c r="A6016" i="20"/>
  <c r="A7427" i="20"/>
  <c r="B4814" i="20"/>
  <c r="B7366" i="20"/>
  <c r="A288" i="45"/>
  <c r="A3860" i="20"/>
  <c r="A8376" i="20"/>
  <c r="B9060" i="20"/>
  <c r="B3522" i="20"/>
  <c r="A7540" i="20"/>
  <c r="A6744" i="20"/>
  <c r="A1693" i="20"/>
  <c r="B7900" i="20"/>
  <c r="B6789" i="20"/>
  <c r="B6217" i="20"/>
  <c r="B5599" i="20"/>
  <c r="A5118" i="20"/>
  <c r="A40" i="45"/>
  <c r="A4323" i="20"/>
  <c r="B4001" i="20"/>
  <c r="B8617" i="20"/>
  <c r="A5707" i="20"/>
  <c r="B2000" i="20"/>
  <c r="A5014" i="20"/>
  <c r="A6557" i="20"/>
  <c r="B362" i="45"/>
  <c r="B7106" i="20"/>
  <c r="A5566" i="20"/>
  <c r="A8282" i="20"/>
  <c r="A1065" i="45"/>
  <c r="B6110" i="20"/>
  <c r="B4023" i="20"/>
  <c r="A5716" i="20"/>
  <c r="A2303" i="20"/>
  <c r="B6589" i="20"/>
  <c r="A237" i="32"/>
  <c r="A7514" i="20"/>
  <c r="A4365" i="20"/>
  <c r="A7194" i="20"/>
  <c r="B8022" i="20"/>
  <c r="B4675" i="20"/>
  <c r="A5046" i="20"/>
  <c r="A6915" i="20"/>
  <c r="A3783" i="20"/>
  <c r="B6664" i="20"/>
  <c r="A2815" i="20"/>
  <c r="B4188" i="20"/>
  <c r="B8812" i="20"/>
  <c r="B7149" i="20"/>
  <c r="B5361" i="20"/>
  <c r="A7311" i="20"/>
  <c r="A639" i="45"/>
  <c r="B3043" i="20"/>
  <c r="A2763" i="20"/>
  <c r="A5848" i="20"/>
  <c r="A5670" i="20"/>
  <c r="A6563" i="20"/>
  <c r="A7090" i="20"/>
  <c r="A4182" i="20"/>
  <c r="B1344" i="16"/>
  <c r="B5241" i="20"/>
  <c r="B6524" i="20"/>
  <c r="B3128" i="20"/>
  <c r="B6935" i="20"/>
  <c r="A6409" i="20"/>
  <c r="B5006" i="20"/>
  <c r="B4363" i="20"/>
  <c r="A7476" i="20"/>
  <c r="A2488" i="20"/>
  <c r="A4483" i="20"/>
  <c r="A43" i="21"/>
  <c r="A8683" i="20"/>
  <c r="A8591" i="20"/>
  <c r="A5860" i="20"/>
  <c r="A563" i="45"/>
  <c r="B7790" i="20"/>
  <c r="A8197" i="20"/>
  <c r="A7126" i="20"/>
  <c r="B6135" i="20"/>
  <c r="B8098" i="20"/>
  <c r="B18" i="45"/>
  <c r="A1128" i="45"/>
  <c r="B7071" i="20"/>
  <c r="B4918" i="20"/>
  <c r="A6174" i="20"/>
  <c r="A7118" i="20"/>
  <c r="D6" i="43"/>
  <c r="A7607" i="20"/>
  <c r="B7456" i="20"/>
  <c r="A7889" i="20"/>
  <c r="A128" i="32"/>
  <c r="A697" i="45"/>
  <c r="B7327" i="20"/>
  <c r="B6984" i="20"/>
  <c r="B7893" i="20"/>
  <c r="B6333" i="20"/>
  <c r="B7301" i="20"/>
  <c r="B6730" i="20"/>
  <c r="B9101" i="20"/>
  <c r="A5594" i="20"/>
  <c r="B5757" i="20"/>
  <c r="A8454" i="20"/>
  <c r="B7771" i="20"/>
  <c r="A8932" i="20"/>
  <c r="A8711" i="20"/>
  <c r="A7011" i="20"/>
  <c r="B8854" i="20"/>
  <c r="B8554" i="20"/>
  <c r="B8328" i="20"/>
  <c r="B8201" i="20"/>
  <c r="A7958" i="20"/>
  <c r="A4924" i="20"/>
  <c r="B5728" i="20"/>
  <c r="B7659" i="20"/>
  <c r="A6142" i="20"/>
  <c r="A8864" i="20"/>
  <c r="A4872" i="20"/>
  <c r="B4668" i="20"/>
  <c r="B6716" i="20"/>
  <c r="B1073" i="49"/>
  <c r="B4560" i="20"/>
  <c r="A4934" i="20"/>
  <c r="B1441" i="49"/>
  <c r="A1285" i="20"/>
  <c r="A6516" i="20"/>
  <c r="B6844" i="20"/>
  <c r="B4359" i="20"/>
  <c r="B6816" i="20"/>
  <c r="B154" i="45"/>
  <c r="A6853" i="20"/>
  <c r="A5195" i="20"/>
  <c r="A5506" i="20"/>
  <c r="A4063" i="20"/>
  <c r="A82" i="45"/>
  <c r="B3376" i="20"/>
  <c r="A5178" i="20"/>
  <c r="A8267" i="20"/>
  <c r="C14" i="21"/>
  <c r="A5454" i="20"/>
  <c r="B7414" i="20"/>
  <c r="A8063" i="20"/>
  <c r="A3061" i="20"/>
  <c r="A7220" i="20"/>
  <c r="B3370" i="20"/>
  <c r="B7179" i="20"/>
  <c r="A7512" i="20"/>
  <c r="B5095" i="20"/>
  <c r="A2943" i="20"/>
  <c r="B6480" i="20"/>
  <c r="B4550" i="20"/>
  <c r="B3255" i="20"/>
  <c r="A3318" i="20"/>
  <c r="B4892" i="20"/>
  <c r="B237" i="19"/>
  <c r="A1303" i="20"/>
  <c r="A5063" i="20"/>
  <c r="A1315" i="20"/>
  <c r="A3994" i="20"/>
  <c r="B7636" i="20"/>
  <c r="B6993" i="20"/>
  <c r="B7514" i="20"/>
  <c r="A8138" i="20"/>
  <c r="B8976" i="20"/>
  <c r="K2" i="33"/>
  <c r="B1064" i="45"/>
  <c r="B3326" i="20"/>
  <c r="B7491" i="20"/>
  <c r="A5961" i="20"/>
  <c r="A220" i="32"/>
  <c r="B6727" i="20"/>
  <c r="A6549" i="20"/>
  <c r="A6314" i="20"/>
  <c r="A6819" i="20"/>
  <c r="B5579" i="20"/>
  <c r="A5972" i="20"/>
  <c r="A83" i="49"/>
  <c r="A5965" i="20"/>
  <c r="B1907" i="20"/>
  <c r="B6992" i="20"/>
  <c r="A1265" i="20"/>
  <c r="A5141" i="20"/>
  <c r="A7071" i="20"/>
  <c r="B6583" i="20"/>
  <c r="A6486" i="20"/>
  <c r="B762" i="45"/>
  <c r="A6634" i="20"/>
  <c r="B218" i="45"/>
  <c r="A8972" i="20"/>
  <c r="A3623" i="20"/>
  <c r="B1694" i="20"/>
  <c r="A7207" i="20"/>
  <c r="A6758" i="20"/>
  <c r="A3705" i="20"/>
  <c r="B4867" i="20"/>
  <c r="A7559" i="20"/>
  <c r="B6221" i="20"/>
  <c r="A7072" i="20"/>
  <c r="A3390" i="20"/>
  <c r="A8520" i="20"/>
  <c r="B1315" i="45"/>
  <c r="A113" i="45"/>
  <c r="B8670" i="20"/>
  <c r="B3563" i="20"/>
  <c r="B387" i="49"/>
  <c r="A7178" i="20"/>
  <c r="A7080" i="20"/>
  <c r="B2498" i="20"/>
  <c r="A7385" i="20"/>
  <c r="B2633" i="20"/>
  <c r="B838" i="49"/>
  <c r="B7175" i="20"/>
  <c r="A8557" i="20"/>
  <c r="A7226" i="20"/>
  <c r="A5846" i="20"/>
  <c r="A9119" i="20"/>
  <c r="A8938" i="20"/>
  <c r="A5324" i="20"/>
  <c r="B351" i="45"/>
  <c r="A171" i="32"/>
  <c r="A1077" i="45"/>
  <c r="A7046" i="20"/>
  <c r="A4651" i="20"/>
  <c r="B7455" i="20"/>
  <c r="C31" i="21"/>
  <c r="A7627" i="20"/>
  <c r="F4" i="29"/>
  <c r="A8868" i="20"/>
  <c r="A7895" i="20"/>
  <c r="A39" i="21"/>
  <c r="B7484" i="20"/>
  <c r="A54" i="21"/>
  <c r="B7299" i="20"/>
  <c r="A6402" i="20"/>
  <c r="B8057" i="20"/>
  <c r="A1153" i="45"/>
  <c r="B8781" i="20"/>
  <c r="B7849" i="20"/>
  <c r="B7817" i="20"/>
  <c r="B8539" i="20"/>
  <c r="A1265" i="45"/>
  <c r="A8236" i="20"/>
  <c r="A8458" i="20"/>
  <c r="B7058" i="20"/>
  <c r="C12" i="43"/>
  <c r="B8472" i="20"/>
  <c r="A2754" i="20"/>
  <c r="A5683" i="20"/>
  <c r="B8176" i="20"/>
  <c r="B8084" i="20"/>
  <c r="A2819" i="20"/>
  <c r="B7294" i="20"/>
  <c r="B4394" i="20"/>
  <c r="B7624" i="20"/>
  <c r="A5547" i="20"/>
  <c r="A4" i="22"/>
  <c r="A4486" i="20"/>
  <c r="B106" i="52"/>
  <c r="A7740" i="20"/>
  <c r="A6688" i="20"/>
  <c r="A7772" i="20"/>
  <c r="A3831" i="20"/>
  <c r="B5855" i="20"/>
  <c r="A5460" i="20"/>
  <c r="A7162" i="20"/>
  <c r="A5992" i="20"/>
  <c r="B2693" i="20"/>
  <c r="A2104" i="20"/>
  <c r="B5769" i="20"/>
  <c r="B8286" i="20"/>
  <c r="B6913" i="20"/>
  <c r="A3537" i="20"/>
  <c r="A5914" i="20"/>
  <c r="A5" i="45"/>
  <c r="A4371" i="20"/>
  <c r="E1" i="33"/>
  <c r="A5574" i="20"/>
  <c r="B2798" i="20"/>
  <c r="A2397" i="20"/>
  <c r="A1759" i="20"/>
  <c r="B8564" i="20"/>
  <c r="B3838" i="20"/>
  <c r="B8945" i="20"/>
  <c r="A6428" i="20"/>
  <c r="A8550" i="20"/>
  <c r="A2508" i="20"/>
  <c r="B5711" i="20"/>
  <c r="B7155" i="20"/>
  <c r="B6068" i="20"/>
  <c r="A7568" i="20"/>
  <c r="A249" i="32"/>
  <c r="A4900" i="20"/>
  <c r="B5721" i="20"/>
  <c r="A7001" i="20"/>
  <c r="B5498" i="20"/>
  <c r="A5411" i="20"/>
  <c r="A3773" i="20"/>
  <c r="A8373" i="20"/>
  <c r="B5777" i="20"/>
  <c r="B2857" i="20"/>
  <c r="A4575" i="20"/>
  <c r="A6094" i="20"/>
  <c r="B7816" i="20"/>
  <c r="A5756" i="20"/>
  <c r="B8270" i="20"/>
  <c r="A1996" i="20"/>
  <c r="B5015" i="20"/>
  <c r="A8440" i="20"/>
  <c r="A3732" i="20"/>
  <c r="A7919" i="20"/>
  <c r="N32" i="33"/>
  <c r="B2803" i="20"/>
  <c r="B6520" i="20"/>
  <c r="B7434" i="20"/>
  <c r="A3987" i="20"/>
  <c r="B8043" i="20"/>
  <c r="A7464" i="20"/>
  <c r="B4910" i="20"/>
  <c r="A6592" i="20"/>
  <c r="B7763" i="20"/>
  <c r="B3434" i="20"/>
  <c r="B5392" i="20"/>
  <c r="A4126" i="20"/>
  <c r="E6" i="29"/>
  <c r="A750" i="45"/>
  <c r="B4392" i="20"/>
  <c r="B4828" i="20"/>
  <c r="B4578" i="20"/>
  <c r="B1717" i="20"/>
  <c r="A2971" i="20"/>
  <c r="B3528" i="20"/>
  <c r="A2925" i="20"/>
  <c r="B5784" i="20"/>
  <c r="A629" i="20"/>
  <c r="B5578" i="20"/>
  <c r="A2136" i="20"/>
  <c r="A6225" i="20"/>
  <c r="A3036" i="20"/>
  <c r="A7453" i="20"/>
  <c r="B4539" i="20"/>
  <c r="A4210" i="20"/>
  <c r="B3787" i="20"/>
  <c r="B5169" i="20"/>
  <c r="A2362" i="20"/>
  <c r="A3346" i="20"/>
  <c r="B3710" i="20"/>
  <c r="A1437" i="20"/>
  <c r="A5052" i="20"/>
  <c r="B1860" i="20"/>
  <c r="A6535" i="20"/>
  <c r="B4466" i="20"/>
  <c r="A1154" i="45"/>
  <c r="B5624" i="20"/>
  <c r="B5324" i="20"/>
  <c r="A7926" i="20"/>
  <c r="B7156" i="20"/>
  <c r="A2232" i="20"/>
  <c r="A2177" i="20"/>
  <c r="A4211" i="20"/>
  <c r="A3797" i="20"/>
  <c r="A1373" i="20"/>
  <c r="B379" i="19"/>
  <c r="B101" i="52"/>
  <c r="B1" i="44"/>
  <c r="B1944" i="20"/>
  <c r="A4935" i="20"/>
  <c r="A8365" i="20"/>
  <c r="B748" i="45"/>
  <c r="B3375" i="20"/>
  <c r="B4794" i="20"/>
  <c r="B5940" i="20"/>
  <c r="A7575" i="20"/>
  <c r="B2939" i="20"/>
  <c r="B1153" i="20"/>
  <c r="B5706" i="20"/>
  <c r="B5300" i="20"/>
  <c r="B2726" i="20"/>
  <c r="B3321" i="20"/>
  <c r="B282" i="45"/>
  <c r="A5800" i="20"/>
  <c r="A4091" i="20"/>
  <c r="A4684" i="20"/>
  <c r="A3419" i="20"/>
  <c r="B2419" i="20"/>
  <c r="A5165" i="20"/>
  <c r="B3969" i="20"/>
  <c r="A6855" i="20"/>
  <c r="A6919" i="20"/>
  <c r="B8459" i="20"/>
  <c r="A1484" i="20"/>
  <c r="A2690" i="20"/>
  <c r="A7598" i="20"/>
  <c r="B583" i="16"/>
  <c r="A240" i="19"/>
  <c r="A7456" i="20"/>
  <c r="B4724" i="20"/>
  <c r="B5988" i="20"/>
  <c r="B7192" i="20"/>
  <c r="A7862" i="20"/>
  <c r="B5677" i="20"/>
  <c r="A7193" i="20"/>
  <c r="B4258" i="20"/>
  <c r="A86" i="11"/>
  <c r="B8257" i="20"/>
  <c r="A5871" i="20"/>
  <c r="A6381" i="20"/>
  <c r="B6866" i="20"/>
  <c r="A7357" i="20"/>
  <c r="A6368" i="20"/>
  <c r="A4559" i="20"/>
  <c r="A6931" i="20"/>
  <c r="A3878" i="20"/>
  <c r="A3972" i="20"/>
  <c r="A5011" i="20"/>
  <c r="A6316" i="20"/>
  <c r="A6160" i="20"/>
  <c r="A5074" i="20"/>
  <c r="A2838" i="20"/>
  <c r="B320" i="16"/>
  <c r="A5897" i="20"/>
  <c r="B2766" i="20"/>
  <c r="A4018" i="20"/>
  <c r="A27" i="32"/>
  <c r="B5011" i="20"/>
  <c r="A1799" i="20"/>
  <c r="A1415" i="20"/>
  <c r="A44" i="17"/>
  <c r="B4478" i="20"/>
  <c r="B2722" i="20"/>
  <c r="A5539" i="20"/>
  <c r="A3862" i="20"/>
  <c r="B4386" i="20"/>
  <c r="A3856" i="20"/>
  <c r="A2132" i="20"/>
  <c r="B44" i="19"/>
  <c r="A1869" i="20"/>
  <c r="A4838" i="20"/>
  <c r="A1570" i="20"/>
  <c r="H86" i="13"/>
  <c r="A1643" i="20"/>
  <c r="A6757" i="20"/>
  <c r="B5251" i="20"/>
  <c r="B372" i="19"/>
  <c r="B7861" i="20"/>
  <c r="B1306" i="20"/>
  <c r="B2361" i="20"/>
  <c r="B1216" i="16"/>
  <c r="B4778" i="20"/>
  <c r="B4627" i="20"/>
  <c r="B2704" i="20"/>
  <c r="A6035" i="20"/>
  <c r="B8685" i="20"/>
  <c r="B6512" i="20"/>
  <c r="A7135" i="20"/>
  <c r="A3510" i="20"/>
  <c r="B832" i="16"/>
  <c r="A6601" i="20"/>
  <c r="B5262" i="20"/>
  <c r="A3052" i="20"/>
  <c r="B5811" i="20"/>
  <c r="A5737" i="20"/>
  <c r="A4021" i="20"/>
  <c r="B4353" i="20"/>
  <c r="A6879" i="20"/>
  <c r="B7479" i="20"/>
  <c r="B4567" i="20"/>
  <c r="A5585" i="20"/>
  <c r="B6367" i="20"/>
  <c r="A7200" i="20"/>
  <c r="B4883" i="20"/>
  <c r="B2729" i="20"/>
  <c r="B5227" i="20"/>
  <c r="A7381" i="20"/>
  <c r="A231" i="32"/>
  <c r="A3069" i="20"/>
  <c r="B5228" i="20"/>
  <c r="A4995" i="20"/>
  <c r="A1281" i="20"/>
  <c r="B8140" i="20"/>
  <c r="A7606" i="20"/>
  <c r="B3394" i="20"/>
  <c r="B1844" i="20"/>
  <c r="A3725" i="20"/>
  <c r="A3344" i="20"/>
  <c r="A2966" i="20"/>
  <c r="B4811" i="20"/>
  <c r="B1742" i="20"/>
  <c r="A1647" i="16"/>
  <c r="A1583" i="20"/>
  <c r="B6342" i="20"/>
  <c r="B443" i="20"/>
  <c r="H114" i="11"/>
  <c r="B3159" i="20"/>
  <c r="B6827" i="20"/>
  <c r="B1185" i="20"/>
  <c r="B1664" i="16"/>
  <c r="A1504" i="20"/>
  <c r="B7339" i="20"/>
  <c r="B3966" i="20"/>
  <c r="B5118" i="20"/>
  <c r="B3995" i="20"/>
  <c r="A6237" i="20"/>
  <c r="B2191" i="20"/>
  <c r="B128" i="16"/>
  <c r="A460" i="20"/>
  <c r="B6989" i="20"/>
  <c r="A1819" i="20"/>
  <c r="A7863" i="20"/>
  <c r="A6700" i="20"/>
  <c r="A4580" i="20"/>
  <c r="A2946" i="20"/>
  <c r="A1161" i="16"/>
  <c r="A3558" i="20"/>
  <c r="B1690" i="16"/>
  <c r="B4329" i="20"/>
  <c r="A7253" i="20"/>
  <c r="A1753" i="16"/>
  <c r="A1555" i="20"/>
  <c r="B7584" i="20"/>
  <c r="A6729" i="20"/>
  <c r="B4222" i="20"/>
  <c r="B4507" i="20"/>
  <c r="B7351" i="20"/>
  <c r="B4780" i="20"/>
  <c r="B6690" i="20"/>
  <c r="B354" i="45"/>
  <c r="B4787" i="20"/>
  <c r="A4952" i="20"/>
  <c r="B6569" i="20"/>
  <c r="B3650" i="20"/>
  <c r="A7216" i="20"/>
  <c r="B7158" i="20"/>
  <c r="A3062" i="20"/>
  <c r="B975" i="20"/>
  <c r="B4438" i="20"/>
  <c r="B6130" i="20"/>
  <c r="A2630" i="20"/>
  <c r="A6588" i="20"/>
  <c r="N53" i="33"/>
  <c r="A7319" i="20"/>
  <c r="A6806" i="20"/>
  <c r="A5174" i="20"/>
  <c r="A28" i="25"/>
  <c r="A4476" i="20"/>
  <c r="A7394" i="20"/>
  <c r="B5883" i="20"/>
  <c r="B4526" i="20"/>
  <c r="A7635" i="20"/>
  <c r="A3911" i="20"/>
  <c r="A4703" i="20"/>
  <c r="B1237" i="45"/>
  <c r="A73" i="49"/>
  <c r="A7706" i="20"/>
  <c r="A21" i="37"/>
  <c r="B8117" i="20"/>
  <c r="A1484" i="49"/>
  <c r="B48" i="21"/>
  <c r="A506" i="45"/>
  <c r="A8725" i="20"/>
  <c r="E6" i="33"/>
  <c r="B9097" i="20"/>
  <c r="B6865" i="20"/>
  <c r="B8999" i="20"/>
  <c r="B4931" i="20"/>
  <c r="B7703" i="20"/>
  <c r="A8369" i="20"/>
  <c r="B5059" i="20"/>
  <c r="A8761" i="20"/>
  <c r="A8978" i="20"/>
  <c r="A8217" i="20"/>
  <c r="B781" i="45"/>
  <c r="A4230" i="20"/>
  <c r="A550" i="45"/>
  <c r="A58" i="31"/>
  <c r="A538" i="49"/>
  <c r="B7132" i="20"/>
  <c r="A6928" i="20"/>
  <c r="B7324" i="20"/>
  <c r="B5153" i="20"/>
  <c r="B7469" i="20"/>
  <c r="B8595" i="20"/>
  <c r="A722" i="45"/>
  <c r="A5739" i="20"/>
  <c r="B8769" i="20"/>
  <c r="A4509" i="20"/>
  <c r="A8775" i="20"/>
  <c r="A8876" i="20"/>
  <c r="A20" i="47"/>
  <c r="B162" i="45"/>
  <c r="A7223" i="20"/>
  <c r="A6264" i="20"/>
  <c r="B106" i="49"/>
  <c r="A2948" i="20"/>
  <c r="B5737" i="20"/>
  <c r="A1535" i="20"/>
  <c r="B7580" i="20"/>
  <c r="A8642" i="20"/>
  <c r="A7259" i="20"/>
  <c r="B5072" i="20"/>
  <c r="A6246" i="20"/>
  <c r="A809" i="16"/>
  <c r="A10" i="37"/>
  <c r="A5844" i="20"/>
  <c r="A7486" i="20"/>
  <c r="B9023" i="20"/>
  <c r="A6204" i="20"/>
  <c r="B7758" i="20"/>
  <c r="B5842" i="20"/>
  <c r="B7801" i="20"/>
  <c r="B6007" i="20"/>
  <c r="A3812" i="20"/>
  <c r="A2977" i="20"/>
  <c r="A4821" i="20"/>
  <c r="A3482" i="20"/>
  <c r="B5866" i="20"/>
  <c r="A7550" i="20"/>
  <c r="A5843" i="20"/>
  <c r="B5890" i="20"/>
  <c r="A1979" i="20"/>
  <c r="A7826" i="20"/>
  <c r="A5490" i="20"/>
  <c r="B6010" i="20"/>
  <c r="B8537" i="20"/>
  <c r="A6039" i="20"/>
  <c r="B8957" i="20"/>
  <c r="A6910" i="20"/>
  <c r="A6262" i="20"/>
  <c r="B39" i="16"/>
  <c r="B4591" i="20"/>
  <c r="A4548" i="20"/>
  <c r="B6785" i="20"/>
  <c r="A163" i="45"/>
  <c r="A842" i="45"/>
  <c r="B6281" i="20"/>
  <c r="A28" i="31"/>
  <c r="A8004" i="20"/>
  <c r="A7596" i="20"/>
  <c r="A5995" i="20"/>
  <c r="B8550" i="20"/>
  <c r="B8120" i="20"/>
  <c r="A126" i="45"/>
  <c r="B6400" i="20"/>
  <c r="B1442" i="20"/>
  <c r="B6694" i="20"/>
  <c r="A5553" i="20"/>
  <c r="B7587" i="20"/>
  <c r="A2050" i="20"/>
  <c r="A4207" i="20"/>
  <c r="A3234" i="20"/>
  <c r="A17" i="28"/>
  <c r="B167" i="16"/>
  <c r="B7843" i="20"/>
  <c r="A5123" i="20"/>
  <c r="A475" i="45"/>
  <c r="A152" i="32"/>
  <c r="B5817" i="20"/>
  <c r="A2986" i="20"/>
  <c r="B1199" i="45"/>
  <c r="A5552" i="20"/>
  <c r="A193" i="32"/>
  <c r="A8906" i="20"/>
  <c r="B6582" i="20"/>
  <c r="A7467" i="20"/>
  <c r="A4852" i="20"/>
  <c r="A6823" i="20"/>
  <c r="B5819" i="20"/>
  <c r="B7251" i="20"/>
  <c r="A8094" i="20"/>
  <c r="B4704" i="20"/>
  <c r="B8944" i="20"/>
  <c r="B9087" i="20"/>
  <c r="B7359" i="20"/>
  <c r="A6154" i="20"/>
  <c r="A6325" i="20"/>
  <c r="A5841" i="20"/>
  <c r="A9055" i="20"/>
  <c r="A5693" i="20"/>
  <c r="B5468" i="20"/>
  <c r="B5733" i="20"/>
  <c r="A7521" i="20"/>
  <c r="A932" i="20"/>
  <c r="B5210" i="20"/>
  <c r="B1988" i="20"/>
  <c r="A1814" i="20"/>
  <c r="B696" i="20"/>
  <c r="B1791" i="16"/>
  <c r="A43" i="31"/>
  <c r="A4806" i="20"/>
  <c r="A5712" i="20"/>
  <c r="B8665" i="20"/>
  <c r="A7083" i="20"/>
  <c r="A633" i="45"/>
  <c r="A5436" i="20"/>
  <c r="AG1" i="33"/>
  <c r="A393" i="49"/>
  <c r="A99" i="32"/>
  <c r="B423" i="45"/>
  <c r="A6778" i="20"/>
  <c r="B6943" i="20"/>
  <c r="B8034" i="20"/>
  <c r="A8084" i="20"/>
  <c r="B2428" i="20"/>
  <c r="A2714" i="20"/>
  <c r="A5975" i="20"/>
  <c r="B5174" i="20"/>
  <c r="A3075" i="20"/>
  <c r="A5752" i="20"/>
  <c r="B6150" i="20"/>
  <c r="A9102" i="20"/>
  <c r="B6389" i="20"/>
  <c r="B7263" i="20"/>
  <c r="A6241" i="20"/>
  <c r="B5982" i="20"/>
  <c r="B8998" i="20"/>
  <c r="B1940" i="20"/>
  <c r="A3427" i="20"/>
  <c r="A232" i="45"/>
  <c r="A2654" i="20"/>
  <c r="B6742" i="20"/>
  <c r="B246" i="49"/>
  <c r="B6795" i="20"/>
  <c r="B61" i="45"/>
  <c r="A593" i="45"/>
  <c r="A143" i="45"/>
  <c r="A3748" i="20"/>
  <c r="B4577" i="20"/>
  <c r="A6218" i="20"/>
  <c r="A6494" i="20"/>
  <c r="A6683" i="20"/>
  <c r="A6898" i="20"/>
  <c r="A2950" i="20"/>
  <c r="B8324" i="20"/>
  <c r="A8449" i="20"/>
  <c r="B8001" i="20"/>
  <c r="B1195" i="45"/>
  <c r="A5451" i="20"/>
  <c r="B8496" i="20"/>
  <c r="B1201" i="45"/>
  <c r="B6532" i="20"/>
  <c r="A397" i="49"/>
  <c r="A5164" i="20"/>
  <c r="A8953" i="20"/>
  <c r="B2590" i="20"/>
  <c r="B7562" i="20"/>
  <c r="A7652" i="20"/>
  <c r="A5363" i="20"/>
  <c r="B2" i="41"/>
  <c r="A7517" i="20"/>
  <c r="B119" i="20"/>
  <c r="A4986" i="20"/>
  <c r="A3043" i="20"/>
  <c r="A7817" i="20"/>
  <c r="G74" i="13"/>
  <c r="A5541" i="20"/>
  <c r="A2509" i="20"/>
  <c r="A6921" i="20"/>
  <c r="A5356" i="20"/>
  <c r="B6433" i="20"/>
  <c r="A2878" i="20"/>
  <c r="A3270" i="20"/>
  <c r="A2119" i="20"/>
  <c r="A6943" i="20"/>
  <c r="B3657" i="20"/>
  <c r="A7547" i="20"/>
  <c r="A4065" i="20"/>
  <c r="A6397" i="20"/>
  <c r="B4106" i="20"/>
  <c r="A2685" i="20"/>
  <c r="B561" i="45"/>
  <c r="B1530" i="20"/>
  <c r="A3409" i="20"/>
  <c r="B5773" i="20"/>
  <c r="B16" i="21"/>
  <c r="B3398" i="20"/>
  <c r="B7712" i="20"/>
  <c r="A6004" i="20"/>
  <c r="B3135" i="20"/>
  <c r="B3427" i="20"/>
  <c r="B4595" i="20"/>
  <c r="A7137" i="20"/>
  <c r="A83" i="12"/>
  <c r="A3804" i="20"/>
  <c r="B4800" i="20"/>
  <c r="A3126" i="20"/>
  <c r="B3251" i="20"/>
  <c r="A1789" i="20"/>
  <c r="B2795" i="20"/>
  <c r="B7662" i="20"/>
  <c r="A1572" i="20"/>
  <c r="B6534" i="20"/>
  <c r="B788" i="20"/>
  <c r="B562" i="16"/>
  <c r="A118" i="20"/>
  <c r="G16" i="13"/>
  <c r="B6224" i="20"/>
  <c r="B6929" i="20"/>
  <c r="A2675" i="20"/>
  <c r="A5391" i="20"/>
  <c r="B739" i="20"/>
  <c r="A1594" i="16"/>
  <c r="A6969" i="20"/>
  <c r="A51" i="45"/>
  <c r="A4188" i="20"/>
  <c r="A6165" i="20"/>
  <c r="A2049" i="20"/>
  <c r="B49" i="12"/>
  <c r="B3957" i="20"/>
  <c r="A7705" i="20"/>
  <c r="A996" i="20"/>
  <c r="B3074" i="20"/>
  <c r="A2175" i="20"/>
  <c r="B6667" i="20"/>
  <c r="B7615" i="20"/>
  <c r="B3640" i="20"/>
  <c r="A139" i="52"/>
  <c r="B6722" i="20"/>
  <c r="A7695" i="20"/>
  <c r="A5171" i="20"/>
  <c r="B8330" i="20"/>
  <c r="B6492" i="20"/>
  <c r="A3708" i="20"/>
  <c r="A6411" i="20"/>
  <c r="A4468" i="20"/>
  <c r="H13" i="13"/>
  <c r="B3068" i="20"/>
  <c r="B8832" i="20"/>
  <c r="C49" i="21"/>
  <c r="A3250" i="20"/>
  <c r="A3122" i="20"/>
  <c r="B7600" i="20"/>
  <c r="A8814" i="20"/>
  <c r="B7121" i="20"/>
  <c r="A4135" i="20"/>
  <c r="A4913" i="20"/>
  <c r="B8830" i="20"/>
  <c r="A2964" i="20"/>
  <c r="B8307" i="20"/>
  <c r="B8799" i="20"/>
  <c r="A1114" i="45"/>
  <c r="A1464" i="20"/>
  <c r="A4748" i="20"/>
  <c r="A347" i="45"/>
  <c r="A8523" i="20"/>
  <c r="I7" i="33"/>
  <c r="A8338" i="20"/>
  <c r="B8822" i="20"/>
  <c r="A4656" i="20"/>
  <c r="A8469" i="20"/>
  <c r="A6008" i="20"/>
  <c r="A8398" i="20"/>
  <c r="B8642" i="20"/>
  <c r="A7262" i="20"/>
  <c r="A3679" i="20"/>
  <c r="A7196" i="20"/>
  <c r="A3197" i="20"/>
  <c r="B8403" i="20"/>
  <c r="A6278" i="20"/>
  <c r="B3142" i="20"/>
  <c r="A5422" i="20"/>
  <c r="A4937" i="20"/>
  <c r="A3067" i="20"/>
  <c r="B4767" i="20"/>
  <c r="B4224" i="20"/>
  <c r="B7565" i="20"/>
  <c r="A7079" i="20"/>
  <c r="B5497" i="20"/>
  <c r="A3604" i="20"/>
  <c r="A1589" i="20"/>
  <c r="A393" i="16"/>
  <c r="A5533" i="20"/>
  <c r="B3242" i="20"/>
  <c r="B7282" i="20"/>
  <c r="A2301" i="20"/>
  <c r="A7320" i="20"/>
  <c r="A5738" i="20"/>
  <c r="B815" i="20"/>
  <c r="A3524" i="20"/>
  <c r="A3834" i="20"/>
  <c r="B5036" i="20"/>
  <c r="A95" i="13"/>
  <c r="B4009" i="20"/>
  <c r="A3194" i="20"/>
  <c r="A3795" i="20"/>
  <c r="B65" i="11"/>
  <c r="B2132" i="20"/>
  <c r="B5342" i="20"/>
  <c r="A1151" i="20"/>
  <c r="B7983" i="20"/>
  <c r="B5688" i="20"/>
  <c r="B2652" i="20"/>
  <c r="A4016" i="20"/>
  <c r="A9000" i="20"/>
  <c r="B5616" i="20"/>
  <c r="A310" i="32"/>
  <c r="B7632" i="20"/>
  <c r="B7373" i="20"/>
  <c r="A1228" i="20"/>
  <c r="B8515" i="20"/>
  <c r="A8547" i="20"/>
  <c r="B4797" i="20"/>
  <c r="B4553" i="20"/>
  <c r="B935" i="20"/>
  <c r="A8247" i="20"/>
  <c r="A7687" i="20"/>
  <c r="B2317" i="20"/>
  <c r="A1795" i="20"/>
  <c r="B6777" i="20"/>
  <c r="B7481" i="20"/>
  <c r="B2783" i="20"/>
  <c r="A4700" i="20"/>
  <c r="B2665" i="20"/>
  <c r="A251" i="32"/>
  <c r="B295" i="19"/>
  <c r="B5905" i="20"/>
  <c r="B6773" i="20"/>
  <c r="B4632" i="20"/>
  <c r="A8482" i="20"/>
  <c r="B3249" i="20"/>
  <c r="B7039" i="20"/>
  <c r="A3634" i="20"/>
  <c r="B1946" i="20"/>
  <c r="A2790" i="20"/>
  <c r="A2915" i="20"/>
  <c r="B466" i="49"/>
  <c r="A119" i="32"/>
  <c r="A3848" i="20"/>
  <c r="A5709" i="20"/>
  <c r="A4354" i="20"/>
  <c r="A8424" i="20"/>
  <c r="A317" i="32"/>
  <c r="A9022" i="20"/>
  <c r="A7272" i="20"/>
  <c r="B3354" i="20"/>
  <c r="B8060" i="20"/>
  <c r="A3033" i="20"/>
  <c r="A5088" i="20"/>
  <c r="A4390" i="20"/>
  <c r="A4221" i="20"/>
  <c r="B5975" i="20"/>
  <c r="B6180" i="20"/>
  <c r="A7536" i="20"/>
  <c r="B7651" i="20"/>
  <c r="A3175" i="20"/>
  <c r="A4960" i="20"/>
  <c r="A4647" i="20"/>
  <c r="B1600" i="20"/>
  <c r="A2" i="26"/>
  <c r="A6405" i="20"/>
  <c r="A3359" i="20"/>
  <c r="B3351" i="20"/>
  <c r="A5928" i="20"/>
  <c r="B5714" i="20"/>
  <c r="A2768" i="20"/>
  <c r="B5061" i="20"/>
  <c r="A8767" i="20"/>
  <c r="B2610" i="20"/>
  <c r="A6465" i="20"/>
  <c r="B8723" i="20"/>
  <c r="C6" i="35"/>
  <c r="B5166" i="20"/>
  <c r="A7633" i="20"/>
  <c r="A6075" i="20"/>
  <c r="A1875" i="20"/>
  <c r="B6542" i="20"/>
  <c r="A5675" i="20"/>
  <c r="A7208" i="20"/>
  <c r="A4203" i="20"/>
  <c r="B6699" i="20"/>
  <c r="A5104" i="20"/>
  <c r="A457" i="45"/>
  <c r="B6438" i="20"/>
  <c r="A6175" i="20"/>
  <c r="B4779" i="20"/>
  <c r="B2495" i="20"/>
  <c r="B2606" i="20"/>
  <c r="A490" i="20"/>
  <c r="B6310" i="20"/>
  <c r="A1714" i="20"/>
  <c r="B2397" i="20"/>
  <c r="B4428" i="20"/>
  <c r="A7213" i="20"/>
  <c r="A5284" i="20"/>
  <c r="A419" i="45"/>
  <c r="A8034" i="20"/>
  <c r="B3300" i="20"/>
  <c r="A3560" i="20"/>
  <c r="B5824" i="20"/>
  <c r="B3938" i="20"/>
  <c r="A3707" i="20"/>
  <c r="B3484" i="20"/>
  <c r="A4227" i="20"/>
  <c r="A4873" i="20"/>
  <c r="A2613" i="20"/>
  <c r="B4945" i="20"/>
  <c r="A7445" i="20"/>
  <c r="B752" i="45"/>
  <c r="B5678" i="20"/>
  <c r="B2696" i="20"/>
  <c r="A1424" i="20"/>
  <c r="A7328" i="20"/>
  <c r="B5038" i="20"/>
  <c r="A3388" i="20"/>
  <c r="B1693" i="20"/>
  <c r="B6247" i="20"/>
  <c r="B3144" i="20"/>
  <c r="B6839" i="20"/>
  <c r="A4417" i="20"/>
  <c r="B4735" i="20"/>
  <c r="A3279" i="20"/>
  <c r="B6414" i="20"/>
  <c r="A5015" i="20"/>
  <c r="B6900" i="20"/>
  <c r="B4909" i="20"/>
  <c r="B7554" i="20"/>
  <c r="A4261" i="20"/>
  <c r="B3369" i="20"/>
  <c r="B6607" i="20"/>
  <c r="A6064" i="20"/>
  <c r="B6279" i="20"/>
  <c r="A3535" i="20"/>
  <c r="A2887" i="20"/>
  <c r="A4901" i="20"/>
  <c r="B3601" i="20"/>
  <c r="A3219" i="20"/>
  <c r="B4968" i="20"/>
  <c r="B6428" i="20"/>
  <c r="B505" i="20"/>
  <c r="B4084" i="20"/>
  <c r="B2865" i="20"/>
  <c r="B6436" i="20"/>
  <c r="A171" i="20"/>
  <c r="B2895" i="20"/>
  <c r="A1780" i="20"/>
  <c r="B5576" i="20"/>
  <c r="A33" i="17"/>
  <c r="B2517" i="20"/>
  <c r="B4249" i="20"/>
  <c r="B2526" i="20"/>
  <c r="A680" i="20"/>
  <c r="B1184" i="20"/>
  <c r="A6043" i="20"/>
  <c r="A4364" i="20"/>
  <c r="B349" i="16"/>
  <c r="B2059" i="20"/>
  <c r="A14" i="20"/>
  <c r="B8444" i="20"/>
  <c r="A5746" i="20"/>
  <c r="A5471" i="20"/>
  <c r="A6275" i="20"/>
  <c r="B2755" i="20"/>
  <c r="A1823" i="20"/>
  <c r="B2382" i="20"/>
  <c r="A8073" i="20"/>
  <c r="A1616" i="20"/>
  <c r="A4870" i="20"/>
  <c r="B3027" i="20"/>
  <c r="A961" i="20"/>
  <c r="B7211" i="20"/>
  <c r="B7235" i="20"/>
  <c r="A8457" i="20"/>
  <c r="B4538" i="20"/>
  <c r="B4082" i="20"/>
  <c r="A4346" i="20"/>
  <c r="A4492" i="20"/>
  <c r="A5299" i="20"/>
  <c r="A5372" i="20"/>
  <c r="B3198" i="20"/>
  <c r="A8158" i="20"/>
  <c r="B6143" i="20"/>
  <c r="B1395" i="20"/>
  <c r="B7923" i="20"/>
  <c r="A5107" i="20"/>
  <c r="B1524" i="20"/>
  <c r="A5835" i="20"/>
  <c r="A508" i="20"/>
  <c r="A2133" i="20"/>
  <c r="A6255" i="20"/>
  <c r="A8406" i="20"/>
  <c r="B7990" i="20"/>
  <c r="B7239" i="20"/>
  <c r="A7099" i="20"/>
  <c r="A8455" i="20"/>
  <c r="A6510" i="20"/>
  <c r="B3302" i="20"/>
  <c r="A31" i="25"/>
  <c r="B7581" i="20"/>
  <c r="A2662" i="20"/>
  <c r="A5491" i="20"/>
  <c r="B1133" i="45"/>
  <c r="A4711" i="20"/>
  <c r="A7616" i="20"/>
  <c r="A8347" i="20"/>
  <c r="B7126" i="20"/>
  <c r="A44" i="49"/>
  <c r="B6391" i="20"/>
  <c r="B48" i="45"/>
  <c r="A834" i="20"/>
  <c r="A6885" i="20"/>
  <c r="A55" i="50"/>
  <c r="A7593" i="20"/>
  <c r="A6010" i="20"/>
  <c r="B7666" i="20"/>
  <c r="B420" i="20"/>
  <c r="B3" i="30"/>
  <c r="B8619" i="20"/>
  <c r="A6842" i="20"/>
  <c r="A8335" i="20"/>
  <c r="B7010" i="20"/>
  <c r="B1970" i="20"/>
  <c r="B4933" i="20"/>
  <c r="A774" i="20"/>
  <c r="B8100" i="20"/>
  <c r="A7324" i="20"/>
  <c r="B6355" i="20"/>
  <c r="B5776" i="20"/>
  <c r="B1410" i="20"/>
  <c r="B213" i="16"/>
  <c r="B4302" i="20"/>
  <c r="F90" i="12"/>
  <c r="B6218" i="20"/>
  <c r="B7984" i="20"/>
  <c r="B5656" i="20"/>
  <c r="A4910" i="20"/>
  <c r="A6098" i="20"/>
  <c r="B576" i="16"/>
  <c r="A5398" i="20"/>
  <c r="A4265" i="20"/>
  <c r="B6903" i="20"/>
  <c r="B4727" i="20"/>
  <c r="B4729" i="20"/>
  <c r="B5518" i="20"/>
  <c r="A3564" i="20"/>
  <c r="B2616" i="20"/>
  <c r="A3437" i="20"/>
  <c r="B3160" i="20"/>
  <c r="A7783" i="20"/>
  <c r="A548" i="20"/>
  <c r="A5677" i="20"/>
  <c r="A2349" i="20"/>
  <c r="B6853" i="20"/>
  <c r="A1109" i="20"/>
  <c r="B186" i="45"/>
  <c r="B4651" i="20"/>
  <c r="B5430" i="20"/>
  <c r="A782" i="49"/>
  <c r="A250" i="32"/>
  <c r="B4375" i="20"/>
  <c r="B6364" i="20"/>
  <c r="B8390" i="20"/>
  <c r="A1269" i="20"/>
  <c r="B8787" i="20"/>
  <c r="A2722" i="20"/>
  <c r="B4743" i="20"/>
  <c r="A5003" i="20"/>
  <c r="A5485" i="20"/>
  <c r="A5379" i="20"/>
  <c r="A2481" i="20"/>
  <c r="B5410" i="20"/>
  <c r="A6415" i="20"/>
  <c r="B5266" i="20"/>
  <c r="A2766" i="20"/>
  <c r="A6288" i="20"/>
  <c r="A8447" i="20"/>
  <c r="A4025" i="20"/>
  <c r="B3209" i="20"/>
  <c r="B4881" i="20"/>
  <c r="B5710" i="20"/>
  <c r="A3686" i="20"/>
  <c r="B5069" i="20"/>
  <c r="B4889" i="20"/>
  <c r="A4087" i="20"/>
  <c r="A7581" i="20"/>
  <c r="A5691" i="20"/>
  <c r="A3726" i="20"/>
  <c r="B4885" i="20"/>
  <c r="A8195" i="20"/>
  <c r="B3164" i="20"/>
  <c r="B4513" i="20"/>
  <c r="A6593" i="20"/>
  <c r="A6258" i="20"/>
  <c r="B7592" i="20"/>
  <c r="A7085" i="20"/>
  <c r="B5762" i="20"/>
  <c r="A4965" i="20"/>
  <c r="B8701" i="20"/>
  <c r="B5180" i="20"/>
  <c r="A7908" i="20"/>
  <c r="A7541" i="20"/>
  <c r="A4292" i="20"/>
  <c r="A2756" i="20"/>
  <c r="A5093" i="20"/>
  <c r="B295" i="16"/>
  <c r="A5217" i="20"/>
  <c r="A6281" i="20"/>
  <c r="B3594" i="20"/>
  <c r="B5561" i="20"/>
  <c r="A6418" i="20"/>
  <c r="A98" i="13"/>
  <c r="A2333" i="20"/>
  <c r="A4400" i="20"/>
  <c r="A3193" i="20"/>
  <c r="B1709" i="16"/>
  <c r="B1818" i="20"/>
  <c r="A2385" i="20"/>
  <c r="B4318" i="20"/>
  <c r="B1069" i="16"/>
  <c r="B6824" i="20"/>
  <c r="A138" i="49"/>
  <c r="A5895" i="20"/>
  <c r="A3445" i="20"/>
  <c r="A3006" i="20"/>
  <c r="B8481" i="20"/>
  <c r="A4753" i="20"/>
  <c r="A73" i="16"/>
  <c r="A2999" i="20"/>
  <c r="B7642" i="20"/>
  <c r="A6250" i="20"/>
  <c r="A6691" i="20"/>
  <c r="B4950" i="20"/>
  <c r="A7219" i="20"/>
  <c r="A3497" i="20"/>
  <c r="A5301" i="20"/>
  <c r="A513" i="16"/>
  <c r="B3169" i="20"/>
  <c r="B1628" i="20"/>
  <c r="A3391" i="20"/>
  <c r="B3431" i="20"/>
  <c r="A2906" i="20"/>
  <c r="A8404" i="20"/>
  <c r="B3267" i="20"/>
  <c r="B1134" i="16"/>
  <c r="A2579" i="20"/>
  <c r="A8798" i="20"/>
  <c r="B2794" i="20"/>
  <c r="H103" i="12"/>
  <c r="B3746" i="20"/>
  <c r="A5240" i="20"/>
  <c r="B5949" i="20"/>
  <c r="A8513" i="20"/>
  <c r="B7609" i="20"/>
  <c r="B4946" i="20"/>
  <c r="B3305" i="20"/>
  <c r="B3996" i="20"/>
  <c r="B3219" i="20"/>
  <c r="A8785" i="20"/>
  <c r="A6407" i="20"/>
  <c r="B5454" i="20"/>
  <c r="A3518" i="20"/>
  <c r="A6097" i="20"/>
  <c r="B4769" i="20"/>
  <c r="A745" i="16"/>
  <c r="B4547" i="20"/>
  <c r="B8587" i="20"/>
  <c r="A4434" i="20"/>
  <c r="H135" i="12"/>
  <c r="A3173" i="20"/>
  <c r="B7122" i="20"/>
  <c r="A3570" i="20"/>
  <c r="B2183" i="20"/>
  <c r="A6085" i="20"/>
  <c r="A5994" i="20"/>
  <c r="B5350" i="20"/>
  <c r="A5637" i="20"/>
  <c r="A1503" i="20"/>
  <c r="B4694" i="20"/>
  <c r="B5398" i="20"/>
  <c r="B3097" i="20"/>
  <c r="B2044" i="20"/>
  <c r="B6573" i="20"/>
  <c r="B7482" i="20"/>
  <c r="A6626" i="20"/>
  <c r="B5562" i="20"/>
  <c r="A6845" i="20"/>
  <c r="B3978" i="20"/>
  <c r="A3767" i="20"/>
  <c r="A112" i="18"/>
  <c r="A3714" i="20"/>
  <c r="A878" i="20"/>
  <c r="A3420" i="20"/>
  <c r="B2885" i="20"/>
  <c r="A7224" i="20"/>
  <c r="B4875" i="20"/>
  <c r="A1727" i="20"/>
  <c r="A754" i="16"/>
  <c r="A2704" i="20"/>
  <c r="A5488" i="20"/>
  <c r="B8331" i="20"/>
  <c r="F110" i="8"/>
  <c r="A6331" i="20"/>
  <c r="A5433" i="20"/>
  <c r="B6445" i="20"/>
  <c r="G74" i="6"/>
  <c r="A5618" i="20"/>
  <c r="A461" i="20"/>
  <c r="A2817" i="20"/>
  <c r="B204" i="19"/>
  <c r="B5966" i="20"/>
  <c r="B6063" i="20"/>
  <c r="B7517" i="20"/>
  <c r="A240" i="16"/>
  <c r="A5170" i="20"/>
  <c r="B6327" i="20"/>
  <c r="A3166" i="20"/>
  <c r="B7616" i="20"/>
  <c r="B122" i="19"/>
  <c r="A130" i="18"/>
  <c r="B3286" i="20"/>
  <c r="C63" i="18"/>
  <c r="A3111" i="20"/>
  <c r="H9" i="13"/>
  <c r="B3226" i="20"/>
  <c r="A3435" i="20"/>
  <c r="A1489" i="16"/>
  <c r="A687" i="16"/>
  <c r="B5215" i="20"/>
  <c r="B3266" i="20"/>
  <c r="A6338" i="20"/>
  <c r="B5401" i="20"/>
  <c r="A5049" i="20"/>
  <c r="B6770" i="20"/>
  <c r="A1733" i="20"/>
  <c r="B6446" i="20"/>
  <c r="A7620" i="20"/>
  <c r="A1" i="23"/>
  <c r="B4433" i="20"/>
  <c r="B7546" i="20"/>
  <c r="A1455" i="49"/>
  <c r="B5067" i="20"/>
  <c r="A7214" i="20"/>
  <c r="A4309" i="20"/>
  <c r="B1880" i="20"/>
  <c r="A14" i="18"/>
  <c r="A2797" i="20"/>
  <c r="B4662" i="20"/>
  <c r="B1730" i="20"/>
  <c r="A4968" i="20"/>
  <c r="A4899" i="20"/>
  <c r="B4240" i="20"/>
  <c r="B7" i="37"/>
  <c r="B4593" i="20"/>
  <c r="A148" i="45"/>
  <c r="B7036" i="20"/>
  <c r="A3702" i="20"/>
  <c r="B4690" i="20"/>
  <c r="B6249" i="20"/>
  <c r="A5236" i="20"/>
  <c r="B8471" i="20"/>
  <c r="A6747" i="20"/>
  <c r="A7990" i="20"/>
  <c r="O72" i="33"/>
  <c r="B5332" i="20"/>
  <c r="A8254" i="20"/>
  <c r="B7413" i="20"/>
  <c r="A2455" i="20"/>
  <c r="B1218" i="20"/>
  <c r="B4701" i="20"/>
  <c r="B6384" i="20"/>
  <c r="B3536" i="20"/>
  <c r="B6" i="43"/>
  <c r="A4601" i="20"/>
  <c r="A5524" i="20"/>
  <c r="B7841" i="20"/>
  <c r="A3421" i="20"/>
  <c r="B8847" i="20"/>
  <c r="B8375" i="20"/>
  <c r="A7149" i="20"/>
  <c r="N15" i="33"/>
  <c r="A7858" i="20"/>
  <c r="B4418" i="20"/>
  <c r="A4811" i="20"/>
  <c r="B6372" i="20"/>
  <c r="B5996" i="20"/>
  <c r="B6293" i="20"/>
  <c r="B5318" i="20"/>
  <c r="A9023" i="20"/>
  <c r="B5051" i="20"/>
  <c r="A5702" i="20"/>
  <c r="A2973" i="20"/>
  <c r="B5698" i="20"/>
  <c r="A4383" i="20"/>
  <c r="B8624" i="20"/>
  <c r="B5461" i="20"/>
  <c r="A7682" i="20"/>
  <c r="B6498" i="20"/>
  <c r="A6216" i="20"/>
  <c r="B2954" i="20"/>
  <c r="B4544" i="20"/>
  <c r="A1817" i="20"/>
  <c r="A3913" i="20"/>
  <c r="A2179" i="20"/>
  <c r="A1239" i="16"/>
  <c r="A4380" i="20"/>
  <c r="B4594" i="20"/>
  <c r="A3053" i="20"/>
  <c r="A599" i="16"/>
  <c r="A3100" i="20"/>
  <c r="A469" i="20"/>
  <c r="A285" i="32"/>
  <c r="A7291" i="20"/>
  <c r="A5060" i="20"/>
  <c r="I6" i="33"/>
  <c r="B758" i="45"/>
  <c r="B6975" i="20"/>
  <c r="B5345" i="20"/>
  <c r="A5073" i="20"/>
  <c r="B4973" i="20"/>
  <c r="B4165" i="20"/>
  <c r="B8129" i="20"/>
  <c r="A7225" i="20"/>
  <c r="A2967" i="20"/>
  <c r="B7171" i="20"/>
  <c r="B9075" i="20"/>
  <c r="B2575" i="20"/>
  <c r="B5816" i="20"/>
  <c r="A1247" i="20"/>
  <c r="A1429" i="20"/>
  <c r="A763" i="20"/>
  <c r="A3929" i="20"/>
  <c r="A2665" i="20"/>
  <c r="B2651" i="20"/>
  <c r="A123" i="20"/>
  <c r="B7296" i="20"/>
  <c r="A1833" i="16"/>
  <c r="A4705" i="20"/>
  <c r="A6824" i="20"/>
  <c r="B3082" i="20"/>
  <c r="A6547" i="20"/>
  <c r="B5219" i="20"/>
  <c r="F53" i="11"/>
  <c r="B2330" i="20"/>
  <c r="B3611" i="20"/>
  <c r="A469" i="49"/>
  <c r="A4970" i="20"/>
  <c r="B6302" i="20"/>
  <c r="A5265" i="20"/>
  <c r="A2938" i="20"/>
  <c r="B5381" i="20"/>
  <c r="B1447" i="20"/>
  <c r="B3664" i="20"/>
  <c r="A6821" i="20"/>
  <c r="B5211" i="20"/>
  <c r="B6046" i="20"/>
  <c r="B8180" i="20"/>
  <c r="A6631" i="20"/>
  <c r="B3779" i="20"/>
  <c r="A3315" i="20"/>
  <c r="A16" i="31"/>
  <c r="A1278" i="45"/>
  <c r="A4232" i="20"/>
  <c r="B3813" i="20"/>
  <c r="B6388" i="20"/>
  <c r="B5812" i="20"/>
  <c r="B3750" i="20"/>
  <c r="A2057" i="20"/>
  <c r="B9005" i="20"/>
  <c r="B7992" i="20"/>
  <c r="B2357" i="20"/>
  <c r="A4519" i="20"/>
  <c r="B7724" i="20"/>
  <c r="A7793" i="20"/>
  <c r="A610" i="20"/>
  <c r="A2955" i="20"/>
  <c r="A3682" i="20"/>
  <c r="A8686" i="20"/>
  <c r="B1461" i="20"/>
  <c r="G69" i="12"/>
  <c r="A6413" i="20"/>
  <c r="B5413" i="20"/>
  <c r="A3063" i="20"/>
  <c r="A2094" i="20"/>
  <c r="A216" i="32"/>
  <c r="A3469" i="20"/>
  <c r="A4089" i="20"/>
  <c r="A3874" i="20"/>
  <c r="B5426" i="20"/>
  <c r="B463" i="20"/>
  <c r="A4595" i="20"/>
  <c r="B3642" i="20"/>
  <c r="B6125" i="20"/>
  <c r="A4691" i="20"/>
  <c r="A7101" i="20"/>
  <c r="A4816" i="20"/>
  <c r="B6673" i="20"/>
  <c r="A6220" i="20"/>
  <c r="B1889" i="20"/>
  <c r="B125" i="19"/>
  <c r="H52" i="12"/>
  <c r="B5543" i="20"/>
  <c r="A173" i="20"/>
  <c r="B475" i="20"/>
  <c r="A775" i="16"/>
  <c r="B5818" i="20"/>
  <c r="B8178" i="20"/>
  <c r="B5279" i="20"/>
  <c r="B5328" i="20"/>
  <c r="A3579" i="20"/>
  <c r="B6174" i="20"/>
  <c r="A7020" i="20"/>
  <c r="A215" i="32"/>
  <c r="B8428" i="20"/>
  <c r="B8606" i="20"/>
  <c r="A1238" i="20"/>
  <c r="A1577" i="16"/>
  <c r="A4209" i="20"/>
  <c r="A3803" i="20"/>
  <c r="A2171" i="20"/>
  <c r="A2606" i="20"/>
  <c r="B8536" i="20"/>
  <c r="B5649" i="20"/>
  <c r="B655" i="20"/>
  <c r="A3172" i="20"/>
  <c r="B8153" i="20"/>
  <c r="B7490" i="20"/>
  <c r="B3116" i="20"/>
  <c r="A2021" i="20"/>
  <c r="A4920" i="20"/>
  <c r="B7431" i="20"/>
  <c r="B2779" i="20"/>
  <c r="A884" i="45"/>
  <c r="B1175" i="45"/>
  <c r="B5298" i="20"/>
  <c r="A3614" i="20"/>
  <c r="A538" i="20"/>
  <c r="A5954" i="20"/>
  <c r="A5685" i="20"/>
  <c r="A3423" i="20"/>
  <c r="A1699" i="20"/>
  <c r="A5573" i="20"/>
  <c r="B1700" i="20"/>
  <c r="A5159" i="20"/>
  <c r="B1612" i="20"/>
  <c r="B6624" i="20"/>
  <c r="A5837" i="20"/>
  <c r="A6149" i="20"/>
  <c r="A4419" i="20"/>
  <c r="B5742" i="20"/>
  <c r="A5013" i="20"/>
  <c r="B56" i="20"/>
  <c r="A53" i="20"/>
  <c r="B1823" i="20"/>
  <c r="A3825" i="20"/>
  <c r="B1119" i="16"/>
  <c r="B8" i="14"/>
  <c r="B664" i="16"/>
  <c r="A4322" i="20"/>
  <c r="B479" i="16"/>
  <c r="B12" i="17"/>
  <c r="E67" i="13"/>
  <c r="B2923" i="20"/>
  <c r="A3993" i="20"/>
  <c r="B4321" i="20"/>
  <c r="B4722" i="20"/>
  <c r="A3585" i="20"/>
  <c r="A19" i="13"/>
  <c r="F67" i="13"/>
  <c r="B1773" i="20"/>
  <c r="B6136" i="20"/>
  <c r="B2840" i="20"/>
  <c r="A4599" i="20"/>
  <c r="B5911" i="20"/>
  <c r="B1168" i="20"/>
  <c r="B6617" i="20"/>
  <c r="B1373" i="16"/>
  <c r="A2210" i="20"/>
  <c r="B8442" i="20"/>
  <c r="A2170" i="20"/>
  <c r="H76" i="11"/>
  <c r="A977" i="20"/>
  <c r="A5989" i="20"/>
  <c r="B3374" i="20"/>
  <c r="A3293" i="20"/>
  <c r="B2043" i="20"/>
  <c r="B1368" i="20"/>
  <c r="B189" i="20"/>
  <c r="A1317" i="45"/>
  <c r="A8999" i="20"/>
  <c r="B1243" i="45"/>
  <c r="A7939" i="20"/>
  <c r="B6277" i="20"/>
  <c r="A5974" i="20"/>
  <c r="A779" i="49"/>
  <c r="A7284" i="20"/>
  <c r="B7055" i="20"/>
  <c r="B8897" i="20"/>
  <c r="B44" i="21"/>
  <c r="B7746" i="20"/>
  <c r="A8253" i="20"/>
  <c r="A7899" i="20"/>
  <c r="B794" i="45"/>
  <c r="B7614" i="20"/>
  <c r="B867" i="45"/>
  <c r="N2" i="29"/>
  <c r="A8943" i="20"/>
  <c r="B7110" i="20"/>
  <c r="B6871" i="20"/>
  <c r="A7358" i="20"/>
  <c r="A9031" i="20"/>
  <c r="A5218" i="20"/>
  <c r="B7276" i="20"/>
  <c r="A7671" i="20"/>
  <c r="B8361" i="20"/>
  <c r="A5782" i="20"/>
  <c r="B7380" i="20"/>
  <c r="B6949" i="20"/>
  <c r="A318" i="32"/>
  <c r="A5764" i="20"/>
  <c r="A261" i="45"/>
  <c r="B4647" i="20"/>
  <c r="B549" i="45"/>
  <c r="B8734" i="20"/>
  <c r="A7145" i="20"/>
  <c r="A7733" i="20"/>
  <c r="A76" i="47"/>
  <c r="A6193" i="20"/>
  <c r="B6946" i="20"/>
  <c r="A6430" i="20"/>
  <c r="B5938" i="20"/>
  <c r="A8934" i="20"/>
  <c r="B5844" i="20"/>
  <c r="A6538" i="20"/>
  <c r="A1133" i="45"/>
  <c r="A7034" i="20"/>
  <c r="A6515" i="20"/>
  <c r="A2447" i="20"/>
  <c r="A5028" i="20"/>
  <c r="A7053" i="20"/>
  <c r="A7871" i="20"/>
  <c r="A7592" i="20"/>
  <c r="A7255" i="20"/>
  <c r="A8035" i="20"/>
  <c r="A9128" i="20"/>
  <c r="B5661" i="20"/>
  <c r="A292" i="19"/>
  <c r="A4469" i="20"/>
  <c r="A3174" i="20"/>
  <c r="B6558" i="20"/>
  <c r="B7424" i="20"/>
  <c r="A38" i="21"/>
  <c r="B6745" i="20"/>
  <c r="B435" i="45"/>
  <c r="B4103" i="20"/>
  <c r="A7313" i="20"/>
  <c r="B8819" i="20"/>
  <c r="A5069" i="20"/>
  <c r="N41" i="33"/>
  <c r="B7950" i="20"/>
  <c r="A6120" i="20"/>
  <c r="C45" i="21"/>
  <c r="A1" i="47"/>
  <c r="A5522" i="20"/>
  <c r="A8575" i="20"/>
  <c r="B4682" i="20"/>
  <c r="B7029" i="20"/>
  <c r="A7642" i="20"/>
  <c r="A3074" i="20"/>
  <c r="B8783" i="20"/>
  <c r="A8948" i="20"/>
  <c r="A9098" i="20"/>
  <c r="A231" i="49"/>
  <c r="A4103" i="20"/>
  <c r="B37" i="21"/>
  <c r="A7009" i="20"/>
  <c r="B3553" i="20"/>
  <c r="B6741" i="20"/>
  <c r="A3" i="24"/>
  <c r="A5430" i="20"/>
  <c r="A7321" i="20"/>
  <c r="B7857" i="20"/>
  <c r="A5256" i="20"/>
  <c r="A5750" i="20"/>
  <c r="A398" i="45"/>
  <c r="B168" i="45"/>
  <c r="B5302" i="20"/>
  <c r="B1357" i="20"/>
  <c r="A5960" i="20"/>
  <c r="A5763" i="20"/>
  <c r="B88" i="20"/>
  <c r="A2852" i="20"/>
  <c r="B7391" i="20"/>
  <c r="A4111" i="20"/>
  <c r="A6889" i="20"/>
  <c r="B590" i="45"/>
  <c r="B83" i="11"/>
  <c r="B8636" i="20"/>
  <c r="B8495" i="20"/>
  <c r="A297" i="16"/>
  <c r="B4916" i="20"/>
  <c r="A6503" i="20"/>
  <c r="A5221" i="20"/>
  <c r="A9033" i="20"/>
  <c r="B4" i="43"/>
  <c r="A544" i="45"/>
  <c r="B6173" i="20"/>
  <c r="B8805" i="20"/>
  <c r="B2466" i="20"/>
  <c r="A3597" i="20"/>
  <c r="B7684" i="20"/>
  <c r="A3212" i="20"/>
  <c r="A6042" i="20"/>
  <c r="A899" i="45"/>
  <c r="B1128" i="45"/>
  <c r="B6307" i="20"/>
  <c r="B7903" i="20"/>
  <c r="B8355" i="20"/>
  <c r="B6850" i="20"/>
  <c r="A6978" i="20"/>
  <c r="A4316" i="20"/>
  <c r="B6306" i="20"/>
  <c r="A3798" i="20"/>
  <c r="B6870" i="20"/>
  <c r="B1" i="49"/>
  <c r="B8981" i="20"/>
  <c r="A5700" i="20"/>
  <c r="A192" i="32"/>
  <c r="A7406" i="20"/>
  <c r="A7630" i="20"/>
  <c r="A7622" i="20"/>
  <c r="B6794" i="20"/>
  <c r="A315" i="45"/>
  <c r="A32" i="47"/>
  <c r="A3078" i="20"/>
  <c r="A6875" i="20"/>
  <c r="B6926" i="20"/>
  <c r="B4279" i="20"/>
  <c r="B5370" i="20"/>
  <c r="A7183" i="20"/>
  <c r="A7700" i="20"/>
  <c r="A5002" i="20"/>
  <c r="B3424" i="20"/>
  <c r="B5125" i="20"/>
  <c r="A3971" i="20"/>
  <c r="A6416" i="20"/>
  <c r="B215" i="49"/>
  <c r="A168" i="32"/>
  <c r="A7844" i="20"/>
  <c r="A8306" i="20"/>
  <c r="A8546" i="20"/>
  <c r="A2745" i="20"/>
  <c r="A5466" i="20"/>
  <c r="A6723" i="20"/>
  <c r="A4146" i="20"/>
  <c r="B5764" i="20"/>
  <c r="A8698" i="20"/>
  <c r="B8356" i="20"/>
  <c r="B800" i="45"/>
  <c r="A6812" i="20"/>
  <c r="B5747" i="20"/>
  <c r="B6601" i="20"/>
  <c r="A6198" i="20"/>
  <c r="A4954" i="20"/>
  <c r="B3922" i="20"/>
  <c r="A7038" i="20"/>
  <c r="A7716" i="20"/>
  <c r="A3829" i="20"/>
  <c r="A8150" i="20"/>
  <c r="B4162" i="20"/>
  <c r="A8203" i="20"/>
  <c r="A3683" i="20"/>
  <c r="A4888" i="20"/>
  <c r="A7029" i="20"/>
  <c r="A376" i="32"/>
  <c r="B6835" i="20"/>
  <c r="A826" i="45"/>
  <c r="B6080" i="20"/>
  <c r="B1259" i="45"/>
  <c r="B7328" i="20"/>
  <c r="A5864" i="20"/>
  <c r="B2580" i="20"/>
  <c r="A8383" i="20"/>
  <c r="B2118" i="20"/>
  <c r="B5559" i="20"/>
  <c r="B4834" i="20"/>
  <c r="A2659" i="20"/>
  <c r="A2131" i="20"/>
  <c r="A2340" i="20"/>
  <c r="B6936" i="20"/>
  <c r="B6458" i="20"/>
  <c r="A3731" i="20"/>
  <c r="B2109" i="20"/>
  <c r="B6598" i="20"/>
  <c r="B2510" i="20"/>
  <c r="B7289" i="20"/>
  <c r="A3796" i="20"/>
  <c r="G44" i="11"/>
  <c r="A38" i="19"/>
  <c r="B8452" i="20"/>
  <c r="B3873" i="20"/>
  <c r="A3859" i="20"/>
  <c r="A4545" i="20"/>
  <c r="A6378" i="20"/>
  <c r="A3836" i="20"/>
  <c r="B4326" i="20"/>
  <c r="A190" i="49"/>
  <c r="A8319" i="20"/>
  <c r="A5440" i="20"/>
  <c r="A2235" i="20"/>
  <c r="B7886" i="20"/>
  <c r="B7641" i="20"/>
  <c r="A4159" i="20"/>
  <c r="B1768" i="16"/>
  <c r="H53" i="12"/>
  <c r="A1033" i="16"/>
  <c r="B83" i="13"/>
  <c r="A1873" i="20"/>
  <c r="A3600" i="20"/>
  <c r="A7902" i="20"/>
  <c r="B3910" i="20"/>
  <c r="B3270" i="20"/>
  <c r="B6212" i="20"/>
  <c r="B7838" i="20"/>
  <c r="A3322" i="20"/>
  <c r="A8990" i="20"/>
  <c r="A5946" i="20"/>
  <c r="A437" i="20"/>
  <c r="A6475" i="20"/>
  <c r="A5353" i="20"/>
  <c r="B3817" i="20"/>
  <c r="A1768" i="20"/>
  <c r="A7405" i="20"/>
  <c r="B6615" i="20"/>
  <c r="A7867" i="20"/>
  <c r="A4251" i="20"/>
  <c r="B8062" i="20"/>
  <c r="A724" i="20"/>
  <c r="B1786" i="20"/>
  <c r="B7589" i="20"/>
  <c r="A5091" i="20"/>
  <c r="A4100" i="20"/>
  <c r="A616" i="20"/>
  <c r="H45" i="12"/>
  <c r="A4864" i="20"/>
  <c r="A597" i="20"/>
  <c r="A822" i="20"/>
  <c r="B7501" i="20"/>
  <c r="B6253" i="20"/>
  <c r="A1140" i="45"/>
  <c r="A2789" i="20"/>
  <c r="B6132" i="20"/>
  <c r="B1458" i="20"/>
  <c r="B6395" i="20"/>
  <c r="A4583" i="20"/>
  <c r="A9063" i="20"/>
  <c r="A8022" i="20"/>
  <c r="A6749" i="20"/>
  <c r="B43" i="21"/>
  <c r="A5155" i="20"/>
  <c r="B2018" i="20"/>
  <c r="B6241" i="20"/>
  <c r="B5858" i="20"/>
  <c r="B5761" i="20"/>
  <c r="A7801" i="20"/>
  <c r="B6796" i="20"/>
  <c r="A5924" i="20"/>
  <c r="A6966" i="20"/>
  <c r="A7901" i="20"/>
  <c r="B8660" i="20"/>
  <c r="A6307" i="20"/>
  <c r="B3090" i="20"/>
  <c r="A6082" i="20"/>
  <c r="G112" i="13"/>
  <c r="A5064" i="20"/>
  <c r="B6964" i="20"/>
  <c r="B6209" i="20"/>
  <c r="B8415" i="20"/>
  <c r="A1336" i="20"/>
  <c r="A4098" i="20"/>
  <c r="A12" i="37"/>
  <c r="B8204" i="20"/>
  <c r="A6166" i="20"/>
  <c r="B6461" i="20"/>
  <c r="A373" i="20"/>
  <c r="A79" i="45"/>
  <c r="B289" i="45"/>
  <c r="A6900" i="20"/>
  <c r="B3" i="21"/>
  <c r="A7018" i="20"/>
  <c r="A3447" i="20"/>
  <c r="B4917" i="20"/>
  <c r="B807" i="16"/>
  <c r="B8118" i="20"/>
  <c r="B8905" i="20"/>
  <c r="B6917" i="20"/>
  <c r="B4823" i="20"/>
  <c r="A6144" i="20"/>
  <c r="B19" i="19"/>
  <c r="B5718" i="20"/>
  <c r="B3012" i="20"/>
  <c r="A1919" i="20"/>
  <c r="A3940" i="20"/>
  <c r="A4518" i="20"/>
  <c r="B5329" i="20"/>
  <c r="A2757" i="20"/>
  <c r="A65" i="11"/>
  <c r="B1132" i="45"/>
  <c r="B3010" i="20"/>
  <c r="B5226" i="20"/>
  <c r="B5968" i="20"/>
  <c r="B7676" i="20"/>
  <c r="A7481" i="20"/>
  <c r="A6011" i="20"/>
  <c r="A1815" i="20"/>
  <c r="A5672" i="20"/>
  <c r="B3320" i="20"/>
  <c r="A8096" i="20"/>
  <c r="A4624" i="20"/>
  <c r="B5367" i="20"/>
  <c r="A8660" i="20"/>
  <c r="A374" i="32"/>
  <c r="A4320" i="20"/>
  <c r="A8588" i="20"/>
  <c r="B3881" i="20"/>
  <c r="A7418" i="20"/>
  <c r="A1494" i="20"/>
  <c r="A4612" i="20"/>
  <c r="B6832" i="20"/>
  <c r="A1804" i="20"/>
  <c r="H93" i="13"/>
  <c r="A8758" i="20"/>
  <c r="B4718" i="20"/>
  <c r="A4547" i="20"/>
  <c r="B7956" i="20"/>
  <c r="A1127" i="20"/>
  <c r="A2559" i="20"/>
  <c r="A7187" i="20"/>
  <c r="A2419" i="20"/>
  <c r="A1327" i="16"/>
  <c r="B5179" i="20"/>
  <c r="A6025" i="20"/>
  <c r="A3685" i="20"/>
  <c r="B2588" i="20"/>
  <c r="A6187" i="20"/>
  <c r="B6326" i="20"/>
  <c r="B5188" i="20"/>
  <c r="A4690" i="20"/>
  <c r="A636" i="20"/>
  <c r="B5280" i="20"/>
  <c r="B6960" i="20"/>
  <c r="A8060" i="20"/>
  <c r="B5683" i="20"/>
  <c r="A5132" i="20"/>
  <c r="B3586" i="20"/>
  <c r="B444" i="20"/>
  <c r="B7099" i="20"/>
  <c r="A2699" i="20"/>
  <c r="B1714" i="20"/>
  <c r="B7195" i="20"/>
  <c r="A5586" i="20"/>
  <c r="B3890" i="20"/>
  <c r="B4370" i="20"/>
  <c r="A343" i="16"/>
  <c r="B3680" i="20"/>
  <c r="A3058" i="20"/>
  <c r="A334" i="45"/>
  <c r="A5146" i="20"/>
  <c r="A4851" i="20"/>
  <c r="A5407" i="20"/>
  <c r="B1862" i="20"/>
  <c r="B3853" i="20"/>
  <c r="B1621" i="16"/>
  <c r="B3574" i="20"/>
  <c r="A7723" i="20"/>
  <c r="A6911" i="20"/>
  <c r="A2689" i="20"/>
  <c r="B538" i="45"/>
  <c r="B7322" i="20"/>
  <c r="B4365" i="20"/>
  <c r="B5403" i="20"/>
  <c r="A2885" i="20"/>
  <c r="B4912" i="20"/>
  <c r="A123" i="11"/>
  <c r="B6008" i="20"/>
  <c r="B4234" i="20"/>
  <c r="A4119" i="20"/>
  <c r="B260" i="20"/>
  <c r="B7336" i="20"/>
  <c r="A2696" i="20"/>
  <c r="A6284" i="20"/>
  <c r="A6027" i="20"/>
  <c r="A4090" i="20"/>
  <c r="A6740" i="20"/>
  <c r="A7444" i="20"/>
  <c r="A2266" i="20"/>
  <c r="B7147" i="20"/>
  <c r="A4286" i="20"/>
  <c r="A6387" i="20"/>
  <c r="B864" i="45"/>
  <c r="A6938" i="20"/>
  <c r="A7922" i="20"/>
  <c r="B2753" i="20"/>
  <c r="A5032" i="20"/>
  <c r="B79" i="20"/>
  <c r="A6519" i="20"/>
  <c r="A4464" i="20"/>
  <c r="A6496" i="20"/>
  <c r="B2254" i="20"/>
  <c r="A582" i="20"/>
  <c r="B135" i="18"/>
  <c r="B5023" i="20"/>
  <c r="G38" i="9"/>
  <c r="A1343" i="20"/>
  <c r="B949" i="16"/>
  <c r="B5646" i="20"/>
  <c r="H60" i="5"/>
  <c r="M42" i="33"/>
  <c r="B309" i="16"/>
  <c r="A8920" i="20"/>
  <c r="A5580" i="20"/>
  <c r="B6031" i="20"/>
  <c r="A5415" i="20"/>
  <c r="A8951" i="20"/>
  <c r="A8665" i="20"/>
  <c r="B4437" i="20"/>
  <c r="A292" i="20"/>
  <c r="B7319" i="20"/>
  <c r="B4667" i="20"/>
  <c r="A4602" i="20"/>
  <c r="B8529" i="20"/>
  <c r="B634" i="45"/>
  <c r="A2712" i="20"/>
  <c r="B5439" i="20"/>
  <c r="B2826" i="20"/>
  <c r="B4384" i="20"/>
  <c r="B2841" i="20"/>
  <c r="A6112" i="20"/>
  <c r="A4158" i="20"/>
  <c r="B3520" i="20"/>
  <c r="A1522" i="20"/>
  <c r="A6213" i="20"/>
  <c r="A2656" i="20"/>
  <c r="B5171" i="20"/>
  <c r="A1351" i="20"/>
  <c r="A2587" i="20"/>
  <c r="A6682" i="20"/>
  <c r="A7386" i="20"/>
  <c r="A23" i="19"/>
  <c r="A4475" i="20"/>
  <c r="B3155" i="20"/>
  <c r="B7892" i="20"/>
  <c r="A174" i="45"/>
  <c r="A7764" i="20"/>
  <c r="A8502" i="20"/>
  <c r="A3073" i="20"/>
  <c r="B5365" i="20"/>
  <c r="A77" i="20"/>
  <c r="B6026" i="20"/>
  <c r="A892" i="20"/>
  <c r="A4053" i="20"/>
  <c r="A252" i="20"/>
  <c r="B3632" i="20"/>
  <c r="B53" i="16"/>
  <c r="B6282" i="20"/>
  <c r="B4197" i="20"/>
  <c r="A7408" i="20"/>
  <c r="B918" i="20"/>
  <c r="B5650" i="20"/>
  <c r="A815" i="20"/>
  <c r="A8618" i="20"/>
  <c r="A1847" i="16"/>
  <c r="A4997" i="20"/>
  <c r="B1088" i="20"/>
  <c r="B7924" i="20"/>
  <c r="A1966" i="20"/>
  <c r="A5111" i="20"/>
  <c r="A1326" i="20"/>
  <c r="A5808" i="20"/>
  <c r="A1079" i="16"/>
  <c r="A3487" i="20"/>
  <c r="B993" i="16"/>
  <c r="B5546" i="20"/>
  <c r="A4779" i="20"/>
  <c r="B3502" i="20"/>
  <c r="A6403" i="20"/>
  <c r="B1640" i="20"/>
  <c r="B3471" i="20"/>
  <c r="A1591" i="16"/>
  <c r="B78" i="18"/>
  <c r="A439" i="16"/>
  <c r="A20" i="13"/>
  <c r="B60" i="13"/>
  <c r="B1221" i="20"/>
  <c r="A1002" i="20"/>
  <c r="B3519" i="20"/>
  <c r="B3051" i="20"/>
  <c r="A5400" i="20"/>
  <c r="B622" i="45"/>
  <c r="A278" i="32"/>
  <c r="A3823" i="20"/>
  <c r="B7097" i="20"/>
  <c r="B7383" i="20"/>
  <c r="B5330" i="20"/>
  <c r="A8832" i="20"/>
  <c r="A3522" i="20"/>
  <c r="A5985" i="20"/>
  <c r="B8102" i="20"/>
  <c r="A3785" i="20"/>
  <c r="B7347" i="20"/>
  <c r="A6827" i="20"/>
  <c r="B6625" i="20"/>
  <c r="A4473" i="20"/>
  <c r="B2842" i="20"/>
  <c r="B5973" i="20"/>
  <c r="A6650" i="20"/>
  <c r="B5249" i="20"/>
  <c r="B6793" i="20"/>
  <c r="A2684" i="20"/>
  <c r="A6843" i="20"/>
  <c r="A7560" i="20"/>
  <c r="A3599" i="20"/>
  <c r="B3945" i="20"/>
  <c r="A3140" i="20"/>
  <c r="A4621" i="20"/>
  <c r="B4211" i="20"/>
  <c r="B7177" i="20"/>
  <c r="A23" i="11"/>
  <c r="A7" i="25"/>
  <c r="B7856" i="20"/>
  <c r="B6674" i="20"/>
  <c r="B7833" i="20"/>
  <c r="A2243" i="20"/>
  <c r="A7538" i="20"/>
  <c r="A1859" i="20"/>
  <c r="A5741" i="20"/>
  <c r="B4737" i="20"/>
  <c r="A8352" i="20"/>
  <c r="B2891" i="20"/>
  <c r="A5806" i="20"/>
  <c r="A3362" i="20"/>
  <c r="A8007" i="20"/>
  <c r="B7134" i="20"/>
  <c r="A3974" i="20"/>
  <c r="A6598" i="20"/>
  <c r="B4673" i="20"/>
  <c r="A958" i="20"/>
  <c r="A3329" i="20"/>
  <c r="A3117" i="20"/>
  <c r="B4036" i="20"/>
  <c r="B6023" i="20"/>
  <c r="A6096" i="20"/>
  <c r="A1417" i="16"/>
  <c r="B8448" i="20"/>
  <c r="B173" i="16"/>
  <c r="A8585" i="20"/>
  <c r="H70" i="12"/>
  <c r="B7003" i="20"/>
  <c r="B2011" i="20"/>
  <c r="B8694" i="20"/>
  <c r="B253" i="19"/>
  <c r="A850" i="45"/>
  <c r="A2820" i="20"/>
  <c r="B7563" i="20"/>
  <c r="B8325" i="20"/>
  <c r="A6645" i="20"/>
  <c r="B7511" i="20"/>
  <c r="B4038" i="20"/>
  <c r="B5286" i="20"/>
  <c r="B98" i="18"/>
  <c r="B6420" i="20"/>
  <c r="A5831" i="20"/>
  <c r="B1005" i="20"/>
  <c r="B4974" i="20"/>
  <c r="B4698" i="20"/>
  <c r="B5178" i="20"/>
  <c r="B165" i="20"/>
  <c r="A3733" i="20"/>
  <c r="B5224" i="20"/>
  <c r="A109" i="45"/>
  <c r="A6986" i="20"/>
  <c r="A128" i="45"/>
  <c r="A5204" i="20"/>
  <c r="A5062" i="20"/>
  <c r="A6081" i="20"/>
  <c r="B3192" i="20"/>
  <c r="A6520" i="20"/>
  <c r="A675" i="20"/>
  <c r="A4697" i="20"/>
  <c r="A1663" i="20"/>
  <c r="B7064" i="20"/>
  <c r="B2298" i="20"/>
  <c r="A5308" i="20"/>
  <c r="A7209" i="20"/>
  <c r="B2246" i="20"/>
  <c r="B2020" i="20"/>
  <c r="A2331" i="20"/>
  <c r="B5034" i="20"/>
  <c r="A1409" i="16"/>
  <c r="B7410" i="20"/>
  <c r="A1691" i="20"/>
  <c r="B4765" i="20"/>
  <c r="A769" i="16"/>
  <c r="A7959" i="20"/>
  <c r="A4462" i="20"/>
  <c r="B7819" i="20"/>
  <c r="B6169" i="20"/>
  <c r="B4166" i="20"/>
  <c r="A6734" i="20"/>
  <c r="B7072" i="20"/>
  <c r="B2480" i="20"/>
  <c r="A4683" i="20"/>
  <c r="B4362" i="20"/>
  <c r="A8878" i="20"/>
  <c r="A518" i="20"/>
  <c r="A6996" i="20"/>
  <c r="A8154" i="20"/>
  <c r="B2763" i="20"/>
  <c r="B4657" i="20"/>
  <c r="A1338" i="20"/>
  <c r="A8918" i="20"/>
  <c r="B6181" i="20"/>
  <c r="B5020" i="20"/>
  <c r="A1791" i="20"/>
  <c r="A7588" i="20"/>
  <c r="B3907" i="20"/>
  <c r="B2960" i="20"/>
  <c r="B4689" i="20"/>
  <c r="B3802" i="20"/>
  <c r="B9030" i="20"/>
  <c r="A5711" i="20"/>
  <c r="A4357" i="20"/>
  <c r="B6380" i="20"/>
  <c r="A6575" i="20"/>
  <c r="B5522" i="20"/>
  <c r="A3278" i="20"/>
  <c r="A1612" i="20"/>
  <c r="A3443" i="20"/>
  <c r="B2060" i="20"/>
  <c r="A6488" i="20"/>
  <c r="A190" i="20"/>
  <c r="A5671" i="20"/>
  <c r="B2206" i="20"/>
  <c r="A5651" i="20"/>
  <c r="A350" i="19"/>
  <c r="C43" i="21"/>
  <c r="A4236" i="20"/>
  <c r="B1824" i="20"/>
  <c r="A3693" i="20"/>
  <c r="B5397" i="20"/>
  <c r="A3871" i="20"/>
  <c r="B4431" i="20"/>
  <c r="B1063" i="16"/>
  <c r="A2782" i="20"/>
  <c r="B6422" i="20"/>
  <c r="B3856" i="20"/>
  <c r="B5422" i="20"/>
  <c r="A3755" i="20"/>
  <c r="B7627" i="20"/>
  <c r="A7683" i="20"/>
  <c r="A7160" i="20"/>
  <c r="B7564" i="20"/>
  <c r="B4829" i="20"/>
  <c r="A8396" i="20"/>
  <c r="B5504" i="20"/>
  <c r="B880" i="20"/>
  <c r="B3303" i="20"/>
  <c r="A2319" i="20"/>
  <c r="B1751" i="16"/>
  <c r="A1455" i="16"/>
  <c r="A1668" i="20"/>
  <c r="A2200" i="20"/>
  <c r="B31" i="12"/>
  <c r="B956" i="20"/>
  <c r="B6851" i="20"/>
  <c r="B3024" i="20"/>
  <c r="A6764" i="20"/>
  <c r="A6995" i="20"/>
  <c r="A1887" i="20"/>
  <c r="B4508" i="20"/>
  <c r="A5863" i="20"/>
  <c r="B8" i="43"/>
  <c r="B229" i="45"/>
  <c r="B4312" i="20"/>
  <c r="A3438" i="20"/>
  <c r="A4205" i="20"/>
  <c r="A5472" i="20"/>
  <c r="B4856" i="20"/>
  <c r="B1772" i="20"/>
  <c r="A117" i="20"/>
  <c r="B5450" i="20"/>
  <c r="A1944" i="20"/>
  <c r="A5713" i="20"/>
  <c r="B551" i="16"/>
  <c r="B4810" i="20"/>
  <c r="B4045" i="20"/>
  <c r="A7285" i="20"/>
  <c r="G55" i="12"/>
  <c r="A7981" i="20"/>
  <c r="A3950" i="20"/>
  <c r="B2656" i="20"/>
  <c r="B5708" i="20"/>
  <c r="B5294" i="20"/>
  <c r="A3900" i="20"/>
  <c r="B2893" i="20"/>
  <c r="B1733" i="20"/>
  <c r="A6803" i="20"/>
  <c r="A6624" i="20"/>
  <c r="A3076" i="20"/>
  <c r="A3413" i="20"/>
  <c r="B4879" i="20"/>
  <c r="A5151" i="20"/>
  <c r="A4943" i="20"/>
  <c r="A6907" i="20"/>
  <c r="B7553" i="20"/>
  <c r="B4193" i="20"/>
  <c r="B7640" i="20"/>
  <c r="B1314" i="20"/>
  <c r="B1472" i="16"/>
  <c r="A4280" i="20"/>
  <c r="A324" i="20"/>
  <c r="A1241" i="16"/>
  <c r="A3403" i="20"/>
  <c r="B1893" i="20"/>
  <c r="B2456" i="20"/>
  <c r="A1128" i="20"/>
  <c r="B2778" i="20"/>
  <c r="A46" i="20"/>
  <c r="A2230" i="20"/>
  <c r="B2756" i="20"/>
  <c r="A6932" i="20"/>
  <c r="A2055" i="20"/>
  <c r="A6452" i="20"/>
  <c r="B2404" i="20"/>
  <c r="B8900" i="20"/>
  <c r="B4441" i="20"/>
  <c r="A674" i="20"/>
  <c r="A614" i="20"/>
  <c r="A358" i="32"/>
  <c r="B1486" i="20"/>
  <c r="A6963" i="20"/>
  <c r="A3808" i="20"/>
  <c r="A3324" i="20"/>
  <c r="A2809" i="20"/>
  <c r="A2142" i="20"/>
  <c r="A53" i="18"/>
  <c r="A330" i="20"/>
  <c r="A7612" i="20"/>
  <c r="B240" i="20"/>
  <c r="B888" i="20"/>
  <c r="A2810" i="20"/>
  <c r="A4790" i="20"/>
  <c r="B9085" i="20"/>
  <c r="A7190" i="20"/>
  <c r="A6902" i="20"/>
  <c r="B3294" i="20"/>
  <c r="A1623" i="20"/>
  <c r="B564" i="45"/>
  <c r="A467" i="45"/>
  <c r="B123" i="45"/>
  <c r="B3762" i="20"/>
  <c r="A4854" i="20"/>
  <c r="A7241" i="20"/>
  <c r="B2458" i="20"/>
  <c r="A7554" i="20"/>
  <c r="B5795" i="20"/>
  <c r="B8347" i="20"/>
  <c r="A5053" i="20"/>
  <c r="B3395" i="20"/>
  <c r="A1853" i="20"/>
  <c r="B3040" i="20"/>
  <c r="A8431" i="20"/>
  <c r="B6545" i="20"/>
  <c r="B828" i="45"/>
  <c r="A2518" i="20"/>
  <c r="A4742" i="20"/>
  <c r="A5875" i="20"/>
  <c r="A283" i="32"/>
  <c r="B566" i="45"/>
  <c r="B6627" i="20"/>
  <c r="B6684" i="20"/>
  <c r="A4698" i="20"/>
  <c r="A5556" i="20"/>
  <c r="A4849" i="20"/>
  <c r="A3045" i="20"/>
  <c r="A5587" i="20"/>
  <c r="J4" i="33"/>
  <c r="B7204" i="20"/>
  <c r="A1747" i="20"/>
  <c r="B5204" i="20"/>
  <c r="A7815" i="20"/>
  <c r="B7527" i="20"/>
  <c r="B7457" i="20"/>
  <c r="A8755" i="20"/>
  <c r="A2006" i="20"/>
  <c r="B6256" i="20"/>
  <c r="B8739" i="20"/>
  <c r="A4369" i="20"/>
  <c r="B8156" i="20"/>
  <c r="A7943" i="20"/>
  <c r="B4014" i="20"/>
  <c r="B8139" i="20"/>
  <c r="A587" i="45"/>
  <c r="A6208" i="20"/>
  <c r="B6507" i="20"/>
  <c r="A1511" i="20"/>
  <c r="A5577" i="20"/>
  <c r="B5467" i="20"/>
  <c r="B8903" i="20"/>
  <c r="B3720" i="20"/>
  <c r="A6311" i="20"/>
  <c r="A4412" i="20"/>
  <c r="A4785" i="20"/>
  <c r="A9" i="28"/>
  <c r="A1777" i="20"/>
  <c r="B56" i="13"/>
  <c r="A772" i="45"/>
  <c r="B5007" i="20"/>
  <c r="A6751" i="20"/>
  <c r="B6178" i="20"/>
  <c r="A2277" i="20"/>
  <c r="A4861" i="20"/>
  <c r="B5704" i="20"/>
  <c r="B5574" i="20"/>
  <c r="B5092" i="20"/>
  <c r="B9059" i="20"/>
  <c r="A6317" i="20"/>
  <c r="B3529" i="20"/>
  <c r="B807" i="20"/>
  <c r="B4160" i="20"/>
  <c r="A4805" i="20"/>
  <c r="B3836" i="20"/>
  <c r="B4620" i="20"/>
  <c r="B3328" i="20"/>
  <c r="A4833" i="20"/>
  <c r="B5588" i="20"/>
  <c r="B7356" i="20"/>
  <c r="A7389" i="20"/>
  <c r="B3523" i="20"/>
  <c r="A8902" i="20"/>
  <c r="A2173" i="20"/>
  <c r="A6877" i="20"/>
  <c r="B7579" i="20"/>
  <c r="B4744" i="20"/>
  <c r="A7247" i="20"/>
  <c r="B6105" i="20"/>
  <c r="B5096" i="20"/>
  <c r="A7117" i="20"/>
  <c r="B8353" i="20"/>
  <c r="B5524" i="20"/>
  <c r="A4362" i="20"/>
  <c r="A1622" i="20"/>
  <c r="B5452" i="20"/>
  <c r="A3242" i="20"/>
  <c r="A9005" i="20"/>
  <c r="B2539" i="20"/>
  <c r="B4812" i="20"/>
  <c r="A2933" i="20"/>
  <c r="B7249" i="20"/>
  <c r="B1383" i="16"/>
  <c r="B1319" i="49"/>
  <c r="B4830" i="20"/>
  <c r="A4361" i="20"/>
  <c r="B5702" i="20"/>
  <c r="A5903" i="20"/>
  <c r="A4537" i="20"/>
  <c r="A1775" i="20"/>
  <c r="B1445" i="20"/>
  <c r="A3866" i="20"/>
  <c r="B6168" i="20"/>
  <c r="A4423" i="20"/>
  <c r="B5895" i="20"/>
  <c r="A1313" i="20"/>
  <c r="B5111" i="20"/>
  <c r="B6769" i="20"/>
  <c r="B7361" i="20"/>
  <c r="A4465" i="20"/>
  <c r="B6057" i="20"/>
  <c r="B7229" i="20"/>
  <c r="B6369" i="20"/>
  <c r="A3751" i="20"/>
  <c r="A5228" i="20"/>
  <c r="B3983" i="20"/>
  <c r="A1659" i="20"/>
  <c r="A5067" i="20"/>
  <c r="B29" i="21"/>
  <c r="B8800" i="20"/>
  <c r="B2082" i="20"/>
  <c r="B6610" i="20"/>
  <c r="A1375" i="20"/>
  <c r="A1621" i="20"/>
  <c r="A891" i="20"/>
  <c r="A4642" i="20"/>
  <c r="A1537" i="20"/>
  <c r="A7670" i="20"/>
  <c r="B3206" i="20"/>
  <c r="B4251" i="20"/>
  <c r="A7892" i="20"/>
  <c r="A5612" i="20"/>
  <c r="A3898" i="20"/>
  <c r="B71" i="18"/>
  <c r="B4897" i="20"/>
  <c r="B6171" i="20"/>
  <c r="A2211" i="20"/>
  <c r="B3393" i="20"/>
  <c r="A2864" i="20"/>
  <c r="A2681" i="20"/>
  <c r="B1325" i="16"/>
  <c r="B6705" i="20"/>
  <c r="A7495" i="20"/>
  <c r="B5021" i="20"/>
  <c r="A2107" i="20"/>
  <c r="B8510" i="20"/>
  <c r="B4176" i="20"/>
  <c r="A4692" i="20"/>
  <c r="B290" i="19"/>
  <c r="A5601" i="20"/>
  <c r="A4789" i="20"/>
  <c r="A7167" i="20"/>
  <c r="B5424" i="20"/>
  <c r="A4596" i="20"/>
  <c r="A4276" i="20"/>
  <c r="B1152" i="20"/>
  <c r="B2273" i="20"/>
  <c r="H92" i="5"/>
  <c r="A1557" i="20"/>
  <c r="B1885" i="20"/>
  <c r="C142" i="18"/>
  <c r="B21" i="9"/>
  <c r="B2066" i="20"/>
  <c r="B7200" i="20"/>
  <c r="A3481" i="20"/>
  <c r="A5072" i="20"/>
  <c r="B3950" i="20"/>
  <c r="A2737" i="20"/>
  <c r="B3943" i="20"/>
  <c r="B6994" i="20"/>
  <c r="A5321" i="20"/>
  <c r="A5328" i="20"/>
  <c r="A6260" i="20"/>
  <c r="A3042" i="20"/>
  <c r="B3403" i="20"/>
  <c r="B2940" i="20"/>
  <c r="A3505" i="20"/>
  <c r="B1837" i="16"/>
  <c r="A43" i="25"/>
  <c r="A6188" i="20"/>
  <c r="A5499" i="20"/>
  <c r="A1627" i="20"/>
  <c r="A6310" i="20"/>
  <c r="A7423" i="20"/>
  <c r="B7035" i="20"/>
  <c r="A2949" i="20"/>
  <c r="A6073" i="20"/>
  <c r="B6311" i="20"/>
  <c r="A7239" i="20"/>
  <c r="A3302" i="20"/>
  <c r="A1595" i="20"/>
  <c r="A8468" i="20"/>
  <c r="A3922" i="20"/>
  <c r="B86" i="11"/>
  <c r="A6866" i="20"/>
  <c r="A5267" i="20"/>
  <c r="A3513" i="20"/>
  <c r="B4297" i="20"/>
  <c r="A5638" i="20"/>
  <c r="A1253" i="20"/>
  <c r="A1701" i="20"/>
  <c r="B853" i="16"/>
  <c r="B6444" i="20"/>
  <c r="B3008" i="20"/>
  <c r="A3957" i="20"/>
  <c r="A4148" i="20"/>
  <c r="A1749" i="20"/>
  <c r="B1394" i="20"/>
  <c r="B2451" i="20"/>
  <c r="B319" i="16"/>
  <c r="B2467" i="20"/>
  <c r="A4562" i="20"/>
  <c r="B2408" i="20"/>
  <c r="A1601" i="16"/>
  <c r="A777" i="20"/>
  <c r="A3026" i="20"/>
  <c r="A2667" i="20"/>
  <c r="A321" i="16"/>
  <c r="B936" i="20"/>
  <c r="B4510" i="20"/>
  <c r="B4198" i="20"/>
  <c r="B3646" i="20"/>
  <c r="B3422" i="20"/>
  <c r="A3849" i="20"/>
  <c r="B4141" i="20"/>
  <c r="B516" i="20"/>
  <c r="B955" i="16"/>
  <c r="B4716" i="20"/>
  <c r="A8982" i="20"/>
  <c r="B7067" i="20"/>
  <c r="B258" i="45"/>
  <c r="A3827" i="20"/>
  <c r="A79" i="19"/>
  <c r="A4825" i="20"/>
  <c r="B127" i="16"/>
  <c r="B5476" i="20"/>
  <c r="A1153" i="16"/>
  <c r="A5325" i="20"/>
  <c r="B1653" i="20"/>
  <c r="B5425" i="20"/>
  <c r="A8679" i="20"/>
  <c r="A2320" i="20"/>
  <c r="B22" i="12"/>
  <c r="A3712" i="20"/>
  <c r="A6" i="37"/>
  <c r="B1139" i="45"/>
  <c r="A8368" i="20"/>
  <c r="B8558" i="20"/>
  <c r="B8597" i="20"/>
  <c r="B6089" i="20"/>
  <c r="B1039" i="45"/>
  <c r="A8672" i="20"/>
  <c r="N43" i="33"/>
  <c r="B8966" i="20"/>
  <c r="B9071" i="20"/>
  <c r="A83" i="32"/>
  <c r="B6590" i="20"/>
  <c r="A2783" i="20"/>
  <c r="B8230" i="20"/>
  <c r="A4770" i="20"/>
  <c r="B372" i="49"/>
  <c r="A8086" i="20"/>
  <c r="A975" i="45"/>
  <c r="A6376" i="20"/>
  <c r="A6102" i="20"/>
  <c r="A18" i="45"/>
  <c r="B6854" i="20"/>
  <c r="A7191" i="20"/>
  <c r="B9120" i="20"/>
  <c r="A7574" i="20"/>
  <c r="A5929" i="20"/>
  <c r="A8840" i="20"/>
  <c r="B4290" i="20"/>
  <c r="A450" i="20"/>
  <c r="B7818" i="20"/>
  <c r="B306" i="45"/>
  <c r="A7073" i="20"/>
  <c r="B7026" i="20"/>
  <c r="B9040" i="20"/>
  <c r="B5741" i="20"/>
  <c r="B8443" i="20"/>
  <c r="A2911" i="20"/>
  <c r="A8407" i="20"/>
  <c r="A5220" i="20"/>
  <c r="B6144" i="20"/>
  <c r="B1160" i="45"/>
  <c r="A13" i="23"/>
  <c r="A2527" i="20"/>
  <c r="B7723" i="20"/>
  <c r="B8644" i="20"/>
  <c r="B6123" i="20"/>
  <c r="B5555" i="20"/>
  <c r="A291" i="45"/>
  <c r="B8179" i="20"/>
  <c r="A5051" i="20"/>
  <c r="B228" i="45"/>
  <c r="B5173" i="20"/>
  <c r="B6121" i="20"/>
  <c r="A8134" i="20"/>
  <c r="B6571" i="20"/>
  <c r="A1303" i="45"/>
  <c r="A6849" i="20"/>
  <c r="B8516" i="20"/>
  <c r="B6435" i="20"/>
  <c r="A132" i="12"/>
  <c r="B8460" i="20"/>
  <c r="A4029" i="20"/>
  <c r="A5548" i="20"/>
  <c r="B2918" i="20"/>
  <c r="A7397" i="20"/>
  <c r="B5485" i="20"/>
  <c r="B7162" i="20"/>
  <c r="B7427" i="20"/>
  <c r="B6386" i="20"/>
  <c r="B3602" i="20"/>
  <c r="B6495" i="20"/>
  <c r="B2790" i="20"/>
  <c r="A8813" i="20"/>
  <c r="A7060" i="20"/>
  <c r="A3551" i="20"/>
  <c r="A8182" i="20"/>
  <c r="A4315" i="20"/>
  <c r="B5707" i="20"/>
  <c r="A7885" i="20"/>
  <c r="C25" i="21"/>
  <c r="A4958" i="20"/>
  <c r="A1116" i="49"/>
  <c r="B822" i="45"/>
  <c r="B6736" i="20"/>
  <c r="A6972" i="20"/>
  <c r="A5026" i="20"/>
  <c r="A5986" i="20"/>
  <c r="B8216" i="20"/>
  <c r="B4306" i="20"/>
  <c r="A7050" i="20"/>
  <c r="A5354" i="20"/>
  <c r="A21" i="31"/>
  <c r="A7887" i="20"/>
  <c r="A8604" i="20"/>
  <c r="B8907" i="20"/>
  <c r="A1682" i="20"/>
  <c r="B5453" i="20"/>
  <c r="B6214" i="20"/>
  <c r="B7573" i="20"/>
  <c r="B1922" i="20"/>
  <c r="A149" i="20"/>
  <c r="B7027" i="20"/>
  <c r="B5898" i="20"/>
  <c r="A4446" i="20"/>
  <c r="B7203" i="20"/>
  <c r="A4971" i="20"/>
  <c r="B4064" i="20"/>
  <c r="B7362" i="20"/>
  <c r="A5936" i="20"/>
  <c r="A3476" i="20"/>
  <c r="A7030" i="20"/>
  <c r="A6924" i="20"/>
  <c r="B1849" i="20"/>
  <c r="A8042" i="20"/>
  <c r="A4863" i="20"/>
  <c r="B6362" i="20"/>
  <c r="B3070" i="20"/>
  <c r="A5649" i="20"/>
  <c r="B5782" i="20"/>
  <c r="B4308" i="20"/>
  <c r="B8717" i="20"/>
  <c r="B7513" i="20"/>
  <c r="B6133" i="20"/>
  <c r="A6641" i="20"/>
  <c r="B5974" i="20"/>
  <c r="B5692" i="20"/>
  <c r="B4174" i="20"/>
  <c r="A4260" i="20"/>
  <c r="A8543" i="20"/>
  <c r="B5434" i="20"/>
  <c r="B4393" i="20"/>
  <c r="A8193" i="20"/>
  <c r="B4422" i="20"/>
  <c r="B3782" i="20"/>
  <c r="B8363" i="20"/>
  <c r="B579" i="45"/>
  <c r="A6448" i="20"/>
  <c r="B6528" i="20"/>
  <c r="A7470" i="20"/>
  <c r="B8531" i="20"/>
  <c r="A4418" i="20"/>
  <c r="B8278" i="20"/>
  <c r="B8863" i="20"/>
  <c r="A7132" i="20"/>
  <c r="B6117" i="20"/>
  <c r="B4703" i="20"/>
  <c r="B845" i="45"/>
  <c r="AH5" i="33"/>
  <c r="A99" i="45"/>
  <c r="A7587" i="20"/>
  <c r="A4499" i="20"/>
  <c r="A6945" i="20"/>
  <c r="A6657" i="20"/>
  <c r="A8353" i="20"/>
  <c r="B7505" i="20"/>
  <c r="B58" i="45"/>
  <c r="A6984" i="20"/>
  <c r="B54" i="21"/>
  <c r="B4928" i="20"/>
  <c r="A4927" i="20"/>
  <c r="A7399" i="20"/>
  <c r="A5687" i="20"/>
  <c r="B8492" i="20"/>
  <c r="A4826" i="20"/>
  <c r="A4345" i="20"/>
  <c r="A7268" i="20"/>
  <c r="B4942" i="20"/>
  <c r="A89" i="49"/>
  <c r="B8801" i="20"/>
  <c r="B4075" i="20"/>
  <c r="A286" i="32"/>
  <c r="A113" i="49"/>
  <c r="B7375" i="20"/>
  <c r="B7061" i="20"/>
  <c r="A8732" i="20"/>
  <c r="B4661" i="20"/>
  <c r="A387" i="32"/>
  <c r="B4" i="46"/>
  <c r="B8227" i="20"/>
  <c r="A5314" i="20"/>
  <c r="A8615" i="20"/>
  <c r="B7672" i="20"/>
  <c r="A322" i="20"/>
  <c r="C30" i="21"/>
  <c r="B8248" i="20"/>
  <c r="A5857" i="20"/>
  <c r="B7552" i="20"/>
  <c r="I2" i="33"/>
  <c r="A8038" i="20"/>
  <c r="B8228" i="20"/>
  <c r="B3754" i="20"/>
  <c r="B8672" i="20"/>
  <c r="A6522" i="20"/>
  <c r="B6" i="39"/>
  <c r="A6140" i="20"/>
  <c r="A8426" i="20"/>
  <c r="B4678" i="20"/>
  <c r="B2063" i="20"/>
  <c r="A8531" i="20"/>
  <c r="A5736" i="20"/>
  <c r="A2985" i="20"/>
  <c r="A5251" i="20"/>
  <c r="B6608" i="20"/>
  <c r="B5248" i="20"/>
  <c r="B6421" i="20"/>
  <c r="B3238" i="20"/>
  <c r="B2992" i="20"/>
  <c r="B1126" i="20"/>
  <c r="B3521" i="20"/>
  <c r="B1594" i="20"/>
  <c r="A3177" i="20"/>
  <c r="A379" i="20"/>
  <c r="A1309" i="20"/>
  <c r="A293" i="19"/>
  <c r="A7138" i="20"/>
  <c r="A1821" i="20"/>
  <c r="A1991" i="20"/>
  <c r="B2264" i="20"/>
  <c r="A973" i="20"/>
  <c r="A333" i="20"/>
  <c r="A2417" i="20"/>
  <c r="A930" i="20"/>
  <c r="A119" i="19"/>
  <c r="A6022" i="20"/>
  <c r="B2500" i="20"/>
  <c r="B2768" i="20"/>
  <c r="B1186" i="20"/>
  <c r="A6787" i="20"/>
  <c r="A6051" i="20"/>
  <c r="B3011" i="20"/>
  <c r="A8738" i="20"/>
  <c r="B5030" i="20"/>
  <c r="A3789" i="20"/>
  <c r="B2730" i="20"/>
  <c r="A18" i="37"/>
  <c r="B7647" i="20"/>
  <c r="B4264" i="20"/>
  <c r="B5065" i="20"/>
  <c r="A112" i="11"/>
  <c r="B2512" i="20"/>
  <c r="A902" i="20"/>
  <c r="A4632" i="20"/>
  <c r="B12" i="13"/>
  <c r="B5032" i="20"/>
  <c r="A5697" i="20"/>
  <c r="B3914" i="20"/>
  <c r="B793" i="20"/>
  <c r="B4531" i="20"/>
  <c r="A1562" i="16"/>
  <c r="B7408" i="20"/>
  <c r="A169" i="16"/>
  <c r="B1140" i="20"/>
  <c r="B12" i="19"/>
  <c r="B223" i="16"/>
  <c r="B6696" i="20"/>
  <c r="B213" i="20"/>
  <c r="B2701" i="20"/>
  <c r="B4" i="10"/>
  <c r="B3863" i="20"/>
  <c r="B1086" i="45"/>
  <c r="B8720" i="20"/>
  <c r="B3174" i="20"/>
  <c r="B6299" i="20"/>
  <c r="B6805" i="20"/>
  <c r="A3209" i="20"/>
  <c r="A5425" i="20"/>
  <c r="B7382" i="20"/>
  <c r="B8591" i="20"/>
  <c r="B8725" i="20"/>
  <c r="A6830" i="20"/>
  <c r="B4710" i="20"/>
  <c r="A4006" i="20"/>
  <c r="B2844" i="20"/>
  <c r="A6708" i="20"/>
  <c r="B7738" i="20"/>
  <c r="A5366" i="20"/>
  <c r="A1272" i="45"/>
  <c r="A6693" i="20"/>
  <c r="B8021" i="20"/>
  <c r="A4871" i="20"/>
  <c r="B2659" i="20"/>
  <c r="B2392" i="20"/>
  <c r="A2010" i="20"/>
  <c r="A2309" i="20"/>
  <c r="B7503" i="20"/>
  <c r="A7497" i="20"/>
  <c r="B7519" i="20"/>
  <c r="A3652" i="20"/>
  <c r="B6081" i="20"/>
  <c r="A5127" i="20"/>
  <c r="B5399" i="20"/>
  <c r="A6290" i="20"/>
  <c r="A64" i="45"/>
  <c r="B6354" i="20"/>
  <c r="A5494" i="20"/>
  <c r="B3344" i="20"/>
  <c r="B3571" i="20"/>
  <c r="A6434" i="20"/>
  <c r="B3086" i="20"/>
  <c r="A7463" i="20"/>
  <c r="A6034" i="20"/>
  <c r="B321" i="19"/>
  <c r="B2678" i="20"/>
  <c r="A2437" i="20"/>
  <c r="A1848" i="20"/>
  <c r="B5339" i="20"/>
  <c r="A4718" i="20"/>
  <c r="A254" i="20"/>
  <c r="B3338" i="20"/>
  <c r="B1426" i="16"/>
  <c r="B2698" i="20"/>
  <c r="B1732" i="20"/>
  <c r="A5198" i="20"/>
  <c r="B1202" i="20"/>
  <c r="B2994" i="20"/>
  <c r="A5241" i="20"/>
  <c r="A5777" i="20"/>
  <c r="A5201" i="20"/>
  <c r="B6523" i="20"/>
  <c r="A222" i="19"/>
  <c r="B8147" i="20"/>
  <c r="B8664" i="20"/>
  <c r="B3240" i="20"/>
  <c r="B5107" i="20"/>
  <c r="A1395" i="20"/>
  <c r="A7843" i="20"/>
  <c r="A6872" i="20"/>
  <c r="B728" i="20"/>
  <c r="B6611" i="20"/>
  <c r="B6737" i="20"/>
  <c r="A8343" i="20"/>
  <c r="B1607" i="16"/>
  <c r="A5874" i="20"/>
  <c r="A5101" i="20"/>
  <c r="A7557" i="20"/>
  <c r="A3960" i="20"/>
  <c r="B8064" i="20"/>
  <c r="B5789" i="20"/>
  <c r="M7" i="33"/>
  <c r="A3201" i="20"/>
  <c r="B7344" i="20"/>
  <c r="B4699" i="20"/>
  <c r="A4408" i="20"/>
  <c r="B1330" i="20"/>
  <c r="A1949" i="20"/>
  <c r="A4166" i="20"/>
  <c r="A3775" i="20"/>
  <c r="B2367" i="20"/>
  <c r="A5901" i="20"/>
  <c r="B259" i="19"/>
  <c r="A5695" i="20"/>
  <c r="A1533" i="20"/>
  <c r="B6382" i="20"/>
  <c r="B1603" i="20"/>
  <c r="A2035" i="20"/>
  <c r="B3777" i="20"/>
  <c r="A7093" i="20"/>
  <c r="B379" i="20"/>
  <c r="A3087" i="20"/>
  <c r="A4598" i="20"/>
  <c r="B3814" i="20"/>
  <c r="A1287" i="20"/>
  <c r="B3368" i="20"/>
  <c r="B1097" i="45"/>
  <c r="A69" i="45"/>
  <c r="B1224" i="20"/>
  <c r="B5466" i="20"/>
  <c r="A3921" i="20"/>
  <c r="A7288" i="20"/>
  <c r="A446" i="20"/>
  <c r="A8139" i="20"/>
  <c r="B8667" i="20"/>
  <c r="B6290" i="20"/>
  <c r="A3760" i="20"/>
  <c r="B3596" i="20"/>
  <c r="A5998" i="20"/>
  <c r="A25" i="47"/>
  <c r="A366" i="45"/>
  <c r="B6410" i="20"/>
  <c r="B8474" i="20"/>
  <c r="B5247" i="20"/>
  <c r="A3955" i="20"/>
  <c r="A3888" i="20"/>
  <c r="B1581" i="16"/>
  <c r="A8113" i="20"/>
  <c r="A7842" i="20"/>
  <c r="B3454" i="20"/>
  <c r="A5569" i="20"/>
  <c r="B5727" i="20"/>
  <c r="A6377" i="20"/>
  <c r="A4197" i="20"/>
  <c r="B8188" i="20"/>
  <c r="B5991" i="20"/>
  <c r="B6191" i="20"/>
  <c r="A1" i="29"/>
  <c r="A5721" i="20"/>
  <c r="A5663" i="20"/>
  <c r="A5152" i="20"/>
  <c r="B6905" i="20"/>
  <c r="A1794" i="20"/>
  <c r="B6868" i="20"/>
  <c r="B4783" i="20"/>
  <c r="B3379" i="20"/>
  <c r="A6709" i="20"/>
  <c r="A6672" i="20"/>
  <c r="B7403" i="20"/>
  <c r="B5544" i="20"/>
  <c r="B2218" i="20"/>
  <c r="A3701" i="20"/>
  <c r="A2183" i="20"/>
  <c r="B6426" i="20"/>
  <c r="A6249" i="20"/>
  <c r="B4192" i="20"/>
  <c r="A5520" i="20"/>
  <c r="B6779" i="20"/>
  <c r="B1373" i="49"/>
  <c r="B7115" i="20"/>
  <c r="A8141" i="20"/>
  <c r="A5568" i="20"/>
  <c r="A8068" i="20"/>
  <c r="B1300" i="20"/>
  <c r="B3343" i="20"/>
  <c r="A4857" i="20"/>
  <c r="A754" i="20"/>
  <c r="B1063" i="20"/>
  <c r="A1678" i="20"/>
  <c r="B5508" i="20"/>
  <c r="B383" i="20"/>
  <c r="B4273" i="20"/>
  <c r="A16" i="32"/>
  <c r="A5038" i="20"/>
  <c r="B5560" i="20"/>
  <c r="B7183" i="20"/>
  <c r="B6602" i="20"/>
  <c r="B8195" i="20"/>
  <c r="A6156" i="20"/>
  <c r="B2463" i="20"/>
  <c r="B6289" i="20"/>
  <c r="A6888" i="20"/>
  <c r="A4342" i="20"/>
  <c r="A6664" i="20"/>
  <c r="A24" i="32"/>
  <c r="A6191" i="20"/>
  <c r="A4201" i="20"/>
  <c r="A3695" i="20"/>
  <c r="B5446" i="20"/>
  <c r="A4491" i="20"/>
  <c r="A8015" i="20"/>
  <c r="B4598" i="20"/>
  <c r="B4806" i="20"/>
  <c r="B5090" i="20"/>
  <c r="B6911" i="20"/>
  <c r="A1000" i="20"/>
  <c r="A8058" i="20"/>
  <c r="B5608" i="20"/>
  <c r="B8436" i="20"/>
  <c r="A6247" i="20"/>
  <c r="A6089" i="20"/>
  <c r="A4533" i="20"/>
  <c r="A2061" i="20"/>
  <c r="A1060" i="20"/>
  <c r="A6445" i="20"/>
  <c r="A8532" i="20"/>
  <c r="A4807" i="20"/>
  <c r="A6696" i="20"/>
  <c r="A3001" i="20"/>
  <c r="A5953" i="20"/>
  <c r="A5007" i="20"/>
  <c r="B7052" i="20"/>
  <c r="A4461" i="20"/>
  <c r="A6388" i="20"/>
  <c r="A3821" i="20"/>
  <c r="B5787" i="20"/>
  <c r="B1286" i="20"/>
  <c r="B1685" i="20"/>
  <c r="A3471" i="20"/>
  <c r="A1193" i="20"/>
  <c r="A2719" i="20"/>
  <c r="A122" i="20"/>
  <c r="B5593" i="20"/>
  <c r="A2044" i="20"/>
  <c r="B891" i="20"/>
  <c r="B2251" i="20"/>
  <c r="B5527" i="20"/>
  <c r="A4152" i="20"/>
  <c r="A6005" i="20"/>
  <c r="A6163" i="20"/>
  <c r="B6646" i="20"/>
  <c r="B7873" i="20"/>
  <c r="B76" i="19"/>
  <c r="B647" i="20"/>
  <c r="A6701" i="20"/>
  <c r="A542" i="20"/>
  <c r="B4523" i="20"/>
  <c r="B4719" i="20"/>
  <c r="A6728" i="20"/>
  <c r="B2004" i="20"/>
  <c r="A5543" i="20"/>
  <c r="B6288" i="20"/>
  <c r="A1551" i="16"/>
  <c r="C67" i="18"/>
  <c r="A399" i="16"/>
  <c r="F12" i="13"/>
  <c r="A78" i="18"/>
  <c r="B2220" i="20"/>
  <c r="B3378" i="20"/>
  <c r="A5588" i="20"/>
  <c r="A6690" i="20"/>
  <c r="A1402" i="49"/>
  <c r="B5295" i="20"/>
  <c r="A5039" i="20"/>
  <c r="B3146" i="20"/>
  <c r="B4086" i="20"/>
  <c r="A667" i="45"/>
  <c r="A8414" i="20"/>
  <c r="A6580" i="20"/>
  <c r="A483" i="49"/>
  <c r="A8834" i="20"/>
  <c r="A9095" i="20"/>
  <c r="A8975" i="20"/>
  <c r="B8968" i="20"/>
  <c r="B3460" i="20"/>
  <c r="A5370" i="20"/>
  <c r="B5055" i="20"/>
  <c r="A4355" i="20"/>
  <c r="B5427" i="20"/>
  <c r="B5440" i="20"/>
  <c r="B907" i="49"/>
  <c r="A7114" i="20"/>
  <c r="B7291" i="20"/>
  <c r="A5125" i="20"/>
  <c r="B7129" i="20"/>
  <c r="B8563" i="20"/>
  <c r="B7463" i="20"/>
  <c r="A22" i="49"/>
  <c r="B603" i="20"/>
  <c r="B7560" i="20"/>
  <c r="B5558" i="20"/>
  <c r="A6410" i="20"/>
  <c r="A6571" i="20"/>
  <c r="A141" i="32"/>
  <c r="B3026" i="20"/>
  <c r="B5120" i="20"/>
  <c r="B8321" i="20"/>
  <c r="A2083" i="20"/>
  <c r="A8025" i="20"/>
  <c r="A757" i="20"/>
  <c r="B7308" i="20"/>
  <c r="B6901" i="20"/>
  <c r="B6652" i="20"/>
  <c r="A2589" i="20"/>
  <c r="A348" i="32"/>
  <c r="A6179" i="20"/>
  <c r="A6060" i="20"/>
  <c r="A6961" i="20"/>
  <c r="B5091" i="20"/>
  <c r="B5594" i="20"/>
  <c r="B6633" i="20"/>
  <c r="B4604" i="20"/>
  <c r="AD2" i="33"/>
  <c r="B8076" i="20"/>
  <c r="A6077" i="20"/>
  <c r="A2839" i="20"/>
  <c r="B1" i="16"/>
  <c r="B2050" i="20"/>
  <c r="B5336" i="20"/>
  <c r="A2793" i="20"/>
  <c r="B8389" i="20"/>
  <c r="A1356" i="20"/>
  <c r="A6078" i="20"/>
  <c r="A3520" i="20"/>
  <c r="A4262" i="20"/>
  <c r="A3158" i="20"/>
  <c r="A3203" i="20"/>
  <c r="A8239" i="20"/>
  <c r="B5050" i="20"/>
  <c r="B5407" i="20"/>
  <c r="A2866" i="20"/>
  <c r="A4929" i="20"/>
  <c r="B5124" i="20"/>
  <c r="A8606" i="20"/>
  <c r="A3669" i="20"/>
  <c r="A1117" i="20"/>
  <c r="B251" i="19"/>
  <c r="B4742" i="20"/>
  <c r="A6429" i="20"/>
  <c r="B1882" i="20"/>
  <c r="A4708" i="20"/>
  <c r="A3501" i="20"/>
  <c r="B3942" i="20"/>
  <c r="A6219" i="20"/>
  <c r="A6057" i="20"/>
  <c r="B8885" i="20"/>
  <c r="B5119" i="20"/>
  <c r="B7803" i="20"/>
  <c r="A6840" i="20"/>
  <c r="A6080" i="20"/>
  <c r="A1119" i="20"/>
  <c r="A635" i="20"/>
  <c r="B7792" i="20"/>
  <c r="A1431" i="20"/>
  <c r="B4629" i="20"/>
  <c r="B5943" i="20"/>
  <c r="A5676" i="20"/>
  <c r="A6155" i="20"/>
  <c r="A7721" i="20"/>
  <c r="A5113" i="20"/>
  <c r="A5991" i="20"/>
  <c r="B5791" i="20"/>
  <c r="B6243" i="20"/>
  <c r="A3749" i="20"/>
  <c r="A7663" i="20"/>
  <c r="B6248" i="20"/>
  <c r="A5602" i="20"/>
  <c r="A2604" i="20"/>
  <c r="A6590" i="20"/>
  <c r="A7866" i="20"/>
  <c r="A3378" i="20"/>
  <c r="A5057" i="20"/>
  <c r="A6539" i="20"/>
  <c r="A5001" i="20"/>
  <c r="B6378" i="20"/>
  <c r="B6551" i="20"/>
  <c r="B8276" i="20"/>
  <c r="A3149" i="20"/>
  <c r="B5045" i="20"/>
  <c r="A7312" i="20"/>
  <c r="A5479" i="20"/>
  <c r="B6352" i="20"/>
  <c r="B7409" i="20"/>
  <c r="B2506" i="20"/>
  <c r="B7048" i="20"/>
  <c r="B6825" i="20"/>
  <c r="A1973" i="20"/>
  <c r="B1850" i="16"/>
  <c r="A299" i="32"/>
  <c r="B6580" i="20"/>
  <c r="B16" i="20"/>
  <c r="A7935" i="20"/>
  <c r="A3529" i="20"/>
  <c r="A125" i="32"/>
  <c r="B6978" i="20"/>
  <c r="B7988" i="20"/>
  <c r="B2793" i="20"/>
  <c r="A2459" i="20"/>
  <c r="B5290" i="20"/>
  <c r="A1537" i="16"/>
  <c r="A2916" i="20"/>
  <c r="A3556" i="20"/>
  <c r="B1749" i="16"/>
  <c r="B4978" i="20"/>
  <c r="A1925" i="20"/>
  <c r="A2405" i="20"/>
  <c r="B1109" i="16"/>
  <c r="A6573" i="20"/>
  <c r="A740" i="20"/>
  <c r="A4738" i="20"/>
  <c r="B5923" i="20"/>
  <c r="A6069" i="20"/>
  <c r="A5387" i="20"/>
  <c r="B4490" i="20"/>
  <c r="A4439" i="20"/>
  <c r="B1727" i="20"/>
  <c r="B3118" i="20"/>
  <c r="B53" i="13"/>
  <c r="A7349" i="20"/>
  <c r="A6127" i="20"/>
  <c r="A4542" i="20"/>
  <c r="B6496" i="20"/>
  <c r="A5203" i="20"/>
  <c r="A151" i="18"/>
  <c r="A2721" i="20"/>
  <c r="A4998" i="20"/>
  <c r="A2581" i="20"/>
  <c r="B7063" i="20"/>
  <c r="B7371" i="20"/>
  <c r="B9024" i="20"/>
  <c r="B1056" i="16"/>
  <c r="B3727" i="20"/>
  <c r="B1124" i="16"/>
  <c r="B6606" i="20"/>
  <c r="B108" i="13"/>
  <c r="A1114" i="20"/>
  <c r="A99" i="12"/>
  <c r="B5839" i="20"/>
  <c r="A5258" i="20"/>
  <c r="B3107" i="20"/>
  <c r="B7766" i="20"/>
  <c r="B6165" i="20"/>
  <c r="A2293" i="20"/>
  <c r="B8788" i="20"/>
  <c r="B5010" i="20"/>
  <c r="B4339" i="20"/>
  <c r="A7561" i="20"/>
  <c r="A6697" i="20"/>
  <c r="B4956" i="20"/>
  <c r="A5944" i="20"/>
  <c r="A3013" i="20"/>
  <c r="B5104" i="20"/>
  <c r="G51" i="12"/>
  <c r="B4462" i="20"/>
  <c r="A3113" i="20"/>
  <c r="A14" i="13"/>
  <c r="A4351" i="20"/>
  <c r="B2926" i="20"/>
  <c r="B3406" i="20"/>
  <c r="B3317" i="20"/>
  <c r="A3235" i="20"/>
  <c r="A2305" i="20"/>
  <c r="A7617" i="20"/>
  <c r="B8070" i="20"/>
  <c r="B4896" i="20"/>
  <c r="B7860" i="20"/>
  <c r="A4414" i="20"/>
  <c r="B3872" i="20"/>
  <c r="A2546" i="20"/>
  <c r="A2765" i="20"/>
  <c r="M9" i="29"/>
  <c r="A5696" i="20"/>
  <c r="B5460" i="20"/>
  <c r="B4179" i="20"/>
  <c r="B5255" i="20"/>
  <c r="A5480" i="20"/>
  <c r="H128" i="11"/>
  <c r="B3626" i="20"/>
  <c r="A4835" i="20"/>
  <c r="B3614" i="20"/>
  <c r="A8127" i="20"/>
  <c r="A5037" i="20"/>
  <c r="A6567" i="20"/>
  <c r="B2560" i="20"/>
  <c r="B1611" i="20"/>
  <c r="A722" i="16"/>
  <c r="B5254" i="20"/>
  <c r="A6297" i="20"/>
  <c r="A2273" i="20"/>
  <c r="A106" i="8"/>
  <c r="A6269" i="20"/>
  <c r="B4894" i="20"/>
  <c r="B1542" i="20"/>
  <c r="G70" i="6"/>
  <c r="A6464" i="20"/>
  <c r="B3202" i="20"/>
  <c r="A5599" i="20"/>
  <c r="A4529" i="20"/>
  <c r="A4019" i="20"/>
  <c r="A4271" i="20"/>
  <c r="A1892" i="20"/>
  <c r="A208" i="16"/>
  <c r="B5845" i="20"/>
  <c r="A5779" i="20"/>
  <c r="A1277" i="20"/>
  <c r="A1317" i="20"/>
  <c r="B3964" i="20"/>
  <c r="A3566" i="20"/>
  <c r="B5520" i="20"/>
  <c r="B180" i="19"/>
  <c r="A4650" i="20"/>
  <c r="B127" i="11"/>
  <c r="B8489" i="20"/>
  <c r="A6200" i="20"/>
  <c r="A3615" i="20"/>
  <c r="A245" i="20"/>
  <c r="A139" i="45"/>
  <c r="B6396" i="20"/>
  <c r="B8220" i="20"/>
  <c r="B2896" i="20"/>
  <c r="A3309" i="20"/>
  <c r="A90" i="45"/>
  <c r="B5317" i="20"/>
  <c r="B4768" i="20"/>
  <c r="B2670" i="20"/>
  <c r="B5829" i="20"/>
  <c r="A5431" i="20"/>
  <c r="B8638" i="20"/>
  <c r="B5835" i="20"/>
  <c r="A4217" i="20"/>
  <c r="A4712" i="20"/>
  <c r="A1545" i="20"/>
  <c r="A4661" i="20"/>
  <c r="B4013" i="20"/>
  <c r="A236" i="32"/>
  <c r="B4665" i="20"/>
  <c r="B8673" i="20"/>
  <c r="B7780" i="20"/>
  <c r="C1" i="21"/>
  <c r="B1484" i="20"/>
  <c r="A3014" i="20"/>
  <c r="B371" i="45"/>
  <c r="A7996" i="20"/>
  <c r="A8503" i="20"/>
  <c r="A7235" i="20"/>
  <c r="A8960" i="20"/>
  <c r="A2849" i="20"/>
  <c r="B8023" i="20"/>
  <c r="B5862" i="20"/>
  <c r="A6867" i="20"/>
  <c r="A8887" i="20"/>
  <c r="B8305" i="20"/>
  <c r="B6692" i="20"/>
  <c r="B3489" i="20"/>
  <c r="A6574" i="20"/>
  <c r="B699" i="45"/>
  <c r="A7461" i="20"/>
  <c r="B7127" i="20"/>
  <c r="A197" i="45"/>
  <c r="B4680" i="20"/>
  <c r="A7123" i="20"/>
  <c r="B2136" i="20"/>
  <c r="A6774" i="20"/>
  <c r="B6179" i="20"/>
  <c r="A25" i="28"/>
  <c r="A7218" i="20"/>
  <c r="A53" i="21"/>
  <c r="B1194" i="20"/>
  <c r="A5068" i="20"/>
  <c r="B6024" i="20"/>
  <c r="B8225" i="20"/>
  <c r="B5743" i="20"/>
  <c r="A4363" i="20"/>
  <c r="A6621" i="20"/>
  <c r="B3800" i="20"/>
  <c r="A3723" i="20"/>
  <c r="B5308" i="20"/>
  <c r="B7557" i="20"/>
  <c r="B6738" i="20"/>
  <c r="B6488" i="20"/>
  <c r="A8650" i="20"/>
  <c r="B1430" i="20"/>
  <c r="A6750" i="20"/>
  <c r="B5868" i="20"/>
  <c r="B5458" i="20"/>
  <c r="A2015" i="20"/>
  <c r="A5439" i="20"/>
  <c r="B5799" i="20"/>
  <c r="B1626" i="16"/>
  <c r="A2047" i="20"/>
  <c r="B6669" i="20"/>
  <c r="A2227" i="20"/>
  <c r="A1199" i="16"/>
  <c r="B3580" i="20"/>
  <c r="B6061" i="20"/>
  <c r="A3337" i="20"/>
  <c r="A559" i="16"/>
  <c r="A4233" i="20"/>
  <c r="B7418" i="20"/>
  <c r="B5356" i="20"/>
  <c r="B8855" i="20"/>
  <c r="B5456" i="20"/>
  <c r="B244" i="19"/>
  <c r="B7815" i="20"/>
  <c r="A5665" i="20"/>
  <c r="A1257" i="16"/>
  <c r="A5705" i="20"/>
  <c r="B4398" i="20"/>
  <c r="A4579" i="20"/>
  <c r="B7748" i="20"/>
  <c r="A7133" i="20"/>
  <c r="B8915" i="20"/>
  <c r="A3962" i="20"/>
  <c r="B5292" i="20"/>
  <c r="A14" i="15"/>
  <c r="A4263" i="20"/>
  <c r="B4864" i="20"/>
  <c r="A803" i="20"/>
  <c r="B4980" i="20"/>
  <c r="A2891" i="20"/>
  <c r="A3449" i="20"/>
  <c r="A163" i="20"/>
  <c r="A3739" i="20"/>
  <c r="B5064" i="20"/>
  <c r="A7070" i="20"/>
  <c r="A7318" i="20"/>
  <c r="A6053" i="20"/>
  <c r="B8650" i="20"/>
  <c r="A1947" i="20"/>
  <c r="A4305" i="20"/>
  <c r="A1025" i="16"/>
  <c r="A2085" i="20"/>
  <c r="B2177" i="20"/>
  <c r="B5233" i="20"/>
  <c r="A6059" i="20"/>
  <c r="B4618" i="20"/>
  <c r="B5613" i="20"/>
  <c r="A6470" i="20"/>
  <c r="B1255" i="16"/>
  <c r="B3912" i="20"/>
  <c r="B3539" i="20"/>
  <c r="B2930" i="20"/>
  <c r="B8578" i="20"/>
  <c r="B8613" i="20"/>
  <c r="A5893" i="20"/>
  <c r="AK2" i="33"/>
  <c r="B5770" i="20"/>
  <c r="A4592" i="20"/>
  <c r="B6119" i="20"/>
  <c r="B6182" i="20"/>
  <c r="B3278" i="20"/>
  <c r="A4855" i="20"/>
  <c r="A2134" i="20"/>
  <c r="B5580" i="20"/>
  <c r="A3882" i="20"/>
  <c r="A7692" i="20"/>
  <c r="A3171" i="20"/>
  <c r="A5004" i="20"/>
  <c r="A2468" i="20"/>
  <c r="A1237" i="20"/>
  <c r="B4520" i="20"/>
  <c r="B7005" i="20"/>
  <c r="A1828" i="20"/>
  <c r="B2418" i="20"/>
  <c r="B5482" i="20"/>
  <c r="B4920" i="20"/>
  <c r="A2371" i="20"/>
  <c r="B5309" i="20"/>
  <c r="A2562" i="20"/>
  <c r="A6517" i="20"/>
  <c r="B3985" i="20"/>
  <c r="B4643" i="20"/>
  <c r="A4572" i="20"/>
  <c r="B698" i="45"/>
  <c r="B1352" i="20"/>
  <c r="A126" i="18"/>
  <c r="B5194" i="20"/>
  <c r="B4788" i="20"/>
  <c r="A3674" i="20"/>
  <c r="B1812" i="20"/>
  <c r="A6756" i="20"/>
  <c r="B19" i="18"/>
  <c r="B5089" i="20"/>
  <c r="A1097" i="16"/>
  <c r="B2520" i="20"/>
  <c r="A1161" i="20"/>
  <c r="B6613" i="20"/>
  <c r="H63" i="12"/>
  <c r="A5614" i="20"/>
  <c r="A2284" i="20"/>
  <c r="B5595" i="20"/>
  <c r="A799" i="16"/>
  <c r="B6555" i="20"/>
  <c r="B3341" i="20"/>
  <c r="B447" i="49"/>
  <c r="A4804" i="20"/>
  <c r="A6390" i="20"/>
  <c r="A5909" i="20"/>
  <c r="A4794" i="20"/>
  <c r="A1909" i="20"/>
  <c r="B1652" i="20"/>
  <c r="A3475" i="20"/>
  <c r="B5432" i="20"/>
  <c r="B4323" i="20"/>
  <c r="A4441" i="20"/>
  <c r="A2124" i="20"/>
  <c r="A3571" i="20"/>
  <c r="B2825" i="20"/>
  <c r="B6073" i="20"/>
  <c r="B3112" i="20"/>
  <c r="B4851" i="20"/>
  <c r="B2416" i="20"/>
  <c r="A2969" i="20"/>
  <c r="A4444" i="20"/>
  <c r="A5603" i="20"/>
  <c r="A1378" i="20"/>
  <c r="B4126" i="20"/>
  <c r="B2912" i="20"/>
  <c r="B3016" i="20"/>
  <c r="B4242" i="20"/>
  <c r="B5272" i="20"/>
  <c r="B1575" i="16"/>
  <c r="B5066" i="20"/>
  <c r="A1432" i="20"/>
  <c r="B8704" i="20"/>
  <c r="B4299" i="20"/>
  <c r="B7425" i="20"/>
  <c r="B4229" i="20"/>
  <c r="A2457" i="20"/>
  <c r="A5109" i="20"/>
  <c r="A5623" i="20"/>
  <c r="A2725" i="20"/>
  <c r="A1582" i="20"/>
  <c r="A6006" i="20"/>
  <c r="B1989" i="20"/>
  <c r="A3715" i="20"/>
  <c r="B133" i="19"/>
  <c r="A1058" i="20"/>
  <c r="A3896" i="20"/>
  <c r="B6561" i="20"/>
  <c r="B2207" i="20"/>
  <c r="A5562" i="20"/>
  <c r="B2267" i="20"/>
  <c r="A7455" i="20"/>
  <c r="B680" i="16"/>
  <c r="A31" i="21"/>
  <c r="A1370" i="20"/>
  <c r="B6432" i="20"/>
  <c r="A71" i="13"/>
  <c r="B4669" i="20"/>
  <c r="B1237" i="16"/>
  <c r="B2594" i="20"/>
  <c r="B597" i="16"/>
  <c r="B2502" i="20"/>
  <c r="B987" i="20"/>
  <c r="A8479" i="20"/>
  <c r="B2029" i="20"/>
  <c r="A4945" i="20"/>
  <c r="A4867" i="20"/>
  <c r="A310" i="45"/>
  <c r="A4902" i="20"/>
  <c r="A5232" i="20"/>
  <c r="A2063" i="20"/>
  <c r="A3567" i="20"/>
  <c r="A778" i="20"/>
  <c r="B2090" i="20"/>
  <c r="A4480" i="20"/>
  <c r="A3754" i="20"/>
  <c r="B5655" i="20"/>
  <c r="A1746" i="16"/>
  <c r="A727" i="16"/>
  <c r="A5103" i="20"/>
  <c r="A3618" i="20"/>
  <c r="A4704" i="20"/>
  <c r="A6893" i="20"/>
  <c r="A9065" i="20"/>
  <c r="A6692" i="20"/>
  <c r="B6563" i="20"/>
  <c r="B8376" i="20"/>
  <c r="A1292" i="45"/>
  <c r="A7790" i="20"/>
  <c r="M29" i="29"/>
  <c r="B378" i="45"/>
  <c r="A229" i="45"/>
  <c r="B8119" i="20"/>
  <c r="B3272" i="20"/>
  <c r="A2435" i="20"/>
  <c r="B3795" i="20"/>
  <c r="B9135" i="20"/>
  <c r="B573" i="45"/>
  <c r="B8829" i="20"/>
  <c r="B5283" i="20"/>
  <c r="A7296" i="20"/>
  <c r="B261" i="20"/>
  <c r="B3119" i="20"/>
  <c r="B246" i="45"/>
  <c r="B80" i="45"/>
  <c r="A8727" i="20"/>
  <c r="A2701" i="20"/>
  <c r="A6103" i="20"/>
  <c r="A6232" i="20"/>
  <c r="B6882" i="20"/>
  <c r="A4603" i="20"/>
  <c r="B6586" i="20"/>
  <c r="A6665" i="20"/>
  <c r="A6649" i="20"/>
  <c r="A8538" i="20"/>
  <c r="B8808" i="20"/>
  <c r="A2" i="43"/>
  <c r="A7637" i="20"/>
  <c r="A8402" i="20"/>
  <c r="B8418" i="20"/>
  <c r="A6800" i="20"/>
  <c r="B1058" i="45"/>
  <c r="A7498" i="20"/>
  <c r="B8887" i="20"/>
  <c r="A243" i="32"/>
  <c r="B8000" i="20"/>
  <c r="B8872" i="20"/>
  <c r="A7301" i="20"/>
  <c r="A6647" i="20"/>
  <c r="B1932" i="20"/>
  <c r="A7006" i="20"/>
  <c r="B7021" i="20"/>
  <c r="A804" i="20"/>
  <c r="B3296" i="20"/>
  <c r="A1205" i="20"/>
  <c r="A2982" i="20"/>
  <c r="A3280" i="20"/>
  <c r="B1888" i="20"/>
  <c r="B3042" i="20"/>
  <c r="B1798" i="20"/>
  <c r="B8741" i="20"/>
  <c r="A13" i="18"/>
  <c r="B679" i="16"/>
  <c r="A3782" i="20"/>
  <c r="A9089" i="20"/>
  <c r="A6636" i="20"/>
  <c r="B162" i="19"/>
  <c r="B195" i="20"/>
  <c r="B5436" i="20"/>
  <c r="B7740" i="20"/>
  <c r="A15" i="25"/>
  <c r="B6004" i="20"/>
  <c r="A5381" i="20"/>
  <c r="A37" i="45"/>
  <c r="A1863" i="20"/>
  <c r="B6683" i="20"/>
  <c r="I5" i="33"/>
  <c r="A156" i="45"/>
  <c r="A7258" i="20"/>
  <c r="A14" i="43"/>
  <c r="B4189" i="20"/>
  <c r="A8425" i="20"/>
  <c r="B1254" i="45"/>
  <c r="A6609" i="20"/>
  <c r="A1335" i="20"/>
  <c r="A3850" i="20"/>
  <c r="A1835" i="20"/>
  <c r="A3145" i="20"/>
  <c r="A8465" i="20"/>
  <c r="A4577" i="20"/>
  <c r="A2051" i="20"/>
  <c r="A7024" i="20"/>
  <c r="A6544" i="20"/>
  <c r="B4311" i="20"/>
  <c r="B3315" i="20"/>
  <c r="A6337" i="20"/>
  <c r="A2001" i="20"/>
  <c r="B2886" i="20"/>
  <c r="B8960" i="20"/>
  <c r="B6292" i="20"/>
  <c r="A5940" i="20"/>
  <c r="A5329" i="20"/>
  <c r="A6773" i="20"/>
  <c r="A2706" i="20"/>
  <c r="B5793" i="20"/>
  <c r="A3965" i="20"/>
  <c r="B3654" i="20"/>
  <c r="B6103" i="20"/>
  <c r="B9117" i="20"/>
  <c r="F35" i="9"/>
  <c r="H56" i="5"/>
  <c r="A1366" i="20"/>
  <c r="A2918" i="20"/>
  <c r="A4922" i="20"/>
  <c r="A1101" i="20"/>
  <c r="B8372" i="20"/>
  <c r="A5216" i="20"/>
  <c r="B6585" i="20"/>
  <c r="B1535" i="16"/>
  <c r="A5323" i="20"/>
  <c r="A744" i="20"/>
  <c r="A1885" i="20"/>
  <c r="B3670" i="20"/>
  <c r="A3534" i="20"/>
  <c r="A3440" i="20"/>
  <c r="B4202" i="20"/>
  <c r="B3607" i="20"/>
  <c r="B4827" i="20"/>
  <c r="B5496" i="20"/>
  <c r="G73" i="12"/>
  <c r="B5276" i="20"/>
  <c r="A3706" i="20"/>
  <c r="A1585" i="20"/>
  <c r="B3947" i="20"/>
  <c r="A366" i="32"/>
  <c r="A7884" i="20"/>
  <c r="A6968" i="20"/>
  <c r="A8173" i="20"/>
  <c r="A3762" i="20"/>
  <c r="B2969" i="20"/>
  <c r="B8758" i="20"/>
  <c r="A7643" i="20"/>
  <c r="B74" i="45"/>
  <c r="A5070" i="20"/>
  <c r="B4637" i="20"/>
  <c r="N12" i="29"/>
  <c r="B7352" i="20"/>
  <c r="B5976" i="20"/>
  <c r="B347" i="20"/>
  <c r="B953" i="20"/>
  <c r="B125" i="20"/>
  <c r="B6951" i="20"/>
  <c r="B6487" i="20"/>
  <c r="B6465" i="20"/>
  <c r="A3164" i="20"/>
  <c r="B6329" i="20"/>
  <c r="A6227" i="20"/>
  <c r="A7480" i="20"/>
  <c r="A1149" i="20"/>
  <c r="B5346" i="20"/>
  <c r="B6819" i="20"/>
  <c r="B5293" i="20"/>
  <c r="B5647" i="20"/>
  <c r="A2917" i="20"/>
  <c r="B5129" i="20"/>
  <c r="A3675" i="20"/>
  <c r="A6421" i="20"/>
  <c r="B8861" i="20"/>
  <c r="B6120" i="20"/>
  <c r="B5170" i="20"/>
  <c r="B5190" i="20"/>
  <c r="A1498" i="20"/>
  <c r="B4936" i="20"/>
  <c r="B1487" i="16"/>
  <c r="H41" i="11"/>
  <c r="A5" i="35"/>
  <c r="B4907" i="20"/>
  <c r="A4437" i="20"/>
  <c r="A7584" i="20"/>
  <c r="B4720" i="20"/>
  <c r="A3895" i="20"/>
  <c r="B5972" i="20"/>
  <c r="A6868" i="20"/>
  <c r="A1592" i="20"/>
  <c r="A2576" i="20"/>
  <c r="B3825" i="20"/>
  <c r="B1775" i="16"/>
  <c r="B126" i="20"/>
  <c r="A625" i="16"/>
  <c r="A40" i="20"/>
  <c r="A80" i="19"/>
  <c r="B7041" i="20"/>
  <c r="H64" i="13"/>
  <c r="B2944" i="20"/>
  <c r="B6219" i="20"/>
  <c r="B6575" i="20"/>
  <c r="B6934" i="20"/>
  <c r="A7182" i="20"/>
  <c r="B3958" i="20"/>
  <c r="A8167" i="20"/>
  <c r="A10" i="27"/>
  <c r="B7252" i="20"/>
  <c r="B8987" i="20"/>
  <c r="A8564" i="20"/>
  <c r="A8050" i="20"/>
  <c r="B5347" i="20"/>
  <c r="B7194" i="20"/>
  <c r="B5716" i="20"/>
  <c r="B6332" i="20"/>
  <c r="B52" i="18"/>
  <c r="B5491" i="20"/>
  <c r="A2217" i="20"/>
  <c r="A1552" i="20"/>
  <c r="A6679" i="20"/>
  <c r="A3837" i="20"/>
  <c r="A5300" i="20"/>
  <c r="A600" i="20"/>
  <c r="B4891" i="20"/>
  <c r="A6184" i="20"/>
  <c r="B3494" i="20"/>
  <c r="A4186" i="20"/>
  <c r="A6473" i="20"/>
  <c r="B7809" i="20"/>
  <c r="B7604" i="20"/>
  <c r="A5320" i="20"/>
  <c r="A1092" i="20"/>
  <c r="B6845" i="20"/>
  <c r="A7553" i="20"/>
  <c r="B4736" i="20"/>
  <c r="A6610" i="20"/>
  <c r="B6009" i="20"/>
  <c r="A6687" i="20"/>
  <c r="A2597" i="20"/>
  <c r="B4755" i="20"/>
  <c r="B4424" i="20"/>
  <c r="B4654" i="20"/>
  <c r="A2167" i="20"/>
  <c r="A68" i="20"/>
  <c r="B1438" i="20"/>
  <c r="A6023" i="20"/>
  <c r="A1273" i="20"/>
  <c r="B6912" i="20"/>
  <c r="B4759" i="20"/>
  <c r="A5184" i="20"/>
  <c r="B1782" i="20"/>
  <c r="A7734" i="20"/>
  <c r="A4243" i="20"/>
  <c r="A3841" i="20"/>
  <c r="B813" i="16"/>
  <c r="B4037" i="20"/>
  <c r="B2917" i="20"/>
  <c r="A793" i="20"/>
  <c r="B1000" i="20"/>
  <c r="B557" i="16"/>
  <c r="B971" i="16"/>
  <c r="A4722" i="20"/>
  <c r="B1326" i="20"/>
  <c r="B217" i="19"/>
  <c r="A2547" i="20"/>
  <c r="A217" i="16"/>
  <c r="A5894" i="20"/>
  <c r="G100" i="13"/>
  <c r="A1084" i="20"/>
  <c r="B6" i="20"/>
  <c r="A4876" i="20"/>
  <c r="E70" i="11"/>
  <c r="B187" i="19"/>
  <c r="A979" i="16"/>
  <c r="A2519" i="20"/>
  <c r="A6837" i="20"/>
  <c r="A1655" i="20"/>
  <c r="A4310" i="20"/>
  <c r="A7411" i="20"/>
  <c r="A2594" i="20"/>
  <c r="B109" i="16"/>
  <c r="B2691" i="20"/>
  <c r="A5435" i="20"/>
  <c r="B8203" i="20"/>
  <c r="A4573" i="20"/>
  <c r="B3014" i="20"/>
  <c r="B22" i="20"/>
  <c r="A1623" i="16"/>
  <c r="A85" i="20"/>
  <c r="A465" i="20"/>
  <c r="B1031" i="16"/>
  <c r="B1155" i="16"/>
  <c r="E83" i="13"/>
  <c r="A2784" i="20"/>
  <c r="A3532" i="20"/>
  <c r="B1747" i="20"/>
  <c r="A8367" i="20"/>
  <c r="B3714" i="20"/>
  <c r="H74" i="12"/>
  <c r="B3719" i="20"/>
  <c r="B4246" i="20"/>
  <c r="B3281" i="20"/>
  <c r="A330" i="32"/>
  <c r="B4452" i="20"/>
  <c r="A376" i="19"/>
  <c r="B4479" i="20"/>
  <c r="B7548" i="20"/>
  <c r="A440" i="20"/>
  <c r="B975" i="16"/>
  <c r="A5024" i="20"/>
  <c r="A5048" i="20"/>
  <c r="B5182" i="20"/>
  <c r="C103" i="18"/>
  <c r="A4472" i="20"/>
  <c r="A4454" i="20"/>
  <c r="B732" i="16"/>
  <c r="A6543" i="20"/>
  <c r="B4293" i="20"/>
  <c r="A3024" i="20"/>
  <c r="B45" i="11"/>
  <c r="B4750" i="20"/>
  <c r="B451" i="20"/>
  <c r="B7217" i="20"/>
  <c r="A570" i="16"/>
  <c r="B3360" i="20"/>
  <c r="B894" i="45"/>
  <c r="B549" i="20"/>
  <c r="B2426" i="20"/>
  <c r="A207" i="19"/>
  <c r="A5087" i="20"/>
  <c r="A6457" i="20"/>
  <c r="B7569" i="20"/>
  <c r="A66" i="7"/>
  <c r="B5908" i="20"/>
  <c r="B5103" i="20"/>
  <c r="A6482" i="20"/>
  <c r="B34" i="13"/>
  <c r="A3931" i="20"/>
  <c r="A6810" i="20"/>
  <c r="A1090" i="20"/>
  <c r="A1020" i="20"/>
  <c r="B5653" i="20"/>
  <c r="A2065" i="20"/>
  <c r="A66" i="32"/>
  <c r="A2354" i="20"/>
  <c r="A7961" i="20"/>
  <c r="A8411" i="20"/>
  <c r="B1838" i="20"/>
  <c r="B126" i="11"/>
  <c r="B6594" i="20"/>
  <c r="B4953" i="20"/>
  <c r="B4949" i="20"/>
  <c r="B1682" i="16"/>
  <c r="A2112" i="20"/>
  <c r="B1430" i="16"/>
  <c r="A2529" i="20"/>
  <c r="A1166" i="20"/>
  <c r="A4137" i="20"/>
  <c r="A3360" i="20"/>
  <c r="A2212" i="20"/>
  <c r="A1018" i="20"/>
  <c r="B2936" i="20"/>
  <c r="B2214" i="20"/>
  <c r="A1381" i="20"/>
  <c r="A4677" i="20"/>
  <c r="B1698" i="20"/>
  <c r="B6190" i="20"/>
  <c r="A4582" i="20"/>
  <c r="H49" i="11"/>
  <c r="A95" i="18"/>
  <c r="B533" i="20"/>
  <c r="B3227" i="20"/>
  <c r="A1633" i="16"/>
  <c r="B1787" i="20"/>
  <c r="A193" i="20"/>
  <c r="A6662" i="20"/>
  <c r="A993" i="16"/>
  <c r="A101" i="19"/>
  <c r="A5" i="18"/>
  <c r="A2753" i="20"/>
  <c r="A3358" i="20"/>
  <c r="A4055" i="20"/>
  <c r="B2625" i="20"/>
  <c r="A5889" i="20"/>
  <c r="A6886" i="20"/>
  <c r="A15" i="16"/>
  <c r="B1949" i="20"/>
  <c r="B1030" i="20"/>
  <c r="A5842" i="20"/>
  <c r="B828" i="20"/>
  <c r="B3892" i="20"/>
  <c r="A211" i="16"/>
  <c r="B1137" i="45"/>
  <c r="B5744" i="20"/>
  <c r="A893" i="20"/>
  <c r="B1408" i="16"/>
  <c r="A1248" i="20"/>
  <c r="B3799" i="20"/>
  <c r="B3845" i="20"/>
  <c r="A2496" i="20"/>
  <c r="B1675" i="20"/>
  <c r="A7647" i="20"/>
  <c r="A3575" i="20"/>
  <c r="B4083" i="20"/>
  <c r="B374" i="20"/>
  <c r="B6358" i="20"/>
  <c r="A201" i="16"/>
  <c r="B4955" i="20"/>
  <c r="A1629" i="20"/>
  <c r="A6537" i="20"/>
  <c r="B2982" i="20"/>
  <c r="B47" i="16"/>
  <c r="B1524" i="16"/>
  <c r="B5530" i="20"/>
  <c r="B6897" i="20"/>
  <c r="A3356" i="20"/>
  <c r="B5086" i="20"/>
  <c r="A5921" i="20"/>
  <c r="A1249" i="16"/>
  <c r="B2775" i="20"/>
  <c r="A5298" i="20"/>
  <c r="A5135" i="20"/>
  <c r="A5219" i="20"/>
  <c r="H38" i="8"/>
  <c r="A6271" i="20"/>
  <c r="A4069" i="20"/>
  <c r="A6941" i="20"/>
  <c r="A9" i="6"/>
  <c r="A4895" i="20"/>
  <c r="A6382" i="20"/>
  <c r="B5830" i="20"/>
  <c r="B5781" i="20"/>
  <c r="B3589" i="20"/>
  <c r="A1806" i="20"/>
  <c r="A5789" i="20"/>
  <c r="B639" i="20"/>
  <c r="B2919" i="20"/>
  <c r="A5056" i="20"/>
  <c r="A66" i="20"/>
  <c r="A6063" i="20"/>
  <c r="A5406" i="20"/>
  <c r="A4057" i="20"/>
  <c r="A5559" i="20"/>
  <c r="A2013" i="20"/>
  <c r="A3956" i="20"/>
  <c r="B3878" i="20"/>
  <c r="A4652" i="20"/>
  <c r="B1339" i="20"/>
  <c r="B119" i="7"/>
  <c r="A8649" i="20"/>
  <c r="A3720" i="20"/>
  <c r="B190" i="20"/>
  <c r="B6392" i="20"/>
  <c r="B2393" i="20"/>
  <c r="B21" i="5"/>
  <c r="B8033" i="20"/>
  <c r="A47" i="19"/>
  <c r="A1666" i="20"/>
  <c r="B261" i="16"/>
  <c r="B5155" i="20"/>
  <c r="A1069" i="20"/>
  <c r="B2400" i="20"/>
  <c r="B1543" i="20"/>
  <c r="B4535" i="20"/>
  <c r="A5549" i="20"/>
  <c r="B4262" i="20"/>
  <c r="B5331" i="20"/>
  <c r="B3402" i="20"/>
  <c r="B1671" i="20"/>
  <c r="A4558" i="20"/>
  <c r="A1055" i="20"/>
  <c r="B4425" i="20"/>
  <c r="A1423" i="16"/>
  <c r="B1870" i="20"/>
  <c r="B1745" i="16"/>
  <c r="A4640" i="20"/>
  <c r="A783" i="16"/>
  <c r="A2384" i="20"/>
  <c r="B465" i="16"/>
  <c r="A3195" i="20"/>
  <c r="B3233" i="20"/>
  <c r="B3400" i="20"/>
  <c r="B1938" i="20"/>
  <c r="B4247" i="20"/>
  <c r="A3698" i="20"/>
  <c r="B1192" i="20"/>
  <c r="A833" i="16"/>
  <c r="A9" i="20"/>
  <c r="A2927" i="20"/>
  <c r="B2005" i="20"/>
  <c r="B8" i="19"/>
  <c r="B699" i="16"/>
  <c r="B5852" i="20"/>
  <c r="A238" i="45"/>
  <c r="A3902" i="20"/>
  <c r="A3691" i="20"/>
  <c r="B5186" i="20"/>
  <c r="B325" i="19"/>
  <c r="H127" i="11"/>
  <c r="B5" i="20"/>
  <c r="H134" i="10"/>
  <c r="B2233" i="20"/>
  <c r="A1086" i="20"/>
  <c r="A3086" i="20"/>
  <c r="B295" i="20"/>
  <c r="B4935" i="20"/>
  <c r="A2135" i="20"/>
  <c r="B2591" i="20"/>
  <c r="A1242" i="20"/>
  <c r="B2705" i="20"/>
  <c r="A1028" i="20"/>
  <c r="A4772" i="20"/>
  <c r="B188" i="19"/>
  <c r="A1745" i="16"/>
  <c r="B227" i="19"/>
  <c r="B7363" i="20"/>
  <c r="B1135" i="16"/>
  <c r="A465" i="16"/>
  <c r="A3187" i="20"/>
  <c r="B5081" i="20"/>
  <c r="A4588" i="20"/>
  <c r="A1545" i="16"/>
  <c r="B133" i="20"/>
  <c r="B8771" i="20"/>
  <c r="A87" i="12"/>
  <c r="B5112" i="20"/>
  <c r="A1027" i="20"/>
  <c r="A6315" i="20"/>
  <c r="B104" i="7"/>
  <c r="A4156" i="20"/>
  <c r="A387" i="20"/>
  <c r="B6843" i="20"/>
  <c r="A137" i="18"/>
  <c r="A3410" i="20"/>
  <c r="A5296" i="20"/>
  <c r="B1407" i="16"/>
  <c r="B2758" i="20"/>
  <c r="B767" i="16"/>
  <c r="A2453" i="20"/>
  <c r="A6469" i="20"/>
  <c r="A5731" i="20"/>
  <c r="G98" i="8"/>
  <c r="B5732" i="20"/>
  <c r="A5149" i="20"/>
  <c r="B4785" i="20"/>
  <c r="A117" i="4"/>
  <c r="A3852" i="20"/>
  <c r="A79" i="18"/>
  <c r="B1739" i="20"/>
  <c r="A6105" i="20"/>
  <c r="B4505" i="20"/>
  <c r="B4369" i="20"/>
  <c r="B919" i="16"/>
  <c r="B2014" i="20"/>
  <c r="B599" i="16"/>
  <c r="A2520" i="20"/>
  <c r="B2108" i="20"/>
  <c r="A3452" i="20"/>
  <c r="A4593" i="20"/>
  <c r="B895" i="16"/>
  <c r="B255" i="16"/>
  <c r="B5054" i="20"/>
  <c r="G130" i="6"/>
  <c r="A4587" i="20"/>
  <c r="C2" i="13"/>
  <c r="B6162" i="20"/>
  <c r="B4809" i="20"/>
  <c r="B66" i="18"/>
  <c r="B269" i="20"/>
  <c r="A6293" i="20"/>
  <c r="B4440" i="20"/>
  <c r="B3851" i="20"/>
  <c r="A5983" i="20"/>
  <c r="B463" i="16"/>
  <c r="A2138" i="20"/>
  <c r="A5459" i="20"/>
  <c r="A7" i="15"/>
  <c r="A6419" i="20"/>
  <c r="B359" i="19"/>
  <c r="A6033" i="20"/>
  <c r="G20" i="11"/>
  <c r="A3267" i="20"/>
  <c r="B3084" i="20"/>
  <c r="B5400" i="20"/>
  <c r="B4187" i="20"/>
  <c r="B4232" i="20"/>
  <c r="C150" i="18"/>
  <c r="B4390" i="20"/>
  <c r="A37" i="12"/>
  <c r="B4503" i="20"/>
  <c r="A9006" i="20"/>
  <c r="A2299" i="20"/>
  <c r="B964" i="16"/>
  <c r="A4082" i="20"/>
  <c r="A7116" i="20"/>
  <c r="B4330" i="20"/>
  <c r="B110" i="16"/>
  <c r="A4448" i="20"/>
  <c r="B3850" i="20"/>
  <c r="A316" i="19"/>
  <c r="B7804" i="20"/>
  <c r="B1600" i="16"/>
  <c r="B103" i="19"/>
  <c r="A2449" i="20"/>
  <c r="B2849" i="20"/>
  <c r="B5640" i="20"/>
  <c r="H136" i="13"/>
  <c r="B1216" i="20"/>
  <c r="B4062" i="20"/>
  <c r="B4278" i="20"/>
  <c r="A983" i="16"/>
  <c r="A1581" i="20"/>
  <c r="A280" i="20"/>
  <c r="A1921" i="20"/>
  <c r="A851" i="20"/>
  <c r="A61" i="18"/>
  <c r="B1752" i="16"/>
  <c r="B1511" i="16"/>
  <c r="B1432" i="16"/>
  <c r="B263" i="16"/>
  <c r="B792" i="16"/>
  <c r="G67" i="13"/>
  <c r="B584" i="16"/>
  <c r="B971" i="20"/>
  <c r="B3101" i="20"/>
  <c r="B5832" i="20"/>
  <c r="A428" i="20"/>
  <c r="B2685" i="20"/>
  <c r="A1710" i="20"/>
  <c r="C28" i="18"/>
  <c r="B4847" i="20"/>
  <c r="A8586" i="20"/>
  <c r="B5131" i="20"/>
  <c r="A477" i="20"/>
  <c r="B128" i="8"/>
  <c r="B1287" i="16"/>
  <c r="B1304" i="16"/>
  <c r="B839" i="16"/>
  <c r="B1096" i="16"/>
  <c r="B3524" i="20"/>
  <c r="A259" i="19"/>
  <c r="B2256" i="20"/>
  <c r="B3997" i="20"/>
  <c r="E80" i="12"/>
  <c r="B606" i="16"/>
  <c r="E27" i="5"/>
  <c r="B942" i="16"/>
  <c r="H134" i="9"/>
  <c r="B1830" i="16"/>
  <c r="A937" i="45"/>
  <c r="A2774" i="20"/>
  <c r="A45" i="19"/>
  <c r="A2505" i="20"/>
  <c r="B1392" i="20"/>
  <c r="A1267" i="20"/>
  <c r="A733" i="20"/>
  <c r="B3423" i="20"/>
  <c r="A413" i="20"/>
  <c r="B205" i="19"/>
  <c r="B760" i="20"/>
  <c r="A3352" i="20"/>
  <c r="B5312" i="20"/>
  <c r="B1091" i="16"/>
  <c r="A4391" i="20"/>
  <c r="B771" i="16"/>
  <c r="A4130" i="20"/>
  <c r="A96" i="11"/>
  <c r="A3170" i="20"/>
  <c r="B1791" i="20"/>
  <c r="B5642" i="20"/>
  <c r="G88" i="5"/>
  <c r="A6965" i="20"/>
  <c r="A2156" i="20"/>
  <c r="A1964" i="20"/>
  <c r="B1549" i="16"/>
  <c r="B431" i="16"/>
  <c r="B71" i="16"/>
  <c r="B3738" i="20"/>
  <c r="B3264" i="20"/>
  <c r="A8146" i="20"/>
  <c r="A233" i="16"/>
  <c r="A3150" i="20"/>
  <c r="A3540" i="20"/>
  <c r="A5657" i="20"/>
  <c r="A5758" i="20"/>
  <c r="B3920" i="20"/>
  <c r="B7312" i="20"/>
  <c r="A4196" i="20"/>
  <c r="C44" i="18"/>
  <c r="A1796" i="20"/>
  <c r="A2552" i="20"/>
  <c r="A15" i="13"/>
  <c r="B960" i="16"/>
  <c r="B5281" i="20"/>
  <c r="A3051" i="20"/>
  <c r="A2075" i="20"/>
  <c r="A4919" i="20"/>
  <c r="B7185" i="20"/>
  <c r="B129" i="19"/>
  <c r="A4212" i="20"/>
  <c r="B2299" i="20"/>
  <c r="A1685" i="20"/>
  <c r="A547" i="20"/>
  <c r="A7767" i="20"/>
  <c r="B3736" i="20"/>
  <c r="B2138" i="20"/>
  <c r="B6743" i="20"/>
  <c r="A82" i="12"/>
  <c r="A3937" i="20"/>
  <c r="B6797" i="20"/>
  <c r="A3345" i="20"/>
  <c r="B6553" i="20"/>
  <c r="A97" i="16"/>
  <c r="B354" i="19"/>
  <c r="B115" i="16"/>
  <c r="A5771" i="20"/>
  <c r="G36" i="12"/>
  <c r="B1685" i="16"/>
  <c r="B654" i="20"/>
  <c r="A6433" i="20"/>
  <c r="A2834" i="20"/>
  <c r="A5153" i="20"/>
  <c r="A4531" i="20"/>
  <c r="B6082" i="20"/>
  <c r="A6909" i="20"/>
  <c r="A2752" i="20"/>
  <c r="B9" i="9"/>
  <c r="B5260" i="20"/>
  <c r="A5847" i="20"/>
  <c r="B2676" i="20"/>
  <c r="A1744" i="16"/>
  <c r="A6261" i="20"/>
  <c r="A4300" i="20"/>
  <c r="A1380" i="20"/>
  <c r="G37" i="11"/>
  <c r="A1975" i="20"/>
  <c r="A4923" i="20"/>
  <c r="B3168" i="20"/>
  <c r="B5257" i="20"/>
  <c r="B3241" i="20"/>
  <c r="B4911" i="20"/>
  <c r="A153" i="18"/>
  <c r="A76" i="19"/>
  <c r="A2016" i="20"/>
  <c r="A4765" i="20"/>
  <c r="B376" i="20"/>
  <c r="G93" i="13"/>
  <c r="A204" i="20"/>
  <c r="B2394" i="20"/>
  <c r="A4085" i="20"/>
  <c r="A4589" i="20"/>
  <c r="A335" i="19"/>
  <c r="B2017" i="20"/>
  <c r="B6406" i="20"/>
  <c r="B122" i="20"/>
  <c r="B7595" i="20"/>
  <c r="G119" i="9"/>
  <c r="B6156" i="20"/>
  <c r="A150" i="19"/>
  <c r="B2243" i="20"/>
  <c r="B772" i="20"/>
  <c r="A7229" i="20"/>
  <c r="A4229" i="20"/>
  <c r="A4837" i="20"/>
  <c r="A663" i="16"/>
  <c r="B3421" i="20"/>
  <c r="A1420" i="20"/>
  <c r="B7696" i="20"/>
  <c r="H48" i="13"/>
  <c r="B7621" i="20"/>
  <c r="B1240" i="20"/>
  <c r="B6915" i="20"/>
  <c r="A132" i="18"/>
  <c r="A5344" i="20"/>
  <c r="A1454" i="20"/>
  <c r="B6140" i="20"/>
  <c r="B1813" i="20"/>
  <c r="A5192" i="20"/>
  <c r="A567" i="16"/>
  <c r="B3592" i="20"/>
  <c r="B4" i="14"/>
  <c r="B5264" i="20"/>
  <c r="G16" i="12"/>
  <c r="A1501" i="20"/>
  <c r="A1251" i="16"/>
  <c r="B4032" i="20"/>
  <c r="B476" i="20"/>
  <c r="A3793" i="20"/>
  <c r="B5" i="14"/>
  <c r="B2237" i="20"/>
  <c r="A2945" i="20"/>
  <c r="A26" i="11"/>
  <c r="B8012" i="20"/>
  <c r="A131" i="18"/>
  <c r="A1974" i="20"/>
  <c r="B4250" i="20"/>
  <c r="B3616" i="20"/>
  <c r="A8378" i="20"/>
  <c r="B1786" i="16"/>
  <c r="A2159" i="20"/>
  <c r="B4267" i="20"/>
  <c r="A7469" i="20"/>
  <c r="B665" i="20"/>
  <c r="B9003" i="20"/>
  <c r="B173" i="19"/>
  <c r="A1910" i="20"/>
  <c r="A1363" i="20"/>
  <c r="A2394" i="20"/>
  <c r="A342" i="19"/>
  <c r="B1613" i="20"/>
  <c r="A18" i="18"/>
  <c r="B859" i="20"/>
  <c r="A1715" i="20"/>
  <c r="A3220" i="20"/>
  <c r="B2734" i="20"/>
  <c r="B8593" i="20"/>
  <c r="A7543" i="20"/>
  <c r="B3835" i="20"/>
  <c r="A1211" i="20"/>
  <c r="B1992" i="20"/>
  <c r="A2054" i="20"/>
  <c r="A3432" i="20"/>
  <c r="B1556" i="20"/>
  <c r="A8351" i="20"/>
  <c r="B7298" i="20"/>
  <c r="B5881" i="20"/>
  <c r="B97" i="19"/>
  <c r="A1227" i="20"/>
  <c r="A1902" i="20"/>
  <c r="A8736" i="20"/>
  <c r="B1477" i="20"/>
  <c r="A1607" i="20"/>
  <c r="E96" i="13"/>
  <c r="A7360" i="20"/>
  <c r="A1140" i="20"/>
  <c r="A1217" i="20"/>
  <c r="B2359" i="20"/>
  <c r="A6976" i="20"/>
  <c r="B702" i="20"/>
  <c r="B2883" i="20"/>
  <c r="A1793" i="16"/>
  <c r="A3133" i="20"/>
  <c r="B5060" i="20"/>
  <c r="A5281" i="20"/>
  <c r="A726" i="16"/>
  <c r="A1295" i="20"/>
  <c r="A4585" i="20"/>
  <c r="A5959" i="20"/>
  <c r="H17" i="5"/>
  <c r="A1624" i="20"/>
  <c r="B5416" i="20"/>
  <c r="A5861" i="20"/>
  <c r="A136" i="13"/>
  <c r="A6000" i="20"/>
  <c r="B7732" i="20"/>
  <c r="A6991" i="20"/>
  <c r="A7629" i="20"/>
  <c r="A8662" i="20"/>
  <c r="A4072" i="20"/>
  <c r="B1428" i="20"/>
  <c r="A6673" i="20"/>
  <c r="A1286" i="20"/>
  <c r="B1301" i="20"/>
  <c r="A2190" i="20"/>
  <c r="A5775" i="20"/>
  <c r="B2219" i="20"/>
  <c r="A3081" i="20"/>
  <c r="A7040" i="20"/>
  <c r="B36" i="17"/>
  <c r="A454" i="20"/>
  <c r="A705" i="20"/>
  <c r="A887" i="16"/>
  <c r="B1606" i="16"/>
  <c r="A535" i="16"/>
  <c r="B1318" i="16"/>
  <c r="A107" i="12"/>
  <c r="B678" i="16"/>
  <c r="A74" i="11"/>
  <c r="B466" i="16"/>
  <c r="B6497" i="20"/>
  <c r="A3765" i="20"/>
  <c r="A764" i="20"/>
  <c r="B3492" i="20"/>
  <c r="A177" i="19"/>
  <c r="B2052" i="20"/>
  <c r="B2642" i="20"/>
  <c r="B1656" i="20"/>
  <c r="A2106" i="20"/>
  <c r="A2664" i="20"/>
  <c r="A9086" i="20"/>
  <c r="B1587" i="20"/>
  <c r="A375" i="16"/>
  <c r="B1190" i="16"/>
  <c r="A23" i="16"/>
  <c r="B978" i="16"/>
  <c r="A5115" i="20"/>
  <c r="G54" i="10"/>
  <c r="A326" i="32"/>
  <c r="G138" i="9"/>
  <c r="H8" i="12"/>
  <c r="A54" i="9"/>
  <c r="E74" i="8"/>
  <c r="A9" i="5"/>
  <c r="A69" i="20"/>
  <c r="A573" i="16"/>
  <c r="A4540" i="20"/>
  <c r="B5679" i="20"/>
  <c r="E3" i="29"/>
  <c r="B751" i="16"/>
  <c r="A209" i="16"/>
  <c r="B1072" i="20"/>
  <c r="B7878" i="20"/>
  <c r="B119" i="18"/>
  <c r="B5664" i="20"/>
  <c r="B797" i="16"/>
  <c r="A7227" i="20"/>
  <c r="B413" i="16"/>
  <c r="A6505" i="20"/>
  <c r="A440" i="16"/>
  <c r="A5513" i="20"/>
  <c r="H65" i="13"/>
  <c r="B4653" i="20"/>
  <c r="B2797" i="20"/>
  <c r="A4797" i="20"/>
  <c r="A192" i="20"/>
  <c r="B103" i="16"/>
  <c r="G124" i="1"/>
  <c r="B3218" i="20"/>
  <c r="A5870" i="20"/>
  <c r="A6336" i="20"/>
  <c r="B5338" i="20"/>
  <c r="B113" i="19"/>
  <c r="A5701" i="20"/>
  <c r="B2585" i="20"/>
  <c r="A4976" i="20"/>
  <c r="H47" i="9"/>
  <c r="A4607" i="20"/>
  <c r="A859" i="20"/>
  <c r="A5640" i="20"/>
  <c r="G40" i="7"/>
  <c r="A3607" i="20"/>
  <c r="A219" i="45"/>
  <c r="A2907" i="20"/>
  <c r="A3252" i="20"/>
  <c r="A2069" i="20"/>
  <c r="B3661" i="20"/>
  <c r="B440" i="20"/>
  <c r="H142" i="9"/>
  <c r="A3377" i="20"/>
  <c r="B6095" i="20"/>
  <c r="A6268" i="20"/>
  <c r="A5385" i="20"/>
  <c r="B2874" i="20"/>
  <c r="A228" i="20"/>
  <c r="B3587" i="20"/>
  <c r="B4135" i="20"/>
  <c r="A1807" i="20"/>
  <c r="A2082" i="20"/>
  <c r="B2462" i="20"/>
  <c r="B6450" i="20"/>
  <c r="A114" i="7"/>
  <c r="A7678" i="20"/>
  <c r="B6654" i="20"/>
  <c r="A3641" i="20"/>
  <c r="C104" i="18"/>
  <c r="B8797" i="20"/>
  <c r="B17" i="5"/>
  <c r="A7231" i="20"/>
  <c r="B57" i="13"/>
  <c r="A1455" i="20"/>
  <c r="B1621" i="20"/>
  <c r="A4763" i="20"/>
  <c r="B145" i="18"/>
  <c r="B1408" i="20"/>
  <c r="B361" i="19"/>
  <c r="A165" i="19"/>
  <c r="B5408" i="20"/>
  <c r="B1337" i="20"/>
  <c r="B943" i="20"/>
  <c r="B189" i="19"/>
  <c r="B90" i="45"/>
  <c r="B848" i="16"/>
  <c r="A7257" i="20"/>
  <c r="A296" i="20"/>
  <c r="B5025" i="20"/>
  <c r="A100" i="11"/>
  <c r="A5584" i="20"/>
  <c r="B305" i="20"/>
  <c r="B5191" i="20"/>
  <c r="B1635" i="20"/>
  <c r="A3132" i="20"/>
  <c r="A259" i="20"/>
  <c r="B2568" i="20"/>
  <c r="A4571" i="20"/>
  <c r="B1470" i="20"/>
  <c r="B2436" i="20"/>
  <c r="B136" i="18"/>
  <c r="A4153" i="20"/>
  <c r="A47" i="20"/>
  <c r="B5542" i="20"/>
  <c r="A951" i="16"/>
  <c r="A3139" i="20"/>
  <c r="B737" i="16"/>
  <c r="A3588" i="20"/>
  <c r="B441" i="20"/>
  <c r="B4792" i="20"/>
  <c r="A1426" i="20"/>
  <c r="A3092" i="20"/>
  <c r="B3292" i="20"/>
  <c r="A637" i="20"/>
  <c r="B2525" i="20"/>
  <c r="B1327" i="16"/>
  <c r="B4468" i="20"/>
  <c r="H40" i="13"/>
  <c r="B221" i="16"/>
  <c r="B8113" i="20"/>
  <c r="B3488" i="20"/>
  <c r="B3541" i="20"/>
  <c r="B469" i="16"/>
  <c r="B1951" i="20"/>
  <c r="B120" i="18"/>
  <c r="A32" i="12"/>
  <c r="A2160" i="20"/>
  <c r="A3314" i="20"/>
  <c r="B3194" i="20"/>
  <c r="B5517" i="20"/>
  <c r="A1520" i="20"/>
  <c r="A2163" i="20"/>
  <c r="B2643" i="20"/>
  <c r="A6977" i="20"/>
  <c r="B3049" i="20"/>
  <c r="B6363" i="20"/>
  <c r="A3536" i="20"/>
  <c r="A5540" i="20"/>
  <c r="A2234" i="20"/>
  <c r="B1643" i="20"/>
  <c r="B729" i="20"/>
  <c r="B7226" i="20"/>
  <c r="B151" i="19"/>
  <c r="B2438" i="20"/>
  <c r="A339" i="20"/>
  <c r="A7380" i="20"/>
  <c r="B677" i="20"/>
  <c r="A2220" i="20"/>
  <c r="B102" i="18"/>
  <c r="B6231" i="20"/>
  <c r="A4277" i="20"/>
  <c r="B6877" i="20"/>
  <c r="A6301" i="20"/>
  <c r="A3838" i="20"/>
  <c r="A4249" i="20"/>
  <c r="B4413" i="20"/>
  <c r="A6992" i="20"/>
  <c r="H107" i="9"/>
  <c r="A2979" i="20"/>
  <c r="A475" i="20"/>
  <c r="B7083" i="20"/>
  <c r="B1815" i="20"/>
  <c r="A1070" i="20"/>
  <c r="A3582" i="20"/>
  <c r="A2398" i="20"/>
  <c r="A65" i="16"/>
  <c r="A296" i="19"/>
  <c r="B1357" i="16"/>
  <c r="A3025" i="20"/>
  <c r="B1005" i="16"/>
  <c r="B3734" i="20"/>
  <c r="A3801" i="20"/>
  <c r="B4822" i="20"/>
  <c r="A196" i="50"/>
  <c r="A26" i="20"/>
  <c r="B5601" i="20"/>
  <c r="A708" i="20"/>
  <c r="A8559" i="20"/>
  <c r="A4982" i="20"/>
  <c r="A7719" i="20"/>
  <c r="A8145" i="20"/>
  <c r="A44" i="20"/>
  <c r="B150" i="8"/>
  <c r="A8342" i="20"/>
  <c r="B6012" i="20"/>
  <c r="B4378" i="20"/>
  <c r="B429" i="16"/>
  <c r="A3752" i="20"/>
  <c r="G53" i="6"/>
  <c r="B215" i="19"/>
  <c r="B3077" i="20"/>
  <c r="A7120" i="20"/>
  <c r="A2645" i="20"/>
  <c r="A717" i="20"/>
  <c r="B903" i="20"/>
  <c r="B5263" i="20"/>
  <c r="A1218" i="20"/>
  <c r="B4018" i="20"/>
  <c r="B3531" i="20"/>
  <c r="A4294" i="20"/>
  <c r="B3176" i="20"/>
  <c r="M22" i="29"/>
  <c r="A737" i="16"/>
  <c r="B1593" i="20"/>
  <c r="B1395" i="16"/>
  <c r="A6091" i="20"/>
  <c r="B97" i="12"/>
  <c r="C27" i="18"/>
  <c r="D1" i="11"/>
  <c r="B7355" i="20"/>
  <c r="B1215" i="20"/>
  <c r="B661" i="16"/>
  <c r="A1397" i="16"/>
  <c r="B3658" i="20"/>
  <c r="A7014" i="20"/>
  <c r="A2740" i="20"/>
  <c r="B5933" i="20"/>
  <c r="A6055" i="20"/>
  <c r="A5827" i="20"/>
  <c r="B1568" i="16"/>
  <c r="B2440" i="20"/>
  <c r="B80" i="18"/>
  <c r="A6663" i="20"/>
  <c r="B416" i="16"/>
  <c r="A1646" i="20"/>
  <c r="B270" i="16"/>
  <c r="B1896" i="20"/>
  <c r="A3060" i="20"/>
  <c r="G57" i="13"/>
  <c r="A4815" i="20"/>
  <c r="A1195" i="20"/>
  <c r="A1993" i="20"/>
  <c r="B1308" i="20"/>
  <c r="B4217" i="20"/>
  <c r="B3751" i="20"/>
  <c r="B3919" i="20"/>
  <c r="A1972" i="20"/>
  <c r="A2526" i="20"/>
  <c r="A3948" i="20"/>
  <c r="A1933" i="20"/>
  <c r="B4934" i="20"/>
  <c r="A4032" i="20"/>
  <c r="A2744" i="20"/>
  <c r="A4563" i="20"/>
  <c r="A1904" i="20"/>
  <c r="A3118" i="20"/>
  <c r="B1672" i="20"/>
  <c r="B1246" i="20"/>
  <c r="G28" i="12"/>
  <c r="A3626" i="20"/>
  <c r="B121" i="8"/>
  <c r="B2536" i="20"/>
  <c r="B2983" i="20"/>
  <c r="B1704" i="20"/>
  <c r="A2420" i="20"/>
  <c r="A2944" i="20"/>
  <c r="B2189" i="20"/>
  <c r="A1697" i="20"/>
  <c r="A760" i="20"/>
  <c r="B1604" i="16"/>
  <c r="B17" i="8"/>
  <c r="A2831" i="20"/>
  <c r="A93" i="4"/>
  <c r="A1992" i="20"/>
  <c r="A147" i="19"/>
  <c r="A2202" i="20"/>
  <c r="A2924" i="20"/>
  <c r="A4435" i="20"/>
  <c r="B309" i="20"/>
  <c r="A2325" i="20"/>
  <c r="A3781" i="20"/>
  <c r="A1877" i="20"/>
  <c r="B5284" i="20"/>
  <c r="B2721" i="20"/>
  <c r="B5128" i="20"/>
  <c r="B2194" i="20"/>
  <c r="A2771" i="20"/>
  <c r="A4138" i="20"/>
  <c r="A485" i="20"/>
  <c r="B3075" i="20"/>
  <c r="A165" i="20"/>
  <c r="A964" i="20"/>
  <c r="A1689" i="16"/>
  <c r="A484" i="20"/>
  <c r="A1369" i="16"/>
  <c r="A841" i="20"/>
  <c r="B1433" i="16"/>
  <c r="B132" i="18"/>
  <c r="A2582" i="20"/>
  <c r="B2101" i="20"/>
  <c r="B6098" i="20"/>
  <c r="B5438" i="20"/>
  <c r="A4457" i="20"/>
  <c r="A2931" i="20"/>
  <c r="B7576" i="20"/>
  <c r="B3729" i="20"/>
  <c r="A1856" i="20"/>
  <c r="B5807" i="20"/>
  <c r="B687" i="16"/>
  <c r="B1191" i="20"/>
  <c r="B1503" i="16"/>
  <c r="C149" i="18"/>
  <c r="B720" i="20"/>
  <c r="B14" i="14"/>
  <c r="B1285" i="20"/>
  <c r="A1546" i="16"/>
  <c r="A82" i="13"/>
  <c r="A1811" i="20"/>
  <c r="A6847" i="20"/>
  <c r="A6781" i="20"/>
  <c r="A2872" i="20"/>
  <c r="A213" i="20"/>
  <c r="H83" i="6"/>
  <c r="A1476" i="20"/>
  <c r="A739" i="20"/>
  <c r="B4484" i="20"/>
  <c r="A5397" i="20"/>
  <c r="B1667" i="16"/>
  <c r="B3699" i="20"/>
  <c r="B178" i="16"/>
  <c r="A1927" i="20"/>
  <c r="A1" i="14"/>
  <c r="B3612" i="20"/>
  <c r="G105" i="11"/>
  <c r="A2289" i="20"/>
  <c r="H7" i="11"/>
  <c r="A6406" i="20"/>
  <c r="E121" i="6"/>
  <c r="A898" i="45"/>
  <c r="A45" i="6"/>
  <c r="A6813" i="20"/>
  <c r="A128" i="5"/>
  <c r="B5815" i="20"/>
  <c r="H51" i="5"/>
  <c r="B3020" i="20"/>
  <c r="F12" i="6"/>
  <c r="B68" i="11"/>
  <c r="A154" i="19"/>
  <c r="A14" i="9"/>
  <c r="G74" i="2"/>
  <c r="A1397" i="20"/>
  <c r="F5" i="11"/>
  <c r="A93" i="19"/>
  <c r="B6216" i="20"/>
  <c r="G9" i="10"/>
  <c r="B4566" i="20"/>
  <c r="A384" i="20"/>
  <c r="B3158" i="20"/>
  <c r="B1275" i="20"/>
  <c r="A1963" i="20"/>
  <c r="A353" i="19"/>
  <c r="A3157" i="20"/>
  <c r="A33" i="19"/>
  <c r="B31" i="16"/>
  <c r="B885" i="20"/>
  <c r="F5" i="13"/>
  <c r="B6715" i="20"/>
  <c r="B2806" i="20"/>
  <c r="B1598" i="16"/>
  <c r="H23" i="12"/>
  <c r="B1495" i="20"/>
  <c r="E25" i="2"/>
  <c r="B3865" i="20"/>
  <c r="A1662" i="16"/>
  <c r="H9" i="11"/>
  <c r="A3734" i="20"/>
  <c r="G66" i="9"/>
  <c r="B4005" i="20"/>
  <c r="A1041" i="20"/>
  <c r="G100" i="4"/>
  <c r="F78" i="8"/>
  <c r="G30" i="4"/>
  <c r="A3160" i="20"/>
  <c r="A18" i="25"/>
  <c r="B42" i="2"/>
  <c r="A1254" i="20"/>
  <c r="A1391" i="16"/>
  <c r="A111" i="16"/>
  <c r="A5302" i="20"/>
  <c r="A7121" i="20"/>
  <c r="B8299" i="20"/>
  <c r="B143" i="10"/>
  <c r="B6383" i="20"/>
  <c r="A3967" i="20"/>
  <c r="A3673" i="20"/>
  <c r="B3560" i="20"/>
  <c r="A920" i="16"/>
  <c r="A1021" i="20"/>
  <c r="A3799" i="20"/>
  <c r="B651" i="16"/>
  <c r="A3351" i="20"/>
  <c r="B331" i="16"/>
  <c r="A1301" i="20"/>
  <c r="B5794" i="20"/>
  <c r="B3617" i="20"/>
  <c r="A5285" i="20"/>
  <c r="B125" i="12"/>
  <c r="B224" i="20"/>
  <c r="B47" i="12"/>
  <c r="A2612" i="20"/>
  <c r="G110" i="7"/>
  <c r="B544" i="20"/>
  <c r="B3501" i="20"/>
  <c r="A7419" i="20"/>
  <c r="A1167" i="16"/>
  <c r="B1174" i="20"/>
  <c r="B1233" i="16"/>
  <c r="B3885" i="20"/>
  <c r="B100" i="13"/>
  <c r="B1557" i="20"/>
  <c r="D2" i="13"/>
  <c r="A314" i="20"/>
  <c r="B2997" i="20"/>
  <c r="B345" i="19"/>
  <c r="A68" i="18"/>
  <c r="G70" i="13"/>
  <c r="A3305" i="20"/>
  <c r="B41" i="12"/>
  <c r="A2709" i="20"/>
  <c r="B1632" i="16"/>
  <c r="A1440" i="20"/>
  <c r="B1280" i="16"/>
  <c r="B4173" i="20"/>
  <c r="A2720" i="20"/>
  <c r="B1540" i="16"/>
  <c r="B6159" i="20"/>
  <c r="A561" i="16"/>
  <c r="A1683" i="20"/>
  <c r="B2064" i="20"/>
  <c r="A1664" i="20"/>
  <c r="B631" i="20"/>
  <c r="A1953" i="20"/>
  <c r="A888" i="20"/>
  <c r="B4145" i="20"/>
  <c r="A248" i="20"/>
  <c r="B3879" i="20"/>
  <c r="B571" i="20"/>
  <c r="A2516" i="20"/>
  <c r="A3581" i="20"/>
  <c r="B1265" i="20"/>
  <c r="B1021" i="20"/>
  <c r="B3709" i="20"/>
  <c r="A3646" i="20"/>
  <c r="A3917" i="20"/>
  <c r="A3411" i="20"/>
  <c r="A1788" i="20"/>
  <c r="B1455" i="16"/>
  <c r="A27" i="13"/>
  <c r="A12" i="28"/>
  <c r="B3566" i="20"/>
  <c r="B4530" i="20"/>
  <c r="B390" i="16"/>
  <c r="A2778" i="20"/>
  <c r="A7879" i="20"/>
  <c r="A7519" i="20"/>
  <c r="B6463" i="20"/>
  <c r="H103" i="13"/>
  <c r="B1757" i="16"/>
  <c r="B4030" i="20"/>
  <c r="B4022" i="20"/>
  <c r="B3550" i="20"/>
  <c r="B2742" i="20"/>
  <c r="B3970" i="20"/>
  <c r="B2935" i="20"/>
  <c r="B3490" i="20"/>
  <c r="A2408" i="20"/>
  <c r="B3843" i="20"/>
  <c r="A1404" i="16"/>
  <c r="G39" i="5"/>
  <c r="A331" i="20"/>
  <c r="G127" i="1"/>
  <c r="G20" i="8"/>
  <c r="A261" i="19"/>
  <c r="A3298" i="20"/>
  <c r="B672" i="16"/>
  <c r="A2158" i="20"/>
  <c r="B612" i="16"/>
  <c r="B3725" i="20"/>
  <c r="H66" i="10"/>
  <c r="A3768" i="20"/>
  <c r="B148" i="9"/>
  <c r="A1506" i="20"/>
  <c r="B79" i="8"/>
  <c r="A1006" i="20"/>
  <c r="F5" i="8"/>
  <c r="A8630" i="20"/>
  <c r="B4212" i="20"/>
  <c r="A8263" i="20"/>
  <c r="B2932" i="20"/>
  <c r="B4284" i="20"/>
  <c r="A938" i="20"/>
  <c r="A4626" i="20"/>
  <c r="A618" i="20"/>
  <c r="H99" i="12"/>
  <c r="B32" i="17"/>
  <c r="A2851" i="20"/>
  <c r="A8863" i="20"/>
  <c r="B5455" i="20"/>
  <c r="H94" i="12"/>
  <c r="B343" i="20"/>
  <c r="B3929" i="20"/>
  <c r="A445" i="20"/>
  <c r="A126" i="19"/>
  <c r="B380" i="19"/>
  <c r="B20" i="17"/>
  <c r="B1711" i="16"/>
  <c r="A913" i="16"/>
  <c r="B1263" i="16"/>
  <c r="B2862" i="20"/>
  <c r="H83" i="12"/>
  <c r="A3842" i="20"/>
  <c r="A67" i="11"/>
  <c r="A1153" i="20"/>
  <c r="B930" i="20"/>
  <c r="B8925" i="20"/>
  <c r="A1850" i="16"/>
  <c r="A1527" i="20"/>
  <c r="B129" i="2"/>
  <c r="A1147" i="20"/>
  <c r="B58" i="18"/>
  <c r="A540" i="16"/>
  <c r="B98" i="7"/>
  <c r="B4804" i="20"/>
  <c r="B3507" i="20"/>
  <c r="A814" i="20"/>
  <c r="B1310" i="20"/>
  <c r="B84" i="18"/>
  <c r="A318" i="20"/>
  <c r="F7" i="13"/>
  <c r="B1755" i="20"/>
  <c r="G126" i="11"/>
  <c r="B4077" i="20"/>
  <c r="C60" i="18"/>
  <c r="A552" i="20"/>
  <c r="A1671" i="16"/>
  <c r="A4329" i="20"/>
  <c r="H117" i="8"/>
  <c r="B6578" i="20"/>
  <c r="B43" i="8"/>
  <c r="B1523" i="16"/>
  <c r="B142" i="19"/>
  <c r="B1143" i="16"/>
  <c r="C81" i="18"/>
  <c r="A3553" i="20"/>
  <c r="B1910" i="20"/>
  <c r="A2404" i="20"/>
  <c r="B6717" i="20"/>
  <c r="A3274" i="20"/>
  <c r="B1966" i="20"/>
  <c r="A1984" i="20"/>
  <c r="B7796" i="20"/>
  <c r="A6670" i="20"/>
  <c r="B6719" i="20"/>
  <c r="G1" i="13"/>
  <c r="F13" i="11"/>
  <c r="F156" i="8"/>
  <c r="B999" i="16"/>
  <c r="B5138" i="20"/>
  <c r="B6661" i="20"/>
  <c r="H19" i="10"/>
  <c r="A45" i="9"/>
  <c r="B1300" i="16"/>
  <c r="B109" i="12"/>
  <c r="A919" i="16"/>
  <c r="B4926" i="20"/>
  <c r="A3947" i="20"/>
  <c r="B977" i="20"/>
  <c r="B447" i="16"/>
  <c r="E64" i="2"/>
  <c r="B1538" i="16"/>
  <c r="A699" i="20"/>
  <c r="B963" i="20"/>
  <c r="A5168" i="20"/>
  <c r="A1592" i="16"/>
  <c r="A4636" i="20"/>
  <c r="A239" i="20"/>
  <c r="B5181" i="20"/>
  <c r="B302" i="19"/>
  <c r="B5464" i="20"/>
  <c r="C35" i="18"/>
  <c r="B4728" i="20"/>
  <c r="B1633" i="16"/>
  <c r="A5493" i="20"/>
  <c r="B88" i="19"/>
  <c r="B6094" i="20"/>
  <c r="B488" i="20"/>
  <c r="A3508" i="20"/>
  <c r="A5145" i="20"/>
  <c r="A3028" i="20"/>
  <c r="A5000" i="20"/>
  <c r="G50" i="13"/>
  <c r="B117" i="2"/>
  <c r="B69" i="7"/>
  <c r="B2624" i="20"/>
  <c r="E150" i="9"/>
  <c r="G94" i="6"/>
  <c r="A2092" i="20"/>
  <c r="A6214" i="20"/>
  <c r="A143" i="16"/>
  <c r="B3917" i="20"/>
  <c r="H42" i="11"/>
  <c r="B2507" i="20"/>
  <c r="A1106" i="16"/>
  <c r="A1132" i="20"/>
  <c r="A466" i="16"/>
  <c r="A2759" i="20"/>
  <c r="E76" i="10"/>
  <c r="B3340" i="20"/>
  <c r="E2" i="10"/>
  <c r="A1359" i="16"/>
  <c r="B2348" i="20"/>
  <c r="A1007" i="16"/>
  <c r="N24" i="29"/>
  <c r="A613" i="20"/>
  <c r="A49" i="7"/>
  <c r="B376" i="16"/>
  <c r="A1180" i="16"/>
  <c r="A692" i="20"/>
  <c r="B19" i="20"/>
  <c r="G18" i="5"/>
  <c r="B139" i="8"/>
  <c r="B7090" i="20"/>
  <c r="G132" i="2"/>
  <c r="G43" i="12"/>
  <c r="B5849" i="20"/>
  <c r="B49" i="18"/>
  <c r="B47" i="4"/>
  <c r="B3133" i="20"/>
  <c r="G86" i="9"/>
  <c r="A7562" i="20"/>
  <c r="B1374" i="16"/>
  <c r="G112" i="10"/>
  <c r="A148" i="19"/>
  <c r="B1074" i="16"/>
  <c r="A3932" i="20"/>
  <c r="A3230" i="20"/>
  <c r="A4272" i="20"/>
  <c r="B3191" i="20"/>
  <c r="B4951" i="20"/>
  <c r="A4503" i="20"/>
  <c r="A4023" i="20"/>
  <c r="A2939" i="20"/>
  <c r="G20" i="13"/>
  <c r="B83" i="20"/>
  <c r="B2995" i="20"/>
  <c r="A404" i="20"/>
  <c r="A2263" i="20"/>
  <c r="A84" i="20"/>
  <c r="B5195" i="20"/>
  <c r="A1734" i="20"/>
  <c r="A5307" i="20"/>
  <c r="A1414" i="20"/>
  <c r="F61" i="12"/>
  <c r="H117" i="4"/>
  <c r="B21" i="2"/>
  <c r="B252" i="20"/>
  <c r="G9" i="9"/>
  <c r="A140" i="1"/>
  <c r="A6560" i="20"/>
  <c r="A4969" i="20"/>
  <c r="B6514" i="20"/>
  <c r="A2148" i="20"/>
  <c r="A720" i="16"/>
  <c r="B1935" i="20"/>
  <c r="H75" i="10"/>
  <c r="A312" i="19"/>
  <c r="G79" i="9"/>
  <c r="B1311" i="16"/>
  <c r="B3259" i="20"/>
  <c r="B959" i="16"/>
  <c r="A2282" i="20"/>
  <c r="B2141" i="20"/>
  <c r="B4172" i="20"/>
  <c r="A940" i="20"/>
  <c r="B2892" i="20"/>
  <c r="B2261" i="20"/>
  <c r="B2544" i="20"/>
  <c r="A970" i="20"/>
  <c r="B2911" i="20"/>
  <c r="A2186" i="20"/>
  <c r="A1514" i="16"/>
  <c r="A3639" i="20"/>
  <c r="A5865" i="20"/>
  <c r="B4335" i="20"/>
  <c r="A4600" i="20"/>
  <c r="A1110" i="20"/>
  <c r="B1754" i="16"/>
  <c r="A2427" i="20"/>
  <c r="A3870" i="20"/>
  <c r="B2164" i="20"/>
  <c r="A257" i="16"/>
  <c r="B156" i="8"/>
  <c r="A980" i="16"/>
  <c r="B4808" i="20"/>
  <c r="B2900" i="20"/>
  <c r="B2072" i="20"/>
  <c r="B3659" i="20"/>
  <c r="A644" i="20"/>
  <c r="B1811" i="20"/>
  <c r="A2601" i="20"/>
  <c r="B4140" i="20"/>
  <c r="B841" i="20"/>
  <c r="A271" i="16"/>
  <c r="A2193" i="20"/>
  <c r="A1918" i="20"/>
  <c r="B1135" i="20"/>
  <c r="B6695" i="20"/>
  <c r="A1617" i="16"/>
  <c r="B31" i="7"/>
  <c r="A208" i="20"/>
  <c r="B2812" i="20"/>
  <c r="B2486" i="20"/>
  <c r="A2993" i="20"/>
  <c r="A1061" i="20"/>
  <c r="B1268" i="20"/>
  <c r="C41" i="18"/>
  <c r="B2991" i="20"/>
  <c r="B1642" i="16"/>
  <c r="A1526" i="20"/>
  <c r="B1176" i="20"/>
  <c r="B2989" i="20"/>
  <c r="A1874" i="20"/>
  <c r="A19" i="18"/>
  <c r="A72" i="13"/>
  <c r="B1576" i="16"/>
  <c r="G109" i="12"/>
  <c r="A5128" i="20"/>
  <c r="E25" i="7"/>
  <c r="A6495" i="20"/>
  <c r="G79" i="6"/>
  <c r="B1094" i="16"/>
  <c r="G65" i="2"/>
  <c r="F27" i="5"/>
  <c r="B14" i="9"/>
  <c r="C106" i="18"/>
  <c r="B3" i="19"/>
  <c r="B4902" i="20"/>
  <c r="B4470" i="20"/>
  <c r="A6801" i="20"/>
  <c r="A662" i="20"/>
  <c r="A4988" i="20"/>
  <c r="G48" i="11"/>
  <c r="B6049" i="20"/>
  <c r="B892" i="20"/>
  <c r="B7680" i="20"/>
  <c r="B1520" i="16"/>
  <c r="A5446" i="20"/>
  <c r="B1272" i="16"/>
  <c r="B5620" i="20"/>
  <c r="B937" i="20"/>
  <c r="B4884" i="20"/>
  <c r="B509" i="20"/>
  <c r="B29" i="18"/>
  <c r="H22" i="4"/>
  <c r="A1630" i="16"/>
  <c r="B111" i="13"/>
  <c r="B1310" i="16"/>
  <c r="H91" i="5"/>
  <c r="A39" i="17"/>
  <c r="A114" i="10"/>
  <c r="B33" i="17"/>
  <c r="B1757" i="20"/>
  <c r="A43" i="9"/>
  <c r="A40" i="11"/>
  <c r="A1528" i="16"/>
  <c r="B55" i="2"/>
  <c r="AI2" i="29"/>
  <c r="A6365" i="20"/>
  <c r="H101" i="12"/>
  <c r="B3535" i="20"/>
  <c r="A59" i="10"/>
  <c r="A123" i="6"/>
  <c r="B6472" i="20"/>
  <c r="B1151" i="16"/>
  <c r="B2785" i="20"/>
  <c r="B30" i="20"/>
  <c r="B138" i="13"/>
  <c r="A3858" i="20"/>
  <c r="B2843" i="20"/>
  <c r="B4357" i="20"/>
  <c r="B1291" i="20"/>
  <c r="B3908" i="20"/>
  <c r="A6217" i="20"/>
  <c r="G104" i="11"/>
  <c r="A2608" i="20"/>
  <c r="B657" i="16"/>
  <c r="A2256" i="20"/>
  <c r="B337" i="16"/>
  <c r="A1355" i="20"/>
  <c r="B844" i="20"/>
  <c r="B2809" i="20"/>
  <c r="B32" i="19"/>
  <c r="B1455" i="20"/>
  <c r="G100" i="5"/>
  <c r="B375" i="16"/>
  <c r="B2343" i="20"/>
  <c r="B120" i="9"/>
  <c r="B5843" i="20"/>
  <c r="B559" i="20"/>
  <c r="B2411" i="20"/>
  <c r="A5009" i="20"/>
  <c r="B1464" i="20"/>
  <c r="B2530" i="20"/>
  <c r="A1093" i="16"/>
  <c r="B1538" i="20"/>
  <c r="A773" i="16"/>
  <c r="B3534" i="20"/>
  <c r="B66" i="13"/>
  <c r="A4514" i="20"/>
  <c r="G53" i="12"/>
  <c r="B2762" i="20"/>
  <c r="G84" i="12"/>
  <c r="A3998" i="20"/>
  <c r="C114" i="11"/>
  <c r="B6317" i="20"/>
  <c r="G60" i="6"/>
  <c r="A7532" i="20"/>
  <c r="B1175" i="20"/>
  <c r="E28" i="12"/>
  <c r="A672" i="20"/>
  <c r="G9" i="13"/>
  <c r="B2339" i="20"/>
  <c r="A1798" i="20"/>
  <c r="B4904" i="20"/>
  <c r="A4831" i="20"/>
  <c r="A111" i="10"/>
  <c r="B3904" i="20"/>
  <c r="B7025" i="20"/>
  <c r="B3456" i="20"/>
  <c r="A5996" i="20"/>
  <c r="A4180" i="20"/>
  <c r="A7999" i="20"/>
  <c r="A3700" i="20"/>
  <c r="B4649" i="20"/>
  <c r="A3977" i="20"/>
  <c r="A392" i="20"/>
  <c r="B4426" i="20"/>
  <c r="B6516" i="20"/>
  <c r="A2421" i="20"/>
  <c r="A4312" i="20"/>
  <c r="A139" i="19"/>
  <c r="A1499" i="20"/>
  <c r="A6450" i="20"/>
  <c r="B2962" i="20"/>
  <c r="A3009" i="20"/>
  <c r="G88" i="13"/>
  <c r="B1234" i="16"/>
  <c r="A4367" i="20"/>
  <c r="B4319" i="20"/>
  <c r="B708" i="20"/>
  <c r="C57" i="18"/>
  <c r="B77" i="16"/>
  <c r="B2824" i="20"/>
  <c r="B1157" i="16"/>
  <c r="A1614" i="20"/>
  <c r="B228" i="16"/>
  <c r="A1262" i="20"/>
  <c r="B14" i="16"/>
  <c r="A1337" i="20"/>
  <c r="H29" i="8"/>
  <c r="B2737" i="20"/>
  <c r="H92" i="7"/>
  <c r="B1556" i="16"/>
  <c r="B134" i="8"/>
  <c r="A1557" i="16"/>
  <c r="A213" i="16"/>
  <c r="B1582" i="16"/>
  <c r="A6467" i="20"/>
  <c r="A5243" i="20"/>
  <c r="B1869" i="20"/>
  <c r="A2692" i="20"/>
  <c r="B85" i="19"/>
  <c r="A5286" i="20"/>
  <c r="G122" i="13"/>
  <c r="A7436" i="20"/>
  <c r="A101" i="11"/>
  <c r="B6909" i="20"/>
  <c r="A96" i="9"/>
  <c r="B6041" i="20"/>
  <c r="A21" i="9"/>
  <c r="B5203" i="20"/>
  <c r="G104" i="9"/>
  <c r="A6499" i="20"/>
  <c r="B30" i="9"/>
  <c r="B5431" i="20"/>
  <c r="A25" i="7"/>
  <c r="B4695" i="20"/>
  <c r="B5" i="6"/>
  <c r="B638" i="20"/>
  <c r="B43" i="4"/>
  <c r="B69" i="9"/>
  <c r="B529" i="16"/>
  <c r="B1029" i="16"/>
  <c r="A2219" i="20"/>
  <c r="A3385" i="20"/>
  <c r="B203" i="16"/>
  <c r="A3954" i="20"/>
  <c r="A2997" i="20"/>
  <c r="A3474" i="20"/>
  <c r="B3706" i="20"/>
  <c r="B3235" i="20"/>
  <c r="A2383" i="20"/>
  <c r="A2323" i="20"/>
  <c r="B4617" i="20"/>
  <c r="B1725" i="20"/>
  <c r="A30" i="18"/>
  <c r="A836" i="20"/>
  <c r="A1625" i="16"/>
  <c r="B1845" i="20"/>
  <c r="B3949" i="20"/>
  <c r="A866" i="20"/>
  <c r="A870" i="20"/>
  <c r="A2735" i="20"/>
  <c r="G124" i="5"/>
  <c r="H62" i="9"/>
  <c r="A504" i="16"/>
  <c r="B1463" i="20"/>
  <c r="A4889" i="20"/>
  <c r="G49" i="13"/>
  <c r="A4273" i="20"/>
  <c r="A255" i="19"/>
  <c r="B700" i="20"/>
  <c r="A2272" i="20"/>
  <c r="A1681" i="20"/>
  <c r="A682" i="20"/>
  <c r="B2222" i="20"/>
  <c r="A362" i="20"/>
  <c r="A2560" i="20"/>
  <c r="B1931" i="20"/>
  <c r="A2176" i="20"/>
  <c r="B1015" i="20"/>
  <c r="H48" i="11"/>
  <c r="B8196" i="20"/>
  <c r="B822" i="20"/>
  <c r="A7" i="17"/>
  <c r="A93" i="13"/>
  <c r="B78" i="5"/>
  <c r="B40" i="16"/>
  <c r="H90" i="7"/>
  <c r="B4450" i="20"/>
  <c r="A6431" i="20"/>
  <c r="B4983" i="20"/>
  <c r="A2192" i="20"/>
  <c r="B2959" i="20"/>
  <c r="A666" i="20"/>
  <c r="B4777" i="20"/>
  <c r="A5680" i="20"/>
  <c r="B517" i="16"/>
  <c r="A1799" i="16"/>
  <c r="A572" i="20"/>
  <c r="B4364" i="20"/>
  <c r="A1761" i="20"/>
  <c r="A6937" i="20"/>
  <c r="B47" i="19"/>
  <c r="B3622" i="20"/>
  <c r="A4288" i="20"/>
  <c r="A2146" i="20"/>
  <c r="E9" i="7"/>
  <c r="A1360" i="20"/>
  <c r="A5040" i="20"/>
  <c r="B6454" i="20"/>
  <c r="A4737" i="20"/>
  <c r="A5805" i="20"/>
  <c r="B720" i="16"/>
  <c r="A502" i="16"/>
  <c r="A1018" i="16"/>
  <c r="A4488" i="20"/>
  <c r="B507" i="20"/>
  <c r="A1900" i="20"/>
  <c r="B1797" i="16"/>
  <c r="F68" i="11"/>
  <c r="B280" i="16"/>
  <c r="B478" i="20"/>
  <c r="B72" i="16"/>
  <c r="A1129" i="16"/>
  <c r="B26" i="12"/>
  <c r="A649" i="16"/>
  <c r="H54" i="11"/>
  <c r="B1900" i="20"/>
  <c r="B94" i="19"/>
  <c r="A1937" i="20"/>
  <c r="B512" i="20"/>
  <c r="B155" i="19"/>
  <c r="A915" i="16"/>
  <c r="B2003" i="20"/>
  <c r="A595" i="16"/>
  <c r="B4221" i="20"/>
  <c r="B132" i="9"/>
  <c r="B221" i="19"/>
  <c r="A1562" i="20"/>
  <c r="E133" i="7"/>
  <c r="B4558" i="20"/>
  <c r="B55" i="20"/>
  <c r="A1481" i="20"/>
  <c r="B5654" i="20"/>
  <c r="A83" i="19"/>
  <c r="A3458" i="20"/>
  <c r="B3285" i="20"/>
  <c r="B4067" i="20"/>
  <c r="B276" i="20"/>
  <c r="A3181" i="20"/>
  <c r="B1372" i="16"/>
  <c r="B4210" i="20"/>
  <c r="B1158" i="16"/>
  <c r="A1183" i="20"/>
  <c r="A114" i="16"/>
  <c r="B2492" i="20"/>
  <c r="A55" i="12"/>
  <c r="A2494" i="20"/>
  <c r="B1064" i="20"/>
  <c r="B58" i="11"/>
  <c r="A1824" i="20"/>
  <c r="A131" i="10"/>
  <c r="A254" i="16"/>
  <c r="B93" i="18"/>
  <c r="B19" i="6"/>
  <c r="A36" i="2"/>
  <c r="A142" i="18"/>
  <c r="H116" i="1"/>
  <c r="H5" i="4"/>
  <c r="A6" i="13"/>
  <c r="B151" i="18"/>
  <c r="A227" i="19"/>
  <c r="B1491" i="16"/>
  <c r="G47" i="11"/>
  <c r="A831" i="16"/>
  <c r="B992" i="20"/>
  <c r="F122" i="1"/>
  <c r="B5141" i="20"/>
  <c r="B8079" i="20"/>
  <c r="A4525" i="20"/>
  <c r="G141" i="10"/>
  <c r="B31" i="10"/>
  <c r="B3127" i="20"/>
  <c r="H108" i="13"/>
  <c r="B2943" i="20"/>
  <c r="A848" i="20"/>
  <c r="A3018" i="20"/>
  <c r="A4510" i="20"/>
  <c r="B67" i="20"/>
  <c r="A1604" i="20"/>
  <c r="G88" i="12"/>
  <c r="A1252" i="20"/>
  <c r="G111" i="10"/>
  <c r="B1105" i="20"/>
  <c r="A49" i="10"/>
  <c r="B635" i="20"/>
  <c r="H46" i="9"/>
  <c r="H82" i="6"/>
  <c r="A7096" i="20"/>
  <c r="B206" i="16"/>
  <c r="B99" i="11"/>
  <c r="G89" i="6"/>
  <c r="B3625" i="20"/>
  <c r="B1904" i="20"/>
  <c r="A521" i="16"/>
  <c r="B7316" i="20"/>
  <c r="B138" i="18"/>
  <c r="A5231" i="20"/>
  <c r="B32" i="6"/>
  <c r="B5922" i="20"/>
  <c r="G90" i="5"/>
  <c r="A4117" i="20"/>
  <c r="A3416" i="20"/>
  <c r="A3381" i="20"/>
  <c r="A2570" i="20"/>
  <c r="B5382" i="20"/>
  <c r="C2" i="9"/>
  <c r="B4646" i="20"/>
  <c r="B3" i="8"/>
  <c r="B6466" i="20"/>
  <c r="B744" i="20"/>
  <c r="B5680" i="20"/>
  <c r="B153" i="18"/>
  <c r="B604" i="16"/>
  <c r="H36" i="7"/>
  <c r="A1670" i="16"/>
  <c r="B507" i="16"/>
  <c r="A24" i="16"/>
  <c r="B3735" i="20"/>
  <c r="B3390" i="20"/>
  <c r="A4202" i="20"/>
  <c r="B2985" i="20"/>
  <c r="B3220" i="20"/>
  <c r="B2260" i="20"/>
  <c r="A3912" i="20"/>
  <c r="A3472" i="20"/>
  <c r="B4537" i="20"/>
  <c r="A2225" i="20"/>
  <c r="B2488" i="20"/>
  <c r="A3936" i="20"/>
  <c r="B1785" i="20"/>
  <c r="B4964" i="20"/>
  <c r="A1782" i="20"/>
  <c r="A1270" i="20"/>
  <c r="A7638" i="20"/>
  <c r="A694" i="49"/>
  <c r="B1717" i="16"/>
  <c r="A6245" i="20"/>
  <c r="A2909" i="20"/>
  <c r="A3638" i="20"/>
  <c r="B3162" i="20"/>
  <c r="B2158" i="20"/>
  <c r="B3673" i="20"/>
  <c r="B111" i="12"/>
  <c r="A52" i="18"/>
  <c r="A1338" i="16"/>
  <c r="B3532" i="20"/>
  <c r="B6510" i="20"/>
  <c r="A501" i="16"/>
  <c r="A109" i="20"/>
  <c r="A660" i="16"/>
  <c r="B140" i="19"/>
  <c r="B124" i="11"/>
  <c r="A1313" i="16"/>
  <c r="A457" i="20"/>
  <c r="A961" i="16"/>
  <c r="A137" i="20"/>
  <c r="G67" i="7"/>
  <c r="A72" i="20"/>
  <c r="A1405" i="16"/>
  <c r="A1069" i="16"/>
  <c r="G81" i="7"/>
  <c r="B367" i="20"/>
  <c r="A8495" i="20"/>
  <c r="A771" i="20"/>
  <c r="A6848" i="20"/>
  <c r="A16" i="8"/>
  <c r="B4072" i="20"/>
  <c r="B161" i="16"/>
  <c r="B3336" i="20"/>
  <c r="G80" i="13"/>
  <c r="A3484" i="20"/>
  <c r="B838" i="20"/>
  <c r="A2748" i="20"/>
  <c r="B30" i="19"/>
  <c r="B4608" i="20"/>
  <c r="B115" i="12"/>
  <c r="B4128" i="20"/>
  <c r="A8265" i="20"/>
  <c r="B2002" i="20"/>
  <c r="B3224" i="20"/>
  <c r="B1522" i="20"/>
  <c r="A2892" i="20"/>
  <c r="A124" i="8"/>
  <c r="B32" i="18"/>
  <c r="B1631" i="20"/>
  <c r="B2916" i="20"/>
  <c r="G78" i="10"/>
  <c r="B1619" i="20"/>
  <c r="A2103" i="20"/>
  <c r="B339" i="19"/>
  <c r="A5271" i="20"/>
  <c r="B3180" i="20"/>
  <c r="B4866" i="20"/>
  <c r="A3872" i="20"/>
  <c r="A3343" i="20"/>
  <c r="B4465" i="20"/>
  <c r="B3576" i="20"/>
  <c r="B2470" i="20"/>
  <c r="B8862" i="20"/>
  <c r="B10" i="45"/>
  <c r="A214" i="49"/>
  <c r="A4387" i="20"/>
  <c r="A1" i="21"/>
  <c r="A7506" i="20"/>
  <c r="A5631" i="20"/>
  <c r="B4459" i="20"/>
  <c r="B7567" i="20"/>
  <c r="A4715" i="20"/>
  <c r="A6825" i="20"/>
  <c r="B7623" i="20"/>
  <c r="A3988" i="20"/>
  <c r="A6542" i="20"/>
  <c r="A5130" i="20"/>
  <c r="A4378" i="20"/>
  <c r="B7189" i="20"/>
  <c r="A6883" i="20"/>
  <c r="A343" i="32"/>
  <c r="A2650" i="20"/>
  <c r="B7752" i="20"/>
  <c r="B8243" i="20"/>
  <c r="A4991" i="20"/>
  <c r="A2609" i="20"/>
  <c r="A1" i="27"/>
  <c r="B5766" i="20"/>
  <c r="B5341" i="20"/>
  <c r="A8444" i="20"/>
  <c r="A4084" i="20"/>
  <c r="A8255" i="20"/>
  <c r="B6200" i="20"/>
  <c r="A9088" i="20"/>
  <c r="A4347" i="20"/>
  <c r="B6124" i="20"/>
  <c r="A3876" i="20"/>
  <c r="A7967" i="20"/>
  <c r="A7345" i="20"/>
  <c r="B4305" i="20"/>
  <c r="A780" i="45"/>
  <c r="A3603" i="20"/>
  <c r="A897" i="45"/>
  <c r="B490" i="45"/>
  <c r="B8853" i="20"/>
  <c r="A8412" i="20"/>
  <c r="B6016" i="20"/>
  <c r="B6195" i="20"/>
  <c r="B5202" i="20"/>
  <c r="A2390" i="20"/>
  <c r="A4990" i="20"/>
  <c r="B5892" i="20"/>
  <c r="A3953" i="20"/>
  <c r="B6412" i="20"/>
  <c r="A2311" i="20"/>
  <c r="A3376" i="20"/>
  <c r="B3880" i="20"/>
  <c r="A3292" i="20"/>
  <c r="B8446" i="20"/>
  <c r="B8052" i="20"/>
  <c r="B1279" i="16"/>
  <c r="A5970" i="20"/>
  <c r="A476" i="20"/>
  <c r="A6277" i="20"/>
  <c r="B5778" i="20"/>
  <c r="B5746" i="20"/>
  <c r="B983" i="20"/>
  <c r="B7625" i="20"/>
  <c r="A1705" i="20"/>
  <c r="A8196" i="20"/>
  <c r="A5645" i="20"/>
  <c r="B5037" i="20"/>
  <c r="E8" i="33"/>
  <c r="A5389" i="20"/>
  <c r="A5575" i="20"/>
  <c r="B18" i="37"/>
  <c r="B8524" i="20"/>
  <c r="B6366" i="20"/>
  <c r="B6336" i="20"/>
  <c r="A7946" i="20"/>
  <c r="A6194" i="20"/>
  <c r="B4752" i="20"/>
  <c r="B5529" i="20"/>
  <c r="B8267" i="20"/>
  <c r="A6595" i="20"/>
  <c r="A5315" i="20"/>
  <c r="A6092" i="20"/>
  <c r="A3681" i="20"/>
  <c r="A1717" i="20"/>
  <c r="A2499" i="20"/>
  <c r="B6431" i="20"/>
  <c r="B6280" i="20"/>
  <c r="B3582" i="20"/>
  <c r="B3187" i="20"/>
  <c r="B5274" i="20"/>
  <c r="A15" i="21"/>
  <c r="B8066" i="20"/>
  <c r="A5047" i="20"/>
  <c r="A43" i="45"/>
  <c r="A1661" i="20"/>
  <c r="A6289" i="20"/>
  <c r="A7496" i="20"/>
  <c r="A5937" i="20"/>
  <c r="B1146" i="20"/>
  <c r="B2334" i="20"/>
  <c r="A6779" i="20"/>
  <c r="A5253" i="20"/>
  <c r="A2109" i="20"/>
  <c r="B3718" i="20"/>
  <c r="A3386" i="20"/>
  <c r="A164" i="20"/>
  <c r="A4167" i="20"/>
  <c r="A5882" i="20"/>
  <c r="B6018" i="20"/>
  <c r="A3709" i="20"/>
  <c r="B3420" i="20"/>
  <c r="B7453" i="20"/>
  <c r="B4890" i="20"/>
  <c r="A3578" i="20"/>
  <c r="A4911" i="20"/>
  <c r="B8923" i="20"/>
  <c r="B3173" i="20"/>
  <c r="A799" i="20"/>
  <c r="B1024" i="20"/>
  <c r="A7280" i="20"/>
  <c r="B977" i="16"/>
  <c r="A4761" i="20"/>
  <c r="B5548" i="20"/>
  <c r="A1778" i="16"/>
  <c r="B6244" i="20"/>
  <c r="B8401" i="20"/>
  <c r="B3888" i="20"/>
  <c r="B3662" i="20"/>
  <c r="B5304" i="20"/>
  <c r="B7476" i="20"/>
  <c r="B8996" i="20"/>
  <c r="B2374" i="20"/>
  <c r="B1089" i="45"/>
  <c r="A7197" i="20"/>
  <c r="A355" i="32"/>
  <c r="B3704" i="20"/>
  <c r="B2202" i="20"/>
  <c r="A5288" i="20"/>
  <c r="B3134" i="20"/>
  <c r="A6461" i="20"/>
  <c r="A5606" i="20"/>
  <c r="B4419" i="20"/>
  <c r="A4925" i="20"/>
  <c r="A3963" i="20"/>
  <c r="A4393" i="20"/>
  <c r="A7276" i="20"/>
  <c r="A5081" i="20"/>
  <c r="B1722" i="16"/>
  <c r="B7451" i="20"/>
  <c r="A23" i="13"/>
  <c r="B734" i="20"/>
  <c r="A266" i="45"/>
  <c r="A7048" i="20"/>
  <c r="B4092" i="20"/>
  <c r="B6377" i="20"/>
  <c r="A5964" i="20"/>
  <c r="B99" i="18"/>
  <c r="B5113" i="20"/>
  <c r="A6119" i="20"/>
  <c r="A1915" i="20"/>
  <c r="A3237" i="20"/>
  <c r="A6287" i="20"/>
  <c r="A6501" i="20"/>
  <c r="C3" i="40"/>
  <c r="A7488" i="20"/>
  <c r="A2326" i="20"/>
  <c r="B1568" i="20"/>
  <c r="A1400" i="20"/>
  <c r="A868" i="20"/>
  <c r="A1413" i="20"/>
  <c r="A4528" i="20"/>
  <c r="B8420" i="20"/>
  <c r="B5682" i="20"/>
  <c r="B5042" i="20"/>
  <c r="B5299" i="20"/>
  <c r="A2221" i="20"/>
  <c r="A5061" i="20"/>
  <c r="B5005" i="20"/>
  <c r="B2087" i="20"/>
  <c r="A4394" i="20"/>
  <c r="A977" i="16"/>
  <c r="B68" i="20"/>
  <c r="A1299" i="20"/>
  <c r="B3767" i="20"/>
  <c r="A86" i="20"/>
  <c r="B6867" i="20"/>
  <c r="B4226" i="20"/>
  <c r="B1" i="10"/>
  <c r="A8370" i="20"/>
  <c r="B531" i="45"/>
  <c r="B8397" i="20"/>
  <c r="B7545" i="20"/>
  <c r="B8005" i="20"/>
  <c r="B4400" i="20"/>
  <c r="A6348" i="20"/>
  <c r="B7787" i="20"/>
  <c r="B191" i="45"/>
  <c r="B1060" i="45"/>
  <c r="A3746" i="20"/>
  <c r="B5027" i="20"/>
  <c r="B5246" i="20"/>
  <c r="B5212" i="20"/>
  <c r="A1936" i="20"/>
  <c r="A4609" i="20"/>
  <c r="B8315" i="20"/>
  <c r="B6394" i="20"/>
  <c r="C138" i="18"/>
  <c r="A262" i="20"/>
  <c r="A1938" i="20"/>
  <c r="A6582" i="20"/>
  <c r="B4985" i="20"/>
  <c r="B5760" i="20"/>
  <c r="B3960" i="20"/>
  <c r="A1547" i="20"/>
  <c r="B2312" i="20"/>
  <c r="B4528" i="20"/>
  <c r="A5531" i="20"/>
  <c r="A6233" i="20"/>
  <c r="A3515" i="20"/>
  <c r="A5326" i="20"/>
  <c r="A4187" i="20"/>
  <c r="B5874" i="20"/>
  <c r="B5184" i="20"/>
  <c r="A3350" i="20"/>
  <c r="B4147" i="20"/>
  <c r="B4688" i="20"/>
  <c r="B4331" i="20"/>
  <c r="A6355" i="20"/>
  <c r="B2396" i="20"/>
  <c r="A385" i="16"/>
  <c r="B5058" i="20"/>
  <c r="A3919" i="20"/>
  <c r="B3512" i="20"/>
  <c r="B3641" i="20"/>
  <c r="A6739" i="20"/>
  <c r="A3428" i="20"/>
  <c r="B5267" i="20"/>
  <c r="B6665" i="20"/>
  <c r="B6055" i="20"/>
  <c r="B3630" i="20"/>
  <c r="A4739" i="20"/>
  <c r="A3233" i="20"/>
  <c r="B4658" i="20"/>
  <c r="B6775" i="20"/>
  <c r="B2566" i="20"/>
  <c r="A2393" i="20"/>
  <c r="A2557" i="20"/>
  <c r="B3895" i="20"/>
  <c r="A7181" i="20"/>
  <c r="B8292" i="20"/>
  <c r="B3980" i="20"/>
  <c r="A3930" i="20"/>
  <c r="B1589" i="16"/>
  <c r="A6957" i="20"/>
  <c r="B3190" i="20"/>
  <c r="B7014" i="20"/>
  <c r="A2657" i="20"/>
  <c r="B375" i="19"/>
  <c r="A3873" i="20"/>
  <c r="A21" i="32"/>
  <c r="A2324" i="20"/>
  <c r="B31" i="20"/>
  <c r="A7615" i="20"/>
  <c r="B8574" i="20"/>
  <c r="B5003" i="20"/>
  <c r="B517" i="20"/>
  <c r="A1225" i="16"/>
  <c r="B1890" i="20"/>
  <c r="A901" i="16"/>
  <c r="A3792" i="20"/>
  <c r="B6297" i="20"/>
  <c r="B18" i="18"/>
  <c r="A7836" i="20"/>
  <c r="B5389" i="20"/>
  <c r="B4456" i="20"/>
  <c r="A4095" i="20"/>
  <c r="A1761" i="16"/>
  <c r="A449" i="20"/>
  <c r="A609" i="16"/>
  <c r="B1139" i="16"/>
  <c r="A536" i="20"/>
  <c r="B58" i="19"/>
  <c r="B8513" i="20"/>
  <c r="A7295" i="20"/>
  <c r="A2359" i="20"/>
  <c r="B2913" i="20"/>
  <c r="B1019" i="20"/>
  <c r="B1133" i="16"/>
  <c r="A4897" i="20"/>
  <c r="B1480" i="16"/>
  <c r="A3802" i="20"/>
  <c r="B1780" i="16"/>
  <c r="A2841" i="20"/>
  <c r="A7110" i="20"/>
  <c r="A1787" i="20"/>
  <c r="B794" i="16"/>
  <c r="B7881" i="20"/>
  <c r="B1482" i="20"/>
  <c r="A8639" i="20"/>
  <c r="A2762" i="20"/>
  <c r="B137" i="13"/>
  <c r="B1565" i="20"/>
  <c r="A2717" i="20"/>
  <c r="B1376" i="20"/>
  <c r="B4674" i="20"/>
  <c r="A92" i="20"/>
  <c r="A3606" i="20"/>
  <c r="B2557" i="20"/>
  <c r="A2573" i="20"/>
  <c r="B2131" i="20"/>
  <c r="A2423" i="20"/>
  <c r="A212" i="20"/>
  <c r="B2597" i="20"/>
  <c r="A6990" i="20"/>
  <c r="A3021" i="20"/>
  <c r="A6446" i="20"/>
  <c r="B3314" i="20"/>
  <c r="B3862" i="20"/>
  <c r="A558" i="20"/>
  <c r="B3759" i="20"/>
  <c r="B1770" i="16"/>
  <c r="A3" i="25"/>
  <c r="B2080" i="20"/>
  <c r="A354" i="20"/>
  <c r="A102" i="20"/>
  <c r="B3533" i="20"/>
  <c r="A4543" i="20"/>
  <c r="B5196" i="20"/>
  <c r="A64" i="32"/>
  <c r="B6357" i="20"/>
  <c r="B8114" i="20"/>
  <c r="A1558" i="20"/>
  <c r="A5482" i="20"/>
  <c r="B911" i="20"/>
  <c r="B6768" i="20"/>
  <c r="A4194" i="20"/>
  <c r="A8" i="20"/>
  <c r="A4279" i="20"/>
  <c r="A4850" i="20"/>
  <c r="B5854" i="20"/>
  <c r="A2900" i="20"/>
  <c r="A3245" i="20"/>
  <c r="A167" i="19"/>
  <c r="A3642" i="20"/>
  <c r="B397" i="16"/>
  <c r="B2314" i="20"/>
  <c r="B1592" i="20"/>
  <c r="A1883" i="20"/>
  <c r="A41" i="13"/>
  <c r="A3594" i="20"/>
  <c r="B659" i="20"/>
  <c r="B3806" i="20"/>
  <c r="A4122" i="20"/>
  <c r="B2974" i="20"/>
  <c r="B2750" i="20"/>
  <c r="A2749" i="20"/>
  <c r="A586" i="20"/>
  <c r="B4420" i="20"/>
  <c r="G123" i="13"/>
  <c r="A3478" i="20"/>
  <c r="B215" i="20"/>
  <c r="B1467" i="20"/>
  <c r="A5529" i="20"/>
  <c r="A2487" i="20"/>
  <c r="A2209" i="20"/>
  <c r="A61" i="19"/>
  <c r="A4165" i="20"/>
  <c r="A5593" i="20"/>
  <c r="A1272" i="20"/>
  <c r="A127" i="18"/>
  <c r="A900" i="20"/>
  <c r="A6760" i="20"/>
  <c r="B3830" i="20"/>
  <c r="A275" i="32"/>
  <c r="A1241" i="20"/>
  <c r="A504" i="20"/>
  <c r="B2746" i="20"/>
  <c r="B8732" i="20"/>
  <c r="A1300" i="20"/>
  <c r="B1825" i="20"/>
  <c r="A1401" i="20"/>
  <c r="B606" i="20"/>
  <c r="B2276" i="20"/>
  <c r="B76" i="12"/>
  <c r="A6720" i="20"/>
  <c r="F2" i="8"/>
  <c r="A5856" i="20"/>
  <c r="H66" i="7"/>
  <c r="B6220" i="20"/>
  <c r="A3277" i="20"/>
  <c r="A7069" i="20"/>
  <c r="B4138" i="20"/>
  <c r="A4060" i="20"/>
  <c r="B6100" i="20"/>
  <c r="B5592" i="20"/>
  <c r="A4793" i="20"/>
  <c r="B2920" i="20"/>
  <c r="A4453" i="20"/>
  <c r="B4555" i="20"/>
  <c r="A3290" i="20"/>
  <c r="G54" i="12"/>
  <c r="A104" i="32"/>
  <c r="B4008" i="20"/>
  <c r="A4687" i="20"/>
  <c r="A1112" i="20"/>
  <c r="A8137" i="20"/>
  <c r="B1602" i="16"/>
  <c r="G94" i="10"/>
  <c r="A7049" i="20"/>
  <c r="A792" i="20"/>
  <c r="A4064" i="20"/>
  <c r="B2041" i="20"/>
  <c r="B6688" i="20"/>
  <c r="B2371" i="20"/>
  <c r="B1766" i="20"/>
  <c r="A83" i="20"/>
  <c r="A2755" i="20"/>
  <c r="B5303" i="20"/>
  <c r="B3464" i="20"/>
  <c r="B13" i="21"/>
  <c r="B4486" i="20"/>
  <c r="B1037" i="16"/>
  <c r="B2872" i="20"/>
  <c r="B117" i="5"/>
  <c r="A2139" i="20"/>
  <c r="B6995" i="20"/>
  <c r="A3068" i="20"/>
  <c r="B3906" i="20"/>
  <c r="A4467" i="20"/>
  <c r="A1599" i="20"/>
  <c r="A6892" i="20"/>
  <c r="A316" i="20"/>
  <c r="B5075" i="20"/>
  <c r="A2313" i="20"/>
  <c r="A4803" i="20"/>
  <c r="A4707" i="20"/>
  <c r="H89" i="13"/>
  <c r="B3979" i="20"/>
  <c r="A2682" i="20"/>
  <c r="A1597" i="20"/>
  <c r="A6109" i="20"/>
  <c r="B5297" i="20"/>
  <c r="A6" i="18"/>
  <c r="B3136" i="20"/>
  <c r="B2350" i="20"/>
  <c r="B143" i="20"/>
  <c r="H22" i="8"/>
  <c r="A3572" i="20"/>
  <c r="A2627" i="20"/>
  <c r="A909" i="20"/>
  <c r="B84" i="4"/>
  <c r="B2346" i="20"/>
  <c r="B1182" i="20"/>
  <c r="B3318" i="20"/>
  <c r="A3756" i="20"/>
  <c r="A3595" i="20"/>
  <c r="A427" i="20"/>
  <c r="B4175" i="20"/>
  <c r="A2036" i="20"/>
  <c r="A3091" i="20"/>
  <c r="B1117" i="16"/>
  <c r="A458" i="20"/>
  <c r="A1186" i="20"/>
  <c r="B3467" i="20"/>
  <c r="G78" i="13"/>
  <c r="B663" i="20"/>
  <c r="A3864" i="20"/>
  <c r="B623" i="20"/>
  <c r="A291" i="20"/>
  <c r="B3504" i="20"/>
  <c r="B3221" i="20"/>
  <c r="B271" i="20"/>
  <c r="B1528" i="20"/>
  <c r="A6483" i="20"/>
  <c r="B168" i="16"/>
  <c r="B5411" i="20"/>
  <c r="B731" i="20"/>
  <c r="A6504" i="20"/>
  <c r="A336" i="20"/>
  <c r="A2812" i="20"/>
  <c r="B493" i="20"/>
  <c r="B7066" i="20"/>
  <c r="B3200" i="20"/>
  <c r="A2129" i="20"/>
  <c r="A3287" i="20"/>
  <c r="B3013" i="20"/>
  <c r="G120" i="11"/>
  <c r="A349" i="19"/>
  <c r="B130" i="10"/>
  <c r="B3677" i="20"/>
  <c r="B46" i="19"/>
  <c r="B4282" i="20"/>
  <c r="B6294" i="20"/>
  <c r="B9027" i="20"/>
  <c r="B6234" i="20"/>
  <c r="A813" i="20"/>
  <c r="A623" i="16"/>
  <c r="A1781" i="20"/>
  <c r="B6728" i="20"/>
  <c r="A2718" i="20"/>
  <c r="B130" i="20"/>
  <c r="A2998" i="20"/>
  <c r="A5883" i="20"/>
  <c r="B3017" i="20"/>
  <c r="H30" i="13"/>
  <c r="A5008" i="20"/>
  <c r="A8664" i="20"/>
  <c r="A5185" i="20"/>
  <c r="A7821" i="20"/>
  <c r="A5399" i="20"/>
  <c r="B4532" i="20"/>
  <c r="A1751" i="20"/>
  <c r="B4517" i="20"/>
  <c r="B1998" i="20"/>
  <c r="A2441" i="20"/>
  <c r="B3483" i="20"/>
  <c r="B3001" i="20"/>
  <c r="A1168" i="20"/>
  <c r="B3065" i="20"/>
  <c r="B6285" i="20"/>
  <c r="B3311" i="20"/>
  <c r="B886" i="20"/>
  <c r="A6874" i="20"/>
  <c r="B7690" i="20"/>
  <c r="A6394" i="20"/>
  <c r="A5926" i="20"/>
  <c r="B6237" i="20"/>
  <c r="A1048" i="20"/>
  <c r="B3500" i="20"/>
  <c r="B4285" i="20"/>
  <c r="A157" i="32"/>
  <c r="B849" i="20"/>
  <c r="A2572" i="20"/>
  <c r="B208" i="20"/>
  <c r="B3451" i="20"/>
  <c r="B6185" i="20"/>
  <c r="A1679" i="16"/>
  <c r="B3857" i="20"/>
  <c r="A1" i="20"/>
  <c r="A2126" i="20"/>
  <c r="B570" i="16"/>
  <c r="A1774" i="20"/>
  <c r="B356" i="16"/>
  <c r="B8464" i="20"/>
  <c r="B423" i="20"/>
  <c r="B3570" i="20"/>
  <c r="B1597" i="20"/>
  <c r="A2295" i="20"/>
  <c r="A4567" i="20"/>
  <c r="B4227" i="20"/>
  <c r="G124" i="6"/>
  <c r="B3977" i="20"/>
  <c r="G112" i="12"/>
  <c r="B2073" i="20"/>
  <c r="A1187" i="20"/>
  <c r="B6106" i="20"/>
  <c r="A5571" i="20"/>
  <c r="B289" i="19"/>
  <c r="A6489" i="20"/>
  <c r="A603" i="20"/>
  <c r="B1041" i="20"/>
  <c r="A1292" i="20"/>
  <c r="A2833" i="20"/>
  <c r="A5557" i="20"/>
  <c r="B152" i="19"/>
  <c r="B3647" i="20"/>
  <c r="A4234" i="20"/>
  <c r="B4848" i="20"/>
  <c r="B1483" i="16"/>
  <c r="A9106" i="20"/>
  <c r="A4685" i="20"/>
  <c r="B1266" i="45"/>
  <c r="A3843" i="20"/>
  <c r="A438" i="20"/>
  <c r="B2230" i="20"/>
  <c r="B3702" i="20"/>
  <c r="A805" i="20"/>
  <c r="C43" i="18"/>
  <c r="B2791" i="20"/>
  <c r="B4361" i="20"/>
  <c r="B1495" i="16"/>
  <c r="E11" i="12"/>
  <c r="A2052" i="20"/>
  <c r="B1270" i="20"/>
  <c r="B215" i="16"/>
  <c r="A1669" i="20"/>
  <c r="A2439" i="20"/>
  <c r="B1850" i="20"/>
  <c r="B3177" i="20"/>
  <c r="A4124" i="20"/>
  <c r="A7684" i="20"/>
  <c r="A225" i="16"/>
  <c r="A227" i="20"/>
  <c r="B371" i="16"/>
  <c r="B7080" i="20"/>
  <c r="A136" i="10"/>
  <c r="B917" i="16"/>
  <c r="A1653" i="16"/>
  <c r="B1930" i="20"/>
  <c r="A4501" i="20"/>
  <c r="A3530" i="20"/>
  <c r="A238" i="20"/>
  <c r="H54" i="7"/>
  <c r="D64" i="12"/>
  <c r="B203" i="20"/>
  <c r="B34" i="11"/>
  <c r="A267" i="19"/>
  <c r="A1825" i="16"/>
  <c r="A969" i="20"/>
  <c r="A1473" i="16"/>
  <c r="A649" i="20"/>
  <c r="B3774" i="20"/>
  <c r="A4395" i="20"/>
  <c r="A6229" i="20"/>
  <c r="A3328" i="20"/>
  <c r="B3239" i="20"/>
  <c r="A277" i="20"/>
  <c r="E7" i="11"/>
  <c r="B98" i="6"/>
  <c r="A23" i="6"/>
  <c r="B4527" i="20"/>
  <c r="B5158" i="20"/>
  <c r="B99" i="10"/>
  <c r="B1959" i="20"/>
  <c r="A75" i="19"/>
  <c r="A318" i="19"/>
  <c r="B2257" i="20"/>
  <c r="B1936" i="20"/>
  <c r="A7539" i="20"/>
  <c r="A2290" i="20"/>
  <c r="A5484" i="20"/>
  <c r="A1642" i="20"/>
  <c r="A1148" i="20"/>
  <c r="B1068" i="16"/>
  <c r="B844" i="16"/>
  <c r="A265" i="19"/>
  <c r="A2936" i="20"/>
  <c r="A3200" i="20"/>
  <c r="B693" i="16"/>
  <c r="B4628" i="20"/>
  <c r="B339" i="20"/>
  <c r="A2881" i="20"/>
  <c r="B128" i="12"/>
  <c r="B4134" i="20"/>
  <c r="A109" i="11"/>
  <c r="A4282" i="20"/>
  <c r="B48" i="18"/>
  <c r="A3546" i="20"/>
  <c r="B1652" i="16"/>
  <c r="A1653" i="20"/>
  <c r="A3787" i="20"/>
  <c r="A1173" i="20"/>
  <c r="B5282" i="20"/>
  <c r="A2930" i="20"/>
  <c r="A3886" i="20"/>
  <c r="B4003" i="20"/>
  <c r="A4629" i="20"/>
  <c r="A857" i="20"/>
  <c r="B25" i="2"/>
  <c r="B7348" i="20"/>
  <c r="A47" i="16"/>
  <c r="B2106" i="20"/>
  <c r="N32" i="29"/>
  <c r="B4815" i="20"/>
  <c r="A1383" i="20"/>
  <c r="A28" i="19"/>
  <c r="A1810" i="20"/>
  <c r="B1457" i="20"/>
  <c r="A1473" i="20"/>
  <c r="A1505" i="16"/>
  <c r="B921" i="20"/>
  <c r="B320" i="19"/>
  <c r="A4946" i="20"/>
  <c r="B1906" i="20"/>
  <c r="B6079" i="20"/>
  <c r="B5510" i="20"/>
  <c r="A5377" i="20"/>
  <c r="B32" i="16"/>
  <c r="B2069" i="20"/>
  <c r="G40" i="13"/>
  <c r="A14" i="37"/>
  <c r="A3450" i="20"/>
  <c r="B3591" i="20"/>
  <c r="A6727" i="20"/>
  <c r="A3418" i="20"/>
  <c r="B2979" i="20"/>
  <c r="A3990" i="20"/>
  <c r="B181" i="19"/>
  <c r="A1271" i="20"/>
  <c r="A955" i="20"/>
  <c r="B4572" i="20"/>
  <c r="B2034" i="20"/>
  <c r="A1418" i="20"/>
  <c r="B1767" i="16"/>
  <c r="A6392" i="20"/>
  <c r="A6712" i="20"/>
  <c r="B1771" i="20"/>
  <c r="B4414" i="20"/>
  <c r="B33" i="20"/>
  <c r="B1972" i="20"/>
  <c r="B3623" i="20"/>
  <c r="B314" i="19"/>
  <c r="B3608" i="20"/>
  <c r="A2353" i="20"/>
  <c r="A1620" i="20"/>
  <c r="B1645" i="16"/>
  <c r="B1866" i="20"/>
  <c r="A2316" i="20"/>
  <c r="A7812" i="20"/>
  <c r="A1452" i="20"/>
  <c r="A3310" i="20"/>
  <c r="A3592" i="20"/>
  <c r="A8535" i="20"/>
  <c r="G143" i="10"/>
  <c r="B1092" i="20"/>
  <c r="A4648" i="20"/>
  <c r="A13" i="37"/>
  <c r="A104" i="12"/>
  <c r="A1330" i="20"/>
  <c r="A2102" i="20"/>
  <c r="B7582" i="20"/>
  <c r="B1474" i="16"/>
  <c r="A3901" i="20"/>
  <c r="B1543" i="16"/>
  <c r="B5700" i="20"/>
  <c r="A5163" i="20"/>
  <c r="B4965" i="20"/>
  <c r="B711" i="16"/>
  <c r="A1298" i="20"/>
  <c r="A2279" i="20"/>
  <c r="B50" i="16"/>
  <c r="B5774" i="20"/>
  <c r="B621" i="20"/>
  <c r="B8747" i="20"/>
  <c r="A1082" i="16"/>
  <c r="A2643" i="20"/>
  <c r="B2259" i="20"/>
  <c r="B3809" i="20"/>
  <c r="A6509" i="20"/>
  <c r="A3261" i="20"/>
  <c r="B5514" i="20"/>
  <c r="B4900" i="20"/>
  <c r="A378" i="19"/>
  <c r="A1229" i="20"/>
  <c r="H115" i="9"/>
  <c r="B1522" i="16"/>
  <c r="B2006" i="20"/>
  <c r="A5373" i="20"/>
  <c r="A3070" i="20"/>
  <c r="B3963" i="20"/>
  <c r="B7415" i="20"/>
  <c r="B1560" i="20"/>
  <c r="A1684" i="20"/>
  <c r="B2584" i="20"/>
  <c r="B4024" i="20"/>
  <c r="A3405" i="20"/>
  <c r="B1550" i="20"/>
  <c r="B1124" i="20"/>
  <c r="A3436" i="20"/>
  <c r="B4908" i="20"/>
  <c r="B651" i="20"/>
  <c r="A4903" i="20"/>
  <c r="B6112" i="20"/>
  <c r="B5834" i="20"/>
  <c r="B5217" i="20"/>
  <c r="B639" i="16"/>
  <c r="B4492" i="20"/>
  <c r="A5469" i="20"/>
  <c r="B4185" i="20"/>
  <c r="A111" i="12"/>
  <c r="A2401" i="20"/>
  <c r="B4184" i="20"/>
  <c r="B667" i="20"/>
  <c r="B4271" i="20"/>
  <c r="B2993" i="20"/>
  <c r="B1962" i="20"/>
  <c r="B1857" i="20"/>
  <c r="A5224" i="20"/>
  <c r="B3758" i="20"/>
  <c r="A3327" i="20"/>
  <c r="A4002" i="20"/>
  <c r="B5080" i="20"/>
  <c r="A2407" i="20"/>
  <c r="B62" i="20"/>
  <c r="B4447" i="20"/>
  <c r="B2481" i="20"/>
  <c r="A8098" i="20"/>
  <c r="A1121" i="16"/>
  <c r="A357" i="19"/>
  <c r="B52" i="19"/>
  <c r="B5451" i="20"/>
  <c r="A4747" i="20"/>
  <c r="A5853" i="20"/>
  <c r="B1200" i="20"/>
  <c r="F10" i="6"/>
  <c r="A621" i="20"/>
  <c r="B2" i="4"/>
  <c r="A269" i="20"/>
  <c r="A1428" i="16"/>
  <c r="B2308" i="20"/>
  <c r="A815" i="16"/>
  <c r="A5772" i="20"/>
  <c r="B534" i="20"/>
  <c r="A2806" i="20"/>
  <c r="A4786" i="20"/>
  <c r="H71" i="12"/>
  <c r="B2937" i="20"/>
  <c r="A817" i="16"/>
  <c r="A1790" i="20"/>
  <c r="B1312" i="16"/>
  <c r="G64" i="12"/>
  <c r="B5583" i="20"/>
  <c r="B2578" i="20"/>
  <c r="A37" i="19"/>
  <c r="A1233" i="20"/>
  <c r="B544" i="16"/>
  <c r="B1584" i="16"/>
  <c r="B4670" i="20"/>
  <c r="A604" i="20"/>
  <c r="B2978" i="20"/>
  <c r="A2024" i="20"/>
  <c r="B6126" i="20"/>
  <c r="B347" i="19"/>
  <c r="A3254" i="20"/>
  <c r="B1533" i="20"/>
  <c r="B6381" i="20"/>
  <c r="A6104" i="20"/>
  <c r="A8135" i="20"/>
  <c r="A6443" i="20"/>
  <c r="A5364" i="20"/>
  <c r="B337" i="20"/>
  <c r="A1548" i="20"/>
  <c r="B1541" i="16"/>
  <c r="A6162" i="20"/>
  <c r="B1377" i="20"/>
  <c r="A4248" i="20"/>
  <c r="H67" i="11"/>
  <c r="A4689" i="20"/>
  <c r="A557" i="20"/>
  <c r="A232" i="20"/>
  <c r="A1543" i="16"/>
  <c r="A4975" i="20"/>
  <c r="A4281" i="20"/>
  <c r="B5137" i="20"/>
  <c r="A4741" i="20"/>
  <c r="A1329" i="20"/>
  <c r="A3612" i="20"/>
  <c r="B1647" i="20"/>
  <c r="B5444" i="20"/>
  <c r="G119" i="10"/>
  <c r="B1338" i="20"/>
  <c r="B1421" i="16"/>
  <c r="A3791" i="20"/>
  <c r="B33" i="7"/>
  <c r="B991" i="16"/>
  <c r="A7994" i="20"/>
  <c r="B727" i="20"/>
  <c r="A310" i="20"/>
  <c r="B5928" i="20"/>
  <c r="A847" i="16"/>
  <c r="A1361" i="20"/>
  <c r="A495" i="16"/>
  <c r="B2414" i="20"/>
  <c r="A88" i="12"/>
  <c r="B3927" i="20"/>
  <c r="A56" i="11"/>
  <c r="B2224" i="20"/>
  <c r="A830" i="20"/>
  <c r="B281" i="20"/>
  <c r="A5781" i="20"/>
  <c r="B5363" i="20"/>
  <c r="B8404" i="20"/>
  <c r="B5387" i="20"/>
  <c r="A1266" i="16"/>
  <c r="H65" i="5"/>
  <c r="G149" i="4"/>
  <c r="A991" i="16"/>
  <c r="A1239" i="20"/>
  <c r="B4181" i="20"/>
  <c r="A335" i="16"/>
  <c r="B2030" i="20"/>
  <c r="A14" i="14"/>
  <c r="B1536" i="20"/>
  <c r="B7543" i="20"/>
  <c r="B3188" i="20"/>
  <c r="A6235" i="20"/>
  <c r="A3880" i="20"/>
  <c r="B408" i="20"/>
  <c r="B123" i="7"/>
  <c r="B4146" i="20"/>
  <c r="E113" i="4"/>
  <c r="B134" i="2"/>
  <c r="B1220" i="20"/>
  <c r="D36" i="12"/>
  <c r="A5371" i="20"/>
  <c r="B2236" i="20"/>
  <c r="G68" i="11"/>
  <c r="A5761" i="20"/>
  <c r="A1494" i="16"/>
  <c r="A5025" i="20"/>
  <c r="A214" i="16"/>
  <c r="A7477" i="20"/>
  <c r="E122" i="8"/>
  <c r="B6479" i="20"/>
  <c r="H110" i="7"/>
  <c r="B7905" i="20"/>
  <c r="A1990" i="20"/>
  <c r="B4683" i="20"/>
  <c r="A1670" i="20"/>
  <c r="B6042" i="20"/>
  <c r="B2628" i="20"/>
  <c r="A4239" i="20"/>
  <c r="A1449" i="20"/>
  <c r="B712" i="16"/>
  <c r="C152" i="18"/>
  <c r="B6636" i="20"/>
  <c r="B5516" i="20"/>
  <c r="A344" i="19"/>
  <c r="A6829" i="20"/>
  <c r="A91" i="10"/>
  <c r="A4709" i="20"/>
  <c r="B303" i="16"/>
  <c r="A5785" i="20"/>
  <c r="B3579" i="20"/>
  <c r="B3832" i="20"/>
  <c r="B2215" i="20"/>
  <c r="B5768" i="20"/>
  <c r="B1748" i="20"/>
  <c r="E53" i="11"/>
  <c r="A5120" i="20"/>
  <c r="A31" i="18"/>
  <c r="A1942" i="20"/>
  <c r="A2444" i="20"/>
  <c r="B6619" i="20"/>
  <c r="A1055" i="16"/>
  <c r="A5620" i="20"/>
  <c r="B5056" i="20"/>
  <c r="A3244" i="20"/>
  <c r="A3628" i="20"/>
  <c r="A3509" i="20"/>
  <c r="B4871" i="20"/>
  <c r="A5632" i="20"/>
  <c r="B3675" i="20"/>
  <c r="B1009" i="20"/>
  <c r="B1974" i="20"/>
  <c r="A549" i="20"/>
  <c r="B2861" i="20"/>
  <c r="A750" i="20"/>
  <c r="A7059" i="20"/>
  <c r="B7365" i="20"/>
  <c r="A5607" i="20"/>
  <c r="B2789" i="20"/>
  <c r="A762" i="20"/>
  <c r="A2619" i="20"/>
  <c r="A3942" i="20"/>
  <c r="B912" i="20"/>
  <c r="A7699" i="20"/>
  <c r="H63" i="10"/>
  <c r="A3369" i="20"/>
  <c r="B1845" i="16"/>
  <c r="B8979" i="20"/>
  <c r="B77" i="8"/>
  <c r="A4031" i="20"/>
  <c r="A125" i="19"/>
  <c r="A1631" i="20"/>
  <c r="B1177" i="20"/>
  <c r="A4485" i="20"/>
  <c r="B3841" i="20"/>
  <c r="B5958" i="20"/>
  <c r="A1049" i="20"/>
  <c r="B3812" i="20"/>
  <c r="B2774" i="20"/>
  <c r="B5168" i="20"/>
  <c r="B1739" i="16"/>
  <c r="A183" i="19"/>
  <c r="B2947" i="20"/>
  <c r="A3511" i="20"/>
  <c r="B459" i="16"/>
  <c r="B1181" i="20"/>
  <c r="B4940" i="20"/>
  <c r="B8268" i="20"/>
  <c r="A4339" i="20"/>
  <c r="B7255" i="20"/>
  <c r="A856" i="20"/>
  <c r="B121" i="19"/>
  <c r="B6504" i="20"/>
  <c r="A1276" i="20"/>
  <c r="A74" i="19"/>
  <c r="B519" i="20"/>
  <c r="A5455" i="20"/>
  <c r="A30" i="20"/>
  <c r="B4948" i="20"/>
  <c r="A2503" i="20"/>
  <c r="B4169" i="20"/>
  <c r="B8322" i="20"/>
  <c r="B5201" i="20"/>
  <c r="B5465" i="20"/>
  <c r="A3926" i="20"/>
  <c r="B2902" i="20"/>
  <c r="A1399" i="20"/>
  <c r="A2287" i="20"/>
  <c r="A6715" i="20"/>
  <c r="A4142" i="20"/>
  <c r="B1852" i="20"/>
  <c r="A6263" i="20"/>
  <c r="A2897" i="20"/>
  <c r="A6834" i="20"/>
  <c r="A6676" i="20"/>
  <c r="A2321" i="20"/>
  <c r="A6952" i="20"/>
  <c r="B1650" i="16"/>
  <c r="B790" i="20"/>
  <c r="A106" i="12"/>
  <c r="B10" i="21"/>
  <c r="A1427" i="20"/>
  <c r="A1175" i="16"/>
  <c r="C17" i="18"/>
  <c r="A6373" i="20"/>
  <c r="A4502" i="20"/>
  <c r="B5798" i="20"/>
  <c r="B5924" i="20"/>
  <c r="B6086" i="20"/>
  <c r="A2253" i="20"/>
  <c r="B3844" i="20"/>
  <c r="G20" i="10"/>
  <c r="B5040" i="20"/>
  <c r="A2027" i="20"/>
  <c r="B3684" i="20"/>
  <c r="B65" i="6"/>
  <c r="A3543" i="20"/>
  <c r="A3470" i="20"/>
  <c r="B1549" i="20"/>
  <c r="A53" i="4"/>
  <c r="A7972" i="20"/>
  <c r="B5906" i="20"/>
  <c r="B2882" i="20"/>
  <c r="B5870" i="20"/>
  <c r="A7417" i="20"/>
  <c r="A6125" i="20"/>
  <c r="B559" i="16"/>
  <c r="B6184" i="20"/>
  <c r="A3368" i="20"/>
  <c r="B7970" i="20"/>
  <c r="A1841" i="16"/>
  <c r="B4097" i="20"/>
  <c r="B3279" i="20"/>
  <c r="B1780" i="20"/>
  <c r="A546" i="20"/>
  <c r="A7754" i="20"/>
  <c r="A130" i="12"/>
  <c r="A2660" i="20"/>
  <c r="B147" i="18"/>
  <c r="A2213" i="20"/>
  <c r="A1797" i="16"/>
  <c r="B1826" i="20"/>
  <c r="B2847" i="20"/>
  <c r="B4289" i="20"/>
  <c r="A1031" i="45"/>
  <c r="A8571" i="20"/>
  <c r="B6305" i="20"/>
  <c r="A8680" i="20"/>
  <c r="B4337" i="20"/>
  <c r="A344" i="32"/>
  <c r="A1196" i="20"/>
  <c r="B7691" i="20"/>
  <c r="B7395" i="20"/>
  <c r="B24" i="20"/>
  <c r="A2932" i="20"/>
  <c r="B5871" i="20"/>
  <c r="B3600" i="20"/>
  <c r="B4446" i="20"/>
  <c r="B6264" i="20"/>
  <c r="B727" i="16"/>
  <c r="B4435" i="20"/>
  <c r="B23" i="18"/>
  <c r="B2028" i="20"/>
  <c r="B158" i="19"/>
  <c r="B3401" i="20"/>
  <c r="A1295" i="16"/>
  <c r="B1516" i="20"/>
  <c r="B1489" i="16"/>
  <c r="A2799" i="20"/>
  <c r="B6801" i="20"/>
  <c r="B4610" i="20"/>
  <c r="A1843" i="20"/>
  <c r="A1783" i="20"/>
  <c r="B3633" i="20"/>
  <c r="B1433" i="20"/>
  <c r="A4171" i="20"/>
  <c r="A3216" i="20"/>
  <c r="A1876" i="20"/>
  <c r="A1" i="18"/>
  <c r="B3585" i="20"/>
  <c r="A9056" i="20"/>
  <c r="A2009" i="20"/>
  <c r="B621" i="16"/>
  <c r="A4170" i="20"/>
  <c r="A4235" i="20"/>
  <c r="B4015" i="20"/>
  <c r="A8518" i="20"/>
  <c r="A2166" i="20"/>
  <c r="A6101" i="20"/>
  <c r="A4080" i="20"/>
  <c r="A8006" i="20"/>
  <c r="B333" i="19"/>
  <c r="B1016" i="20"/>
  <c r="A2424" i="20"/>
  <c r="B8226" i="20"/>
  <c r="B613" i="20"/>
  <c r="B207" i="16"/>
  <c r="A1345" i="16"/>
  <c r="A2578" i="20"/>
  <c r="B6239" i="20"/>
  <c r="G87" i="8"/>
  <c r="A4639" i="20"/>
  <c r="B253" i="20"/>
  <c r="A3899" i="20"/>
  <c r="A305" i="19"/>
  <c r="B6226" i="20"/>
  <c r="A1007" i="20"/>
  <c r="B5394" i="20"/>
  <c r="A687" i="20"/>
  <c r="B5420" i="20"/>
  <c r="A5877" i="20"/>
  <c r="B7423" i="20"/>
  <c r="A1294" i="20"/>
  <c r="A634" i="20"/>
  <c r="B246" i="20"/>
  <c r="A1849" i="20"/>
  <c r="A2607" i="20"/>
  <c r="B1320" i="20"/>
  <c r="B3791" i="20"/>
  <c r="A741" i="20"/>
  <c r="C55" i="18"/>
  <c r="A3611" i="20"/>
  <c r="A113" i="19"/>
  <c r="A5815" i="20"/>
  <c r="B2409" i="20"/>
  <c r="A4508" i="20"/>
  <c r="G6" i="12"/>
  <c r="A3772" i="20"/>
  <c r="B4085" i="20"/>
  <c r="A4204" i="20"/>
  <c r="B1161" i="20"/>
  <c r="B2275" i="20"/>
  <c r="B2302" i="20"/>
  <c r="H17" i="2"/>
  <c r="B2" i="19"/>
  <c r="A109" i="12"/>
  <c r="H85" i="12"/>
  <c r="A35" i="17"/>
  <c r="B82" i="18"/>
  <c r="B1816" i="16"/>
  <c r="B2489" i="20"/>
  <c r="B1587" i="16"/>
  <c r="A1126" i="20"/>
  <c r="B1267" i="16"/>
  <c r="A195" i="20"/>
  <c r="B307" i="16"/>
  <c r="B226" i="19"/>
  <c r="A2" i="15"/>
  <c r="A2185" i="20"/>
  <c r="B13" i="11"/>
  <c r="A1163" i="20"/>
  <c r="B588" i="20"/>
  <c r="B185" i="19"/>
  <c r="A1618" i="16"/>
  <c r="B2123" i="20"/>
  <c r="A978" i="16"/>
  <c r="A1027" i="16"/>
  <c r="A145" i="1"/>
  <c r="B452" i="16"/>
  <c r="B1514" i="16"/>
  <c r="A1362" i="20"/>
  <c r="B2332" i="20"/>
  <c r="A1048" i="16"/>
  <c r="A133" i="8"/>
  <c r="C103" i="6"/>
  <c r="B6274" i="20"/>
  <c r="B465" i="20"/>
  <c r="A141" i="20"/>
  <c r="B604" i="49"/>
  <c r="A145" i="16"/>
  <c r="B836" i="20"/>
  <c r="A3644" i="20"/>
  <c r="B4356" i="20"/>
  <c r="H7" i="12"/>
  <c r="H120" i="12"/>
  <c r="A8487" i="20"/>
  <c r="A73" i="13"/>
  <c r="B5053" i="20"/>
  <c r="B3900" i="20"/>
  <c r="A2182" i="20"/>
  <c r="B2165" i="20"/>
  <c r="B901" i="16"/>
  <c r="A8" i="11"/>
  <c r="H79" i="10"/>
  <c r="H100" i="11"/>
  <c r="B883" i="16"/>
  <c r="A1135" i="20"/>
  <c r="A2389" i="20"/>
  <c r="A4293" i="20"/>
  <c r="B3618" i="20"/>
  <c r="A2472" i="20"/>
  <c r="B3170" i="20"/>
  <c r="A2152" i="20"/>
  <c r="A3894" i="20"/>
  <c r="A1192" i="20"/>
  <c r="A3414" i="20"/>
  <c r="B2045" i="20"/>
  <c r="A2550" i="20"/>
  <c r="B1450" i="16"/>
  <c r="A2070" i="20"/>
  <c r="A2680" i="20"/>
  <c r="B1724" i="20"/>
  <c r="A19" i="20"/>
  <c r="B4415" i="20"/>
  <c r="B82" i="19"/>
  <c r="A2426" i="20"/>
  <c r="D36" i="4"/>
  <c r="A1115" i="16"/>
  <c r="H52" i="5"/>
  <c r="A29" i="6"/>
  <c r="B2040" i="20"/>
  <c r="A1068" i="20"/>
  <c r="A4436" i="20"/>
  <c r="B815" i="16"/>
  <c r="A7141" i="20"/>
  <c r="A4392" i="20"/>
  <c r="B1683" i="20"/>
  <c r="B4401" i="20"/>
  <c r="B3316" i="20"/>
  <c r="B2454" i="20"/>
  <c r="A1131" i="20"/>
  <c r="B4007" i="20"/>
  <c r="B2280" i="20"/>
  <c r="A6424" i="20"/>
  <c r="B124" i="20"/>
  <c r="B641" i="45"/>
  <c r="C45" i="18"/>
  <c r="C50" i="18"/>
  <c r="B112" i="5"/>
  <c r="A1122" i="16"/>
  <c r="H118" i="13"/>
  <c r="H70" i="4"/>
  <c r="A646" i="16"/>
  <c r="B5" i="39"/>
  <c r="A667" i="16"/>
  <c r="H39" i="5"/>
  <c r="B3277" i="20"/>
  <c r="B22" i="7"/>
  <c r="G77" i="11"/>
  <c r="B1789" i="16"/>
  <c r="A123" i="4"/>
  <c r="A242" i="19"/>
  <c r="B710" i="20"/>
  <c r="E61" i="1"/>
  <c r="B1160" i="20"/>
  <c r="B124" i="12"/>
  <c r="G1" i="7"/>
  <c r="B2604" i="20"/>
  <c r="B1708" i="20"/>
  <c r="B3803" i="20"/>
  <c r="A189" i="20"/>
  <c r="B111" i="16"/>
  <c r="B941" i="16"/>
  <c r="A4887" i="20"/>
  <c r="B4607" i="20"/>
  <c r="B3095" i="20"/>
  <c r="B5310" i="20"/>
  <c r="G131" i="11"/>
  <c r="A85" i="12"/>
  <c r="E25" i="12"/>
  <c r="A16" i="20"/>
  <c r="B1343" i="20"/>
  <c r="B1045" i="20"/>
  <c r="A707" i="20"/>
  <c r="B819" i="16"/>
  <c r="A355" i="20"/>
  <c r="B499" i="16"/>
  <c r="A83" i="13"/>
  <c r="E11" i="5"/>
  <c r="E36" i="2"/>
  <c r="A178" i="16"/>
  <c r="A1822" i="16"/>
  <c r="B531" i="20"/>
  <c r="A7422" i="20"/>
  <c r="A4844" i="20"/>
  <c r="B605" i="16"/>
  <c r="B137" i="19"/>
  <c r="A526" i="20"/>
  <c r="A127" i="19"/>
  <c r="B117" i="12"/>
  <c r="B1953" i="20"/>
  <c r="H101" i="11"/>
  <c r="A61" i="20"/>
  <c r="C24" i="18"/>
  <c r="B60" i="19"/>
  <c r="B1154" i="20"/>
  <c r="A581" i="16"/>
  <c r="B4590" i="20"/>
  <c r="A261" i="16"/>
  <c r="B3689" i="20"/>
  <c r="A136" i="12"/>
  <c r="B1924" i="20"/>
  <c r="B36" i="12"/>
  <c r="B4482" i="20"/>
  <c r="G36" i="4"/>
  <c r="A1224" i="20"/>
  <c r="B2595" i="20"/>
  <c r="B4314" i="20"/>
  <c r="B130" i="19"/>
  <c r="A5295" i="20"/>
  <c r="F47" i="6"/>
  <c r="A3996" i="20"/>
  <c r="A20" i="11"/>
  <c r="A3260" i="20"/>
  <c r="B582" i="20"/>
  <c r="A1981" i="20"/>
  <c r="A1443" i="16"/>
  <c r="A1245" i="20"/>
  <c r="A1123" i="16"/>
  <c r="B3232" i="20"/>
  <c r="B6973" i="20"/>
  <c r="A6371" i="20"/>
  <c r="A4521" i="20"/>
  <c r="A694" i="20"/>
  <c r="B2852" i="20"/>
  <c r="A155" i="19"/>
  <c r="B2362" i="20"/>
  <c r="A721" i="16"/>
  <c r="A29" i="12"/>
  <c r="A6585" i="20"/>
  <c r="H95" i="13"/>
  <c r="B1244" i="16"/>
  <c r="B4046" i="20"/>
  <c r="B1214" i="20"/>
  <c r="A2116" i="20"/>
  <c r="A1764" i="20"/>
  <c r="A1840" i="20"/>
  <c r="B6970" i="20"/>
  <c r="A2187" i="20"/>
  <c r="B885" i="16"/>
  <c r="A1589" i="16"/>
  <c r="B533" i="16"/>
  <c r="A1269" i="16"/>
  <c r="A2" i="11"/>
  <c r="B338" i="16"/>
  <c r="B348" i="20"/>
  <c r="B124" i="16"/>
  <c r="H111" i="13"/>
  <c r="B49" i="13"/>
  <c r="B60" i="7"/>
  <c r="B62" i="6"/>
  <c r="A1574" i="20"/>
  <c r="B501" i="20"/>
  <c r="A5420" i="20"/>
  <c r="B3064" i="20"/>
  <c r="A9008" i="20"/>
  <c r="B183" i="19"/>
  <c r="B719" i="16"/>
  <c r="A1561" i="20"/>
  <c r="B7196" i="20"/>
  <c r="B3999" i="20"/>
  <c r="A8668" i="20"/>
  <c r="B277" i="19"/>
  <c r="A8180" i="20"/>
  <c r="B1017" i="20"/>
  <c r="B6967" i="20"/>
  <c r="G117" i="10"/>
  <c r="B6099" i="20"/>
  <c r="A43" i="10"/>
  <c r="A6997" i="20"/>
  <c r="A145" i="9"/>
  <c r="B5375" i="20"/>
  <c r="A69" i="9"/>
  <c r="B2873" i="20"/>
  <c r="A134" i="2"/>
  <c r="B1348" i="20"/>
  <c r="B545" i="16"/>
  <c r="B1565" i="16"/>
  <c r="A1207" i="16"/>
  <c r="B4104" i="20"/>
  <c r="B225" i="16"/>
  <c r="A3710" i="20"/>
  <c r="H53" i="11"/>
  <c r="A2974" i="20"/>
  <c r="B1207" i="20"/>
  <c r="A1695" i="20"/>
  <c r="A626" i="16"/>
  <c r="B4041" i="20"/>
  <c r="A1" i="15"/>
  <c r="A3282" i="20"/>
  <c r="B2938" i="20"/>
  <c r="A2802" i="20"/>
  <c r="A3630" i="20"/>
  <c r="A3222" i="20"/>
  <c r="B1277" i="20"/>
  <c r="A2742" i="20"/>
  <c r="A852" i="20"/>
  <c r="B2355" i="20"/>
  <c r="A25" i="4"/>
  <c r="H72" i="9"/>
  <c r="B1277" i="16"/>
  <c r="A940" i="16"/>
  <c r="A174" i="16"/>
  <c r="A7058" i="20"/>
  <c r="B5435" i="20"/>
  <c r="B5463" i="20"/>
  <c r="B3761" i="20"/>
  <c r="E123" i="7"/>
  <c r="B142" i="18"/>
  <c r="E28" i="6"/>
  <c r="B1761" i="20"/>
  <c r="G52" i="5"/>
  <c r="A365" i="20"/>
  <c r="A1684" i="16"/>
  <c r="A13" i="20"/>
  <c r="A404" i="16"/>
  <c r="B1750" i="20"/>
  <c r="A170" i="20"/>
  <c r="B1238" i="20"/>
  <c r="A69" i="19"/>
  <c r="B528" i="16"/>
  <c r="G51" i="10"/>
  <c r="A3629" i="20"/>
  <c r="A66" i="1"/>
  <c r="B1560" i="16"/>
  <c r="A3" i="7"/>
  <c r="A1232" i="16"/>
  <c r="A6393" i="20"/>
  <c r="A2046" i="20"/>
  <c r="A234" i="20"/>
  <c r="B887" i="20"/>
  <c r="A1769" i="16"/>
  <c r="B925" i="16"/>
  <c r="A1823" i="16"/>
  <c r="A2525" i="20"/>
  <c r="B3324" i="20"/>
  <c r="B8254" i="20"/>
  <c r="A5312" i="20"/>
  <c r="A6730" i="20"/>
  <c r="A967" i="16"/>
  <c r="A1745" i="20"/>
  <c r="A5987" i="20"/>
  <c r="B610" i="16"/>
  <c r="A8020" i="20"/>
  <c r="B1670" i="16"/>
  <c r="A792" i="16"/>
  <c r="A29" i="10"/>
  <c r="B16" i="10"/>
  <c r="A48" i="20"/>
  <c r="A678" i="16"/>
  <c r="A214" i="20"/>
  <c r="A4169" i="20"/>
  <c r="B2504" i="20"/>
  <c r="A6905" i="20"/>
  <c r="A2566" i="20"/>
  <c r="A5787" i="20"/>
  <c r="A1468" i="20"/>
  <c r="B5864" i="20"/>
  <c r="B4621" i="20"/>
  <c r="B6566" i="20"/>
  <c r="B4063" i="20"/>
  <c r="A5768" i="20"/>
  <c r="A1730" i="20"/>
  <c r="B38" i="19"/>
  <c r="A131" i="13"/>
  <c r="A1673" i="16"/>
  <c r="E26" i="13"/>
  <c r="B877" i="20"/>
  <c r="B256" i="19"/>
  <c r="B409" i="20"/>
  <c r="B1231" i="20"/>
  <c r="B1208" i="16"/>
  <c r="A24" i="19"/>
  <c r="E47" i="9"/>
  <c r="B94" i="12"/>
  <c r="A960" i="16"/>
  <c r="G17" i="7"/>
  <c r="B8041" i="20"/>
  <c r="B6152" i="20"/>
  <c r="AH4" i="33"/>
  <c r="A2465" i="20"/>
  <c r="A1016" i="20"/>
  <c r="C87" i="18"/>
  <c r="A1169" i="16"/>
  <c r="B1647" i="16"/>
  <c r="A849" i="16"/>
  <c r="B367" i="16"/>
  <c r="G101" i="13"/>
  <c r="B118" i="13"/>
  <c r="A2631" i="20"/>
  <c r="A14" i="19"/>
  <c r="A1667" i="20"/>
  <c r="B1814" i="16"/>
  <c r="B3055" i="20"/>
  <c r="A460" i="16"/>
  <c r="B86" i="5"/>
  <c r="A2088" i="20"/>
  <c r="B954" i="20"/>
  <c r="A334" i="16"/>
  <c r="A97" i="18"/>
  <c r="B139" i="7"/>
  <c r="B32" i="4"/>
  <c r="H60" i="11"/>
  <c r="B628" i="16"/>
  <c r="H72" i="2"/>
  <c r="B1635" i="16"/>
  <c r="A49" i="9"/>
  <c r="A138" i="9"/>
  <c r="F76" i="8"/>
  <c r="B115" i="19"/>
  <c r="F5" i="6"/>
  <c r="H75" i="9"/>
  <c r="H90" i="2"/>
  <c r="A93" i="32"/>
  <c r="A3533" i="20"/>
  <c r="A622" i="20"/>
  <c r="B1" i="11"/>
  <c r="F35" i="10"/>
  <c r="B5850" i="20"/>
  <c r="A15" i="19"/>
  <c r="B2239" i="20"/>
  <c r="B4" i="20"/>
  <c r="B1941" i="20"/>
  <c r="B4789" i="20"/>
  <c r="A1926" i="20"/>
  <c r="A8658" i="20"/>
  <c r="A922" i="16"/>
  <c r="B6489" i="20"/>
  <c r="A282" i="16"/>
  <c r="A3301" i="20"/>
  <c r="A110" i="13"/>
  <c r="B5994" i="20"/>
  <c r="G70" i="11"/>
  <c r="E27" i="13"/>
  <c r="A68" i="8"/>
  <c r="A1332" i="16"/>
  <c r="B949" i="20"/>
  <c r="B805" i="16"/>
  <c r="B514" i="16"/>
  <c r="B4723" i="20"/>
  <c r="A4335" i="20"/>
  <c r="B988" i="49"/>
  <c r="B964" i="20"/>
  <c r="A598" i="20"/>
  <c r="A1247" i="16"/>
  <c r="B6107" i="20"/>
  <c r="A927" i="16"/>
  <c r="B7915" i="20"/>
  <c r="C2" i="14"/>
  <c r="A7175" i="20"/>
  <c r="H126" i="12"/>
  <c r="B5614" i="20"/>
  <c r="B45" i="5"/>
  <c r="B4878" i="20"/>
  <c r="A125" i="4"/>
  <c r="A4933" i="20"/>
  <c r="B832" i="20"/>
  <c r="B5752" i="20"/>
  <c r="B28" i="19"/>
  <c r="A47" i="12"/>
  <c r="C105" i="2"/>
  <c r="H110" i="11"/>
  <c r="B523" i="16"/>
  <c r="A6203" i="20"/>
  <c r="B3385" i="20"/>
  <c r="B3887" i="20"/>
  <c r="A2901" i="20"/>
  <c r="A131" i="20"/>
  <c r="A49" i="18"/>
  <c r="B1333" i="16"/>
  <c r="A5359" i="20"/>
  <c r="A4374" i="20"/>
  <c r="A2296" i="20"/>
  <c r="B1779" i="20"/>
  <c r="B2307" i="20"/>
  <c r="A89" i="16"/>
  <c r="B612" i="20"/>
  <c r="A1293" i="20"/>
  <c r="B1254" i="20"/>
  <c r="G136" i="10"/>
  <c r="A93" i="12"/>
  <c r="A85" i="19"/>
  <c r="H128" i="8"/>
  <c r="B6522" i="20"/>
  <c r="B3094" i="20"/>
  <c r="A2479" i="20"/>
  <c r="B1821" i="16"/>
  <c r="C36" i="12"/>
  <c r="H115" i="5"/>
  <c r="A47" i="5"/>
  <c r="B871" i="16"/>
  <c r="A4481" i="20"/>
  <c r="A188" i="19"/>
  <c r="A3816" i="20"/>
  <c r="E12" i="13"/>
  <c r="B3505" i="20"/>
  <c r="A106" i="7"/>
  <c r="B2166" i="20"/>
  <c r="A32" i="7"/>
  <c r="B3559" i="20"/>
  <c r="B5" i="19"/>
  <c r="A2532" i="20"/>
  <c r="A1488" i="16"/>
  <c r="A36" i="17"/>
  <c r="A1696" i="20"/>
  <c r="B1536" i="16"/>
  <c r="A1376" i="20"/>
  <c r="B5256" i="20"/>
  <c r="B1662" i="20"/>
  <c r="A3788" i="20"/>
  <c r="B1236" i="20"/>
  <c r="B4292" i="20"/>
  <c r="A1514" i="20"/>
  <c r="A7056" i="20"/>
  <c r="B105" i="8"/>
  <c r="G83" i="6"/>
  <c r="F26" i="12"/>
  <c r="H66" i="8"/>
  <c r="B6471" i="20"/>
  <c r="A6243" i="20"/>
  <c r="A2" i="9"/>
  <c r="A4781" i="20"/>
  <c r="A368" i="20"/>
  <c r="B5676" i="20"/>
  <c r="B1243" i="20"/>
  <c r="A3891" i="20"/>
  <c r="A347" i="19"/>
  <c r="B4869" i="20"/>
  <c r="A27" i="19"/>
  <c r="B4088" i="20"/>
  <c r="B2598" i="20"/>
  <c r="A4268" i="20"/>
  <c r="B1958" i="20"/>
  <c r="B5986" i="20"/>
  <c r="A46" i="11"/>
  <c r="A909" i="16"/>
  <c r="A24" i="8"/>
  <c r="B26" i="6"/>
  <c r="B3831" i="20"/>
  <c r="A1608" i="20"/>
  <c r="A768" i="20"/>
  <c r="A6126" i="20"/>
  <c r="B474" i="16"/>
  <c r="H153" i="4"/>
  <c r="A63" i="13"/>
  <c r="B34" i="20"/>
  <c r="B492" i="16"/>
  <c r="A6816" i="20"/>
  <c r="A202" i="19"/>
  <c r="B96" i="2"/>
  <c r="H113" i="12"/>
  <c r="A12" i="8"/>
  <c r="A1648" i="20"/>
  <c r="B2589" i="20"/>
  <c r="A7913" i="20"/>
  <c r="B115" i="13"/>
  <c r="A2474" i="20"/>
  <c r="B4177" i="20"/>
  <c r="B3855" i="20"/>
  <c r="A1010" i="20"/>
  <c r="A926" i="20"/>
  <c r="A286" i="20"/>
  <c r="A952" i="16"/>
  <c r="A2040" i="20"/>
  <c r="B8190" i="20"/>
  <c r="B919" i="20"/>
  <c r="B1819" i="20"/>
  <c r="B535" i="20"/>
  <c r="A2361" i="20"/>
  <c r="A1102" i="20"/>
  <c r="B348" i="19"/>
  <c r="A334" i="20"/>
  <c r="B2837" i="20"/>
  <c r="B91" i="7"/>
  <c r="B29" i="9"/>
  <c r="A5734" i="20"/>
  <c r="G51" i="1"/>
  <c r="B2509" i="20"/>
  <c r="B1942" i="20"/>
  <c r="B85" i="20"/>
  <c r="A3722" i="20"/>
  <c r="A4535" i="20"/>
  <c r="B1227" i="16"/>
  <c r="B3358" i="20"/>
  <c r="A3946" i="20"/>
  <c r="B2878" i="20"/>
  <c r="A2666" i="20"/>
  <c r="A3602" i="20"/>
  <c r="B3962" i="20"/>
  <c r="A3154" i="20"/>
  <c r="A4682" i="20"/>
  <c r="A2168" i="20"/>
  <c r="E2" i="12"/>
  <c r="A1688" i="20"/>
  <c r="B3445" i="20"/>
  <c r="A2198" i="20"/>
  <c r="A3704" i="20"/>
  <c r="A1718" i="20"/>
  <c r="B2384" i="20"/>
  <c r="B3415" i="20"/>
  <c r="A1120" i="16"/>
  <c r="A1278" i="16"/>
  <c r="B3109" i="20"/>
  <c r="A1064" i="20"/>
  <c r="A429" i="20"/>
  <c r="B2435" i="20"/>
  <c r="A1287" i="16"/>
  <c r="A1235" i="20"/>
  <c r="A3" i="19"/>
  <c r="A2450" i="20"/>
  <c r="B1969" i="20"/>
  <c r="B197" i="19"/>
  <c r="A385" i="20"/>
  <c r="B1091" i="20"/>
  <c r="A65" i="20"/>
  <c r="A1052" i="20"/>
  <c r="H101" i="13"/>
  <c r="F70" i="11"/>
  <c r="B3712" i="20"/>
  <c r="B3105" i="20"/>
  <c r="B3934" i="20"/>
  <c r="B2336" i="20"/>
  <c r="B3131" i="20"/>
  <c r="A2274" i="20"/>
  <c r="A6738" i="20"/>
  <c r="B6614" i="20"/>
  <c r="B6151" i="20"/>
  <c r="B1424" i="20"/>
  <c r="B3815" i="20"/>
  <c r="C71" i="18"/>
  <c r="A998" i="20"/>
  <c r="A358" i="20"/>
  <c r="H110" i="13"/>
  <c r="B2829" i="20"/>
  <c r="A3047" i="20"/>
  <c r="B529" i="20"/>
  <c r="B143" i="16"/>
  <c r="A383" i="19"/>
  <c r="G71" i="13"/>
  <c r="B3" i="18"/>
  <c r="B36" i="18"/>
  <c r="A1457" i="16"/>
  <c r="B1634" i="16"/>
  <c r="B1406" i="16"/>
  <c r="B1" i="8"/>
  <c r="B1127" i="16"/>
  <c r="A13" i="2"/>
  <c r="A138" i="13"/>
  <c r="A1895" i="20"/>
  <c r="A70" i="10"/>
  <c r="B1558" i="20"/>
  <c r="A2777" i="20"/>
  <c r="B1898" i="20"/>
  <c r="A2039" i="20"/>
  <c r="B275" i="19"/>
  <c r="A1591" i="20"/>
  <c r="B2611" i="20"/>
  <c r="B2388" i="20"/>
  <c r="A4168" i="20"/>
  <c r="B1908" i="20"/>
  <c r="A2888" i="20"/>
  <c r="B879" i="20"/>
  <c r="B301" i="20"/>
  <c r="B399" i="20"/>
  <c r="A341" i="19"/>
  <c r="A1022" i="20"/>
  <c r="A127" i="13"/>
  <c r="A62" i="20"/>
  <c r="B112" i="12"/>
  <c r="B324" i="20"/>
  <c r="A134" i="4"/>
  <c r="A1504" i="16"/>
  <c r="A7322" i="20"/>
  <c r="A83" i="18"/>
  <c r="B108" i="11"/>
  <c r="B548" i="20"/>
  <c r="B875" i="20"/>
  <c r="G118" i="11"/>
  <c r="A53" i="16"/>
  <c r="B1799" i="20"/>
  <c r="F28" i="13"/>
  <c r="A1655" i="16"/>
  <c r="B468" i="20"/>
  <c r="A1303" i="16"/>
  <c r="A103" i="18"/>
  <c r="A58" i="20"/>
  <c r="A8" i="19"/>
  <c r="B4613" i="20"/>
  <c r="A1490" i="16"/>
  <c r="A2372" i="20"/>
  <c r="A1104" i="16"/>
  <c r="A2020" i="20"/>
  <c r="A464" i="16"/>
  <c r="B132" i="16"/>
  <c r="G8" i="6"/>
  <c r="A858" i="16"/>
  <c r="B32" i="10"/>
  <c r="B150" i="16"/>
  <c r="A4678" i="20"/>
  <c r="A858" i="20"/>
  <c r="B8" i="13"/>
  <c r="B3827" i="20"/>
  <c r="B220" i="16"/>
  <c r="B6255" i="20"/>
  <c r="A83" i="9"/>
  <c r="B4671" i="20"/>
  <c r="A9" i="9"/>
  <c r="A6765" i="20"/>
  <c r="H81" i="7"/>
  <c r="B5767" i="20"/>
  <c r="B6" i="7"/>
  <c r="A5927" i="20"/>
  <c r="B156" i="4"/>
  <c r="A6944" i="20"/>
  <c r="H49" i="4"/>
  <c r="A4757" i="20"/>
  <c r="B24" i="9"/>
  <c r="A75" i="9"/>
  <c r="B266" i="19"/>
  <c r="B3946" i="20"/>
  <c r="A5945" i="20"/>
  <c r="B7187" i="20"/>
  <c r="A7043" i="20"/>
  <c r="B2248" i="20"/>
  <c r="B2831" i="20"/>
  <c r="A2062" i="20"/>
  <c r="B4707" i="20"/>
  <c r="A5306" i="20"/>
  <c r="B4705" i="20"/>
  <c r="B3003" i="20"/>
  <c r="A1747" i="16"/>
  <c r="E61" i="10"/>
  <c r="A76" i="8"/>
  <c r="B2980" i="20"/>
  <c r="A875" i="20"/>
  <c r="A647" i="16"/>
  <c r="G99" i="9"/>
  <c r="G123" i="8"/>
  <c r="G114" i="4"/>
  <c r="B600" i="20"/>
  <c r="A1464" i="16"/>
  <c r="A108" i="10"/>
  <c r="A23" i="12"/>
  <c r="B2157" i="20"/>
  <c r="A72" i="8"/>
  <c r="B1288" i="16"/>
  <c r="B4028" i="20"/>
  <c r="A4507" i="20"/>
  <c r="B3987" i="20"/>
  <c r="A728" i="20"/>
  <c r="A1686" i="16"/>
  <c r="A1057" i="16"/>
  <c r="A201" i="20"/>
  <c r="A705" i="16"/>
  <c r="B264" i="19"/>
  <c r="H49" i="13"/>
  <c r="B10" i="18"/>
  <c r="G21" i="12"/>
  <c r="B1595" i="16"/>
  <c r="A1246" i="20"/>
  <c r="A3000" i="20"/>
  <c r="B1749" i="20"/>
  <c r="B2032" i="20"/>
  <c r="A2260" i="20"/>
  <c r="A351" i="19"/>
  <c r="A1812" i="20"/>
  <c r="A31" i="19"/>
  <c r="G93" i="6"/>
  <c r="A1000" i="16"/>
  <c r="A6374" i="20"/>
  <c r="A148" i="1"/>
  <c r="B2549" i="20"/>
  <c r="A197" i="16"/>
  <c r="A519" i="16"/>
  <c r="A2773" i="20"/>
  <c r="B3968" i="20"/>
  <c r="A8354" i="20"/>
  <c r="B4515" i="20"/>
  <c r="A2862" i="20"/>
  <c r="B2723" i="20"/>
  <c r="A2127" i="20"/>
  <c r="A3465" i="20"/>
  <c r="A1425" i="20"/>
  <c r="A2863" i="20"/>
  <c r="B2430" i="20"/>
  <c r="B323" i="19"/>
  <c r="A921" i="16"/>
  <c r="B2163" i="20"/>
  <c r="A601" i="16"/>
  <c r="A4298" i="20"/>
  <c r="B5639" i="20"/>
  <c r="H97" i="5"/>
  <c r="B644" i="16"/>
  <c r="H53" i="2"/>
  <c r="B486" i="16"/>
  <c r="G99" i="12"/>
  <c r="B662" i="16"/>
  <c r="B5175" i="20"/>
  <c r="B10" i="19"/>
  <c r="B247" i="16"/>
  <c r="A92" i="13"/>
  <c r="G71" i="12"/>
  <c r="A330" i="19"/>
  <c r="B1188" i="20"/>
  <c r="A76" i="16"/>
  <c r="A487" i="16"/>
  <c r="G42" i="9"/>
  <c r="B228" i="20"/>
  <c r="A2808" i="20"/>
  <c r="A2418" i="20"/>
  <c r="A5859" i="20"/>
  <c r="B6963" i="20"/>
  <c r="B5237" i="20"/>
  <c r="B5231" i="20"/>
  <c r="B2401" i="20"/>
  <c r="G37" i="13"/>
  <c r="A2602" i="20"/>
  <c r="A784" i="20"/>
  <c r="E25" i="13"/>
  <c r="B1530" i="16"/>
  <c r="B3956" i="20"/>
  <c r="B1730" i="16"/>
  <c r="A46" i="25"/>
  <c r="B3140" i="20"/>
  <c r="A7004" i="20"/>
  <c r="B1501" i="16"/>
  <c r="A7342" i="20"/>
  <c r="B1053" i="16"/>
  <c r="A2181" i="20"/>
  <c r="G47" i="6"/>
  <c r="A74" i="6"/>
  <c r="A3029" i="20"/>
  <c r="B809" i="16"/>
  <c r="B126" i="19"/>
  <c r="A7443" i="20"/>
  <c r="G56" i="9"/>
  <c r="B219" i="19"/>
  <c r="A2902" i="20"/>
  <c r="A980" i="20"/>
  <c r="A4005" i="20"/>
  <c r="B831" i="20"/>
  <c r="B6250" i="20"/>
  <c r="B511" i="20"/>
  <c r="B5378" i="20"/>
  <c r="A4128" i="20"/>
  <c r="A5733" i="20"/>
  <c r="A2848" i="20"/>
  <c r="B389" i="20"/>
  <c r="A711" i="16"/>
  <c r="A279" i="19"/>
  <c r="A391" i="16"/>
  <c r="A1801" i="16"/>
  <c r="G45" i="13"/>
  <c r="A1353" i="16"/>
  <c r="G86" i="12"/>
  <c r="B2439" i="20"/>
  <c r="F151" i="1"/>
  <c r="B149" i="4"/>
  <c r="A4641" i="20"/>
  <c r="B4148" i="20"/>
  <c r="B644" i="20"/>
  <c r="B405" i="16"/>
  <c r="A1141" i="16"/>
  <c r="B6088" i="20"/>
  <c r="H153" i="9"/>
  <c r="A7037" i="20"/>
  <c r="B78" i="9"/>
  <c r="B6670" i="20"/>
  <c r="G7" i="8"/>
  <c r="A7724" i="20"/>
  <c r="A70" i="7"/>
  <c r="B1381" i="20"/>
  <c r="B173" i="20"/>
  <c r="A939" i="20"/>
  <c r="B1604" i="20"/>
  <c r="A1580" i="20"/>
  <c r="B1189" i="20"/>
  <c r="B5602" i="20"/>
  <c r="A1962" i="20"/>
  <c r="B4715" i="20"/>
  <c r="B2516" i="20"/>
  <c r="A7751" i="20"/>
  <c r="A4720" i="20"/>
  <c r="B5230" i="20"/>
  <c r="B79" i="13"/>
  <c r="B104" i="12"/>
  <c r="C30" i="18"/>
  <c r="A1306" i="16"/>
  <c r="A470" i="16"/>
  <c r="A45" i="13"/>
  <c r="B3916" i="20"/>
  <c r="A1759" i="16"/>
  <c r="A6196" i="20"/>
  <c r="A1439" i="16"/>
  <c r="B5531" i="20"/>
  <c r="B464" i="16"/>
  <c r="B4963" i="20"/>
  <c r="B248" i="16"/>
  <c r="A3147" i="20"/>
  <c r="E3" i="7"/>
  <c r="B21" i="18"/>
  <c r="B830" i="20"/>
  <c r="B18" i="6"/>
  <c r="B104" i="19"/>
  <c r="B3106" i="20"/>
  <c r="B3444" i="20"/>
  <c r="A2446" i="20"/>
  <c r="A6047" i="20"/>
  <c r="B369" i="19"/>
  <c r="A3973" i="20"/>
  <c r="A2968" i="20"/>
  <c r="B6206" i="20"/>
  <c r="B2016" i="20"/>
  <c r="B5218" i="20"/>
  <c r="A904" i="20"/>
  <c r="A5669" i="20"/>
  <c r="A264" i="20"/>
  <c r="B1658" i="16"/>
  <c r="B131" i="20"/>
  <c r="A3448" i="20"/>
  <c r="A195" i="19"/>
  <c r="B66" i="19"/>
  <c r="G59" i="13"/>
  <c r="B272" i="20"/>
  <c r="B44" i="12"/>
  <c r="C28" i="11"/>
  <c r="F18" i="1"/>
  <c r="B13" i="2"/>
  <c r="B4352" i="20"/>
  <c r="A205" i="20"/>
  <c r="B227" i="20"/>
  <c r="A7653" i="20"/>
  <c r="A26" i="16"/>
  <c r="A2189" i="20"/>
  <c r="G76" i="4"/>
  <c r="B3329" i="20"/>
  <c r="A1475" i="20"/>
  <c r="B3542" i="20"/>
  <c r="B1763" i="20"/>
  <c r="A4106" i="20"/>
  <c r="B829" i="20"/>
  <c r="B7" i="50"/>
  <c r="M11" i="29"/>
  <c r="A9069" i="20"/>
  <c r="A3266" i="20"/>
  <c r="A8640" i="20"/>
  <c r="A46" i="32"/>
  <c r="A5673" i="20"/>
  <c r="A2640" i="20"/>
  <c r="A369" i="32"/>
  <c r="B7669" i="20"/>
  <c r="A8105" i="20"/>
  <c r="B5987" i="20"/>
  <c r="A8026" i="20"/>
  <c r="B6776" i="20"/>
  <c r="B3656" i="20"/>
  <c r="A5760" i="20"/>
  <c r="A5717" i="20"/>
  <c r="B5820" i="20"/>
  <c r="A6733" i="20"/>
  <c r="B1899" i="20"/>
  <c r="A693" i="49"/>
  <c r="A6770" i="20"/>
  <c r="A2117" i="20"/>
  <c r="A4215" i="20"/>
  <c r="B7901" i="20"/>
  <c r="B317" i="19"/>
  <c r="B8622" i="20"/>
  <c r="B7544" i="20"/>
  <c r="B900" i="45"/>
  <c r="B6821" i="20"/>
  <c r="A6735" i="20"/>
  <c r="A2357" i="20"/>
  <c r="B1842" i="20"/>
  <c r="B4774" i="20"/>
  <c r="B8528" i="20"/>
  <c r="B1092" i="45"/>
  <c r="A7005" i="20"/>
  <c r="A8561" i="20"/>
  <c r="B8115" i="20"/>
  <c r="A7673" i="20"/>
  <c r="N16" i="29"/>
  <c r="A7953" i="20"/>
  <c r="A7765" i="20"/>
  <c r="A7923" i="20"/>
  <c r="A4291" i="20"/>
  <c r="B5185" i="20"/>
  <c r="B342" i="45"/>
  <c r="A8434" i="20"/>
  <c r="B3511" i="20"/>
  <c r="A1784" i="20"/>
  <c r="A1841" i="20"/>
  <c r="B8784" i="20"/>
  <c r="A646" i="20"/>
  <c r="A5912" i="20"/>
  <c r="A5703" i="20"/>
  <c r="A3495" i="20"/>
  <c r="B125" i="11"/>
  <c r="A4560" i="20"/>
  <c r="B7040" i="20"/>
  <c r="B6711" i="20"/>
  <c r="B1704" i="16"/>
  <c r="B112" i="11"/>
  <c r="B1212" i="20"/>
  <c r="A5840" i="20"/>
  <c r="A5979" i="20"/>
  <c r="A5796" i="20"/>
  <c r="A5727" i="20"/>
  <c r="B8030" i="20"/>
  <c r="B6941" i="20"/>
  <c r="U1" i="29"/>
  <c r="A4" i="28"/>
  <c r="B3312" i="20"/>
  <c r="B7492" i="20"/>
  <c r="A2199" i="20"/>
  <c r="A2147" i="20"/>
  <c r="C56" i="21"/>
  <c r="A6983" i="20"/>
  <c r="B4799" i="20"/>
  <c r="A6625" i="20"/>
  <c r="A48" i="25"/>
  <c r="B5271" i="20"/>
  <c r="A8234" i="20"/>
  <c r="A6741" i="20"/>
  <c r="A6633" i="20"/>
  <c r="B2864" i="20"/>
  <c r="A1405" i="20"/>
  <c r="B5043" i="20"/>
  <c r="A1367" i="16"/>
  <c r="A2837" i="20"/>
  <c r="B634" i="49"/>
  <c r="A4776" i="20"/>
  <c r="B604" i="20"/>
  <c r="B7168" i="20"/>
  <c r="A2959" i="20"/>
  <c r="B5872" i="20"/>
  <c r="B2835" i="20"/>
  <c r="A422" i="45"/>
  <c r="B6638" i="20"/>
  <c r="A585" i="16"/>
  <c r="H22" i="13"/>
  <c r="B7661" i="20"/>
  <c r="A7501" i="20"/>
  <c r="B7313" i="20"/>
  <c r="A7483" i="20"/>
  <c r="A6145" i="20"/>
  <c r="C108" i="18"/>
  <c r="B909" i="16"/>
  <c r="B165" i="45"/>
  <c r="A2785" i="20"/>
  <c r="A5456" i="20"/>
  <c r="B1658" i="20"/>
  <c r="A5823" i="20"/>
  <c r="A4413" i="20"/>
  <c r="A5119" i="20"/>
  <c r="B3526" i="20"/>
  <c r="B3631" i="20"/>
  <c r="A6785" i="20"/>
  <c r="A2620" i="20"/>
  <c r="B3651" i="20"/>
  <c r="A4606" i="20"/>
  <c r="B3411" i="20"/>
  <c r="A2807" i="20"/>
  <c r="A2743" i="20"/>
  <c r="B5073" i="20"/>
  <c r="A4059" i="20"/>
  <c r="B3080" i="20"/>
  <c r="A3713" i="20"/>
  <c r="B6506" i="20"/>
  <c r="B8767" i="20"/>
  <c r="B2673" i="20"/>
  <c r="B2078" i="20"/>
  <c r="A3208" i="20"/>
  <c r="B8398" i="20"/>
  <c r="A151" i="45"/>
  <c r="A4784" i="20"/>
  <c r="A6422" i="20"/>
  <c r="A6615" i="20"/>
  <c r="A7415" i="20"/>
  <c r="A7811" i="20"/>
  <c r="A6498" i="20"/>
  <c r="A4030" i="20"/>
  <c r="B2620" i="20"/>
  <c r="A8846" i="20"/>
  <c r="B1515" i="20"/>
  <c r="B8297" i="20"/>
  <c r="A2750" i="20"/>
  <c r="B2668" i="20"/>
  <c r="A168" i="20"/>
  <c r="A2835" i="20"/>
  <c r="A4551" i="20"/>
  <c r="A4974" i="20"/>
  <c r="A4635" i="20"/>
  <c r="A5419" i="20"/>
  <c r="A8790" i="20"/>
  <c r="M21" i="29"/>
  <c r="B721" i="20"/>
  <c r="B6227" i="20"/>
  <c r="A2476" i="20"/>
  <c r="B7245" i="20"/>
  <c r="B6054" i="20"/>
  <c r="A3211" i="20"/>
  <c r="B7139" i="20"/>
  <c r="A2478" i="20"/>
  <c r="A1838" i="20"/>
  <c r="A3780" i="20"/>
  <c r="B8193" i="20"/>
  <c r="A5719" i="20"/>
  <c r="A5765" i="20"/>
  <c r="A7960" i="20"/>
  <c r="B7166" i="20"/>
  <c r="A7115" i="20"/>
  <c r="A24" i="37"/>
  <c r="B2201" i="20"/>
  <c r="B4927" i="20"/>
  <c r="B6503" i="20"/>
  <c r="A4382" i="20"/>
  <c r="A3102" i="20"/>
  <c r="B5582" i="20"/>
  <c r="B5062" i="20"/>
  <c r="B7084" i="20"/>
  <c r="A5615" i="20"/>
  <c r="A3040" i="20"/>
  <c r="A356" i="20"/>
  <c r="A2952" i="20"/>
  <c r="B2200" i="20"/>
  <c r="A1626" i="20"/>
  <c r="A2454" i="20"/>
  <c r="A2652" i="20"/>
  <c r="B1266" i="20"/>
  <c r="B3387" i="20"/>
  <c r="B3975" i="20"/>
  <c r="B3275" i="20"/>
  <c r="B7756" i="20"/>
  <c r="F7" i="29"/>
  <c r="A1563" i="20"/>
  <c r="A5790" i="20"/>
  <c r="A6170" i="20"/>
  <c r="B9076" i="20"/>
  <c r="A8397" i="20"/>
  <c r="A8287" i="20"/>
  <c r="B3915" i="20"/>
  <c r="A5658" i="20"/>
  <c r="A3" i="28"/>
  <c r="A6804" i="20"/>
  <c r="A4116" i="20"/>
  <c r="B5550" i="20"/>
  <c r="A7148" i="20"/>
  <c r="B7875" i="20"/>
  <c r="B5806" i="20"/>
  <c r="A5621" i="20"/>
  <c r="B6338" i="20"/>
  <c r="B8715" i="20"/>
  <c r="A8817" i="20"/>
  <c r="B4939" i="20"/>
  <c r="B7019" i="20"/>
  <c r="A280" i="32"/>
  <c r="B4748" i="20"/>
  <c r="A3507" i="20"/>
  <c r="B5964" i="20"/>
  <c r="B7309" i="20"/>
  <c r="A6171" i="20"/>
  <c r="A3745" i="20"/>
  <c r="A4730" i="20"/>
  <c r="A3547" i="20"/>
  <c r="B3686" i="20"/>
  <c r="A931" i="20"/>
  <c r="B704" i="16"/>
  <c r="B64" i="16"/>
  <c r="B4307" i="20"/>
  <c r="B1365" i="16"/>
  <c r="B7295" i="20"/>
  <c r="B2290" i="20"/>
  <c r="A3269" i="20"/>
  <c r="A6471" i="20"/>
  <c r="B5414" i="20"/>
  <c r="A5332" i="20"/>
  <c r="A3519" i="20"/>
  <c r="B5200" i="20"/>
  <c r="A3908" i="20"/>
  <c r="A1143" i="20"/>
  <c r="B2356" i="20"/>
  <c r="B2784" i="20"/>
  <c r="B4078" i="20"/>
  <c r="A8362" i="20"/>
  <c r="A1457" i="20"/>
  <c r="A950" i="20"/>
  <c r="A4460" i="20"/>
  <c r="B2442" i="20"/>
  <c r="B4310" i="20"/>
  <c r="B1197" i="16"/>
  <c r="A3210" i="20"/>
  <c r="B2897" i="20"/>
  <c r="B7197" i="20"/>
  <c r="B1272" i="20"/>
  <c r="B7417" i="20"/>
  <c r="B3540" i="20"/>
  <c r="A20" i="31"/>
  <c r="G120" i="13"/>
  <c r="A3004" i="20"/>
  <c r="B70" i="20"/>
  <c r="B4633" i="20"/>
  <c r="B89" i="11"/>
  <c r="B4161" i="20"/>
  <c r="A995" i="16"/>
  <c r="B2268" i="20"/>
  <c r="B5" i="13"/>
  <c r="B6207" i="20"/>
  <c r="A1539" i="20"/>
  <c r="B804" i="20"/>
  <c r="B3223" i="20"/>
  <c r="B3038" i="20"/>
  <c r="A3178" i="20"/>
  <c r="A7608" i="20"/>
  <c r="A3141" i="20"/>
  <c r="A3807" i="20"/>
  <c r="B4771" i="20"/>
  <c r="B1023" i="16"/>
  <c r="B2915" i="20"/>
  <c r="A1260" i="20"/>
  <c r="B4636" i="20"/>
  <c r="A3907" i="20"/>
  <c r="B5376" i="20"/>
  <c r="A4199" i="20"/>
  <c r="B2653" i="20"/>
  <c r="A1546" i="20"/>
  <c r="B7442" i="20"/>
  <c r="A5089" i="20"/>
  <c r="A4584" i="20"/>
  <c r="A5358" i="20"/>
  <c r="B3981" i="20"/>
  <c r="B49" i="20"/>
  <c r="A1019" i="20"/>
  <c r="B1244" i="20"/>
  <c r="B3898" i="20"/>
  <c r="B1048" i="20"/>
  <c r="B1453" i="16"/>
  <c r="A2564" i="20"/>
  <c r="B4156" i="20"/>
  <c r="B1239" i="16"/>
  <c r="B7611" i="20"/>
  <c r="A2591" i="20"/>
  <c r="B5017" i="20"/>
  <c r="A2874" i="20"/>
  <c r="B6460" i="20"/>
  <c r="A1394" i="20"/>
  <c r="A123" i="12"/>
  <c r="B722" i="16"/>
  <c r="B5492" i="20"/>
  <c r="B1723" i="20"/>
  <c r="B7961" i="20"/>
  <c r="B40" i="11"/>
  <c r="B5157" i="20"/>
  <c r="B397" i="20"/>
  <c r="A6578" i="20"/>
  <c r="A538" i="16"/>
  <c r="A6072" i="20"/>
  <c r="B7091" i="20"/>
  <c r="A3247" i="20"/>
  <c r="B5335" i="20"/>
  <c r="A5031" i="20"/>
  <c r="A4013" i="20"/>
  <c r="A8074" i="20"/>
  <c r="B2422" i="20"/>
  <c r="A63" i="7"/>
  <c r="B5253" i="20"/>
  <c r="B4376" i="20"/>
  <c r="A1636" i="20"/>
  <c r="B18" i="13"/>
  <c r="A6525" i="20"/>
  <c r="A8638" i="20"/>
  <c r="B4782" i="20"/>
  <c r="B1701" i="20"/>
  <c r="B2523" i="20"/>
  <c r="B1608" i="20"/>
  <c r="B117" i="13"/>
  <c r="A1430" i="20"/>
  <c r="A2226" i="20"/>
  <c r="A738" i="20"/>
  <c r="B6170" i="20"/>
  <c r="A46" i="7"/>
  <c r="A6239" i="20"/>
  <c r="A106" i="45"/>
  <c r="A3924" i="20"/>
  <c r="B117" i="18"/>
  <c r="A2605" i="20"/>
  <c r="C26" i="18"/>
  <c r="B8116" i="20"/>
  <c r="B149" i="19"/>
  <c r="A108" i="20"/>
  <c r="B3419" i="20"/>
  <c r="B4958" i="20"/>
  <c r="A301" i="19"/>
  <c r="A3240" i="20"/>
  <c r="B1734" i="20"/>
  <c r="B725" i="16"/>
  <c r="B1250" i="20"/>
  <c r="B85" i="16"/>
  <c r="B1382" i="20"/>
  <c r="A311" i="19"/>
  <c r="A6880" i="20"/>
  <c r="B555" i="20"/>
  <c r="A6135" i="20"/>
  <c r="B308" i="19"/>
  <c r="A3651" i="20"/>
  <c r="A209" i="20"/>
  <c r="B5932" i="20"/>
  <c r="B1735" i="16"/>
  <c r="A4033" i="20"/>
  <c r="C15" i="18"/>
  <c r="A2846" i="20"/>
  <c r="B1205" i="16"/>
  <c r="A410" i="20"/>
  <c r="A4569" i="20"/>
  <c r="B153" i="19"/>
  <c r="A5551" i="20"/>
  <c r="A55" i="16"/>
  <c r="A3516" i="20"/>
  <c r="B1094" i="20"/>
  <c r="A2747" i="20"/>
  <c r="B988" i="20"/>
  <c r="B1498" i="20"/>
  <c r="A227" i="16"/>
  <c r="A3284" i="20"/>
  <c r="G45" i="8"/>
  <c r="A348" i="20"/>
  <c r="A4278" i="20"/>
  <c r="A1512" i="20"/>
  <c r="A5919" i="20"/>
  <c r="B305" i="19"/>
  <c r="B6215" i="20"/>
  <c r="B2949" i="20"/>
  <c r="A5277" i="20"/>
  <c r="A3071" i="20"/>
  <c r="A4541" i="20"/>
  <c r="A9134" i="20"/>
  <c r="B1546" i="20"/>
  <c r="B3414" i="20"/>
  <c r="B1209" i="20"/>
  <c r="B27" i="8"/>
  <c r="A3" i="20"/>
  <c r="A568" i="16"/>
  <c r="B400" i="20"/>
  <c r="A725" i="20"/>
  <c r="A1865" i="20"/>
  <c r="A1956" i="20"/>
  <c r="B4957" i="20"/>
  <c r="A2429" i="20"/>
  <c r="B4200" i="20"/>
  <c r="A7165" i="20"/>
  <c r="B4348" i="20"/>
  <c r="B648" i="20"/>
  <c r="A5237" i="20"/>
  <c r="B3606" i="20"/>
  <c r="B1637" i="20"/>
  <c r="A35" i="8"/>
  <c r="B4880" i="20"/>
  <c r="A2919" i="20"/>
  <c r="A2105" i="20"/>
  <c r="A6" i="6"/>
  <c r="B5726" i="20"/>
  <c r="A4695" i="20"/>
  <c r="A4957" i="20"/>
  <c r="B5636" i="20"/>
  <c r="A4953" i="20"/>
  <c r="B2975" i="20"/>
  <c r="A1280" i="20"/>
  <c r="B375" i="20"/>
  <c r="B5598" i="20"/>
  <c r="A4539" i="20"/>
  <c r="B6781" i="20"/>
  <c r="B8148" i="20"/>
  <c r="B281" i="19"/>
  <c r="B1355" i="20"/>
  <c r="G76" i="12"/>
  <c r="A1507" i="16"/>
  <c r="C61" i="18"/>
  <c r="G50" i="11"/>
  <c r="B9055" i="20"/>
  <c r="B98" i="19"/>
  <c r="A1825" i="20"/>
  <c r="B123" i="11"/>
  <c r="A7475" i="20"/>
  <c r="B4472" i="20"/>
  <c r="A6493" i="20"/>
  <c r="B1173" i="16"/>
  <c r="B4287" i="20"/>
  <c r="A2912" i="20"/>
  <c r="B6713" i="20"/>
  <c r="B541" i="16"/>
  <c r="B7678" i="20"/>
  <c r="B2182" i="20"/>
  <c r="B8273" i="20"/>
  <c r="B1927" i="20"/>
  <c r="B410" i="45"/>
  <c r="B3124" i="20"/>
  <c r="B6142" i="20"/>
  <c r="B4347" i="20"/>
  <c r="B3346" i="20"/>
  <c r="B2311" i="20"/>
  <c r="B6276" i="20"/>
  <c r="A1071" i="20"/>
  <c r="A6087" i="20"/>
  <c r="A1463" i="16"/>
  <c r="B4984" i="20"/>
  <c r="B1761" i="16"/>
  <c r="A4557" i="20"/>
  <c r="A823" i="16"/>
  <c r="B4616" i="20"/>
  <c r="B481" i="16"/>
  <c r="A4489" i="20"/>
  <c r="B4136" i="20"/>
  <c r="A251" i="20"/>
  <c r="B2140" i="20"/>
  <c r="B2159" i="20"/>
  <c r="A3601" i="20"/>
  <c r="A3473" i="20"/>
  <c r="B5277" i="20"/>
  <c r="A25" i="20"/>
  <c r="B561" i="20"/>
  <c r="A2698" i="20"/>
  <c r="A3863" i="20"/>
  <c r="B715" i="16"/>
  <c r="B3452" i="20"/>
  <c r="B7216" i="20"/>
  <c r="A3559" i="20"/>
  <c r="B1413" i="20"/>
  <c r="B6296" i="20"/>
  <c r="B7" i="16"/>
  <c r="B3868" i="20"/>
  <c r="B5780" i="20"/>
  <c r="B7223" i="20"/>
  <c r="B4754" i="20"/>
  <c r="B3428" i="20"/>
  <c r="B79" i="18"/>
  <c r="B65" i="45"/>
  <c r="B5738" i="20"/>
  <c r="A4544" i="20"/>
  <c r="B7643" i="20"/>
  <c r="A696" i="20"/>
  <c r="A483" i="16"/>
  <c r="A13" i="12"/>
  <c r="A1156" i="20"/>
  <c r="B1981" i="20"/>
  <c r="C72" i="18"/>
  <c r="B448" i="16"/>
  <c r="A1139" i="20"/>
  <c r="B3237" i="20"/>
  <c r="A729" i="16"/>
  <c r="B5269" i="20"/>
  <c r="B5805" i="20"/>
  <c r="B6092" i="20"/>
  <c r="B2890" i="20"/>
  <c r="B6468" i="20"/>
  <c r="B93" i="20"/>
  <c r="B5259" i="20"/>
  <c r="A73" i="12"/>
  <c r="B4824" i="20"/>
  <c r="A987" i="20"/>
  <c r="B6920" i="20"/>
  <c r="B100" i="7"/>
  <c r="A2723" i="20"/>
  <c r="A347" i="20"/>
  <c r="B5959" i="20"/>
  <c r="C115" i="18"/>
  <c r="A5633" i="20"/>
  <c r="A4045" i="20"/>
  <c r="B4019" i="20"/>
  <c r="A5613" i="20"/>
  <c r="B5232" i="20"/>
  <c r="A4017" i="20"/>
  <c r="A4633" i="20"/>
  <c r="A1634" i="20"/>
  <c r="H94" i="8"/>
  <c r="A3735" i="20"/>
  <c r="A4494" i="20"/>
  <c r="A1594" i="20"/>
  <c r="H113" i="4"/>
  <c r="B6849" i="20"/>
  <c r="A1713" i="20"/>
  <c r="B1629" i="16"/>
  <c r="B1237" i="20"/>
  <c r="B1284" i="20"/>
  <c r="B2499" i="20"/>
  <c r="B655" i="16"/>
  <c r="B869" i="20"/>
  <c r="B335" i="16"/>
  <c r="B8143" i="20"/>
  <c r="B7033" i="20"/>
  <c r="B4760" i="20"/>
  <c r="B5383" i="20"/>
  <c r="A4218" i="20"/>
  <c r="B1778" i="20"/>
  <c r="A24" i="21"/>
  <c r="B4568" i="20"/>
  <c r="A4769" i="20"/>
  <c r="A2379" i="20"/>
  <c r="A7841" i="20"/>
  <c r="A1386" i="20"/>
  <c r="A4283" i="20"/>
  <c r="A7473" i="20"/>
  <c r="C151" i="18"/>
  <c r="A3583" i="20"/>
  <c r="A8313" i="20"/>
  <c r="B27" i="20"/>
  <c r="A4653" i="20"/>
  <c r="B607" i="16"/>
  <c r="A94" i="19"/>
  <c r="A15" i="14"/>
  <c r="A2115" i="20"/>
  <c r="A3" i="14"/>
  <c r="A489" i="16"/>
  <c r="A4658" i="20"/>
  <c r="A2736" i="20"/>
  <c r="B2816" i="20"/>
  <c r="A7738" i="20"/>
  <c r="B5047" i="20"/>
  <c r="A5016" i="20"/>
  <c r="B121" i="18"/>
  <c r="A2792" i="20"/>
  <c r="A30" i="12"/>
  <c r="B7323" i="20"/>
  <c r="B928" i="16"/>
  <c r="B2703" i="20"/>
  <c r="B954" i="16"/>
  <c r="A6401" i="20"/>
  <c r="B288" i="16"/>
  <c r="A1390" i="20"/>
  <c r="B100" i="16"/>
  <c r="B3262" i="20"/>
  <c r="B3426" i="20"/>
  <c r="B5823" i="20"/>
  <c r="A4534" i="20"/>
  <c r="A3101" i="20"/>
  <c r="B2484" i="20"/>
  <c r="B1180" i="20"/>
  <c r="A187" i="20"/>
  <c r="A3503" i="20"/>
  <c r="B108" i="49"/>
  <c r="B3588" i="20"/>
  <c r="B877" i="16"/>
  <c r="B3222" i="20"/>
  <c r="B4906" i="20"/>
  <c r="A3114" i="20"/>
  <c r="A5142" i="20"/>
  <c r="B333" i="20"/>
  <c r="B8752" i="20"/>
  <c r="B1776" i="16"/>
  <c r="A7462" i="20"/>
  <c r="B1456" i="16"/>
  <c r="B7688" i="20"/>
  <c r="B808" i="16"/>
  <c r="A5394" i="20"/>
  <c r="B592" i="16"/>
  <c r="B1427" i="20"/>
  <c r="A2249" i="20"/>
  <c r="B5730" i="20"/>
  <c r="B4751" i="20"/>
  <c r="B6442" i="20"/>
  <c r="A4350" i="20"/>
  <c r="B1394" i="16"/>
  <c r="G1" i="11"/>
  <c r="E94" i="6"/>
  <c r="A19" i="6"/>
  <c r="A120" i="9"/>
  <c r="A5755" i="20"/>
  <c r="A6638" i="20"/>
  <c r="B1320" i="16"/>
  <c r="A7468" i="20"/>
  <c r="B1104" i="16"/>
  <c r="B6567" i="20"/>
  <c r="A275" i="19"/>
  <c r="B5142" i="20"/>
  <c r="B4253" i="20"/>
  <c r="B5878" i="20"/>
  <c r="B1481" i="20"/>
  <c r="A91" i="5"/>
  <c r="A207" i="16"/>
  <c r="B3236" i="20"/>
  <c r="G99" i="13"/>
  <c r="A9046" i="20"/>
  <c r="B4589" i="20"/>
  <c r="A890" i="20"/>
  <c r="A3500" i="20"/>
  <c r="B1744" i="20"/>
  <c r="A2865" i="20"/>
  <c r="A997" i="20"/>
  <c r="B2934" i="20"/>
  <c r="A677" i="20"/>
  <c r="A3189" i="20"/>
  <c r="B100" i="19"/>
  <c r="B3258" i="20"/>
  <c r="B536" i="20"/>
  <c r="A963" i="20"/>
  <c r="B1075" i="16"/>
  <c r="A611" i="20"/>
  <c r="B755" i="16"/>
  <c r="B57" i="19"/>
  <c r="H88" i="11"/>
  <c r="A1815" i="16"/>
  <c r="B1535" i="20"/>
  <c r="B368" i="19"/>
  <c r="E142" i="8"/>
  <c r="B8036" i="20"/>
  <c r="B9131" i="20"/>
  <c r="B2291" i="20"/>
  <c r="A2868" i="20"/>
  <c r="F93" i="7"/>
  <c r="B2850" i="20"/>
  <c r="B1547" i="20"/>
  <c r="B1925" i="20"/>
  <c r="A5624" i="20"/>
  <c r="A3286" i="20"/>
  <c r="B3788" i="20"/>
  <c r="B867" i="20"/>
  <c r="B7571" i="20"/>
  <c r="A98" i="20"/>
  <c r="A7031" i="20"/>
  <c r="B1259" i="20"/>
  <c r="A3596" i="20"/>
  <c r="A1752" i="20"/>
  <c r="B7392" i="20"/>
  <c r="B2909" i="20"/>
  <c r="F27" i="12"/>
  <c r="A196" i="20"/>
  <c r="A4307" i="20"/>
  <c r="A5667" i="20"/>
  <c r="A7431" i="20"/>
  <c r="A246" i="19"/>
  <c r="A1583" i="16"/>
  <c r="A4174" i="20"/>
  <c r="B6056" i="20"/>
  <c r="B2156" i="20"/>
  <c r="A4299" i="20"/>
  <c r="B2833" i="20"/>
  <c r="B1290" i="20"/>
  <c r="A3019" i="20"/>
  <c r="B192" i="16"/>
  <c r="A3297" i="20"/>
  <c r="A4" i="20"/>
  <c r="B1388" i="20"/>
  <c r="A2091" i="20"/>
  <c r="B8508" i="20"/>
  <c r="B199" i="16"/>
  <c r="A2827" i="20"/>
  <c r="B131" i="16"/>
  <c r="A2884" i="20"/>
  <c r="B1575" i="20"/>
  <c r="A3396" i="20"/>
  <c r="B718" i="20"/>
  <c r="A1639" i="20"/>
  <c r="B2061" i="20"/>
  <c r="A1917" i="20"/>
  <c r="A88" i="20"/>
  <c r="B5079" i="20"/>
  <c r="A7549" i="20"/>
  <c r="B7776" i="20"/>
  <c r="F12" i="9"/>
  <c r="A7978" i="20"/>
  <c r="B8020" i="20"/>
  <c r="A6540" i="20"/>
  <c r="A1776" i="16"/>
  <c r="B4709" i="20"/>
  <c r="A6623" i="20"/>
  <c r="B6393" i="20"/>
  <c r="A53" i="11"/>
  <c r="A2066" i="20"/>
  <c r="B6755" i="20"/>
  <c r="A2702" i="20"/>
  <c r="B6455" i="20"/>
  <c r="A9001" i="20"/>
  <c r="B1512" i="16"/>
  <c r="A732" i="20"/>
  <c r="B3330" i="20"/>
  <c r="A2280" i="20"/>
  <c r="A4076" i="20"/>
  <c r="A2653" i="20"/>
  <c r="B3123" i="20"/>
  <c r="A468" i="20"/>
  <c r="A3699" i="20"/>
  <c r="A85" i="50"/>
  <c r="B5428" i="20"/>
  <c r="A6913" i="20"/>
  <c r="B1914" i="20"/>
  <c r="A5095" i="20"/>
  <c r="B7575" i="20"/>
  <c r="B4600" i="20"/>
  <c r="B5235" i="20"/>
  <c r="A6299" i="20"/>
  <c r="A7859" i="20"/>
  <c r="G53" i="7"/>
  <c r="B6424" i="20"/>
  <c r="A339" i="45"/>
  <c r="B1810" i="16"/>
  <c r="A7277" i="20"/>
  <c r="D9" i="43"/>
  <c r="B69" i="18"/>
  <c r="A3331" i="20"/>
  <c r="B3861" i="20"/>
  <c r="A1077" i="20"/>
  <c r="H36" i="13"/>
  <c r="A3815" i="20"/>
  <c r="A77" i="18"/>
  <c r="B472" i="20"/>
  <c r="A116" i="18"/>
  <c r="B4458" i="20"/>
  <c r="B6222" i="20"/>
  <c r="B3178" i="20"/>
  <c r="A5264" i="20"/>
  <c r="B7845" i="20"/>
  <c r="A527" i="16"/>
  <c r="A1872" i="20"/>
  <c r="F134" i="13"/>
  <c r="A5900" i="20"/>
  <c r="B131" i="11"/>
  <c r="A60" i="20"/>
  <c r="A1235" i="16"/>
  <c r="A4818" i="20"/>
  <c r="B316" i="20"/>
  <c r="B2868" i="20"/>
  <c r="H135" i="13"/>
  <c r="A2261" i="20"/>
  <c r="A3730" i="20"/>
  <c r="B3114" i="20"/>
  <c r="A2898" i="20"/>
  <c r="A4050" i="20"/>
  <c r="B3362" i="20"/>
  <c r="B2571" i="20"/>
  <c r="A1778" i="20"/>
  <c r="A7442" i="20"/>
  <c r="B2657" i="20"/>
  <c r="A2688" i="20"/>
  <c r="A317" i="19"/>
  <c r="B6300" i="20"/>
  <c r="B7506" i="20"/>
  <c r="B4962" i="20"/>
  <c r="AH3" i="33"/>
  <c r="A241" i="16"/>
  <c r="B1476" i="20"/>
  <c r="B54" i="20"/>
  <c r="B7231" i="20"/>
  <c r="A34" i="18"/>
  <c r="A290" i="32"/>
  <c r="B2556" i="20"/>
  <c r="A6347" i="20"/>
  <c r="A5644" i="20"/>
  <c r="B6452" i="20"/>
  <c r="A7221" i="20"/>
  <c r="B3866" i="20"/>
  <c r="A3728" i="20"/>
  <c r="A124" i="20"/>
  <c r="B6233" i="20"/>
  <c r="B4345" i="20"/>
  <c r="B6653" i="20"/>
  <c r="B3707" i="20"/>
  <c r="A6962" i="20"/>
  <c r="A5525" i="20"/>
  <c r="A5654" i="20"/>
  <c r="B5393" i="20"/>
  <c r="A187" i="45"/>
  <c r="B1416" i="20"/>
  <c r="A3477" i="20"/>
  <c r="A374" i="20"/>
  <c r="B40" i="18"/>
  <c r="H92" i="13"/>
  <c r="B5236" i="20"/>
  <c r="B1081" i="20"/>
  <c r="A6630" i="20"/>
  <c r="B1847" i="20"/>
  <c r="A6389" i="20"/>
  <c r="B3932" i="20"/>
  <c r="B5802" i="20"/>
  <c r="A2683" i="20"/>
  <c r="A3035" i="20"/>
  <c r="A1967" i="20"/>
  <c r="A216" i="20"/>
  <c r="A662" i="16"/>
  <c r="A3764" i="20"/>
  <c r="B3543" i="20"/>
  <c r="B1249" i="20"/>
  <c r="E13" i="5"/>
  <c r="B3115" i="20"/>
  <c r="A1600" i="20"/>
  <c r="B268" i="19"/>
  <c r="B94" i="13"/>
  <c r="A5753" i="20"/>
  <c r="A4891" i="20"/>
  <c r="A6637" i="20"/>
  <c r="B5097" i="20"/>
  <c r="A7400" i="20"/>
  <c r="B7088" i="20"/>
  <c r="A49" i="16"/>
  <c r="B2963" i="20"/>
  <c r="B2655" i="20"/>
  <c r="B6039" i="20"/>
  <c r="B4164" i="20"/>
  <c r="A2304" i="20"/>
  <c r="B1163" i="20"/>
  <c r="B113" i="12"/>
  <c r="B1808" i="20"/>
  <c r="B5660" i="20"/>
  <c r="A721" i="20"/>
  <c r="A3199" i="20"/>
  <c r="B1622" i="16"/>
  <c r="A2893" i="20"/>
  <c r="B1330" i="16"/>
  <c r="A4422" i="20"/>
  <c r="B690" i="16"/>
  <c r="A3430" i="20"/>
  <c r="B476" i="16"/>
  <c r="B5537" i="20"/>
  <c r="A283" i="45"/>
  <c r="B2205" i="20"/>
  <c r="B565" i="16"/>
  <c r="H14" i="12"/>
  <c r="B406" i="20"/>
  <c r="G16" i="11"/>
  <c r="A1234" i="16"/>
  <c r="B63" i="5"/>
  <c r="G143" i="4"/>
  <c r="B3493" i="20"/>
  <c r="A1801" i="20"/>
  <c r="B4498" i="20"/>
  <c r="B1202" i="16"/>
  <c r="B3506" i="20"/>
  <c r="B988" i="16"/>
  <c r="A5292" i="20"/>
  <c r="G58" i="10"/>
  <c r="A7378" i="20"/>
  <c r="B141" i="9"/>
  <c r="B6078" i="20"/>
  <c r="B89" i="2"/>
  <c r="A1129" i="20"/>
  <c r="B1116" i="16"/>
  <c r="A117" i="9"/>
  <c r="B722" i="20"/>
  <c r="B2412" i="20"/>
  <c r="B4158" i="20"/>
  <c r="B2160" i="20"/>
  <c r="B1523" i="20"/>
  <c r="A473" i="16"/>
  <c r="A1836" i="20"/>
  <c r="B1733" i="16"/>
  <c r="A1388" i="20"/>
  <c r="B1413" i="16"/>
  <c r="B3295" i="20"/>
  <c r="B453" i="16"/>
  <c r="B2213" i="20"/>
  <c r="B133" i="16"/>
  <c r="A4325" i="20"/>
  <c r="A408" i="16"/>
  <c r="A5981" i="20"/>
  <c r="H50" i="13"/>
  <c r="B1162" i="20"/>
  <c r="B2221" i="20"/>
  <c r="B4182" i="20"/>
  <c r="A128" i="20"/>
  <c r="A52" i="7"/>
  <c r="B139" i="2"/>
  <c r="A6177" i="20"/>
  <c r="A1459" i="20"/>
  <c r="A2318" i="20"/>
  <c r="B231" i="20"/>
  <c r="B5536" i="20"/>
  <c r="B3005" i="20"/>
  <c r="A5362" i="20"/>
  <c r="H51" i="9"/>
  <c r="A4127" i="20"/>
  <c r="A899" i="20"/>
  <c r="A5643" i="20"/>
  <c r="G44" i="7"/>
  <c r="B4660" i="20"/>
  <c r="C25" i="18"/>
  <c r="B3210" i="20"/>
  <c r="B3396" i="20"/>
  <c r="A6521" i="20"/>
  <c r="A4431" i="20"/>
  <c r="B5954" i="20"/>
  <c r="B150" i="9"/>
  <c r="A1302" i="20"/>
  <c r="A5984" i="20"/>
  <c r="B8542" i="20"/>
  <c r="A6303" i="20"/>
  <c r="B2058" i="20"/>
  <c r="A41" i="16"/>
  <c r="A6143" i="20"/>
  <c r="B1067" i="45"/>
  <c r="B657" i="20"/>
  <c r="A8003" i="20"/>
  <c r="A285" i="20"/>
  <c r="A4554" i="20"/>
  <c r="G96" i="13"/>
  <c r="A6013" i="20"/>
  <c r="B2292" i="20"/>
  <c r="A5554" i="20"/>
  <c r="A1188" i="20"/>
  <c r="B3546" i="20"/>
  <c r="C16" i="18"/>
  <c r="A2569" i="20"/>
  <c r="B1256" i="20"/>
  <c r="A7248" i="20"/>
  <c r="B2733" i="20"/>
  <c r="A2222" i="20"/>
  <c r="A2574" i="20"/>
  <c r="B5423" i="20"/>
  <c r="A242" i="20"/>
  <c r="A4193" i="20"/>
  <c r="A6173" i="20"/>
  <c r="B5902" i="20"/>
  <c r="B5748" i="20"/>
  <c r="B2338" i="20"/>
  <c r="B1247" i="16"/>
  <c r="B327" i="16"/>
  <c r="B840" i="16"/>
  <c r="A2467" i="20"/>
  <c r="B95" i="16"/>
  <c r="A841" i="16"/>
  <c r="F96" i="11"/>
  <c r="B3986" i="20"/>
  <c r="F35" i="12"/>
  <c r="A9" i="11"/>
  <c r="B1507" i="20"/>
  <c r="B3944" i="20"/>
  <c r="A4442" i="20"/>
  <c r="A3763" i="20"/>
  <c r="A3162" i="20"/>
  <c r="A6339" i="20"/>
  <c r="A3326" i="20"/>
  <c r="C109" i="18"/>
  <c r="B4233" i="20"/>
  <c r="A31" i="20"/>
  <c r="A3632" i="20"/>
  <c r="A911" i="16"/>
  <c r="B2648" i="20"/>
  <c r="B721" i="16"/>
  <c r="B3667" i="20"/>
  <c r="A8418" i="20"/>
  <c r="A5453" i="20"/>
  <c r="B5967" i="20"/>
  <c r="B6470" i="20"/>
  <c r="A4751" i="20"/>
  <c r="B1152" i="16"/>
  <c r="A4759" i="20"/>
  <c r="A1450" i="20"/>
  <c r="B5736" i="20"/>
  <c r="A2962" i="20"/>
  <c r="C68" i="18"/>
  <c r="A97" i="13"/>
  <c r="B6096" i="20"/>
  <c r="A8106" i="20"/>
  <c r="B1596" i="20"/>
  <c r="A3593" i="20"/>
  <c r="A467" i="16"/>
  <c r="A7359" i="20"/>
  <c r="B4421" i="20"/>
  <c r="B630" i="20"/>
  <c r="A4110" i="20"/>
  <c r="A4795" i="20"/>
  <c r="A1530" i="20"/>
  <c r="A1135" i="16"/>
  <c r="B3772" i="20"/>
  <c r="A360" i="20"/>
  <c r="B5659" i="20"/>
  <c r="B817" i="20"/>
  <c r="A2264" i="20"/>
  <c r="A1590" i="20"/>
  <c r="A7556" i="20"/>
  <c r="B1646" i="20"/>
  <c r="A10" i="24"/>
  <c r="A34" i="20"/>
  <c r="B6855" i="20"/>
  <c r="A141" i="18"/>
  <c r="A7791" i="20"/>
  <c r="B783" i="20"/>
  <c r="A7205" i="20"/>
  <c r="B362" i="19"/>
  <c r="B3054" i="20"/>
  <c r="A1385" i="16"/>
  <c r="A1549" i="20"/>
  <c r="A5065" i="20"/>
  <c r="B4215" i="20"/>
  <c r="A873" i="16"/>
  <c r="A5" i="19"/>
  <c r="B7165" i="20"/>
  <c r="A111" i="9"/>
  <c r="B3208" i="20"/>
  <c r="A515" i="20"/>
  <c r="B7745" i="20"/>
  <c r="B2327" i="20"/>
  <c r="B2662" i="20"/>
  <c r="B100" i="20"/>
  <c r="B3798" i="20"/>
  <c r="B5882" i="20"/>
  <c r="A360" i="19"/>
  <c r="A2713" i="20"/>
  <c r="B1642" i="20"/>
  <c r="B4254" i="20"/>
  <c r="A2801" i="20"/>
  <c r="B3006" i="20"/>
  <c r="A4853" i="20"/>
  <c r="A5692" i="20"/>
  <c r="B4786" i="20"/>
  <c r="A821" i="20"/>
  <c r="B340" i="19"/>
  <c r="A226" i="20"/>
  <c r="A365" i="19"/>
  <c r="B4396" i="20"/>
  <c r="A33" i="18"/>
  <c r="B3291" i="20"/>
  <c r="A4590" i="20"/>
  <c r="A1258" i="20"/>
  <c r="A2347" i="20"/>
  <c r="A8870" i="20"/>
  <c r="B4385" i="20"/>
  <c r="A643" i="20"/>
  <c r="B2398" i="20"/>
  <c r="B11" i="20"/>
  <c r="B6643" i="20"/>
  <c r="B23" i="19"/>
  <c r="A1310" i="20"/>
  <c r="A4024" i="20"/>
  <c r="B3672" i="20"/>
  <c r="B861" i="16"/>
  <c r="A138" i="20"/>
  <c r="A1038" i="20"/>
  <c r="A215" i="16"/>
  <c r="A3814" i="20"/>
  <c r="A92" i="12"/>
  <c r="A510" i="20"/>
  <c r="B1223" i="16"/>
  <c r="B6116" i="20"/>
  <c r="B1411" i="16"/>
  <c r="A4228" i="20"/>
  <c r="B38" i="11"/>
  <c r="A4068" i="20"/>
  <c r="H6" i="11"/>
  <c r="B4430" i="20"/>
  <c r="A1737" i="16"/>
  <c r="A1189" i="20"/>
  <c r="A1413" i="16"/>
  <c r="A5347" i="20"/>
  <c r="B29" i="11"/>
  <c r="B2550" i="20"/>
  <c r="A3903" i="20"/>
  <c r="B1456" i="20"/>
  <c r="A3041" i="20"/>
  <c r="B1608" i="16"/>
  <c r="A4314" i="20"/>
  <c r="A91" i="18"/>
  <c r="B2782" i="20"/>
  <c r="A9030" i="20"/>
  <c r="A2853" i="20"/>
  <c r="B282" i="16"/>
  <c r="A1907" i="20"/>
  <c r="A521" i="20"/>
  <c r="A2920" i="20"/>
  <c r="B3036" i="20"/>
  <c r="A1897" i="20"/>
  <c r="A3372" i="20"/>
  <c r="B1660" i="20"/>
  <c r="B6706" i="20"/>
  <c r="B1232" i="20"/>
  <c r="A6674" i="20"/>
  <c r="A2236" i="20"/>
  <c r="A5368" i="20"/>
  <c r="A1916" i="20"/>
  <c r="B993" i="20"/>
  <c r="B3357" i="20"/>
  <c r="A4333" i="20"/>
  <c r="B5506" i="20"/>
  <c r="A7238" i="20"/>
  <c r="A543" i="20"/>
  <c r="A2642" i="20"/>
  <c r="B3153" i="20"/>
  <c r="B7346" i="20"/>
  <c r="A6802" i="20"/>
  <c r="B113" i="9"/>
  <c r="B103" i="10"/>
  <c r="A6726" i="20"/>
  <c r="B4039" i="20"/>
  <c r="A7244" i="20"/>
  <c r="B2759" i="20"/>
  <c r="A3979" i="20"/>
  <c r="A1946" i="20"/>
  <c r="B6204" i="20"/>
  <c r="B1741" i="20"/>
  <c r="H70" i="5"/>
  <c r="E3" i="9"/>
  <c r="E2" i="2"/>
  <c r="B4213" i="20"/>
  <c r="H66" i="9"/>
  <c r="A109" i="2"/>
  <c r="B3468" i="20"/>
  <c r="B2694" i="20"/>
  <c r="B2804" i="20"/>
  <c r="H79" i="12"/>
  <c r="B289" i="20"/>
  <c r="B2329" i="20"/>
  <c r="B5668" i="20"/>
  <c r="A1083" i="20"/>
  <c r="B4837" i="20"/>
  <c r="A155" i="20"/>
  <c r="A3155" i="20"/>
  <c r="B186" i="19"/>
  <c r="A4556" i="20"/>
  <c r="A1826" i="20"/>
  <c r="A221" i="20"/>
  <c r="A974" i="20"/>
  <c r="B284" i="19"/>
  <c r="B632" i="20"/>
  <c r="A1425" i="16"/>
  <c r="A45" i="18"/>
  <c r="A1105" i="16"/>
  <c r="A877" i="16"/>
  <c r="A1316" i="20"/>
  <c r="A2283" i="20"/>
  <c r="A9113" i="20"/>
  <c r="B5285" i="20"/>
  <c r="B3688" i="20"/>
  <c r="A1341" i="20"/>
  <c r="B4407" i="20"/>
  <c r="B6508" i="20"/>
  <c r="B4000" i="20"/>
  <c r="B148" i="8"/>
  <c r="A916" i="16"/>
  <c r="B1436" i="20"/>
  <c r="B239" i="16"/>
  <c r="B49" i="19"/>
  <c r="A4410" i="20"/>
  <c r="A1497" i="16"/>
  <c r="B219" i="20"/>
  <c r="B102" i="12"/>
  <c r="A406" i="20"/>
  <c r="A247" i="16"/>
  <c r="F28" i="12"/>
  <c r="A6380" i="20"/>
  <c r="B6408" i="20"/>
  <c r="A1164" i="20"/>
  <c r="A693" i="20"/>
  <c r="A139" i="20"/>
  <c r="A116" i="6"/>
  <c r="A5932" i="20"/>
  <c r="A4047" i="20"/>
  <c r="A865" i="16"/>
  <c r="B2618" i="20"/>
  <c r="B1651" i="16"/>
  <c r="B732" i="20"/>
  <c r="B166" i="16"/>
  <c r="C126" i="18"/>
  <c r="G135" i="13"/>
  <c r="A8521" i="20"/>
  <c r="B101" i="11"/>
  <c r="A7668" i="20"/>
  <c r="B5" i="11"/>
  <c r="B1846" i="20"/>
  <c r="G117" i="6"/>
  <c r="B1372" i="20"/>
  <c r="A41" i="6"/>
  <c r="A1593" i="20"/>
  <c r="B123" i="5"/>
  <c r="A4688" i="20"/>
  <c r="H47" i="5"/>
  <c r="G140" i="9"/>
  <c r="H156" i="1"/>
  <c r="B625" i="16"/>
  <c r="G87" i="11"/>
  <c r="H147" i="9"/>
  <c r="A4114" i="20"/>
  <c r="A3" i="17"/>
  <c r="B36" i="20"/>
  <c r="B8521" i="20"/>
  <c r="B13" i="10"/>
  <c r="A5245" i="20"/>
  <c r="A448" i="20"/>
  <c r="B5930" i="20"/>
  <c r="B1371" i="20"/>
  <c r="A4123" i="20"/>
  <c r="A369" i="19"/>
  <c r="A3387" i="20"/>
  <c r="A49" i="19"/>
  <c r="B5388" i="20"/>
  <c r="B907" i="20"/>
  <c r="B4652" i="20"/>
  <c r="B481" i="20"/>
  <c r="B5719" i="20"/>
  <c r="B1719" i="16"/>
  <c r="F94" i="8"/>
  <c r="B438" i="20"/>
  <c r="A33" i="1"/>
  <c r="A71" i="4"/>
  <c r="A126" i="13"/>
  <c r="B2313" i="20"/>
  <c r="B1089" i="20"/>
  <c r="A38" i="18"/>
  <c r="H80" i="4"/>
  <c r="E131" i="5"/>
  <c r="A1622" i="16"/>
  <c r="B1788" i="20"/>
  <c r="B93" i="12"/>
  <c r="B110" i="20"/>
  <c r="B134" i="12"/>
  <c r="A677" i="16"/>
  <c r="G128" i="6"/>
  <c r="H7" i="1"/>
  <c r="B5001" i="20"/>
  <c r="A2093" i="20"/>
  <c r="A3249" i="20"/>
  <c r="B67" i="18"/>
  <c r="E11" i="13"/>
  <c r="B1721" i="20"/>
  <c r="B98" i="9"/>
  <c r="B1185" i="16"/>
  <c r="B865" i="16"/>
  <c r="B2465" i="20"/>
  <c r="B4480" i="20"/>
  <c r="A280" i="16"/>
  <c r="B133" i="18"/>
  <c r="B635" i="16"/>
  <c r="B1746" i="16"/>
  <c r="B315" i="16"/>
  <c r="A667" i="20"/>
  <c r="A6253" i="20"/>
  <c r="A315" i="20"/>
  <c r="A4527" i="20"/>
  <c r="B1133" i="20"/>
  <c r="A993" i="20"/>
  <c r="A426" i="16"/>
  <c r="B98" i="13"/>
  <c r="G55" i="10"/>
  <c r="B6600" i="20"/>
  <c r="B2341" i="20"/>
  <c r="A1719" i="16"/>
  <c r="A3999" i="20"/>
  <c r="B1249" i="16"/>
  <c r="B3786" i="20"/>
  <c r="H105" i="13"/>
  <c r="B3050" i="20"/>
  <c r="F6" i="13"/>
  <c r="A3198" i="20"/>
  <c r="B128" i="10"/>
  <c r="B4051" i="20"/>
  <c r="B89" i="18"/>
  <c r="A4627" i="20"/>
  <c r="A2443" i="20"/>
  <c r="A4178" i="20"/>
  <c r="A3079" i="20"/>
  <c r="A4566" i="20"/>
  <c r="A1704" i="20"/>
  <c r="A4118" i="20"/>
  <c r="A1384" i="20"/>
  <c r="B4559" i="20"/>
  <c r="A962" i="16"/>
  <c r="A1358" i="16"/>
  <c r="B176" i="20"/>
  <c r="A1534" i="20"/>
  <c r="A1934" i="20"/>
  <c r="A4133" i="20"/>
  <c r="B895" i="20"/>
  <c r="A5207" i="20"/>
  <c r="B2253" i="20"/>
  <c r="B4706" i="20"/>
  <c r="A776" i="20"/>
  <c r="A3311" i="20"/>
  <c r="B923" i="20"/>
  <c r="B3544" i="20"/>
  <c r="B497" i="20"/>
  <c r="A1554" i="20"/>
  <c r="G121" i="13"/>
  <c r="G89" i="11"/>
  <c r="A5367" i="20"/>
  <c r="A4517" i="20"/>
  <c r="B1007" i="20"/>
  <c r="B4756" i="20"/>
  <c r="B3000" i="20"/>
  <c r="B3668" i="20"/>
  <c r="B87" i="20"/>
  <c r="A151" i="19"/>
  <c r="A6796" i="20"/>
  <c r="A123" i="32"/>
  <c r="A346" i="32"/>
  <c r="B1306" i="16"/>
  <c r="A624" i="16"/>
  <c r="C14" i="14"/>
  <c r="A176" i="19"/>
  <c r="A4498" i="20"/>
  <c r="B88" i="12"/>
  <c r="B845" i="16"/>
  <c r="B2966" i="20"/>
  <c r="B493" i="16"/>
  <c r="A3658" i="20"/>
  <c r="B3925" i="20"/>
  <c r="A2464" i="20"/>
  <c r="B188" i="20"/>
  <c r="A2144" i="20"/>
  <c r="B2037" i="20"/>
  <c r="A90" i="18"/>
  <c r="A5190" i="20"/>
  <c r="F26" i="6"/>
  <c r="A41" i="7"/>
  <c r="B4191" i="20"/>
  <c r="A74" i="10"/>
  <c r="A7155" i="20"/>
  <c r="A3191" i="20"/>
  <c r="B622" i="16"/>
  <c r="A6789" i="20"/>
  <c r="H70" i="10"/>
  <c r="B5567" i="20"/>
  <c r="H152" i="9"/>
  <c r="A5699" i="20"/>
  <c r="B83" i="8"/>
  <c r="A4963" i="20"/>
  <c r="B8" i="8"/>
  <c r="A1367" i="20"/>
  <c r="B1843" i="20"/>
  <c r="B3753" i="20"/>
  <c r="B3988" i="20"/>
  <c r="B5385" i="20"/>
  <c r="B1397" i="20"/>
  <c r="A5497" i="20"/>
  <c r="A882" i="20"/>
  <c r="B2111" i="20"/>
  <c r="G21" i="9"/>
  <c r="H76" i="2"/>
  <c r="B1336" i="16"/>
  <c r="A2733" i="20"/>
  <c r="B263" i="20"/>
  <c r="A4101" i="20"/>
  <c r="A3992" i="20"/>
  <c r="A1496" i="20"/>
  <c r="B798" i="20"/>
  <c r="B2623" i="20"/>
  <c r="B17" i="19"/>
  <c r="A260" i="20"/>
  <c r="A1177" i="16"/>
  <c r="B195" i="19"/>
  <c r="A857" i="16"/>
  <c r="B662" i="20"/>
  <c r="G75" i="12"/>
  <c r="A115" i="18"/>
  <c r="A59" i="11"/>
  <c r="A6118" i="20"/>
  <c r="B802" i="20"/>
  <c r="A7676" i="20"/>
  <c r="A1818" i="16"/>
  <c r="A1445" i="16"/>
  <c r="B108" i="2"/>
  <c r="B94" i="4"/>
  <c r="A79" i="12"/>
  <c r="A1564" i="20"/>
  <c r="B2407" i="20"/>
  <c r="A4254" i="20"/>
  <c r="A3589" i="20"/>
  <c r="A6518" i="20"/>
  <c r="A1649" i="16"/>
  <c r="B1762" i="16"/>
  <c r="A49" i="13"/>
  <c r="B6101" i="20"/>
  <c r="E5" i="12"/>
  <c r="A4070" i="20"/>
  <c r="C76" i="18"/>
  <c r="A7233" i="20"/>
  <c r="A1695" i="16"/>
  <c r="A6319" i="20"/>
  <c r="H121" i="8"/>
  <c r="A7818" i="20"/>
  <c r="B47" i="8"/>
  <c r="B1843" i="16"/>
  <c r="B28" i="4"/>
  <c r="H22" i="7"/>
  <c r="B24" i="16"/>
  <c r="A5501" i="20"/>
  <c r="B5261" i="20"/>
  <c r="B5004" i="20"/>
  <c r="A5222" i="20"/>
  <c r="A7283" i="20"/>
  <c r="A5403" i="20"/>
  <c r="B4969" i="20"/>
  <c r="B3028" i="20"/>
  <c r="A2089" i="20"/>
  <c r="A8130" i="20"/>
  <c r="B7686" i="20"/>
  <c r="A1763" i="16"/>
  <c r="A65" i="10"/>
  <c r="G78" i="8"/>
  <c r="B525" i="16"/>
  <c r="A1233" i="16"/>
  <c r="A8471" i="20"/>
  <c r="B103" i="9"/>
  <c r="H127" i="8"/>
  <c r="B1106" i="16"/>
  <c r="B4108" i="20"/>
  <c r="B6620" i="20"/>
  <c r="B5316" i="20"/>
  <c r="B3557" i="20"/>
  <c r="B799" i="16"/>
  <c r="H15" i="6"/>
  <c r="H30" i="5"/>
  <c r="A4668" i="20"/>
  <c r="A381" i="19"/>
  <c r="A219" i="20"/>
  <c r="A4879" i="20"/>
  <c r="A1560" i="16"/>
  <c r="A1903" i="20"/>
  <c r="A223" i="20"/>
  <c r="B2540" i="20"/>
  <c r="B286" i="19"/>
  <c r="B2318" i="20"/>
  <c r="A25" i="18"/>
  <c r="B1686" i="20"/>
  <c r="B1617" i="16"/>
  <c r="A545" i="16"/>
  <c r="B72" i="19"/>
  <c r="A193" i="16"/>
  <c r="B424" i="20"/>
  <c r="B825" i="20"/>
  <c r="A6536" i="20"/>
  <c r="B355" i="20"/>
  <c r="A6" i="24"/>
  <c r="B3869" i="20"/>
  <c r="G68" i="12"/>
  <c r="G13" i="13"/>
  <c r="B48" i="12"/>
  <c r="A315" i="16"/>
  <c r="B45" i="12"/>
  <c r="A543" i="16"/>
  <c r="A183" i="16"/>
  <c r="A4028" i="20"/>
  <c r="H50" i="11"/>
  <c r="A2207" i="20"/>
  <c r="A1138" i="16"/>
  <c r="A1471" i="20"/>
  <c r="A498" i="16"/>
  <c r="B4220" i="20"/>
  <c r="A79" i="10"/>
  <c r="A3248" i="20"/>
  <c r="A6" i="10"/>
  <c r="A2451" i="20"/>
  <c r="A1359" i="20"/>
  <c r="A1971" i="20"/>
  <c r="B2124" i="20"/>
  <c r="B6291" i="20"/>
  <c r="A52" i="2"/>
  <c r="B3066" i="20"/>
  <c r="A206" i="19"/>
  <c r="G59" i="4"/>
  <c r="H136" i="7"/>
  <c r="B3253" i="20"/>
  <c r="A1985" i="20"/>
  <c r="B347" i="16"/>
  <c r="A104" i="7"/>
  <c r="H107" i="4"/>
  <c r="A1928" i="20"/>
  <c r="A1076" i="20"/>
  <c r="B361" i="20"/>
  <c r="B7940" i="20"/>
  <c r="B41" i="8"/>
  <c r="G108" i="11"/>
  <c r="H66" i="5"/>
  <c r="A89" i="6"/>
  <c r="A38" i="11"/>
  <c r="B1562" i="16"/>
  <c r="A695" i="16"/>
  <c r="B4" i="40"/>
  <c r="A1495" i="20"/>
  <c r="A5131" i="20"/>
  <c r="B5570" i="20"/>
  <c r="A65" i="6"/>
  <c r="B1163" i="16"/>
  <c r="B843" i="16"/>
  <c r="B469" i="20"/>
  <c r="A5496" i="20"/>
  <c r="B60" i="12"/>
  <c r="A79" i="13"/>
  <c r="A140" i="20"/>
  <c r="B53" i="12"/>
  <c r="B203" i="19"/>
  <c r="B4058" i="20"/>
  <c r="A1470" i="20"/>
  <c r="A3214" i="20"/>
  <c r="A4680" i="20"/>
  <c r="B101" i="16"/>
  <c r="H106" i="11"/>
  <c r="A3355" i="20"/>
  <c r="B889" i="16"/>
  <c r="H148" i="1"/>
  <c r="B7485" i="20"/>
  <c r="G60" i="9"/>
  <c r="A6152" i="20"/>
  <c r="A8391" i="20"/>
  <c r="A752" i="16"/>
  <c r="A4767" i="20"/>
  <c r="B82" i="10"/>
  <c r="B5670" i="20"/>
  <c r="G87" i="9"/>
  <c r="A3885" i="20"/>
  <c r="A2776" i="20"/>
  <c r="B4877" i="20"/>
  <c r="A2410" i="20"/>
  <c r="B5380" i="20"/>
  <c r="B319" i="20"/>
  <c r="A3499" i="20"/>
  <c r="B3948" i="20"/>
  <c r="B5353" i="20"/>
  <c r="A3128" i="20"/>
  <c r="A5465" i="20"/>
  <c r="B2096" i="20"/>
  <c r="B594" i="16"/>
  <c r="B172" i="20"/>
  <c r="A155" i="8"/>
  <c r="B31" i="19"/>
  <c r="A5094" i="20"/>
  <c r="A8048" i="20"/>
  <c r="B8104" i="20"/>
  <c r="B4895" i="20"/>
  <c r="B5209" i="20"/>
  <c r="A6383" i="20"/>
  <c r="B4757" i="20"/>
  <c r="A897" i="16"/>
  <c r="A6485" i="20"/>
  <c r="B5956" i="20"/>
  <c r="A3771" i="20"/>
  <c r="A2703" i="20"/>
  <c r="B4153" i="20"/>
  <c r="B284" i="20"/>
  <c r="A2983" i="20"/>
  <c r="B2951" i="20"/>
  <c r="A3976" i="20"/>
  <c r="B527" i="20"/>
  <c r="A2695" i="20"/>
  <c r="A628" i="16"/>
  <c r="B1421" i="20"/>
  <c r="A2238" i="20"/>
  <c r="B2389" i="20"/>
  <c r="B8249" i="20"/>
  <c r="A5114" i="20"/>
  <c r="B1390" i="16"/>
  <c r="A5330" i="20"/>
  <c r="B4672" i="20"/>
  <c r="A3621" i="20"/>
  <c r="B8684" i="20"/>
  <c r="B4155" i="20"/>
  <c r="A797" i="20"/>
  <c r="A1521" i="16"/>
  <c r="B1698" i="16"/>
  <c r="A1137" i="16"/>
  <c r="A2687" i="20"/>
  <c r="G86" i="13"/>
  <c r="A2098" i="20"/>
  <c r="G13" i="12"/>
  <c r="A1543" i="20"/>
  <c r="A77" i="13"/>
  <c r="A2633" i="20"/>
  <c r="H114" i="12"/>
  <c r="A5579" i="20"/>
  <c r="A29" i="7"/>
  <c r="B6616" i="20"/>
  <c r="B83" i="6"/>
  <c r="B6036" i="20"/>
  <c r="F113" i="4"/>
  <c r="B965" i="20"/>
  <c r="A282" i="19"/>
  <c r="A5" i="1"/>
  <c r="A15" i="7"/>
  <c r="B2120" i="20"/>
  <c r="A6597" i="20"/>
  <c r="B1805" i="20"/>
  <c r="B239" i="20"/>
  <c r="A213" i="19"/>
  <c r="A341" i="20"/>
  <c r="A37" i="11"/>
  <c r="B276" i="19"/>
  <c r="B796" i="20"/>
  <c r="B1639" i="16"/>
  <c r="B1496" i="16"/>
  <c r="B1159" i="16"/>
  <c r="B1264" i="16"/>
  <c r="A4490" i="20"/>
  <c r="B915" i="20"/>
  <c r="A3082" i="20"/>
  <c r="B489" i="20"/>
  <c r="A1304" i="16"/>
  <c r="B1748" i="16"/>
  <c r="B270" i="20"/>
  <c r="B787" i="20"/>
  <c r="A1002" i="16"/>
  <c r="B4416" i="20"/>
  <c r="A1742" i="16"/>
  <c r="B5417" i="20"/>
  <c r="C1" i="14"/>
  <c r="B374" i="16"/>
  <c r="A138" i="18"/>
  <c r="B2245" i="20"/>
  <c r="G108" i="6"/>
  <c r="A10" i="19"/>
  <c r="A35" i="4"/>
  <c r="G131" i="7"/>
  <c r="A288" i="16"/>
  <c r="B68" i="12"/>
  <c r="A571" i="16"/>
  <c r="A2483" i="20"/>
  <c r="A3649" i="20"/>
  <c r="A2341" i="20"/>
  <c r="A1284" i="20"/>
  <c r="B3167" i="20"/>
  <c r="B127" i="20"/>
  <c r="G86" i="11"/>
  <c r="A746" i="20"/>
  <c r="A398" i="20"/>
  <c r="B141" i="19"/>
  <c r="G122" i="12"/>
  <c r="A1171" i="20"/>
  <c r="A3107" i="20"/>
  <c r="B673" i="16"/>
  <c r="B4360" i="20"/>
  <c r="B353" i="16"/>
  <c r="B3334" i="20"/>
  <c r="B908" i="20"/>
  <c r="A4570" i="20"/>
  <c r="A54" i="19"/>
  <c r="B1429" i="20"/>
  <c r="G29" i="9"/>
  <c r="A658" i="16"/>
  <c r="B3527" i="20"/>
  <c r="H129" i="10"/>
  <c r="B24" i="4"/>
  <c r="M23" i="29"/>
  <c r="A471" i="16"/>
  <c r="G79" i="13"/>
  <c r="A137" i="16"/>
  <c r="B1294" i="20"/>
  <c r="B373" i="16"/>
  <c r="A1077" i="16"/>
  <c r="B21" i="16"/>
  <c r="A757" i="16"/>
  <c r="H1" i="11"/>
  <c r="B59" i="13"/>
  <c r="B278" i="20"/>
  <c r="A46" i="12"/>
  <c r="A1082" i="20"/>
  <c r="B80" i="12"/>
  <c r="A730" i="20"/>
  <c r="H109" i="11"/>
  <c r="B1500" i="20"/>
  <c r="G56" i="6"/>
  <c r="B4199" i="20"/>
  <c r="B1018" i="20"/>
  <c r="B814" i="16"/>
  <c r="B137" i="7"/>
  <c r="B1170" i="16"/>
  <c r="B1768" i="20"/>
  <c r="A3868" i="20"/>
  <c r="A1344" i="20"/>
  <c r="B2447" i="20"/>
  <c r="F104" i="10"/>
  <c r="B2719" i="20"/>
  <c r="A7545" i="20"/>
  <c r="A1266" i="20"/>
  <c r="A5426" i="20"/>
  <c r="B117" i="19"/>
  <c r="B5033" i="20"/>
  <c r="B1037" i="20"/>
  <c r="B6502" i="20"/>
  <c r="B2518" i="20"/>
  <c r="A4618" i="20"/>
  <c r="A4638" i="20"/>
  <c r="B6006" i="20"/>
  <c r="A556" i="20"/>
  <c r="A2728" i="20"/>
  <c r="B5291" i="20"/>
  <c r="B355" i="19"/>
  <c r="A2824" i="20"/>
  <c r="A3205" i="20"/>
  <c r="B1778" i="16"/>
  <c r="B3743" i="20"/>
  <c r="A3110" i="20"/>
  <c r="A73" i="45"/>
  <c r="B1743" i="16"/>
  <c r="B521" i="45"/>
  <c r="A8688" i="20"/>
  <c r="B1477" i="16"/>
  <c r="A26" i="13"/>
  <c r="A2821" i="20"/>
  <c r="B238" i="16"/>
  <c r="B4074" i="20"/>
  <c r="B26" i="16"/>
  <c r="B7378" i="20"/>
  <c r="B34" i="8"/>
  <c r="A7526" i="20"/>
  <c r="G95" i="7"/>
  <c r="B132" i="13"/>
  <c r="B82" i="6"/>
  <c r="A717" i="16"/>
  <c r="B1224" i="16"/>
  <c r="H130" i="13"/>
  <c r="G109" i="9"/>
  <c r="B5234" i="20"/>
  <c r="B2839" i="20"/>
  <c r="A108" i="11"/>
  <c r="B1429" i="16"/>
  <c r="B54" i="19"/>
  <c r="A6360" i="20"/>
  <c r="A104" i="13"/>
  <c r="B4747" i="20"/>
  <c r="B88" i="11"/>
  <c r="B7547" i="20"/>
  <c r="B93" i="9"/>
  <c r="B5321" i="20"/>
  <c r="A17" i="9"/>
  <c r="A1753" i="20"/>
  <c r="A101" i="9"/>
  <c r="B1198" i="20"/>
  <c r="F26" i="9"/>
  <c r="A239" i="19"/>
  <c r="A17" i="7"/>
  <c r="B3165" i="20"/>
  <c r="F131" i="5"/>
  <c r="A1328" i="16"/>
  <c r="B3992" i="20"/>
  <c r="A9" i="10"/>
  <c r="B47" i="20"/>
  <c r="B2076" i="20"/>
  <c r="A842" i="20"/>
  <c r="B1618" i="16"/>
  <c r="B187" i="16"/>
  <c r="G100" i="11"/>
  <c r="B3930" i="20"/>
  <c r="B1159" i="20"/>
  <c r="A4622" i="20"/>
  <c r="A1615" i="16"/>
  <c r="A1327" i="20"/>
  <c r="A1263" i="16"/>
  <c r="B2092" i="20"/>
  <c r="B124" i="19"/>
  <c r="A1681" i="16"/>
  <c r="B120" i="20"/>
  <c r="A1361" i="16"/>
  <c r="F27" i="11"/>
  <c r="A982" i="20"/>
  <c r="B196" i="20"/>
  <c r="A7861" i="20"/>
  <c r="B34" i="16"/>
  <c r="B57" i="16"/>
  <c r="A197" i="19"/>
  <c r="D76" i="1"/>
  <c r="B83" i="16"/>
  <c r="A6" i="32"/>
  <c r="B19" i="12"/>
  <c r="A860" i="20"/>
  <c r="B3682" i="20"/>
  <c r="A2536" i="20"/>
  <c r="A6009" i="20"/>
  <c r="A946" i="20"/>
  <c r="B25" i="37"/>
  <c r="A626" i="20"/>
  <c r="A6304" i="20"/>
  <c r="B3973" i="20"/>
  <c r="B6242" i="20"/>
  <c r="B1707" i="20"/>
  <c r="A3736" i="20"/>
  <c r="B37" i="11"/>
  <c r="B1358" i="20"/>
  <c r="B726" i="20"/>
  <c r="B1539" i="16"/>
  <c r="A2048" i="20"/>
  <c r="B169" i="16"/>
  <c r="G89" i="5"/>
  <c r="B1759" i="16"/>
  <c r="A6534" i="20"/>
  <c r="B6451" i="20"/>
  <c r="A6375" i="20"/>
  <c r="A7314" i="20"/>
  <c r="B7443" i="20"/>
  <c r="B5502" i="20"/>
  <c r="B6040" i="20"/>
  <c r="A175" i="19"/>
  <c r="A685" i="20"/>
  <c r="A5139" i="20"/>
  <c r="B455" i="20"/>
  <c r="A2624" i="20"/>
  <c r="B4203" i="20"/>
  <c r="A161" i="19"/>
  <c r="A491" i="20"/>
  <c r="B3724" i="20"/>
  <c r="B1710" i="20"/>
  <c r="A1842" i="16"/>
  <c r="B45" i="17"/>
  <c r="A3231" i="20"/>
  <c r="B4857" i="20"/>
  <c r="B7507" i="20"/>
  <c r="B7713" i="20"/>
  <c r="B6330" i="20"/>
  <c r="G129" i="6"/>
  <c r="A130" i="20"/>
  <c r="A1365" i="20"/>
  <c r="A2679" i="20"/>
  <c r="A7610" i="20"/>
  <c r="B1903" i="20"/>
  <c r="B7785" i="20"/>
  <c r="B296" i="16"/>
  <c r="A5971" i="20"/>
  <c r="B80" i="16"/>
  <c r="A7251" i="20"/>
  <c r="H29" i="12"/>
  <c r="A6545" i="20"/>
  <c r="H58" i="11"/>
  <c r="A6061" i="20"/>
  <c r="B110" i="19"/>
  <c r="B6482" i="20"/>
  <c r="B576" i="20"/>
  <c r="B4033" i="20"/>
  <c r="A931" i="16"/>
  <c r="B2266" i="20"/>
  <c r="A611" i="16"/>
  <c r="A1712" i="20"/>
  <c r="G70" i="12"/>
  <c r="A1459" i="16"/>
  <c r="B3567" i="20"/>
  <c r="G73" i="10"/>
  <c r="B103" i="6"/>
  <c r="B5334" i="20"/>
  <c r="B5523" i="20"/>
  <c r="B574" i="20"/>
  <c r="A1491" i="20"/>
  <c r="A67" i="19"/>
  <c r="B7" i="18"/>
  <c r="B2559" i="20"/>
  <c r="A1559" i="16"/>
  <c r="B212" i="20"/>
  <c r="A631" i="16"/>
  <c r="B1362" i="16"/>
  <c r="A279" i="16"/>
  <c r="B1148" i="16"/>
  <c r="B967" i="20"/>
  <c r="A82" i="16"/>
  <c r="B615" i="20"/>
  <c r="A844" i="20"/>
  <c r="A2174" i="20"/>
  <c r="A1638" i="20"/>
  <c r="A5336" i="20"/>
  <c r="B546" i="16"/>
  <c r="A135" i="20"/>
  <c r="B1498" i="16"/>
  <c r="A27" i="10"/>
  <c r="A161" i="20"/>
  <c r="A4304" i="20"/>
  <c r="A1540" i="16"/>
  <c r="A122" i="1"/>
  <c r="A1014" i="20"/>
  <c r="A638" i="16"/>
  <c r="B750" i="20"/>
  <c r="B470" i="20"/>
  <c r="A19" i="1"/>
  <c r="B5880" i="20"/>
  <c r="G136" i="8"/>
  <c r="B82" i="7"/>
  <c r="A1431" i="16"/>
  <c r="A151" i="16"/>
  <c r="B4286" i="20"/>
  <c r="B67" i="12"/>
  <c r="B6361" i="20"/>
  <c r="B4002" i="20"/>
  <c r="A5678" i="20"/>
  <c r="A8298" i="20"/>
  <c r="B7539" i="20"/>
  <c r="A6248" i="20"/>
  <c r="B449" i="20"/>
  <c r="A3489" i="20"/>
  <c r="A6354" i="20"/>
  <c r="F99" i="12"/>
  <c r="Q2" i="33"/>
  <c r="G115" i="10"/>
  <c r="B442" i="45"/>
  <c r="A57" i="10"/>
  <c r="B7603" i="20"/>
  <c r="B54" i="9"/>
  <c r="B1697" i="20"/>
  <c r="G7" i="10"/>
  <c r="A50" i="11"/>
  <c r="B4477" i="20"/>
  <c r="A1654" i="16"/>
  <c r="B329" i="16"/>
  <c r="B5002" i="20"/>
  <c r="B209" i="20"/>
  <c r="B909" i="20"/>
  <c r="B7985" i="20"/>
  <c r="A117" i="18"/>
  <c r="B3768" i="20"/>
  <c r="F28" i="6"/>
  <c r="A4332" i="20"/>
  <c r="A86" i="5"/>
  <c r="A1165" i="20"/>
  <c r="A2904" i="20"/>
  <c r="B1802" i="20"/>
  <c r="A2442" i="20"/>
  <c r="C120" i="18"/>
  <c r="G152" i="8"/>
  <c r="B1727" i="16"/>
  <c r="F133" i="7"/>
  <c r="A289" i="16"/>
  <c r="B680" i="20"/>
  <c r="F125" i="13"/>
  <c r="B139" i="18"/>
  <c r="A100" i="4"/>
  <c r="B152" i="20"/>
  <c r="A381" i="16"/>
  <c r="B218" i="19"/>
  <c r="B4791" i="20"/>
  <c r="B1796" i="20"/>
  <c r="B365" i="16"/>
  <c r="A3146" i="20"/>
  <c r="B6559" i="20"/>
  <c r="A4136" i="20"/>
  <c r="A4848" i="20"/>
  <c r="A2856" i="20"/>
  <c r="B5950" i="20"/>
  <c r="B2600" i="20"/>
  <c r="A4425" i="20"/>
  <c r="B1960" i="20"/>
  <c r="B1101" i="20"/>
  <c r="A4520" i="20"/>
  <c r="B2024" i="20"/>
  <c r="B5724" i="20"/>
  <c r="B7694" i="20"/>
  <c r="A7507" i="20"/>
  <c r="A2334" i="20"/>
  <c r="B999" i="20"/>
  <c r="B2828" i="20"/>
  <c r="B5734" i="20"/>
  <c r="A206" i="20"/>
  <c r="A184" i="20"/>
  <c r="H14" i="11"/>
  <c r="B3472" i="20"/>
  <c r="A547" i="45"/>
  <c r="B7154" i="20"/>
  <c r="B8241" i="20"/>
  <c r="A821" i="16"/>
  <c r="A3968" i="20"/>
  <c r="B5735" i="20"/>
  <c r="A724" i="16"/>
  <c r="A5343" i="20"/>
  <c r="A22" i="12"/>
  <c r="B4874" i="20"/>
  <c r="A473" i="20"/>
  <c r="A4177" i="20"/>
  <c r="A153" i="20"/>
  <c r="A709" i="16"/>
  <c r="D75" i="1"/>
  <c r="H76" i="5"/>
  <c r="B4125" i="20"/>
  <c r="A160" i="19"/>
  <c r="A92" i="18"/>
  <c r="B5634" i="20"/>
  <c r="A431" i="16"/>
  <c r="B1677" i="16"/>
  <c r="B5800" i="20"/>
  <c r="F12" i="8"/>
  <c r="A2096" i="20"/>
  <c r="B145" i="16"/>
  <c r="A1744" i="20"/>
  <c r="G72" i="13"/>
  <c r="B1821" i="20"/>
  <c r="B774" i="20"/>
  <c r="A956" i="20"/>
  <c r="B9" i="19"/>
  <c r="A2329" i="20"/>
  <c r="F3" i="29"/>
  <c r="B1390" i="20"/>
  <c r="A5478" i="20"/>
  <c r="B2709" i="20"/>
  <c r="A3116" i="20"/>
  <c r="B112" i="20"/>
  <c r="A2381" i="20"/>
  <c r="B1515" i="16"/>
  <c r="H104" i="13"/>
  <c r="G56" i="10"/>
  <c r="B1964" i="20"/>
  <c r="B3840" i="20"/>
  <c r="B1839" i="16"/>
  <c r="A122" i="11"/>
  <c r="B4389" i="20"/>
  <c r="A684" i="20"/>
  <c r="A4096" i="20"/>
  <c r="A236" i="20"/>
  <c r="A2816" i="20"/>
  <c r="B3572" i="20"/>
  <c r="B2582" i="20"/>
  <c r="A4008" i="20"/>
  <c r="A7326" i="20"/>
  <c r="B8919" i="20"/>
  <c r="B8899" i="20"/>
  <c r="A3363" i="20"/>
  <c r="B6261" i="20"/>
  <c r="B4494" i="20"/>
  <c r="B4833" i="20"/>
  <c r="B6740" i="20"/>
  <c r="A3738" i="20"/>
  <c r="A4164" i="20"/>
  <c r="B7868" i="20"/>
  <c r="A6815" i="20"/>
  <c r="B574" i="45"/>
  <c r="A4319" i="20"/>
  <c r="A645" i="16"/>
  <c r="A5813" i="20"/>
  <c r="A8580" i="20"/>
  <c r="A265" i="45"/>
  <c r="A2252" i="20"/>
  <c r="B2170" i="20"/>
  <c r="B5395" i="20"/>
  <c r="B2776" i="20"/>
  <c r="A3227" i="20"/>
  <c r="B3356" i="20"/>
  <c r="A4980" i="20"/>
  <c r="A7128" i="20"/>
  <c r="B5368" i="20"/>
  <c r="A1654" i="20"/>
  <c r="B3359" i="20"/>
  <c r="A7489" i="20"/>
  <c r="A1807" i="16"/>
  <c r="A6182" i="20"/>
  <c r="A7775" i="20"/>
  <c r="A2583" i="20"/>
  <c r="B6066" i="20"/>
  <c r="A6832" i="20"/>
  <c r="A349" i="32"/>
  <c r="A3088" i="20"/>
  <c r="A5523" i="20"/>
  <c r="B1274" i="20"/>
  <c r="A4847" i="20"/>
  <c r="A3925" i="20"/>
  <c r="A1462" i="20"/>
  <c r="B4230" i="20"/>
  <c r="A282" i="20"/>
  <c r="A3011" i="20"/>
  <c r="A869" i="45"/>
  <c r="B3491" i="20"/>
  <c r="A1371" i="20"/>
  <c r="B4016" i="20"/>
  <c r="A7452" i="20"/>
  <c r="A5881" i="20"/>
  <c r="B2952" i="20"/>
  <c r="A7041" i="20"/>
  <c r="B5044" i="20"/>
  <c r="B4981" i="20"/>
  <c r="A7928" i="20"/>
  <c r="A7720" i="20"/>
  <c r="F34" i="13"/>
  <c r="B4888" i="20"/>
  <c r="A6864" i="20"/>
  <c r="B3998" i="20"/>
  <c r="B6530" i="20"/>
  <c r="B1227" i="20"/>
  <c r="A1665" i="16"/>
  <c r="A6" i="11"/>
  <c r="A6790" i="20"/>
  <c r="B5337" i="20"/>
  <c r="A6159" i="20"/>
  <c r="A5845" i="20"/>
  <c r="A7353" i="20"/>
  <c r="A1107" i="20"/>
  <c r="A1249" i="20"/>
  <c r="B1440" i="16"/>
  <c r="B800" i="16"/>
  <c r="A6541" i="20"/>
  <c r="B785" i="20"/>
  <c r="A381" i="20"/>
  <c r="B131" i="18"/>
  <c r="B1412" i="20"/>
  <c r="A1179" i="20"/>
  <c r="A2294" i="20"/>
  <c r="A3084" i="20"/>
  <c r="A3910" i="20"/>
  <c r="B387" i="20"/>
  <c r="A4349" i="20"/>
  <c r="A397" i="20"/>
  <c r="B1764" i="20"/>
  <c r="B681" i="20"/>
  <c r="B45" i="16"/>
  <c r="G131" i="13"/>
  <c r="B6295" i="20"/>
  <c r="B6556" i="20"/>
  <c r="A4337" i="20"/>
  <c r="B5474" i="20"/>
  <c r="A1325" i="20"/>
  <c r="B245" i="19"/>
  <c r="F139" i="7"/>
  <c r="A855" i="16"/>
  <c r="A2335" i="20"/>
  <c r="A536" i="16"/>
  <c r="A3989" i="20"/>
  <c r="A4859" i="20"/>
  <c r="B8980" i="20"/>
  <c r="A5148" i="20"/>
  <c r="B6134" i="20"/>
  <c r="B6268" i="20"/>
  <c r="B3459" i="20"/>
  <c r="A4865" i="20"/>
  <c r="G42" i="11"/>
  <c r="A4154" i="20"/>
  <c r="A1259" i="20"/>
  <c r="B30" i="8"/>
  <c r="H89" i="4"/>
  <c r="B5729" i="20"/>
  <c r="A2300" i="20"/>
  <c r="A2242" i="20"/>
  <c r="B2395" i="20"/>
  <c r="B3984" i="20"/>
  <c r="A1120" i="20"/>
  <c r="A40" i="12"/>
  <c r="A6021" i="20"/>
  <c r="B8523" i="20"/>
  <c r="B4171" i="20"/>
  <c r="A4936" i="20"/>
  <c r="A4904" i="20"/>
  <c r="A7807" i="20"/>
  <c r="B5900" i="20"/>
  <c r="A3627" i="20"/>
  <c r="A3123" i="20"/>
  <c r="A8800" i="20"/>
  <c r="A1912" i="20"/>
  <c r="A1560" i="20"/>
  <c r="B6475" i="20"/>
  <c r="B7664" i="20"/>
  <c r="B64" i="20"/>
  <c r="B366" i="16"/>
  <c r="H67" i="12"/>
  <c r="B109" i="19"/>
  <c r="A5885" i="20"/>
  <c r="A1311" i="20"/>
  <c r="A3186" i="20"/>
  <c r="A2195" i="20"/>
  <c r="A3080" i="20"/>
  <c r="A2575" i="20"/>
  <c r="B1356" i="20"/>
  <c r="A2072" i="20"/>
  <c r="A126" i="20"/>
  <c r="B2788" i="20"/>
  <c r="B1378" i="20"/>
  <c r="A3657" i="20"/>
  <c r="H58" i="7"/>
  <c r="A283" i="19"/>
  <c r="A665" i="20"/>
  <c r="A278" i="20"/>
  <c r="A4907" i="20"/>
  <c r="A1314" i="20"/>
  <c r="B2321" i="20"/>
  <c r="A5990" i="20"/>
  <c r="B1792" i="20"/>
  <c r="B8780" i="20"/>
  <c r="A3688" i="20"/>
  <c r="B2376" i="20"/>
  <c r="A923" i="20"/>
  <c r="A4" i="19"/>
  <c r="A4526" i="20"/>
  <c r="B2707" i="20"/>
  <c r="A3645" i="20"/>
  <c r="A5383" i="20"/>
  <c r="B3496" i="20"/>
  <c r="B3306" i="20"/>
  <c r="H49" i="12"/>
  <c r="A2674" i="20"/>
  <c r="B6308" i="20"/>
  <c r="A3757" i="20"/>
  <c r="A619" i="20"/>
  <c r="A3631" i="20"/>
  <c r="B3713" i="20"/>
  <c r="B3299" i="20"/>
  <c r="G45" i="11"/>
  <c r="A2386" i="20"/>
  <c r="B2757" i="20"/>
  <c r="A6472" i="20"/>
  <c r="A220" i="19"/>
  <c r="B7753" i="20"/>
  <c r="B4099" i="20"/>
  <c r="B3687" i="20"/>
  <c r="B5479" i="20"/>
  <c r="B2950" i="20"/>
  <c r="B2258" i="20"/>
  <c r="A3161" i="20"/>
  <c r="B1398" i="20"/>
  <c r="B3457" i="20"/>
  <c r="A1611" i="20"/>
  <c r="A4078" i="20"/>
  <c r="B3207" i="20"/>
  <c r="A1932" i="20"/>
  <c r="A5888" i="20"/>
  <c r="B6356" i="20"/>
  <c r="A14" i="6"/>
  <c r="A1492" i="16"/>
  <c r="A4226" i="20"/>
  <c r="A4829" i="20"/>
  <c r="B4444" i="20"/>
  <c r="A5023" i="20"/>
  <c r="B8628" i="20"/>
  <c r="B4990" i="20"/>
  <c r="B1095" i="16"/>
  <c r="B431" i="20"/>
  <c r="B3313" i="20"/>
  <c r="B3847" i="20"/>
  <c r="B1402" i="16"/>
  <c r="A1945" i="20"/>
  <c r="B2922" i="20"/>
  <c r="B2364" i="20"/>
  <c r="A6107" i="20"/>
  <c r="B4113" i="20"/>
  <c r="B3703" i="20"/>
  <c r="A4149" i="20"/>
  <c r="A4752" i="20"/>
  <c r="A671" i="16"/>
  <c r="B1918" i="20"/>
  <c r="B2964" i="20"/>
  <c r="B64" i="11"/>
  <c r="A8928" i="20"/>
  <c r="A664" i="20"/>
  <c r="B421" i="20"/>
  <c r="A3817" i="20"/>
  <c r="B3877" i="20"/>
  <c r="A31" i="12"/>
  <c r="B6419" i="20"/>
  <c r="B2100" i="20"/>
  <c r="A1505" i="20"/>
  <c r="B6923" i="20"/>
  <c r="B901" i="20"/>
  <c r="B5172" i="20"/>
  <c r="A129" i="16"/>
  <c r="A507" i="20"/>
  <c r="B8013" i="20"/>
  <c r="B1404" i="20"/>
  <c r="B60" i="10"/>
  <c r="B74" i="8"/>
  <c r="B1746" i="20"/>
  <c r="A1033" i="20"/>
  <c r="B1723" i="16"/>
  <c r="B443" i="16"/>
  <c r="A4206" i="20"/>
  <c r="A1694" i="20"/>
  <c r="B1047" i="20"/>
  <c r="A3389" i="20"/>
  <c r="A1256" i="20"/>
  <c r="A828" i="20"/>
  <c r="B1396" i="20"/>
  <c r="A9" i="16"/>
  <c r="B1855" i="20"/>
  <c r="B332" i="19"/>
  <c r="B7681" i="20"/>
  <c r="A4581" i="20"/>
  <c r="B6164" i="20"/>
  <c r="A5825" i="20"/>
  <c r="B4152" i="20"/>
  <c r="A1680" i="20"/>
  <c r="A2899" i="20"/>
  <c r="G124" i="12"/>
  <c r="A1781" i="16"/>
  <c r="B4563" i="20"/>
  <c r="A595" i="20"/>
  <c r="B831" i="16"/>
  <c r="B676" i="20"/>
  <c r="A50" i="18"/>
  <c r="A1335" i="16"/>
  <c r="A175" i="16"/>
  <c r="B2697" i="20"/>
  <c r="B1934" i="20"/>
  <c r="B4263" i="20"/>
  <c r="A863" i="45"/>
  <c r="B2877" i="20"/>
  <c r="G117" i="13"/>
  <c r="A4370" i="20"/>
  <c r="G83" i="8"/>
  <c r="A289" i="19"/>
  <c r="A671" i="20"/>
  <c r="A4384" i="20"/>
  <c r="B3352" i="20"/>
  <c r="A421" i="20"/>
  <c r="B2345" i="20"/>
  <c r="B3061" i="20"/>
  <c r="B3820" i="20"/>
  <c r="B1822" i="20"/>
  <c r="B1603" i="16"/>
  <c r="B323" i="16"/>
  <c r="H20" i="11"/>
  <c r="A1650" i="16"/>
  <c r="H82" i="5"/>
  <c r="B6544" i="20"/>
  <c r="A4049" i="20"/>
  <c r="B997" i="20"/>
  <c r="B146" i="19"/>
  <c r="A23" i="1"/>
  <c r="B1221" i="16"/>
  <c r="A481" i="16"/>
  <c r="B6314" i="20"/>
  <c r="A1888" i="20"/>
  <c r="A1100" i="20"/>
  <c r="B2320" i="20"/>
  <c r="B7283" i="20"/>
  <c r="B1034" i="16"/>
  <c r="B2996" i="20"/>
  <c r="A1601" i="20"/>
  <c r="B1318" i="20"/>
  <c r="B28" i="20"/>
  <c r="G122" i="6"/>
  <c r="A125" i="16"/>
  <c r="B3655" i="20"/>
  <c r="B116" i="13"/>
  <c r="A2586" i="20"/>
  <c r="B3884" i="20"/>
  <c r="A112" i="19"/>
  <c r="H100" i="13"/>
  <c r="B4679" i="20"/>
  <c r="A3687" i="20"/>
  <c r="H54" i="1"/>
  <c r="B2863" i="20"/>
  <c r="A1054" i="20"/>
  <c r="B91" i="12"/>
  <c r="B28" i="17"/>
  <c r="A245" i="16"/>
  <c r="H30" i="12"/>
  <c r="B7320" i="20"/>
  <c r="H43" i="6"/>
  <c r="B518" i="20"/>
  <c r="A1107" i="16"/>
  <c r="A2034" i="20"/>
  <c r="A4714" i="20"/>
  <c r="C9" i="18"/>
  <c r="A592" i="16"/>
  <c r="A1829" i="20"/>
  <c r="A3046" i="20"/>
  <c r="B2846" i="20"/>
  <c r="B5" i="9"/>
  <c r="A2436" i="20"/>
  <c r="B985" i="20"/>
  <c r="B3261" i="20"/>
  <c r="H114" i="10"/>
  <c r="F140" i="9"/>
  <c r="A1436" i="16"/>
  <c r="A655" i="16"/>
  <c r="B49" i="11"/>
  <c r="A594" i="16"/>
  <c r="A3854" i="20"/>
  <c r="A908" i="20"/>
  <c r="A1810" i="16"/>
  <c r="B1695" i="16"/>
  <c r="A129" i="7"/>
  <c r="A58" i="5"/>
  <c r="A468" i="16"/>
  <c r="A114" i="20"/>
  <c r="H122" i="6"/>
  <c r="A5563" i="20"/>
  <c r="B2599" i="20"/>
  <c r="B2204" i="20"/>
  <c r="A6466" i="20"/>
  <c r="A41" i="12"/>
  <c r="D1" i="12"/>
  <c r="B1878" i="20"/>
  <c r="A2302" i="20"/>
  <c r="B4100" i="20"/>
  <c r="A6586" i="20"/>
  <c r="A5319" i="20"/>
  <c r="B3304" i="20"/>
  <c r="B1062" i="20"/>
  <c r="B2956" i="20"/>
  <c r="A1433" i="16"/>
  <c r="A153" i="16"/>
  <c r="C148" i="18"/>
  <c r="F33" i="13"/>
  <c r="A6565" i="20"/>
  <c r="B1" i="19"/>
  <c r="A6432" i="20"/>
  <c r="H72" i="12"/>
  <c r="A1890" i="20"/>
  <c r="B1494" i="20"/>
  <c r="A2246" i="20"/>
  <c r="A6835" i="20"/>
  <c r="A4841" i="20"/>
  <c r="A1209" i="16"/>
  <c r="B2102" i="20"/>
  <c r="A1130" i="20"/>
  <c r="A903" i="16"/>
  <c r="A114" i="12"/>
  <c r="A122" i="4"/>
  <c r="B7" i="19"/>
  <c r="B258" i="19"/>
  <c r="A4302" i="20"/>
  <c r="A3095" i="20"/>
  <c r="A409" i="16"/>
  <c r="A1516" i="20"/>
  <c r="B2252" i="20"/>
  <c r="B1437" i="16"/>
  <c r="B899" i="16"/>
  <c r="A8087" i="20"/>
  <c r="B7447" i="20"/>
  <c r="B2946" i="20"/>
  <c r="A1441" i="20"/>
  <c r="B1614" i="20"/>
  <c r="A352" i="19"/>
  <c r="B1226" i="20"/>
  <c r="A304" i="20"/>
  <c r="A331" i="19"/>
  <c r="B2070" i="20"/>
  <c r="A39" i="7"/>
  <c r="H55" i="12"/>
  <c r="B1865" i="20"/>
  <c r="B2658" i="20"/>
  <c r="H46" i="11"/>
  <c r="A7203" i="20"/>
  <c r="A6265" i="20"/>
  <c r="E93" i="13"/>
  <c r="B4702" i="20"/>
  <c r="A3271" i="20"/>
  <c r="G9" i="12"/>
  <c r="A1210" i="20"/>
  <c r="B1211" i="16"/>
  <c r="A2155" i="20"/>
  <c r="A3598" i="20"/>
  <c r="B510" i="20"/>
  <c r="B3487" i="20"/>
  <c r="B5323" i="20"/>
  <c r="A5183" i="20"/>
  <c r="A4611" i="20"/>
  <c r="A2972" i="20"/>
  <c r="B2848" i="20"/>
  <c r="A985" i="16"/>
  <c r="A407" i="16"/>
  <c r="A514" i="20"/>
  <c r="B1696" i="20"/>
  <c r="B1736" i="20"/>
  <c r="A1899" i="20"/>
  <c r="E74" i="1"/>
  <c r="A1364" i="20"/>
  <c r="B3365" i="20"/>
  <c r="A3112" i="20"/>
  <c r="B5989" i="20"/>
  <c r="A5166" i="20"/>
  <c r="A118" i="10"/>
  <c r="A6199" i="20"/>
  <c r="B3246" i="20"/>
  <c r="A2339" i="20"/>
  <c r="A2495" i="20"/>
  <c r="A7474" i="20"/>
  <c r="B52" i="20"/>
  <c r="B6350" i="20"/>
  <c r="B210" i="16"/>
  <c r="A6" i="9"/>
  <c r="F2" i="7"/>
  <c r="A3969" i="20"/>
  <c r="H54" i="5"/>
  <c r="B7367" i="20"/>
  <c r="B6176" i="20"/>
  <c r="E1" i="11"/>
  <c r="A3032" i="20"/>
  <c r="B4096" i="20"/>
  <c r="B24" i="10"/>
  <c r="B6564" i="20"/>
  <c r="A4401" i="20"/>
  <c r="B5488" i="20"/>
  <c r="B7163" i="20"/>
  <c r="A4620" i="20"/>
  <c r="A43" i="13"/>
  <c r="A38" i="4"/>
  <c r="B201" i="19"/>
  <c r="A2351" i="20"/>
  <c r="B2542" i="20"/>
  <c r="A657" i="16"/>
  <c r="F97" i="1"/>
  <c r="B3" i="20"/>
  <c r="G94" i="2"/>
  <c r="E36" i="4"/>
  <c r="H80" i="1"/>
  <c r="B6576" i="20"/>
  <c r="A382" i="20"/>
  <c r="A1982" i="20"/>
  <c r="B225" i="19"/>
  <c r="B1968" i="20"/>
  <c r="C4" i="14"/>
  <c r="B2250" i="20"/>
  <c r="A716" i="20"/>
  <c r="B247" i="20"/>
  <c r="B8272" i="20"/>
  <c r="B5473" i="20"/>
  <c r="A2861" i="20"/>
  <c r="A3429" i="20"/>
  <c r="B8009" i="20"/>
  <c r="B4923" i="20"/>
  <c r="A5187" i="20"/>
  <c r="A966" i="20"/>
  <c r="A210" i="16"/>
  <c r="A367" i="16"/>
  <c r="B6547" i="20"/>
  <c r="A808" i="20"/>
  <c r="G98" i="12"/>
  <c r="B61" i="16"/>
  <c r="G77" i="2"/>
  <c r="A6" i="17"/>
  <c r="B2464" i="20"/>
  <c r="A376" i="20"/>
  <c r="B6284" i="20"/>
  <c r="B3120" i="20"/>
  <c r="A90" i="6"/>
  <c r="A5414" i="20"/>
  <c r="A3893" i="20"/>
  <c r="B5396" i="20"/>
  <c r="A1045" i="20"/>
  <c r="E7" i="13"/>
  <c r="A565" i="20"/>
  <c r="A127" i="11"/>
  <c r="A457" i="16"/>
  <c r="A4056" i="20"/>
  <c r="B9" i="14"/>
  <c r="A1834" i="20"/>
  <c r="A1599" i="16"/>
  <c r="B649" i="20"/>
  <c r="G88" i="7"/>
  <c r="A35" i="11"/>
  <c r="B778" i="16"/>
  <c r="B224" i="19"/>
  <c r="B6341" i="20"/>
  <c r="A4496" i="20"/>
  <c r="B3733" i="20"/>
  <c r="A2014" i="20"/>
  <c r="A1268" i="20"/>
  <c r="B3263" i="20"/>
  <c r="B1679" i="16"/>
  <c r="B2634" i="20"/>
  <c r="B1359" i="16"/>
  <c r="B955" i="20"/>
  <c r="B399" i="16"/>
  <c r="B357" i="20"/>
  <c r="A4036" i="20"/>
  <c r="B2535" i="20"/>
  <c r="A3044" i="20"/>
  <c r="B206" i="20"/>
  <c r="B5790" i="20"/>
  <c r="A864" i="20"/>
  <c r="A97" i="1"/>
  <c r="B216" i="19"/>
  <c r="A56" i="16"/>
  <c r="A6211" i="20"/>
  <c r="B8641" i="20"/>
  <c r="B2036" i="20"/>
  <c r="A5487" i="20"/>
  <c r="B3497" i="20"/>
  <c r="B2769" i="20"/>
  <c r="A1" i="16"/>
  <c r="A3663" i="20"/>
  <c r="B3731" i="20"/>
  <c r="B10" i="10"/>
  <c r="G90" i="12"/>
  <c r="B7096" i="20"/>
  <c r="A6925" i="20"/>
  <c r="B4813" i="20"/>
  <c r="A4284" i="20"/>
  <c r="B4291" i="20"/>
  <c r="A122" i="19"/>
  <c r="A7269" i="20"/>
  <c r="A3661" i="20"/>
  <c r="B5164" i="20"/>
  <c r="B5480" i="20"/>
  <c r="A7168" i="20"/>
  <c r="A25" i="10"/>
  <c r="A1540" i="20"/>
  <c r="A265" i="20"/>
  <c r="A1357" i="20"/>
  <c r="B2710" i="20"/>
  <c r="A29" i="19"/>
  <c r="C2" i="5"/>
  <c r="G19" i="10"/>
  <c r="A72" i="9"/>
  <c r="F6" i="9"/>
  <c r="H56" i="11"/>
  <c r="B1803" i="16"/>
  <c r="G52" i="4"/>
  <c r="E151" i="8"/>
  <c r="B1059" i="20"/>
  <c r="B137" i="2"/>
  <c r="B594" i="20"/>
  <c r="B334" i="19"/>
  <c r="H30" i="9"/>
  <c r="A7424" i="20"/>
  <c r="A70" i="4"/>
  <c r="A108" i="13"/>
  <c r="A1492" i="20"/>
  <c r="B3764" i="20"/>
  <c r="A826" i="20"/>
  <c r="C100" i="18"/>
  <c r="A119" i="18"/>
  <c r="B6108" i="20"/>
  <c r="A4134" i="20"/>
  <c r="A1255" i="20"/>
  <c r="B1009" i="45"/>
  <c r="B5936" i="20"/>
  <c r="B120" i="13"/>
  <c r="A4839" i="20"/>
  <c r="B2546" i="20"/>
  <c r="A3289" i="20"/>
  <c r="B6689" i="20"/>
  <c r="B5985" i="20"/>
  <c r="A7188" i="20"/>
  <c r="A2521" i="20"/>
  <c r="A83" i="5"/>
  <c r="B330" i="16"/>
  <c r="A6440" i="20"/>
  <c r="B1598" i="20"/>
  <c r="A1542" i="20"/>
  <c r="B2608" i="20"/>
  <c r="B3039" i="20"/>
  <c r="A414" i="20"/>
  <c r="B157" i="19"/>
  <c r="H72" i="11"/>
  <c r="A2041" i="20"/>
  <c r="B1451" i="20"/>
  <c r="B353" i="20"/>
  <c r="B214" i="16"/>
  <c r="G62" i="13"/>
  <c r="B61" i="13"/>
  <c r="B5785" i="20"/>
  <c r="C139" i="18"/>
  <c r="F134" i="7"/>
  <c r="B181" i="20"/>
  <c r="A1139" i="16"/>
  <c r="B58" i="13"/>
  <c r="H123" i="8"/>
  <c r="A3165" i="20"/>
  <c r="H73" i="4"/>
  <c r="A77" i="8"/>
  <c r="B99" i="7"/>
  <c r="B367" i="19"/>
  <c r="B40" i="4"/>
  <c r="B2097" i="20"/>
  <c r="E10" i="6"/>
  <c r="A323" i="20"/>
  <c r="A67" i="18"/>
  <c r="B237" i="16"/>
  <c r="E27" i="7"/>
  <c r="B136" i="13"/>
  <c r="F35" i="13"/>
  <c r="B2607" i="20"/>
  <c r="B99" i="20"/>
  <c r="A801" i="20"/>
  <c r="H47" i="13"/>
  <c r="A2463" i="20"/>
  <c r="A854" i="16"/>
  <c r="B3399" i="20"/>
  <c r="H121" i="11"/>
  <c r="B2151" i="20"/>
  <c r="A966" i="16"/>
  <c r="B2035" i="20"/>
  <c r="H15" i="2"/>
  <c r="A356" i="19"/>
  <c r="A46" i="8"/>
  <c r="A2330" i="20"/>
  <c r="A1661" i="16"/>
  <c r="A1325" i="16"/>
  <c r="G59" i="8"/>
  <c r="B161" i="19"/>
  <c r="A11" i="11"/>
  <c r="A636" i="16"/>
  <c r="B1663" i="20"/>
  <c r="A1300" i="16"/>
  <c r="A1556" i="16"/>
  <c r="H110" i="9"/>
  <c r="H51" i="10"/>
  <c r="B284" i="16"/>
  <c r="B326" i="16"/>
  <c r="B1278" i="20"/>
  <c r="B4725" i="20"/>
  <c r="H44" i="4"/>
  <c r="H83" i="11"/>
  <c r="A84" i="6"/>
  <c r="A344" i="16"/>
  <c r="G116" i="9"/>
  <c r="H93" i="11"/>
  <c r="B6052" i="20"/>
  <c r="B3876" i="20"/>
  <c r="B3781" i="20"/>
  <c r="B1422" i="16"/>
  <c r="B1186" i="16"/>
  <c r="B4569" i="20"/>
  <c r="A265" i="16"/>
  <c r="B47" i="2"/>
  <c r="A291" i="19"/>
  <c r="B1035" i="20"/>
  <c r="B417" i="16"/>
  <c r="B52" i="16"/>
  <c r="H90" i="4"/>
  <c r="B3033" i="20"/>
  <c r="A53" i="9"/>
  <c r="A16" i="18"/>
  <c r="A2592" i="20"/>
  <c r="A608" i="16"/>
  <c r="A1022" i="16"/>
  <c r="B3441" i="20"/>
  <c r="B700" i="16"/>
  <c r="B633" i="20"/>
  <c r="B1061" i="16"/>
  <c r="B332" i="16"/>
  <c r="B4029" i="20"/>
  <c r="B42" i="10"/>
  <c r="B117" i="6"/>
  <c r="E11" i="8"/>
  <c r="B381" i="19"/>
  <c r="E4" i="7"/>
  <c r="A2847" i="20"/>
  <c r="H89" i="6"/>
  <c r="H115" i="1"/>
  <c r="B330" i="20"/>
  <c r="G72" i="1"/>
  <c r="D36" i="10"/>
  <c r="G73" i="4"/>
  <c r="B136" i="20"/>
  <c r="A235" i="20"/>
  <c r="A479" i="16"/>
  <c r="G91" i="7"/>
  <c r="A127" i="6"/>
  <c r="B3665" i="20"/>
  <c r="A6719" i="20"/>
  <c r="A6128" i="20"/>
  <c r="B38" i="12"/>
  <c r="A134" i="20"/>
  <c r="G94" i="1"/>
  <c r="G104" i="13"/>
  <c r="B4932" i="20"/>
  <c r="B5373" i="20"/>
  <c r="A5832" i="20"/>
  <c r="B5108" i="20"/>
  <c r="A4411" i="20"/>
  <c r="B1818" i="16"/>
  <c r="A417" i="20"/>
  <c r="H62" i="8"/>
  <c r="B551" i="20"/>
  <c r="B300" i="19"/>
  <c r="A263" i="16"/>
  <c r="A641" i="20"/>
  <c r="A321" i="20"/>
  <c r="B392" i="20"/>
  <c r="B90" i="18"/>
  <c r="A1171" i="16"/>
  <c r="A976" i="16"/>
  <c r="B13" i="8"/>
  <c r="B757" i="20"/>
  <c r="A4619" i="20"/>
  <c r="B625" i="20"/>
  <c r="A8" i="16"/>
  <c r="A924" i="20"/>
  <c r="A179" i="16"/>
  <c r="G41" i="2"/>
  <c r="A93" i="9"/>
  <c r="B87" i="7"/>
  <c r="G23" i="7"/>
  <c r="H63" i="9"/>
  <c r="B3994" i="20"/>
  <c r="B553" i="16"/>
  <c r="G38" i="7"/>
  <c r="B5565" i="20"/>
  <c r="F141" i="1"/>
  <c r="H97" i="8"/>
  <c r="A36" i="10"/>
  <c r="G79" i="2"/>
  <c r="A127" i="16"/>
  <c r="A899" i="16"/>
  <c r="H16" i="6"/>
  <c r="B154" i="16"/>
  <c r="A156" i="9"/>
  <c r="A124" i="10"/>
  <c r="A761" i="16"/>
  <c r="E4" i="11"/>
  <c r="B436" i="20"/>
  <c r="B16" i="11"/>
  <c r="A533" i="20"/>
  <c r="B93" i="19"/>
  <c r="H137" i="9"/>
  <c r="B4432" i="20"/>
  <c r="A31" i="9"/>
  <c r="G154" i="1"/>
  <c r="E126" i="12"/>
  <c r="G109" i="6"/>
  <c r="A489" i="20"/>
  <c r="A389" i="20"/>
  <c r="A64" i="9"/>
  <c r="A2307" i="20"/>
  <c r="A41" i="5"/>
  <c r="B103" i="5"/>
  <c r="B1714" i="16"/>
  <c r="B690" i="20"/>
  <c r="G78" i="1"/>
  <c r="B5311" i="20"/>
  <c r="B51" i="2"/>
  <c r="B962" i="20"/>
  <c r="G155" i="4"/>
  <c r="A13" i="4"/>
  <c r="A1570" i="16"/>
  <c r="G41" i="10"/>
  <c r="B43" i="9"/>
  <c r="A1607" i="16"/>
  <c r="E61" i="4"/>
  <c r="A313" i="20"/>
  <c r="G24" i="11"/>
  <c r="B41" i="18"/>
  <c r="A1418" i="16"/>
  <c r="B131" i="12"/>
  <c r="B1544" i="16"/>
  <c r="A34" i="19"/>
  <c r="B475" i="16"/>
  <c r="A3349" i="20"/>
  <c r="B326" i="19"/>
  <c r="H109" i="2"/>
  <c r="B480" i="16"/>
  <c r="A807" i="20"/>
  <c r="B3797" i="20"/>
  <c r="A615" i="16"/>
  <c r="B2171" i="20"/>
  <c r="G124" i="8"/>
  <c r="A348" i="16"/>
  <c r="B116" i="18"/>
  <c r="E75" i="1"/>
  <c r="A828" i="16"/>
  <c r="C110" i="18"/>
  <c r="A182" i="16"/>
  <c r="A79" i="1"/>
  <c r="A338" i="16"/>
  <c r="H36" i="4"/>
  <c r="B85" i="13"/>
  <c r="H108" i="7"/>
  <c r="G20" i="4"/>
  <c r="F50" i="13"/>
  <c r="B65" i="20"/>
  <c r="F23" i="1"/>
  <c r="A130" i="4"/>
  <c r="G63" i="10"/>
  <c r="A627" i="20"/>
  <c r="A8011" i="20"/>
  <c r="B489" i="16"/>
  <c r="G118" i="4"/>
  <c r="A37" i="7"/>
  <c r="A269" i="16"/>
  <c r="A355" i="16"/>
  <c r="A285" i="19"/>
  <c r="A86" i="12"/>
  <c r="B4504" i="20"/>
  <c r="A548" i="16"/>
  <c r="B2522" i="20"/>
  <c r="A67" i="32"/>
  <c r="A5510" i="20"/>
  <c r="B3842" i="20"/>
  <c r="A4368" i="20"/>
  <c r="B60" i="2"/>
  <c r="A6777" i="20"/>
  <c r="A2677" i="20"/>
  <c r="B2316" i="20"/>
  <c r="B6298" i="20"/>
  <c r="A3332" i="20"/>
  <c r="B3691" i="20"/>
  <c r="B5471" i="20"/>
  <c r="G121" i="1"/>
  <c r="A96" i="8"/>
  <c r="A2178" i="20"/>
  <c r="B1584" i="20"/>
  <c r="A37" i="20"/>
  <c r="B3609" i="20"/>
  <c r="B3615" i="20"/>
  <c r="A486" i="20"/>
  <c r="B229" i="19"/>
  <c r="G19" i="11"/>
  <c r="B290" i="20"/>
  <c r="B99" i="12"/>
  <c r="A825" i="16"/>
  <c r="A6713" i="20"/>
  <c r="H97" i="2"/>
  <c r="A152" i="9"/>
  <c r="B1876" i="20"/>
  <c r="B4207" i="20"/>
  <c r="B72" i="2"/>
  <c r="E78" i="9"/>
  <c r="F3" i="11"/>
  <c r="B366" i="20"/>
  <c r="H117" i="13"/>
  <c r="A2473" i="20"/>
  <c r="H59" i="1"/>
  <c r="B57" i="5"/>
  <c r="B11" i="15"/>
  <c r="B334" i="16"/>
  <c r="B378" i="16"/>
  <c r="A135" i="12"/>
  <c r="C1" i="4"/>
  <c r="A229" i="16"/>
  <c r="B1846" i="16"/>
  <c r="A63" i="19"/>
  <c r="B1440" i="20"/>
  <c r="F36" i="6"/>
  <c r="B80" i="9"/>
  <c r="A1088" i="16"/>
  <c r="B103" i="12"/>
  <c r="A1843" i="16"/>
  <c r="B87" i="9"/>
  <c r="G141" i="4"/>
  <c r="B135" i="16"/>
  <c r="B3911" i="20"/>
  <c r="A3034" i="20"/>
  <c r="H39" i="11"/>
  <c r="A117" i="16"/>
  <c r="B282" i="20"/>
  <c r="A520" i="16"/>
  <c r="B2134" i="20"/>
  <c r="A3684" i="20"/>
  <c r="A122" i="5"/>
  <c r="B115" i="9"/>
  <c r="G120" i="5"/>
  <c r="B235" i="16"/>
  <c r="A1318" i="16"/>
  <c r="H142" i="8"/>
  <c r="A3819" i="20"/>
  <c r="B25" i="7"/>
  <c r="H131" i="1"/>
  <c r="B107" i="6"/>
  <c r="A3978" i="20"/>
  <c r="A767" i="20"/>
  <c r="A76" i="6"/>
  <c r="A2800" i="20"/>
  <c r="A63" i="12"/>
  <c r="E76" i="4"/>
  <c r="B46" i="4"/>
  <c r="B1208" i="20"/>
  <c r="A141" i="10"/>
  <c r="A2008" i="20"/>
  <c r="A953" i="16"/>
  <c r="B72" i="8"/>
  <c r="B313" i="19"/>
  <c r="H23" i="10"/>
  <c r="G54" i="4"/>
  <c r="H41" i="6"/>
  <c r="A99" i="4"/>
  <c r="A907" i="20"/>
  <c r="A100" i="16"/>
  <c r="B11" i="9"/>
  <c r="A497" i="20"/>
  <c r="E26" i="2"/>
  <c r="B458" i="16"/>
  <c r="B494" i="20"/>
  <c r="A105" i="2"/>
  <c r="B52" i="12"/>
  <c r="E1" i="9"/>
  <c r="G39" i="6"/>
  <c r="E3" i="6"/>
  <c r="A2122" i="20"/>
  <c r="G56" i="8"/>
  <c r="G95" i="9"/>
  <c r="A1228" i="16"/>
  <c r="A2" i="5"/>
  <c r="A70" i="11"/>
  <c r="H8" i="4"/>
  <c r="B1015" i="16"/>
  <c r="B1266" i="16"/>
  <c r="A3096" i="20"/>
  <c r="A49" i="12"/>
  <c r="G54" i="11"/>
  <c r="A106" i="10"/>
  <c r="B50" i="11"/>
  <c r="B1129" i="16"/>
  <c r="B107" i="12"/>
  <c r="E7" i="4"/>
  <c r="B1570" i="16"/>
  <c r="B129" i="6"/>
  <c r="G116" i="1"/>
  <c r="F4" i="9"/>
  <c r="A18" i="4"/>
  <c r="A39" i="1"/>
  <c r="H83" i="8"/>
  <c r="A5528" i="20"/>
  <c r="B21" i="12"/>
  <c r="B124" i="7"/>
  <c r="B527" i="16"/>
  <c r="B254" i="20"/>
  <c r="B68" i="8"/>
  <c r="A1" i="7"/>
  <c r="A86" i="13"/>
  <c r="G77" i="12"/>
  <c r="A6320" i="20"/>
  <c r="B6" i="4"/>
  <c r="A561" i="20"/>
  <c r="H105" i="11"/>
  <c r="B824" i="20"/>
  <c r="B93" i="4"/>
  <c r="A137" i="13"/>
  <c r="A82" i="10"/>
  <c r="A72" i="10"/>
  <c r="B2551" i="20"/>
  <c r="F34" i="4"/>
  <c r="A2314" i="20"/>
  <c r="B272" i="16"/>
  <c r="B762" i="16"/>
  <c r="A869" i="20"/>
  <c r="A22" i="1"/>
  <c r="A11" i="5"/>
  <c r="B120" i="5"/>
  <c r="G92" i="12"/>
  <c r="A65" i="5"/>
  <c r="G117" i="12"/>
  <c r="G89" i="4"/>
  <c r="B1" i="20"/>
  <c r="B85" i="10"/>
  <c r="A625" i="20"/>
  <c r="B764" i="16"/>
  <c r="G99" i="1"/>
  <c r="H87" i="10"/>
  <c r="B586" i="20"/>
  <c r="A215" i="20"/>
  <c r="B1134" i="20"/>
  <c r="B1454" i="16"/>
  <c r="B1364" i="16"/>
  <c r="H126" i="4"/>
  <c r="A53" i="7"/>
  <c r="A1596" i="16"/>
  <c r="B1070" i="20"/>
  <c r="G67" i="6"/>
  <c r="A119" i="1"/>
  <c r="A354" i="16"/>
  <c r="A124" i="18"/>
  <c r="B15" i="18"/>
  <c r="B122" i="8"/>
  <c r="G91" i="11"/>
  <c r="B232" i="16"/>
  <c r="B129" i="4"/>
  <c r="B1166" i="20"/>
  <c r="B4204" i="20"/>
  <c r="A1729" i="16"/>
  <c r="A2551" i="20"/>
  <c r="B1874" i="20"/>
  <c r="A94" i="5"/>
  <c r="H68" i="11"/>
  <c r="G82" i="4"/>
  <c r="F54" i="1"/>
  <c r="A136" i="20"/>
  <c r="A3225" i="20"/>
  <c r="G127" i="8"/>
  <c r="B1122" i="20"/>
  <c r="B1108" i="20"/>
  <c r="B43" i="11"/>
  <c r="B38" i="8"/>
  <c r="B155" i="9"/>
  <c r="B1684" i="20"/>
  <c r="B250" i="16"/>
  <c r="A3539" i="20"/>
  <c r="A4676" i="20"/>
  <c r="B4081" i="20"/>
  <c r="B6423" i="20"/>
  <c r="B5340" i="20"/>
  <c r="B577" i="45"/>
  <c r="A5392" i="20"/>
  <c r="A596" i="20"/>
  <c r="A2240" i="20"/>
  <c r="A2270" i="20"/>
  <c r="G21" i="10"/>
  <c r="H108" i="2"/>
  <c r="B6987" i="20"/>
  <c r="A2811" i="20"/>
  <c r="B3104" i="20"/>
  <c r="A3467" i="20"/>
  <c r="B4371" i="20"/>
  <c r="B940" i="20"/>
  <c r="B3717" i="20"/>
  <c r="B1537" i="20"/>
  <c r="B1112" i="20"/>
  <c r="A3217" i="20"/>
  <c r="B4119" i="20"/>
  <c r="A372" i="20"/>
  <c r="A1880" i="20"/>
  <c r="B3408" i="20"/>
  <c r="A2533" i="20"/>
  <c r="A2267" i="20"/>
  <c r="A3653" i="20"/>
  <c r="H82" i="2"/>
  <c r="G80" i="10"/>
  <c r="A2621" i="20"/>
  <c r="B14" i="6"/>
  <c r="A109" i="5"/>
  <c r="G114" i="11"/>
  <c r="B1756" i="16"/>
  <c r="B59" i="2"/>
  <c r="B853" i="20"/>
  <c r="E134" i="7"/>
  <c r="B2569" i="20"/>
  <c r="G43" i="7"/>
  <c r="B6" i="2"/>
  <c r="A264" i="19"/>
  <c r="B1929" i="20"/>
  <c r="A31" i="8"/>
  <c r="A39" i="19"/>
  <c r="A1236" i="20"/>
  <c r="A765" i="20"/>
  <c r="B48" i="17"/>
  <c r="B1482" i="16"/>
  <c r="A3188" i="20"/>
  <c r="B4514" i="20"/>
  <c r="B2818" i="20"/>
  <c r="B1566" i="20"/>
  <c r="A1417" i="20"/>
  <c r="B1625" i="16"/>
  <c r="B647" i="16"/>
  <c r="A99" i="20"/>
  <c r="B1813" i="16"/>
  <c r="A5560" i="20"/>
  <c r="B8449" i="20"/>
  <c r="B6891" i="20"/>
  <c r="B1039" i="20"/>
  <c r="A563" i="20"/>
  <c r="F22" i="1"/>
  <c r="B251" i="20"/>
  <c r="A303" i="19"/>
  <c r="B773" i="16"/>
  <c r="H104" i="12"/>
  <c r="A4" i="12"/>
  <c r="A1040" i="20"/>
  <c r="B143" i="19"/>
  <c r="B1681" i="16"/>
  <c r="B1361" i="16"/>
  <c r="E131" i="6"/>
  <c r="A100" i="13"/>
  <c r="A1207" i="20"/>
  <c r="B2745" i="20"/>
  <c r="A68" i="10"/>
  <c r="B5193" i="20"/>
  <c r="B1050" i="20"/>
  <c r="A121" i="2"/>
  <c r="G81" i="8"/>
  <c r="B42" i="11"/>
  <c r="B738" i="20"/>
  <c r="B1022" i="16"/>
  <c r="B5" i="15"/>
  <c r="F8" i="1"/>
  <c r="F147" i="1"/>
  <c r="G123" i="9"/>
  <c r="B672" i="20"/>
  <c r="H79" i="7"/>
  <c r="A836" i="16"/>
  <c r="B82" i="8"/>
  <c r="H125" i="12"/>
  <c r="B553" i="20"/>
  <c r="A1029" i="16"/>
  <c r="B273" i="20"/>
  <c r="B107" i="13"/>
  <c r="B25" i="17"/>
  <c r="B2278" i="20"/>
  <c r="A134" i="12"/>
  <c r="B85" i="11"/>
  <c r="A60" i="18"/>
  <c r="A772" i="20"/>
  <c r="A308" i="20"/>
  <c r="B3965" i="20"/>
  <c r="A7163" i="20"/>
  <c r="A115" i="8"/>
  <c r="A654" i="16"/>
  <c r="B583" i="20"/>
  <c r="A1408" i="16"/>
  <c r="G37" i="8"/>
  <c r="A1894" i="20"/>
  <c r="B43" i="12"/>
  <c r="B6856" i="20"/>
  <c r="G86" i="6"/>
  <c r="H23" i="8"/>
  <c r="A1220" i="20"/>
  <c r="E74" i="4"/>
  <c r="H77" i="6"/>
  <c r="B3088" i="20"/>
  <c r="A91" i="13"/>
  <c r="A170" i="19"/>
  <c r="A57" i="12"/>
  <c r="A45" i="10"/>
  <c r="A7" i="19"/>
  <c r="B26" i="8"/>
  <c r="B1385" i="20"/>
  <c r="A212" i="16"/>
  <c r="B1325" i="20"/>
  <c r="B93" i="7"/>
  <c r="A1490" i="20"/>
  <c r="B1678" i="16"/>
  <c r="B1356" i="16"/>
  <c r="B106" i="7"/>
  <c r="A1641" i="16"/>
  <c r="B2241" i="20"/>
  <c r="A68" i="11"/>
  <c r="A4482" i="20"/>
  <c r="F121" i="5"/>
  <c r="G41" i="9"/>
  <c r="H19" i="11"/>
  <c r="A44" i="4"/>
  <c r="H100" i="12"/>
  <c r="G90" i="11"/>
  <c r="B1883" i="20"/>
  <c r="A131" i="7"/>
  <c r="F127" i="1"/>
  <c r="A3616" i="20"/>
  <c r="E104" i="8"/>
  <c r="B73" i="10"/>
  <c r="B1415" i="20"/>
  <c r="A117" i="1"/>
  <c r="H127" i="4"/>
  <c r="B1085" i="20"/>
  <c r="B17" i="2"/>
  <c r="B3" i="10"/>
  <c r="H103" i="6"/>
  <c r="F75" i="8"/>
  <c r="B1731" i="16"/>
  <c r="B146" i="18"/>
  <c r="B3837" i="20"/>
  <c r="E7" i="10"/>
  <c r="F36" i="9"/>
  <c r="A1308" i="20"/>
  <c r="A1587" i="20"/>
  <c r="A61" i="2"/>
  <c r="G139" i="1"/>
  <c r="B2441" i="20"/>
  <c r="B1676" i="20"/>
  <c r="G134" i="9"/>
  <c r="D36" i="7"/>
  <c r="B6074" i="20"/>
  <c r="A102" i="4"/>
  <c r="E34" i="8"/>
  <c r="A46" i="16"/>
  <c r="A133" i="12"/>
  <c r="B4975" i="20"/>
  <c r="A4046" i="20"/>
  <c r="B3516" i="20"/>
  <c r="A1217" i="16"/>
  <c r="A54" i="20"/>
  <c r="B386" i="16"/>
  <c r="A85" i="13"/>
  <c r="A2223" i="20"/>
  <c r="B1664" i="20"/>
  <c r="B5207" i="20"/>
  <c r="B4876" i="20"/>
  <c r="A4179" i="20"/>
  <c r="B299" i="20"/>
  <c r="G154" i="8"/>
  <c r="A75" i="6"/>
  <c r="A6280" i="20"/>
  <c r="B653" i="16"/>
  <c r="G91" i="4"/>
  <c r="A1683" i="16"/>
  <c r="A1363" i="16"/>
  <c r="A403" i="16"/>
  <c r="A83" i="16"/>
  <c r="A5017" i="20"/>
  <c r="A6273" i="20"/>
  <c r="H89" i="7"/>
  <c r="G134" i="8"/>
  <c r="A3456" i="20"/>
  <c r="B48" i="11"/>
  <c r="C36" i="4"/>
  <c r="A123" i="18"/>
  <c r="A800" i="20"/>
  <c r="C1" i="5"/>
  <c r="F33" i="2"/>
  <c r="A2011" i="20"/>
  <c r="A546" i="16"/>
  <c r="B81" i="2"/>
  <c r="B1620" i="20"/>
  <c r="B66" i="20"/>
  <c r="A1462" i="16"/>
  <c r="B5904" i="20"/>
  <c r="G58" i="9"/>
  <c r="H23" i="7"/>
  <c r="F64" i="2"/>
  <c r="G118" i="8"/>
  <c r="A61" i="1"/>
  <c r="B4115" i="20"/>
  <c r="B767" i="20"/>
  <c r="A9" i="14"/>
  <c r="E26" i="9"/>
  <c r="A1602" i="20"/>
  <c r="B44" i="13"/>
  <c r="B4992" i="20"/>
  <c r="B153" i="9"/>
  <c r="B83" i="2"/>
  <c r="B671" i="16"/>
  <c r="B561" i="16"/>
  <c r="A64" i="10"/>
  <c r="B2162" i="20"/>
  <c r="A149" i="8"/>
  <c r="B4150" i="20"/>
  <c r="A3" i="18"/>
  <c r="A99" i="9"/>
  <c r="A20" i="12"/>
  <c r="B2527" i="20"/>
  <c r="C78" i="8"/>
  <c r="A2291" i="20"/>
  <c r="F11" i="5"/>
  <c r="B4087" i="20"/>
  <c r="B981" i="20"/>
  <c r="A78" i="5"/>
  <c r="A249" i="16"/>
  <c r="A5369" i="20"/>
  <c r="E78" i="1"/>
  <c r="G76" i="6"/>
  <c r="B542" i="16"/>
  <c r="A160" i="16"/>
  <c r="A807" i="16"/>
  <c r="G46" i="8"/>
  <c r="B105" i="11"/>
  <c r="B44" i="9"/>
  <c r="B113" i="10"/>
  <c r="A179" i="20"/>
  <c r="B1499" i="16"/>
  <c r="B5358" i="20"/>
  <c r="A967" i="20"/>
  <c r="B10" i="5"/>
  <c r="B1504" i="16"/>
  <c r="A76" i="4"/>
  <c r="E151" i="9"/>
  <c r="A5477" i="20"/>
  <c r="G13" i="2"/>
  <c r="B4167" i="20"/>
  <c r="A290" i="19"/>
  <c r="E65" i="2"/>
  <c r="G8" i="11"/>
  <c r="B107" i="8"/>
  <c r="B126" i="10"/>
  <c r="B36" i="10"/>
  <c r="B3564" i="20"/>
  <c r="B514" i="20"/>
  <c r="H96" i="4"/>
  <c r="A42" i="18"/>
  <c r="A7" i="18"/>
  <c r="F139" i="13"/>
  <c r="H77" i="8"/>
  <c r="A785" i="16"/>
  <c r="E61" i="12"/>
  <c r="G19" i="9"/>
  <c r="B124" i="2"/>
  <c r="G100" i="10"/>
  <c r="H42" i="13"/>
  <c r="H1" i="10"/>
  <c r="A85" i="6"/>
  <c r="H153" i="1"/>
  <c r="B1274" i="16"/>
  <c r="A1501" i="16"/>
  <c r="B1057" i="16"/>
  <c r="H29" i="7"/>
  <c r="F140" i="4"/>
  <c r="A1122" i="20"/>
  <c r="A1064" i="16"/>
  <c r="A339" i="16"/>
  <c r="A146" i="18"/>
  <c r="A325" i="16"/>
  <c r="A140" i="10"/>
  <c r="A113" i="9"/>
  <c r="A3468" i="20"/>
  <c r="B3129" i="20"/>
  <c r="A2422" i="20"/>
  <c r="B2079" i="20"/>
  <c r="A5305" i="20"/>
  <c r="F2" i="10"/>
  <c r="B3610" i="20"/>
  <c r="B2184" i="20"/>
  <c r="A2542" i="20"/>
  <c r="B3147" i="20"/>
  <c r="A1755" i="20"/>
  <c r="A2935" i="20"/>
  <c r="A3256" i="20"/>
  <c r="A118" i="6"/>
  <c r="F139" i="1"/>
  <c r="A5993" i="20"/>
  <c r="A353" i="16"/>
  <c r="B627" i="16"/>
  <c r="B51" i="12"/>
  <c r="H79" i="11"/>
  <c r="A1434" i="16"/>
  <c r="A794" i="16"/>
  <c r="A1616" i="16"/>
  <c r="A782" i="20"/>
  <c r="B869" i="16"/>
  <c r="A128" i="10"/>
  <c r="A5627" i="20"/>
  <c r="A93" i="7"/>
  <c r="A1659" i="16"/>
  <c r="A7573" i="20"/>
  <c r="C33" i="18"/>
  <c r="B745" i="16"/>
  <c r="B554" i="16"/>
  <c r="A9062" i="20"/>
  <c r="H56" i="8"/>
  <c r="G116" i="12"/>
  <c r="A4160" i="20"/>
  <c r="B116" i="11"/>
  <c r="H94" i="5"/>
  <c r="B5084" i="20"/>
  <c r="E3" i="5"/>
  <c r="G111" i="12"/>
  <c r="B89" i="8"/>
  <c r="B1617" i="20"/>
  <c r="A121" i="20"/>
  <c r="B83" i="12"/>
  <c r="H85" i="13"/>
  <c r="B279" i="16"/>
  <c r="A86" i="7"/>
  <c r="B1937" i="20"/>
  <c r="B137" i="18"/>
  <c r="B73" i="12"/>
  <c r="B98" i="11"/>
  <c r="B91" i="11"/>
  <c r="A4405" i="20"/>
  <c r="B752" i="16"/>
  <c r="A12" i="17"/>
  <c r="B1384" i="20"/>
  <c r="B271" i="19"/>
  <c r="B5983" i="20"/>
  <c r="A6768" i="20"/>
  <c r="G55" i="4"/>
  <c r="B66" i="9"/>
  <c r="B974" i="20"/>
  <c r="A6619" i="20"/>
  <c r="A12" i="19"/>
  <c r="A5791" i="20"/>
  <c r="C105" i="13"/>
  <c r="B1250" i="16"/>
  <c r="A812" i="16"/>
  <c r="G17" i="10"/>
  <c r="G70" i="5"/>
  <c r="G49" i="7"/>
  <c r="B8" i="2"/>
  <c r="B765" i="20"/>
  <c r="A644" i="16"/>
  <c r="A1561" i="16"/>
  <c r="B479" i="20"/>
  <c r="B1164" i="16"/>
  <c r="A42" i="5"/>
  <c r="A5799" i="20"/>
  <c r="A329" i="19"/>
  <c r="A35" i="5"/>
  <c r="A957" i="20"/>
  <c r="G137" i="10"/>
  <c r="F186" i="18"/>
  <c r="A4" i="18"/>
  <c r="A1787" i="16"/>
  <c r="H149" i="4"/>
  <c r="E28" i="2"/>
  <c r="A2" i="1"/>
  <c r="H95" i="8"/>
  <c r="B50" i="20"/>
  <c r="A120" i="12"/>
  <c r="A1539" i="16"/>
  <c r="A221" i="16"/>
  <c r="B67" i="4"/>
  <c r="G83" i="13"/>
  <c r="B56" i="2"/>
  <c r="G73" i="13"/>
  <c r="B1" i="6"/>
  <c r="G82" i="9"/>
  <c r="B3769" i="20"/>
  <c r="B41" i="6"/>
  <c r="F15" i="1"/>
  <c r="A70" i="20"/>
  <c r="B313" i="16"/>
  <c r="G91" i="12"/>
  <c r="G44" i="6"/>
  <c r="B115" i="11"/>
  <c r="B10" i="2"/>
  <c r="B484" i="20"/>
  <c r="H23" i="6"/>
  <c r="H89" i="11"/>
  <c r="A896" i="20"/>
  <c r="G65" i="9"/>
  <c r="B11" i="7"/>
  <c r="G7" i="2"/>
  <c r="H68" i="12"/>
  <c r="G108" i="5"/>
  <c r="A944" i="16"/>
  <c r="B128" i="9"/>
  <c r="A1114" i="16"/>
  <c r="G87" i="1"/>
  <c r="G110" i="10"/>
  <c r="A47" i="6"/>
  <c r="E1" i="12"/>
  <c r="B4239" i="20"/>
  <c r="A99" i="8"/>
  <c r="G38" i="1"/>
  <c r="B439" i="20"/>
  <c r="A126" i="12"/>
  <c r="F2" i="9"/>
  <c r="A959" i="16"/>
  <c r="B915" i="16"/>
  <c r="G52" i="10"/>
  <c r="A5647" i="20"/>
  <c r="A9" i="2"/>
  <c r="E28" i="8"/>
  <c r="B627" i="20"/>
  <c r="H13" i="12"/>
  <c r="G104" i="5"/>
  <c r="B6552" i="20"/>
  <c r="B21" i="4"/>
  <c r="A22" i="2"/>
  <c r="A56" i="10"/>
  <c r="G80" i="7"/>
  <c r="A10" i="8"/>
  <c r="A207" i="20"/>
  <c r="H131" i="13"/>
  <c r="B454" i="16"/>
  <c r="G132" i="10"/>
  <c r="H116" i="4"/>
  <c r="B86" i="6"/>
  <c r="B288" i="19"/>
  <c r="A4" i="10"/>
  <c r="B1268" i="16"/>
  <c r="G123" i="5"/>
  <c r="B1533" i="16"/>
  <c r="A1198" i="16"/>
  <c r="B1258" i="20"/>
  <c r="B4057" i="20"/>
  <c r="B51" i="4"/>
  <c r="B403" i="16"/>
  <c r="A1716" i="16"/>
  <c r="D151" i="1"/>
  <c r="B634" i="20"/>
  <c r="H115" i="12"/>
  <c r="B994" i="16"/>
  <c r="H147" i="1"/>
  <c r="B91" i="13"/>
  <c r="C11" i="14"/>
  <c r="B88" i="4"/>
  <c r="A895" i="16"/>
  <c r="B1710" i="16"/>
  <c r="B4405" i="20"/>
  <c r="C6" i="14"/>
  <c r="A2764" i="20"/>
  <c r="B3669" i="20"/>
  <c r="E7" i="2"/>
  <c r="H104" i="9"/>
  <c r="G84" i="11"/>
  <c r="B86" i="2"/>
  <c r="B6246" i="20"/>
  <c r="A905" i="20"/>
  <c r="B3366" i="20"/>
  <c r="A1144" i="20"/>
  <c r="B5513" i="20"/>
  <c r="B6160" i="20"/>
  <c r="B2971" i="20"/>
  <c r="B129" i="7"/>
  <c r="B1861" i="20"/>
  <c r="A1133" i="20"/>
  <c r="B6440" i="20"/>
  <c r="A129" i="2"/>
  <c r="A104" i="20"/>
  <c r="B127" i="5"/>
  <c r="A1098" i="16"/>
  <c r="F125" i="2"/>
  <c r="B1588" i="16"/>
  <c r="B160" i="20"/>
  <c r="A4" i="9"/>
  <c r="G28" i="10"/>
  <c r="G91" i="13"/>
  <c r="A763" i="16"/>
  <c r="H28" i="11"/>
  <c r="H78" i="5"/>
  <c r="H111" i="5"/>
  <c r="B4397" i="20"/>
  <c r="B4205" i="20"/>
  <c r="A3608" i="20"/>
  <c r="B5645" i="20"/>
  <c r="B298" i="19"/>
  <c r="A2288" i="20"/>
  <c r="B3595" i="20"/>
  <c r="B2115" i="20"/>
  <c r="B77" i="6"/>
  <c r="A175" i="20"/>
  <c r="B4381" i="20"/>
  <c r="A1922" i="20"/>
  <c r="B292" i="20"/>
  <c r="B3871" i="20"/>
  <c r="A1584" i="20"/>
  <c r="B1512" i="20"/>
  <c r="B1537" i="16"/>
  <c r="B5615" i="20"/>
  <c r="B1567" i="16"/>
  <c r="B287" i="16"/>
  <c r="B363" i="19"/>
  <c r="A10" i="20"/>
  <c r="B2223" i="20"/>
  <c r="A3375" i="20"/>
  <c r="A4433" i="20"/>
  <c r="B1170" i="20"/>
  <c r="B3902" i="20"/>
  <c r="A3568" i="20"/>
  <c r="B249" i="16"/>
  <c r="B1218" i="16"/>
  <c r="B4947" i="20"/>
  <c r="A1446" i="16"/>
  <c r="G106" i="1"/>
  <c r="B1400" i="20"/>
  <c r="A365" i="16"/>
  <c r="G56" i="5"/>
  <c r="A3296" i="20"/>
  <c r="B62" i="5"/>
  <c r="B80" i="20"/>
  <c r="B666" i="16"/>
  <c r="A855" i="20"/>
  <c r="B1017" i="16"/>
  <c r="G142" i="10"/>
  <c r="A452" i="16"/>
  <c r="A1177" i="20"/>
  <c r="A827" i="20"/>
  <c r="B80" i="13"/>
  <c r="H33" i="11"/>
  <c r="H45" i="13"/>
  <c r="B4676" i="20"/>
  <c r="G89" i="13"/>
  <c r="A92" i="19"/>
  <c r="A2145" i="20"/>
  <c r="A686" i="20"/>
  <c r="H59" i="13"/>
  <c r="A2618" i="20"/>
  <c r="A411" i="20"/>
  <c r="A2" i="19"/>
  <c r="A4376" i="20"/>
  <c r="A88" i="7"/>
  <c r="B70" i="4"/>
  <c r="B1034" i="20"/>
  <c r="A128" i="7"/>
  <c r="A19" i="16"/>
  <c r="B1673" i="20"/>
  <c r="B378" i="19"/>
  <c r="A4893" i="20"/>
  <c r="B3537" i="20"/>
  <c r="B2126" i="20"/>
  <c r="B3479" i="20"/>
  <c r="A2512" i="20"/>
  <c r="G65" i="12"/>
  <c r="A34" i="11"/>
  <c r="B2811" i="20"/>
  <c r="A2415" i="20"/>
  <c r="B36" i="1"/>
  <c r="A73" i="18"/>
  <c r="B8532" i="20"/>
  <c r="B3161" i="20"/>
  <c r="G57" i="1"/>
  <c r="B4471" i="20"/>
  <c r="A1837" i="20"/>
  <c r="B132" i="19"/>
  <c r="B13" i="15"/>
  <c r="A459" i="16"/>
  <c r="A5" i="11"/>
  <c r="B900" i="16"/>
  <c r="A806" i="20"/>
  <c r="A300" i="16"/>
  <c r="B3293" i="20"/>
  <c r="A23" i="2"/>
  <c r="A126" i="16"/>
  <c r="B145" i="9"/>
  <c r="G44" i="13"/>
  <c r="H98" i="9"/>
  <c r="B2998" i="20"/>
  <c r="H40" i="5"/>
  <c r="H113" i="7"/>
  <c r="B5907" i="20"/>
  <c r="G97" i="7"/>
  <c r="H85" i="4"/>
  <c r="B77" i="20"/>
  <c r="B49" i="2"/>
  <c r="H110" i="8"/>
  <c r="A257" i="20"/>
  <c r="B349" i="20"/>
  <c r="A95" i="12"/>
  <c r="A51" i="19"/>
  <c r="H84" i="2"/>
  <c r="H98" i="11"/>
  <c r="C131" i="18"/>
  <c r="A5085" i="20"/>
  <c r="A1717" i="16"/>
  <c r="B233" i="16"/>
  <c r="F148" i="1"/>
  <c r="A433" i="20"/>
  <c r="H65" i="9"/>
  <c r="A22" i="9"/>
  <c r="A72" i="12"/>
  <c r="B266" i="20"/>
  <c r="A67" i="5"/>
  <c r="A128" i="13"/>
  <c r="A302" i="16"/>
  <c r="E4" i="5"/>
  <c r="E34" i="1"/>
  <c r="A126" i="1"/>
  <c r="A37" i="4"/>
  <c r="B3015" i="20"/>
  <c r="A311" i="20"/>
  <c r="G57" i="8"/>
  <c r="B3757" i="20"/>
  <c r="A988" i="16"/>
  <c r="B61" i="5"/>
  <c r="A12" i="15"/>
  <c r="H9" i="2"/>
  <c r="H107" i="7"/>
  <c r="G148" i="8"/>
  <c r="A768" i="16"/>
  <c r="G61" i="1"/>
  <c r="G96" i="12"/>
  <c r="A36" i="5"/>
  <c r="G77" i="5"/>
  <c r="F156" i="4"/>
  <c r="B671" i="20"/>
  <c r="A225" i="19"/>
  <c r="A56" i="19"/>
  <c r="B81" i="16"/>
  <c r="F27" i="10"/>
  <c r="B1393" i="16"/>
  <c r="B846" i="16"/>
  <c r="G94" i="7"/>
  <c r="B4130" i="20"/>
  <c r="G21" i="4"/>
  <c r="B2429" i="20"/>
  <c r="A785" i="20"/>
  <c r="A522" i="16"/>
  <c r="A20" i="8"/>
  <c r="B44" i="7"/>
  <c r="B736" i="16"/>
  <c r="E10" i="11"/>
  <c r="A823" i="20"/>
  <c r="B764" i="20"/>
  <c r="H69" i="10"/>
  <c r="H57" i="4"/>
  <c r="B115" i="5"/>
  <c r="G96" i="4"/>
  <c r="B24" i="18"/>
  <c r="H19" i="2"/>
  <c r="A270" i="16"/>
  <c r="H43" i="5"/>
  <c r="F7" i="7"/>
  <c r="G30" i="5"/>
  <c r="B537" i="20"/>
  <c r="A90" i="9"/>
  <c r="A17" i="18"/>
  <c r="A135" i="16"/>
  <c r="B1729" i="16"/>
  <c r="B3745" i="20"/>
  <c r="B1364" i="20"/>
  <c r="A1566" i="20"/>
  <c r="B632" i="16"/>
  <c r="A913" i="20"/>
  <c r="B121" i="16"/>
  <c r="B519" i="16"/>
  <c r="F10" i="12"/>
  <c r="H23" i="9"/>
  <c r="C1" i="8"/>
  <c r="A1146" i="20"/>
  <c r="B2086" i="20"/>
  <c r="B1574" i="20"/>
  <c r="A322" i="19"/>
  <c r="B179" i="20"/>
  <c r="B736" i="20"/>
  <c r="A2365" i="20"/>
  <c r="B1599" i="16"/>
  <c r="A246" i="20"/>
  <c r="B2491" i="20"/>
  <c r="B157" i="20"/>
  <c r="A189" i="19"/>
  <c r="A2580" i="20"/>
  <c r="A2196" i="20"/>
  <c r="A57" i="8"/>
  <c r="B2817" i="20"/>
  <c r="A144" i="16"/>
  <c r="G125" i="8"/>
  <c r="B136" i="12"/>
  <c r="A105" i="8"/>
  <c r="E13" i="4"/>
  <c r="B51" i="13"/>
  <c r="A363" i="20"/>
  <c r="G69" i="6"/>
  <c r="B28" i="16"/>
  <c r="A48" i="11"/>
  <c r="C135" i="18"/>
  <c r="B865" i="20"/>
  <c r="A774" i="16"/>
  <c r="H87" i="9"/>
  <c r="B4388" i="20"/>
  <c r="B37" i="5"/>
  <c r="B125" i="2"/>
  <c r="B41" i="4"/>
  <c r="G98" i="9"/>
  <c r="A972" i="16"/>
  <c r="G88" i="6"/>
  <c r="G129" i="1"/>
  <c r="A52" i="5"/>
  <c r="B63" i="9"/>
  <c r="A1282" i="16"/>
  <c r="A9" i="7"/>
  <c r="B867" i="16"/>
  <c r="G43" i="8"/>
  <c r="G110" i="2"/>
  <c r="B2344" i="20"/>
  <c r="A486" i="16"/>
  <c r="B118" i="7"/>
  <c r="G46" i="12"/>
  <c r="A512" i="16"/>
  <c r="B5538" i="20"/>
  <c r="A3562" i="20"/>
  <c r="A1112" i="16"/>
  <c r="B1419" i="20"/>
  <c r="H71" i="4"/>
  <c r="A2506" i="20"/>
  <c r="B31" i="9"/>
  <c r="B146" i="4"/>
  <c r="A3758" i="20"/>
  <c r="A2376" i="20"/>
  <c r="A70" i="5"/>
  <c r="G94" i="12"/>
  <c r="A21" i="13"/>
  <c r="G135" i="8"/>
  <c r="F113" i="8"/>
  <c r="G56" i="7"/>
  <c r="B14" i="2"/>
  <c r="H149" i="8"/>
  <c r="G113" i="9"/>
  <c r="A1730" i="16"/>
  <c r="B3604" i="20"/>
  <c r="B1828" i="16"/>
  <c r="G130" i="7"/>
  <c r="B735" i="45"/>
  <c r="A7567" i="20"/>
  <c r="A1051" i="45"/>
  <c r="B7726" i="20"/>
  <c r="A1878" i="20"/>
  <c r="A439" i="49"/>
  <c r="B6033" i="20"/>
  <c r="B5348" i="20"/>
  <c r="B5603" i="20"/>
  <c r="C27" i="21"/>
  <c r="A7409" i="20"/>
  <c r="B3794" i="20"/>
  <c r="B2042" i="20"/>
  <c r="A7131" i="20"/>
  <c r="B4525" i="20"/>
  <c r="A4660" i="20"/>
  <c r="B5587" i="20"/>
  <c r="A1221" i="20"/>
  <c r="A5437" i="20"/>
  <c r="A4799" i="20"/>
  <c r="B5268" i="20"/>
  <c r="B1061" i="20"/>
  <c r="A4360" i="20"/>
  <c r="A303" i="16"/>
  <c r="B2631" i="20"/>
  <c r="A589" i="20"/>
  <c r="B5442" i="20"/>
  <c r="A1" i="37"/>
  <c r="A3" i="32"/>
  <c r="A5535" i="20"/>
  <c r="B6679" i="20"/>
  <c r="A4561" i="20"/>
  <c r="B2679" i="20"/>
  <c r="A7157" i="20"/>
  <c r="A2071" i="20"/>
  <c r="A4242" i="20"/>
  <c r="A3636" i="20"/>
  <c r="B5846" i="20"/>
  <c r="A4706" i="20"/>
  <c r="B6349" i="20"/>
  <c r="A5660" i="20"/>
  <c r="A6926" i="20"/>
  <c r="A1786" i="20"/>
  <c r="A4452" i="20"/>
  <c r="A1573" i="20"/>
  <c r="B7047" i="20"/>
  <c r="A5748" i="20"/>
  <c r="B2690" i="20"/>
  <c r="B8757" i="20"/>
  <c r="B4818" i="20"/>
  <c r="A5486" i="20"/>
  <c r="A1296" i="20"/>
  <c r="B99" i="19"/>
  <c r="B1562" i="20"/>
  <c r="B2858" i="20"/>
  <c r="B3756" i="20"/>
  <c r="B6000" i="20"/>
  <c r="A7245" i="20"/>
  <c r="G99" i="5"/>
  <c r="A4574" i="20"/>
  <c r="A5766" i="20"/>
  <c r="A3134" i="20"/>
  <c r="D12" i="43"/>
  <c r="B4423" i="20"/>
  <c r="A3904" i="20"/>
  <c r="A1889" i="20"/>
  <c r="A3130" i="20"/>
  <c r="B132" i="20"/>
  <c r="A7730" i="20"/>
  <c r="A2658" i="20"/>
  <c r="A995" i="20"/>
  <c r="A2646" i="20"/>
  <c r="A4155" i="20"/>
  <c r="B1928" i="20"/>
  <c r="A2414" i="20"/>
  <c r="B7357" i="20"/>
  <c r="A103" i="12"/>
  <c r="B896" i="16"/>
  <c r="H111" i="12"/>
  <c r="A5742" i="20"/>
  <c r="A8853" i="20"/>
  <c r="B8810" i="20"/>
  <c r="A1553" i="20"/>
  <c r="B2459" i="20"/>
  <c r="A3392" i="20"/>
  <c r="A3415" i="20"/>
  <c r="B4697" i="20"/>
  <c r="A86" i="32"/>
  <c r="B2554" i="20"/>
  <c r="A2345" i="20"/>
  <c r="A905" i="16"/>
  <c r="B3899" i="20"/>
  <c r="A154" i="20"/>
  <c r="A6391" i="20"/>
  <c r="A1032" i="20"/>
  <c r="B3549" i="20"/>
  <c r="B1448" i="16"/>
  <c r="A4303" i="20"/>
  <c r="A6202" i="20"/>
  <c r="B1115" i="20"/>
  <c r="B1080" i="20"/>
  <c r="B8497" i="20"/>
  <c r="B237" i="20"/>
  <c r="B1851" i="20"/>
  <c r="B1881" i="20"/>
  <c r="A1808" i="20"/>
  <c r="B121" i="5"/>
  <c r="A6477" i="20"/>
  <c r="G58" i="12"/>
  <c r="A4" i="14"/>
  <c r="B1578" i="20"/>
  <c r="A4669" i="20"/>
  <c r="A2577" i="20"/>
  <c r="A4909" i="20"/>
  <c r="A366" i="20"/>
  <c r="B1505" i="20"/>
  <c r="B1663" i="16"/>
  <c r="A7425" i="20"/>
  <c r="A5495" i="20"/>
  <c r="B152" i="16"/>
  <c r="A272" i="20"/>
  <c r="B5581" i="20"/>
  <c r="B5490" i="20"/>
  <c r="B5" i="16"/>
  <c r="A7293" i="20"/>
  <c r="A7" i="12"/>
  <c r="B7474" i="20"/>
  <c r="A3890" i="20"/>
  <c r="B1583" i="16"/>
  <c r="H86" i="11"/>
  <c r="A1585" i="16"/>
  <c r="B2561" i="20"/>
  <c r="B1589" i="20"/>
  <c r="B1142" i="20"/>
  <c r="A46" i="18"/>
  <c r="A3159" i="20"/>
  <c r="B3274" i="20"/>
  <c r="B4304" i="20"/>
  <c r="B4512" i="20"/>
  <c r="B144" i="8"/>
  <c r="A2584" i="20"/>
  <c r="B3663" i="20"/>
  <c r="A1630" i="20"/>
  <c r="B37" i="45"/>
  <c r="B7946" i="20"/>
  <c r="B7853" i="20"/>
  <c r="A170" i="32"/>
  <c r="B92" i="20"/>
  <c r="B359" i="16"/>
  <c r="B44" i="17"/>
  <c r="A537" i="20"/>
  <c r="A4403" i="20"/>
  <c r="B5916" i="20"/>
  <c r="B63" i="16"/>
  <c r="B1369" i="20"/>
  <c r="B5912" i="20"/>
  <c r="A3379" i="20"/>
  <c r="B4256" i="20"/>
  <c r="H74" i="5"/>
  <c r="B3893" i="20"/>
  <c r="B116" i="12"/>
  <c r="G121" i="12"/>
  <c r="C37" i="18"/>
  <c r="B5666" i="20"/>
  <c r="A2830" i="20"/>
  <c r="B7" i="10"/>
  <c r="B4776" i="20"/>
  <c r="B1521" i="20"/>
  <c r="B336" i="19"/>
  <c r="B2820" i="20"/>
  <c r="G46" i="13"/>
  <c r="A2545" i="20"/>
  <c r="B471" i="20"/>
  <c r="B269" i="16"/>
  <c r="B903" i="16"/>
  <c r="A1059" i="20"/>
  <c r="B1493" i="16"/>
  <c r="B7496" i="20"/>
  <c r="B5831" i="20"/>
  <c r="B930" i="45"/>
  <c r="A8548" i="20"/>
  <c r="B6605" i="20"/>
  <c r="A2395" i="20"/>
  <c r="B38" i="16"/>
  <c r="A1050" i="16"/>
  <c r="A6971" i="20"/>
  <c r="B5258" i="20"/>
  <c r="G117" i="11"/>
  <c r="B3386" i="20"/>
  <c r="A300" i="20"/>
  <c r="B3828" i="20"/>
  <c r="C147" i="18"/>
  <c r="B325" i="45"/>
  <c r="E12" i="33"/>
  <c r="B15" i="37"/>
  <c r="H44" i="11"/>
  <c r="A949" i="20"/>
  <c r="A43" i="17"/>
  <c r="A49" i="8"/>
  <c r="B6859" i="20"/>
  <c r="B5910" i="20"/>
  <c r="B2130" i="20"/>
  <c r="A6681" i="20"/>
  <c r="B1508" i="16"/>
  <c r="A1154" i="20"/>
  <c r="B2209" i="20"/>
  <c r="A125" i="20"/>
  <c r="B6685" i="20"/>
  <c r="A8273" i="20"/>
  <c r="B5589" i="20"/>
  <c r="A6721" i="20"/>
  <c r="A1263" i="20"/>
  <c r="B2287" i="20"/>
  <c r="B1461" i="16"/>
  <c r="B496" i="16"/>
  <c r="A1779" i="20"/>
  <c r="A4654" i="20"/>
  <c r="B380" i="20"/>
  <c r="A3643" i="20"/>
  <c r="B5041" i="20"/>
  <c r="A2991" i="20"/>
  <c r="B4265" i="20"/>
  <c r="B447" i="20"/>
  <c r="G109" i="2"/>
  <c r="B6413" i="20"/>
  <c r="A1430" i="16"/>
  <c r="H115" i="8"/>
  <c r="A1726" i="20"/>
  <c r="A1569" i="20"/>
  <c r="A3538" i="20"/>
  <c r="B712" i="20"/>
  <c r="A3400" i="20"/>
  <c r="B2232" i="20"/>
  <c r="A6511" i="20"/>
  <c r="A1031" i="16"/>
  <c r="A8854" i="20"/>
  <c r="A3439" i="20"/>
  <c r="B4144" i="20"/>
  <c r="A5818" i="20"/>
  <c r="A2844" i="20"/>
  <c r="B4545" i="20"/>
  <c r="B3243" i="20"/>
  <c r="B3102" i="20"/>
  <c r="A2355" i="20"/>
  <c r="A3777" i="20"/>
  <c r="A7804" i="20"/>
  <c r="A7289" i="20"/>
  <c r="B2605" i="20"/>
  <c r="B2331" i="20"/>
  <c r="B1110" i="45"/>
  <c r="B4020" i="20"/>
  <c r="A1767" i="20"/>
  <c r="A1264" i="20"/>
  <c r="B2894" i="20"/>
  <c r="A1987" i="20"/>
  <c r="B4294" i="20"/>
  <c r="B6591" i="20"/>
  <c r="A6896" i="20"/>
  <c r="A6305" i="20"/>
  <c r="B8038" i="20"/>
  <c r="A4456" i="20"/>
  <c r="B4089" i="20"/>
  <c r="B981" i="16"/>
  <c r="B1397" i="16"/>
  <c r="A3494" i="20"/>
  <c r="A7347" i="20"/>
  <c r="B175" i="20"/>
  <c r="B2450" i="20"/>
  <c r="A2308" i="20"/>
  <c r="A6189" i="20"/>
  <c r="A4511" i="20"/>
  <c r="B7191" i="20"/>
  <c r="A2037" i="20"/>
  <c r="A3889" i="20"/>
  <c r="B3742" i="20"/>
  <c r="B5146" i="20"/>
  <c r="B1414" i="20"/>
  <c r="A2180" i="20"/>
  <c r="A641" i="16"/>
  <c r="B3971" i="20"/>
  <c r="A4430" i="20"/>
  <c r="B303" i="20"/>
  <c r="B4327" i="20"/>
  <c r="A1997" i="20"/>
  <c r="A2855" i="20"/>
  <c r="A1328" i="20"/>
  <c r="A1802" i="20"/>
  <c r="B204" i="20"/>
  <c r="A20" i="25"/>
  <c r="B5696" i="20"/>
  <c r="B4496" i="20"/>
  <c r="B3110" i="20"/>
  <c r="A1983" i="20"/>
  <c r="B3248" i="20"/>
  <c r="A91" i="20"/>
  <c r="B3648" i="20"/>
  <c r="B71" i="13"/>
  <c r="B2669" i="20"/>
  <c r="A1392" i="20"/>
  <c r="G24" i="12"/>
  <c r="A6083" i="20"/>
  <c r="B572" i="20"/>
  <c r="B1120" i="16"/>
  <c r="A881" i="16"/>
  <c r="B1625" i="20"/>
  <c r="H105" i="9"/>
  <c r="B52" i="10"/>
  <c r="B3113" i="20"/>
  <c r="A2995" i="20"/>
  <c r="A6771" i="20"/>
  <c r="A90" i="19"/>
  <c r="G92" i="5"/>
  <c r="B55" i="13"/>
  <c r="B122" i="16"/>
  <c r="A749" i="20"/>
  <c r="A53" i="8"/>
  <c r="B1469" i="20"/>
  <c r="G94" i="9"/>
  <c r="A3941" i="20"/>
  <c r="B1067" i="20"/>
  <c r="B515" i="16"/>
  <c r="B2152" i="20"/>
  <c r="B4826" i="20"/>
  <c r="B3383" i="20"/>
  <c r="B4557" i="20"/>
  <c r="H90" i="13"/>
  <c r="B1672" i="16"/>
  <c r="B846" i="20"/>
  <c r="B56" i="18"/>
  <c r="B3405" i="20"/>
  <c r="A284" i="20"/>
  <c r="B1669" i="20"/>
  <c r="B4536" i="20"/>
  <c r="A8500" i="20"/>
  <c r="B1432" i="20"/>
  <c r="G134" i="13"/>
  <c r="A1605" i="16"/>
  <c r="B348" i="16"/>
  <c r="B90" i="6"/>
  <c r="G125" i="10"/>
  <c r="A1297" i="20"/>
  <c r="B1071" i="20"/>
  <c r="A3424" i="20"/>
  <c r="A4731" i="20"/>
  <c r="B5990" i="20"/>
  <c r="H88" i="7"/>
  <c r="A2128" i="20"/>
  <c r="A218" i="20"/>
  <c r="B871" i="20"/>
  <c r="B87" i="18"/>
  <c r="B256" i="16"/>
  <c r="A4321" i="20"/>
  <c r="B24" i="12"/>
  <c r="B4919" i="20"/>
  <c r="A5824" i="20"/>
  <c r="B6931" i="20"/>
  <c r="B2105" i="20"/>
  <c r="A4396" i="20"/>
  <c r="A1073" i="16"/>
  <c r="A3552" i="20"/>
  <c r="A8246" i="20"/>
  <c r="A4144" i="20"/>
  <c r="B2448" i="20"/>
  <c r="B1901" i="20"/>
  <c r="B1554" i="20"/>
  <c r="A1950" i="20"/>
  <c r="A714" i="20"/>
  <c r="H134" i="13"/>
  <c r="B272" i="19"/>
  <c r="G108" i="12"/>
  <c r="B1438" i="16"/>
  <c r="A5463" i="20"/>
  <c r="A132" i="20"/>
  <c r="A3464" i="20"/>
  <c r="A1047" i="16"/>
  <c r="F1" i="1"/>
  <c r="C102" i="18"/>
  <c r="A490" i="16"/>
  <c r="B566" i="20"/>
  <c r="E5" i="10"/>
  <c r="A5042" i="20"/>
  <c r="A58" i="6"/>
  <c r="A986" i="20"/>
  <c r="A314" i="16"/>
  <c r="E86" i="11"/>
  <c r="C143" i="18"/>
  <c r="B4693" i="20"/>
  <c r="B2179" i="20"/>
  <c r="B2049" i="20"/>
  <c r="A3692" i="20"/>
  <c r="A2928" i="20"/>
  <c r="B84" i="8"/>
  <c r="B1671" i="16"/>
  <c r="A1080" i="16"/>
  <c r="A7605" i="20"/>
  <c r="H15" i="11"/>
  <c r="A105" i="13"/>
  <c r="A879" i="16"/>
  <c r="H18" i="11"/>
  <c r="A348" i="19"/>
  <c r="B110" i="7"/>
  <c r="A48" i="19"/>
  <c r="A1960" i="20"/>
  <c r="B2104" i="20"/>
  <c r="A97" i="9"/>
  <c r="F88" i="1"/>
  <c r="B2672" i="20"/>
  <c r="B191" i="16"/>
  <c r="B958" i="20"/>
  <c r="B4091" i="20"/>
  <c r="A4667" i="20"/>
  <c r="B115" i="2"/>
  <c r="G39" i="11"/>
  <c r="B2161" i="20"/>
  <c r="B1502" i="16"/>
  <c r="A1176" i="20"/>
  <c r="A11" i="24"/>
  <c r="A312" i="16"/>
  <c r="B4068" i="20"/>
  <c r="B292" i="19"/>
  <c r="B56" i="19"/>
  <c r="A2079" i="20"/>
  <c r="B333" i="16"/>
  <c r="B2805" i="20"/>
  <c r="A1085" i="20"/>
  <c r="A497" i="16"/>
  <c r="B716" i="16"/>
  <c r="A516" i="20"/>
  <c r="A19" i="19"/>
  <c r="A401" i="20"/>
  <c r="A198" i="19"/>
  <c r="B1343" i="16"/>
  <c r="H14" i="13"/>
  <c r="B4913" i="20"/>
  <c r="B1387" i="20"/>
  <c r="B407" i="16"/>
  <c r="A228" i="19"/>
  <c r="G103" i="12"/>
  <c r="H36" i="2"/>
  <c r="B1389" i="16"/>
  <c r="B1636" i="20"/>
  <c r="A7528" i="20"/>
  <c r="A1046" i="20"/>
  <c r="A18" i="13"/>
  <c r="A2480" i="20"/>
  <c r="B897" i="20"/>
  <c r="D36" i="13"/>
  <c r="C114" i="18"/>
  <c r="A1522" i="16"/>
  <c r="A496" i="16"/>
  <c r="C47" i="18"/>
  <c r="A1700" i="20"/>
  <c r="B6628" i="20"/>
  <c r="B4648" i="20"/>
  <c r="B1139" i="20"/>
  <c r="B4102" i="20"/>
  <c r="B4107" i="20"/>
  <c r="A2310" i="20"/>
  <c r="B3807" i="20"/>
  <c r="B152" i="8"/>
  <c r="H15" i="10"/>
  <c r="B1686" i="16"/>
  <c r="A112" i="20"/>
  <c r="B5572" i="20"/>
  <c r="A217" i="20"/>
  <c r="A21" i="18"/>
  <c r="B2381" i="20"/>
  <c r="B241" i="20"/>
  <c r="A50" i="5"/>
  <c r="F56" i="1"/>
  <c r="B3231" i="20"/>
  <c r="A1519" i="16"/>
  <c r="A239" i="16"/>
  <c r="B943" i="16"/>
  <c r="C77" i="18"/>
  <c r="B3748" i="20"/>
  <c r="E108" i="12"/>
  <c r="B89" i="9"/>
  <c r="A44" i="7"/>
  <c r="A346" i="20"/>
  <c r="A105" i="16"/>
  <c r="F64" i="12"/>
  <c r="B1659" i="20"/>
  <c r="B645" i="16"/>
  <c r="B979" i="20"/>
  <c r="A4407" i="20"/>
  <c r="A1536" i="20"/>
  <c r="A364" i="20"/>
  <c r="A735" i="16"/>
  <c r="A53" i="13"/>
  <c r="G53" i="4"/>
  <c r="B1411" i="20"/>
  <c r="C1" i="10"/>
  <c r="A11" i="8"/>
  <c r="A23" i="8"/>
  <c r="A31" i="16"/>
  <c r="H128" i="9"/>
  <c r="B2284" i="20"/>
  <c r="B117" i="16"/>
  <c r="A1735" i="16"/>
  <c r="B456" i="16"/>
  <c r="A25" i="2"/>
  <c r="A51" i="18"/>
  <c r="B4055" i="20"/>
  <c r="B3276" i="20"/>
  <c r="B2262" i="20"/>
  <c r="A211" i="19"/>
  <c r="H51" i="12"/>
  <c r="B791" i="20"/>
  <c r="A58" i="16"/>
  <c r="A1913" i="20"/>
  <c r="B851" i="20"/>
  <c r="B1055" i="16"/>
  <c r="B3199" i="20"/>
  <c r="B703" i="16"/>
  <c r="A1072" i="20"/>
  <c r="A79" i="11"/>
  <c r="B1403" i="16"/>
  <c r="B1028" i="20"/>
  <c r="B1083" i="16"/>
  <c r="A84" i="16"/>
  <c r="A1785" i="16"/>
  <c r="G121" i="11"/>
  <c r="B2431" i="20"/>
  <c r="A196" i="16"/>
  <c r="A215" i="19"/>
  <c r="A829" i="20"/>
  <c r="H1" i="13"/>
  <c r="B4626" i="20"/>
  <c r="A303" i="20"/>
  <c r="A2746" i="20"/>
  <c r="B1262" i="16"/>
  <c r="A2555" i="20"/>
  <c r="B1050" i="16"/>
  <c r="A3425" i="20"/>
  <c r="B410" i="16"/>
  <c r="B4586" i="20"/>
  <c r="B196" i="16"/>
  <c r="A3761" i="20"/>
  <c r="A1645" i="20"/>
  <c r="A2937" i="20"/>
  <c r="B2410" i="20"/>
  <c r="A2197" i="20"/>
  <c r="A583" i="20"/>
  <c r="A150" i="1"/>
  <c r="B112" i="19"/>
  <c r="A7161" i="20"/>
  <c r="G142" i="8"/>
  <c r="B114" i="6"/>
  <c r="A3144" i="20"/>
  <c r="A7" i="16"/>
  <c r="B1281" i="20"/>
  <c r="B6199" i="20"/>
  <c r="A152" i="20"/>
  <c r="B17" i="7"/>
  <c r="A479" i="20"/>
  <c r="H79" i="13"/>
  <c r="A7428" i="20"/>
  <c r="B310" i="20"/>
  <c r="B385" i="20"/>
  <c r="A1105" i="20"/>
  <c r="B109" i="11"/>
  <c r="B1220" i="16"/>
  <c r="B3653" i="20"/>
  <c r="H84" i="10"/>
  <c r="A1411" i="20"/>
  <c r="B821" i="20"/>
  <c r="A2369" i="20"/>
  <c r="A798" i="20"/>
  <c r="B1123" i="16"/>
  <c r="A3031" i="20"/>
  <c r="B496" i="20"/>
  <c r="B1101" i="16"/>
  <c r="A952" i="20"/>
  <c r="A569" i="20"/>
  <c r="G23" i="1"/>
  <c r="B128" i="5"/>
  <c r="B449" i="16"/>
  <c r="A796" i="16"/>
  <c r="B1915" i="20"/>
  <c r="B840" i="20"/>
  <c r="A414" i="16"/>
  <c r="A948" i="16"/>
  <c r="H77" i="10"/>
  <c r="B4412" i="20"/>
  <c r="F34" i="9"/>
  <c r="A1046" i="16"/>
  <c r="G118" i="9"/>
  <c r="B1187" i="16"/>
  <c r="A52" i="1"/>
  <c r="A104" i="4"/>
  <c r="B1305" i="20"/>
  <c r="A147" i="16"/>
  <c r="A131" i="11"/>
  <c r="B20" i="9"/>
  <c r="A4252" i="20"/>
  <c r="B80" i="19"/>
  <c r="B646" i="16"/>
  <c r="A58" i="13"/>
  <c r="B18" i="8"/>
  <c r="B28" i="7"/>
  <c r="A666" i="16"/>
  <c r="B1809" i="20"/>
  <c r="A4686" i="20"/>
  <c r="A1389" i="20"/>
  <c r="A2561" i="20"/>
  <c r="B2144" i="20"/>
  <c r="A1882" i="20"/>
  <c r="B4549" i="20"/>
  <c r="H36" i="6"/>
  <c r="B56" i="9"/>
  <c r="B1509" i="20"/>
  <c r="A305" i="16"/>
  <c r="A1278" i="20"/>
  <c r="B3935" i="20"/>
  <c r="A1698" i="20"/>
  <c r="B269" i="19"/>
  <c r="A219" i="32"/>
  <c r="A5521" i="20"/>
  <c r="G109" i="13"/>
  <c r="A64" i="8"/>
  <c r="E13" i="2"/>
  <c r="B3700" i="20"/>
  <c r="A30" i="9"/>
  <c r="B56" i="5"/>
  <c r="A1279" i="16"/>
  <c r="E47" i="4"/>
  <c r="B124" i="8"/>
  <c r="B71" i="2"/>
  <c r="B4861" i="20"/>
  <c r="B1118" i="20"/>
  <c r="H48" i="5"/>
  <c r="B1804" i="20"/>
  <c r="F62" i="1"/>
  <c r="B1151" i="20"/>
  <c r="B91" i="20"/>
  <c r="G88" i="10"/>
  <c r="H68" i="13"/>
  <c r="B50" i="9"/>
  <c r="A117" i="7"/>
  <c r="F65" i="5"/>
  <c r="B6447" i="20"/>
  <c r="A2634" i="20"/>
  <c r="B683" i="16"/>
  <c r="A19" i="9"/>
  <c r="A102" i="12"/>
  <c r="B970" i="20"/>
  <c r="B2573" i="20"/>
  <c r="F31" i="1"/>
  <c r="H52" i="11"/>
  <c r="B8445" i="20"/>
  <c r="A262" i="16"/>
  <c r="H31" i="9"/>
  <c r="A367" i="19"/>
  <c r="G134" i="4"/>
  <c r="A788" i="16"/>
  <c r="A537" i="16"/>
  <c r="B2455" i="20"/>
  <c r="A4099" i="20"/>
  <c r="G117" i="7"/>
  <c r="H30" i="2"/>
  <c r="H109" i="13"/>
  <c r="H24" i="7"/>
  <c r="A745" i="20"/>
  <c r="B1211" i="20"/>
  <c r="H81" i="8"/>
  <c r="G59" i="9"/>
  <c r="B3345" i="20"/>
  <c r="B572" i="16"/>
  <c r="A1808" i="16"/>
  <c r="G46" i="5"/>
  <c r="F33" i="4"/>
  <c r="A51" i="8"/>
  <c r="B233" i="19"/>
  <c r="A2164" i="20"/>
  <c r="A133" i="20"/>
  <c r="A2726" i="20"/>
  <c r="H37" i="11"/>
  <c r="A1" i="19"/>
  <c r="G29" i="13"/>
  <c r="G52" i="2"/>
  <c r="B35" i="19"/>
  <c r="B4639" i="20"/>
  <c r="A288" i="20"/>
  <c r="A556" i="16"/>
  <c r="A374" i="19"/>
  <c r="B84" i="5"/>
  <c r="A397" i="16"/>
  <c r="B2304" i="20"/>
  <c r="B948" i="16"/>
  <c r="A3867" i="20"/>
  <c r="B1145" i="16"/>
  <c r="B3848" i="20"/>
  <c r="F27" i="9"/>
  <c r="A114" i="13"/>
  <c r="A93" i="11"/>
  <c r="F86" i="11"/>
  <c r="H118" i="2"/>
  <c r="B772" i="16"/>
  <c r="B106" i="2"/>
  <c r="B998" i="16"/>
  <c r="B916" i="20"/>
  <c r="B1615" i="20"/>
  <c r="G6" i="2"/>
  <c r="A89" i="13"/>
  <c r="B141" i="8"/>
  <c r="A376" i="16"/>
  <c r="B45" i="4"/>
  <c r="G93" i="4"/>
  <c r="A32" i="2"/>
  <c r="F61" i="6"/>
  <c r="G116" i="4"/>
  <c r="G57" i="10"/>
  <c r="A3125" i="20"/>
  <c r="A441" i="16"/>
  <c r="A64" i="5"/>
  <c r="B127" i="8"/>
  <c r="G6" i="1"/>
  <c r="B568" i="20"/>
  <c r="F9" i="10"/>
  <c r="B8904" i="20"/>
  <c r="A7130" i="20"/>
  <c r="H143" i="9"/>
  <c r="A6157" i="20"/>
  <c r="B1758" i="20"/>
  <c r="A2172" i="20"/>
  <c r="B4228" i="20"/>
  <c r="B408" i="16"/>
  <c r="A577" i="20"/>
  <c r="B4819" i="20"/>
  <c r="B892" i="16"/>
  <c r="H89" i="10"/>
  <c r="B103" i="8"/>
  <c r="A5973" i="20"/>
  <c r="A3466" i="20"/>
  <c r="A2603" i="20"/>
  <c r="B59" i="19"/>
  <c r="G19" i="5"/>
  <c r="B230" i="16"/>
  <c r="A4139" i="20"/>
  <c r="B6864" i="20"/>
  <c r="B5596" i="20"/>
  <c r="A4163" i="20"/>
  <c r="B5306" i="20"/>
  <c r="A4353" i="20"/>
  <c r="A1469" i="20"/>
  <c r="B3137" i="20"/>
  <c r="B786" i="20"/>
  <c r="A1306" i="20"/>
  <c r="A62" i="16"/>
  <c r="B1052" i="16"/>
  <c r="E34" i="4"/>
  <c r="B298" i="20"/>
  <c r="B1769" i="20"/>
  <c r="A1818" i="20"/>
  <c r="E28" i="10"/>
  <c r="A96" i="1"/>
  <c r="A568" i="20"/>
  <c r="A1638" i="16"/>
  <c r="A74" i="16"/>
  <c r="B2089" i="20"/>
  <c r="A1142" i="16"/>
  <c r="D1" i="8"/>
  <c r="B130" i="7"/>
  <c r="A102" i="5"/>
  <c r="H48" i="2"/>
  <c r="F114" i="1"/>
  <c r="B2295" i="20"/>
  <c r="B10" i="15"/>
  <c r="B6668" i="20"/>
  <c r="A1324" i="20"/>
  <c r="B162" i="16"/>
  <c r="A579" i="20"/>
  <c r="H58" i="10"/>
  <c r="H31" i="1"/>
  <c r="A795" i="20"/>
  <c r="H109" i="9"/>
  <c r="A1677" i="16"/>
  <c r="A2832" i="20"/>
  <c r="F63" i="1"/>
  <c r="A2278" i="20"/>
  <c r="B126" i="13"/>
  <c r="B90" i="5"/>
  <c r="A108" i="6"/>
  <c r="B373" i="20"/>
  <c r="B358" i="19"/>
  <c r="B5703" i="20"/>
  <c r="G42" i="4"/>
  <c r="A4256" i="20"/>
  <c r="A71" i="18"/>
  <c r="A1548" i="16"/>
  <c r="H97" i="4"/>
  <c r="B251" i="16"/>
  <c r="A3374" i="20"/>
  <c r="A1084" i="16"/>
  <c r="F47" i="5"/>
  <c r="B741" i="16"/>
  <c r="B6" i="8"/>
  <c r="A152" i="1"/>
  <c r="A1538" i="16"/>
  <c r="A1218" i="16"/>
  <c r="B2649" i="20"/>
  <c r="A1051" i="20"/>
  <c r="H137" i="7"/>
  <c r="B4529" i="20"/>
  <c r="B41" i="11"/>
  <c r="G105" i="5"/>
  <c r="B1373" i="20"/>
  <c r="B1130" i="16"/>
  <c r="B566" i="16"/>
  <c r="A1551" i="20"/>
  <c r="G67" i="2"/>
  <c r="B2" i="13"/>
  <c r="A2058" i="20"/>
  <c r="H91" i="8"/>
  <c r="A1668" i="16"/>
  <c r="A780" i="20"/>
  <c r="B81" i="8"/>
  <c r="A4616" i="20"/>
  <c r="G115" i="1"/>
  <c r="B2283" i="20"/>
  <c r="H8" i="6"/>
  <c r="B1329" i="20"/>
  <c r="G85" i="12"/>
  <c r="B124" i="6"/>
  <c r="H67" i="6"/>
  <c r="B609" i="20"/>
  <c r="G52" i="13"/>
  <c r="B342" i="16"/>
  <c r="C99" i="18"/>
  <c r="B105" i="6"/>
  <c r="B742" i="16"/>
  <c r="B1271" i="20"/>
  <c r="H40" i="2"/>
  <c r="A697" i="20"/>
  <c r="B53" i="7"/>
  <c r="A98" i="16"/>
  <c r="B1740" i="16"/>
  <c r="A11" i="12"/>
  <c r="B2427" i="20"/>
  <c r="B1458" i="16"/>
  <c r="F6" i="2"/>
  <c r="A230" i="19"/>
  <c r="G137" i="8"/>
  <c r="B310" i="19"/>
  <c r="B1304" i="20"/>
  <c r="B5662" i="20"/>
  <c r="A2965" i="20"/>
  <c r="A153" i="8"/>
  <c r="A1200" i="20"/>
  <c r="A739" i="16"/>
  <c r="H140" i="8"/>
  <c r="A104" i="6"/>
  <c r="B2684" i="20"/>
  <c r="A1467" i="20"/>
  <c r="A1791" i="16"/>
  <c r="A2556" i="20"/>
  <c r="B3349" i="20"/>
  <c r="B1367" i="16"/>
  <c r="A838" i="20"/>
  <c r="B1653" i="16"/>
  <c r="B1301" i="16"/>
  <c r="B2083" i="20"/>
  <c r="B905" i="20"/>
  <c r="A33" i="5"/>
  <c r="A2953" i="20"/>
  <c r="B8840" i="20"/>
  <c r="B156" i="19"/>
  <c r="B4615" i="20"/>
  <c r="A1842" i="20"/>
  <c r="B8754" i="20"/>
  <c r="A2896" i="20"/>
  <c r="B586" i="45"/>
  <c r="B1601" i="20"/>
  <c r="H64" i="9"/>
  <c r="A34" i="10"/>
  <c r="A1535" i="16"/>
  <c r="G101" i="6"/>
  <c r="A79" i="8"/>
  <c r="A1125" i="16"/>
  <c r="B40" i="10"/>
  <c r="A1251" i="20"/>
  <c r="G95" i="11"/>
  <c r="A1005" i="20"/>
  <c r="B1239" i="20"/>
  <c r="G8" i="9"/>
  <c r="G62" i="12"/>
  <c r="H121" i="5"/>
  <c r="A232" i="16"/>
  <c r="B75" i="20"/>
  <c r="B688" i="16"/>
  <c r="B1777" i="16"/>
  <c r="H37" i="4"/>
  <c r="B45" i="9"/>
  <c r="G152" i="9"/>
  <c r="A287" i="19"/>
  <c r="H87" i="12"/>
  <c r="B392" i="16"/>
  <c r="B3078" i="20"/>
  <c r="B46" i="9"/>
  <c r="H118" i="8"/>
  <c r="A3813" i="20"/>
  <c r="G17" i="13"/>
  <c r="H124" i="8"/>
  <c r="G118" i="6"/>
  <c r="B83" i="18"/>
  <c r="A3776" i="20"/>
  <c r="B2889" i="20"/>
  <c r="A1148" i="16"/>
  <c r="G69" i="8"/>
  <c r="B50" i="6"/>
  <c r="A1456" i="20"/>
  <c r="B2615" i="20"/>
  <c r="A67" i="8"/>
  <c r="A956" i="16"/>
  <c r="A526" i="16"/>
  <c r="H52" i="10"/>
  <c r="A39" i="18"/>
  <c r="F140" i="1"/>
  <c r="A1262" i="16"/>
  <c r="G87" i="4"/>
  <c r="A1702" i="20"/>
  <c r="A45" i="12"/>
  <c r="A94" i="8"/>
  <c r="B2531" i="20"/>
  <c r="A2497" i="20"/>
  <c r="D9" i="1"/>
  <c r="G120" i="9"/>
  <c r="H114" i="2"/>
  <c r="C53" i="18"/>
  <c r="B2513" i="20"/>
  <c r="A245" i="19"/>
  <c r="A39" i="5"/>
  <c r="B7" i="13"/>
  <c r="G72" i="11"/>
  <c r="F114" i="11"/>
  <c r="A320" i="19"/>
  <c r="B2" i="11"/>
  <c r="F156" i="9"/>
  <c r="B4961" i="20"/>
  <c r="A7" i="8"/>
  <c r="H30" i="7"/>
  <c r="A1633" i="20"/>
  <c r="A1680" i="16"/>
  <c r="G103" i="7"/>
  <c r="A516" i="16"/>
  <c r="E1" i="2"/>
  <c r="A1097" i="20"/>
  <c r="G37" i="2"/>
  <c r="A267" i="16"/>
  <c r="A1642" i="16"/>
  <c r="G147" i="8"/>
  <c r="B402" i="20"/>
  <c r="G68" i="6"/>
  <c r="A1533" i="16"/>
  <c r="A1242" i="16"/>
  <c r="A1370" i="16"/>
  <c r="G43" i="9"/>
  <c r="A132" i="2"/>
  <c r="B91" i="5"/>
  <c r="A61" i="16"/>
  <c r="A444" i="16"/>
  <c r="G125" i="13"/>
  <c r="A1011" i="20"/>
  <c r="B2095" i="20"/>
  <c r="G37" i="6"/>
  <c r="B1254" i="16"/>
  <c r="H16" i="4"/>
  <c r="E36" i="1"/>
  <c r="B2047" i="20"/>
  <c r="A120" i="7"/>
  <c r="A29" i="17"/>
  <c r="A1803" i="16"/>
  <c r="E13" i="12"/>
  <c r="B25" i="19"/>
  <c r="H7" i="13"/>
  <c r="B28" i="9"/>
  <c r="B321" i="20"/>
  <c r="B140" i="16"/>
  <c r="E35" i="10"/>
  <c r="A78" i="1"/>
  <c r="A17" i="6"/>
  <c r="A5616" i="20"/>
  <c r="H75" i="2"/>
  <c r="A55" i="7"/>
  <c r="B135" i="4"/>
  <c r="A703" i="16"/>
  <c r="A23" i="17"/>
  <c r="A244" i="16"/>
  <c r="A114" i="1"/>
  <c r="D65" i="5"/>
  <c r="G111" i="9"/>
  <c r="B688" i="20"/>
  <c r="A17" i="13"/>
  <c r="B53" i="11"/>
  <c r="F25" i="10"/>
  <c r="H36" i="11"/>
  <c r="A734" i="16"/>
  <c r="B122" i="18"/>
  <c r="B124" i="9"/>
  <c r="C11" i="18"/>
  <c r="G107" i="7"/>
  <c r="A70" i="6"/>
  <c r="F25" i="7"/>
  <c r="A728" i="16"/>
  <c r="G52" i="8"/>
  <c r="B103" i="20"/>
  <c r="A50" i="10"/>
  <c r="A218" i="16"/>
  <c r="A5279" i="20"/>
  <c r="G55" i="2"/>
  <c r="B1198" i="16"/>
  <c r="A66" i="12"/>
  <c r="B97" i="6"/>
  <c r="A88" i="2"/>
  <c r="H118" i="7"/>
  <c r="B94" i="7"/>
  <c r="B43" i="5"/>
  <c r="B49" i="8"/>
  <c r="F49" i="1"/>
  <c r="B43" i="18"/>
  <c r="B124" i="18"/>
  <c r="H99" i="11"/>
  <c r="A918" i="16"/>
  <c r="A220" i="16"/>
  <c r="B684" i="20"/>
  <c r="A28" i="2"/>
  <c r="B2309" i="20"/>
  <c r="G56" i="2"/>
  <c r="B3361" i="20"/>
  <c r="A98" i="5"/>
  <c r="B703" i="20"/>
  <c r="B3637" i="20"/>
  <c r="H134" i="1"/>
  <c r="A449" i="16"/>
  <c r="E12" i="12"/>
  <c r="A2099" i="20"/>
  <c r="F67" i="1"/>
  <c r="B39" i="7"/>
  <c r="B2088" i="20"/>
  <c r="H64" i="12"/>
  <c r="B54" i="7"/>
  <c r="B31" i="8"/>
  <c r="B1783" i="16"/>
  <c r="A875" i="16"/>
  <c r="A1159" i="16"/>
  <c r="A605" i="16"/>
  <c r="B68" i="9"/>
  <c r="B54" i="2"/>
  <c r="A271" i="20"/>
  <c r="A197" i="20"/>
  <c r="A1924" i="20"/>
  <c r="A149" i="19"/>
  <c r="A531" i="20"/>
  <c r="B1173" i="20"/>
  <c r="A3844" i="20"/>
  <c r="A1201" i="20"/>
  <c r="B2446" i="20"/>
  <c r="A837" i="16"/>
  <c r="B1079" i="20"/>
  <c r="A1460" i="20"/>
  <c r="H113" i="11"/>
  <c r="A918" i="20"/>
  <c r="A19" i="4"/>
  <c r="G69" i="13"/>
  <c r="A5938" i="20"/>
  <c r="A1690" i="20"/>
  <c r="A27" i="17"/>
  <c r="B1222" i="16"/>
  <c r="B1069" i="20"/>
  <c r="F96" i="13"/>
  <c r="A156" i="19"/>
  <c r="B1197" i="20"/>
  <c r="B1105" i="16"/>
  <c r="B3860" i="20"/>
  <c r="B2229" i="20"/>
  <c r="A81" i="12"/>
  <c r="B8" i="17"/>
  <c r="B922" i="16"/>
  <c r="A75" i="13"/>
  <c r="A143" i="4"/>
  <c r="F26" i="8"/>
  <c r="B18" i="11"/>
  <c r="A3246" i="20"/>
  <c r="G118" i="10"/>
  <c r="E61" i="6"/>
  <c r="H68" i="1"/>
  <c r="E122" i="1"/>
  <c r="B171" i="16"/>
  <c r="B1702" i="16"/>
  <c r="A56" i="8"/>
  <c r="H8" i="7"/>
  <c r="B7" i="9"/>
  <c r="A632" i="16"/>
  <c r="A11" i="18"/>
  <c r="B2197" i="20"/>
  <c r="H104" i="5"/>
  <c r="B1569" i="20"/>
  <c r="B766" i="20"/>
  <c r="B22" i="10"/>
  <c r="A593" i="16"/>
  <c r="A7016" i="20"/>
  <c r="B1206" i="20"/>
  <c r="A1896" i="20"/>
  <c r="B40" i="19"/>
  <c r="A723" i="20"/>
  <c r="B611" i="20"/>
  <c r="B1008" i="16"/>
  <c r="B243" i="16"/>
  <c r="B1255" i="20"/>
  <c r="A6329" i="20"/>
  <c r="A5349" i="20"/>
  <c r="B5288" i="20"/>
  <c r="A634" i="16"/>
  <c r="B65" i="4"/>
  <c r="B344" i="16"/>
  <c r="A4338" i="20"/>
  <c r="A8386" i="20"/>
  <c r="A7694" i="20"/>
  <c r="B5751" i="20"/>
  <c r="A5395" i="20"/>
  <c r="B6415" i="20"/>
  <c r="B4952" i="20"/>
  <c r="A4255" i="20"/>
  <c r="G102" i="13"/>
  <c r="A246" i="32"/>
  <c r="E9" i="10"/>
  <c r="A1381" i="16"/>
  <c r="G76" i="11"/>
  <c r="G31" i="5"/>
  <c r="H39" i="6"/>
  <c r="B4116" i="20"/>
  <c r="C15" i="14"/>
  <c r="A238" i="16"/>
  <c r="B1580" i="20"/>
  <c r="E34" i="12"/>
  <c r="B908" i="16"/>
  <c r="B934" i="16"/>
  <c r="A54" i="11"/>
  <c r="A647" i="20"/>
  <c r="A305" i="20"/>
  <c r="B96" i="12"/>
  <c r="B80" i="10"/>
  <c r="B41" i="13"/>
  <c r="B38" i="5"/>
  <c r="F9" i="7"/>
  <c r="A1157" i="20"/>
  <c r="A4993" i="20"/>
  <c r="A361" i="20"/>
  <c r="B2641" i="20"/>
  <c r="A1286" i="16"/>
  <c r="A924" i="16"/>
  <c r="B1859" i="20"/>
  <c r="H7" i="6"/>
  <c r="A5" i="5"/>
  <c r="A4020" i="20"/>
  <c r="A134" i="13"/>
  <c r="B6122" i="20"/>
  <c r="B285" i="16"/>
  <c r="G9" i="4"/>
  <c r="A150" i="18"/>
  <c r="B114" i="11"/>
  <c r="B2423" i="20"/>
  <c r="B4190" i="20"/>
  <c r="G78" i="7"/>
  <c r="B4090" i="20"/>
  <c r="B48" i="19"/>
  <c r="B130" i="9"/>
  <c r="B86" i="12"/>
  <c r="G96" i="10"/>
  <c r="A1394" i="16"/>
  <c r="G23" i="6"/>
  <c r="B1028" i="16"/>
  <c r="G111" i="1"/>
  <c r="B337" i="19"/>
  <c r="A84" i="1"/>
  <c r="H5" i="8"/>
  <c r="G77" i="1"/>
  <c r="B4645" i="20"/>
  <c r="A1091" i="20"/>
  <c r="A20" i="18"/>
  <c r="B1567" i="20"/>
  <c r="F26" i="7"/>
  <c r="F119" i="1"/>
  <c r="F10" i="13"/>
  <c r="A53" i="6"/>
  <c r="A653" i="16"/>
  <c r="A8095" i="20"/>
  <c r="A124" i="6"/>
  <c r="B607" i="20"/>
  <c r="G23" i="12"/>
  <c r="A10" i="2"/>
  <c r="B2" i="5"/>
  <c r="B1275" i="16"/>
  <c r="B806" i="20"/>
  <c r="B8688" i="20"/>
  <c r="A67" i="1"/>
  <c r="A3461" i="20"/>
  <c r="G29" i="2"/>
  <c r="A456" i="20"/>
  <c r="H21" i="11"/>
  <c r="A990" i="16"/>
  <c r="A84" i="9"/>
  <c r="A79" i="4"/>
  <c r="A93" i="18"/>
  <c r="A317" i="16"/>
  <c r="B191" i="19"/>
  <c r="B4117" i="20"/>
  <c r="B1420" i="20"/>
  <c r="B777" i="16"/>
  <c r="B57" i="2"/>
  <c r="B102" i="11"/>
  <c r="A41" i="18"/>
  <c r="H56" i="2"/>
  <c r="G54" i="2"/>
  <c r="B1226" i="16"/>
  <c r="B2150" i="20"/>
  <c r="A64" i="19"/>
  <c r="E9" i="6"/>
  <c r="A1852" i="16"/>
  <c r="B12" i="11"/>
  <c r="G100" i="2"/>
  <c r="A26" i="10"/>
  <c r="A5626" i="20"/>
  <c r="B1331" i="16"/>
  <c r="A6049" i="20"/>
  <c r="A4173" i="20"/>
  <c r="A712" i="16"/>
  <c r="B4066" i="20"/>
  <c r="B109" i="6"/>
  <c r="A927" i="20"/>
  <c r="B2965" i="20"/>
  <c r="A393" i="20"/>
  <c r="B6907" i="20"/>
  <c r="B1824" i="16"/>
  <c r="B1366" i="20"/>
  <c r="B2133" i="20"/>
  <c r="A106" i="20"/>
  <c r="A143" i="19"/>
  <c r="A50" i="13"/>
  <c r="H19" i="12"/>
  <c r="G64" i="4"/>
  <c r="B603" i="16"/>
  <c r="G71" i="4"/>
  <c r="A1138" i="20"/>
  <c r="A4710" i="20"/>
  <c r="A2493" i="20"/>
  <c r="A1757" i="20"/>
  <c r="B1978" i="20"/>
  <c r="B1242" i="20"/>
  <c r="A3828" i="20"/>
  <c r="A3380" i="20"/>
  <c r="A5537" i="20"/>
  <c r="F126" i="1"/>
  <c r="A32" i="6"/>
  <c r="H124" i="9"/>
  <c r="B369" i="16"/>
  <c r="B70" i="2"/>
  <c r="B1681" i="20"/>
  <c r="B54" i="12"/>
  <c r="B852" i="16"/>
  <c r="A64" i="2"/>
  <c r="B836" i="16"/>
  <c r="A1111" i="20"/>
  <c r="B1273" i="16"/>
  <c r="A2356" i="20"/>
  <c r="A769" i="20"/>
  <c r="A1136" i="20"/>
  <c r="A725" i="16"/>
  <c r="B13" i="17"/>
  <c r="G7" i="7"/>
  <c r="B57" i="10"/>
  <c r="A407" i="20"/>
  <c r="A141" i="1"/>
  <c r="B5374" i="20"/>
  <c r="B1349" i="16"/>
  <c r="G65" i="5"/>
  <c r="B707" i="16"/>
  <c r="F35" i="2"/>
  <c r="B1374" i="20"/>
  <c r="B963" i="16"/>
  <c r="B120" i="8"/>
  <c r="A38" i="7"/>
  <c r="B4" i="21"/>
  <c r="G38" i="13"/>
  <c r="A984" i="16"/>
  <c r="B4248" i="20"/>
  <c r="F67" i="2"/>
  <c r="G136" i="7"/>
  <c r="A523" i="20"/>
  <c r="G15" i="2"/>
  <c r="A4175" i="20"/>
  <c r="B121" i="20"/>
  <c r="A3928" i="20"/>
  <c r="B3593" i="20"/>
  <c r="A39" i="2"/>
  <c r="F26" i="4"/>
  <c r="A304" i="19"/>
  <c r="B3475" i="20"/>
  <c r="A1721" i="16"/>
  <c r="A3136" i="20"/>
  <c r="E142" i="1"/>
  <c r="H141" i="1"/>
  <c r="H81" i="5"/>
  <c r="G16" i="2"/>
  <c r="H23" i="1"/>
  <c r="B4475" i="20"/>
  <c r="A5335" i="20"/>
  <c r="G64" i="9"/>
  <c r="A4356" i="20"/>
  <c r="B128" i="2"/>
  <c r="B695" i="16"/>
  <c r="B14" i="5"/>
  <c r="A172" i="16"/>
  <c r="H1" i="4"/>
  <c r="B3087" i="20"/>
  <c r="A898" i="16"/>
  <c r="A31" i="13"/>
  <c r="B4571" i="20"/>
  <c r="E1" i="7"/>
  <c r="A119" i="9"/>
  <c r="B55" i="18"/>
  <c r="G7" i="1"/>
  <c r="B4236" i="20"/>
  <c r="A384" i="16"/>
  <c r="B2541" i="20"/>
  <c r="B538" i="20"/>
  <c r="A40" i="9"/>
  <c r="B192" i="20"/>
  <c r="G99" i="4"/>
  <c r="B119" i="11"/>
  <c r="A1593" i="16"/>
  <c r="A72" i="6"/>
  <c r="A5432" i="20"/>
  <c r="B378" i="20"/>
  <c r="B1766" i="16"/>
  <c r="B33" i="2"/>
  <c r="A320" i="16"/>
  <c r="A4330" i="20"/>
  <c r="H116" i="8"/>
  <c r="B142" i="9"/>
  <c r="A32" i="8"/>
  <c r="A74" i="9"/>
  <c r="F113" i="1"/>
  <c r="B16" i="17"/>
  <c r="A10" i="15"/>
  <c r="A2541" i="20"/>
  <c r="B106" i="12"/>
  <c r="A95" i="7"/>
  <c r="B141" i="16"/>
  <c r="B5796" i="20"/>
  <c r="A6349" i="20"/>
  <c r="B3918" i="20"/>
  <c r="A492" i="16"/>
  <c r="B222" i="20"/>
  <c r="B39" i="20"/>
  <c r="B4565" i="20"/>
  <c r="B1386" i="16"/>
  <c r="B294" i="16"/>
  <c r="A54" i="8"/>
  <c r="B2572" i="20"/>
  <c r="B1833" i="20"/>
  <c r="A40" i="17"/>
  <c r="B868" i="16"/>
  <c r="A700" i="20"/>
  <c r="A2382" i="20"/>
  <c r="A2030" i="20"/>
  <c r="B513" i="16"/>
  <c r="B293" i="19"/>
  <c r="A297" i="20"/>
  <c r="H121" i="12"/>
  <c r="A4039" i="20"/>
  <c r="B2244" i="20"/>
  <c r="A4432" i="20"/>
  <c r="B7806" i="20"/>
  <c r="A7430" i="20"/>
  <c r="A6412" i="20"/>
  <c r="A379" i="45"/>
  <c r="A989" i="20"/>
  <c r="H69" i="12"/>
  <c r="G111" i="5"/>
  <c r="A99" i="6"/>
  <c r="A116" i="20"/>
  <c r="B6" i="12"/>
  <c r="A115" i="13"/>
  <c r="A47" i="10"/>
  <c r="H102" i="12"/>
  <c r="H45" i="4"/>
  <c r="B3829" i="20"/>
  <c r="A1838" i="16"/>
  <c r="A1608" i="16"/>
  <c r="B84" i="9"/>
  <c r="A1827" i="16"/>
  <c r="G40" i="10"/>
  <c r="A1347" i="16"/>
  <c r="B31" i="17"/>
  <c r="B1770" i="20"/>
  <c r="A133" i="4"/>
  <c r="B55" i="4"/>
  <c r="A839" i="20"/>
  <c r="B4298" i="20"/>
  <c r="B279" i="19"/>
  <c r="G119" i="11"/>
  <c r="B4601" i="20"/>
  <c r="A108" i="19"/>
  <c r="H40" i="1"/>
  <c r="A3093" i="20"/>
  <c r="A1499" i="16"/>
  <c r="B171" i="19"/>
  <c r="B1311" i="20"/>
  <c r="D105" i="13"/>
  <c r="B70" i="9"/>
  <c r="B711" i="20"/>
  <c r="A29" i="16"/>
  <c r="B6676" i="20"/>
  <c r="A5904" i="20"/>
  <c r="B3197" i="20"/>
  <c r="A116" i="11"/>
  <c r="G104" i="2"/>
  <c r="A56" i="2"/>
  <c r="A26" i="2"/>
  <c r="C75" i="18"/>
  <c r="A62" i="1"/>
  <c r="B27" i="17"/>
  <c r="B59" i="7"/>
  <c r="H64" i="7"/>
  <c r="B1614" i="16"/>
  <c r="B797" i="20"/>
  <c r="B126" i="9"/>
  <c r="B2211" i="20"/>
  <c r="B684" i="16"/>
  <c r="H71" i="1"/>
  <c r="A882" i="16"/>
  <c r="B1822" i="16"/>
  <c r="B3744" i="20"/>
  <c r="B6324" i="20"/>
  <c r="G14" i="8"/>
  <c r="B25" i="4"/>
  <c r="G66" i="6"/>
  <c r="B36" i="16"/>
  <c r="B2391" i="20"/>
  <c r="A232" i="19"/>
  <c r="H55" i="13"/>
  <c r="A1440" i="16"/>
  <c r="B139" i="10"/>
  <c r="A299" i="16"/>
  <c r="G37" i="4"/>
  <c r="G64" i="8"/>
  <c r="B236" i="20"/>
  <c r="A57" i="1"/>
  <c r="C36" i="8"/>
  <c r="A1672" i="20"/>
  <c r="G51" i="11"/>
  <c r="G58" i="1"/>
  <c r="H129" i="12"/>
  <c r="C122" i="9"/>
  <c r="B24" i="6"/>
  <c r="A120" i="11"/>
  <c r="G63" i="12"/>
  <c r="A5196" i="20"/>
  <c r="A1672" i="16"/>
  <c r="B2505" i="20"/>
  <c r="B5078" i="20"/>
  <c r="B72" i="11"/>
  <c r="A61" i="4"/>
  <c r="B653" i="20"/>
  <c r="B554" i="20"/>
  <c r="A116" i="13"/>
  <c r="G135" i="7"/>
  <c r="B70" i="6"/>
  <c r="B980" i="20"/>
  <c r="A290" i="16"/>
  <c r="B59" i="18"/>
  <c r="F47" i="8"/>
  <c r="A765" i="16"/>
  <c r="A257" i="19"/>
  <c r="A321" i="19"/>
  <c r="G51" i="6"/>
  <c r="C146" i="18"/>
  <c r="A46" i="13"/>
  <c r="B138" i="19"/>
  <c r="B1042" i="16"/>
  <c r="A1208" i="16"/>
  <c r="B294" i="19"/>
  <c r="H76" i="10"/>
  <c r="F61" i="9"/>
  <c r="B26" i="19"/>
  <c r="B3204" i="20"/>
  <c r="A23" i="20"/>
  <c r="B9" i="15"/>
  <c r="G9" i="5"/>
  <c r="H37" i="5"/>
  <c r="A108" i="18"/>
  <c r="A580" i="16"/>
  <c r="G42" i="1"/>
  <c r="B40" i="7"/>
  <c r="G153" i="1"/>
  <c r="H140" i="4"/>
  <c r="B926" i="20"/>
  <c r="B1638" i="16"/>
  <c r="A118" i="1"/>
  <c r="H54" i="2"/>
  <c r="B53" i="4"/>
  <c r="C14" i="18"/>
  <c r="A51" i="9"/>
  <c r="B13" i="19"/>
  <c r="B3322" i="20"/>
  <c r="A37" i="6"/>
  <c r="B980" i="16"/>
  <c r="E25" i="9"/>
  <c r="E9" i="13"/>
  <c r="B668" i="16"/>
  <c r="H28" i="12"/>
  <c r="A6" i="16"/>
  <c r="B108" i="19"/>
  <c r="A108" i="4"/>
  <c r="G130" i="4"/>
  <c r="H45" i="8"/>
  <c r="G131" i="10"/>
  <c r="H24" i="9"/>
  <c r="A2903" i="20"/>
  <c r="A1524" i="16"/>
  <c r="B788" i="16"/>
  <c r="E81" i="5"/>
  <c r="B4061" i="20"/>
  <c r="B144" i="20"/>
  <c r="B558" i="16"/>
  <c r="H130" i="5"/>
  <c r="F80" i="12"/>
  <c r="H58" i="5"/>
  <c r="B185" i="20"/>
  <c r="B36" i="13"/>
  <c r="H44" i="9"/>
  <c r="B1128" i="16"/>
  <c r="A3" i="15"/>
  <c r="E74" i="9"/>
  <c r="B592" i="20"/>
  <c r="A4845" i="20"/>
  <c r="H149" i="1"/>
  <c r="B2383" i="20"/>
  <c r="G41" i="11"/>
  <c r="A1103" i="16"/>
  <c r="A2" i="4"/>
  <c r="A8010" i="20"/>
  <c r="A1185" i="20"/>
  <c r="B2845" i="20"/>
  <c r="B7272" i="20"/>
  <c r="G45" i="5"/>
  <c r="B1729" i="20"/>
  <c r="A66" i="6"/>
  <c r="B141" i="20"/>
  <c r="B1104" i="20"/>
  <c r="G87" i="13"/>
  <c r="G60" i="4"/>
  <c r="A249" i="20"/>
  <c r="A1834" i="16"/>
  <c r="A107" i="13"/>
  <c r="B68" i="5"/>
  <c r="B42" i="18"/>
  <c r="G93" i="11"/>
  <c r="A1259" i="16"/>
  <c r="A1305" i="16"/>
  <c r="G51" i="8"/>
  <c r="H122" i="13"/>
  <c r="B65" i="8"/>
  <c r="F35" i="6"/>
  <c r="A6240" i="20"/>
  <c r="A1215" i="20"/>
  <c r="B4429" i="20"/>
  <c r="A652" i="20"/>
  <c r="B6671" i="20"/>
  <c r="B5106" i="20"/>
  <c r="A4" i="15"/>
  <c r="H150" i="1"/>
  <c r="A941" i="20"/>
  <c r="B789" i="20"/>
  <c r="B2225" i="20"/>
  <c r="A118" i="12"/>
  <c r="B1444" i="16"/>
  <c r="H108" i="9"/>
  <c r="A2732" i="20"/>
  <c r="H41" i="7"/>
  <c r="B1571" i="20"/>
  <c r="A2593" i="20"/>
  <c r="A910" i="20"/>
  <c r="A51" i="12"/>
  <c r="A351" i="16"/>
  <c r="A281" i="20"/>
  <c r="A2413" i="20"/>
  <c r="B3766" i="20"/>
  <c r="B1111" i="16"/>
  <c r="A771" i="16"/>
  <c r="B1261" i="20"/>
  <c r="G75" i="9"/>
  <c r="B127" i="7"/>
  <c r="H81" i="11"/>
  <c r="G127" i="12"/>
  <c r="B81" i="4"/>
  <c r="H107" i="13"/>
  <c r="B1273" i="20"/>
  <c r="B91" i="6"/>
  <c r="G75" i="2"/>
  <c r="B104" i="16"/>
  <c r="F135" i="1"/>
  <c r="B29" i="20"/>
  <c r="H99" i="10"/>
  <c r="C64" i="18"/>
  <c r="A95" i="19"/>
  <c r="B1466" i="20"/>
  <c r="A4222" i="20"/>
  <c r="A184" i="19"/>
  <c r="B78" i="8"/>
  <c r="A1377" i="16"/>
  <c r="B850" i="16"/>
  <c r="A11" i="15"/>
  <c r="G90" i="8"/>
  <c r="A99" i="7"/>
  <c r="A39" i="8"/>
  <c r="A1387" i="20"/>
  <c r="B5000" i="20"/>
  <c r="A1613" i="20"/>
  <c r="A19" i="8"/>
  <c r="A84" i="7"/>
  <c r="A65" i="4"/>
  <c r="B778" i="20"/>
  <c r="A4270" i="20"/>
  <c r="H18" i="9"/>
  <c r="A3371" i="20"/>
  <c r="A133" i="19"/>
  <c r="A76" i="12"/>
  <c r="A192" i="19"/>
  <c r="A37" i="17"/>
  <c r="B929" i="16"/>
  <c r="B609" i="16"/>
  <c r="B1675" i="16"/>
  <c r="B1355" i="16"/>
  <c r="B1102" i="16"/>
  <c r="A20" i="17"/>
  <c r="H35" i="1"/>
  <c r="G14" i="2"/>
  <c r="B1462" i="16"/>
  <c r="A1182" i="16"/>
  <c r="A505" i="16"/>
  <c r="B1790" i="16"/>
  <c r="B582" i="16"/>
  <c r="G149" i="1"/>
  <c r="A3800" i="20"/>
  <c r="B1113" i="20"/>
  <c r="B1366" i="16"/>
  <c r="B802" i="16"/>
  <c r="A1" i="5"/>
  <c r="A1500" i="16"/>
  <c r="B319" i="19"/>
  <c r="A1465" i="16"/>
  <c r="B238" i="20"/>
  <c r="A119" i="8"/>
  <c r="B7475" i="20"/>
  <c r="A367" i="20"/>
  <c r="B3230" i="20"/>
  <c r="A55" i="8"/>
  <c r="F9" i="2"/>
  <c r="B1699" i="16"/>
  <c r="F128" i="1"/>
  <c r="B96" i="10"/>
  <c r="G52" i="9"/>
  <c r="A1544" i="20"/>
  <c r="B274" i="20"/>
  <c r="A1144" i="16"/>
  <c r="F69" i="1"/>
  <c r="A6975" i="20"/>
  <c r="B6374" i="20"/>
  <c r="B18" i="19"/>
  <c r="E81" i="6"/>
  <c r="A1800" i="16"/>
  <c r="C123" i="18"/>
  <c r="H71" i="10"/>
  <c r="B114" i="5"/>
  <c r="A1517" i="20"/>
  <c r="A4586" i="20"/>
  <c r="A1624" i="16"/>
  <c r="AK1" i="33"/>
  <c r="G64" i="11"/>
  <c r="A59" i="5"/>
  <c r="B3092" i="20"/>
  <c r="A850" i="16"/>
  <c r="A840" i="16"/>
  <c r="H15" i="8"/>
  <c r="F36" i="1"/>
  <c r="C48" i="18"/>
  <c r="A101" i="20"/>
  <c r="B5651" i="20"/>
  <c r="E156" i="4"/>
  <c r="A3232" i="20"/>
  <c r="A165" i="16"/>
  <c r="A75" i="10"/>
  <c r="G115" i="5"/>
  <c r="H38" i="7"/>
  <c r="B2563" i="20"/>
  <c r="A1341" i="16"/>
  <c r="B4516" i="20"/>
  <c r="B2121" i="20"/>
  <c r="B2293" i="20"/>
  <c r="A82" i="20"/>
  <c r="A755" i="16"/>
  <c r="A5457" i="20"/>
  <c r="A120" i="4"/>
  <c r="B147" i="4"/>
  <c r="B1065" i="20"/>
  <c r="A2352" i="20"/>
  <c r="H6" i="5"/>
  <c r="G64" i="7"/>
  <c r="A4576" i="20"/>
  <c r="A119" i="20"/>
  <c r="C1" i="20"/>
  <c r="B3447" i="20"/>
  <c r="H118" i="10"/>
  <c r="A1102" i="16"/>
  <c r="B3060" i="20"/>
  <c r="B69" i="5"/>
  <c r="B5571" i="20"/>
  <c r="F94" i="10"/>
  <c r="B430" i="16"/>
  <c r="B121" i="12"/>
  <c r="B729" i="16"/>
  <c r="B1591" i="16"/>
  <c r="A104" i="16"/>
  <c r="A876" i="16"/>
  <c r="A120" i="13"/>
  <c r="A73" i="9"/>
  <c r="A579" i="16"/>
  <c r="F9" i="5"/>
  <c r="H52" i="7"/>
  <c r="G43" i="4"/>
  <c r="B484" i="16"/>
  <c r="A109" i="9"/>
  <c r="B101" i="20"/>
  <c r="A2540" i="20"/>
  <c r="B23" i="20"/>
  <c r="B1241" i="20"/>
  <c r="A94" i="11"/>
  <c r="B382" i="20"/>
  <c r="A2228" i="20"/>
  <c r="B2349" i="20"/>
  <c r="A5592" i="20"/>
  <c r="B5148" i="20"/>
  <c r="F96" i="1"/>
  <c r="B3186" i="20"/>
  <c r="A155" i="32"/>
  <c r="A6031" i="20"/>
  <c r="B1365" i="20"/>
  <c r="A874" i="20"/>
  <c r="B1648" i="20"/>
  <c r="B1222" i="20"/>
  <c r="B706" i="16"/>
  <c r="A135" i="7"/>
  <c r="A573" i="20"/>
  <c r="A3059" i="20"/>
  <c r="B79" i="7"/>
  <c r="A5595" i="20"/>
  <c r="B7419" i="20"/>
  <c r="A6335" i="20"/>
  <c r="B5333" i="20"/>
  <c r="B581" i="20"/>
  <c r="B167" i="20"/>
  <c r="A115" i="16"/>
  <c r="B1281" i="16"/>
  <c r="B740" i="20"/>
  <c r="A688" i="20"/>
  <c r="A304" i="16"/>
  <c r="B108" i="6"/>
  <c r="A360" i="16"/>
  <c r="A40" i="5"/>
  <c r="G126" i="9"/>
  <c r="A243" i="20"/>
  <c r="A41" i="17"/>
  <c r="B219" i="16"/>
  <c r="A5751" i="20"/>
  <c r="B633" i="16"/>
  <c r="A1774" i="16"/>
  <c r="B264" i="16"/>
  <c r="B1279" i="20"/>
  <c r="B133" i="12"/>
  <c r="A1710" i="16"/>
  <c r="A105" i="4"/>
  <c r="A3434" i="20"/>
  <c r="A329" i="20"/>
  <c r="B3384" i="20"/>
  <c r="F12" i="2"/>
  <c r="B820" i="20"/>
  <c r="B55" i="6"/>
  <c r="B17" i="10"/>
  <c r="B1715" i="20"/>
  <c r="A2281" i="20"/>
  <c r="B128" i="20"/>
  <c r="A6074" i="20"/>
  <c r="A56" i="13"/>
  <c r="G85" i="1"/>
  <c r="A25" i="9"/>
  <c r="A4" i="7"/>
  <c r="E65" i="13"/>
  <c r="A4702" i="20"/>
  <c r="A122" i="6"/>
  <c r="H62" i="4"/>
  <c r="B386" i="20"/>
  <c r="H26" i="1"/>
  <c r="E110" i="8"/>
  <c r="F65" i="6"/>
  <c r="B610" i="20"/>
  <c r="A3897" i="20"/>
  <c r="B1010" i="20"/>
  <c r="A1047" i="20"/>
  <c r="B144" i="10"/>
  <c r="B890" i="20"/>
  <c r="B1204" i="16"/>
  <c r="A4040" i="20"/>
  <c r="F60" i="1"/>
  <c r="A4399" i="20"/>
  <c r="B957" i="16"/>
  <c r="A3264" i="20"/>
  <c r="C112" i="18"/>
  <c r="A1096" i="16"/>
  <c r="A335" i="20"/>
  <c r="H50" i="4"/>
  <c r="A453" i="20"/>
  <c r="C136" i="18"/>
  <c r="H62" i="7"/>
  <c r="B2564" i="20"/>
  <c r="A73" i="7"/>
  <c r="E1" i="1"/>
  <c r="B1668" i="16"/>
  <c r="B676" i="16"/>
  <c r="A80" i="7"/>
  <c r="A3030" i="20"/>
  <c r="H98" i="7"/>
  <c r="B4372" i="20"/>
  <c r="A1840" i="16"/>
  <c r="B1410" i="16"/>
  <c r="B117" i="11"/>
  <c r="B2" i="14"/>
  <c r="B316" i="19"/>
  <c r="A78" i="8"/>
  <c r="A90" i="10"/>
  <c r="A607" i="20"/>
  <c r="H98" i="12"/>
  <c r="B63" i="18"/>
  <c r="A370" i="16"/>
  <c r="A32" i="20"/>
  <c r="B96" i="5"/>
  <c r="G107" i="2"/>
  <c r="B1072" i="16"/>
  <c r="A3137" i="20"/>
  <c r="A95" i="4"/>
  <c r="A50" i="8"/>
  <c r="B34" i="4"/>
  <c r="B3715" i="20"/>
  <c r="B5" i="5"/>
  <c r="A1194" i="16"/>
  <c r="G8" i="5"/>
  <c r="H46" i="10"/>
  <c r="G37" i="7"/>
  <c r="A184" i="32"/>
  <c r="B4070" i="20"/>
  <c r="A3550" i="20"/>
  <c r="A8183" i="20"/>
  <c r="B193" i="19"/>
  <c r="A350" i="45"/>
  <c r="B7497" i="20"/>
  <c r="B3273" i="20"/>
  <c r="A9060" i="20"/>
  <c r="B6172" i="20"/>
  <c r="B8655" i="20"/>
  <c r="A309" i="20"/>
  <c r="B7934" i="20"/>
  <c r="B3874" i="20"/>
  <c r="B4524" i="20"/>
  <c r="A7086" i="20"/>
  <c r="B4296" i="20"/>
  <c r="A6492" i="20"/>
  <c r="A8153" i="20"/>
  <c r="B74" i="13"/>
  <c r="A4027" i="20"/>
  <c r="B6704" i="20"/>
  <c r="B5695" i="20"/>
  <c r="A2360" i="20"/>
  <c r="A5641" i="20"/>
  <c r="A5816" i="20"/>
  <c r="A3820" i="20"/>
  <c r="A91" i="45"/>
  <c r="A4301" i="20"/>
  <c r="B13" i="16"/>
  <c r="A1039" i="16"/>
  <c r="B4131" i="20"/>
  <c r="B2780" i="20"/>
  <c r="B5573" i="20"/>
  <c r="M20" i="33"/>
  <c r="B5909" i="20"/>
  <c r="A2772" i="20"/>
  <c r="A5934" i="20"/>
  <c r="B5851" i="20"/>
  <c r="B7927" i="20"/>
  <c r="B4746" i="20"/>
  <c r="A3724" i="20"/>
  <c r="B1441" i="20"/>
  <c r="A6805" i="20"/>
  <c r="A4951" i="20"/>
  <c r="A6775" i="20"/>
  <c r="A583" i="49"/>
  <c r="A581" i="49"/>
  <c r="A182" i="20"/>
  <c r="B6201" i="20"/>
  <c r="B6115" i="20"/>
  <c r="B5183" i="20"/>
  <c r="B3156" i="20"/>
  <c r="A2327" i="20"/>
  <c r="A5280" i="20"/>
  <c r="A2363" i="20"/>
  <c r="B5105" i="20"/>
  <c r="B3790" i="20"/>
  <c r="H28" i="9"/>
  <c r="A25" i="17"/>
  <c r="G103" i="11"/>
  <c r="B5962" i="20"/>
  <c r="A4183" i="20"/>
  <c r="A147" i="45"/>
  <c r="A4105" i="20"/>
  <c r="B2904" i="20"/>
  <c r="B8164" i="20"/>
  <c r="B149" i="16"/>
  <c r="B3145" i="20"/>
  <c r="B4380" i="20"/>
  <c r="A7903" i="20"/>
  <c r="A5117" i="20"/>
  <c r="B1519" i="20"/>
  <c r="B1764" i="16"/>
  <c r="B782" i="16"/>
  <c r="A1463" i="20"/>
  <c r="B4183" i="20"/>
  <c r="B1501" i="20"/>
  <c r="B331" i="19"/>
  <c r="A894" i="20"/>
  <c r="A1265" i="16"/>
  <c r="B1794" i="16"/>
  <c r="A2876" i="20"/>
  <c r="B1518" i="20"/>
  <c r="A271" i="19"/>
  <c r="B148" i="19"/>
  <c r="B437" i="16"/>
  <c r="G60" i="13"/>
  <c r="B685" i="16"/>
  <c r="A1707" i="20"/>
  <c r="A3662" i="20"/>
  <c r="A1647" i="20"/>
  <c r="B4938" i="20"/>
  <c r="B77" i="19"/>
  <c r="A3320" i="20"/>
  <c r="B4998" i="20"/>
  <c r="B70" i="12"/>
  <c r="F63" i="7"/>
  <c r="A3218" i="20"/>
  <c r="B23" i="8"/>
  <c r="B4943" i="20"/>
  <c r="B3698" i="20"/>
  <c r="B2187" i="20"/>
  <c r="B6417" i="20"/>
  <c r="A2053" i="20"/>
  <c r="A6455" i="20"/>
  <c r="A7065" i="20"/>
  <c r="B5117" i="20"/>
  <c r="A1491" i="16"/>
  <c r="B107" i="19"/>
  <c r="B3486" i="20"/>
  <c r="A5143" i="20"/>
  <c r="A4073" i="20"/>
  <c r="A6330" i="20"/>
  <c r="A250" i="20"/>
  <c r="B1031" i="20"/>
  <c r="B391" i="20"/>
  <c r="A3527" i="20"/>
  <c r="B3694" i="20"/>
  <c r="B4338" i="20"/>
  <c r="B5402" i="20"/>
  <c r="B4863" i="20"/>
  <c r="A6267" i="20"/>
  <c r="A8118" i="20"/>
  <c r="B2010" i="20"/>
  <c r="A90" i="20"/>
  <c r="B743" i="20"/>
  <c r="A5021" i="20"/>
  <c r="B3108" i="20"/>
  <c r="A4823" i="20"/>
  <c r="A3729" i="20"/>
  <c r="A5690" i="20"/>
  <c r="A6506" i="20"/>
  <c r="A5090" i="20"/>
  <c r="A278" i="19"/>
  <c r="B580" i="16"/>
  <c r="A5317" i="20"/>
  <c r="B5804" i="20"/>
  <c r="B4581" i="20"/>
  <c r="A770" i="20"/>
  <c r="A3923" i="20"/>
  <c r="A577" i="16"/>
  <c r="G94" i="11"/>
  <c r="B3897" i="20"/>
  <c r="B1454" i="20"/>
  <c r="A1080" i="20"/>
  <c r="B191" i="20"/>
  <c r="A1479" i="20"/>
  <c r="A3367" i="20"/>
  <c r="A1893" i="20"/>
  <c r="B5566" i="20"/>
  <c r="B225" i="20"/>
  <c r="A985" i="20"/>
  <c r="B446" i="20"/>
  <c r="B4243" i="20"/>
  <c r="B5145" i="20"/>
  <c r="A91" i="19"/>
  <c r="A402" i="49"/>
  <c r="A1196" i="16"/>
  <c r="B97" i="18"/>
  <c r="B4483" i="20"/>
  <c r="B3323" i="20"/>
  <c r="B1726" i="20"/>
  <c r="A571" i="20"/>
  <c r="A1775" i="16"/>
  <c r="B4488" i="20"/>
  <c r="E134" i="13"/>
  <c r="A4605" i="20"/>
  <c r="A2981" i="20"/>
  <c r="A1393" i="20"/>
  <c r="A3670" i="20"/>
  <c r="A981" i="20"/>
  <c r="B5783" i="20"/>
  <c r="B761" i="20"/>
  <c r="A1609" i="16"/>
  <c r="B4241" i="20"/>
  <c r="B1728" i="20"/>
  <c r="A3970" i="20"/>
  <c r="A1250" i="20"/>
  <c r="B4196" i="20"/>
  <c r="B1316" i="20"/>
  <c r="A4681" i="20"/>
  <c r="A4245" i="20"/>
  <c r="A3483" i="20"/>
  <c r="B5421" i="20"/>
  <c r="A6343" i="20"/>
  <c r="A2265" i="20"/>
  <c r="B3924" i="20"/>
  <c r="A5952" i="20"/>
  <c r="B1087" i="16"/>
  <c r="A65" i="13"/>
  <c r="A2456" i="20"/>
  <c r="B4044" i="20"/>
  <c r="B2855" i="20"/>
  <c r="B2477" i="20"/>
  <c r="A3554" i="20"/>
  <c r="B4630" i="20"/>
  <c r="B4666" i="20"/>
  <c r="A4921" i="20"/>
  <c r="F5" i="4"/>
  <c r="A5126" i="20"/>
  <c r="A3609" i="20"/>
  <c r="A1771" i="20"/>
  <c r="B323" i="20"/>
  <c r="B9053" i="20"/>
  <c r="C13" i="18"/>
  <c r="B640" i="16"/>
  <c r="B231" i="16"/>
  <c r="B48" i="20"/>
  <c r="B78" i="11"/>
  <c r="A1567" i="16"/>
  <c r="B7531" i="20"/>
  <c r="B6486" i="20"/>
  <c r="A4832" i="20"/>
  <c r="B2714" i="20"/>
  <c r="B2876" i="20"/>
  <c r="B1292" i="20"/>
  <c r="B1192" i="16"/>
  <c r="A559" i="20"/>
  <c r="A5249" i="20"/>
  <c r="B2558" i="20"/>
  <c r="B4244" i="20"/>
  <c r="B74" i="2"/>
  <c r="A48" i="5"/>
  <c r="B487" i="20"/>
  <c r="B343" i="19"/>
  <c r="B15" i="20"/>
  <c r="B3290" i="20"/>
  <c r="B4596" i="20"/>
  <c r="A87" i="16"/>
  <c r="A3790" i="20"/>
  <c r="B1260" i="20"/>
  <c r="B5449" i="20"/>
  <c r="A5879" i="20"/>
  <c r="B5152" i="20"/>
  <c r="B3796" i="20"/>
  <c r="B1979" i="20"/>
  <c r="B3547" i="20"/>
  <c r="A4247" i="20"/>
  <c r="B752" i="20"/>
  <c r="B1805" i="16"/>
  <c r="B5437" i="20"/>
  <c r="B3705" i="20"/>
  <c r="A1886" i="20"/>
  <c r="A1098" i="20"/>
  <c r="A3015" i="20"/>
  <c r="A5997" i="20"/>
  <c r="A2956" i="20"/>
  <c r="A3124" i="20"/>
  <c r="B103" i="45"/>
  <c r="B2099" i="20"/>
  <c r="A2988" i="20"/>
  <c r="B1491" i="20"/>
  <c r="A113" i="12"/>
  <c r="B28" i="18"/>
  <c r="B184" i="20"/>
  <c r="G24" i="10"/>
  <c r="B68" i="6"/>
  <c r="A57" i="4"/>
  <c r="A7176" i="20"/>
  <c r="B2420" i="20"/>
  <c r="A7366" i="20"/>
  <c r="B351" i="16"/>
  <c r="A135" i="18"/>
  <c r="B4564" i="20"/>
  <c r="A6668" i="20"/>
  <c r="B1285" i="16"/>
  <c r="A3321" i="20"/>
  <c r="H94" i="11"/>
  <c r="B174" i="19"/>
  <c r="B1505" i="16"/>
  <c r="G72" i="12"/>
  <c r="B6570" i="20"/>
  <c r="A1901" i="20"/>
  <c r="B3254" i="20"/>
  <c r="A8085" i="20"/>
  <c r="A3361" i="20"/>
  <c r="B1740" i="20"/>
  <c r="B1561" i="20"/>
  <c r="B233" i="20"/>
  <c r="A991" i="20"/>
  <c r="B2570" i="20"/>
  <c r="A4269" i="20"/>
  <c r="B312" i="20"/>
  <c r="A97" i="19"/>
  <c r="C1" i="12"/>
  <c r="B62" i="12"/>
  <c r="B6188" i="20"/>
  <c r="B1840" i="16"/>
  <c r="B1283" i="16"/>
  <c r="B3" i="16"/>
  <c r="B652" i="20"/>
  <c r="A1010" i="16"/>
  <c r="A302" i="20"/>
  <c r="B22" i="18"/>
  <c r="B3755" i="20"/>
  <c r="A26" i="19"/>
  <c r="G101" i="11"/>
  <c r="A2502" i="20"/>
  <c r="A83" i="1"/>
  <c r="A1369" i="20"/>
  <c r="A2208" i="20"/>
  <c r="B2269" i="20"/>
  <c r="A3576" i="20"/>
  <c r="A7106" i="20"/>
  <c r="H45" i="10"/>
  <c r="A4026" i="20"/>
  <c r="B3476" i="20"/>
  <c r="B3953" i="20"/>
  <c r="B3783" i="20"/>
  <c r="C29" i="18"/>
  <c r="A27" i="4"/>
  <c r="A34" i="4"/>
  <c r="A6589" i="20"/>
  <c r="C90" i="18"/>
  <c r="A2554" i="20"/>
  <c r="B4436" i="20"/>
  <c r="B1169" i="16"/>
  <c r="B6368" i="20"/>
  <c r="B4640" i="20"/>
  <c r="B3018" i="20"/>
  <c r="A143" i="10"/>
  <c r="B775" i="20"/>
  <c r="F105" i="13"/>
  <c r="A158" i="19"/>
  <c r="A565" i="16"/>
  <c r="B129" i="12"/>
  <c r="B126" i="6"/>
  <c r="B1165" i="16"/>
  <c r="F12" i="11"/>
  <c r="A1427" i="16"/>
  <c r="B5652" i="20"/>
  <c r="A2445" i="20"/>
  <c r="A8394" i="20"/>
  <c r="B1184" i="16"/>
  <c r="A2922" i="20"/>
  <c r="B3681" i="20"/>
  <c r="B2636" i="20"/>
  <c r="A2511" i="20"/>
  <c r="B104" i="18"/>
  <c r="B983" i="16"/>
  <c r="B557" i="20"/>
  <c r="B1529" i="20"/>
  <c r="A39" i="10"/>
  <c r="A65" i="9"/>
  <c r="B3628" i="20"/>
  <c r="B209" i="16"/>
  <c r="B1026" i="20"/>
  <c r="B135" i="13"/>
  <c r="B4499" i="20"/>
  <c r="A588" i="20"/>
  <c r="B122" i="10"/>
  <c r="B4937" i="20"/>
  <c r="C36" i="6"/>
  <c r="A1748" i="16"/>
  <c r="A434" i="20"/>
  <c r="B81" i="10"/>
  <c r="A5839" i="20"/>
  <c r="B452" i="20"/>
  <c r="B4583" i="20"/>
  <c r="B84" i="19"/>
  <c r="B4691" i="20"/>
  <c r="A1432" i="16"/>
  <c r="B1781" i="20"/>
  <c r="A1329" i="16"/>
  <c r="A1204" i="20"/>
  <c r="A1954" i="20"/>
  <c r="B5920" i="20"/>
  <c r="B5690" i="20"/>
  <c r="B119" i="2"/>
  <c r="B4410" i="20"/>
  <c r="A1178" i="20"/>
  <c r="A1113" i="16"/>
  <c r="B75" i="13"/>
  <c r="B1798" i="16"/>
  <c r="B2406" i="20"/>
  <c r="G17" i="4"/>
  <c r="B3072" i="20"/>
  <c r="A1582" i="16"/>
  <c r="B2787" i="20"/>
  <c r="B6344" i="20"/>
  <c r="B1147" i="16"/>
  <c r="B8217" i="20"/>
  <c r="A5833" i="20"/>
  <c r="A2328" i="20"/>
  <c r="H120" i="2"/>
  <c r="B2617" i="20"/>
  <c r="A1223" i="16"/>
  <c r="B129" i="13"/>
  <c r="B41" i="5"/>
  <c r="B768" i="20"/>
  <c r="G46" i="9"/>
  <c r="A945" i="16"/>
  <c r="H137" i="8"/>
  <c r="B5863" i="20"/>
  <c r="B1176" i="16"/>
  <c r="B21" i="20"/>
  <c r="B3203" i="20"/>
  <c r="B34" i="12"/>
  <c r="A2913" i="20"/>
  <c r="A7571" i="20"/>
  <c r="A5516" i="20"/>
  <c r="A4438" i="20"/>
  <c r="A56" i="32"/>
  <c r="G115" i="12"/>
  <c r="A3407" i="20"/>
  <c r="G155" i="8"/>
  <c r="B1155" i="20"/>
  <c r="A11" i="19"/>
  <c r="B5475" i="20"/>
  <c r="G113" i="1"/>
  <c r="A54" i="5"/>
  <c r="A1025" i="20"/>
  <c r="G148" i="1"/>
  <c r="A1615" i="20"/>
  <c r="A4104" i="20"/>
  <c r="B6087" i="20"/>
  <c r="A5199" i="20"/>
  <c r="A2730" i="20"/>
  <c r="A119" i="12"/>
  <c r="E5" i="1"/>
  <c r="A1374" i="20"/>
  <c r="A2890" i="20"/>
  <c r="B2906" i="20"/>
  <c r="F11" i="11"/>
  <c r="B3353" i="20"/>
  <c r="B1225" i="20"/>
  <c r="A5684" i="20"/>
  <c r="A4157" i="20"/>
  <c r="B4805" i="20"/>
  <c r="B1001" i="20"/>
  <c r="B2471" i="20"/>
  <c r="A6456" i="20"/>
  <c r="A3182" i="20"/>
  <c r="A2411" i="20"/>
  <c r="B4303" i="20"/>
  <c r="B4463" i="20"/>
  <c r="E33" i="5"/>
  <c r="A221" i="19"/>
  <c r="A3281" i="20"/>
  <c r="B1555" i="20"/>
  <c r="A2377" i="20"/>
  <c r="B6037" i="20"/>
  <c r="A2337" i="20"/>
  <c r="B3972" i="20"/>
  <c r="B4206" i="20"/>
  <c r="A2786" i="20"/>
  <c r="A2686" i="20"/>
  <c r="B6323" i="20"/>
  <c r="B3967" i="20"/>
  <c r="A1079" i="20"/>
  <c r="A886" i="20"/>
  <c r="A79" i="9"/>
  <c r="H77" i="7"/>
  <c r="H151" i="4"/>
  <c r="A155" i="9"/>
  <c r="E6" i="7"/>
  <c r="A498" i="20"/>
  <c r="A872" i="20"/>
  <c r="A4983" i="20"/>
  <c r="A41" i="9"/>
  <c r="A824" i="16"/>
  <c r="C31" i="18"/>
  <c r="A5793" i="20"/>
  <c r="A6285" i="20"/>
  <c r="B5008" i="20"/>
  <c r="B4841" i="20"/>
  <c r="A2828" i="20"/>
  <c r="E26" i="11"/>
  <c r="A45" i="20"/>
  <c r="A7500" i="20"/>
  <c r="B4489" i="20"/>
  <c r="B1902" i="20"/>
  <c r="A3153" i="20"/>
  <c r="B329" i="20"/>
  <c r="B65" i="2"/>
  <c r="A6491" i="20"/>
  <c r="G92" i="9"/>
  <c r="A88" i="19"/>
  <c r="B3852" i="20"/>
  <c r="A115" i="12"/>
  <c r="A290" i="20"/>
  <c r="B2948" i="20"/>
  <c r="B71" i="11"/>
  <c r="B148" i="16"/>
  <c r="B252" i="19"/>
  <c r="B567" i="20"/>
  <c r="A3072" i="20"/>
  <c r="B7964" i="20"/>
  <c r="B6875" i="20"/>
  <c r="H85" i="2"/>
  <c r="B2562" i="20"/>
  <c r="A6783" i="20"/>
  <c r="A5963" i="20"/>
  <c r="B2198" i="20"/>
  <c r="B1360" i="16"/>
  <c r="B4060" i="20"/>
  <c r="B784" i="20"/>
  <c r="B3775" i="20"/>
  <c r="B231" i="19"/>
  <c r="B8" i="11"/>
  <c r="G1" i="8"/>
  <c r="B1071" i="16"/>
  <c r="B105" i="19"/>
  <c r="B2751" i="20"/>
  <c r="B5127" i="20"/>
  <c r="B4112" i="20"/>
  <c r="A9120" i="20"/>
  <c r="B1179" i="20"/>
  <c r="A4631" i="20"/>
  <c r="B6228" i="20"/>
  <c r="A6998" i="20"/>
  <c r="H17" i="13"/>
  <c r="A6138" i="20"/>
  <c r="F6" i="12"/>
  <c r="A7199" i="20"/>
  <c r="A4568" i="20"/>
  <c r="B6494" i="20"/>
  <c r="A2090" i="20"/>
  <c r="A7308" i="20"/>
  <c r="G40" i="12"/>
  <c r="D4" i="1"/>
  <c r="A157" i="19"/>
  <c r="G69" i="10"/>
  <c r="A22" i="18"/>
  <c r="B8768" i="20"/>
  <c r="B1022" i="20"/>
  <c r="B249" i="19"/>
  <c r="A5915" i="20"/>
  <c r="A1532" i="20"/>
  <c r="A3054" i="20"/>
  <c r="A29" i="18"/>
  <c r="A1679" i="20"/>
  <c r="B1623" i="16"/>
  <c r="B2270" i="20"/>
  <c r="B663" i="16"/>
  <c r="B1526" i="20"/>
  <c r="B343" i="16"/>
  <c r="B6" i="18"/>
  <c r="B2279" i="20"/>
  <c r="B1557" i="16"/>
  <c r="B142" i="20"/>
  <c r="B5357" i="20"/>
  <c r="B951" i="20"/>
  <c r="G81" i="2"/>
  <c r="B4105" i="20"/>
  <c r="B3818" i="20"/>
  <c r="A5475" i="20"/>
  <c r="B6939" i="20"/>
  <c r="B3679" i="20"/>
  <c r="B1352" i="16"/>
  <c r="A5951" i="20"/>
  <c r="B624" i="20"/>
  <c r="A3313" i="20"/>
  <c r="B4408" i="20"/>
  <c r="A1519" i="20"/>
  <c r="B3894" i="20"/>
  <c r="B4521" i="20"/>
  <c r="A5969" i="20"/>
  <c r="B5590" i="20"/>
  <c r="B3048" i="20"/>
  <c r="A3258" i="20"/>
  <c r="A2671" i="20"/>
  <c r="G86" i="10"/>
  <c r="A4397" i="20"/>
  <c r="B5918" i="20"/>
  <c r="A4009" i="20"/>
  <c r="B5135" i="20"/>
  <c r="B27" i="11"/>
  <c r="F138" i="1"/>
  <c r="B1534" i="20"/>
  <c r="B2644" i="20"/>
  <c r="B3990" i="20"/>
  <c r="B1167" i="16"/>
  <c r="A87" i="20"/>
  <c r="A274" i="20"/>
  <c r="A681" i="20"/>
  <c r="B296" i="20"/>
  <c r="G95" i="5"/>
  <c r="A3694" i="20"/>
  <c r="B2366" i="20"/>
  <c r="A110" i="6"/>
  <c r="A7656" i="20"/>
  <c r="H42" i="10"/>
  <c r="E142" i="4"/>
  <c r="A2254" i="20"/>
  <c r="H96" i="13"/>
  <c r="G8" i="12"/>
  <c r="B1459" i="20"/>
  <c r="A575" i="20"/>
  <c r="B1939" i="20"/>
  <c r="B5390" i="20"/>
  <c r="A4328" i="20"/>
  <c r="A474" i="20"/>
  <c r="A1703" i="16"/>
  <c r="B4548" i="20"/>
  <c r="B3122" i="20"/>
  <c r="A2247" i="20"/>
  <c r="B8075" i="20"/>
  <c r="A4675" i="20"/>
  <c r="B3151" i="20"/>
  <c r="A293" i="20"/>
  <c r="B4129" i="20"/>
  <c r="B1298" i="20"/>
  <c r="B3770" i="20"/>
  <c r="B589" i="20"/>
  <c r="B1078" i="20"/>
  <c r="A182" i="19"/>
  <c r="B117" i="10"/>
  <c r="B3252" i="20"/>
  <c r="B1732" i="16"/>
  <c r="A3221" i="20"/>
  <c r="A5947" i="20"/>
  <c r="A5977" i="20"/>
  <c r="B8609" i="20"/>
  <c r="A6176" i="20"/>
  <c r="B6198" i="20"/>
  <c r="A777" i="16"/>
  <c r="A329" i="16"/>
  <c r="B98" i="12"/>
  <c r="A1506" i="16"/>
  <c r="B2055" i="20"/>
  <c r="A5" i="15"/>
  <c r="B1263" i="20"/>
  <c r="A20" i="16"/>
  <c r="A28" i="10"/>
  <c r="B1485" i="16"/>
  <c r="A1101" i="16"/>
  <c r="A553" i="20"/>
  <c r="B88" i="8"/>
  <c r="A256" i="16"/>
  <c r="G46" i="1"/>
  <c r="B2023" i="20"/>
  <c r="B838" i="16"/>
  <c r="G87" i="12"/>
  <c r="A2100" i="20"/>
  <c r="B881" i="20"/>
  <c r="B1299" i="16"/>
  <c r="A1211" i="16"/>
  <c r="B1753" i="16"/>
  <c r="B601" i="20"/>
  <c r="B589" i="16"/>
  <c r="A4914" i="20"/>
  <c r="H84" i="6"/>
  <c r="B4461" i="20"/>
  <c r="A894" i="16"/>
  <c r="B1006" i="20"/>
  <c r="B1093" i="16"/>
  <c r="A1644" i="16"/>
  <c r="E47" i="1"/>
  <c r="A273" i="20"/>
  <c r="H42" i="4"/>
  <c r="A34" i="8"/>
  <c r="G75" i="7"/>
  <c r="H19" i="5"/>
  <c r="F2" i="6"/>
  <c r="H95" i="11"/>
  <c r="H15" i="5"/>
  <c r="A1733" i="16"/>
  <c r="H42" i="2"/>
  <c r="E5" i="6"/>
  <c r="B715" i="20"/>
  <c r="A231" i="20"/>
  <c r="H67" i="5"/>
  <c r="A890" i="16"/>
  <c r="A78" i="19"/>
  <c r="B50" i="10"/>
  <c r="F1" i="11"/>
  <c r="B102" i="7"/>
  <c r="A67" i="9"/>
  <c r="G13" i="8"/>
  <c r="F4" i="5"/>
  <c r="A121" i="1"/>
  <c r="B1790" i="20"/>
  <c r="H9" i="9"/>
  <c r="B73" i="4"/>
  <c r="A1711" i="20"/>
  <c r="A731" i="16"/>
  <c r="B1122" i="16"/>
  <c r="A437" i="16"/>
  <c r="B1130" i="20"/>
  <c r="A74" i="1"/>
  <c r="A152" i="8"/>
  <c r="B155" i="4"/>
  <c r="E12" i="5"/>
  <c r="A3342" i="20"/>
  <c r="H56" i="9"/>
  <c r="A92" i="4"/>
  <c r="G30" i="6"/>
  <c r="H56" i="4"/>
  <c r="A241" i="19"/>
  <c r="A135" i="2"/>
  <c r="B97" i="16"/>
  <c r="B3510" i="20"/>
  <c r="B30" i="17"/>
  <c r="A752" i="20"/>
  <c r="A115" i="20"/>
  <c r="B898" i="16"/>
  <c r="B674" i="16"/>
  <c r="A903" i="20"/>
  <c r="A710" i="20"/>
  <c r="B311" i="16"/>
  <c r="B618" i="20"/>
  <c r="B6035" i="20"/>
  <c r="B556" i="16"/>
  <c r="B1849" i="16"/>
  <c r="A10" i="1"/>
  <c r="A1706" i="16"/>
  <c r="H106" i="10"/>
  <c r="B814" i="20"/>
  <c r="H54" i="8"/>
  <c r="H102" i="4"/>
  <c r="E123" i="13"/>
  <c r="A1160" i="16"/>
  <c r="H92" i="6"/>
  <c r="B131" i="9"/>
  <c r="B40" i="8"/>
  <c r="A1502" i="16"/>
  <c r="G67" i="11"/>
  <c r="A867" i="20"/>
  <c r="B170" i="19"/>
  <c r="A159" i="16"/>
  <c r="B3212" i="20"/>
  <c r="A7494" i="20"/>
  <c r="A5740" i="20"/>
  <c r="B6376" i="20"/>
  <c r="B128" i="13"/>
  <c r="A1094" i="20"/>
  <c r="A6" i="19"/>
  <c r="B2038" i="20"/>
  <c r="B6634" i="20"/>
  <c r="B5314" i="20"/>
  <c r="B111" i="20"/>
  <c r="G127" i="9"/>
  <c r="B595" i="20"/>
  <c r="B177" i="20"/>
  <c r="H143" i="10"/>
  <c r="G72" i="4"/>
  <c r="F78" i="9"/>
  <c r="B1415" i="16"/>
  <c r="A87" i="19"/>
  <c r="A390" i="20"/>
  <c r="B3269" i="20"/>
  <c r="B197" i="20"/>
  <c r="A229" i="19"/>
  <c r="A28" i="20"/>
  <c r="B4133" i="20"/>
  <c r="A1174" i="16"/>
  <c r="A1597" i="16"/>
  <c r="B27" i="7"/>
  <c r="G45" i="4"/>
  <c r="B2727" i="20"/>
  <c r="G89" i="7"/>
  <c r="B1852" i="16"/>
  <c r="A50" i="20"/>
  <c r="A1658" i="20"/>
  <c r="H14" i="4"/>
  <c r="B1039" i="16"/>
  <c r="E28" i="9"/>
  <c r="H112" i="11"/>
  <c r="B893" i="20"/>
  <c r="A1366" i="16"/>
  <c r="A30" i="10"/>
  <c r="B779" i="20"/>
  <c r="B285" i="20"/>
  <c r="H22" i="10"/>
  <c r="B1500" i="16"/>
  <c r="A1508" i="16"/>
  <c r="B37" i="19"/>
  <c r="B92" i="6"/>
  <c r="F61" i="1"/>
  <c r="B41" i="7"/>
  <c r="B67" i="9"/>
  <c r="A73" i="1"/>
  <c r="B146" i="8"/>
  <c r="B4642" i="20"/>
  <c r="B574" i="16"/>
  <c r="G61" i="9"/>
  <c r="B3513" i="20"/>
  <c r="A84" i="4"/>
  <c r="A127" i="7"/>
  <c r="B765" i="16"/>
  <c r="F123" i="5"/>
  <c r="B15" i="10"/>
  <c r="A1411" i="16"/>
  <c r="B82" i="5"/>
  <c r="B2475" i="20"/>
  <c r="A620" i="16"/>
  <c r="A63" i="4"/>
  <c r="H48" i="12"/>
  <c r="G41" i="1"/>
  <c r="F1" i="6"/>
  <c r="A131" i="16"/>
  <c r="B209" i="19"/>
  <c r="D65" i="6"/>
  <c r="B2777" i="20"/>
  <c r="A77" i="12"/>
  <c r="A203" i="16"/>
  <c r="H109" i="7"/>
  <c r="C101" i="18"/>
  <c r="A29" i="9"/>
  <c r="H117" i="9"/>
  <c r="E142" i="9"/>
  <c r="H5" i="7"/>
  <c r="B1844" i="16"/>
  <c r="B393" i="20"/>
  <c r="B1327" i="20"/>
  <c r="B3660" i="20"/>
  <c r="A1252" i="16"/>
  <c r="B499" i="20"/>
  <c r="B1559" i="16"/>
  <c r="H71" i="2"/>
  <c r="A89" i="1"/>
  <c r="A64" i="11"/>
  <c r="B450" i="20"/>
  <c r="B102" i="2"/>
  <c r="B388" i="16"/>
  <c r="B89" i="5"/>
  <c r="A25" i="16"/>
  <c r="H64" i="10"/>
  <c r="B899" i="20"/>
  <c r="B1303" i="20"/>
  <c r="G102" i="4"/>
  <c r="B4341" i="20"/>
  <c r="B3701" i="20"/>
  <c r="B5362" i="20"/>
  <c r="B92" i="13"/>
  <c r="G80" i="1"/>
  <c r="A5920" i="20"/>
  <c r="A276" i="16"/>
  <c r="E7" i="1"/>
  <c r="A268" i="20"/>
  <c r="B2613" i="20"/>
  <c r="B345" i="20"/>
  <c r="B2368" i="20"/>
  <c r="A2475" i="20"/>
  <c r="H69" i="2"/>
  <c r="B14" i="15"/>
  <c r="B630" i="16"/>
  <c r="B937" i="16"/>
  <c r="A1340" i="20"/>
  <c r="B24" i="2"/>
  <c r="G102" i="6"/>
  <c r="E6" i="1"/>
  <c r="A704" i="20"/>
  <c r="A1525" i="20"/>
  <c r="B3901" i="20"/>
  <c r="B56" i="11"/>
  <c r="A40" i="18"/>
  <c r="A339" i="19"/>
  <c r="B4497" i="20"/>
  <c r="B7441" i="20"/>
  <c r="B4322" i="20"/>
  <c r="B4316" i="20"/>
  <c r="A2108" i="20"/>
  <c r="A29" i="20"/>
  <c r="A1867" i="20"/>
  <c r="A2191" i="20"/>
  <c r="B322" i="19"/>
  <c r="A849" i="20"/>
  <c r="B462" i="20"/>
  <c r="A102" i="18"/>
  <c r="C38" i="18"/>
  <c r="B2957" i="20"/>
  <c r="A1610" i="16"/>
  <c r="A7007" i="20"/>
  <c r="A2123" i="20"/>
  <c r="A1846" i="20"/>
  <c r="A1398" i="20"/>
  <c r="A642" i="20"/>
  <c r="A162" i="20"/>
  <c r="B7884" i="20"/>
  <c r="B6541" i="20"/>
  <c r="A933" i="20"/>
  <c r="H109" i="6"/>
  <c r="G94" i="4"/>
  <c r="A51" i="11"/>
  <c r="B1008" i="20"/>
  <c r="C82" i="18"/>
  <c r="E3" i="2"/>
  <c r="A334" i="19"/>
  <c r="F34" i="6"/>
  <c r="A36" i="12"/>
  <c r="F104" i="4"/>
  <c r="H101" i="4"/>
  <c r="A640" i="16"/>
  <c r="G14" i="11"/>
  <c r="B1513" i="20"/>
  <c r="A968" i="16"/>
  <c r="B92" i="18"/>
  <c r="H63" i="11"/>
  <c r="G78" i="11"/>
  <c r="B58" i="4"/>
  <c r="B30" i="18"/>
  <c r="H130" i="9"/>
  <c r="B63" i="20"/>
  <c r="A114" i="11"/>
  <c r="G22" i="4"/>
  <c r="B3121" i="20"/>
  <c r="A736" i="16"/>
  <c r="B140" i="10"/>
  <c r="A152" i="16"/>
  <c r="E67" i="7"/>
  <c r="B4821" i="20"/>
  <c r="B31" i="13"/>
  <c r="A2543" i="20"/>
  <c r="B293" i="20"/>
  <c r="B1980" i="20"/>
  <c r="B3462" i="20"/>
  <c r="B134" i="7"/>
  <c r="A854" i="20"/>
  <c r="A1203" i="16"/>
  <c r="B39" i="13"/>
  <c r="H24" i="1"/>
  <c r="B5275" i="20"/>
  <c r="G17" i="8"/>
  <c r="B142" i="16"/>
  <c r="G71" i="8"/>
  <c r="A36" i="11"/>
  <c r="B18" i="7"/>
  <c r="B3545" i="20"/>
  <c r="B1868" i="20"/>
  <c r="E11" i="4"/>
  <c r="A40" i="8"/>
  <c r="B1833" i="16"/>
  <c r="A20" i="20"/>
  <c r="B1302" i="16"/>
  <c r="H73" i="2"/>
  <c r="F118" i="1"/>
  <c r="A544" i="20"/>
  <c r="B1233" i="20"/>
  <c r="B1196" i="16"/>
  <c r="A1222" i="16"/>
  <c r="G84" i="1"/>
  <c r="B1313" i="20"/>
  <c r="A102" i="13"/>
  <c r="G22" i="7"/>
  <c r="B1317" i="20"/>
  <c r="B2933" i="20"/>
  <c r="B9107" i="20"/>
  <c r="A1384" i="16"/>
  <c r="F105" i="2"/>
  <c r="B1473" i="16"/>
  <c r="C108" i="12"/>
  <c r="A417" i="16"/>
  <c r="B98" i="16"/>
  <c r="B1059" i="16"/>
  <c r="A7376" i="20"/>
  <c r="G97" i="6"/>
  <c r="B1308" i="16"/>
  <c r="G63" i="5"/>
  <c r="B1289" i="20"/>
  <c r="B7" i="17"/>
  <c r="E65" i="7"/>
  <c r="A531" i="16"/>
  <c r="A581" i="20"/>
  <c r="E13" i="11"/>
  <c r="A25" i="11"/>
  <c r="B3126" i="20"/>
  <c r="A822" i="16"/>
  <c r="A55" i="11"/>
  <c r="G107" i="4"/>
  <c r="B58" i="9"/>
  <c r="B23" i="16"/>
  <c r="E13" i="6"/>
  <c r="B1599" i="20"/>
  <c r="B69" i="4"/>
  <c r="B117" i="4"/>
  <c r="A1523" i="16"/>
  <c r="A1988" i="20"/>
  <c r="A69" i="11"/>
  <c r="B146" i="9"/>
  <c r="H68" i="8"/>
  <c r="A72" i="2"/>
  <c r="B50" i="13"/>
  <c r="B1510" i="16"/>
  <c r="B131" i="8"/>
  <c r="A2018" i="20"/>
  <c r="B54" i="13"/>
  <c r="D34" i="1"/>
  <c r="A32" i="18"/>
  <c r="B59" i="10"/>
  <c r="B426" i="20"/>
  <c r="H101" i="7"/>
  <c r="A889" i="16"/>
  <c r="H117" i="10"/>
  <c r="H72" i="8"/>
  <c r="B677" i="16"/>
  <c r="G103" i="1"/>
  <c r="F4" i="10"/>
  <c r="A1" i="8"/>
  <c r="A134" i="16"/>
  <c r="A17" i="19"/>
  <c r="B95" i="7"/>
  <c r="B9" i="17"/>
  <c r="B69" i="2"/>
  <c r="H61" i="7"/>
  <c r="G130" i="1"/>
  <c r="A76" i="2"/>
  <c r="B29" i="17"/>
  <c r="B1257" i="20"/>
  <c r="B96" i="6"/>
  <c r="D28" i="1"/>
  <c r="A1819" i="16"/>
  <c r="A144" i="4"/>
  <c r="B1670" i="20"/>
  <c r="H135" i="7"/>
  <c r="B1076" i="20"/>
  <c r="B57" i="20"/>
  <c r="B1144" i="20"/>
  <c r="B1783" i="20"/>
  <c r="A68" i="1"/>
  <c r="G9" i="8"/>
  <c r="F108" i="1"/>
  <c r="A59" i="16"/>
  <c r="A1765" i="16"/>
  <c r="A15" i="12"/>
  <c r="E102" i="11"/>
  <c r="B1655" i="20"/>
  <c r="E151" i="1"/>
  <c r="A1604" i="16"/>
  <c r="A47" i="11"/>
  <c r="B1214" i="16"/>
  <c r="A1253" i="16"/>
  <c r="A66" i="5"/>
  <c r="B958" i="16"/>
  <c r="H122" i="1"/>
  <c r="C1" i="6"/>
  <c r="A146" i="1"/>
  <c r="B78" i="6"/>
  <c r="B434" i="20"/>
  <c r="F123" i="13"/>
  <c r="A2005" i="20"/>
  <c r="B131" i="2"/>
  <c r="A2206" i="20"/>
  <c r="B733" i="16"/>
  <c r="A1651" i="20"/>
  <c r="B821" i="16"/>
  <c r="H94" i="6"/>
  <c r="A2188" i="20"/>
  <c r="H39" i="7"/>
  <c r="B68" i="13"/>
  <c r="A2571" i="20"/>
  <c r="A4240" i="20"/>
  <c r="A31" i="11"/>
  <c r="H28" i="7"/>
  <c r="B3590" i="20"/>
  <c r="B3940" i="20"/>
  <c r="H82" i="4"/>
  <c r="B706" i="20"/>
  <c r="B1830" i="20"/>
  <c r="B3639" i="20"/>
  <c r="B2860" i="20"/>
  <c r="B2054" i="20"/>
  <c r="A506" i="20"/>
  <c r="A3884" i="20"/>
  <c r="B3517" i="20"/>
  <c r="A3660" i="20"/>
  <c r="B4708" i="20"/>
  <c r="A1792" i="20"/>
  <c r="A1822" i="20"/>
  <c r="B4741" i="20"/>
  <c r="B4500" i="20"/>
  <c r="A3291" i="20"/>
  <c r="B3584" i="20"/>
  <c r="B5220" i="20"/>
  <c r="A4334" i="20"/>
  <c r="A121" i="8"/>
  <c r="B8473" i="20"/>
  <c r="A55" i="19"/>
  <c r="A21" i="20"/>
  <c r="B2186" i="20"/>
  <c r="B1472" i="20"/>
  <c r="H115" i="6"/>
  <c r="A319" i="20"/>
  <c r="B5503" i="20"/>
  <c r="A4420" i="20"/>
  <c r="A1541" i="20"/>
  <c r="A3881" i="20"/>
  <c r="A99" i="19"/>
  <c r="B80" i="8"/>
  <c r="B7050" i="20"/>
  <c r="A103" i="10"/>
  <c r="G64" i="5"/>
  <c r="B1342" i="20"/>
  <c r="B1126" i="16"/>
  <c r="B1046" i="16"/>
  <c r="A4931" i="20"/>
  <c r="H6" i="12"/>
  <c r="A47" i="1"/>
  <c r="B311" i="19"/>
  <c r="A1126" i="16"/>
  <c r="G132" i="13"/>
  <c r="A92" i="10"/>
  <c r="B194" i="16"/>
  <c r="A1857" i="20"/>
  <c r="B751" i="20"/>
  <c r="A4536" i="20"/>
  <c r="A317" i="20"/>
  <c r="A3336" i="20"/>
  <c r="A323" i="19"/>
  <c r="A3005" i="20"/>
  <c r="B3298" i="20"/>
  <c r="B2328" i="20"/>
  <c r="B4315" i="20"/>
  <c r="A1844" i="20"/>
  <c r="B37" i="20"/>
  <c r="A451" i="20"/>
  <c r="B55" i="19"/>
  <c r="B1864" i="20"/>
  <c r="A118" i="8"/>
  <c r="B62" i="8"/>
  <c r="G126" i="7"/>
  <c r="A59" i="9"/>
  <c r="A35" i="16"/>
  <c r="B1993" i="20"/>
  <c r="A418" i="20"/>
  <c r="A1203" i="20"/>
  <c r="A1481" i="16"/>
  <c r="A1001" i="16"/>
  <c r="B37" i="13"/>
  <c r="G97" i="11"/>
  <c r="B1814" i="20"/>
  <c r="B1344" i="20"/>
  <c r="E90" i="12"/>
  <c r="B718" i="16"/>
  <c r="B1114" i="20"/>
  <c r="A91" i="2"/>
  <c r="H6" i="13"/>
  <c r="B826" i="20"/>
  <c r="A1227" i="16"/>
  <c r="B2154" i="20"/>
  <c r="B44" i="6"/>
  <c r="B42" i="5"/>
  <c r="A42" i="20"/>
  <c r="A38" i="5"/>
  <c r="A115" i="4"/>
  <c r="G113" i="8"/>
  <c r="H50" i="9"/>
  <c r="B159" i="19"/>
  <c r="B119" i="13"/>
  <c r="G123" i="7"/>
  <c r="A68" i="16"/>
  <c r="A143" i="1"/>
  <c r="G45" i="7"/>
  <c r="A81" i="6"/>
  <c r="A1349" i="16"/>
  <c r="A92" i="6"/>
  <c r="A132" i="9"/>
  <c r="B1777" i="20"/>
  <c r="G119" i="4"/>
  <c r="B94" i="8"/>
  <c r="G109" i="10"/>
  <c r="H98" i="5"/>
  <c r="B112" i="7"/>
  <c r="A6384" i="20"/>
  <c r="A33" i="4"/>
  <c r="B37" i="18"/>
  <c r="A205" i="19"/>
  <c r="B234" i="20"/>
  <c r="E13" i="7"/>
  <c r="B14" i="18"/>
  <c r="A878" i="16"/>
  <c r="B4534" i="20"/>
  <c r="F1" i="2"/>
  <c r="B119" i="5"/>
  <c r="A587" i="20"/>
  <c r="A31" i="2"/>
  <c r="E104" i="9"/>
  <c r="B641" i="16"/>
  <c r="A42" i="19"/>
  <c r="A45" i="8"/>
  <c r="B82" i="13"/>
  <c r="B109" i="13"/>
  <c r="B4" i="6"/>
  <c r="B142" i="8"/>
  <c r="A606" i="20"/>
  <c r="H117" i="12"/>
  <c r="B2687" i="20"/>
  <c r="A748" i="16"/>
  <c r="A36" i="4"/>
  <c r="D78" i="10"/>
  <c r="A29" i="8"/>
  <c r="G91" i="5"/>
  <c r="A2791" i="20"/>
  <c r="A7" i="11"/>
  <c r="F10" i="5"/>
  <c r="A562" i="20"/>
  <c r="H132" i="10"/>
  <c r="E140" i="4"/>
  <c r="A34" i="13"/>
  <c r="G102" i="1"/>
  <c r="G115" i="6"/>
  <c r="A387" i="16"/>
  <c r="H57" i="2"/>
  <c r="B1148" i="20"/>
  <c r="A1078" i="16"/>
  <c r="A2489" i="20"/>
  <c r="B99" i="16"/>
  <c r="A84" i="8"/>
  <c r="B1335" i="16"/>
  <c r="E12" i="6"/>
  <c r="A3398" i="20"/>
  <c r="B37" i="4"/>
  <c r="A70" i="2"/>
  <c r="A502" i="20"/>
  <c r="B164" i="16"/>
  <c r="H64" i="4"/>
  <c r="A1178" i="16"/>
  <c r="A3382" i="20"/>
  <c r="B1971" i="20"/>
  <c r="B81" i="12"/>
  <c r="A3983" i="20"/>
  <c r="B55" i="8"/>
  <c r="A292" i="16"/>
  <c r="B383" i="19"/>
  <c r="G30" i="1"/>
  <c r="A111" i="20"/>
  <c r="G23" i="8"/>
  <c r="A41" i="1"/>
  <c r="B1118" i="16"/>
  <c r="A919" i="20"/>
  <c r="B73" i="2"/>
  <c r="B6022" i="20"/>
  <c r="B1629" i="20"/>
  <c r="B18" i="20"/>
  <c r="H20" i="7"/>
  <c r="B143" i="9"/>
  <c r="A132" i="19"/>
  <c r="B3482" i="20"/>
  <c r="B3721" i="20"/>
  <c r="A1569" i="16"/>
  <c r="A758" i="20"/>
  <c r="B693" i="20"/>
  <c r="A4275" i="20"/>
  <c r="A3982" i="20"/>
  <c r="B2478" i="20"/>
  <c r="B477" i="16"/>
  <c r="A131" i="6"/>
  <c r="B565" i="20"/>
  <c r="B155" i="20"/>
  <c r="H38" i="5"/>
  <c r="G68" i="4"/>
  <c r="H60" i="9"/>
  <c r="E125" i="13"/>
  <c r="A2317" i="20"/>
  <c r="A540" i="20"/>
  <c r="A188" i="20"/>
  <c r="B1363" i="20"/>
  <c r="B3380" i="20"/>
  <c r="B1251" i="20"/>
  <c r="B697" i="20"/>
  <c r="A2338" i="20"/>
  <c r="A1185" i="16"/>
  <c r="B23" i="4"/>
  <c r="B58" i="20"/>
  <c r="A1334" i="20"/>
  <c r="B685" i="20"/>
  <c r="G100" i="1"/>
  <c r="B169" i="19"/>
  <c r="B2823" i="20"/>
  <c r="B485" i="16"/>
  <c r="B144" i="16"/>
  <c r="A37" i="2"/>
  <c r="A12" i="4"/>
  <c r="A50" i="16"/>
  <c r="A1754" i="16"/>
  <c r="G105" i="2"/>
  <c r="B1439" i="16"/>
  <c r="B90" i="9"/>
  <c r="H60" i="4"/>
  <c r="H106" i="6"/>
  <c r="A9" i="19"/>
  <c r="B90" i="8"/>
  <c r="B1087" i="20"/>
  <c r="B28" i="2"/>
  <c r="G44" i="12"/>
  <c r="A3656" i="20"/>
  <c r="A91" i="7"/>
  <c r="A103" i="8"/>
  <c r="B1021" i="16"/>
  <c r="B18" i="9"/>
  <c r="G5" i="11"/>
  <c r="A115" i="7"/>
  <c r="G75" i="11"/>
  <c r="G44" i="4"/>
  <c r="B611" i="16"/>
  <c r="G54" i="9"/>
  <c r="A1740" i="16"/>
  <c r="A105" i="6"/>
  <c r="A2342" i="20"/>
  <c r="B48" i="7"/>
  <c r="H86" i="10"/>
  <c r="B2" i="1"/>
  <c r="B110" i="11"/>
  <c r="A1310" i="16"/>
  <c r="G93" i="1"/>
  <c r="E94" i="4"/>
  <c r="B1142" i="16"/>
  <c r="B2147" i="20"/>
  <c r="B4474" i="20"/>
  <c r="B64" i="4"/>
  <c r="H37" i="13"/>
  <c r="A109" i="4"/>
  <c r="A51" i="20"/>
  <c r="A843" i="16"/>
  <c r="H124" i="12"/>
  <c r="B746" i="16"/>
  <c r="H137" i="2"/>
  <c r="B1807" i="20"/>
  <c r="G64" i="2"/>
  <c r="A149" i="1"/>
  <c r="G50" i="12"/>
  <c r="B222" i="16"/>
  <c r="B110" i="4"/>
  <c r="B996" i="16"/>
  <c r="H71" i="6"/>
  <c r="B1449" i="16"/>
  <c r="B137" i="10"/>
  <c r="B110" i="10"/>
  <c r="F3" i="8"/>
  <c r="A1620" i="16"/>
  <c r="G30" i="13"/>
  <c r="A46" i="10"/>
  <c r="G39" i="12"/>
  <c r="B51" i="10"/>
  <c r="F110" i="4"/>
  <c r="B1371" i="16"/>
  <c r="A114" i="4"/>
  <c r="H126" i="8"/>
  <c r="A4856" i="20"/>
  <c r="A112" i="2"/>
  <c r="A2114" i="20"/>
  <c r="G103" i="8"/>
  <c r="A104" i="18"/>
  <c r="B1174" i="16"/>
  <c r="B302" i="16"/>
  <c r="H115" i="11"/>
  <c r="G89" i="8"/>
  <c r="F28" i="10"/>
  <c r="B1187" i="20"/>
  <c r="A82" i="6"/>
  <c r="G121" i="7"/>
  <c r="A140" i="16"/>
  <c r="B30" i="11"/>
  <c r="B1782" i="16"/>
  <c r="A123" i="7"/>
  <c r="A484" i="16"/>
  <c r="A99" i="1"/>
  <c r="A640" i="20"/>
  <c r="A3308" i="20"/>
  <c r="B1795" i="16"/>
  <c r="A5" i="16"/>
  <c r="H87" i="13"/>
  <c r="B1626" i="20"/>
  <c r="A1833" i="20"/>
  <c r="B3503" i="20"/>
  <c r="B118" i="11"/>
  <c r="B4681" i="20"/>
  <c r="C49" i="18"/>
  <c r="B9047" i="20"/>
  <c r="B3577" i="20"/>
  <c r="B3599" i="20"/>
  <c r="B282" i="19"/>
  <c r="B38" i="17"/>
  <c r="B750" i="16"/>
  <c r="B538" i="16"/>
  <c r="A1782" i="16"/>
  <c r="B2113" i="20"/>
  <c r="E96" i="2"/>
  <c r="A3239" i="20"/>
  <c r="A483" i="20"/>
  <c r="B1" i="46"/>
  <c r="B7602" i="20"/>
  <c r="A6124" i="20"/>
  <c r="B7613" i="20"/>
  <c r="B2632" i="20"/>
  <c r="A2276" i="20"/>
  <c r="A669" i="20"/>
  <c r="B4850" i="20"/>
  <c r="B86" i="7"/>
  <c r="B114" i="12"/>
  <c r="B5208" i="20"/>
  <c r="H99" i="2"/>
  <c r="B985" i="16"/>
  <c r="A270" i="19"/>
  <c r="B1722" i="20"/>
  <c r="A860" i="16"/>
  <c r="B4157" i="20"/>
  <c r="H47" i="10"/>
  <c r="A68" i="5"/>
  <c r="B1665" i="16"/>
  <c r="B1425" i="20"/>
  <c r="A846" i="16"/>
  <c r="C137" i="18"/>
  <c r="G29" i="11"/>
  <c r="A19" i="7"/>
  <c r="B202" i="16"/>
  <c r="B3091" i="20"/>
  <c r="B177" i="16"/>
  <c r="B68" i="16"/>
  <c r="A68" i="6"/>
  <c r="G80" i="9"/>
  <c r="B326" i="20"/>
  <c r="G123" i="1"/>
  <c r="A1738" i="20"/>
  <c r="A1598" i="20"/>
  <c r="A63" i="8"/>
  <c r="B575" i="20"/>
  <c r="A673" i="16"/>
  <c r="A415" i="20"/>
  <c r="A83" i="8"/>
  <c r="B359" i="20"/>
  <c r="A2796" i="20"/>
  <c r="B6232" i="20"/>
  <c r="B8659" i="20"/>
  <c r="B4580" i="20"/>
  <c r="G109" i="8"/>
  <c r="B49" i="6"/>
  <c r="F91" i="6"/>
  <c r="B614" i="20"/>
  <c r="A260" i="16"/>
  <c r="B3181" i="20"/>
  <c r="A2707" i="20"/>
  <c r="A773" i="20"/>
  <c r="F35" i="7"/>
  <c r="A2672" i="20"/>
  <c r="B1950" i="20"/>
  <c r="A286" i="19"/>
  <c r="A63" i="5"/>
  <c r="B139" i="19"/>
  <c r="G114" i="1"/>
  <c r="H91" i="9"/>
  <c r="B4597" i="20"/>
  <c r="F4" i="12"/>
  <c r="B1219" i="16"/>
  <c r="B1084" i="20"/>
  <c r="B74" i="7"/>
  <c r="A100" i="9"/>
  <c r="B4324" i="20"/>
  <c r="A999" i="16"/>
  <c r="B713" i="16"/>
  <c r="A654" i="20"/>
  <c r="B1479" i="16"/>
  <c r="A164" i="19"/>
  <c r="A262" i="19"/>
  <c r="A53" i="5"/>
  <c r="B1451" i="16"/>
  <c r="A41" i="10"/>
  <c r="A707" i="16"/>
  <c r="B3477" i="20"/>
  <c r="B2836" i="20"/>
  <c r="A1844" i="16"/>
  <c r="B364" i="20"/>
  <c r="B641" i="20"/>
  <c r="A63" i="10"/>
  <c r="H65" i="4"/>
  <c r="B522" i="16"/>
  <c r="A123" i="5"/>
  <c r="A911" i="20"/>
  <c r="B100" i="4"/>
  <c r="H94" i="4"/>
  <c r="B29" i="4"/>
  <c r="H57" i="12"/>
  <c r="A1223" i="20"/>
  <c r="F105" i="11"/>
  <c r="B2353" i="20"/>
  <c r="A87" i="4"/>
  <c r="A42" i="13"/>
  <c r="A4014" i="20"/>
  <c r="G73" i="7"/>
  <c r="H9" i="12"/>
  <c r="B138" i="4"/>
  <c r="B90" i="20"/>
  <c r="A336" i="16"/>
  <c r="B429" i="20"/>
  <c r="B107" i="7"/>
  <c r="G89" i="1"/>
  <c r="A129" i="18"/>
  <c r="B105" i="7"/>
  <c r="B24" i="5"/>
  <c r="A1526" i="16"/>
  <c r="B109" i="8"/>
  <c r="A90" i="5"/>
  <c r="A715" i="16"/>
  <c r="A1162" i="16"/>
  <c r="A1119" i="16"/>
  <c r="H109" i="8"/>
  <c r="A1732" i="20"/>
  <c r="B116" i="10"/>
  <c r="C34" i="18"/>
  <c r="B734" i="16"/>
  <c r="G65" i="6"/>
  <c r="B148" i="18"/>
  <c r="B56" i="4"/>
  <c r="B1409" i="16"/>
  <c r="B15" i="2"/>
  <c r="G24" i="7"/>
  <c r="B541" i="20"/>
  <c r="A87" i="6"/>
  <c r="A958" i="16"/>
  <c r="G23" i="13"/>
  <c r="B52" i="5"/>
  <c r="G15" i="8"/>
  <c r="G49" i="12"/>
  <c r="G105" i="13"/>
  <c r="A16" i="16"/>
  <c r="H29" i="6"/>
  <c r="F81" i="1"/>
  <c r="B916" i="16"/>
  <c r="H86" i="6"/>
  <c r="A3" i="6"/>
  <c r="B35" i="10"/>
  <c r="F142" i="1"/>
  <c r="B81" i="19"/>
  <c r="H151" i="8"/>
  <c r="B131" i="5"/>
  <c r="H131" i="10"/>
  <c r="H15" i="1"/>
  <c r="A130" i="2"/>
  <c r="A2140" i="20"/>
  <c r="B57" i="7"/>
  <c r="B482" i="16"/>
  <c r="A1643" i="16"/>
  <c r="G29" i="12"/>
  <c r="A132" i="10"/>
  <c r="A169" i="19"/>
  <c r="A684" i="16"/>
  <c r="B2629" i="20"/>
  <c r="B1984" i="20"/>
  <c r="B62" i="7"/>
  <c r="A178" i="19"/>
  <c r="A118" i="4"/>
  <c r="H5" i="11"/>
  <c r="A711" i="20"/>
  <c r="B114" i="7"/>
  <c r="A95" i="1"/>
  <c r="F6" i="10"/>
  <c r="A3285" i="20"/>
  <c r="A1396" i="20"/>
  <c r="B1506" i="20"/>
  <c r="A751" i="16"/>
  <c r="D1" i="5"/>
  <c r="B5265" i="20"/>
  <c r="A1708" i="20"/>
  <c r="H133" i="12"/>
  <c r="B67" i="10"/>
  <c r="H73" i="6"/>
  <c r="B2970" i="20"/>
  <c r="H30" i="6"/>
  <c r="A1" i="1"/>
  <c r="B2271" i="20"/>
  <c r="B2801" i="20"/>
  <c r="B1509" i="16"/>
  <c r="B89" i="20"/>
  <c r="B1478" i="20"/>
  <c r="B1132" i="20"/>
  <c r="A8" i="14"/>
  <c r="A107" i="18"/>
  <c r="A1443" i="20"/>
  <c r="A34" i="2"/>
  <c r="H85" i="6"/>
  <c r="A3007" i="20"/>
  <c r="A2530" i="20"/>
  <c r="B3909" i="20"/>
  <c r="A5273" i="20"/>
  <c r="B172" i="19"/>
  <c r="B3099" i="20"/>
  <c r="B1157" i="20"/>
  <c r="A332" i="20"/>
  <c r="B21" i="7"/>
  <c r="A495" i="20"/>
  <c r="C67" i="2"/>
  <c r="A210" i="19"/>
  <c r="B2661" i="20"/>
  <c r="A30" i="17"/>
  <c r="B2925" i="20"/>
  <c r="A1232" i="20"/>
  <c r="B4255" i="20"/>
  <c r="G90" i="13"/>
  <c r="B4237" i="20"/>
  <c r="B1215" i="16"/>
  <c r="A125" i="13"/>
  <c r="B2853" i="20"/>
  <c r="B3333" i="20"/>
  <c r="B3371" i="20"/>
  <c r="H45" i="11"/>
  <c r="B1650" i="20"/>
  <c r="B4382" i="20"/>
  <c r="B3337" i="20"/>
  <c r="B1945" i="20"/>
  <c r="A75" i="16"/>
  <c r="B91" i="4"/>
  <c r="B1379" i="20"/>
  <c r="A10" i="6"/>
  <c r="B563" i="20"/>
  <c r="B1787" i="16"/>
  <c r="E3" i="12"/>
  <c r="G126" i="8"/>
  <c r="B8" i="15"/>
  <c r="A123" i="8"/>
  <c r="D11" i="1"/>
  <c r="B312" i="19"/>
  <c r="B577" i="20"/>
  <c r="A5327" i="20"/>
  <c r="B1452" i="16"/>
  <c r="B16" i="13"/>
  <c r="B2337" i="20"/>
  <c r="A163" i="16"/>
  <c r="A5" i="12"/>
  <c r="A115" i="10"/>
  <c r="A7" i="5"/>
  <c r="B579" i="20"/>
  <c r="A62" i="12"/>
  <c r="B1832" i="16"/>
  <c r="A1145" i="20"/>
  <c r="B365" i="19"/>
  <c r="A65" i="19"/>
  <c r="A144" i="18"/>
  <c r="A59" i="20"/>
  <c r="B1773" i="16"/>
  <c r="B6448" i="20"/>
  <c r="B7656" i="20"/>
  <c r="A6989" i="20"/>
  <c r="A2482" i="20"/>
  <c r="H122" i="7"/>
  <c r="B102" i="10"/>
  <c r="A7983" i="20"/>
  <c r="B90" i="19"/>
  <c r="G61" i="12"/>
  <c r="A128" i="19"/>
  <c r="A21" i="17"/>
  <c r="B913" i="16"/>
  <c r="B593" i="16"/>
  <c r="B1659" i="16"/>
  <c r="A3665" i="20"/>
  <c r="G92" i="6"/>
  <c r="F2" i="11"/>
  <c r="B7537" i="20"/>
  <c r="A180" i="19"/>
  <c r="B20" i="11"/>
  <c r="H6" i="9"/>
  <c r="A114" i="8"/>
  <c r="B4021" i="20"/>
  <c r="A3" i="9"/>
  <c r="A5999" i="20"/>
  <c r="B1563" i="20"/>
  <c r="G123" i="12"/>
  <c r="F133" i="13"/>
  <c r="B1678" i="20"/>
  <c r="H143" i="1"/>
  <c r="A2237" i="20"/>
  <c r="B670" i="16"/>
  <c r="F47" i="9"/>
  <c r="H102" i="2"/>
  <c r="A935" i="20"/>
  <c r="B850" i="20"/>
  <c r="B523" i="20"/>
  <c r="A3690" i="20"/>
  <c r="B15" i="16"/>
  <c r="B2093" i="20"/>
  <c r="B1917" i="20"/>
  <c r="B701" i="20"/>
  <c r="B6906" i="20"/>
  <c r="H17" i="9"/>
  <c r="A1678" i="16"/>
  <c r="B4101" i="20"/>
  <c r="A730" i="16"/>
  <c r="B364" i="16"/>
  <c r="B6351" i="20"/>
  <c r="H152" i="4"/>
  <c r="H78" i="6"/>
  <c r="B879" i="16"/>
  <c r="G128" i="5"/>
  <c r="A2" i="10"/>
  <c r="A216" i="16"/>
  <c r="B63" i="12"/>
  <c r="B5132" i="20"/>
  <c r="H43" i="7"/>
  <c r="A6" i="5"/>
  <c r="A4088" i="20"/>
  <c r="G115" i="8"/>
  <c r="A786" i="20"/>
  <c r="B1490" i="20"/>
  <c r="B123" i="13"/>
  <c r="G126" i="4"/>
  <c r="B1068" i="20"/>
  <c r="H72" i="5"/>
  <c r="H80" i="9"/>
  <c r="A691" i="20"/>
  <c r="A2428" i="20"/>
  <c r="B1393" i="20"/>
  <c r="F57" i="1"/>
  <c r="B453" i="20"/>
  <c r="A1296" i="16"/>
  <c r="A3241" i="20"/>
  <c r="F103" i="6"/>
  <c r="A908" i="16"/>
  <c r="A161" i="16"/>
  <c r="A51" i="16"/>
  <c r="B140" i="8"/>
  <c r="A3090" i="20"/>
  <c r="H90" i="5"/>
  <c r="A2625" i="20"/>
  <c r="B3289" i="20"/>
  <c r="G43" i="6"/>
  <c r="A85" i="9"/>
  <c r="B50" i="12"/>
  <c r="B401" i="16"/>
  <c r="A30" i="5"/>
  <c r="G96" i="1"/>
  <c r="B2496" i="20"/>
  <c r="H60" i="7"/>
  <c r="F43" i="1"/>
  <c r="B590" i="20"/>
  <c r="B12" i="6"/>
  <c r="A1090" i="16"/>
  <c r="B2326" i="20"/>
  <c r="B2810" i="20"/>
  <c r="A122" i="9"/>
  <c r="F5" i="2"/>
  <c r="A1063" i="20"/>
  <c r="B1715" i="16"/>
  <c r="C58" i="18"/>
  <c r="B236" i="16"/>
  <c r="G108" i="4"/>
  <c r="H128" i="1"/>
  <c r="B2" i="7"/>
  <c r="B2315" i="20"/>
  <c r="A135" i="8"/>
  <c r="A24" i="7"/>
  <c r="B62" i="2"/>
  <c r="A4000" i="20"/>
  <c r="A99" i="11"/>
  <c r="A563" i="16"/>
  <c r="B1465" i="20"/>
  <c r="A336" i="19"/>
  <c r="A455" i="16"/>
  <c r="G131" i="4"/>
  <c r="A633" i="16"/>
  <c r="B3864" i="20"/>
  <c r="B3407" i="20"/>
  <c r="A1182" i="20"/>
  <c r="B424" i="16"/>
  <c r="A593" i="20"/>
  <c r="G18" i="13"/>
  <c r="B902" i="16"/>
  <c r="H93" i="10"/>
  <c r="H106" i="8"/>
  <c r="B4873" i="20"/>
  <c r="B2808" i="20"/>
  <c r="A8794" i="20"/>
  <c r="B277" i="20"/>
  <c r="H117" i="2"/>
  <c r="A380" i="16"/>
  <c r="A1550" i="20"/>
  <c r="A812" i="20"/>
  <c r="B71" i="7"/>
  <c r="A7882" i="20"/>
  <c r="A6553" i="20"/>
  <c r="A4896" i="20"/>
  <c r="B5150" i="20"/>
  <c r="B229" i="20"/>
  <c r="B1293" i="20"/>
  <c r="H13" i="2"/>
  <c r="B114" i="8"/>
  <c r="A2458" i="20"/>
  <c r="B93" i="10"/>
  <c r="H90" i="11"/>
  <c r="B112" i="18"/>
  <c r="A480" i="20"/>
  <c r="A17" i="8"/>
  <c r="A16" i="5"/>
  <c r="B2188" i="20"/>
  <c r="G53" i="2"/>
  <c r="H15" i="12"/>
  <c r="B2153" i="20"/>
  <c r="H104" i="2"/>
  <c r="B114" i="9"/>
  <c r="B1799" i="16"/>
  <c r="A494" i="16"/>
  <c r="G90" i="7"/>
  <c r="A1051" i="16"/>
  <c r="F36" i="12"/>
  <c r="H38" i="12"/>
  <c r="A749" i="16"/>
  <c r="B13" i="6"/>
  <c r="B260" i="16"/>
  <c r="B546" i="20"/>
  <c r="B1585" i="16"/>
  <c r="H123" i="10"/>
  <c r="A1493" i="20"/>
  <c r="B119" i="9"/>
  <c r="A1773" i="20"/>
  <c r="B107" i="11"/>
  <c r="F9" i="13"/>
  <c r="A1595" i="16"/>
  <c r="B194" i="19"/>
  <c r="E35" i="8"/>
  <c r="A1621" i="16"/>
  <c r="B395" i="20"/>
  <c r="A8" i="5"/>
  <c r="B27" i="5"/>
  <c r="B106" i="18"/>
  <c r="B510" i="16"/>
  <c r="A1271" i="16"/>
  <c r="G83" i="1"/>
  <c r="B530" i="16"/>
  <c r="B267" i="16"/>
  <c r="A6" i="2"/>
  <c r="F33" i="12"/>
  <c r="B1494" i="16"/>
  <c r="A78" i="2"/>
  <c r="B2627" i="20"/>
  <c r="A154" i="4"/>
  <c r="B107" i="5"/>
  <c r="E3" i="13"/>
  <c r="B698" i="16"/>
  <c r="B39" i="9"/>
  <c r="G30" i="8"/>
  <c r="H54" i="4"/>
  <c r="F27" i="6"/>
  <c r="B54" i="10"/>
  <c r="A4671" i="20"/>
  <c r="A74" i="2"/>
  <c r="B2681" i="20"/>
  <c r="B95" i="12"/>
  <c r="B38" i="7"/>
  <c r="H122" i="9"/>
  <c r="B1674" i="20"/>
  <c r="B246" i="19"/>
  <c r="A129" i="19"/>
  <c r="A1044" i="20"/>
  <c r="A1846" i="16"/>
  <c r="G93" i="10"/>
  <c r="A1544" i="16"/>
  <c r="B8438" i="20"/>
  <c r="G78" i="12"/>
  <c r="B834" i="16"/>
  <c r="A1809" i="16"/>
  <c r="G121" i="6"/>
  <c r="E4" i="10"/>
  <c r="B637" i="20"/>
  <c r="B578" i="20"/>
  <c r="B2887" i="20"/>
  <c r="B61" i="12"/>
  <c r="A62" i="18"/>
  <c r="A48" i="18"/>
  <c r="B360" i="19"/>
  <c r="B59" i="9"/>
  <c r="B616" i="16"/>
  <c r="A1162" i="20"/>
  <c r="A686" i="16"/>
  <c r="B107" i="9"/>
  <c r="B102" i="6"/>
  <c r="A130" i="13"/>
  <c r="N30" i="33"/>
  <c r="B7018" i="20"/>
  <c r="A4241" i="20"/>
  <c r="A5080" i="20"/>
  <c r="B495" i="20"/>
  <c r="A3811" i="20"/>
  <c r="B7928" i="20"/>
  <c r="A3446" i="20"/>
  <c r="B7468" i="20"/>
  <c r="A2926" i="20"/>
  <c r="A111" i="45"/>
  <c r="A7632" i="20"/>
  <c r="A6045" i="20"/>
  <c r="A8297" i="20"/>
  <c r="A2818" i="20"/>
  <c r="B4317" i="20"/>
  <c r="B6429" i="20"/>
  <c r="B5301" i="20"/>
  <c r="A3809" i="20"/>
  <c r="B1794" i="20"/>
  <c r="A2595" i="20"/>
  <c r="B5584" i="20"/>
  <c r="B2098" i="20"/>
  <c r="A3204" i="20"/>
  <c r="A7839" i="20"/>
  <c r="A1282" i="20"/>
  <c r="A6671" i="20"/>
  <c r="B1434" i="16"/>
  <c r="B7261" i="20"/>
  <c r="B758" i="20"/>
  <c r="B5758" i="20"/>
  <c r="B301" i="16"/>
  <c r="B4865" i="20"/>
  <c r="A8225" i="20"/>
  <c r="B3676" i="20"/>
  <c r="B6335" i="20"/>
  <c r="A6640" i="20"/>
  <c r="A4824" i="20"/>
  <c r="B6771" i="20"/>
  <c r="B5039" i="20"/>
  <c r="A5749" i="20"/>
  <c r="B4540" i="20"/>
  <c r="A678" i="45"/>
  <c r="A922" i="20"/>
  <c r="A3121" i="20"/>
  <c r="A7158" i="20"/>
  <c r="B7755" i="20"/>
  <c r="A3949" i="20"/>
  <c r="B7972" i="20"/>
  <c r="A6172" i="20"/>
  <c r="B7551" i="20"/>
  <c r="B4026" i="20"/>
  <c r="A1720" i="20"/>
  <c r="B5684" i="20"/>
  <c r="B4901" i="20"/>
  <c r="A2350" i="20"/>
  <c r="B4154" i="20"/>
  <c r="B250" i="19"/>
  <c r="A6352" i="20"/>
  <c r="A6502" i="20"/>
  <c r="N39" i="29"/>
  <c r="B5418" i="20"/>
  <c r="A2934" i="20"/>
  <c r="H96" i="7"/>
  <c r="A520" i="20"/>
  <c r="B325" i="20"/>
  <c r="B2619" i="20"/>
  <c r="A885" i="16"/>
  <c r="B6527" i="20"/>
  <c r="B261" i="19"/>
  <c r="B4781" i="20"/>
  <c r="A4792" i="20"/>
  <c r="A5059" i="20"/>
  <c r="A7325" i="20"/>
  <c r="A5350" i="20"/>
  <c r="A4985" i="20"/>
  <c r="B5630" i="20"/>
  <c r="B4996" i="20"/>
  <c r="A2670" i="20"/>
  <c r="A1167" i="20"/>
  <c r="B1506" i="16"/>
  <c r="A3441" i="20"/>
  <c r="B3634" i="20"/>
  <c r="A1722" i="20"/>
  <c r="A6056" i="20"/>
  <c r="A1209" i="20"/>
  <c r="A3637" i="20"/>
  <c r="B5140" i="20"/>
  <c r="B7188" i="20"/>
  <c r="A3003" i="20"/>
  <c r="A3892" i="20"/>
  <c r="B2859" i="20"/>
  <c r="A7240" i="20"/>
  <c r="A4416" i="20"/>
  <c r="B4017" i="20"/>
  <c r="A1850" i="20"/>
  <c r="B5672" i="20"/>
  <c r="A5027" i="20"/>
  <c r="B5753" i="20"/>
  <c r="B346" i="19"/>
  <c r="B2735" i="20"/>
  <c r="A4389" i="20"/>
  <c r="A898" i="20"/>
  <c r="B257" i="19"/>
  <c r="A2448" i="20"/>
  <c r="B1077" i="16"/>
  <c r="B8396" i="20"/>
  <c r="A3383" i="20"/>
  <c r="A35" i="18"/>
  <c r="B6639" i="20"/>
  <c r="G49" i="11"/>
  <c r="A5544" i="20"/>
  <c r="A8202" i="20"/>
  <c r="B5836" i="20"/>
  <c r="A7186" i="20"/>
  <c r="B7315" i="20"/>
  <c r="B5470" i="20"/>
  <c r="A3995" i="20"/>
  <c r="B735" i="16"/>
  <c r="H95" i="12"/>
  <c r="B6579" i="20"/>
  <c r="B6474" i="20"/>
  <c r="A5189" i="20"/>
  <c r="B5934" i="20"/>
  <c r="B103" i="18"/>
  <c r="B2" i="20"/>
  <c r="B15" i="13"/>
  <c r="B3921" i="20"/>
  <c r="A661" i="20"/>
  <c r="A3109" i="20"/>
  <c r="A2143" i="20"/>
  <c r="B5604" i="20"/>
  <c r="B1640" i="16"/>
  <c r="A3667" i="20"/>
  <c r="F11" i="12"/>
  <c r="B1450" i="20"/>
  <c r="A5029" i="20"/>
  <c r="B1551" i="20"/>
  <c r="A3038" i="20"/>
  <c r="B2386" i="20"/>
  <c r="A1206" i="20"/>
  <c r="B569" i="20"/>
  <c r="B3722" i="20"/>
  <c r="A6361" i="20"/>
  <c r="B14" i="19"/>
  <c r="A4928" i="20"/>
  <c r="B4855" i="20"/>
  <c r="B1651" i="20"/>
  <c r="B3867" i="20"/>
  <c r="A3215" i="20"/>
  <c r="F1" i="12"/>
  <c r="A311" i="16"/>
  <c r="A1406" i="20"/>
  <c r="A1929" i="20"/>
  <c r="B4893" i="20"/>
  <c r="A4459" i="20"/>
  <c r="H81" i="12"/>
  <c r="B93" i="16"/>
  <c r="A2257" i="20"/>
  <c r="A3769" i="20"/>
  <c r="B7119" i="20"/>
  <c r="B1045" i="16"/>
  <c r="A2655" i="20"/>
  <c r="A574" i="20"/>
  <c r="A5653" i="20"/>
  <c r="A1579" i="20"/>
  <c r="A6841" i="20"/>
  <c r="A4107" i="20"/>
  <c r="B2899" i="20"/>
  <c r="A134" i="32"/>
  <c r="A43" i="19"/>
  <c r="A433" i="16"/>
  <c r="B4712" i="20"/>
  <c r="B1271" i="16"/>
  <c r="B4069" i="20"/>
  <c r="B835" i="16"/>
  <c r="A2392" i="20"/>
  <c r="B94" i="2"/>
  <c r="B4773" i="20"/>
  <c r="A1488" i="20"/>
  <c r="B6375" i="20"/>
  <c r="A3307" i="20"/>
  <c r="B1483" i="20"/>
  <c r="H46" i="5"/>
  <c r="B4655" i="20"/>
  <c r="B504" i="16"/>
  <c r="A242" i="32"/>
  <c r="A30" i="13"/>
  <c r="A612" i="20"/>
  <c r="B804" i="16"/>
  <c r="B3858" i="20"/>
  <c r="G124" i="13"/>
  <c r="B689" i="20"/>
  <c r="B2494" i="20"/>
  <c r="A4672" i="20"/>
  <c r="H19" i="13"/>
  <c r="B1588" i="20"/>
  <c r="B79" i="11"/>
  <c r="B992" i="16"/>
  <c r="A2528" i="20"/>
  <c r="G17" i="5"/>
  <c r="B118" i="20"/>
  <c r="A1311" i="16"/>
  <c r="B94" i="20"/>
  <c r="B87" i="16"/>
  <c r="A107" i="11"/>
  <c r="A1032" i="16"/>
  <c r="B50" i="19"/>
  <c r="B860" i="20"/>
  <c r="A6427" i="20"/>
  <c r="B5992" i="20"/>
  <c r="A1750" i="16"/>
  <c r="A295" i="19"/>
  <c r="A591" i="16"/>
  <c r="H65" i="11"/>
  <c r="B2695" i="20"/>
  <c r="A116" i="7"/>
  <c r="B299" i="19"/>
  <c r="A1157" i="16"/>
  <c r="A1485" i="20"/>
  <c r="A1415" i="16"/>
  <c r="B279" i="20"/>
  <c r="B61" i="10"/>
  <c r="A3373" i="20"/>
  <c r="B4784" i="20"/>
  <c r="A42" i="11"/>
  <c r="B1258" i="16"/>
  <c r="A118" i="19"/>
  <c r="B1252" i="16"/>
  <c r="B398" i="16"/>
  <c r="A2641" i="20"/>
  <c r="A71" i="10"/>
  <c r="B69" i="8"/>
  <c r="B4218" i="20"/>
  <c r="A159" i="20"/>
  <c r="B2289" i="20"/>
  <c r="A6111" i="20"/>
  <c r="B2405" i="20"/>
  <c r="B86" i="18"/>
  <c r="H105" i="5"/>
  <c r="B5296" i="20"/>
  <c r="B40" i="6"/>
  <c r="A2644" i="20"/>
  <c r="B217" i="20"/>
  <c r="A1772" i="20"/>
  <c r="A103" i="7"/>
  <c r="B2699" i="20"/>
  <c r="B89" i="19"/>
  <c r="A4646" i="20"/>
  <c r="B1803" i="20"/>
  <c r="A68" i="13"/>
  <c r="A2498" i="20"/>
  <c r="B4573" i="20"/>
  <c r="B1269" i="20"/>
  <c r="B111" i="8"/>
  <c r="A3672" i="20"/>
  <c r="A149" i="16"/>
  <c r="A66" i="10"/>
  <c r="B50" i="2"/>
  <c r="B933" i="16"/>
  <c r="B85" i="2"/>
  <c r="F9" i="12"/>
  <c r="A114" i="6"/>
  <c r="B35" i="4"/>
  <c r="E5" i="9"/>
  <c r="G153" i="9"/>
  <c r="A907" i="16"/>
  <c r="A277" i="16"/>
  <c r="B4584" i="20"/>
  <c r="A199" i="20"/>
  <c r="A117" i="12"/>
  <c r="F52" i="1"/>
  <c r="A1091" i="16"/>
  <c r="G108" i="2"/>
  <c r="E33" i="8"/>
  <c r="A1662" i="20"/>
  <c r="A1483" i="20"/>
  <c r="A897" i="20"/>
  <c r="H19" i="9"/>
  <c r="B161" i="20"/>
  <c r="B4261" i="20"/>
  <c r="B456" i="20"/>
  <c r="B148" i="4"/>
  <c r="A1586" i="20"/>
  <c r="B461" i="20"/>
  <c r="B1412" i="16"/>
  <c r="A1709" i="16"/>
  <c r="A1191" i="16"/>
  <c r="B825" i="16"/>
  <c r="B1036" i="20"/>
  <c r="G73" i="5"/>
  <c r="B140" i="18"/>
  <c r="A109" i="13"/>
  <c r="A829" i="16"/>
  <c r="B2" i="18"/>
  <c r="A3655" i="20"/>
  <c r="G71" i="10"/>
  <c r="A1714" i="16"/>
  <c r="B46" i="13"/>
  <c r="B854" i="16"/>
  <c r="B353" i="19"/>
  <c r="G39" i="1"/>
  <c r="B74" i="10"/>
  <c r="B800" i="20"/>
  <c r="A3584" i="20"/>
  <c r="C7" i="18"/>
  <c r="B120" i="10"/>
  <c r="B3674" i="20"/>
  <c r="A51" i="7"/>
  <c r="A378" i="20"/>
  <c r="A833" i="20"/>
  <c r="A102" i="8"/>
  <c r="A177" i="16"/>
  <c r="E25" i="11"/>
  <c r="H108" i="1"/>
  <c r="G8" i="2"/>
  <c r="B966" i="20"/>
  <c r="B1596" i="16"/>
  <c r="A193" i="19"/>
  <c r="H102" i="13"/>
  <c r="B114" i="20"/>
  <c r="B922" i="20"/>
  <c r="A3832" i="20"/>
  <c r="B34" i="7"/>
  <c r="B86" i="8"/>
  <c r="A134" i="10"/>
  <c r="C78" i="18"/>
  <c r="H30" i="1"/>
  <c r="G53" i="8"/>
  <c r="B109" i="5"/>
  <c r="B2067" i="20"/>
  <c r="A22" i="20"/>
  <c r="A2836" i="20"/>
  <c r="G49" i="6"/>
  <c r="A541" i="20"/>
  <c r="B387" i="16"/>
  <c r="B5162" i="20"/>
  <c r="A5351" i="20"/>
  <c r="B317" i="20"/>
  <c r="A2095" i="20"/>
  <c r="A1444" i="20"/>
  <c r="B2390" i="20"/>
  <c r="A3097" i="20"/>
  <c r="A2" i="20"/>
  <c r="A5283" i="20"/>
  <c r="B1414" i="16"/>
  <c r="B1230" i="20"/>
  <c r="B2545" i="20"/>
  <c r="A3453" i="20"/>
  <c r="B442" i="16"/>
  <c r="N65" i="33"/>
  <c r="G123" i="10"/>
  <c r="B4194" i="20"/>
  <c r="A3229" i="20"/>
  <c r="G53" i="11"/>
  <c r="B3889" i="20"/>
  <c r="A6344" i="20"/>
  <c r="A4266" i="20"/>
  <c r="A5605" i="20"/>
  <c r="A22" i="17"/>
  <c r="A3853" i="20"/>
  <c r="B6840" i="20"/>
  <c r="B7432" i="20"/>
  <c r="A4424" i="20"/>
  <c r="B1340" i="20"/>
  <c r="B4006" i="20"/>
  <c r="B70" i="18"/>
  <c r="B164" i="19"/>
  <c r="A3022" i="20"/>
  <c r="B4122" i="20"/>
  <c r="A5333" i="20"/>
  <c r="A1697" i="16"/>
  <c r="A2693" i="20"/>
  <c r="B2457" i="20"/>
  <c r="A811" i="20"/>
  <c r="A7753" i="20"/>
  <c r="A638" i="20"/>
  <c r="A6408" i="20"/>
  <c r="H48" i="9"/>
  <c r="B1213" i="20"/>
  <c r="B3896" i="20"/>
  <c r="B377" i="19"/>
  <c r="A1285" i="16"/>
  <c r="B3205" i="20"/>
  <c r="A129" i="10"/>
  <c r="B502" i="20"/>
  <c r="A8599" i="20"/>
  <c r="A130" i="19"/>
  <c r="G130" i="11"/>
  <c r="B3350" i="20"/>
  <c r="B1487" i="20"/>
  <c r="B3412" i="20"/>
  <c r="A111" i="19"/>
  <c r="A988" i="20"/>
  <c r="H100" i="1"/>
  <c r="A917" i="20"/>
  <c r="A57" i="11"/>
  <c r="A1764" i="16"/>
  <c r="C36" i="7"/>
  <c r="A767" i="16"/>
  <c r="A4264" i="20"/>
  <c r="B95" i="19"/>
  <c r="A5213" i="20"/>
  <c r="B97" i="4"/>
  <c r="A701" i="20"/>
  <c r="B2033" i="20"/>
  <c r="A14" i="11"/>
  <c r="A46" i="17"/>
  <c r="B9043" i="20"/>
  <c r="B2988" i="20"/>
  <c r="A1136" i="16"/>
  <c r="B4930" i="20"/>
  <c r="A1264" i="16"/>
  <c r="H121" i="2"/>
  <c r="B280" i="19"/>
  <c r="A613" i="16"/>
  <c r="B1391" i="16"/>
  <c r="G125" i="12"/>
  <c r="C73" i="18"/>
  <c r="B2022" i="20"/>
  <c r="A415" i="16"/>
  <c r="B81" i="9"/>
  <c r="H142" i="10"/>
  <c r="B240" i="16"/>
  <c r="A4696" i="20"/>
  <c r="A8" i="13"/>
  <c r="B3711" i="20"/>
  <c r="B1419" i="16"/>
  <c r="F131" i="1"/>
  <c r="A43" i="11"/>
  <c r="A2031" i="20"/>
  <c r="B3215" i="20"/>
  <c r="A1518" i="20"/>
  <c r="B1517" i="16"/>
  <c r="A2078" i="20"/>
  <c r="A38" i="6"/>
  <c r="B352" i="16"/>
  <c r="A2951" i="20"/>
  <c r="H127" i="12"/>
  <c r="H49" i="7"/>
  <c r="H75" i="11"/>
  <c r="B749" i="16"/>
  <c r="B2713" i="20"/>
  <c r="A88" i="4"/>
  <c r="G46" i="7"/>
  <c r="H108" i="10"/>
  <c r="B72" i="13"/>
  <c r="B860" i="16"/>
  <c r="A1250" i="16"/>
  <c r="B792" i="20"/>
  <c r="F1" i="7"/>
  <c r="A4238" i="20"/>
  <c r="B855" i="20"/>
  <c r="B238" i="19"/>
  <c r="A120" i="2"/>
  <c r="B111" i="2"/>
  <c r="B2796" i="20"/>
  <c r="B123" i="8"/>
  <c r="H70" i="6"/>
  <c r="A8950" i="20"/>
  <c r="F100" i="1"/>
  <c r="A1454" i="16"/>
  <c r="A1127" i="16"/>
  <c r="H111" i="8"/>
  <c r="B216" i="16"/>
  <c r="A3528" i="20"/>
  <c r="H98" i="13"/>
  <c r="B1877" i="20"/>
  <c r="G104" i="10"/>
  <c r="A12" i="16"/>
  <c r="B786" i="16"/>
  <c r="B4798" i="20"/>
  <c r="A125" i="2"/>
  <c r="A2867" i="20"/>
  <c r="A1036" i="20"/>
  <c r="G66" i="7"/>
  <c r="G108" i="13"/>
  <c r="B138" i="16"/>
  <c r="B330" i="45"/>
  <c r="A2492" i="20"/>
  <c r="A274" i="19"/>
  <c r="H44" i="10"/>
  <c r="B115" i="7"/>
  <c r="A287" i="16"/>
  <c r="A101" i="18"/>
  <c r="G16" i="7"/>
  <c r="A88" i="9"/>
  <c r="H103" i="10"/>
  <c r="G18" i="11"/>
  <c r="A44" i="9"/>
  <c r="H13" i="7"/>
  <c r="A1343" i="16"/>
  <c r="A44" i="10"/>
  <c r="B90" i="2"/>
  <c r="A1261" i="16"/>
  <c r="G1" i="1"/>
  <c r="B12" i="14"/>
  <c r="A1516" i="16"/>
  <c r="A60" i="12"/>
  <c r="B360" i="16"/>
  <c r="A89" i="10"/>
  <c r="H75" i="5"/>
  <c r="B290" i="16"/>
  <c r="A1854" i="20"/>
  <c r="A185" i="16"/>
  <c r="B1095" i="20"/>
  <c r="A1530" i="16"/>
  <c r="B97" i="7"/>
  <c r="B74" i="19"/>
  <c r="A675" i="16"/>
  <c r="A1416" i="16"/>
  <c r="B3959" i="20"/>
  <c r="B356" i="19"/>
  <c r="B398" i="20"/>
  <c r="A883" i="16"/>
  <c r="F26" i="13"/>
  <c r="B418" i="20"/>
  <c r="B307" i="20"/>
  <c r="G107" i="8"/>
  <c r="G105" i="1"/>
  <c r="E35" i="4"/>
  <c r="G95" i="1"/>
  <c r="A338" i="19"/>
  <c r="A91" i="16"/>
  <c r="B1296" i="20"/>
  <c r="B4" i="18"/>
  <c r="G55" i="8"/>
  <c r="H6" i="10"/>
  <c r="B1097" i="20"/>
  <c r="B1580" i="16"/>
  <c r="F37" i="1"/>
  <c r="E62" i="6"/>
  <c r="B61" i="4"/>
  <c r="A6459" i="20"/>
  <c r="B667" i="16"/>
  <c r="H55" i="4"/>
  <c r="A141" i="19"/>
  <c r="A1467" i="16"/>
  <c r="A964" i="16"/>
  <c r="B87" i="6"/>
  <c r="B433" i="16"/>
  <c r="E13" i="1"/>
  <c r="B46" i="2"/>
  <c r="B2403" i="20"/>
  <c r="A1474" i="20"/>
  <c r="B362" i="16"/>
  <c r="A1999" i="20"/>
  <c r="A668" i="16"/>
  <c r="H129" i="1"/>
  <c r="G40" i="9"/>
  <c r="B322" i="16"/>
  <c r="B106" i="16"/>
  <c r="H58" i="4"/>
  <c r="B75" i="6"/>
  <c r="H78" i="4"/>
  <c r="H21" i="12"/>
  <c r="B4079" i="20"/>
  <c r="A40" i="13"/>
  <c r="B14" i="7"/>
  <c r="C2" i="1"/>
  <c r="A870" i="16"/>
  <c r="B2553" i="20"/>
  <c r="A6523" i="20"/>
  <c r="B4493" i="20"/>
  <c r="B7031" i="20"/>
  <c r="B3007" i="20"/>
  <c r="B1425" i="16"/>
  <c r="B67" i="11"/>
  <c r="F4" i="2"/>
  <c r="A969" i="16"/>
  <c r="G82" i="10"/>
  <c r="B69" i="20"/>
  <c r="B5154" i="20"/>
  <c r="A2638" i="20"/>
  <c r="A1043" i="20"/>
  <c r="A88" i="11"/>
  <c r="H123" i="7"/>
  <c r="B2142" i="20"/>
  <c r="A1104" i="20"/>
  <c r="C1" i="7"/>
  <c r="A1442" i="20"/>
  <c r="B2081" i="20"/>
  <c r="G131" i="9"/>
  <c r="H43" i="11"/>
  <c r="G44" i="1"/>
  <c r="H22" i="6"/>
  <c r="H20" i="12"/>
  <c r="G18" i="1"/>
  <c r="H31" i="10"/>
  <c r="E36" i="7"/>
  <c r="B1389" i="20"/>
  <c r="B1995" i="20"/>
  <c r="A1277" i="16"/>
  <c r="B340" i="16"/>
  <c r="B1492" i="16"/>
  <c r="A64" i="16"/>
  <c r="A1085" i="16"/>
  <c r="B5214" i="20"/>
  <c r="A29" i="2"/>
  <c r="A1414" i="16"/>
  <c r="H132" i="13"/>
  <c r="A4649" i="20"/>
  <c r="A914" i="20"/>
  <c r="A18" i="5"/>
  <c r="B4753" i="20"/>
  <c r="A731" i="20"/>
  <c r="A5467" i="20"/>
  <c r="A426" i="20"/>
  <c r="B139" i="20"/>
  <c r="A272" i="19"/>
  <c r="A419" i="16"/>
  <c r="A1226" i="16"/>
  <c r="A1658" i="16"/>
  <c r="B14" i="11"/>
  <c r="A1322" i="16"/>
  <c r="A1321" i="20"/>
  <c r="A1304" i="20"/>
  <c r="A3272" i="20"/>
  <c r="G72" i="10"/>
  <c r="G58" i="8"/>
  <c r="A350" i="32"/>
  <c r="C116" i="18"/>
  <c r="B2216" i="20"/>
  <c r="A299" i="20"/>
  <c r="B5552" i="20"/>
  <c r="B136" i="19"/>
  <c r="B1231" i="16"/>
  <c r="A1669" i="16"/>
  <c r="B3514" i="20"/>
  <c r="B3776" i="20"/>
  <c r="F102" i="11"/>
  <c r="A2251" i="20"/>
  <c r="A5100" i="20"/>
  <c r="A2271" i="20"/>
  <c r="B8582" i="20"/>
  <c r="B3708" i="20"/>
  <c r="B6090" i="20"/>
  <c r="B1380" i="20"/>
  <c r="B315" i="20"/>
  <c r="A82" i="19"/>
  <c r="A3727" i="20"/>
  <c r="A1760" i="20"/>
  <c r="B6549" i="20"/>
  <c r="F36" i="7"/>
  <c r="A4565" i="20"/>
  <c r="B2612" i="20"/>
  <c r="A150" i="16"/>
  <c r="A1198" i="20"/>
  <c r="A301" i="20"/>
  <c r="A4051" i="20"/>
  <c r="A1941" i="20"/>
  <c r="A3680" i="20"/>
  <c r="A220" i="20"/>
  <c r="A8355" i="20"/>
  <c r="A6613" i="20"/>
  <c r="B4383" i="20"/>
  <c r="A24" i="20"/>
  <c r="B7499" i="20"/>
  <c r="B30" i="12"/>
  <c r="B471" i="16"/>
  <c r="A5876" i="20"/>
  <c r="B2461" i="20"/>
  <c r="A3961" i="20"/>
  <c r="A4120" i="20"/>
  <c r="B7167" i="20"/>
  <c r="A99" i="18"/>
  <c r="A5536" i="20"/>
  <c r="B4373" i="20"/>
  <c r="A1030" i="16"/>
  <c r="B849" i="16"/>
  <c r="B54" i="16"/>
  <c r="F60" i="12"/>
  <c r="B1437" i="20"/>
  <c r="A361" i="16"/>
  <c r="B134" i="16"/>
  <c r="B3372" i="20"/>
  <c r="A7367" i="20"/>
  <c r="B608" i="16"/>
  <c r="A6215" i="20"/>
  <c r="B4898" i="20"/>
  <c r="B2666" i="20"/>
  <c r="A1502" i="20"/>
  <c r="B1738" i="20"/>
  <c r="A1399" i="16"/>
  <c r="A718" i="16"/>
  <c r="B827" i="16"/>
  <c r="H97" i="12"/>
  <c r="B3339" i="20"/>
  <c r="A106" i="6"/>
  <c r="B2953" i="20"/>
  <c r="A1520" i="16"/>
  <c r="B7275" i="20"/>
  <c r="B412" i="16"/>
  <c r="A1741" i="20"/>
  <c r="B285" i="19"/>
  <c r="B3029" i="20"/>
  <c r="A113" i="16"/>
  <c r="A81" i="20"/>
  <c r="A994" i="20"/>
  <c r="E96" i="7"/>
  <c r="A1970" i="20"/>
  <c r="A69" i="16"/>
  <c r="B32" i="20"/>
  <c r="A3865" i="20"/>
  <c r="B1195" i="20"/>
  <c r="E33" i="10"/>
  <c r="B1611" i="16"/>
  <c r="A7970" i="20"/>
  <c r="B1401" i="20"/>
  <c r="B8" i="6"/>
  <c r="B357" i="19"/>
  <c r="B384" i="16"/>
  <c r="B90" i="12"/>
  <c r="A74" i="7"/>
  <c r="B7908" i="20"/>
  <c r="A1219" i="16"/>
  <c r="B147" i="20"/>
  <c r="G79" i="4"/>
  <c r="A5357" i="20"/>
  <c r="A4375" i="20"/>
  <c r="B102" i="9"/>
  <c r="A1240" i="20"/>
  <c r="A287" i="20"/>
  <c r="B1038" i="16"/>
  <c r="B186" i="16"/>
  <c r="B2731" i="20"/>
  <c r="F7" i="5"/>
  <c r="B7113" i="20"/>
  <c r="B2879" i="20"/>
  <c r="B3021" i="20"/>
  <c r="B1460" i="16"/>
  <c r="B1699" i="20"/>
  <c r="A30" i="4"/>
  <c r="A56" i="20"/>
  <c r="A1270" i="16"/>
  <c r="H95" i="1"/>
  <c r="B654" i="16"/>
  <c r="B5384" i="20"/>
  <c r="G28" i="11"/>
  <c r="B6" i="16"/>
  <c r="A1421" i="20"/>
  <c r="A979" i="20"/>
  <c r="A783" i="20"/>
  <c r="A1034" i="20"/>
  <c r="H80" i="11"/>
  <c r="G141" i="9"/>
  <c r="B1801" i="20"/>
  <c r="A4440" i="20"/>
  <c r="F16" i="1"/>
  <c r="B265" i="16"/>
  <c r="A3914" i="20"/>
  <c r="E105" i="13"/>
  <c r="A105" i="1"/>
  <c r="B35" i="11"/>
  <c r="B46" i="20"/>
  <c r="A1475" i="16"/>
  <c r="G91" i="6"/>
  <c r="G38" i="10"/>
  <c r="A2484" i="20"/>
  <c r="A27" i="7"/>
  <c r="B2870" i="20"/>
  <c r="B1284" i="16"/>
  <c r="B962" i="16"/>
  <c r="F151" i="9"/>
  <c r="G40" i="11"/>
  <c r="H99" i="1"/>
  <c r="B114" i="10"/>
  <c r="A24" i="2"/>
  <c r="B100" i="2"/>
  <c r="B1545" i="16"/>
  <c r="B4" i="19"/>
  <c r="A1212" i="20"/>
  <c r="A1906" i="20"/>
  <c r="B123" i="9"/>
  <c r="A8148" i="20"/>
  <c r="A657" i="20"/>
  <c r="A1187" i="16"/>
  <c r="B1468" i="16"/>
  <c r="H81" i="6"/>
  <c r="A59" i="7"/>
  <c r="H79" i="4"/>
  <c r="A151" i="9"/>
  <c r="A4783" i="20"/>
  <c r="B3325" i="20"/>
  <c r="B1811" i="16"/>
  <c r="A98" i="9"/>
  <c r="F28" i="8"/>
  <c r="H88" i="5"/>
  <c r="A85" i="7"/>
  <c r="A1496" i="16"/>
  <c r="B6838" i="20"/>
  <c r="A7" i="1"/>
  <c r="B81" i="6"/>
  <c r="A496" i="20"/>
  <c r="B1593" i="16"/>
  <c r="B170" i="20"/>
  <c r="A623" i="20"/>
  <c r="H31" i="8"/>
  <c r="A11" i="4"/>
  <c r="G111" i="11"/>
  <c r="A1614" i="16"/>
  <c r="B26" i="5"/>
  <c r="A29" i="11"/>
  <c r="B2686" i="20"/>
  <c r="B1687" i="16"/>
  <c r="B91" i="18"/>
  <c r="B4994" i="20"/>
  <c r="B100" i="18"/>
  <c r="G76" i="9"/>
  <c r="B1809" i="16"/>
  <c r="A275" i="16"/>
  <c r="H112" i="13"/>
  <c r="H80" i="7"/>
  <c r="H122" i="5"/>
  <c r="A1053" i="16"/>
  <c r="B150" i="4"/>
  <c r="A444" i="20"/>
  <c r="A35" i="6"/>
  <c r="A190" i="19"/>
  <c r="E6" i="8"/>
  <c r="B735" i="20"/>
  <c r="A1372" i="20"/>
  <c r="E61" i="5"/>
  <c r="E10" i="8"/>
  <c r="B90" i="11"/>
  <c r="G16" i="9"/>
  <c r="A133" i="10"/>
  <c r="A402" i="16"/>
  <c r="F13" i="8"/>
  <c r="A87" i="9"/>
  <c r="G125" i="4"/>
  <c r="G80" i="2"/>
  <c r="B147" i="19"/>
  <c r="B116" i="5"/>
  <c r="A1339" i="20"/>
  <c r="A514" i="16"/>
  <c r="H66" i="2"/>
  <c r="A47" i="7"/>
  <c r="B147" i="16"/>
  <c r="H81" i="2"/>
  <c r="B137" i="4"/>
  <c r="H55" i="8"/>
  <c r="A164" i="16"/>
  <c r="B13" i="20"/>
  <c r="A92" i="7"/>
  <c r="B521" i="16"/>
  <c r="A766" i="16"/>
  <c r="A1181" i="16"/>
  <c r="B1828" i="20"/>
  <c r="B127" i="12"/>
  <c r="F34" i="8"/>
  <c r="A1150" i="20"/>
  <c r="B1098" i="20"/>
  <c r="A211" i="20"/>
  <c r="A916" i="20"/>
  <c r="B28" i="6"/>
  <c r="B3903" i="20"/>
  <c r="A199" i="16"/>
  <c r="A190" i="16"/>
  <c r="A1541" i="16"/>
  <c r="A1202" i="20"/>
  <c r="F6" i="1"/>
  <c r="A1314" i="16"/>
  <c r="A136" i="1"/>
  <c r="A925" i="20"/>
  <c r="B1632" i="20"/>
  <c r="H93" i="6"/>
  <c r="A33" i="9"/>
  <c r="H44" i="1"/>
  <c r="B1245" i="16"/>
  <c r="B207" i="19"/>
  <c r="B222" i="19"/>
  <c r="B92" i="12"/>
  <c r="B1644" i="16"/>
  <c r="A54" i="4"/>
  <c r="E4" i="12"/>
  <c r="G108" i="1"/>
  <c r="B1" i="17"/>
  <c r="A2558" i="20"/>
  <c r="B6062" i="20"/>
  <c r="B2976" i="20"/>
  <c r="B1467" i="16"/>
  <c r="A133" i="13"/>
  <c r="B6192" i="20"/>
  <c r="A3490" i="20"/>
  <c r="A14" i="4"/>
  <c r="B1636" i="16"/>
  <c r="A789" i="20"/>
  <c r="A6353" i="20"/>
  <c r="H56" i="12"/>
  <c r="B4409" i="20"/>
  <c r="A630" i="20"/>
  <c r="A4725" i="20"/>
  <c r="B629" i="20"/>
  <c r="A1053" i="20"/>
  <c r="A8623" i="20"/>
  <c r="A5880" i="20"/>
  <c r="A972" i="20"/>
  <c r="A6130" i="20"/>
  <c r="A4564" i="20"/>
  <c r="A2239" i="20"/>
  <c r="B1" i="4"/>
  <c r="H103" i="7"/>
  <c r="A3944" i="20"/>
  <c r="B2324" i="20"/>
  <c r="A2565" i="20"/>
  <c r="B4" i="17"/>
  <c r="B560" i="20"/>
  <c r="A2032" i="20"/>
  <c r="A5515" i="20"/>
  <c r="B1046" i="20"/>
  <c r="A1513" i="16"/>
  <c r="B4367" i="20"/>
  <c r="A3223" i="20"/>
  <c r="B2149" i="20"/>
  <c r="A5817" i="20"/>
  <c r="A2" i="18"/>
  <c r="B1835" i="20"/>
  <c r="B3846" i="20"/>
  <c r="B1293" i="16"/>
  <c r="A1222" i="20"/>
  <c r="B768" i="16"/>
  <c r="B59" i="8"/>
  <c r="A1336" i="16"/>
  <c r="H43" i="8"/>
  <c r="A80" i="20"/>
  <c r="A6015" i="20"/>
  <c r="B8280" i="20"/>
  <c r="B315" i="19"/>
  <c r="B1294" i="16"/>
  <c r="B1232" i="16"/>
  <c r="A6139" i="20"/>
  <c r="A570" i="20"/>
  <c r="B3716" i="20"/>
  <c r="B4853" i="20"/>
  <c r="A2585" i="20"/>
  <c r="H104" i="10"/>
  <c r="A266" i="20"/>
  <c r="O2" i="29"/>
  <c r="A2438" i="20"/>
  <c r="A1480" i="16"/>
  <c r="A954" i="16"/>
  <c r="A1026" i="20"/>
  <c r="B2646" i="20"/>
  <c r="A2880" i="20"/>
  <c r="G109" i="11"/>
  <c r="A1640" i="20"/>
  <c r="B543" i="16"/>
  <c r="A1498" i="16"/>
  <c r="B2174" i="20"/>
  <c r="A229" i="20"/>
  <c r="A13" i="14"/>
  <c r="E68" i="11"/>
  <c r="B3453" i="20"/>
  <c r="A96" i="12"/>
  <c r="A6920" i="20"/>
  <c r="B157" i="16"/>
  <c r="B532" i="20"/>
  <c r="H46" i="7"/>
  <c r="A781" i="20"/>
  <c r="B119" i="12"/>
  <c r="B101" i="19"/>
  <c r="B2660" i="20"/>
  <c r="B18" i="17"/>
  <c r="E27" i="12"/>
  <c r="B1062" i="16"/>
  <c r="B965" i="16"/>
  <c r="A1152" i="20"/>
  <c r="A47" i="18"/>
  <c r="A2548" i="20"/>
  <c r="A44" i="11"/>
  <c r="B4259" i="20"/>
  <c r="G66" i="13"/>
  <c r="B2019" i="20"/>
  <c r="B1143" i="20"/>
  <c r="B1099" i="16"/>
  <c r="B4638" i="20"/>
  <c r="B6976" i="20"/>
  <c r="B1172" i="20"/>
  <c r="A1870" i="20"/>
  <c r="A17" i="17"/>
  <c r="A80" i="11"/>
  <c r="A129" i="13"/>
  <c r="A4150" i="20"/>
  <c r="B73" i="6"/>
  <c r="B811" i="20"/>
  <c r="H41" i="10"/>
  <c r="A3104" i="20"/>
  <c r="A1089" i="16"/>
  <c r="B1183" i="16"/>
  <c r="B58" i="6"/>
  <c r="B931" i="20"/>
  <c r="G7" i="6"/>
  <c r="A1940" i="20"/>
  <c r="A359" i="16"/>
  <c r="E94" i="8"/>
  <c r="B4733" i="20"/>
  <c r="B982" i="20"/>
  <c r="B199" i="20"/>
  <c r="A650" i="20"/>
  <c r="A2553" i="20"/>
  <c r="H64" i="5"/>
  <c r="A27" i="18"/>
  <c r="A615" i="20"/>
  <c r="B53" i="10"/>
  <c r="H76" i="8"/>
  <c r="G21" i="13"/>
  <c r="A73" i="4"/>
  <c r="B1597" i="16"/>
  <c r="A68" i="2"/>
  <c r="B317" i="16"/>
  <c r="F33" i="7"/>
  <c r="A124" i="2"/>
  <c r="A1355" i="16"/>
  <c r="B22" i="16"/>
  <c r="G54" i="5"/>
  <c r="A63" i="16"/>
  <c r="E25" i="8"/>
  <c r="B508" i="20"/>
  <c r="A5661" i="20"/>
  <c r="B3685" i="20"/>
  <c r="B18" i="10"/>
  <c r="G95" i="13"/>
  <c r="A42" i="4"/>
  <c r="B122" i="13"/>
  <c r="B2255" i="20"/>
  <c r="A99" i="13"/>
  <c r="B624" i="16"/>
  <c r="H126" i="11"/>
  <c r="B573" i="20"/>
  <c r="A72" i="7"/>
  <c r="A337" i="20"/>
  <c r="A867" i="16"/>
  <c r="H97" i="1"/>
  <c r="A901" i="20"/>
  <c r="E140" i="8"/>
  <c r="A15" i="5"/>
  <c r="A47" i="13"/>
  <c r="B37" i="12"/>
  <c r="A124" i="4"/>
  <c r="A933" i="16"/>
  <c r="B1119" i="20"/>
  <c r="H128" i="12"/>
  <c r="A1093" i="20"/>
  <c r="G86" i="7"/>
  <c r="A1452" i="16"/>
  <c r="A1741" i="16"/>
  <c r="F65" i="7"/>
  <c r="B70" i="16"/>
  <c r="B242" i="19"/>
  <c r="H55" i="11"/>
  <c r="A6643" i="20"/>
  <c r="G59" i="2"/>
  <c r="A64" i="18"/>
  <c r="H154" i="9"/>
  <c r="B1086" i="16"/>
  <c r="B1705" i="16"/>
  <c r="B4845" i="20"/>
  <c r="H58" i="9"/>
  <c r="A124" i="5"/>
  <c r="B1201" i="20"/>
  <c r="A1244" i="16"/>
  <c r="A590" i="20"/>
  <c r="B1666" i="16"/>
  <c r="B3597" i="20"/>
  <c r="A22" i="19"/>
  <c r="B2813" i="20"/>
  <c r="A103" i="16"/>
  <c r="AD2" i="29"/>
  <c r="F9" i="1"/>
  <c r="A120" i="20"/>
  <c r="E150" i="4"/>
  <c r="A1037" i="20"/>
  <c r="B22" i="13"/>
  <c r="A49" i="5"/>
  <c r="B401" i="20"/>
  <c r="B271" i="16"/>
  <c r="B41" i="17"/>
  <c r="B2692" i="20"/>
  <c r="A13" i="19"/>
  <c r="A395" i="20"/>
  <c r="G137" i="9"/>
  <c r="A1061" i="16"/>
  <c r="B34" i="10"/>
  <c r="B995" i="16"/>
  <c r="A1828" i="16"/>
  <c r="F149" i="1"/>
  <c r="H154" i="1"/>
  <c r="A57" i="9"/>
  <c r="A26" i="7"/>
  <c r="A1715" i="16"/>
  <c r="B349" i="19"/>
  <c r="B973" i="20"/>
  <c r="H77" i="9"/>
  <c r="G24" i="13"/>
  <c r="B4" i="11"/>
  <c r="A69" i="8"/>
  <c r="A30" i="19"/>
  <c r="G69" i="4"/>
  <c r="B1351" i="20"/>
  <c r="G70" i="2"/>
  <c r="A627" i="16"/>
  <c r="H111" i="6"/>
  <c r="B29" i="7"/>
  <c r="B1264" i="20"/>
  <c r="F2" i="5"/>
  <c r="B1064" i="16"/>
  <c r="A13" i="13"/>
  <c r="G61" i="13"/>
  <c r="B4886" i="20"/>
  <c r="B17" i="11"/>
  <c r="A5869" i="20"/>
  <c r="A152" i="19"/>
  <c r="B1052" i="20"/>
  <c r="B7708" i="20"/>
  <c r="B708" i="16"/>
  <c r="B66" i="7"/>
  <c r="B491" i="20"/>
  <c r="B783" i="16"/>
  <c r="B339" i="16"/>
  <c r="B6" i="19"/>
  <c r="A2216" i="20"/>
  <c r="B1375" i="16"/>
  <c r="G114" i="8"/>
  <c r="A761" i="20"/>
  <c r="B108" i="12"/>
  <c r="B1697" i="16"/>
  <c r="A395" i="16"/>
  <c r="B117" i="9"/>
  <c r="F136" i="10"/>
  <c r="B26" i="13"/>
  <c r="A1732" i="16"/>
  <c r="B2210" i="20"/>
  <c r="B4825" i="20"/>
  <c r="A701" i="16"/>
  <c r="A78" i="13"/>
  <c r="B888" i="16"/>
  <c r="G84" i="6"/>
  <c r="G66" i="8"/>
  <c r="A18" i="11"/>
  <c r="G137" i="13"/>
  <c r="A1086" i="16"/>
  <c r="H105" i="7"/>
  <c r="F90" i="1"/>
  <c r="G22" i="11"/>
  <c r="A2406" i="20"/>
  <c r="A110" i="10"/>
  <c r="B38" i="18"/>
  <c r="A1012" i="20"/>
  <c r="G60" i="1"/>
  <c r="B137" i="16"/>
  <c r="B76" i="9"/>
  <c r="A319" i="16"/>
  <c r="A1301" i="16"/>
  <c r="B71" i="20"/>
  <c r="A664" i="16"/>
  <c r="B434" i="16"/>
  <c r="A62" i="6"/>
  <c r="B5" i="18"/>
  <c r="B17" i="18"/>
  <c r="B5018" i="20"/>
  <c r="B1577" i="20"/>
  <c r="B1129" i="20"/>
  <c r="B545" i="20"/>
  <c r="H95" i="4"/>
  <c r="B5161" i="20"/>
  <c r="G28" i="1"/>
  <c r="G45" i="9"/>
  <c r="B1033" i="20"/>
  <c r="A105" i="5"/>
  <c r="A1189" i="16"/>
  <c r="B430" i="20"/>
  <c r="B1265" i="16"/>
  <c r="A402" i="20"/>
  <c r="A60" i="4"/>
  <c r="G124" i="9"/>
  <c r="B691" i="16"/>
  <c r="B242" i="16"/>
  <c r="A883" i="20"/>
  <c r="B664" i="20"/>
  <c r="A1028" i="16"/>
  <c r="B35" i="12"/>
  <c r="A83" i="10"/>
  <c r="B1519" i="16"/>
  <c r="A176" i="16"/>
  <c r="F47" i="4"/>
  <c r="B44" i="5"/>
  <c r="A659" i="16"/>
  <c r="H9" i="5"/>
  <c r="B508" i="16"/>
  <c r="A204" i="19"/>
  <c r="B740" i="16"/>
  <c r="B4846" i="20"/>
  <c r="H85" i="11"/>
  <c r="A1008" i="16"/>
  <c r="G5" i="13"/>
  <c r="A1240" i="16"/>
  <c r="B371" i="19"/>
  <c r="A692" i="16"/>
  <c r="G1" i="5"/>
  <c r="B83" i="5"/>
  <c r="B124" i="5"/>
  <c r="B210" i="19"/>
  <c r="B4270" i="20"/>
  <c r="F153" i="1"/>
  <c r="A539" i="20"/>
  <c r="B1349" i="20"/>
  <c r="B1829" i="16"/>
  <c r="A49" i="6"/>
  <c r="H99" i="13"/>
  <c r="B96" i="19"/>
  <c r="A5443" i="20"/>
  <c r="B432" i="16"/>
  <c r="A740" i="16"/>
  <c r="B6" i="11"/>
  <c r="G130" i="2"/>
  <c r="C1" i="19"/>
  <c r="A2869" i="20"/>
  <c r="A40" i="6"/>
  <c r="F94" i="9"/>
  <c r="B1720" i="16"/>
  <c r="B490" i="20"/>
  <c r="B1253" i="20"/>
  <c r="A137" i="19"/>
  <c r="A906" i="20"/>
  <c r="B113" i="6"/>
  <c r="B1171" i="16"/>
  <c r="F111" i="1"/>
  <c r="H44" i="8"/>
  <c r="B74" i="6"/>
  <c r="G140" i="1"/>
  <c r="A1831" i="16"/>
  <c r="G118" i="13"/>
  <c r="G24" i="4"/>
  <c r="A7372" i="20"/>
  <c r="A1864" i="20"/>
  <c r="G19" i="6"/>
  <c r="A153" i="19"/>
  <c r="G21" i="8"/>
  <c r="B914" i="20"/>
  <c r="A432" i="20"/>
  <c r="B4344" i="20"/>
  <c r="B2528" i="20"/>
  <c r="A2826" i="20"/>
  <c r="A102" i="11"/>
  <c r="A1155" i="20"/>
  <c r="C78" i="10"/>
  <c r="B1431" i="16"/>
  <c r="B427" i="16"/>
  <c r="H107" i="1"/>
  <c r="A3753" i="20"/>
  <c r="B1564" i="16"/>
  <c r="A3486" i="20"/>
  <c r="B636" i="16"/>
  <c r="B1756" i="20"/>
  <c r="A494" i="20"/>
  <c r="A58" i="12"/>
  <c r="B6020" i="20"/>
  <c r="B5136" i="20"/>
  <c r="A125" i="6"/>
  <c r="G98" i="10"/>
  <c r="B92" i="8"/>
  <c r="B3301" i="20"/>
  <c r="A1549" i="16"/>
  <c r="B3678" i="20"/>
  <c r="A974" i="16"/>
  <c r="B2583" i="20"/>
  <c r="E83" i="7"/>
  <c r="A92" i="5"/>
  <c r="B737" i="20"/>
  <c r="A1362" i="16"/>
  <c r="G80" i="5"/>
  <c r="B8736" i="20"/>
  <c r="E36" i="10"/>
  <c r="F62" i="5"/>
  <c r="A4398" i="20"/>
  <c r="B938" i="20"/>
  <c r="B3951" i="20"/>
  <c r="B287" i="20"/>
  <c r="A818" i="16"/>
  <c r="B120" i="12"/>
  <c r="A1026" i="16"/>
  <c r="G119" i="1"/>
  <c r="B125" i="10"/>
  <c r="B3805" i="20"/>
  <c r="A1908" i="20"/>
  <c r="A1419" i="20"/>
  <c r="B3260" i="20"/>
  <c r="A6529" i="20"/>
  <c r="A4532" i="20"/>
  <c r="B4056" i="20"/>
  <c r="A133" i="7"/>
  <c r="A912" i="16"/>
  <c r="B1303" i="16"/>
  <c r="B1725" i="16"/>
  <c r="E75" i="10"/>
  <c r="A2803" i="20"/>
  <c r="A1739" i="16"/>
  <c r="G81" i="9"/>
  <c r="H120" i="13"/>
  <c r="B122" i="7"/>
  <c r="B60" i="18"/>
  <c r="H65" i="12"/>
  <c r="A2214" i="20"/>
  <c r="B2700" i="20"/>
  <c r="G15" i="11"/>
  <c r="A110" i="11"/>
  <c r="B99" i="6"/>
  <c r="B61" i="9"/>
  <c r="A576" i="20"/>
  <c r="B4076" i="20"/>
  <c r="A51" i="13"/>
  <c r="A337" i="16"/>
  <c r="B274" i="16"/>
  <c r="B1559" i="20"/>
  <c r="A2894" i="20"/>
  <c r="B1713" i="16"/>
  <c r="B1943" i="20"/>
  <c r="B204" i="16"/>
  <c r="G68" i="9"/>
  <c r="A1113" i="20"/>
  <c r="A2378" i="20"/>
  <c r="B126" i="2"/>
  <c r="G83" i="12"/>
  <c r="A78" i="6"/>
  <c r="A67" i="10"/>
  <c r="B2490" i="20"/>
  <c r="A1458" i="20"/>
  <c r="B5278" i="20"/>
  <c r="A2741" i="20"/>
  <c r="G59" i="12"/>
  <c r="A3325" i="20"/>
  <c r="A3648" i="20"/>
  <c r="B2358" i="20"/>
  <c r="B100" i="11"/>
  <c r="A6463" i="20"/>
  <c r="A1849" i="16"/>
  <c r="B2654" i="20"/>
  <c r="A462" i="20"/>
  <c r="A1274" i="20"/>
  <c r="B67" i="16"/>
  <c r="B5099" i="20"/>
  <c r="B2689" i="20"/>
  <c r="B1386" i="20"/>
  <c r="A70" i="9"/>
  <c r="A1118" i="20"/>
  <c r="B1388" i="16"/>
  <c r="A4625" i="20"/>
  <c r="B3833" i="20"/>
  <c r="B1158" i="20"/>
  <c r="B3175" i="20"/>
  <c r="A1860" i="20"/>
  <c r="A1508" i="20"/>
  <c r="B864" i="16"/>
  <c r="B512" i="16"/>
  <c r="A72" i="11"/>
  <c r="B1103" i="16"/>
  <c r="A478" i="20"/>
  <c r="A116" i="1"/>
  <c r="B2062" i="20"/>
  <c r="A119" i="13"/>
  <c r="H53" i="6"/>
  <c r="B445" i="16"/>
  <c r="B4276" i="20"/>
  <c r="A59" i="18"/>
  <c r="B2417" i="20"/>
  <c r="H135" i="2"/>
  <c r="A779" i="16"/>
  <c r="A1584" i="16"/>
  <c r="A400" i="16"/>
  <c r="E78" i="4"/>
  <c r="A95" i="16"/>
  <c r="E74" i="10"/>
  <c r="A21" i="7"/>
  <c r="G123" i="2"/>
  <c r="F36" i="2"/>
  <c r="G14" i="10"/>
  <c r="B151" i="16"/>
  <c r="H124" i="5"/>
  <c r="G106" i="2"/>
  <c r="A648" i="20"/>
  <c r="G41" i="6"/>
  <c r="H37" i="8"/>
  <c r="A511" i="16"/>
  <c r="B1033" i="16"/>
  <c r="B3737" i="20"/>
  <c r="B1886" i="20"/>
  <c r="A796" i="20"/>
  <c r="B2145" i="20"/>
  <c r="H124" i="10"/>
  <c r="B2056" i="20"/>
  <c r="A5855" i="20"/>
  <c r="B4954" i="20"/>
  <c r="A7449" i="20"/>
  <c r="B5009" i="20"/>
  <c r="B53" i="9"/>
  <c r="B770" i="20"/>
  <c r="A130" i="10"/>
  <c r="A608" i="20"/>
  <c r="A93" i="20"/>
  <c r="B3111" i="20"/>
  <c r="A354" i="19"/>
  <c r="B186" i="20"/>
  <c r="B81" i="11"/>
  <c r="B699" i="20"/>
  <c r="B14" i="13"/>
  <c r="B23" i="5"/>
  <c r="A1573" i="16"/>
  <c r="A34" i="17"/>
  <c r="A499" i="20"/>
  <c r="B84" i="16"/>
  <c r="G77" i="13"/>
  <c r="G102" i="10"/>
  <c r="A186" i="20"/>
  <c r="A1812" i="16"/>
  <c r="H103" i="2"/>
  <c r="G107" i="11"/>
  <c r="A1736" i="16"/>
  <c r="A77" i="4"/>
  <c r="B1350" i="16"/>
  <c r="B1400" i="16"/>
  <c r="B725" i="20"/>
  <c r="B266" i="16"/>
  <c r="B2296" i="20"/>
  <c r="A944" i="20"/>
  <c r="B5320" i="20"/>
  <c r="B141" i="4"/>
  <c r="B873" i="20"/>
  <c r="A48" i="10"/>
  <c r="G101" i="10"/>
  <c r="B950" i="20"/>
  <c r="G78" i="4"/>
  <c r="A775" i="20"/>
  <c r="G112" i="2"/>
  <c r="A804" i="16"/>
  <c r="B3201" i="20"/>
  <c r="A139" i="9"/>
  <c r="G67" i="4"/>
  <c r="B1804" i="16"/>
  <c r="B1919" i="20"/>
  <c r="A35" i="19"/>
  <c r="G36" i="13"/>
  <c r="A43" i="18"/>
  <c r="G55" i="9"/>
  <c r="G62" i="7"/>
  <c r="A67" i="13"/>
  <c r="A31" i="7"/>
  <c r="A372" i="19"/>
  <c r="G45" i="12"/>
  <c r="A1835" i="16"/>
  <c r="B754" i="20"/>
  <c r="B833" i="16"/>
  <c r="H100" i="9"/>
  <c r="G90" i="9"/>
  <c r="H41" i="1"/>
  <c r="B254" i="16"/>
  <c r="A1866" i="20"/>
  <c r="D36" i="1"/>
  <c r="H94" i="7"/>
  <c r="B321" i="16"/>
  <c r="A98" i="10"/>
  <c r="A43" i="2"/>
  <c r="H45" i="5"/>
  <c r="B3629" i="20"/>
  <c r="H73" i="8"/>
  <c r="H76" i="13"/>
  <c r="A4744" i="20"/>
  <c r="B4487" i="20"/>
  <c r="A1724" i="16"/>
  <c r="A452" i="20"/>
  <c r="A52" i="10"/>
  <c r="F99" i="1"/>
  <c r="B303" i="19"/>
  <c r="B1246" i="16"/>
  <c r="A89" i="20"/>
  <c r="B812" i="20"/>
  <c r="B1513" i="16"/>
  <c r="H63" i="6"/>
  <c r="B5914" i="20"/>
  <c r="G19" i="4"/>
  <c r="B59" i="5"/>
  <c r="B6626" i="20"/>
  <c r="B55" i="7"/>
  <c r="B21" i="11"/>
  <c r="A4377" i="20"/>
  <c r="H24" i="10"/>
  <c r="F125" i="7"/>
  <c r="B1217" i="16"/>
  <c r="A1065" i="20"/>
  <c r="B25" i="10"/>
  <c r="A8" i="1"/>
  <c r="A4773" i="20"/>
  <c r="B1353" i="20"/>
  <c r="B990" i="16"/>
  <c r="B92" i="10"/>
  <c r="B649" i="16"/>
  <c r="B1283" i="20"/>
  <c r="B2576" i="20"/>
  <c r="G106" i="12"/>
  <c r="A297" i="19"/>
  <c r="A31" i="1"/>
  <c r="B318" i="16"/>
  <c r="B30" i="6"/>
  <c r="B49" i="10"/>
  <c r="F84" i="1"/>
  <c r="B45" i="20"/>
  <c r="A5851" i="20"/>
  <c r="H5" i="9"/>
  <c r="H51" i="8"/>
  <c r="B8" i="20"/>
  <c r="A170" i="16"/>
  <c r="A3454" i="20"/>
  <c r="E13" i="10"/>
  <c r="A4665" i="20"/>
  <c r="B1027" i="16"/>
  <c r="A4989" i="20"/>
  <c r="B1776" i="20"/>
  <c r="F34" i="12"/>
  <c r="A3824" i="20"/>
  <c r="B3059" i="20"/>
  <c r="A2490" i="20"/>
  <c r="A349" i="20"/>
  <c r="B3047" i="20"/>
  <c r="A1978" i="20"/>
  <c r="A83" i="2"/>
  <c r="H117" i="6"/>
  <c r="B1121" i="20"/>
  <c r="A1726" i="16"/>
  <c r="B488" i="16"/>
  <c r="A109" i="19"/>
  <c r="C2" i="7"/>
  <c r="F67" i="7"/>
  <c r="B404" i="20"/>
  <c r="B34" i="17"/>
  <c r="A1224" i="16"/>
  <c r="E10" i="4"/>
  <c r="B1180" i="16"/>
  <c r="E36" i="12"/>
  <c r="A102" i="6"/>
  <c r="B39" i="4"/>
  <c r="F11" i="13"/>
  <c r="B6043" i="20"/>
  <c r="A5234" i="20"/>
  <c r="A4813" i="20"/>
  <c r="A242" i="16"/>
  <c r="A3055" i="20"/>
  <c r="B3763" i="20"/>
  <c r="A5263" i="20"/>
  <c r="B5035" i="20"/>
  <c r="A693" i="16"/>
  <c r="B2263" i="20"/>
  <c r="A2368" i="20"/>
  <c r="B123" i="16"/>
  <c r="A7487" i="20"/>
  <c r="A1914" i="20"/>
  <c r="C23" i="18"/>
  <c r="A87" i="7"/>
  <c r="B7460" i="20"/>
  <c r="B7173" i="20"/>
  <c r="A7914" i="20"/>
  <c r="A5821" i="20"/>
  <c r="A3743" i="20"/>
  <c r="B15" i="8"/>
  <c r="A943" i="16"/>
  <c r="B328" i="16"/>
  <c r="B59" i="11"/>
  <c r="A1525" i="16"/>
  <c r="B1339" i="16"/>
  <c r="A621" i="16"/>
  <c r="B923" i="16"/>
  <c r="B149" i="20"/>
  <c r="A362" i="19"/>
  <c r="G137" i="2"/>
  <c r="A118" i="11"/>
  <c r="H99" i="6"/>
  <c r="A114" i="9"/>
  <c r="H131" i="7"/>
  <c r="A43" i="8"/>
  <c r="A1154" i="16"/>
  <c r="B1" i="15"/>
  <c r="G85" i="10"/>
  <c r="A328" i="19"/>
  <c r="A1564" i="16"/>
  <c r="A113" i="7"/>
  <c r="A1965" i="20"/>
  <c r="B4481" i="20"/>
  <c r="A1816" i="20"/>
  <c r="A50" i="9"/>
  <c r="A78" i="4"/>
  <c r="B2764" i="20"/>
  <c r="B1280" i="20"/>
  <c r="A1952" i="20"/>
  <c r="A196" i="19"/>
  <c r="B5725" i="20"/>
  <c r="A34" i="9"/>
  <c r="A7513" i="20"/>
  <c r="A3179" i="20"/>
  <c r="A3716" i="20"/>
  <c r="A2639" i="20"/>
  <c r="A1451" i="20"/>
  <c r="B297" i="19"/>
  <c r="B2821" i="20"/>
  <c r="A861" i="16"/>
  <c r="B382" i="16"/>
  <c r="A876" i="20"/>
  <c r="A3563" i="20"/>
  <c r="E113" i="9"/>
  <c r="A104" i="19"/>
  <c r="A15" i="17"/>
  <c r="B907" i="16"/>
  <c r="B587" i="16"/>
  <c r="A1986" i="20"/>
  <c r="B1829" i="20"/>
  <c r="B2497" i="20"/>
  <c r="B381" i="20"/>
  <c r="A1948" i="20"/>
  <c r="A1298" i="16"/>
  <c r="A102" i="10"/>
  <c r="B62" i="19"/>
  <c r="B108" i="10"/>
  <c r="E4" i="8"/>
  <c r="A117" i="8"/>
  <c r="B539" i="20"/>
  <c r="B1217" i="20"/>
  <c r="H88" i="10"/>
  <c r="B3474" i="20"/>
  <c r="H93" i="4"/>
  <c r="A96" i="16"/>
  <c r="B20" i="18"/>
  <c r="E5" i="11"/>
  <c r="F83" i="2"/>
  <c r="B138" i="20"/>
  <c r="A838" i="16"/>
  <c r="B87" i="11"/>
  <c r="A351" i="20"/>
  <c r="B277" i="16"/>
  <c r="B1609" i="16"/>
  <c r="A27" i="8"/>
  <c r="A1656" i="16"/>
  <c r="B97" i="2"/>
  <c r="D67" i="2"/>
  <c r="B4843" i="20"/>
  <c r="H80" i="12"/>
  <c r="B12" i="7"/>
  <c r="G52" i="12"/>
  <c r="B9" i="11"/>
  <c r="B1123" i="20"/>
  <c r="B160" i="19"/>
  <c r="B5644" i="20"/>
  <c r="F11" i="4"/>
  <c r="A39" i="11"/>
  <c r="H39" i="1"/>
  <c r="B11" i="11"/>
  <c r="F47" i="10"/>
  <c r="H112" i="2"/>
  <c r="A6395" i="20"/>
  <c r="B3839" i="20"/>
  <c r="G134" i="7"/>
  <c r="B868" i="20"/>
  <c r="A10" i="12"/>
  <c r="G18" i="9"/>
  <c r="G59" i="5"/>
  <c r="B1443" i="16"/>
  <c r="G29" i="10"/>
  <c r="H121" i="6"/>
  <c r="F131" i="6"/>
  <c r="G14" i="9"/>
  <c r="H24" i="12"/>
  <c r="G110" i="13"/>
  <c r="A237" i="16"/>
  <c r="A130" i="6"/>
  <c r="H50" i="6"/>
  <c r="B40" i="17"/>
  <c r="A1365" i="16"/>
  <c r="A104" i="1"/>
  <c r="B4870" i="20"/>
  <c r="B350" i="19"/>
  <c r="A1214" i="20"/>
  <c r="B4059" i="20"/>
  <c r="A1699" i="16"/>
  <c r="B6630" i="20"/>
  <c r="B35" i="6"/>
  <c r="B376" i="19"/>
  <c r="B104" i="6"/>
  <c r="A345" i="20"/>
  <c r="E26" i="1"/>
  <c r="H129" i="5"/>
  <c r="B71" i="6"/>
  <c r="B991" i="20"/>
  <c r="B921" i="16"/>
  <c r="H128" i="4"/>
  <c r="A1435" i="20"/>
  <c r="A1550" i="16"/>
  <c r="B1026" i="16"/>
  <c r="B1079" i="16"/>
  <c r="A93" i="1"/>
  <c r="G97" i="5"/>
  <c r="A1852" i="20"/>
  <c r="A716" i="16"/>
  <c r="G48" i="6"/>
  <c r="B1449" i="20"/>
  <c r="G155" i="1"/>
  <c r="B4634" i="20"/>
  <c r="A1465" i="20"/>
  <c r="A129" i="8"/>
  <c r="B1082" i="16"/>
  <c r="B526" i="16"/>
  <c r="A2434" i="20"/>
  <c r="A1466" i="16"/>
  <c r="G114" i="10"/>
  <c r="B1616" i="16"/>
  <c r="B696" i="16"/>
  <c r="E5" i="7"/>
  <c r="B4054" i="20"/>
  <c r="H60" i="10"/>
  <c r="B20" i="6"/>
  <c r="F13" i="12"/>
  <c r="A1619" i="16"/>
  <c r="A7184" i="20"/>
  <c r="B2001" i="20"/>
  <c r="A128" i="6"/>
  <c r="B972" i="16"/>
  <c r="B118" i="16"/>
  <c r="B396" i="20"/>
  <c r="A6363" i="20"/>
  <c r="A37" i="10"/>
  <c r="B1528" i="16"/>
  <c r="A89" i="7"/>
  <c r="B1096" i="20"/>
  <c r="B23" i="9"/>
  <c r="A1150" i="16"/>
  <c r="A97" i="7"/>
  <c r="B652" i="16"/>
  <c r="A1509" i="16"/>
  <c r="E93" i="2"/>
  <c r="A997" i="16"/>
  <c r="B698" i="20"/>
  <c r="E105" i="11"/>
  <c r="G43" i="1"/>
  <c r="B76" i="7"/>
  <c r="B133" i="2"/>
  <c r="B974" i="16"/>
  <c r="H67" i="13"/>
  <c r="B2" i="15"/>
  <c r="A37" i="9"/>
  <c r="B139" i="13"/>
  <c r="B10" i="6"/>
  <c r="B1555" i="16"/>
  <c r="A27" i="6"/>
  <c r="H77" i="5"/>
  <c r="A3742" i="20"/>
  <c r="D122" i="1"/>
  <c r="A3228" i="20"/>
  <c r="B1806" i="20"/>
  <c r="B1683" i="16"/>
  <c r="B160" i="16"/>
  <c r="B1631" i="16"/>
  <c r="A5807" i="20"/>
  <c r="B214" i="20"/>
  <c r="B1210" i="16"/>
  <c r="B801" i="20"/>
  <c r="B1418" i="20"/>
  <c r="B2103" i="20"/>
  <c r="H13" i="11"/>
  <c r="A117" i="13"/>
  <c r="A34" i="16"/>
  <c r="B845" i="20"/>
  <c r="B1955" i="20"/>
  <c r="A52" i="13"/>
  <c r="B1745" i="20"/>
  <c r="A877" i="20"/>
  <c r="H107" i="11"/>
  <c r="B5240" i="20"/>
  <c r="B4656" i="20"/>
  <c r="B90" i="16"/>
  <c r="B2773" i="20"/>
  <c r="F74" i="4"/>
  <c r="A67" i="4"/>
  <c r="A183" i="20"/>
  <c r="H123" i="13"/>
  <c r="A6591" i="20"/>
  <c r="B2555" i="20"/>
  <c r="A350" i="16"/>
  <c r="B1013" i="16"/>
  <c r="H42" i="8"/>
  <c r="B3183" i="20"/>
  <c r="B537" i="16"/>
  <c r="B1203" i="16"/>
  <c r="B4485" i="20"/>
  <c r="B4802" i="20"/>
  <c r="B105" i="10"/>
  <c r="A3561" i="20"/>
  <c r="A130" i="11"/>
  <c r="A2241" i="20"/>
  <c r="B1996" i="20"/>
  <c r="H129" i="9"/>
  <c r="F78" i="1"/>
  <c r="A122" i="7"/>
  <c r="A405" i="20"/>
  <c r="A32" i="19"/>
  <c r="B6645" i="20"/>
  <c r="A5129" i="20"/>
  <c r="A2984" i="20"/>
  <c r="A96" i="18"/>
  <c r="A4052" i="20"/>
  <c r="A4108" i="20"/>
  <c r="B2875" i="20"/>
  <c r="A6559" i="20"/>
  <c r="A1660" i="16"/>
  <c r="B1058" i="20"/>
  <c r="A663" i="20"/>
  <c r="A80" i="10"/>
  <c r="A42" i="6"/>
  <c r="A3915" i="20"/>
  <c r="C83" i="18"/>
  <c r="A2432" i="20"/>
  <c r="A491" i="16"/>
  <c r="B1435" i="16"/>
  <c r="B48" i="6"/>
  <c r="B1759" i="20"/>
  <c r="B420" i="16"/>
  <c r="E9" i="2"/>
  <c r="B1933" i="20"/>
  <c r="A202" i="16"/>
  <c r="D1" i="7"/>
  <c r="A1829" i="16"/>
  <c r="B175" i="16"/>
  <c r="B4377" i="20"/>
  <c r="F76" i="1"/>
  <c r="A5913" i="20"/>
  <c r="A1426" i="16"/>
  <c r="B3548" i="20"/>
  <c r="G50" i="1"/>
  <c r="A284" i="19"/>
  <c r="B212" i="16"/>
  <c r="G53" i="5"/>
  <c r="A2336" i="20"/>
  <c r="B1424" i="16"/>
  <c r="B466" i="20"/>
  <c r="H8" i="10"/>
  <c r="G31" i="6"/>
  <c r="B1754" i="20"/>
  <c r="B4139" i="20"/>
  <c r="A4306" i="20"/>
  <c r="A58" i="9"/>
  <c r="E34" i="5"/>
  <c r="E11" i="11"/>
  <c r="H54" i="9"/>
  <c r="G47" i="7"/>
  <c r="B2903" i="20"/>
  <c r="A1609" i="20"/>
  <c r="G61" i="7"/>
  <c r="A683" i="20"/>
  <c r="B92" i="19"/>
  <c r="B1423" i="16"/>
  <c r="B5535" i="20"/>
  <c r="A4955" i="20"/>
  <c r="B1610" i="20"/>
  <c r="A2769" i="20"/>
  <c r="D2" i="12"/>
  <c r="G67" i="8"/>
  <c r="B2827" i="20"/>
  <c r="B1736" i="16"/>
  <c r="B140" i="20"/>
  <c r="H1" i="6"/>
  <c r="A88" i="18"/>
  <c r="A112" i="16"/>
  <c r="G42" i="12"/>
  <c r="B2301" i="20"/>
  <c r="A1108" i="20"/>
  <c r="A503" i="20"/>
  <c r="B1718" i="16"/>
  <c r="A46" i="5"/>
  <c r="A1529" i="16"/>
  <c r="B81" i="20"/>
  <c r="A2751" i="20"/>
  <c r="G83" i="11"/>
  <c r="D36" i="8"/>
  <c r="A847" i="20"/>
  <c r="B4905" i="20"/>
  <c r="B5022" i="20"/>
  <c r="A90" i="16"/>
  <c r="A21" i="6"/>
  <c r="A1288" i="16"/>
  <c r="B650" i="20"/>
  <c r="A2440" i="20"/>
  <c r="B255" i="19"/>
  <c r="G110" i="11"/>
  <c r="B842" i="20"/>
  <c r="G7" i="11"/>
  <c r="B4599" i="20"/>
  <c r="A1596" i="20"/>
  <c r="B2871" i="20"/>
  <c r="B36" i="8"/>
  <c r="B1913" i="20"/>
  <c r="B924" i="16"/>
  <c r="B866" i="20"/>
  <c r="F86" i="1"/>
  <c r="B51" i="8"/>
  <c r="A1689" i="20"/>
  <c r="A1848" i="16"/>
  <c r="B615" i="16"/>
  <c r="B723" i="20"/>
  <c r="A1199" i="20"/>
  <c r="A12" i="18"/>
  <c r="A2" i="12"/>
  <c r="A6048" i="20"/>
  <c r="A4694" i="20"/>
  <c r="B84" i="2"/>
  <c r="D26" i="1"/>
  <c r="A1155" i="16"/>
  <c r="B88" i="10"/>
  <c r="A3" i="4"/>
  <c r="H53" i="8"/>
  <c r="B112" i="10"/>
  <c r="A20" i="9"/>
  <c r="A52" i="19"/>
  <c r="A27" i="9"/>
  <c r="E151" i="4"/>
  <c r="A13" i="7"/>
  <c r="B890" i="16"/>
  <c r="G19" i="7"/>
  <c r="A140" i="4"/>
  <c r="H131" i="8"/>
  <c r="H67" i="4"/>
  <c r="G92" i="8"/>
  <c r="B440" i="16"/>
  <c r="B686" i="20"/>
  <c r="B66" i="11"/>
  <c r="B1189" i="16"/>
  <c r="B77" i="11"/>
  <c r="H105" i="8"/>
  <c r="A119" i="7"/>
  <c r="A112" i="8"/>
  <c r="G62" i="9"/>
  <c r="B76" i="6"/>
  <c r="H7" i="8"/>
  <c r="B78" i="13"/>
  <c r="A200" i="16"/>
  <c r="A830" i="16"/>
  <c r="B1077" i="20"/>
  <c r="B274" i="19"/>
  <c r="B2217" i="20"/>
  <c r="B1290" i="16"/>
  <c r="A840" i="20"/>
  <c r="E62" i="12"/>
  <c r="H108" i="4"/>
  <c r="B3069" i="20"/>
  <c r="G67" i="1"/>
  <c r="A263" i="19"/>
  <c r="H117" i="1"/>
  <c r="A1497" i="20"/>
  <c r="B1056" i="20"/>
  <c r="G8" i="4"/>
  <c r="A120" i="18"/>
  <c r="H147" i="8"/>
  <c r="A10" i="4"/>
  <c r="B5077" i="20"/>
  <c r="B1627" i="16"/>
  <c r="A131" i="4"/>
  <c r="A130" i="1"/>
  <c r="A1021" i="16"/>
  <c r="H69" i="7"/>
  <c r="G24" i="6"/>
  <c r="A293" i="16"/>
  <c r="A156" i="4"/>
  <c r="B4109" i="20"/>
  <c r="B113" i="13"/>
  <c r="B42" i="16"/>
  <c r="A113" i="11"/>
  <c r="A194" i="16"/>
  <c r="B3581" i="20"/>
  <c r="A124" i="9"/>
  <c r="B171" i="20"/>
  <c r="A222" i="20"/>
  <c r="A350" i="20"/>
  <c r="A112" i="1"/>
  <c r="A695" i="20"/>
  <c r="F25" i="4"/>
  <c r="G124" i="4"/>
  <c r="B141" i="18"/>
  <c r="B1398" i="16"/>
  <c r="A158" i="16"/>
  <c r="E27" i="10"/>
  <c r="B2039" i="20"/>
  <c r="A1518" i="16"/>
  <c r="B69" i="13"/>
  <c r="A361" i="19"/>
  <c r="B2352" i="20"/>
  <c r="A2466" i="20"/>
  <c r="A62" i="11"/>
  <c r="A66" i="2"/>
  <c r="A971" i="16"/>
  <c r="A7066" i="20"/>
  <c r="B1348" i="16"/>
  <c r="A109" i="8"/>
  <c r="A95" i="11"/>
  <c r="A123" i="10"/>
  <c r="A948" i="20"/>
  <c r="A142" i="9"/>
  <c r="C132" i="18"/>
  <c r="H93" i="1"/>
  <c r="C67" i="7"/>
  <c r="B432" i="20"/>
  <c r="B1049" i="20"/>
  <c r="B1107" i="16"/>
  <c r="A141" i="4"/>
  <c r="B495" i="16"/>
  <c r="G55" i="1"/>
  <c r="E94" i="1"/>
  <c r="A776" i="16"/>
  <c r="A81" i="10"/>
  <c r="B82" i="16"/>
  <c r="A2637" i="20"/>
  <c r="G119" i="5"/>
  <c r="E26" i="4"/>
  <c r="A272" i="16"/>
  <c r="A12" i="5"/>
  <c r="B819" i="20"/>
  <c r="A4719" i="20"/>
  <c r="G43" i="2"/>
  <c r="B84" i="11"/>
  <c r="B4295" i="20"/>
  <c r="G101" i="7"/>
  <c r="B19" i="11"/>
  <c r="H104" i="6"/>
  <c r="A345" i="19"/>
  <c r="A391" i="20"/>
  <c r="A308" i="19"/>
  <c r="B2799" i="20"/>
  <c r="C121" i="18"/>
  <c r="B25" i="18"/>
  <c r="B48" i="10"/>
  <c r="G152" i="1"/>
  <c r="A602" i="20"/>
  <c r="B3565" i="20"/>
  <c r="A3861" i="20"/>
  <c r="A13" i="10"/>
  <c r="G130" i="8"/>
  <c r="H46" i="6"/>
  <c r="B1583" i="20"/>
  <c r="H95" i="7"/>
  <c r="B2297" i="20"/>
  <c r="H45" i="2"/>
  <c r="A32" i="10"/>
  <c r="F11" i="8"/>
  <c r="B38" i="10"/>
  <c r="H96" i="1"/>
  <c r="B46" i="8"/>
  <c r="H136" i="4"/>
  <c r="H52" i="8"/>
  <c r="A7" i="6"/>
  <c r="H47" i="12"/>
  <c r="B39" i="18"/>
  <c r="A4716" i="20"/>
  <c r="A534" i="20"/>
  <c r="A237" i="19"/>
  <c r="E36" i="9"/>
  <c r="B2305" i="20"/>
  <c r="A133" i="9"/>
  <c r="B380" i="16"/>
  <c r="A1719" i="20"/>
  <c r="B1963" i="20"/>
  <c r="A1724" i="20"/>
  <c r="B54" i="11"/>
  <c r="E34" i="10"/>
  <c r="A653" i="20"/>
  <c r="A4344" i="20"/>
  <c r="A1078" i="20"/>
  <c r="B3931" i="20"/>
  <c r="A2298" i="20"/>
  <c r="B6028" i="20"/>
  <c r="A3064" i="20"/>
  <c r="G107" i="13"/>
  <c r="A252" i="19"/>
  <c r="B1453" i="20"/>
  <c r="B1121" i="16"/>
  <c r="A5583" i="20"/>
  <c r="A35" i="20"/>
  <c r="B656" i="20"/>
  <c r="B1141" i="16"/>
  <c r="B2645" i="20"/>
  <c r="B5156" i="20"/>
  <c r="B409" i="16"/>
  <c r="A61" i="10"/>
  <c r="A506" i="16"/>
  <c r="B746" i="20"/>
  <c r="G93" i="2"/>
  <c r="B2415" i="20"/>
  <c r="A156" i="1"/>
  <c r="E47" i="5"/>
  <c r="B193" i="16"/>
  <c r="H103" i="5"/>
  <c r="A373" i="19"/>
  <c r="B1637" i="16"/>
  <c r="E139" i="13"/>
  <c r="B1341" i="16"/>
  <c r="C42" i="18"/>
  <c r="A430" i="16"/>
  <c r="B3446" i="20"/>
  <c r="A2629" i="20"/>
  <c r="A15" i="11"/>
  <c r="B585" i="20"/>
  <c r="C2" i="10"/>
  <c r="B525" i="20"/>
  <c r="A43" i="12"/>
  <c r="B1792" i="16"/>
  <c r="A1777" i="16"/>
  <c r="B109" i="20"/>
  <c r="B7101" i="20"/>
  <c r="B1016" i="16"/>
  <c r="B259" i="16"/>
  <c r="B1511" i="20"/>
  <c r="B3804" i="20"/>
  <c r="B5167" i="20"/>
  <c r="B7528" i="20"/>
  <c r="B473" i="20"/>
  <c r="A48" i="4"/>
  <c r="A1756" i="16"/>
  <c r="A2544" i="20"/>
  <c r="A3184" i="20"/>
  <c r="F104" i="9"/>
  <c r="A66" i="19"/>
  <c r="B1851" i="16"/>
  <c r="B891" i="16"/>
  <c r="B571" i="16"/>
  <c r="B2277" i="20"/>
  <c r="B2740" i="20"/>
  <c r="G93" i="12"/>
  <c r="B2119" i="20"/>
  <c r="A2767" i="20"/>
  <c r="H41" i="9"/>
  <c r="B72" i="9"/>
  <c r="F3" i="9"/>
  <c r="H28" i="6"/>
  <c r="G68" i="10"/>
  <c r="C1" i="9"/>
  <c r="A5384" i="20"/>
  <c r="C2" i="6"/>
  <c r="B351" i="20"/>
  <c r="B946" i="16"/>
  <c r="B137" i="8"/>
  <c r="B1592" i="16"/>
  <c r="A3951" i="20"/>
  <c r="H78" i="13"/>
  <c r="B234" i="16"/>
  <c r="A1140" i="16"/>
  <c r="B4" i="2"/>
  <c r="A928" i="16"/>
  <c r="A914" i="16"/>
  <c r="A1013" i="16"/>
  <c r="B705" i="16"/>
  <c r="B2469" i="20"/>
  <c r="B142" i="10"/>
  <c r="B534" i="16"/>
  <c r="B6478" i="20"/>
  <c r="A30" i="6"/>
  <c r="F3" i="10"/>
  <c r="A248" i="19"/>
  <c r="D114" i="11"/>
  <c r="A709" i="20"/>
  <c r="B613" i="16"/>
  <c r="G154" i="9"/>
  <c r="A1131" i="16"/>
  <c r="H117" i="5"/>
  <c r="H49" i="9"/>
  <c r="B9" i="5"/>
  <c r="B759" i="20"/>
  <c r="B336" i="16"/>
  <c r="G153" i="8"/>
  <c r="B563" i="16"/>
  <c r="B1377" i="16"/>
  <c r="B123" i="2"/>
  <c r="B882" i="20"/>
  <c r="G65" i="7"/>
  <c r="B37" i="8"/>
  <c r="A2598" i="20"/>
  <c r="F13" i="10"/>
  <c r="A4791" i="20"/>
  <c r="H76" i="1"/>
  <c r="H101" i="1"/>
  <c r="G16" i="5"/>
  <c r="B1765" i="20"/>
  <c r="B3030" i="20"/>
  <c r="G148" i="4"/>
  <c r="A67" i="12"/>
  <c r="F26" i="10"/>
  <c r="A863" i="16"/>
  <c r="A713" i="20"/>
  <c r="B132" i="7"/>
  <c r="H77" i="12"/>
  <c r="A1379" i="16"/>
  <c r="B2048" i="20"/>
  <c r="B1848" i="16"/>
  <c r="B917" i="20"/>
  <c r="A1170" i="16"/>
  <c r="A3493" i="20"/>
  <c r="C36" i="1"/>
  <c r="A3016" i="20"/>
  <c r="G137" i="7"/>
  <c r="F27" i="13"/>
  <c r="B1997" i="20"/>
  <c r="E11" i="10"/>
  <c r="A125" i="9"/>
  <c r="A704" i="16"/>
  <c r="A79" i="20"/>
  <c r="A85" i="5"/>
  <c r="B1793" i="16"/>
  <c r="A6512" i="20"/>
  <c r="B116" i="4"/>
  <c r="A5776" i="20"/>
  <c r="A42" i="1"/>
  <c r="G119" i="13"/>
  <c r="B68" i="19"/>
  <c r="A2921" i="20"/>
  <c r="B4" i="12"/>
  <c r="H69" i="4"/>
  <c r="A134" i="19"/>
  <c r="D2" i="4"/>
  <c r="B643" i="16"/>
  <c r="A826" i="16"/>
  <c r="B3076" i="20"/>
  <c r="B43" i="2"/>
  <c r="G5" i="1"/>
  <c r="B127" i="6"/>
  <c r="G6" i="7"/>
  <c r="E99" i="12"/>
  <c r="B1040" i="16"/>
  <c r="B8" i="7"/>
  <c r="H125" i="4"/>
  <c r="H43" i="12"/>
  <c r="A5" i="20"/>
  <c r="B754" i="16"/>
  <c r="A106" i="13"/>
  <c r="H77" i="1"/>
  <c r="H53" i="7"/>
  <c r="H118" i="9"/>
  <c r="B111" i="7"/>
  <c r="B1436" i="16"/>
  <c r="H126" i="1"/>
  <c r="B4" i="13"/>
  <c r="A3784" i="20"/>
  <c r="G118" i="5"/>
  <c r="B914" i="16"/>
  <c r="H113" i="9"/>
  <c r="B1282" i="16"/>
  <c r="B2112" i="20"/>
  <c r="B77" i="12"/>
  <c r="B78" i="1"/>
  <c r="H62" i="10"/>
  <c r="A13" i="5"/>
  <c r="A1109" i="16"/>
  <c r="H83" i="10"/>
  <c r="B3025" i="20"/>
  <c r="A592" i="20"/>
  <c r="B1892" i="20"/>
  <c r="B2" i="2"/>
  <c r="F1" i="9"/>
  <c r="F6" i="11"/>
  <c r="G108" i="7"/>
  <c r="A94" i="12"/>
  <c r="B827" i="20"/>
  <c r="A6561" i="20"/>
  <c r="A267" i="20"/>
  <c r="B223" i="19"/>
  <c r="A266" i="16"/>
  <c r="A136" i="9"/>
  <c r="A140" i="8"/>
  <c r="A5211" i="20"/>
  <c r="A4409" i="20"/>
  <c r="B363" i="20"/>
  <c r="A4075" i="20"/>
  <c r="A1433" i="20"/>
  <c r="A3148" i="20"/>
  <c r="F68" i="1"/>
  <c r="A116" i="8"/>
  <c r="B4313" i="20"/>
  <c r="B63" i="2"/>
  <c r="B643" i="20"/>
  <c r="A3238" i="20"/>
  <c r="B14" i="8"/>
  <c r="B4635" i="20"/>
  <c r="A525" i="20"/>
  <c r="G101" i="12"/>
  <c r="A3455" i="20"/>
  <c r="A4662" i="20"/>
  <c r="A346" i="16"/>
  <c r="B27" i="9"/>
  <c r="H147" i="4"/>
  <c r="B4355" i="20"/>
  <c r="H100" i="5"/>
  <c r="H154" i="4"/>
  <c r="B1693" i="16"/>
  <c r="H109" i="4"/>
  <c r="A20" i="6"/>
  <c r="A127" i="2"/>
  <c r="A87" i="5"/>
  <c r="B930" i="16"/>
  <c r="C65" i="6"/>
  <c r="A137" i="2"/>
  <c r="A453" i="16"/>
  <c r="B351" i="19"/>
  <c r="A97" i="4"/>
  <c r="B1065" i="16"/>
  <c r="A832" i="20"/>
  <c r="B1316" i="16"/>
  <c r="A45" i="4"/>
  <c r="B101" i="5"/>
  <c r="A1" i="11"/>
  <c r="G109" i="5"/>
  <c r="B311" i="20"/>
  <c r="A74" i="20"/>
  <c r="A5197" i="20"/>
  <c r="B4991" i="20"/>
  <c r="A1737" i="20"/>
  <c r="B4460" i="20"/>
  <c r="A2804" i="20"/>
  <c r="A472" i="20"/>
  <c r="A5704" i="20"/>
  <c r="B4332" i="20"/>
  <c r="A75" i="1"/>
  <c r="A1142" i="20"/>
  <c r="A51" i="6"/>
  <c r="A39" i="20"/>
  <c r="A5591" i="20"/>
  <c r="B217" i="16"/>
  <c r="G95" i="2"/>
  <c r="B108" i="20"/>
  <c r="H84" i="1"/>
  <c r="A24" i="9"/>
  <c r="H93" i="7"/>
  <c r="A814" i="16"/>
  <c r="B864" i="20"/>
  <c r="H91" i="6"/>
  <c r="B1295" i="16"/>
  <c r="F62" i="12"/>
  <c r="A283" i="16"/>
  <c r="A2396" i="20"/>
  <c r="H41" i="13"/>
  <c r="A6274" i="20"/>
  <c r="A8223" i="20"/>
  <c r="G24" i="5"/>
  <c r="G54" i="13"/>
  <c r="A1439" i="20"/>
  <c r="A144" i="20"/>
  <c r="A1618" i="20"/>
  <c r="A1215" i="16"/>
  <c r="E27" i="8"/>
  <c r="A1243" i="16"/>
  <c r="A67" i="16"/>
  <c r="B1796" i="16"/>
  <c r="A1062" i="16"/>
  <c r="B49" i="5"/>
  <c r="B4358" i="20"/>
  <c r="A5408" i="20"/>
  <c r="A3433" i="20"/>
  <c r="F1" i="4"/>
  <c r="A43" i="6"/>
  <c r="B2515" i="20"/>
  <c r="B3163" i="20"/>
  <c r="B1712" i="20"/>
  <c r="B1439" i="20"/>
  <c r="A4421" i="20"/>
  <c r="A7302" i="20"/>
  <c r="B1448" i="20"/>
  <c r="B2587" i="20"/>
  <c r="A824" i="20"/>
  <c r="B2752" i="20"/>
  <c r="A3065" i="20"/>
  <c r="B4574" i="20"/>
  <c r="A135" i="9"/>
  <c r="H31" i="12"/>
  <c r="B13" i="14"/>
  <c r="A713" i="16"/>
  <c r="B1696" i="16"/>
  <c r="B76" i="20"/>
  <c r="B2869" i="20"/>
  <c r="C66" i="18"/>
  <c r="A80" i="16"/>
  <c r="A24" i="12"/>
  <c r="B1245" i="20"/>
  <c r="B1834" i="20"/>
  <c r="G151" i="1"/>
  <c r="F51" i="1"/>
  <c r="A88" i="10"/>
  <c r="F75" i="9"/>
  <c r="A1579" i="16"/>
  <c r="A2632" i="20"/>
  <c r="G75" i="8"/>
  <c r="A116" i="2"/>
  <c r="B500" i="16"/>
  <c r="B8851" i="20"/>
  <c r="F2" i="4"/>
  <c r="B22" i="4"/>
  <c r="B42" i="12"/>
  <c r="B120" i="4"/>
  <c r="A4552" i="20"/>
  <c r="A4340" i="20"/>
  <c r="F130" i="1"/>
  <c r="H7" i="4"/>
  <c r="H29" i="2"/>
  <c r="G80" i="12"/>
  <c r="B1508" i="20"/>
  <c r="A1337" i="16"/>
  <c r="G75" i="13"/>
  <c r="B87" i="13"/>
  <c r="B1002" i="20"/>
  <c r="A1746" i="20"/>
  <c r="B673" i="20"/>
  <c r="A6153" i="20"/>
  <c r="G114" i="7"/>
  <c r="B26" i="4"/>
  <c r="G65" i="4"/>
  <c r="B990" i="20"/>
  <c r="A7890" i="20"/>
  <c r="B1396" i="16"/>
  <c r="A148" i="18"/>
  <c r="A5689" i="20"/>
  <c r="B3172" i="20"/>
  <c r="G37" i="9"/>
  <c r="A224" i="16"/>
  <c r="B509" i="16"/>
  <c r="A820" i="20"/>
  <c r="A44" i="5"/>
  <c r="G133" i="12"/>
  <c r="A694" i="16"/>
  <c r="A126" i="5"/>
  <c r="H82" i="10"/>
  <c r="G13" i="10"/>
  <c r="A107" i="1"/>
  <c r="A286" i="16"/>
  <c r="A102" i="16"/>
  <c r="B745" i="20"/>
  <c r="D78" i="1"/>
  <c r="H46" i="12"/>
  <c r="B1983" i="20"/>
  <c r="A856" i="16"/>
  <c r="A8" i="7"/>
  <c r="B318" i="20"/>
  <c r="A98" i="1"/>
  <c r="G20" i="5"/>
  <c r="B75" i="11"/>
  <c r="H90" i="1"/>
  <c r="B130" i="18"/>
  <c r="B21" i="17"/>
  <c r="A1707" i="16"/>
  <c r="A124" i="16"/>
  <c r="C36" i="9"/>
  <c r="B717" i="16"/>
  <c r="H65" i="7"/>
  <c r="A138" i="8"/>
  <c r="H71" i="7"/>
  <c r="B3638" i="20"/>
  <c r="B6898" i="20"/>
  <c r="A362" i="16"/>
  <c r="A84" i="19"/>
  <c r="H92" i="4"/>
  <c r="B1150" i="16"/>
  <c r="A70" i="12"/>
  <c r="G111" i="2"/>
  <c r="B121" i="7"/>
  <c r="A1792" i="16"/>
  <c r="B1514" i="20"/>
  <c r="A513" i="20"/>
  <c r="B308" i="20"/>
  <c r="E6" i="2"/>
  <c r="B7" i="8"/>
  <c r="G125" i="1"/>
  <c r="A390" i="16"/>
  <c r="H119" i="7"/>
  <c r="H19" i="6"/>
  <c r="B15" i="11"/>
  <c r="A320" i="20"/>
  <c r="B1102" i="20"/>
  <c r="B111" i="6"/>
  <c r="A1598" i="16"/>
  <c r="A44" i="2"/>
  <c r="D33" i="1"/>
  <c r="B7060" i="20"/>
  <c r="B94" i="9"/>
  <c r="H20" i="5"/>
  <c r="A996" i="16"/>
  <c r="G105" i="10"/>
  <c r="H21" i="6"/>
  <c r="F144" i="10"/>
  <c r="B2543" i="20"/>
  <c r="G152" i="4"/>
  <c r="A530" i="20"/>
  <c r="A377" i="20"/>
  <c r="G52" i="6"/>
  <c r="A939" i="16"/>
  <c r="A102" i="9"/>
  <c r="F7" i="8"/>
  <c r="A35" i="10"/>
  <c r="A1720" i="16"/>
  <c r="G1" i="12"/>
  <c r="B1708" i="16"/>
  <c r="A88" i="8"/>
  <c r="B3053" i="20"/>
  <c r="B759" i="16"/>
  <c r="B7677" i="20"/>
  <c r="H37" i="6"/>
  <c r="C84" i="18"/>
  <c r="H83" i="13"/>
  <c r="B870" i="16"/>
  <c r="B11" i="19"/>
  <c r="A185" i="20"/>
  <c r="G136" i="9"/>
  <c r="B2425" i="20"/>
  <c r="A57" i="7"/>
  <c r="A162" i="16"/>
  <c r="A38" i="9"/>
  <c r="G100" i="7"/>
  <c r="G46" i="2"/>
  <c r="A100" i="19"/>
  <c r="A101" i="7"/>
  <c r="A1016" i="16"/>
  <c r="B5355" i="20"/>
  <c r="H90" i="8"/>
  <c r="G22" i="13"/>
  <c r="A61" i="5"/>
  <c r="B122" i="2"/>
  <c r="H85" i="9"/>
  <c r="A755" i="20"/>
  <c r="A1706" i="20"/>
  <c r="H8" i="8"/>
  <c r="B154" i="4"/>
  <c r="B3" i="14"/>
  <c r="A4141" i="20"/>
  <c r="A1576" i="20"/>
  <c r="A100" i="2"/>
  <c r="G73" i="9"/>
  <c r="B304" i="16"/>
  <c r="B1201" i="16"/>
  <c r="A28" i="6"/>
  <c r="A1773" i="16"/>
  <c r="C122" i="4"/>
  <c r="B608" i="20"/>
  <c r="A96" i="6"/>
  <c r="A46" i="4"/>
  <c r="B88" i="2"/>
  <c r="B2924" i="20"/>
  <c r="A801" i="16"/>
  <c r="B6599" i="20"/>
  <c r="B2712" i="20"/>
  <c r="B377" i="20"/>
  <c r="A174" i="20"/>
  <c r="B5948" i="20"/>
  <c r="A550" i="20"/>
  <c r="G76" i="5"/>
  <c r="B987" i="16"/>
  <c r="G112" i="4"/>
  <c r="A617" i="20"/>
  <c r="B313" i="20"/>
  <c r="F7" i="12"/>
  <c r="G73" i="6"/>
  <c r="B803" i="20"/>
  <c r="B139" i="16"/>
  <c r="B200" i="19"/>
  <c r="A359" i="19"/>
  <c r="H58" i="8"/>
  <c r="G49" i="2"/>
  <c r="G110" i="5"/>
  <c r="A93" i="5"/>
  <c r="F151" i="8"/>
  <c r="B163" i="16"/>
  <c r="A105" i="20"/>
  <c r="A2534" i="20"/>
  <c r="G102" i="11"/>
  <c r="A34" i="7"/>
  <c r="A50" i="6"/>
  <c r="A276" i="19"/>
  <c r="B1360" i="20"/>
  <c r="A747" i="16"/>
  <c r="E50" i="13"/>
  <c r="C95" i="18"/>
  <c r="H112" i="9"/>
  <c r="C1" i="17"/>
  <c r="B37" i="16"/>
  <c r="B122" i="6"/>
  <c r="A1656" i="20"/>
  <c r="A99" i="16"/>
  <c r="H55" i="1"/>
  <c r="B226" i="20"/>
  <c r="B40" i="13"/>
  <c r="H48" i="8"/>
  <c r="G62" i="1"/>
  <c r="A1331" i="20"/>
  <c r="B1912" i="20"/>
  <c r="B2240" i="20"/>
  <c r="B6649" i="20"/>
  <c r="A1041" i="16"/>
  <c r="A24" i="17"/>
  <c r="H21" i="13"/>
  <c r="B4333" i="20"/>
  <c r="A113" i="10"/>
  <c r="Z2" i="29"/>
  <c r="A1348" i="20"/>
  <c r="A83" i="7"/>
  <c r="H44" i="2"/>
  <c r="G140" i="4"/>
  <c r="A181" i="20"/>
  <c r="B1230" i="16"/>
  <c r="B776" i="16"/>
  <c r="B5638" i="20"/>
  <c r="B1706" i="16"/>
  <c r="F10" i="11"/>
  <c r="B22" i="17"/>
  <c r="A309" i="19"/>
  <c r="B56" i="12"/>
  <c r="A1648" i="16"/>
  <c r="B601" i="16"/>
  <c r="H83" i="1"/>
  <c r="B91" i="8"/>
  <c r="F72" i="1"/>
  <c r="A4037" i="20"/>
  <c r="B3562" i="20"/>
  <c r="G8" i="10"/>
  <c r="A6576" i="20"/>
  <c r="A3" i="16"/>
  <c r="H8" i="5"/>
  <c r="A13" i="17"/>
  <c r="A139" i="1"/>
  <c r="A73" i="8"/>
  <c r="G52" i="11"/>
  <c r="A115" i="19"/>
  <c r="A1600" i="16"/>
  <c r="A575" i="16"/>
  <c r="B159" i="16"/>
  <c r="G70" i="4"/>
  <c r="H91" i="7"/>
  <c r="A364" i="19"/>
  <c r="B202" i="20"/>
  <c r="G77" i="6"/>
  <c r="A1606" i="20"/>
  <c r="A1576" i="16"/>
  <c r="B71" i="4"/>
  <c r="B94" i="18"/>
  <c r="G38" i="5"/>
  <c r="B31" i="6"/>
  <c r="E144" i="10"/>
  <c r="H28" i="2"/>
  <c r="A6912" i="20"/>
  <c r="A78" i="12"/>
  <c r="A6581" i="20"/>
  <c r="G92" i="2"/>
  <c r="B220" i="20"/>
  <c r="G88" i="2"/>
  <c r="B12" i="10"/>
  <c r="B190" i="19"/>
  <c r="B944" i="16"/>
  <c r="B7176" i="20"/>
  <c r="A91" i="12"/>
  <c r="B130" i="2"/>
  <c r="G114" i="12"/>
  <c r="H59" i="9"/>
  <c r="A7027" i="20"/>
  <c r="A109" i="6"/>
  <c r="A2388" i="20"/>
  <c r="B596" i="20"/>
  <c r="A1089" i="20"/>
  <c r="H80" i="10"/>
  <c r="A270" i="20"/>
  <c r="A3057" i="20"/>
  <c r="H58" i="1"/>
  <c r="A515" i="16"/>
  <c r="A541" i="16"/>
  <c r="A66" i="11"/>
  <c r="A3169" i="20"/>
  <c r="B64" i="19"/>
  <c r="B24" i="7"/>
  <c r="B2378" i="20"/>
  <c r="G82" i="11"/>
  <c r="A5193" i="20"/>
  <c r="A2883" i="20"/>
  <c r="H120" i="7"/>
  <c r="G48" i="1"/>
  <c r="A55" i="5"/>
  <c r="B1452" i="20"/>
  <c r="A332" i="19"/>
  <c r="C65" i="18"/>
  <c r="A846" i="20"/>
  <c r="B76" i="4"/>
  <c r="B1363" i="16"/>
  <c r="A273" i="16"/>
  <c r="B73" i="13"/>
  <c r="B341" i="19"/>
  <c r="A40" i="10"/>
  <c r="B108" i="4"/>
  <c r="B262" i="16"/>
  <c r="F45" i="1"/>
  <c r="A108" i="5"/>
  <c r="B944" i="20"/>
  <c r="A2000" i="20"/>
  <c r="A795" i="16"/>
  <c r="B6196" i="20"/>
  <c r="F155" i="1"/>
  <c r="B134" i="20"/>
  <c r="B619" i="20"/>
  <c r="H96" i="6"/>
  <c r="A2060" i="20"/>
  <c r="B1406" i="20"/>
  <c r="B5884" i="20"/>
  <c r="A5416" i="20"/>
  <c r="G42" i="13"/>
  <c r="A4429" i="20"/>
  <c r="B3627" i="20"/>
  <c r="G122" i="5"/>
  <c r="B3382" i="20"/>
  <c r="B3319" i="20"/>
  <c r="A380" i="19"/>
  <c r="A48" i="17"/>
  <c r="A115" i="1"/>
  <c r="A4617" i="20"/>
  <c r="E91" i="6"/>
  <c r="B1758" i="16"/>
  <c r="A369" i="20"/>
  <c r="B780" i="16"/>
  <c r="B123" i="18"/>
  <c r="A1132" i="16"/>
  <c r="A147" i="4"/>
  <c r="B1287" i="20"/>
  <c r="A2727" i="20"/>
  <c r="A1692" i="16"/>
  <c r="B34" i="19"/>
  <c r="A1930" i="20"/>
  <c r="E12" i="1"/>
  <c r="H103" i="1"/>
  <c r="G48" i="5"/>
  <c r="B757" i="16"/>
  <c r="A22" i="6"/>
  <c r="B69" i="12"/>
  <c r="G28" i="6"/>
  <c r="A85" i="18"/>
  <c r="B100" i="10"/>
  <c r="A1309" i="16"/>
  <c r="B531" i="16"/>
  <c r="E33" i="1"/>
  <c r="B714" i="20"/>
  <c r="A1081" i="16"/>
  <c r="A142" i="8"/>
  <c r="G128" i="1"/>
  <c r="A5309" i="20"/>
  <c r="A101" i="5"/>
  <c r="A2549" i="20"/>
  <c r="A3826" i="20"/>
  <c r="A66" i="9"/>
  <c r="B2433" i="20"/>
  <c r="A723" i="16"/>
  <c r="A137" i="8"/>
  <c r="B101" i="6"/>
  <c r="A2400" i="20"/>
  <c r="B3961" i="20"/>
  <c r="A724" i="45"/>
  <c r="A2292" i="20"/>
  <c r="B504" i="20"/>
  <c r="A2795" i="20"/>
  <c r="A566" i="20"/>
  <c r="B1613" i="16"/>
  <c r="B1261" i="16"/>
  <c r="B491" i="16"/>
  <c r="A131" i="8"/>
  <c r="G139" i="4"/>
  <c r="A389" i="16"/>
  <c r="B2854" i="20"/>
  <c r="A8111" i="20"/>
  <c r="A7577" i="20"/>
  <c r="B7389" i="20"/>
  <c r="A5458" i="20"/>
  <c r="A3542" i="20"/>
  <c r="A3094" i="20"/>
  <c r="B4342" i="20"/>
  <c r="B51" i="18"/>
  <c r="H74" i="1"/>
  <c r="F64" i="13"/>
  <c r="B92" i="11"/>
  <c r="G62" i="8"/>
  <c r="B1573" i="20"/>
  <c r="A3012" i="20"/>
  <c r="G134" i="2"/>
  <c r="H114" i="9"/>
  <c r="A110" i="4"/>
  <c r="G104" i="8"/>
  <c r="A800" i="16"/>
  <c r="A71" i="11"/>
  <c r="A1811" i="16"/>
  <c r="B1405" i="20"/>
  <c r="A1197" i="16"/>
  <c r="A201" i="19"/>
  <c r="D122" i="8"/>
  <c r="E10" i="5"/>
  <c r="F123" i="7"/>
  <c r="F124" i="1"/>
  <c r="B1228" i="20"/>
  <c r="B95" i="13"/>
  <c r="A92" i="16"/>
  <c r="B2053" i="20"/>
  <c r="A137" i="1"/>
  <c r="A135" i="19"/>
  <c r="A184" i="16"/>
  <c r="B83" i="10"/>
  <c r="A560" i="20"/>
  <c r="G148" i="9"/>
  <c r="A3406" i="20"/>
  <c r="B763" i="20"/>
  <c r="G110" i="12"/>
  <c r="A108" i="1"/>
  <c r="B6278" i="20"/>
  <c r="B3417" i="20"/>
  <c r="A84" i="11"/>
  <c r="A28" i="8"/>
  <c r="G131" i="2"/>
  <c r="H48" i="1"/>
  <c r="E4" i="4"/>
  <c r="B95" i="4"/>
  <c r="A1826" i="16"/>
  <c r="A3810" i="20"/>
  <c r="F3" i="4"/>
  <c r="A819" i="16"/>
  <c r="A1939" i="20"/>
  <c r="B3063" i="20"/>
  <c r="A100" i="1"/>
  <c r="A9" i="15"/>
  <c r="A2231" i="20"/>
  <c r="H60" i="13"/>
  <c r="C128" i="18"/>
  <c r="B85" i="9"/>
  <c r="A283" i="20"/>
  <c r="C56" i="18"/>
  <c r="H63" i="4"/>
  <c r="H98" i="2"/>
  <c r="G82" i="13"/>
  <c r="B6418" i="20"/>
  <c r="A244" i="20"/>
  <c r="H38" i="4"/>
  <c r="A6527" i="20"/>
  <c r="A2074" i="20"/>
  <c r="B1203" i="20"/>
  <c r="A54" i="6"/>
  <c r="B119" i="10"/>
  <c r="A61" i="8"/>
  <c r="A300" i="19"/>
  <c r="G99" i="6"/>
  <c r="A9" i="4"/>
  <c r="A2517" i="20"/>
  <c r="B20" i="7"/>
  <c r="B357" i="16"/>
  <c r="H6" i="6"/>
  <c r="A1094" i="16"/>
  <c r="A84" i="12"/>
  <c r="F9" i="11"/>
  <c r="B4346" i="20"/>
  <c r="B6260" i="20"/>
  <c r="A74" i="12"/>
  <c r="B692" i="16"/>
  <c r="B75" i="9"/>
  <c r="B1827" i="16"/>
  <c r="A2268" i="20"/>
  <c r="B5199" i="20"/>
  <c r="B4588" i="20"/>
  <c r="B283" i="16"/>
  <c r="B4151" i="20"/>
  <c r="B77" i="4"/>
  <c r="H55" i="7"/>
  <c r="B25" i="8"/>
  <c r="A383" i="16"/>
  <c r="B86" i="9"/>
  <c r="B6430" i="20"/>
  <c r="B57" i="6"/>
  <c r="B108" i="9"/>
  <c r="B6" i="6"/>
  <c r="A743" i="20"/>
  <c r="A4015" i="20"/>
  <c r="A91" i="6"/>
  <c r="H108" i="11"/>
  <c r="A639" i="16"/>
  <c r="B1499" i="20"/>
  <c r="B38" i="13"/>
  <c r="F126" i="12"/>
  <c r="A36" i="16"/>
  <c r="B1654" i="16"/>
  <c r="A61" i="11"/>
  <c r="G113" i="13"/>
  <c r="F121" i="1"/>
  <c r="A146" i="8"/>
  <c r="B75" i="19"/>
  <c r="B39" i="12"/>
  <c r="B58" i="5"/>
  <c r="A46" i="1"/>
  <c r="A280" i="19"/>
  <c r="A1968" i="20"/>
  <c r="A44" i="1"/>
  <c r="A43" i="1"/>
  <c r="A20" i="4"/>
  <c r="A70" i="1"/>
  <c r="G7" i="9"/>
  <c r="A217" i="19"/>
  <c r="G50" i="7"/>
  <c r="A412" i="20"/>
  <c r="E103" i="5"/>
  <c r="A1257" i="20"/>
  <c r="B35" i="2"/>
  <c r="B114" i="16"/>
  <c r="F7" i="10"/>
  <c r="B857" i="20"/>
  <c r="B1081" i="16"/>
  <c r="G41" i="4"/>
  <c r="B24" i="11"/>
  <c r="F103" i="5"/>
  <c r="B8" i="10"/>
  <c r="B50" i="8"/>
  <c r="B3551" i="20"/>
  <c r="A481" i="20"/>
  <c r="B2667" i="20"/>
  <c r="B4095" i="20"/>
  <c r="A228" i="16"/>
  <c r="C54" i="18"/>
  <c r="A1275" i="16"/>
  <c r="G128" i="8"/>
  <c r="B1532" i="20"/>
  <c r="A82" i="2"/>
  <c r="E10" i="12"/>
  <c r="A422" i="16"/>
  <c r="B14" i="17"/>
  <c r="A26" i="12"/>
  <c r="D1" i="10"/>
  <c r="B2449" i="20"/>
  <c r="A1017" i="16"/>
  <c r="B2483" i="20"/>
  <c r="B3085" i="20"/>
  <c r="A3156" i="20"/>
  <c r="G88" i="11"/>
  <c r="A2590" i="20"/>
  <c r="B1181" i="16"/>
  <c r="B2380" i="20"/>
  <c r="G43" i="10"/>
  <c r="B2203" i="20"/>
  <c r="A3759" i="20"/>
  <c r="G90" i="2"/>
  <c r="A124" i="13"/>
  <c r="A566" i="16"/>
  <c r="H86" i="12"/>
  <c r="A131" i="2"/>
  <c r="A102" i="2"/>
  <c r="B91" i="2"/>
  <c r="A5757" i="20"/>
  <c r="B2238" i="20"/>
  <c r="A100" i="5"/>
  <c r="A4012" i="20"/>
  <c r="A1756" i="20"/>
  <c r="A4630" i="20"/>
  <c r="G58" i="11"/>
  <c r="A4613" i="20"/>
  <c r="B22" i="6"/>
  <c r="B42" i="17"/>
  <c r="B1012" i="20"/>
  <c r="A191" i="19"/>
  <c r="B3525" i="20"/>
  <c r="A2661" i="20"/>
  <c r="B3271" i="20"/>
  <c r="A1524" i="20"/>
  <c r="A3666" i="20"/>
  <c r="A2870" i="20"/>
  <c r="A517" i="16"/>
  <c r="B1023" i="20"/>
  <c r="A1404" i="20"/>
  <c r="A177" i="20"/>
  <c r="A3839" i="20"/>
  <c r="B1586" i="16"/>
  <c r="A1650" i="20"/>
  <c r="A4224" i="20"/>
  <c r="B2905" i="20"/>
  <c r="A2026" i="20"/>
  <c r="B3032" i="20"/>
  <c r="A223" i="16"/>
  <c r="B1183" i="20"/>
  <c r="B4399" i="20"/>
  <c r="B1441" i="16"/>
  <c r="B73" i="16"/>
  <c r="H131" i="11"/>
  <c r="H97" i="11"/>
  <c r="A114" i="18"/>
  <c r="B789" i="16"/>
  <c r="A2286" i="20"/>
  <c r="A810" i="16"/>
  <c r="B3" i="6"/>
  <c r="B687" i="20"/>
  <c r="H67" i="8"/>
  <c r="A307" i="20"/>
  <c r="G89" i="12"/>
  <c r="G151" i="4"/>
  <c r="E26" i="5"/>
  <c r="A942" i="20"/>
  <c r="G59" i="11"/>
  <c r="A106" i="4"/>
  <c r="B1047" i="16"/>
  <c r="A107" i="9"/>
  <c r="B7161" i="20"/>
  <c r="E67" i="11"/>
  <c r="H110" i="5"/>
  <c r="A3340" i="20"/>
  <c r="H29" i="5"/>
  <c r="B1345" i="20"/>
  <c r="B542" i="20"/>
  <c r="H34" i="11"/>
  <c r="A7762" i="20"/>
  <c r="B70" i="13"/>
  <c r="B27" i="19"/>
  <c r="A254" i="19"/>
  <c r="B675" i="20"/>
  <c r="A65" i="12"/>
  <c r="B3247" i="20"/>
  <c r="B579" i="16"/>
  <c r="B96" i="11"/>
  <c r="B1716" i="16"/>
  <c r="A2409" i="20"/>
  <c r="A178" i="20"/>
  <c r="B241" i="19"/>
  <c r="F65" i="1"/>
  <c r="B656" i="16"/>
  <c r="A1708" i="16"/>
  <c r="A4505" i="20"/>
  <c r="B805" i="20"/>
  <c r="A33" i="16"/>
  <c r="E5" i="13"/>
  <c r="B388" i="20"/>
  <c r="B68" i="18"/>
  <c r="A394" i="20"/>
  <c r="B329" i="19"/>
  <c r="A591" i="20"/>
  <c r="B1409" i="20"/>
  <c r="B945" i="16"/>
  <c r="A1076" i="16"/>
  <c r="A522" i="20"/>
  <c r="A98" i="12"/>
  <c r="A770" i="16"/>
  <c r="B291" i="16"/>
  <c r="A1428" i="20"/>
  <c r="A1738" i="16"/>
  <c r="B81" i="13"/>
  <c r="B5" i="10"/>
  <c r="G40" i="1"/>
  <c r="F142" i="4"/>
  <c r="A15" i="9"/>
  <c r="B1098" i="16"/>
  <c r="A71" i="16"/>
  <c r="G109" i="7"/>
  <c r="H16" i="11"/>
  <c r="A706" i="16"/>
  <c r="A947" i="16"/>
  <c r="A122" i="12"/>
  <c r="A1333" i="16"/>
  <c r="B45" i="2"/>
  <c r="A85" i="4"/>
  <c r="B1713" i="20"/>
  <c r="A736" i="20"/>
  <c r="F53" i="1"/>
  <c r="A307" i="19"/>
  <c r="B47" i="17"/>
  <c r="B1353" i="16"/>
  <c r="A6041" i="20"/>
  <c r="B355" i="16"/>
  <c r="C74" i="18"/>
  <c r="A224" i="19"/>
  <c r="A683" i="16"/>
  <c r="B7402" i="20"/>
  <c r="B1351" i="16"/>
  <c r="B4862" i="20"/>
  <c r="A15" i="4"/>
  <c r="B1615" i="16"/>
  <c r="A3605" i="20"/>
  <c r="B863" i="16"/>
  <c r="B120" i="19"/>
  <c r="A797" i="16"/>
  <c r="B3605" i="20"/>
  <c r="H38" i="2"/>
  <c r="B4840" i="20"/>
  <c r="A47" i="9"/>
  <c r="A1632" i="20"/>
  <c r="A4007" i="20"/>
  <c r="B1324" i="20"/>
  <c r="G97" i="13"/>
  <c r="B5360" i="20"/>
  <c r="B6660" i="20"/>
  <c r="A2137" i="20"/>
  <c r="A2905" i="20"/>
  <c r="B107" i="4"/>
  <c r="A39" i="12"/>
  <c r="G126" i="2"/>
  <c r="A371" i="19"/>
  <c r="B520" i="20"/>
  <c r="B2235" i="20"/>
  <c r="A366" i="19"/>
  <c r="G6" i="10"/>
  <c r="C64" i="12"/>
  <c r="B2460" i="20"/>
  <c r="A1568" i="16"/>
  <c r="D67" i="13"/>
  <c r="B1812" i="16"/>
  <c r="H59" i="4"/>
  <c r="B1767" i="20"/>
  <c r="A1237" i="16"/>
  <c r="B1838" i="16"/>
  <c r="B8417" i="20"/>
  <c r="G92" i="4"/>
  <c r="G53" i="1"/>
  <c r="A144" i="9"/>
  <c r="B144" i="18"/>
  <c r="B4149" i="20"/>
  <c r="G46" i="4"/>
  <c r="B352" i="20"/>
  <c r="E13" i="9"/>
  <c r="B220" i="19"/>
  <c r="B3098" i="20"/>
  <c r="B6343" i="20"/>
  <c r="B738" i="16"/>
  <c r="G103" i="4"/>
  <c r="A928" i="20"/>
  <c r="A1958" i="20"/>
  <c r="A1106" i="20"/>
  <c r="A1779" i="16"/>
  <c r="B5856" i="20"/>
  <c r="B7" i="11"/>
  <c r="A104" i="10"/>
  <c r="G36" i="10"/>
  <c r="A36" i="8"/>
  <c r="A13" i="11"/>
  <c r="B4624" i="20"/>
  <c r="G48" i="4"/>
  <c r="B8357" i="20"/>
  <c r="A306" i="16"/>
  <c r="B599" i="20"/>
  <c r="C133" i="18"/>
  <c r="A542" i="16"/>
  <c r="A172" i="20"/>
  <c r="B618" i="16"/>
  <c r="B438" i="16"/>
  <c r="B422" i="16"/>
  <c r="B96" i="18"/>
  <c r="G36" i="8"/>
  <c r="B1107" i="20"/>
  <c r="B1125" i="20"/>
  <c r="A1067" i="20"/>
  <c r="B490" i="16"/>
  <c r="B2664" i="20"/>
  <c r="A6221" i="20"/>
  <c r="B5" i="12"/>
  <c r="A715" i="20"/>
  <c r="B947" i="20"/>
  <c r="E76" i="8"/>
  <c r="B30" i="5"/>
  <c r="B1324" i="16"/>
  <c r="A429" i="16"/>
  <c r="A445" i="16"/>
  <c r="A109" i="7"/>
  <c r="F3" i="6"/>
  <c r="B101" i="13"/>
  <c r="A191" i="16"/>
  <c r="B200" i="20"/>
  <c r="A1466" i="20"/>
  <c r="B1823" i="16"/>
  <c r="H125" i="7"/>
  <c r="A134" i="7"/>
  <c r="A4939" i="20"/>
  <c r="B5926" i="20"/>
  <c r="A5509" i="20"/>
  <c r="B4650" i="20"/>
  <c r="A4404" i="20"/>
  <c r="G103" i="10"/>
  <c r="A3037" i="20"/>
  <c r="B5896" i="20"/>
  <c r="A5896" i="20"/>
  <c r="A6190" i="20"/>
  <c r="B7578" i="20"/>
  <c r="B8126" i="20"/>
  <c r="B4411" i="20"/>
  <c r="E33" i="4"/>
  <c r="H114" i="7"/>
  <c r="B2514" i="20"/>
  <c r="A1422" i="20"/>
  <c r="B3436" i="20"/>
  <c r="B1795" i="20"/>
  <c r="B837" i="20"/>
  <c r="A103" i="19"/>
  <c r="B2369" i="20"/>
  <c r="A129" i="20"/>
  <c r="B192" i="19"/>
  <c r="H119" i="6"/>
  <c r="B1259" i="16"/>
  <c r="G155" i="9"/>
  <c r="A141" i="9"/>
  <c r="B1240" i="16"/>
  <c r="A2716" i="20"/>
  <c r="B86" i="4"/>
  <c r="G46" i="11"/>
  <c r="B35" i="20"/>
  <c r="H42" i="6"/>
  <c r="B114" i="18"/>
  <c r="B134" i="9"/>
  <c r="A6732" i="20"/>
  <c r="H36" i="1"/>
  <c r="G59" i="10"/>
  <c r="A169" i="20"/>
  <c r="B567" i="16"/>
  <c r="B631" i="16"/>
  <c r="H17" i="12"/>
  <c r="A16" i="2"/>
  <c r="B435" i="16"/>
  <c r="B240" i="19"/>
  <c r="A1472" i="20"/>
  <c r="B4554" i="20"/>
  <c r="A7" i="10"/>
  <c r="A139" i="13"/>
  <c r="B4" i="7"/>
  <c r="A107" i="10"/>
  <c r="A107" i="8"/>
  <c r="A12" i="14"/>
  <c r="A5293" i="20"/>
  <c r="B6" i="10"/>
  <c r="B30" i="13"/>
  <c r="B756" i="20"/>
  <c r="C141" i="18"/>
  <c r="A20" i="10"/>
  <c r="B36" i="19"/>
  <c r="A59" i="2"/>
  <c r="B472" i="16"/>
  <c r="B1920" i="20"/>
  <c r="B117" i="20"/>
  <c r="B1238" i="16"/>
  <c r="B1014" i="16"/>
  <c r="B1149" i="20"/>
  <c r="B1060" i="20"/>
  <c r="A1276" i="16"/>
  <c r="A32" i="9"/>
  <c r="B33" i="12"/>
  <c r="B91" i="19"/>
  <c r="B126" i="18"/>
  <c r="A71" i="12"/>
  <c r="A243" i="16"/>
  <c r="A1331" i="16"/>
  <c r="B96" i="13"/>
  <c r="B57" i="11"/>
  <c r="A488" i="20"/>
  <c r="H13" i="1"/>
  <c r="B136" i="7"/>
  <c r="A57" i="2"/>
  <c r="C1" i="11"/>
  <c r="B1358" i="16"/>
  <c r="A3" i="8"/>
  <c r="A4406" i="20"/>
  <c r="A57" i="20"/>
  <c r="B1827" i="20"/>
  <c r="A1450" i="16"/>
  <c r="A906" i="16"/>
  <c r="B834" i="20"/>
  <c r="B6029" i="20"/>
  <c r="B18" i="2"/>
  <c r="A62" i="10"/>
  <c r="B1771" i="16"/>
  <c r="B133" i="10"/>
  <c r="A1755" i="16"/>
  <c r="G62" i="11"/>
  <c r="B642" i="20"/>
  <c r="B1161" i="16"/>
  <c r="B95" i="18"/>
  <c r="A1588" i="20"/>
  <c r="B63" i="6"/>
  <c r="B1369" i="16"/>
  <c r="A1049" i="16"/>
  <c r="A205" i="16"/>
  <c r="B427" i="20"/>
  <c r="A88" i="16"/>
  <c r="A103" i="13"/>
  <c r="A4200" i="20"/>
  <c r="B793" i="16"/>
  <c r="H120" i="9"/>
  <c r="B426" i="16"/>
  <c r="G56" i="11"/>
  <c r="B94" i="16"/>
  <c r="A4379" i="20"/>
  <c r="B17" i="4"/>
  <c r="G5" i="8"/>
  <c r="A139" i="4"/>
  <c r="B2143" i="20"/>
  <c r="B4404" i="20"/>
  <c r="A325" i="19"/>
  <c r="B105" i="12"/>
  <c r="A1009" i="20"/>
  <c r="A4553" i="20"/>
  <c r="B7863" i="20"/>
  <c r="E12" i="11"/>
  <c r="B1442" i="16"/>
  <c r="A2758" i="20"/>
  <c r="B5307" i="20"/>
  <c r="B1156" i="20"/>
  <c r="A5303" i="20"/>
  <c r="A4058" i="20"/>
  <c r="A2043" i="20"/>
  <c r="B247" i="19"/>
  <c r="B1267" i="20"/>
  <c r="B911" i="16"/>
  <c r="B591" i="16"/>
  <c r="A110" i="5"/>
  <c r="H46" i="8"/>
  <c r="B159" i="20"/>
  <c r="A3952" i="20"/>
  <c r="A4297" i="20"/>
  <c r="A1448" i="20"/>
  <c r="B4301" i="20"/>
  <c r="A660" i="20"/>
  <c r="A340" i="20"/>
  <c r="A2130" i="20"/>
  <c r="B2117" i="20"/>
  <c r="B6070" i="20"/>
  <c r="A98" i="11"/>
  <c r="A703" i="20"/>
  <c r="G123" i="11"/>
  <c r="B59" i="20"/>
  <c r="B44" i="16"/>
  <c r="B422" i="20"/>
  <c r="A82" i="4"/>
  <c r="A825" i="20"/>
  <c r="A97" i="20"/>
  <c r="B1747" i="16"/>
  <c r="A77" i="11"/>
  <c r="A1617" i="20"/>
  <c r="E64" i="12"/>
  <c r="B17" i="6"/>
  <c r="B146" i="16"/>
  <c r="A64" i="20"/>
  <c r="A482" i="16"/>
  <c r="A47" i="8"/>
  <c r="H114" i="1"/>
  <c r="C5" i="14"/>
  <c r="A1332" i="20"/>
  <c r="B2581" i="20"/>
  <c r="A208" i="19"/>
  <c r="H28" i="8"/>
  <c r="B2025" i="20"/>
  <c r="H70" i="7"/>
  <c r="B3391" i="20"/>
  <c r="B4325" i="20"/>
  <c r="A18" i="6"/>
  <c r="B5102" i="20"/>
  <c r="B968" i="16"/>
  <c r="A91" i="11"/>
  <c r="B1700" i="16"/>
  <c r="A281" i="19"/>
  <c r="A133" i="16"/>
  <c r="B410" i="20"/>
  <c r="B3652" i="20"/>
  <c r="F13" i="2"/>
  <c r="B86" i="19"/>
  <c r="A1005" i="16"/>
  <c r="F82" i="1"/>
  <c r="G23" i="2"/>
  <c r="B939" i="20"/>
  <c r="B52" i="8"/>
  <c r="B165" i="19"/>
  <c r="B7379" i="20"/>
  <c r="H65" i="1"/>
  <c r="B145" i="4"/>
  <c r="B1125" i="16"/>
  <c r="B5364" i="20"/>
  <c r="A50" i="2"/>
  <c r="B166" i="19"/>
  <c r="B4163" i="20"/>
  <c r="A987" i="16"/>
  <c r="A59" i="6"/>
  <c r="A441" i="20"/>
  <c r="A148" i="16"/>
  <c r="A6425" i="20"/>
  <c r="G96" i="6"/>
  <c r="A13" i="6"/>
  <c r="A69" i="18"/>
  <c r="B3923" i="20"/>
  <c r="A123" i="1"/>
  <c r="G108" i="8"/>
  <c r="A469" i="16"/>
  <c r="B1417" i="16"/>
  <c r="B67" i="13"/>
  <c r="H61" i="4"/>
  <c r="A107" i="6"/>
  <c r="B1057" i="20"/>
  <c r="B661" i="20"/>
  <c r="H74" i="2"/>
  <c r="A1757" i="16"/>
  <c r="A113" i="2"/>
  <c r="B27" i="18"/>
  <c r="B29" i="19"/>
  <c r="A117" i="6"/>
  <c r="A3794" i="20"/>
  <c r="B101" i="8"/>
  <c r="A73" i="5"/>
  <c r="A632" i="20"/>
  <c r="B52" i="6"/>
  <c r="G58" i="2"/>
  <c r="A103" i="4"/>
  <c r="F28" i="1"/>
  <c r="E3" i="1"/>
  <c r="A158" i="20"/>
  <c r="B6811" i="20"/>
  <c r="F93" i="2"/>
  <c r="B141" i="10"/>
  <c r="B5648" i="20"/>
  <c r="B562" i="20"/>
  <c r="A1785" i="20"/>
  <c r="B1145" i="20"/>
  <c r="E9" i="1"/>
  <c r="A1393" i="16"/>
  <c r="A1762" i="16"/>
  <c r="F36" i="10"/>
  <c r="G15" i="5"/>
  <c r="A12" i="11"/>
  <c r="F74" i="10"/>
  <c r="A14" i="7"/>
  <c r="B110" i="45"/>
  <c r="F93" i="1"/>
  <c r="A1674" i="16"/>
  <c r="H112" i="12"/>
  <c r="B1831" i="20"/>
  <c r="B45" i="19"/>
  <c r="A5259" i="20"/>
  <c r="H16" i="1"/>
  <c r="A87" i="10"/>
  <c r="B640" i="20"/>
  <c r="E6" i="6"/>
  <c r="B1018" i="16"/>
  <c r="H78" i="7"/>
  <c r="A2470" i="20"/>
  <c r="G85" i="2"/>
  <c r="A50" i="19"/>
  <c r="F116" i="10"/>
  <c r="B76" i="2"/>
  <c r="B4872" i="20"/>
  <c r="A2204" i="20"/>
  <c r="B381" i="16"/>
  <c r="B1338" i="16"/>
  <c r="B3195" i="20"/>
  <c r="F25" i="11"/>
  <c r="A251" i="16"/>
  <c r="A590" i="16"/>
  <c r="E113" i="1"/>
  <c r="G84" i="8"/>
  <c r="A61" i="6"/>
  <c r="A11" i="7"/>
  <c r="H124" i="4"/>
  <c r="A17" i="20"/>
  <c r="A18" i="8"/>
  <c r="A880" i="20"/>
  <c r="B45" i="18"/>
  <c r="B86" i="20"/>
  <c r="B5" i="17"/>
  <c r="B20" i="2"/>
  <c r="H71" i="13"/>
  <c r="B39" i="8"/>
  <c r="A28" i="1"/>
  <c r="A926" i="16"/>
  <c r="F9" i="4"/>
  <c r="B3" i="13"/>
  <c r="A1696" i="16"/>
  <c r="B1688" i="20"/>
  <c r="A3365" i="20"/>
  <c r="B969" i="16"/>
  <c r="A76" i="10"/>
  <c r="B205" i="16"/>
  <c r="A881" i="20"/>
  <c r="H69" i="5"/>
  <c r="G36" i="6"/>
  <c r="F34" i="2"/>
  <c r="G55" i="7"/>
  <c r="A1186" i="16"/>
  <c r="A4011" i="20"/>
  <c r="B1489" i="20"/>
  <c r="A44" i="6"/>
  <c r="B3096" i="20"/>
  <c r="A1674" i="20"/>
  <c r="H73" i="11"/>
  <c r="G86" i="4"/>
  <c r="B63" i="19"/>
  <c r="B1418" i="16"/>
  <c r="B2552" i="20"/>
  <c r="E11" i="6"/>
  <c r="G31" i="13"/>
  <c r="B368" i="16"/>
  <c r="A122" i="16"/>
  <c r="B135" i="12"/>
  <c r="B3429" i="20"/>
  <c r="A3514" i="20"/>
  <c r="G41" i="5"/>
  <c r="A101" i="12"/>
  <c r="B979" i="16"/>
  <c r="B3913" i="20"/>
  <c r="A844" i="16"/>
  <c r="A5" i="7"/>
  <c r="B4663" i="20"/>
  <c r="H141" i="8"/>
  <c r="B839" i="20"/>
  <c r="A2514" i="20"/>
  <c r="G17" i="9"/>
  <c r="F25" i="13"/>
  <c r="H90" i="10"/>
  <c r="H47" i="8"/>
  <c r="E13" i="13"/>
  <c r="D18" i="43"/>
  <c r="B2663" i="20"/>
  <c r="A1581" i="16"/>
  <c r="B1205" i="20"/>
  <c r="B53" i="20"/>
  <c r="A442" i="16"/>
  <c r="A1691" i="16"/>
  <c r="H62" i="2"/>
  <c r="A585" i="20"/>
  <c r="B4" i="15"/>
  <c r="B1334" i="20"/>
  <c r="A1830" i="20"/>
  <c r="B4343" i="20"/>
  <c r="A1749" i="16"/>
  <c r="B1679" i="20"/>
  <c r="A8596" i="20"/>
  <c r="A7" i="9"/>
  <c r="A40" i="4"/>
  <c r="A117" i="11"/>
  <c r="B1496" i="20"/>
  <c r="A2845" i="20"/>
  <c r="G71" i="1"/>
  <c r="A18" i="10"/>
  <c r="B1381" i="16"/>
  <c r="B1010" i="16"/>
  <c r="A1023" i="20"/>
  <c r="B1469" i="16"/>
  <c r="A551" i="16"/>
  <c r="A128" i="12"/>
  <c r="B501" i="16"/>
  <c r="H21" i="7"/>
  <c r="B81" i="5"/>
  <c r="H7" i="5"/>
  <c r="B4111" i="20"/>
  <c r="B20" i="13"/>
  <c r="B8651" i="20"/>
  <c r="G56" i="4"/>
  <c r="B114" i="4"/>
  <c r="B36" i="6"/>
  <c r="A1334" i="16"/>
  <c r="B95" i="11"/>
  <c r="B211" i="20"/>
  <c r="B986" i="20"/>
  <c r="A485" i="16"/>
  <c r="B598" i="16"/>
  <c r="A126" i="10"/>
  <c r="B1334" i="16"/>
  <c r="B283" i="20"/>
  <c r="B297" i="20"/>
  <c r="A16" i="9"/>
  <c r="B178" i="20"/>
  <c r="H76" i="4"/>
  <c r="A4966" i="20"/>
  <c r="H14" i="5"/>
  <c r="A40" i="2"/>
  <c r="H107" i="6"/>
  <c r="A508" i="16"/>
  <c r="C93" i="18"/>
  <c r="B4300" i="20"/>
  <c r="B681" i="16"/>
  <c r="A132" i="4"/>
  <c r="A780" i="16"/>
  <c r="E107" i="10"/>
  <c r="G42" i="7"/>
  <c r="G98" i="2"/>
  <c r="G72" i="7"/>
  <c r="B4455" i="20"/>
  <c r="F137" i="1"/>
  <c r="B1009" i="16"/>
  <c r="H149" i="9"/>
  <c r="B1204" i="20"/>
  <c r="E104" i="10"/>
  <c r="H43" i="10"/>
  <c r="H51" i="6"/>
  <c r="B1012" i="16"/>
  <c r="B959" i="20"/>
  <c r="B23" i="12"/>
  <c r="A33" i="12"/>
  <c r="A101" i="13"/>
  <c r="A186" i="19"/>
  <c r="A100" i="7"/>
  <c r="B7159" i="20"/>
  <c r="H114" i="8"/>
  <c r="E96" i="12"/>
  <c r="C2" i="8"/>
  <c r="H51" i="4"/>
  <c r="A811" i="16"/>
  <c r="B1656" i="16"/>
  <c r="G92" i="1"/>
  <c r="A8511" i="20"/>
  <c r="A252" i="16"/>
  <c r="H37" i="10"/>
  <c r="B578" i="16"/>
  <c r="H77" i="13"/>
  <c r="A1352" i="20"/>
  <c r="B1774" i="20"/>
  <c r="B942" i="20"/>
  <c r="B61" i="20"/>
  <c r="B659" i="16"/>
  <c r="B4882" i="20"/>
  <c r="A6568" i="20"/>
  <c r="A401" i="16"/>
  <c r="A5907" i="20"/>
  <c r="B4025" i="20"/>
  <c r="B338" i="19"/>
  <c r="A872" i="16"/>
  <c r="B777" i="20"/>
  <c r="H123" i="12"/>
  <c r="A191" i="20"/>
  <c r="H30" i="10"/>
  <c r="G90" i="4"/>
  <c r="B259" i="20"/>
  <c r="A66" i="18"/>
  <c r="C8" i="14"/>
  <c r="G72" i="9"/>
  <c r="B1750" i="16"/>
  <c r="G81" i="4"/>
  <c r="A89" i="9"/>
  <c r="G110" i="1"/>
  <c r="A186" i="16"/>
  <c r="B2609" i="20"/>
  <c r="B130" i="6"/>
  <c r="H86" i="4"/>
  <c r="G39" i="2"/>
  <c r="B920" i="16"/>
  <c r="A146" i="20"/>
  <c r="G95" i="12"/>
  <c r="A147" i="8"/>
  <c r="B1493" i="20"/>
  <c r="A198" i="16"/>
  <c r="A24" i="1"/>
  <c r="B1313" i="16"/>
  <c r="B119" i="8"/>
  <c r="B379" i="16"/>
  <c r="A295" i="16"/>
  <c r="B2639" i="20"/>
  <c r="B1335" i="20"/>
  <c r="H97" i="6"/>
  <c r="A893" i="16"/>
  <c r="A1244" i="20"/>
  <c r="A5341" i="20"/>
  <c r="B595" i="16"/>
  <c r="A71" i="19"/>
  <c r="A670" i="20"/>
  <c r="A5360" i="20"/>
  <c r="B63" i="7"/>
  <c r="B1027" i="20"/>
  <c r="A989" i="16"/>
  <c r="A547" i="16"/>
  <c r="G28" i="4"/>
  <c r="G48" i="8"/>
  <c r="A333" i="19"/>
  <c r="G21" i="6"/>
  <c r="A679" i="20"/>
  <c r="B179" i="19"/>
  <c r="H129" i="4"/>
  <c r="G89" i="2"/>
  <c r="C13" i="14"/>
  <c r="B1223" i="20"/>
  <c r="B150" i="19"/>
  <c r="A6" i="14"/>
  <c r="H46" i="1"/>
  <c r="C125" i="18"/>
  <c r="A6656" i="20"/>
  <c r="G60" i="11"/>
  <c r="A105" i="19"/>
  <c r="A374" i="16"/>
  <c r="B310" i="16"/>
  <c r="F11" i="6"/>
  <c r="A3312" i="20"/>
  <c r="B107" i="2"/>
  <c r="B390" i="20"/>
  <c r="E5" i="8"/>
  <c r="H52" i="2"/>
  <c r="B15" i="6"/>
  <c r="A1472" i="16"/>
  <c r="H112" i="10"/>
  <c r="H137" i="13"/>
  <c r="A117" i="10"/>
  <c r="A1319" i="16"/>
  <c r="B28" i="12"/>
  <c r="G88" i="8"/>
  <c r="B4309" i="20"/>
  <c r="A17" i="1"/>
  <c r="B1387" i="16"/>
  <c r="H16" i="2"/>
  <c r="A929" i="16"/>
  <c r="H102" i="10"/>
  <c r="A86" i="4"/>
  <c r="A43" i="5"/>
  <c r="G101" i="2"/>
  <c r="B11" i="8"/>
  <c r="B57" i="12"/>
  <c r="B2973" i="20"/>
  <c r="F122" i="9"/>
  <c r="B4374" i="20"/>
  <c r="A4775" i="20"/>
  <c r="A863" i="20"/>
  <c r="A4331" i="20"/>
  <c r="B65" i="18"/>
  <c r="A1528" i="20"/>
  <c r="A2412" i="20"/>
  <c r="B2538" i="20"/>
  <c r="A97" i="6"/>
  <c r="G85" i="4"/>
  <c r="A82" i="7"/>
  <c r="A14" i="8"/>
  <c r="A103" i="9"/>
  <c r="B2363" i="20"/>
  <c r="B17" i="9"/>
  <c r="C1" i="16"/>
  <c r="B1657" i="20"/>
  <c r="B1243" i="16"/>
  <c r="B1657" i="16"/>
  <c r="B198" i="20"/>
  <c r="A22" i="11"/>
  <c r="B302" i="20"/>
  <c r="A123" i="16"/>
  <c r="B4509" i="20"/>
  <c r="G106" i="9"/>
  <c r="B24" i="8"/>
  <c r="B6084" i="20"/>
  <c r="H99" i="5"/>
  <c r="G102" i="12"/>
  <c r="A3531" i="20"/>
  <c r="G91" i="8"/>
  <c r="B113" i="18"/>
  <c r="B19" i="16"/>
  <c r="C130" i="18"/>
  <c r="H44" i="6"/>
  <c r="B986" i="16"/>
  <c r="A200" i="20"/>
  <c r="B1014" i="20"/>
  <c r="A461" i="16"/>
  <c r="A1611" i="16"/>
  <c r="B20" i="20"/>
  <c r="B2592" i="20"/>
  <c r="B939" i="16"/>
  <c r="A258" i="16"/>
  <c r="B1053" i="20"/>
  <c r="H43" i="1"/>
  <c r="B1298" i="16"/>
  <c r="A1578" i="16"/>
  <c r="A1124" i="16"/>
  <c r="B5935" i="20"/>
  <c r="E105" i="2"/>
  <c r="B2333" i="20"/>
  <c r="B585" i="16"/>
  <c r="H139" i="9"/>
  <c r="F4" i="4"/>
  <c r="B53" i="6"/>
  <c r="B41" i="20"/>
  <c r="A3545" i="20"/>
  <c r="B1649" i="16"/>
  <c r="G48" i="10"/>
  <c r="A16" i="7"/>
  <c r="H38" i="11"/>
  <c r="G1" i="10"/>
  <c r="A3" i="2"/>
  <c r="A447" i="16"/>
  <c r="A18" i="9"/>
  <c r="A340" i="16"/>
  <c r="G16" i="8"/>
  <c r="F2" i="13"/>
  <c r="B201" i="16"/>
  <c r="A1760" i="16"/>
  <c r="B969" i="20"/>
  <c r="B3816" i="20"/>
  <c r="B4442" i="20"/>
  <c r="B1854" i="20"/>
  <c r="B80" i="5"/>
  <c r="G53" i="10"/>
  <c r="F12" i="10"/>
  <c r="E34" i="7"/>
  <c r="B55" i="9"/>
  <c r="A405" i="16"/>
  <c r="A802" i="16"/>
  <c r="G18" i="12"/>
  <c r="B57" i="9"/>
  <c r="A732" i="16"/>
  <c r="A45" i="2"/>
  <c r="B682" i="20"/>
  <c r="B665" i="16"/>
  <c r="B1492" i="20"/>
  <c r="H106" i="4"/>
  <c r="A93" i="8"/>
  <c r="G120" i="6"/>
  <c r="A970" i="16"/>
  <c r="A26" i="5"/>
  <c r="A2068" i="20"/>
  <c r="A52" i="20"/>
  <c r="H14" i="8"/>
  <c r="A46" i="2"/>
  <c r="H88" i="2"/>
  <c r="A4" i="11"/>
  <c r="B87" i="10"/>
  <c r="H67" i="7"/>
  <c r="A358" i="19"/>
  <c r="B1049" i="16"/>
  <c r="F92" i="1"/>
  <c r="G91" i="1"/>
  <c r="A180" i="20"/>
  <c r="B287" i="19"/>
  <c r="B1" i="5"/>
  <c r="A1226" i="20"/>
  <c r="A953" i="20"/>
  <c r="H82" i="13"/>
  <c r="B1446" i="16"/>
  <c r="B4605" i="20"/>
  <c r="B1802" i="16"/>
  <c r="F5" i="1"/>
  <c r="B88" i="13"/>
  <c r="H120" i="8"/>
  <c r="A77" i="6"/>
  <c r="B905" i="16"/>
  <c r="E34" i="6"/>
  <c r="H107" i="12"/>
  <c r="H57" i="7"/>
  <c r="B462" i="16"/>
  <c r="A622" i="16"/>
  <c r="D47" i="1"/>
  <c r="B7059" i="20"/>
  <c r="A223" i="19"/>
  <c r="A85" i="11"/>
  <c r="G51" i="5"/>
  <c r="B61" i="6"/>
  <c r="G21" i="5"/>
  <c r="B121" i="11"/>
  <c r="H93" i="9"/>
  <c r="B739" i="16"/>
  <c r="G60" i="10"/>
  <c r="B1331" i="20"/>
  <c r="A978" i="20"/>
  <c r="A110" i="8"/>
  <c r="B3327" i="20"/>
  <c r="B104" i="4"/>
  <c r="B113" i="5"/>
  <c r="G78" i="2"/>
  <c r="A58" i="1"/>
  <c r="G97" i="8"/>
  <c r="E10" i="9"/>
  <c r="A2567" i="20"/>
  <c r="A12" i="1"/>
  <c r="H104" i="7"/>
  <c r="G117" i="8"/>
  <c r="F7" i="9"/>
  <c r="B360" i="20"/>
  <c r="B697" i="16"/>
  <c r="E34" i="2"/>
  <c r="G63" i="6"/>
  <c r="A66" i="4"/>
  <c r="A1657" i="16"/>
  <c r="H31" i="4"/>
  <c r="A582" i="16"/>
  <c r="F33" i="8"/>
  <c r="A4143" i="20"/>
  <c r="B61" i="8"/>
  <c r="A50" i="4"/>
  <c r="E28" i="11"/>
  <c r="A51" i="2"/>
  <c r="B93" i="6"/>
  <c r="A48" i="16"/>
  <c r="B1276" i="16"/>
  <c r="B48" i="13"/>
  <c r="B4283" i="20"/>
  <c r="H32" i="11"/>
  <c r="A69" i="5"/>
  <c r="B419" i="20"/>
  <c r="A18" i="20"/>
  <c r="A2500" i="20"/>
  <c r="E11" i="1"/>
  <c r="A104" i="11"/>
  <c r="G84" i="7"/>
  <c r="B3469" i="20"/>
  <c r="H84" i="4"/>
  <c r="A564" i="16"/>
  <c r="C67" i="13"/>
  <c r="H106" i="7"/>
  <c r="B1459" i="16"/>
  <c r="H94" i="2"/>
  <c r="G86" i="2"/>
  <c r="B140" i="9"/>
  <c r="G44" i="2"/>
  <c r="B33" i="19"/>
  <c r="A2332" i="20"/>
  <c r="B564" i="16"/>
  <c r="H65" i="2"/>
  <c r="A125" i="7"/>
  <c r="A1451" i="16"/>
  <c r="G81" i="1"/>
  <c r="A104" i="5"/>
  <c r="G67" i="5"/>
  <c r="B2139" i="20"/>
  <c r="B6175" i="20"/>
  <c r="B82" i="4"/>
  <c r="A81" i="4"/>
  <c r="A10" i="7"/>
  <c r="G97" i="1"/>
  <c r="E137" i="12"/>
  <c r="E140" i="1"/>
  <c r="H29" i="1"/>
  <c r="A5177" i="20"/>
  <c r="H105" i="10"/>
  <c r="A756" i="20"/>
  <c r="E10" i="2"/>
  <c r="A135" i="10"/>
  <c r="B602" i="20"/>
  <c r="H62" i="13"/>
  <c r="F39" i="11"/>
  <c r="B100" i="9"/>
  <c r="H72" i="7"/>
  <c r="A434" i="16"/>
  <c r="B951" i="16"/>
  <c r="F10" i="2"/>
  <c r="B87" i="4"/>
  <c r="H125" i="8"/>
  <c r="A7" i="7"/>
  <c r="B10" i="4"/>
  <c r="G106" i="7"/>
  <c r="A133" i="2"/>
  <c r="A1511" i="16"/>
  <c r="B110" i="5"/>
  <c r="B158" i="20"/>
  <c r="A88" i="32"/>
  <c r="A576" i="16"/>
  <c r="B1532" i="16"/>
  <c r="B245" i="16"/>
  <c r="B1109" i="20"/>
  <c r="B7" i="20"/>
  <c r="A392" i="16"/>
  <c r="B972" i="20"/>
  <c r="H58" i="2"/>
  <c r="B1032" i="16"/>
  <c r="A1802" i="16"/>
  <c r="B21" i="10"/>
  <c r="A512" i="20"/>
  <c r="A75" i="2"/>
  <c r="B147" i="9"/>
  <c r="H119" i="10"/>
  <c r="B4453" i="20"/>
  <c r="H62" i="5"/>
  <c r="B940" i="16"/>
  <c r="A1316" i="16"/>
  <c r="G89" i="9"/>
  <c r="A691" i="16"/>
  <c r="A2" i="8"/>
  <c r="A42" i="12"/>
  <c r="G36" i="2"/>
  <c r="B42" i="20"/>
  <c r="E76" i="9"/>
  <c r="A7365" i="20"/>
  <c r="A6147" i="20"/>
  <c r="A5275" i="20"/>
  <c r="E63" i="13"/>
  <c r="B6254" i="20"/>
  <c r="A4479" i="20"/>
  <c r="H73" i="12"/>
  <c r="A18" i="1"/>
  <c r="A3002" i="20"/>
  <c r="B1307" i="16"/>
  <c r="H30" i="11"/>
  <c r="A3659" i="20"/>
  <c r="B1086" i="20"/>
  <c r="A38" i="17"/>
  <c r="B2736" i="20"/>
  <c r="B3287" i="20"/>
  <c r="A1675" i="20"/>
  <c r="A4151" i="20"/>
  <c r="A3304" i="20"/>
  <c r="B3760" i="20"/>
  <c r="A3945" i="20"/>
  <c r="B122" i="4"/>
  <c r="B4511" i="20"/>
  <c r="B617" i="16"/>
  <c r="G135" i="4"/>
  <c r="D116" i="10"/>
  <c r="G92" i="13"/>
  <c r="A1780" i="16"/>
  <c r="F134" i="1"/>
  <c r="A1767" i="16"/>
  <c r="G127" i="11"/>
  <c r="A1547" i="16"/>
  <c r="A507" i="16"/>
  <c r="B1662" i="16"/>
  <c r="B126" i="8"/>
  <c r="B984" i="20"/>
  <c r="A73" i="2"/>
  <c r="B648" i="16"/>
  <c r="A100" i="10"/>
  <c r="A1344" i="16"/>
  <c r="B98" i="10"/>
  <c r="A719" i="16"/>
  <c r="G22" i="1"/>
  <c r="A578" i="16"/>
  <c r="H100" i="7"/>
  <c r="E121" i="5"/>
  <c r="A298" i="19"/>
  <c r="H132" i="7"/>
  <c r="B1321" i="20"/>
  <c r="A258" i="19"/>
  <c r="H50" i="8"/>
  <c r="A1075" i="16"/>
  <c r="B42" i="9"/>
  <c r="A4466" i="20"/>
  <c r="G62" i="6"/>
  <c r="A1487" i="20"/>
  <c r="B11" i="13"/>
  <c r="B1591" i="20"/>
  <c r="B1194" i="16"/>
  <c r="B150" i="20"/>
  <c r="A151" i="1"/>
  <c r="B1212" i="16"/>
  <c r="B1291" i="16"/>
  <c r="G31" i="2"/>
  <c r="H24" i="8"/>
  <c r="A10" i="16"/>
  <c r="A2840" i="20"/>
  <c r="H102" i="9"/>
  <c r="G87" i="7"/>
  <c r="B4443" i="20"/>
  <c r="G7" i="13"/>
  <c r="A41" i="19"/>
  <c r="B70" i="8"/>
  <c r="G22" i="8"/>
  <c r="B1982" i="20"/>
  <c r="B2901" i="20"/>
  <c r="A4981" i="20"/>
  <c r="G57" i="5"/>
  <c r="B382" i="19"/>
  <c r="B46" i="5"/>
  <c r="B1213" i="16"/>
  <c r="A1234" i="20"/>
  <c r="E150" i="8"/>
  <c r="A10" i="10"/>
  <c r="B133" i="7"/>
  <c r="H129" i="6"/>
  <c r="A142" i="20"/>
  <c r="A28" i="13"/>
  <c r="A17" i="11"/>
  <c r="H16" i="12"/>
  <c r="H21" i="2"/>
  <c r="A54" i="10"/>
  <c r="B3071" i="20"/>
  <c r="A1216" i="20"/>
  <c r="H98" i="4"/>
  <c r="E26" i="8"/>
  <c r="B4219" i="20"/>
  <c r="B5093" i="20"/>
  <c r="A113" i="6"/>
  <c r="A943" i="20"/>
  <c r="B3989" i="20"/>
  <c r="A409" i="20"/>
  <c r="A5083" i="20"/>
  <c r="A12" i="20"/>
  <c r="B1718" i="20"/>
  <c r="A1158" i="20"/>
  <c r="A370" i="20"/>
  <c r="A766" i="20"/>
  <c r="B216" i="20"/>
  <c r="A11" i="17"/>
  <c r="C140" i="18"/>
  <c r="A47" i="4"/>
  <c r="A1804" i="16"/>
  <c r="B1797" i="20"/>
  <c r="A790" i="20"/>
  <c r="A4352" i="20"/>
  <c r="B913" i="20"/>
  <c r="B485" i="20"/>
  <c r="B2593" i="20"/>
  <c r="A3587" i="20"/>
  <c r="A4679" i="20"/>
  <c r="B1042" i="20"/>
  <c r="G69" i="2"/>
  <c r="B308" i="16"/>
  <c r="A1402" i="20"/>
  <c r="A859" i="16"/>
  <c r="A19" i="12"/>
  <c r="B1000" i="16"/>
  <c r="D36" i="5"/>
  <c r="A43" i="7"/>
  <c r="B39" i="2"/>
  <c r="A2510" i="20"/>
  <c r="A386" i="16"/>
  <c r="B89" i="12"/>
  <c r="B2621" i="20"/>
  <c r="G36" i="9"/>
  <c r="A1258" i="16"/>
  <c r="B1624" i="16"/>
  <c r="A2" i="14"/>
  <c r="A2370" i="20"/>
  <c r="H99" i="9"/>
  <c r="B37" i="10"/>
  <c r="B748" i="20"/>
  <c r="B1576" i="20"/>
  <c r="B503" i="20"/>
  <c r="A1628" i="20"/>
  <c r="A4327" i="20"/>
  <c r="B89" i="13"/>
  <c r="B2375" i="20"/>
  <c r="A835" i="20"/>
  <c r="H52" i="13"/>
  <c r="B3189" i="20"/>
  <c r="A6603" i="20"/>
  <c r="G93" i="9"/>
  <c r="G116" i="10"/>
  <c r="B154" i="19"/>
  <c r="A139" i="8"/>
  <c r="A1421" i="16"/>
  <c r="A28" i="17"/>
  <c r="A2648" i="20"/>
  <c r="A5728" i="20"/>
  <c r="B201" i="20"/>
  <c r="A134" i="8"/>
  <c r="A1231" i="16"/>
  <c r="E6" i="5"/>
  <c r="A141" i="16"/>
  <c r="B961" i="20"/>
  <c r="H116" i="12"/>
  <c r="E63" i="6"/>
  <c r="G122" i="11"/>
  <c r="A157" i="16"/>
  <c r="H57" i="9"/>
  <c r="A131" i="12"/>
  <c r="A34" i="5"/>
  <c r="G149" i="9"/>
  <c r="B847" i="16"/>
  <c r="B4053" i="20"/>
  <c r="B723" i="16"/>
  <c r="B4" i="35"/>
  <c r="G98" i="7"/>
  <c r="B42" i="13"/>
  <c r="A3180" i="20"/>
  <c r="A887" i="20"/>
  <c r="B957" i="20"/>
  <c r="A2523" i="20"/>
  <c r="A1058" i="16"/>
  <c r="G114" i="2"/>
  <c r="B235" i="19"/>
  <c r="B446" i="16"/>
  <c r="B396" i="16"/>
  <c r="A162" i="19"/>
  <c r="B286" i="16"/>
  <c r="B3196" i="20"/>
  <c r="A544" i="16"/>
  <c r="A5656" i="20"/>
  <c r="B1292" i="16"/>
  <c r="H87" i="4"/>
  <c r="F1" i="13"/>
  <c r="B39" i="6"/>
  <c r="A128" i="1"/>
  <c r="A7" i="13"/>
  <c r="A71" i="6"/>
  <c r="B2473" i="20"/>
  <c r="G5" i="12"/>
  <c r="B86" i="13"/>
  <c r="A82" i="1"/>
  <c r="G62" i="4"/>
  <c r="A1308" i="16"/>
  <c r="A719" i="20"/>
  <c r="A16" i="4"/>
  <c r="A699" i="16"/>
  <c r="B873" i="16"/>
  <c r="A128" i="2"/>
  <c r="A68" i="4"/>
  <c r="A251" i="19"/>
  <c r="A85" i="16"/>
  <c r="B23" i="11"/>
  <c r="A331" i="16"/>
  <c r="A619" i="16"/>
  <c r="B2744" i="20"/>
  <c r="A134" i="18"/>
  <c r="A309" i="16"/>
  <c r="A30" i="7"/>
  <c r="A69" i="12"/>
  <c r="A2004" i="20"/>
  <c r="B894" i="20"/>
  <c r="A753" i="16"/>
  <c r="B306" i="16"/>
  <c r="A58" i="8"/>
  <c r="A698" i="16"/>
  <c r="B1897" i="20"/>
  <c r="C5" i="18"/>
  <c r="B878" i="16"/>
  <c r="B5448" i="20"/>
  <c r="B3644" i="20"/>
  <c r="B2961" i="20"/>
  <c r="G130" i="9"/>
  <c r="E6" i="12"/>
  <c r="F151" i="4"/>
  <c r="C89" i="18"/>
  <c r="B1520" i="20"/>
  <c r="B5512" i="20"/>
  <c r="A1184" i="20"/>
  <c r="B2013" i="20"/>
  <c r="A396" i="20"/>
  <c r="A76" i="20"/>
  <c r="B3437" i="20"/>
  <c r="B4612" i="20"/>
  <c r="G36" i="1"/>
  <c r="G61" i="11"/>
  <c r="A84" i="10"/>
  <c r="A61" i="9"/>
  <c r="A106" i="1"/>
  <c r="A2121" i="20"/>
  <c r="A66" i="8"/>
  <c r="H9" i="8"/>
  <c r="F75" i="1"/>
  <c r="A1379" i="20"/>
  <c r="A1100" i="16"/>
  <c r="A743" i="16"/>
  <c r="B88" i="9"/>
  <c r="G129" i="11"/>
  <c r="B1146" i="16"/>
  <c r="A6" i="12"/>
  <c r="G122" i="4"/>
  <c r="A1216" i="16"/>
  <c r="B626" i="20"/>
  <c r="B1002" i="16"/>
  <c r="B550" i="20"/>
  <c r="A851" i="16"/>
  <c r="A81" i="13"/>
  <c r="A1" i="13"/>
  <c r="A1040" i="16"/>
  <c r="A1424" i="16"/>
  <c r="A488" i="16"/>
  <c r="A4984" i="20"/>
  <c r="A1164" i="16"/>
  <c r="A466" i="20"/>
  <c r="B645" i="20"/>
  <c r="B112" i="16"/>
  <c r="A4699" i="20"/>
  <c r="B1380" i="16"/>
  <c r="A163" i="19"/>
  <c r="G73" i="8"/>
  <c r="B54" i="6"/>
  <c r="G31" i="12"/>
  <c r="G138" i="8"/>
  <c r="B138" i="8"/>
  <c r="H79" i="9"/>
  <c r="B1619" i="16"/>
  <c r="B6316" i="20"/>
  <c r="G69" i="11"/>
  <c r="A119" i="5"/>
  <c r="B11" i="4"/>
  <c r="A255" i="16"/>
  <c r="D25" i="1"/>
  <c r="E67" i="2"/>
  <c r="F139" i="2"/>
  <c r="B1695" i="20"/>
  <c r="G42" i="2"/>
  <c r="A36" i="19"/>
  <c r="B60" i="11"/>
  <c r="B473" i="16"/>
  <c r="A744" i="16"/>
  <c r="B2577" i="20"/>
  <c r="B1820" i="16"/>
  <c r="A1374" i="16"/>
  <c r="B1703" i="20"/>
  <c r="E47" i="12"/>
  <c r="A50" i="1"/>
  <c r="G120" i="12"/>
  <c r="H113" i="1"/>
  <c r="G56" i="1"/>
  <c r="B457" i="16"/>
  <c r="A145" i="19"/>
  <c r="B1038" i="20"/>
  <c r="B7998" i="20"/>
  <c r="G98" i="5"/>
  <c r="A1389" i="16"/>
  <c r="B2" i="17"/>
  <c r="H121" i="10"/>
  <c r="B113" i="20"/>
  <c r="G124" i="10"/>
  <c r="A128" i="16"/>
  <c r="B1375" i="20"/>
  <c r="A112" i="9"/>
  <c r="A71" i="9"/>
  <c r="H89" i="8"/>
  <c r="C113" i="18"/>
  <c r="A1272" i="16"/>
  <c r="H92" i="9"/>
  <c r="H18" i="2"/>
  <c r="A1387" i="16"/>
  <c r="F113" i="9"/>
  <c r="B50" i="4"/>
  <c r="A1566" i="16"/>
  <c r="B513" i="20"/>
  <c r="A471" i="20"/>
  <c r="B506" i="16"/>
  <c r="A253" i="20"/>
  <c r="A50" i="7"/>
  <c r="B4" i="4"/>
  <c r="C2" i="11"/>
  <c r="A2734" i="20"/>
  <c r="E9" i="12"/>
  <c r="A5" i="14"/>
  <c r="A1824" i="16"/>
  <c r="F76" i="10"/>
  <c r="B1361" i="20"/>
  <c r="B3765" i="20"/>
  <c r="H1" i="12"/>
  <c r="G71" i="11"/>
  <c r="A17" i="12"/>
  <c r="B132" i="5"/>
  <c r="E83" i="2"/>
  <c r="G97" i="12"/>
  <c r="C8" i="18"/>
  <c r="B35" i="9"/>
  <c r="H155" i="9"/>
  <c r="F10" i="9"/>
  <c r="A1688" i="16"/>
  <c r="B170" i="16"/>
  <c r="A708" i="16"/>
  <c r="G38" i="8"/>
  <c r="B978" i="20"/>
  <c r="A41" i="20"/>
  <c r="A1322" i="20"/>
  <c r="B27" i="10"/>
  <c r="H73" i="9"/>
  <c r="B56" i="8"/>
  <c r="A2425" i="20"/>
  <c r="D78" i="8"/>
  <c r="B40" i="5"/>
  <c r="A236" i="16"/>
  <c r="B3229" i="20"/>
  <c r="B53" i="8"/>
  <c r="A1" i="10"/>
  <c r="H105" i="2"/>
  <c r="B4899" i="20"/>
  <c r="B3439" i="20"/>
  <c r="A3980" i="20"/>
  <c r="F47" i="1"/>
  <c r="A598" i="16"/>
  <c r="G92" i="11"/>
  <c r="G124" i="2"/>
  <c r="A1743" i="16"/>
  <c r="B1765" i="16"/>
  <c r="A226" i="19"/>
  <c r="A1388" i="16"/>
  <c r="H31" i="7"/>
  <c r="B1067" i="16"/>
  <c r="G54" i="8"/>
  <c r="A97" i="10"/>
  <c r="A937" i="20"/>
  <c r="B5028" i="20"/>
  <c r="A1312" i="20"/>
  <c r="A2" i="13"/>
  <c r="A408" i="20"/>
  <c r="A5" i="13"/>
  <c r="H79" i="2"/>
  <c r="A1160" i="20"/>
  <c r="A631" i="20"/>
  <c r="A17" i="5"/>
  <c r="B934" i="20"/>
  <c r="B1" i="9"/>
  <c r="H55" i="6"/>
  <c r="G57" i="2"/>
  <c r="A839" i="16"/>
  <c r="B328" i="19"/>
  <c r="B6786" i="20"/>
  <c r="A2860" i="20"/>
  <c r="A78" i="9"/>
  <c r="B43" i="7"/>
  <c r="A2617" i="20"/>
  <c r="B118" i="4"/>
  <c r="B331" i="20"/>
  <c r="B2680" i="20"/>
  <c r="B1891" i="20"/>
  <c r="A588" i="16"/>
  <c r="B1219" i="20"/>
  <c r="G108" i="9"/>
  <c r="B702" i="16"/>
  <c r="F11" i="10"/>
  <c r="B312" i="16"/>
  <c r="H76" i="6"/>
  <c r="G38" i="6"/>
  <c r="A126" i="2"/>
  <c r="H41" i="12"/>
  <c r="A53" i="1"/>
  <c r="B116" i="7"/>
  <c r="H40" i="11"/>
  <c r="E27" i="1"/>
  <c r="H98" i="8"/>
  <c r="G71" i="7"/>
  <c r="A455" i="20"/>
  <c r="A2760" i="20"/>
  <c r="A27" i="20"/>
  <c r="A1485" i="16"/>
  <c r="F109" i="1"/>
  <c r="B36" i="11"/>
  <c r="B64" i="6"/>
  <c r="B1609" i="20"/>
  <c r="A1402" i="16"/>
  <c r="B1286" i="16"/>
  <c r="F63" i="13"/>
  <c r="H102" i="6"/>
  <c r="B369" i="20"/>
  <c r="A813" i="16"/>
  <c r="A2433" i="20"/>
  <c r="G60" i="7"/>
  <c r="B843" i="20"/>
  <c r="B80" i="7"/>
  <c r="A1813" i="16"/>
  <c r="B334" i="20"/>
  <c r="A2120" i="20"/>
  <c r="A772" i="16"/>
  <c r="G118" i="2"/>
  <c r="H141" i="10"/>
  <c r="B3143" i="20"/>
  <c r="B1977" i="20"/>
  <c r="B2741" i="20"/>
  <c r="A136" i="19"/>
  <c r="B67" i="8"/>
  <c r="A143" i="8"/>
  <c r="A1832" i="20"/>
  <c r="H88" i="1"/>
  <c r="B57" i="8"/>
  <c r="B7" i="14"/>
  <c r="H40" i="10"/>
  <c r="B43" i="10"/>
  <c r="E96" i="11"/>
  <c r="H66" i="1"/>
  <c r="G7" i="4"/>
  <c r="A112" i="13"/>
  <c r="H121" i="13"/>
  <c r="B3308" i="20"/>
  <c r="B1784" i="16"/>
  <c r="B115" i="6"/>
  <c r="F2" i="12"/>
  <c r="B54" i="5"/>
  <c r="B128" i="18"/>
  <c r="G28" i="5"/>
  <c r="F107" i="10"/>
  <c r="A119" i="2"/>
  <c r="A411" i="16"/>
  <c r="G129" i="9"/>
  <c r="A435" i="20"/>
  <c r="G47" i="10"/>
  <c r="A342" i="20"/>
  <c r="A617" i="16"/>
  <c r="B163" i="20"/>
  <c r="G105" i="6"/>
  <c r="A1515" i="20"/>
  <c r="A1806" i="16"/>
  <c r="A142" i="4"/>
  <c r="G79" i="11"/>
  <c r="B414" i="16"/>
  <c r="B200" i="16"/>
  <c r="A950" i="16"/>
  <c r="G81" i="12"/>
  <c r="B123" i="6"/>
  <c r="B127" i="19"/>
  <c r="B109" i="9"/>
  <c r="A428" i="16"/>
  <c r="B5591" i="20"/>
  <c r="G143" i="1"/>
  <c r="D142" i="1"/>
  <c r="B6034" i="20"/>
  <c r="E11" i="9"/>
  <c r="H1" i="8"/>
  <c r="A688" i="16"/>
  <c r="H29" i="13"/>
  <c r="H6" i="8"/>
  <c r="A742" i="16"/>
  <c r="B260" i="19"/>
  <c r="G129" i="10"/>
  <c r="B25" i="16"/>
  <c r="E1" i="4"/>
  <c r="A9" i="1"/>
  <c r="A149" i="9"/>
  <c r="H39" i="10"/>
  <c r="B143" i="4"/>
  <c r="G135" i="2"/>
  <c r="G128" i="9"/>
  <c r="A138" i="2"/>
  <c r="G100" i="6"/>
  <c r="G49" i="4"/>
  <c r="F134" i="2"/>
  <c r="A12" i="7"/>
  <c r="A673" i="20"/>
  <c r="G118" i="7"/>
  <c r="H111" i="1"/>
  <c r="A142" i="10"/>
  <c r="B40" i="2"/>
  <c r="A896" i="16"/>
  <c r="B46" i="16"/>
  <c r="A7597" i="20"/>
  <c r="A8327" i="20"/>
  <c r="A2269" i="20"/>
  <c r="C4" i="30"/>
  <c r="A81" i="16"/>
  <c r="A2416" i="20"/>
  <c r="B1332" i="20"/>
  <c r="A3353" i="20"/>
  <c r="B1003" i="16"/>
  <c r="A25" i="13"/>
  <c r="A5287" i="20"/>
  <c r="A946" i="16"/>
  <c r="A2154" i="20"/>
  <c r="E47" i="10"/>
  <c r="A947" i="20"/>
  <c r="A1299" i="16"/>
  <c r="B605" i="20"/>
  <c r="A151" i="8"/>
  <c r="G66" i="5"/>
  <c r="B314" i="16"/>
  <c r="B425" i="16"/>
  <c r="G113" i="4"/>
  <c r="A596" i="16"/>
  <c r="A642" i="16"/>
  <c r="A8" i="2"/>
  <c r="B3" i="9"/>
  <c r="H45" i="9"/>
  <c r="G139" i="9"/>
  <c r="B325" i="16"/>
  <c r="H2" i="1"/>
  <c r="A7" i="2"/>
  <c r="F33" i="5"/>
  <c r="A1152" i="16"/>
  <c r="A69" i="6"/>
  <c r="A315" i="19"/>
  <c r="A203" i="19"/>
  <c r="B59" i="16"/>
  <c r="A74" i="13"/>
  <c r="B52" i="9"/>
  <c r="H78" i="2"/>
  <c r="B79" i="16"/>
  <c r="G117" i="5"/>
  <c r="A137" i="10"/>
  <c r="A2153" i="20"/>
  <c r="B590" i="16"/>
  <c r="E2" i="1"/>
  <c r="B467" i="20"/>
  <c r="F94" i="6"/>
  <c r="E1" i="5"/>
  <c r="B88" i="6"/>
  <c r="A1613" i="16"/>
  <c r="B4644" i="20"/>
  <c r="A2255" i="20"/>
  <c r="B119" i="6"/>
  <c r="G68" i="5"/>
  <c r="B416" i="20"/>
  <c r="B9" i="8"/>
  <c r="A1087" i="20"/>
  <c r="G28" i="7"/>
  <c r="H124" i="2"/>
  <c r="B4631" i="20"/>
  <c r="H72" i="4"/>
  <c r="B74" i="20"/>
  <c r="E1" i="13"/>
  <c r="B60" i="6"/>
  <c r="A7" i="14"/>
  <c r="B47" i="11"/>
  <c r="A15" i="1"/>
  <c r="A25" i="8"/>
  <c r="H74" i="13"/>
  <c r="A92" i="9"/>
  <c r="B152" i="4"/>
  <c r="B44" i="10"/>
  <c r="B134" i="18"/>
  <c r="A3909" i="20"/>
  <c r="H21" i="1"/>
  <c r="A1626" i="16"/>
  <c r="B71" i="8"/>
  <c r="E11" i="2"/>
  <c r="E26" i="7"/>
  <c r="B747" i="16"/>
  <c r="B1569" i="16"/>
  <c r="B151" i="8"/>
  <c r="A915" i="20"/>
  <c r="H75" i="12"/>
  <c r="A842" i="16"/>
  <c r="B22" i="2"/>
  <c r="B182" i="19"/>
  <c r="H37" i="1"/>
  <c r="B1668" i="20"/>
  <c r="F4" i="6"/>
  <c r="B79" i="6"/>
  <c r="A1588" i="16"/>
  <c r="A1045" i="16"/>
  <c r="A1376" i="16"/>
  <c r="B1160" i="16"/>
  <c r="A1145" i="16"/>
  <c r="B66" i="4"/>
  <c r="A620" i="20"/>
  <c r="B5149" i="20"/>
  <c r="A3119" i="20"/>
  <c r="E36" i="13"/>
  <c r="A43" i="20"/>
  <c r="A1793" i="20"/>
  <c r="A7144" i="20"/>
  <c r="A1629" i="16"/>
  <c r="H78" i="1"/>
  <c r="B2122" i="20"/>
  <c r="A112" i="12"/>
  <c r="G63" i="4"/>
  <c r="A1503" i="16"/>
  <c r="H69" i="6"/>
  <c r="A327" i="20"/>
  <c r="B116" i="9"/>
  <c r="B280" i="20"/>
  <c r="G134" i="1"/>
  <c r="A24" i="6"/>
  <c r="A1012" i="16"/>
  <c r="A793" i="16"/>
  <c r="H40" i="8"/>
  <c r="F4" i="13"/>
  <c r="A28" i="9"/>
  <c r="A132" i="1"/>
  <c r="H140" i="9"/>
  <c r="A119" i="16"/>
  <c r="A500" i="16"/>
  <c r="B153" i="8"/>
  <c r="A97" i="8"/>
  <c r="G6" i="9"/>
  <c r="G50" i="8"/>
  <c r="H84" i="12"/>
  <c r="H43" i="4"/>
  <c r="A1246" i="16"/>
  <c r="B106" i="4"/>
  <c r="A1509" i="20"/>
  <c r="B1326" i="16"/>
  <c r="A533" i="16"/>
  <c r="B1346" i="16"/>
  <c r="H107" i="5"/>
  <c r="G64" i="10"/>
  <c r="A1173" i="16"/>
  <c r="A5797" i="20"/>
  <c r="A820" i="16"/>
  <c r="B136" i="8"/>
  <c r="A1725" i="16"/>
  <c r="B74" i="5"/>
  <c r="A8191" i="20"/>
  <c r="H53" i="1"/>
  <c r="A94" i="6"/>
  <c r="B6568" i="20"/>
  <c r="G76" i="8"/>
  <c r="H148" i="9"/>
  <c r="A12" i="9"/>
  <c r="H39" i="2"/>
  <c r="B130" i="11"/>
  <c r="A635" i="16"/>
  <c r="A56" i="7"/>
  <c r="H136" i="2"/>
  <c r="B2303" i="20"/>
  <c r="B4519" i="20"/>
  <c r="B1445" i="16"/>
  <c r="A758" i="16"/>
  <c r="H13" i="8"/>
  <c r="A75" i="7"/>
  <c r="B1099" i="20"/>
  <c r="G59" i="6"/>
  <c r="A142" i="16"/>
  <c r="B105" i="20"/>
  <c r="G93" i="5"/>
  <c r="H128" i="5"/>
  <c r="B1321" i="16"/>
  <c r="B558" i="20"/>
  <c r="A94" i="32"/>
  <c r="B2443" i="20"/>
  <c r="A69" i="10"/>
  <c r="B701" i="16"/>
  <c r="B50" i="7"/>
  <c r="B8" i="18"/>
  <c r="A35" i="9"/>
  <c r="A2125" i="20"/>
  <c r="B95" i="10"/>
  <c r="G51" i="9"/>
  <c r="D2" i="2"/>
  <c r="H71" i="5"/>
  <c r="A39" i="16"/>
  <c r="A66" i="13"/>
  <c r="A325" i="20"/>
  <c r="A1453" i="16"/>
  <c r="B5658" i="20"/>
  <c r="A24" i="10"/>
  <c r="B568" i="16"/>
  <c r="A115" i="2"/>
  <c r="C62" i="18"/>
  <c r="B1961" i="20"/>
  <c r="B3052" i="20"/>
  <c r="A959" i="20"/>
  <c r="G147" i="9"/>
  <c r="B3245" i="20"/>
  <c r="H126" i="2"/>
  <c r="B48" i="4"/>
  <c r="A333" i="16"/>
  <c r="B16" i="12"/>
  <c r="A764" i="16"/>
  <c r="H104" i="1"/>
  <c r="A173" i="16"/>
  <c r="E6" i="11"/>
  <c r="H134" i="12"/>
  <c r="B1815" i="16"/>
  <c r="B763" i="16"/>
  <c r="A517" i="20"/>
  <c r="A1686" i="20"/>
  <c r="A41" i="2"/>
  <c r="A377" i="19"/>
  <c r="A30" i="1"/>
  <c r="B54" i="4"/>
  <c r="A156" i="8"/>
  <c r="B2178" i="20"/>
  <c r="A2250" i="20"/>
  <c r="B5" i="7"/>
  <c r="B27" i="4"/>
  <c r="A831" i="20"/>
  <c r="B900" i="20"/>
  <c r="A834" i="16"/>
  <c r="A2162" i="20"/>
  <c r="B91" i="16"/>
  <c r="G100" i="12"/>
  <c r="A1220" i="16"/>
  <c r="B812" i="16"/>
  <c r="B4551" i="20"/>
  <c r="E64" i="7"/>
  <c r="A98" i="19"/>
  <c r="C98" i="18"/>
  <c r="B129" i="11"/>
  <c r="B1383" i="20"/>
  <c r="A912" i="20"/>
  <c r="A446" i="16"/>
  <c r="A137" i="4"/>
  <c r="C6" i="18"/>
  <c r="H83" i="7"/>
  <c r="A1651" i="16"/>
  <c r="B543" i="20"/>
  <c r="B227" i="16"/>
  <c r="B1630" i="20"/>
  <c r="B33" i="6"/>
  <c r="B26" i="10"/>
  <c r="A112" i="4"/>
  <c r="G96" i="9"/>
  <c r="H83" i="5"/>
  <c r="B156" i="9"/>
  <c r="B70" i="11"/>
  <c r="A124" i="11"/>
  <c r="B1153" i="16"/>
  <c r="B4406" i="20"/>
  <c r="A790" i="16"/>
  <c r="A129" i="1"/>
  <c r="B3834" i="20"/>
  <c r="A1403" i="20"/>
  <c r="B2009" i="20"/>
  <c r="B2424" i="20"/>
  <c r="A8830" i="20"/>
  <c r="G110" i="9"/>
  <c r="B26" i="20"/>
  <c r="B4749" i="20"/>
  <c r="B10" i="8"/>
  <c r="B39" i="10"/>
  <c r="B18" i="5"/>
  <c r="A120" i="1"/>
  <c r="C1" i="13"/>
  <c r="E28" i="1"/>
  <c r="B32" i="7"/>
  <c r="B3465" i="20"/>
  <c r="B27" i="16"/>
  <c r="G85" i="6"/>
  <c r="A48" i="8"/>
  <c r="A798" i="16"/>
  <c r="A63" i="20"/>
  <c r="H100" i="2"/>
  <c r="A52" i="11"/>
  <c r="A493" i="20"/>
  <c r="G105" i="4"/>
  <c r="A160" i="20"/>
  <c r="B1080" i="16"/>
  <c r="B989" i="20"/>
  <c r="A55" i="9"/>
  <c r="B123" i="12"/>
  <c r="A149" i="4"/>
  <c r="B1066" i="20"/>
  <c r="B785" i="16"/>
  <c r="A1969" i="20"/>
  <c r="A2022" i="20"/>
  <c r="H140" i="1"/>
  <c r="A5337" i="20"/>
  <c r="A60" i="5"/>
  <c r="B12" i="5"/>
  <c r="A1587" i="16"/>
  <c r="F24" i="1"/>
  <c r="A81" i="7"/>
  <c r="H89" i="2"/>
  <c r="G65" i="1"/>
  <c r="H139" i="4"/>
  <c r="H53" i="13"/>
  <c r="A35" i="12"/>
  <c r="A84" i="13"/>
  <c r="B8065" i="20"/>
  <c r="B1527" i="20"/>
  <c r="D36" i="9"/>
  <c r="A7250" i="20"/>
  <c r="A181" i="16"/>
  <c r="A5071" i="20"/>
  <c r="A1121" i="20"/>
  <c r="H28" i="10"/>
  <c r="F13" i="5"/>
  <c r="B552" i="20"/>
  <c r="H152" i="8"/>
  <c r="B415" i="16"/>
  <c r="A1029" i="20"/>
  <c r="B982" i="16"/>
  <c r="H123" i="9"/>
  <c r="B1687" i="20"/>
  <c r="B123" i="20"/>
  <c r="A70" i="8"/>
  <c r="B275" i="16"/>
  <c r="G143" i="8"/>
  <c r="F61" i="8"/>
  <c r="B4619" i="20"/>
  <c r="B1207" i="16"/>
  <c r="A3176" i="20"/>
  <c r="H56" i="6"/>
  <c r="H72" i="13"/>
  <c r="F73" i="1"/>
  <c r="G70" i="1"/>
  <c r="C10" i="18"/>
  <c r="H139" i="8"/>
  <c r="B3575" i="20"/>
  <c r="A1059" i="16"/>
  <c r="B371" i="20"/>
  <c r="G96" i="11"/>
  <c r="A871" i="16"/>
  <c r="B474" i="20"/>
  <c r="A91" i="1"/>
  <c r="H14" i="2"/>
  <c r="A942" i="16"/>
  <c r="B686" i="16"/>
  <c r="A17" i="2"/>
  <c r="A166" i="20"/>
  <c r="B59" i="4"/>
  <c r="E27" i="11"/>
  <c r="B85" i="18"/>
  <c r="B776" i="20"/>
  <c r="B2743" i="20"/>
  <c r="B102" i="19"/>
  <c r="E132" i="5"/>
  <c r="A1095" i="16"/>
  <c r="A81" i="11"/>
  <c r="A347" i="16"/>
  <c r="B98" i="2"/>
  <c r="A819" i="20"/>
  <c r="G143" i="9"/>
  <c r="H138" i="4"/>
  <c r="B760" i="16"/>
  <c r="A276" i="20"/>
  <c r="A3822" i="20"/>
  <c r="A80" i="5"/>
  <c r="B4186" i="20"/>
  <c r="B2767" i="20"/>
  <c r="A1380" i="16"/>
  <c r="B3045" i="20"/>
  <c r="B1781" i="16"/>
  <c r="A90" i="1"/>
  <c r="B1431" i="20"/>
  <c r="A107" i="5"/>
  <c r="B1563" i="16"/>
  <c r="B1463" i="16"/>
  <c r="B1236" i="16"/>
  <c r="B2476" i="20"/>
  <c r="B1078" i="16"/>
  <c r="A235" i="16"/>
  <c r="B131" i="10"/>
  <c r="A3496" i="20"/>
  <c r="B226" i="16"/>
  <c r="H106" i="12"/>
  <c r="H51" i="11"/>
  <c r="B492" i="20"/>
  <c r="G87" i="10"/>
  <c r="B5525" i="20"/>
  <c r="B460" i="20"/>
  <c r="H130" i="8"/>
  <c r="A954" i="20"/>
  <c r="A146" i="16"/>
  <c r="G31" i="4"/>
  <c r="B1167" i="20"/>
  <c r="G75" i="10"/>
  <c r="H99" i="7"/>
  <c r="H59" i="6"/>
  <c r="A56" i="6"/>
  <c r="A753" i="20"/>
  <c r="B58" i="12"/>
  <c r="A3916" i="20"/>
  <c r="B35" i="8"/>
  <c r="A107" i="2"/>
  <c r="D61" i="1"/>
  <c r="G118" i="1"/>
  <c r="A871" i="20"/>
  <c r="B114" i="2"/>
  <c r="A1037" i="16"/>
  <c r="B1054" i="16"/>
  <c r="B1582" i="20"/>
  <c r="A219" i="16"/>
  <c r="G66" i="2"/>
  <c r="B3103" i="20"/>
  <c r="B258" i="20"/>
  <c r="E5" i="2"/>
  <c r="A2184" i="20"/>
  <c r="G15" i="10"/>
  <c r="A874" i="16"/>
  <c r="A42" i="10"/>
  <c r="B2137" i="20"/>
  <c r="H116" i="6"/>
  <c r="A960" i="20"/>
  <c r="A5" i="17"/>
  <c r="H63" i="8"/>
  <c r="B2" i="10"/>
  <c r="H50" i="2"/>
  <c r="G93" i="7"/>
  <c r="B162" i="20"/>
  <c r="A1" i="6"/>
  <c r="H8" i="2"/>
  <c r="A18" i="12"/>
  <c r="B183" i="16"/>
  <c r="A310" i="16"/>
  <c r="A199" i="19"/>
  <c r="A1879" i="20"/>
  <c r="B112" i="4"/>
  <c r="A523" i="16"/>
  <c r="A22" i="16"/>
  <c r="G41" i="13"/>
  <c r="B15" i="17"/>
  <c r="B128" i="6"/>
  <c r="A5079" i="20"/>
  <c r="B92" i="9"/>
  <c r="A6860" i="20"/>
  <c r="A438" i="16"/>
  <c r="A2673" i="20"/>
  <c r="B646" i="20"/>
  <c r="B1278" i="16"/>
  <c r="H30" i="8"/>
  <c r="G130" i="13"/>
  <c r="G120" i="8"/>
  <c r="B691" i="20"/>
  <c r="H95" i="5"/>
  <c r="A1070" i="16"/>
  <c r="B51" i="11"/>
  <c r="A6524" i="20"/>
  <c r="B1682" i="20"/>
  <c r="A88" i="1"/>
  <c r="B4971" i="20"/>
  <c r="A6795" i="20"/>
  <c r="A6655" i="20"/>
  <c r="A1845" i="16"/>
  <c r="B600" i="16"/>
  <c r="H28" i="5"/>
  <c r="B36" i="5"/>
  <c r="B65" i="13"/>
  <c r="B1322" i="20"/>
  <c r="B4687" i="20"/>
  <c r="A7206" i="20"/>
  <c r="A3770" i="20"/>
  <c r="H97" i="13"/>
  <c r="A7578" i="20"/>
  <c r="A3671" i="20"/>
  <c r="H96" i="12"/>
  <c r="A79" i="2"/>
  <c r="A62" i="8"/>
  <c r="B33" i="11"/>
  <c r="A121" i="19"/>
  <c r="A212" i="19"/>
  <c r="B3392" i="20"/>
  <c r="B121" i="4"/>
  <c r="B876" i="20"/>
  <c r="B1957" i="20"/>
  <c r="H6" i="1"/>
  <c r="G120" i="2"/>
  <c r="B18" i="12"/>
  <c r="A122" i="2"/>
  <c r="B973" i="16"/>
  <c r="G68" i="7"/>
  <c r="A973" i="16"/>
  <c r="B16" i="19"/>
  <c r="E35" i="1"/>
  <c r="A1628" i="16"/>
  <c r="B335" i="19"/>
  <c r="B100" i="12"/>
  <c r="A1682" i="16"/>
  <c r="A75" i="11"/>
  <c r="B342" i="19"/>
  <c r="E9" i="9"/>
  <c r="H109" i="10"/>
  <c r="G58" i="7"/>
  <c r="G15" i="9"/>
  <c r="B4506" i="20"/>
  <c r="A120" i="16"/>
  <c r="C85" i="18"/>
  <c r="B2493" i="20"/>
  <c r="A1602" i="16"/>
  <c r="G85" i="7"/>
  <c r="A1931" i="20"/>
  <c r="G70" i="9"/>
  <c r="H18" i="5"/>
  <c r="B2094" i="20"/>
  <c r="H15" i="13"/>
  <c r="B950" i="16"/>
  <c r="G15" i="12"/>
  <c r="A1515" i="16"/>
  <c r="A13" i="1"/>
  <c r="B328" i="20"/>
  <c r="G42" i="10"/>
  <c r="B3193" i="20"/>
  <c r="H70" i="11"/>
  <c r="B4556" i="20"/>
  <c r="B3870" i="20"/>
  <c r="A4" i="1"/>
  <c r="A1330" i="16"/>
  <c r="B93" i="8"/>
  <c r="B34" i="5"/>
  <c r="A1024" i="20"/>
  <c r="A1386" i="16"/>
  <c r="B2720" i="20"/>
  <c r="B111" i="19"/>
  <c r="G147" i="4"/>
  <c r="B100" i="6"/>
  <c r="B2534" i="20"/>
  <c r="B134" i="13"/>
  <c r="G92" i="10"/>
  <c r="B324" i="19"/>
  <c r="B60" i="5"/>
  <c r="A31" i="10"/>
  <c r="B252" i="16"/>
  <c r="F83" i="7"/>
  <c r="B154" i="20"/>
  <c r="G121" i="10"/>
  <c r="B65" i="7"/>
  <c r="H59" i="2"/>
  <c r="B9" i="7"/>
  <c r="E3" i="4"/>
  <c r="A78" i="11"/>
  <c r="B4979" i="20"/>
  <c r="A984" i="20"/>
  <c r="B1471" i="16"/>
  <c r="A532" i="16"/>
  <c r="B2192" i="20"/>
  <c r="A5239" i="20"/>
  <c r="A4121" i="20"/>
  <c r="B5386" i="20"/>
  <c r="B2880" i="20"/>
  <c r="A879" i="20"/>
  <c r="B1100" i="20"/>
  <c r="A5819" i="20"/>
  <c r="A4729" i="20"/>
  <c r="A1410" i="20"/>
  <c r="B29" i="16"/>
  <c r="B88" i="18"/>
  <c r="B1712" i="16"/>
  <c r="B210" i="20"/>
  <c r="B2373" i="20"/>
  <c r="G6" i="8"/>
  <c r="B3404" i="20"/>
  <c r="A5783" i="20"/>
  <c r="A4591" i="20"/>
  <c r="A2963" i="20"/>
  <c r="A2477" i="20"/>
  <c r="B2602" i="20"/>
  <c r="B1531" i="20"/>
  <c r="B749" i="20"/>
  <c r="A1238" i="16"/>
  <c r="A86" i="8"/>
  <c r="B782" i="20"/>
  <c r="B91" i="9"/>
  <c r="A5655" i="20"/>
  <c r="A1373" i="16"/>
  <c r="C21" i="18"/>
  <c r="B4351" i="20"/>
  <c r="B866" i="16"/>
  <c r="A93" i="16"/>
  <c r="B826" i="16"/>
  <c r="B42" i="6"/>
  <c r="B1193" i="16"/>
  <c r="A136" i="18"/>
  <c r="A1400" i="16"/>
  <c r="B994" i="20"/>
  <c r="A124" i="19"/>
  <c r="A1395" i="16"/>
  <c r="A302" i="19"/>
  <c r="G66" i="10"/>
  <c r="F13" i="6"/>
  <c r="B1721" i="16"/>
  <c r="A1920" i="20"/>
  <c r="A1057" i="20"/>
  <c r="A42" i="8"/>
  <c r="B5289" i="20"/>
  <c r="B1241" i="16"/>
  <c r="B76" i="18"/>
  <c r="B947" i="16"/>
  <c r="A55" i="20"/>
  <c r="G75" i="4"/>
  <c r="B120" i="7"/>
  <c r="D12" i="1"/>
  <c r="H20" i="8"/>
  <c r="A4044" i="20"/>
  <c r="B103" i="13"/>
  <c r="G112" i="7"/>
  <c r="A5" i="8"/>
  <c r="H155" i="1"/>
  <c r="H51" i="7"/>
  <c r="A155" i="1"/>
  <c r="A83" i="4"/>
  <c r="B1836" i="20"/>
  <c r="B108" i="7"/>
  <c r="H21" i="4"/>
  <c r="B666" i="20"/>
  <c r="B1242" i="16"/>
  <c r="A81" i="8"/>
  <c r="B1601" i="16"/>
  <c r="H45" i="6"/>
  <c r="H100" i="10"/>
  <c r="H55" i="10"/>
  <c r="C20" i="18"/>
  <c r="H60" i="2"/>
  <c r="E136" i="12"/>
  <c r="B692" i="20"/>
  <c r="A98" i="2"/>
  <c r="B2075" i="20"/>
  <c r="H79" i="5"/>
  <c r="A714" i="16"/>
  <c r="A10" i="5"/>
  <c r="G100" i="8"/>
  <c r="H125" i="1"/>
  <c r="B1006" i="16"/>
  <c r="B2057" i="20"/>
  <c r="B1529" i="16"/>
  <c r="A2081" i="20"/>
  <c r="G35" i="11"/>
  <c r="B2377" i="20"/>
  <c r="H73" i="7"/>
  <c r="G47" i="4"/>
  <c r="G49" i="10"/>
  <c r="A587" i="16"/>
  <c r="B55" i="10"/>
  <c r="A1461" i="16"/>
  <c r="G106" i="4"/>
  <c r="B104" i="20"/>
  <c r="B352" i="19"/>
  <c r="A111" i="13"/>
  <c r="F5" i="12"/>
  <c r="A130" i="8"/>
  <c r="A6201" i="20"/>
  <c r="A1639" i="16"/>
  <c r="A9" i="13"/>
  <c r="C3" i="14"/>
  <c r="A424" i="16"/>
  <c r="B30" i="7"/>
  <c r="B158" i="16"/>
  <c r="A5050" i="20"/>
  <c r="F7" i="4"/>
  <c r="B984" i="16"/>
  <c r="B730" i="16"/>
  <c r="G59" i="1"/>
  <c r="G114" i="13"/>
  <c r="A1230" i="16"/>
  <c r="A1410" i="16"/>
  <c r="B1817" i="16"/>
  <c r="A2705" i="20"/>
  <c r="B8837" i="20"/>
  <c r="B4541" i="20"/>
  <c r="B74" i="11"/>
  <c r="B862" i="16"/>
  <c r="A5311" i="20"/>
  <c r="A159" i="19"/>
  <c r="B580" i="20"/>
  <c r="A3750" i="20"/>
  <c r="B6883" i="20"/>
  <c r="A5682" i="20"/>
  <c r="B2021" i="20"/>
  <c r="B2822" i="20"/>
  <c r="B3139" i="20"/>
  <c r="B2322" i="20"/>
  <c r="B1692" i="20"/>
  <c r="A312" i="20"/>
  <c r="B1987" i="20"/>
  <c r="B1871" i="20"/>
  <c r="B2474" i="20"/>
  <c r="B920" i="20"/>
  <c r="A373" i="16"/>
  <c r="B4257" i="20"/>
  <c r="A4246" i="20"/>
  <c r="A3766" i="20"/>
  <c r="B4275" i="20"/>
  <c r="A2615" i="20"/>
  <c r="A1174" i="20"/>
  <c r="B1333" i="20"/>
  <c r="B3225" i="20"/>
  <c r="G13" i="1"/>
  <c r="G86" i="5"/>
  <c r="B384" i="20"/>
  <c r="B1810" i="20"/>
  <c r="A1575" i="16"/>
  <c r="A69" i="13"/>
  <c r="B1525" i="16"/>
  <c r="A341" i="16"/>
  <c r="B520" i="16"/>
  <c r="B2567" i="20"/>
  <c r="D35" i="1"/>
  <c r="H127" i="1"/>
  <c r="H69" i="11"/>
  <c r="B952" i="16"/>
  <c r="A118" i="13"/>
  <c r="A2364" i="20"/>
  <c r="H73" i="1"/>
  <c r="H50" i="1"/>
  <c r="G78" i="9"/>
  <c r="B105" i="4"/>
  <c r="A76" i="7"/>
  <c r="A1358" i="20"/>
  <c r="H50" i="12"/>
  <c r="B15" i="9"/>
  <c r="A2322" i="20"/>
  <c r="A140" i="18"/>
  <c r="A435" i="16"/>
  <c r="A1862" i="20"/>
  <c r="H112" i="6"/>
  <c r="A6207" i="20"/>
  <c r="A11" i="16"/>
  <c r="A735" i="20"/>
  <c r="H76" i="9"/>
  <c r="A100" i="12"/>
  <c r="A3966" i="20"/>
  <c r="A137" i="7"/>
  <c r="A111" i="5"/>
  <c r="B13" i="9"/>
  <c r="G74" i="12"/>
  <c r="A4504" i="20"/>
  <c r="B31" i="4"/>
  <c r="E76" i="1"/>
  <c r="H9" i="6"/>
  <c r="A89" i="19"/>
  <c r="C92" i="18"/>
  <c r="B3613" i="20"/>
  <c r="B2747" i="20"/>
  <c r="A975" i="16"/>
  <c r="A77" i="16"/>
  <c r="D108" i="12"/>
  <c r="A9" i="18"/>
  <c r="H37" i="12"/>
  <c r="B54" i="8"/>
  <c r="G94" i="8"/>
  <c r="A1372" i="16"/>
  <c r="F129" i="1"/>
  <c r="B1297" i="20"/>
  <c r="G102" i="7"/>
  <c r="B3509" i="20"/>
  <c r="A33" i="6"/>
  <c r="A1489" i="20"/>
  <c r="G106" i="11"/>
  <c r="G41" i="7"/>
  <c r="B265" i="19"/>
  <c r="B59" i="12"/>
  <c r="B1137" i="20"/>
  <c r="A864" i="16"/>
  <c r="H20" i="1"/>
  <c r="B4132" i="20"/>
  <c r="D140" i="1"/>
  <c r="E27" i="6"/>
  <c r="H115" i="10"/>
  <c r="B4766" i="20"/>
  <c r="B861" i="20"/>
  <c r="D2" i="10"/>
  <c r="B4052" i="20"/>
  <c r="A20" i="7"/>
  <c r="G58" i="4"/>
  <c r="F154" i="1"/>
  <c r="A89" i="18"/>
  <c r="B1875" i="20"/>
  <c r="H10" i="1"/>
  <c r="G119" i="8"/>
  <c r="C145" i="18"/>
  <c r="B2128" i="20"/>
  <c r="H40" i="7"/>
  <c r="A125" i="11"/>
  <c r="B876" i="16"/>
  <c r="D78" i="9"/>
  <c r="A319" i="19"/>
  <c r="B3355" i="20"/>
  <c r="A12" i="2"/>
  <c r="G73" i="1"/>
  <c r="H130" i="4"/>
  <c r="A2312" i="20"/>
  <c r="A4311" i="20"/>
  <c r="H67" i="2"/>
  <c r="H103" i="4"/>
  <c r="H11" i="1"/>
  <c r="A1442" i="16"/>
  <c r="A554" i="20"/>
  <c r="H59" i="5"/>
  <c r="A71" i="7"/>
  <c r="G112" i="8"/>
  <c r="F34" i="7"/>
  <c r="B53" i="18"/>
  <c r="G30" i="7"/>
  <c r="B870" i="20"/>
  <c r="A569" i="16"/>
  <c r="B36" i="9"/>
  <c r="F7" i="1"/>
  <c r="G18" i="2"/>
  <c r="B2247" i="20"/>
  <c r="B230" i="20"/>
  <c r="A3" i="12"/>
  <c r="G46" i="10"/>
  <c r="A194" i="19"/>
  <c r="B587" i="20"/>
  <c r="B17" i="16"/>
  <c r="A3" i="10"/>
  <c r="A2794" i="20"/>
  <c r="F115" i="1"/>
  <c r="F11" i="2"/>
  <c r="G76" i="10"/>
  <c r="B117" i="8"/>
  <c r="A884" i="20"/>
  <c r="A1555" i="16"/>
  <c r="A139" i="7"/>
  <c r="A1736" i="20"/>
  <c r="B1417" i="20"/>
  <c r="A21" i="8"/>
  <c r="A2538" i="20"/>
  <c r="G99" i="10"/>
  <c r="A4296" i="20"/>
  <c r="E27" i="4"/>
  <c r="E136" i="10"/>
  <c r="H70" i="1"/>
  <c r="A1510" i="20"/>
  <c r="B152" i="9"/>
  <c r="H71" i="9"/>
  <c r="B1132" i="16"/>
  <c r="A788" i="20"/>
  <c r="G15" i="1"/>
  <c r="A192" i="16"/>
  <c r="A45" i="1"/>
  <c r="F10" i="4"/>
  <c r="A106" i="16"/>
  <c r="B460" i="16"/>
  <c r="A1015" i="20"/>
  <c r="B2708" i="20"/>
  <c r="F46" i="1"/>
  <c r="B30" i="16"/>
  <c r="B2272" i="20"/>
  <c r="A1754" i="20"/>
  <c r="H24" i="13"/>
  <c r="H70" i="2"/>
  <c r="B912" i="16"/>
  <c r="B1043" i="20"/>
  <c r="A2676" i="20"/>
  <c r="H85" i="1"/>
  <c r="A1716" i="20"/>
  <c r="B7225" i="20"/>
  <c r="B2748" i="20"/>
  <c r="A698" i="20"/>
  <c r="A98" i="6"/>
  <c r="B1976" i="20"/>
  <c r="A82" i="11"/>
  <c r="B883" i="20"/>
  <c r="B241" i="16"/>
  <c r="A1436" i="20"/>
  <c r="A189" i="16"/>
  <c r="G13" i="9"/>
  <c r="A72" i="1"/>
  <c r="A3089" i="20"/>
  <c r="A349" i="16"/>
  <c r="B1975" i="20"/>
  <c r="B3067" i="20"/>
  <c r="B182" i="16"/>
  <c r="G134" i="10"/>
  <c r="A121" i="18"/>
  <c r="B407" i="20"/>
  <c r="A294" i="32"/>
  <c r="G36" i="5"/>
  <c r="F63" i="6"/>
  <c r="A53" i="12"/>
  <c r="G38" i="4"/>
  <c r="B803" i="16"/>
  <c r="A7169" i="20"/>
  <c r="B268" i="20"/>
  <c r="B1043" i="16"/>
  <c r="B372" i="20"/>
  <c r="B12" i="9"/>
  <c r="B11" i="18"/>
  <c r="G23" i="9"/>
  <c r="F6" i="4"/>
  <c r="E28" i="5"/>
  <c r="A106" i="19"/>
  <c r="G6" i="13"/>
  <c r="B16" i="5"/>
  <c r="B1177" i="16"/>
  <c r="A1871" i="20"/>
  <c r="B93" i="5"/>
  <c r="B2129" i="20"/>
  <c r="H134" i="2"/>
  <c r="A12" i="12"/>
  <c r="C117" i="18"/>
  <c r="B113" i="7"/>
  <c r="H91" i="12"/>
  <c r="B1701" i="16"/>
  <c r="B1032" i="20"/>
  <c r="A92" i="2"/>
  <c r="B1991" i="20"/>
  <c r="G147" i="1"/>
  <c r="E94" i="9"/>
  <c r="A122" i="8"/>
  <c r="B4127" i="20"/>
  <c r="A448" i="16"/>
  <c r="B2967" i="20"/>
  <c r="G94" i="13"/>
  <c r="A1339" i="16"/>
  <c r="G97" i="2"/>
  <c r="A4" i="13"/>
  <c r="H21" i="9"/>
  <c r="B4533" i="20"/>
  <c r="H134" i="4"/>
  <c r="H96" i="5"/>
  <c r="B254" i="19"/>
  <c r="A1542" i="16"/>
  <c r="H28" i="1"/>
  <c r="H84" i="8"/>
  <c r="G129" i="8"/>
  <c r="C70" i="11"/>
  <c r="G115" i="4"/>
  <c r="A509" i="16"/>
  <c r="B817" i="16"/>
  <c r="B881" i="16"/>
  <c r="G69" i="9"/>
  <c r="H47" i="6"/>
  <c r="B7" i="6"/>
  <c r="A1692" i="20"/>
  <c r="G58" i="6"/>
  <c r="A46" i="6"/>
  <c r="H34" i="1"/>
  <c r="B111" i="10"/>
  <c r="B122" i="11"/>
  <c r="A131" i="9"/>
  <c r="B136" i="9"/>
  <c r="H7" i="10"/>
  <c r="A2649" i="20"/>
  <c r="B1680" i="16"/>
  <c r="E6" i="4"/>
  <c r="B1" i="7"/>
  <c r="B857" i="16"/>
  <c r="A5955" i="20"/>
  <c r="A4172" i="20"/>
  <c r="H33" i="1"/>
  <c r="A86" i="16"/>
  <c r="A63" i="18"/>
  <c r="B73" i="18"/>
  <c r="A108" i="2"/>
  <c r="A118" i="18"/>
  <c r="A1994" i="20"/>
  <c r="B2026" i="20"/>
  <c r="A200" i="19"/>
  <c r="B283" i="19"/>
  <c r="D28" i="11"/>
  <c r="G50" i="2"/>
  <c r="A281" i="16"/>
  <c r="B2765" i="20"/>
  <c r="B63" i="10"/>
  <c r="A22" i="4"/>
  <c r="A756" i="16"/>
  <c r="A2080" i="20"/>
  <c r="B1689" i="16"/>
  <c r="A1419" i="16"/>
  <c r="A294" i="19"/>
  <c r="F11" i="9"/>
  <c r="G31" i="10"/>
  <c r="G57" i="4"/>
  <c r="B3530" i="20"/>
  <c r="H79" i="6"/>
  <c r="B23" i="13"/>
  <c r="B177" i="19"/>
  <c r="A4608" i="20"/>
  <c r="C1" i="2"/>
  <c r="B22" i="11"/>
  <c r="A5" i="2"/>
  <c r="B125" i="4"/>
  <c r="A2668" i="20"/>
  <c r="A7410" i="20"/>
  <c r="B46" i="18"/>
  <c r="A120" i="19"/>
  <c r="H48" i="4"/>
  <c r="A3253" i="20"/>
  <c r="B3823" i="20"/>
  <c r="A816" i="16"/>
  <c r="H94" i="9"/>
  <c r="A78" i="7"/>
  <c r="B130" i="5"/>
  <c r="G51" i="2"/>
  <c r="A11" i="20"/>
  <c r="B257" i="16"/>
  <c r="B40" i="20"/>
  <c r="H122" i="11"/>
  <c r="A5744" i="20"/>
  <c r="B2091" i="20"/>
  <c r="A524" i="16"/>
  <c r="B124" i="10"/>
  <c r="B3448" i="20"/>
  <c r="A2012" i="20"/>
  <c r="H5" i="2"/>
  <c r="B3347" i="20"/>
  <c r="H84" i="7"/>
  <c r="G135" i="1"/>
  <c r="B16" i="7"/>
  <c r="B1422" i="20"/>
  <c r="A33" i="20"/>
  <c r="A4478" i="20"/>
  <c r="H22" i="1"/>
  <c r="B622" i="20"/>
  <c r="B1127" i="20"/>
  <c r="B121" i="13"/>
  <c r="A76" i="1"/>
  <c r="A1133" i="16"/>
  <c r="B3268" i="20"/>
  <c r="B2176" i="20"/>
  <c r="C105" i="7"/>
  <c r="A34" i="12"/>
  <c r="A651" i="20"/>
  <c r="B66" i="2"/>
  <c r="A80" i="2"/>
  <c r="F50" i="7"/>
  <c r="B486" i="20"/>
  <c r="B108" i="16"/>
  <c r="A11" i="6"/>
  <c r="A92" i="8"/>
  <c r="H85" i="10"/>
  <c r="A95" i="8"/>
  <c r="A994" i="16"/>
  <c r="B966" i="16"/>
  <c r="G142" i="4"/>
  <c r="H40" i="9"/>
  <c r="A53" i="10"/>
  <c r="F94" i="1"/>
  <c r="B87" i="5"/>
  <c r="B3397" i="20"/>
  <c r="B1990" i="20"/>
  <c r="B1253" i="16"/>
  <c r="B214" i="19"/>
  <c r="B327" i="20"/>
  <c r="A103" i="6"/>
  <c r="G126" i="13"/>
  <c r="H77" i="11"/>
  <c r="A427" i="16"/>
  <c r="B1834" i="16"/>
  <c r="E93" i="7"/>
  <c r="B139" i="4"/>
  <c r="A146" i="9"/>
  <c r="B852" i="20"/>
  <c r="G39" i="7"/>
  <c r="A90" i="4"/>
  <c r="B5837" i="20"/>
  <c r="E39" i="11"/>
  <c r="A80" i="1"/>
  <c r="B2548" i="20"/>
  <c r="A89" i="11"/>
  <c r="B26" i="18"/>
  <c r="B5359" i="20"/>
  <c r="A98" i="4"/>
  <c r="A379" i="19"/>
  <c r="B2" i="16"/>
  <c r="B29" i="2"/>
  <c r="B239" i="19"/>
  <c r="B482" i="20"/>
  <c r="B3458" i="20"/>
  <c r="A23" i="10"/>
  <c r="B5687" i="20"/>
  <c r="A614" i="16"/>
  <c r="A111" i="2"/>
  <c r="A1532" i="16"/>
  <c r="B44" i="18"/>
  <c r="B1178" i="16"/>
  <c r="B103" i="7"/>
  <c r="B26" i="7"/>
  <c r="B32" i="2"/>
  <c r="A624" i="20"/>
  <c r="A3120" i="20"/>
  <c r="B7828" i="20"/>
  <c r="B3993" i="20"/>
  <c r="A26" i="17"/>
  <c r="G55" i="6"/>
  <c r="B3057" i="20"/>
  <c r="B5551" i="20"/>
  <c r="H120" i="11"/>
  <c r="G31" i="8"/>
  <c r="B52" i="11"/>
  <c r="A1158" i="16"/>
  <c r="A100" i="8"/>
  <c r="F33" i="9"/>
  <c r="A62" i="7"/>
  <c r="B354" i="20"/>
  <c r="H46" i="2"/>
  <c r="B306" i="19"/>
  <c r="B4852" i="20"/>
  <c r="A35" i="2"/>
  <c r="G91" i="2"/>
  <c r="A1383" i="16"/>
  <c r="B4328" i="20"/>
  <c r="F35" i="8"/>
  <c r="B25" i="12"/>
  <c r="G87" i="2"/>
  <c r="A949" i="16"/>
  <c r="H44" i="13"/>
  <c r="B4231" i="20"/>
  <c r="A1536" i="16"/>
  <c r="A4428" i="20"/>
  <c r="A1832" i="16"/>
  <c r="G128" i="4"/>
  <c r="B14" i="20"/>
  <c r="A8927" i="20"/>
  <c r="A55" i="2"/>
  <c r="A97" i="12"/>
  <c r="H3" i="1"/>
  <c r="D103" i="5"/>
  <c r="B536" i="16"/>
  <c r="H52" i="6"/>
  <c r="C1" i="15"/>
  <c r="G88" i="1"/>
  <c r="B79" i="9"/>
  <c r="B3413" i="20"/>
  <c r="B3031" i="20"/>
  <c r="A1789" i="16"/>
  <c r="B1340" i="16"/>
  <c r="B10" i="9"/>
  <c r="A24" i="5"/>
  <c r="A64" i="12"/>
  <c r="A61" i="32"/>
  <c r="B124" i="4"/>
  <c r="B39" i="17"/>
  <c r="A107" i="7"/>
  <c r="B54" i="18"/>
  <c r="A65" i="2"/>
  <c r="B128" i="19"/>
  <c r="F27" i="7"/>
  <c r="B305" i="16"/>
  <c r="B3518" i="20"/>
  <c r="B20" i="10"/>
  <c r="A127" i="5"/>
  <c r="B2749" i="20"/>
  <c r="A8" i="17"/>
  <c r="G45" i="10"/>
  <c r="A680" i="16"/>
  <c r="A15" i="10"/>
  <c r="H88" i="12"/>
  <c r="H37" i="9"/>
  <c r="E6" i="13"/>
  <c r="B2638" i="20"/>
  <c r="B1590" i="16"/>
  <c r="H22" i="5"/>
  <c r="A3737" i="20"/>
  <c r="A574" i="16"/>
  <c r="H49" i="10"/>
  <c r="E9" i="11"/>
  <c r="H138" i="8"/>
  <c r="A1700" i="16"/>
  <c r="B784" i="16"/>
  <c r="A127" i="8"/>
  <c r="B28" i="11"/>
  <c r="D2" i="7"/>
  <c r="A113" i="4"/>
  <c r="A105" i="7"/>
  <c r="H44" i="7"/>
  <c r="B5101" i="20"/>
  <c r="G51" i="13"/>
  <c r="A301" i="16"/>
  <c r="G29" i="8"/>
  <c r="B24" i="13"/>
  <c r="B893" i="16"/>
  <c r="A530" i="16"/>
  <c r="B83" i="7"/>
  <c r="B946" i="20"/>
  <c r="A6132" i="20"/>
  <c r="A1839" i="20"/>
  <c r="B93" i="13"/>
  <c r="B244" i="20"/>
  <c r="B72" i="6"/>
  <c r="A148" i="8"/>
  <c r="A1794" i="16"/>
  <c r="A2110" i="20"/>
  <c r="B1518" i="16"/>
  <c r="A129" i="11"/>
  <c r="A1163" i="16"/>
  <c r="B761" i="16"/>
  <c r="B115" i="8"/>
  <c r="B125" i="5"/>
  <c r="G130" i="5"/>
  <c r="B37" i="6"/>
  <c r="H62" i="6"/>
  <c r="B118" i="10"/>
  <c r="A28" i="11"/>
  <c r="A6784" i="20"/>
  <c r="H121" i="7"/>
  <c r="B62" i="9"/>
  <c r="B1131" i="16"/>
  <c r="B1841" i="20"/>
  <c r="B341" i="20"/>
  <c r="A850" i="20"/>
  <c r="A62" i="4"/>
  <c r="C51" i="18"/>
  <c r="G75" i="1"/>
  <c r="B116" i="16"/>
  <c r="B146" i="20"/>
  <c r="G111" i="8"/>
  <c r="B61" i="11"/>
  <c r="B167" i="19"/>
  <c r="B1100" i="16"/>
  <c r="A105" i="11"/>
  <c r="B3435" i="20"/>
  <c r="B95" i="2"/>
  <c r="E35" i="6"/>
  <c r="B135" i="7"/>
  <c r="B51" i="20"/>
  <c r="G102" i="2"/>
  <c r="B58" i="8"/>
  <c r="B650" i="16"/>
  <c r="H74" i="11"/>
  <c r="A114" i="19"/>
  <c r="B232" i="19"/>
  <c r="B810" i="20"/>
  <c r="A1460" i="16"/>
  <c r="H125" i="9"/>
  <c r="G53" i="9"/>
  <c r="H116" i="9"/>
  <c r="B4004" i="20"/>
  <c r="G20" i="1"/>
  <c r="B1188" i="16"/>
  <c r="A1273" i="16"/>
  <c r="B138" i="2"/>
  <c r="A432" i="16"/>
  <c r="B112" i="2"/>
  <c r="E65" i="6"/>
  <c r="F1" i="8"/>
  <c r="B1370" i="16"/>
  <c r="A80" i="9"/>
  <c r="B2046" i="20"/>
  <c r="A450" i="16"/>
  <c r="G104" i="7"/>
  <c r="A1099" i="20"/>
  <c r="A1636" i="16"/>
  <c r="B1257" i="16"/>
  <c r="A689" i="20"/>
  <c r="B46" i="11"/>
  <c r="A3306" i="20"/>
  <c r="H23" i="13"/>
  <c r="A195" i="16"/>
  <c r="G95" i="8"/>
  <c r="B5130" i="20"/>
  <c r="A49" i="2"/>
  <c r="B1058" i="16"/>
  <c r="A1701" i="16"/>
  <c r="A108" i="9"/>
  <c r="B97" i="20"/>
  <c r="F120" i="1"/>
  <c r="B34" i="6"/>
  <c r="A1632" i="16"/>
  <c r="B766" i="16"/>
  <c r="B114" i="13"/>
  <c r="H61" i="8"/>
  <c r="G132" i="7"/>
  <c r="B82" i="12"/>
  <c r="B60" i="8"/>
  <c r="A1483" i="16"/>
  <c r="B4" i="8"/>
  <c r="G83" i="5"/>
  <c r="G74" i="5"/>
  <c r="G119" i="6"/>
  <c r="A869" i="16"/>
  <c r="A30" i="2"/>
  <c r="A778" i="16"/>
  <c r="B286" i="20"/>
  <c r="G125" i="7"/>
  <c r="G95" i="6"/>
  <c r="G45" i="6"/>
  <c r="A1513" i="20"/>
  <c r="B3149" i="20"/>
  <c r="H133" i="10"/>
  <c r="B30" i="2"/>
  <c r="H48" i="6"/>
  <c r="H130" i="6"/>
  <c r="B320" i="20"/>
  <c r="A1422" i="16"/>
  <c r="G65" i="13"/>
  <c r="A19" i="2"/>
  <c r="A18" i="2"/>
  <c r="G13" i="6"/>
  <c r="G57" i="9"/>
  <c r="C111" i="18"/>
  <c r="E4" i="1"/>
  <c r="A2248" i="20"/>
  <c r="A73" i="6"/>
  <c r="A28" i="18"/>
  <c r="G97" i="10"/>
  <c r="A4041" i="20"/>
  <c r="H122" i="8"/>
  <c r="B96" i="8"/>
  <c r="B116" i="20"/>
  <c r="B1035" i="16"/>
  <c r="B130" i="8"/>
  <c r="H83" i="4"/>
  <c r="H16" i="7"/>
  <c r="A1606" i="16"/>
  <c r="F108" i="12"/>
  <c r="C97" i="18"/>
  <c r="G98" i="13"/>
  <c r="B5901" i="20"/>
  <c r="H92" i="11"/>
  <c r="B1162" i="16"/>
  <c r="H94" i="1"/>
  <c r="A5019" i="20"/>
  <c r="A16" i="19"/>
  <c r="B3621" i="20"/>
  <c r="F40" i="1"/>
  <c r="A1017" i="20"/>
  <c r="A103" i="11"/>
  <c r="H61" i="2"/>
  <c r="B3603" i="20"/>
  <c r="G15" i="7"/>
  <c r="B6076" i="20"/>
  <c r="B818" i="20"/>
  <c r="B63" i="11"/>
  <c r="B1416" i="16"/>
  <c r="B1464" i="16"/>
  <c r="B1486" i="16"/>
  <c r="B28" i="5"/>
  <c r="A1408" i="20"/>
  <c r="B1816" i="20"/>
  <c r="A929" i="20"/>
  <c r="B304" i="20"/>
  <c r="E104" i="4"/>
  <c r="B1719" i="20"/>
  <c r="G105" i="8"/>
  <c r="F80" i="1"/>
  <c r="A103" i="1"/>
  <c r="B1251" i="16"/>
  <c r="A458" i="16"/>
  <c r="B816" i="16"/>
  <c r="A1068" i="16"/>
  <c r="B112" i="13"/>
  <c r="B74" i="9"/>
  <c r="B2725" i="20"/>
  <c r="E33" i="2"/>
  <c r="B4473" i="20"/>
  <c r="B5731" i="20"/>
  <c r="H58" i="12"/>
  <c r="B76" i="13"/>
  <c r="G29" i="5"/>
  <c r="B43" i="20"/>
  <c r="F21" i="1"/>
  <c r="B45" i="10"/>
  <c r="H50" i="5"/>
  <c r="A1479" i="16"/>
  <c r="B1572" i="16"/>
  <c r="H73" i="13"/>
  <c r="B1742" i="16"/>
  <c r="B2929" i="20"/>
  <c r="A406" i="16"/>
  <c r="B3508" i="20"/>
  <c r="B1677" i="20"/>
  <c r="A4930" i="20"/>
  <c r="A1758" i="16"/>
  <c r="B910" i="16"/>
  <c r="G14" i="13"/>
  <c r="B1323" i="20"/>
  <c r="B4379" i="20"/>
  <c r="A1820" i="20"/>
  <c r="A1368" i="20"/>
  <c r="B3671" i="20"/>
  <c r="A2858" i="20"/>
  <c r="B6955" i="20"/>
  <c r="B1210" i="20"/>
  <c r="B5808" i="20"/>
  <c r="B6803" i="20"/>
  <c r="B120" i="11"/>
  <c r="B1329" i="16"/>
  <c r="A306" i="20"/>
  <c r="B1083" i="20"/>
  <c r="H103" i="8"/>
  <c r="B629" i="16"/>
  <c r="G111" i="7"/>
  <c r="H134" i="7"/>
  <c r="A1476" i="16"/>
  <c r="B69" i="16"/>
  <c r="H131" i="2"/>
  <c r="H13" i="10"/>
  <c r="A47" i="17"/>
  <c r="B1427" i="16"/>
  <c r="B3478" i="20"/>
  <c r="A1634" i="16"/>
  <c r="H112" i="5"/>
  <c r="B19" i="8"/>
  <c r="A27" i="2"/>
  <c r="B71" i="5"/>
  <c r="B619" i="16"/>
  <c r="B110" i="6"/>
  <c r="H36" i="8"/>
  <c r="A94" i="13"/>
  <c r="B50" i="5"/>
  <c r="H135" i="8"/>
  <c r="A125" i="18"/>
  <c r="B100" i="5"/>
  <c r="E104" i="1"/>
  <c r="B2601" i="20"/>
  <c r="G80" i="8"/>
  <c r="A71" i="2"/>
  <c r="F75" i="10"/>
  <c r="A16" i="6"/>
  <c r="C122" i="1"/>
  <c r="G81" i="13"/>
  <c r="B133" i="9"/>
  <c r="H88" i="4"/>
  <c r="A298" i="20"/>
  <c r="G78" i="5"/>
  <c r="A135" i="4"/>
  <c r="A91" i="9"/>
  <c r="B128" i="7"/>
  <c r="A3207" i="20"/>
  <c r="B1504" i="20"/>
  <c r="H123" i="5"/>
  <c r="B3495" i="20"/>
  <c r="B1564" i="20"/>
  <c r="B1952" i="20"/>
  <c r="B152" i="18"/>
  <c r="A5481" i="20"/>
  <c r="A1034" i="16"/>
  <c r="G21" i="11"/>
  <c r="A60" i="11"/>
  <c r="B78" i="2"/>
  <c r="H29" i="11"/>
  <c r="B5886" i="20"/>
  <c r="A62" i="19"/>
  <c r="A147" i="1"/>
  <c r="A639" i="20"/>
  <c r="B1789" i="20"/>
  <c r="B123" i="10"/>
  <c r="A1323" i="20"/>
  <c r="B35" i="18"/>
  <c r="B118" i="19"/>
  <c r="G117" i="2"/>
  <c r="B102" i="5"/>
  <c r="A21" i="10"/>
  <c r="B437" i="20"/>
  <c r="B1295" i="20"/>
  <c r="B731" i="16"/>
  <c r="B1435" i="20"/>
  <c r="B314" i="20"/>
  <c r="G83" i="2"/>
  <c r="B2511" i="20"/>
  <c r="B1011" i="16"/>
  <c r="A146" i="19"/>
  <c r="E11" i="7"/>
  <c r="B117" i="7"/>
  <c r="A198" i="20"/>
  <c r="B1641" i="20"/>
  <c r="B366" i="19"/>
  <c r="A729" i="20"/>
  <c r="B6047" i="20"/>
  <c r="G73" i="2"/>
  <c r="B2077" i="20"/>
  <c r="A1478" i="20"/>
  <c r="A690" i="20"/>
  <c r="B197" i="16"/>
  <c r="B97" i="13"/>
  <c r="B72" i="18"/>
  <c r="B1688" i="16"/>
  <c r="B116" i="8"/>
  <c r="B6" i="13"/>
  <c r="B370" i="19"/>
  <c r="B3554" i="20"/>
  <c r="A748" i="20"/>
  <c r="B1350" i="20"/>
  <c r="B3367" i="20"/>
  <c r="A1556" i="20"/>
  <c r="A1172" i="20"/>
  <c r="A145" i="20"/>
  <c r="B208" i="19"/>
  <c r="H56" i="7"/>
  <c r="G20" i="7"/>
  <c r="B1548" i="16"/>
  <c r="H20" i="4"/>
  <c r="A2651" i="20"/>
  <c r="A33" i="10"/>
  <c r="H43" i="9"/>
  <c r="B2231" i="20"/>
  <c r="B464" i="20"/>
  <c r="G122" i="1"/>
  <c r="A15" i="20"/>
  <c r="G151" i="9"/>
  <c r="A58" i="19"/>
  <c r="B414" i="20"/>
  <c r="E1" i="6"/>
  <c r="H85" i="5"/>
  <c r="B6" i="17"/>
  <c r="B16" i="6"/>
  <c r="B4495" i="20"/>
  <c r="G54" i="1"/>
  <c r="B155" i="8"/>
  <c r="B938" i="16"/>
  <c r="B823" i="20"/>
  <c r="B77" i="13"/>
  <c r="H78" i="11"/>
  <c r="B4603" i="20"/>
  <c r="B1106" i="20"/>
  <c r="B95" i="8"/>
  <c r="B6" i="15"/>
  <c r="H97" i="7"/>
  <c r="B5534" i="20"/>
  <c r="A1087" i="16"/>
  <c r="A535" i="20"/>
  <c r="F65" i="2"/>
  <c r="B12" i="20"/>
  <c r="A126" i="4"/>
  <c r="B787" i="16"/>
  <c r="A981" i="16"/>
  <c r="B1774" i="16"/>
  <c r="B64" i="13"/>
  <c r="B300" i="20"/>
  <c r="H79" i="8"/>
  <c r="B1114" i="16"/>
  <c r="B85" i="5"/>
  <c r="A73" i="11"/>
  <c r="B102" i="16"/>
  <c r="B64" i="5"/>
  <c r="H105" i="4"/>
  <c r="A594" i="20"/>
  <c r="H55" i="9"/>
  <c r="E78" i="10"/>
  <c r="B1404" i="16"/>
  <c r="H143" i="4"/>
  <c r="A130" i="9"/>
  <c r="B1" i="12"/>
  <c r="F12" i="12"/>
  <c r="B2175" i="20"/>
  <c r="B248" i="20"/>
  <c r="B23" i="10"/>
  <c r="B190" i="16"/>
  <c r="A1290" i="20"/>
  <c r="B1863" i="20"/>
  <c r="B1055" i="20"/>
  <c r="B184" i="16"/>
  <c r="A97" i="2"/>
  <c r="H77" i="4"/>
  <c r="A1202" i="16"/>
  <c r="B15" i="5"/>
  <c r="A129" i="4"/>
  <c r="B1193" i="20"/>
  <c r="A234" i="16"/>
  <c r="H111" i="11"/>
  <c r="B6265" i="20"/>
  <c r="A2539" i="20"/>
  <c r="E75" i="4"/>
  <c r="B933" i="20"/>
  <c r="B101" i="7"/>
  <c r="B27" i="2"/>
  <c r="A2462" i="20"/>
  <c r="A738" i="16"/>
  <c r="B99" i="13"/>
  <c r="A100" i="20"/>
  <c r="A25" i="5"/>
  <c r="B20" i="4"/>
  <c r="A295" i="20"/>
  <c r="B1541" i="20"/>
  <c r="F28" i="9"/>
  <c r="B68" i="10"/>
  <c r="B3578" i="20"/>
  <c r="G40" i="6"/>
  <c r="A30" i="11"/>
  <c r="H86" i="5"/>
  <c r="A54" i="16"/>
  <c r="B71" i="12"/>
  <c r="A1480" i="20"/>
  <c r="B110" i="13"/>
  <c r="H18" i="1"/>
  <c r="B2387" i="20"/>
  <c r="B5349" i="20"/>
  <c r="B1779" i="16"/>
  <c r="B3" i="15"/>
  <c r="A1712" i="16"/>
  <c r="A4768" i="20"/>
  <c r="A115" i="11"/>
  <c r="A1201" i="16"/>
  <c r="B518" i="16"/>
  <c r="H134" i="8"/>
  <c r="D7" i="1"/>
  <c r="B181" i="16"/>
  <c r="A268" i="19"/>
  <c r="B1092" i="16"/>
  <c r="A3283" i="20"/>
  <c r="B135" i="19"/>
  <c r="B1175" i="16"/>
  <c r="B855" i="16"/>
  <c r="H39" i="9"/>
  <c r="B540" i="16"/>
  <c r="A21" i="1"/>
  <c r="B6032" i="20"/>
  <c r="A443" i="20"/>
  <c r="B1376" i="16"/>
  <c r="B1024" i="16"/>
  <c r="B96" i="16"/>
  <c r="E34" i="13"/>
  <c r="A44" i="12"/>
  <c r="A144" i="10"/>
  <c r="H138" i="7"/>
  <c r="A1438" i="20"/>
  <c r="G39" i="13"/>
  <c r="D2" i="11"/>
  <c r="B1825" i="16"/>
  <c r="B19" i="9"/>
  <c r="B81" i="18"/>
  <c r="A101" i="10"/>
  <c r="A291" i="16"/>
  <c r="B4093" i="20"/>
  <c r="B104" i="9"/>
  <c r="A572" i="16"/>
  <c r="A80" i="12"/>
  <c r="B1643" i="16"/>
  <c r="B1676" i="16"/>
  <c r="F36" i="13"/>
  <c r="A971" i="20"/>
  <c r="E7" i="8"/>
  <c r="B11" i="2"/>
  <c r="B76" i="10"/>
  <c r="A14" i="5"/>
  <c r="E1" i="10"/>
  <c r="B58" i="16"/>
  <c r="B68" i="7"/>
  <c r="A3617" i="20"/>
  <c r="B262" i="20"/>
  <c r="B44" i="4"/>
  <c r="B3821" i="20"/>
  <c r="A357" i="16"/>
  <c r="A60" i="1"/>
  <c r="A7743" i="20"/>
  <c r="B1347" i="20"/>
  <c r="A26" i="18"/>
  <c r="A72" i="5"/>
  <c r="H120" i="10"/>
  <c r="B1793" i="20"/>
  <c r="B38" i="6"/>
  <c r="A1830" i="16"/>
  <c r="B3309" i="20"/>
  <c r="B257" i="20"/>
  <c r="A1" i="17"/>
  <c r="B4340" i="20"/>
  <c r="B7541" i="20"/>
  <c r="G47" i="1"/>
  <c r="G41" i="8"/>
  <c r="B753" i="20"/>
  <c r="A4" i="5"/>
  <c r="B742" i="20"/>
  <c r="B1070" i="16"/>
  <c r="B535" i="16"/>
  <c r="A29" i="1"/>
  <c r="A138" i="7"/>
  <c r="B218" i="16"/>
  <c r="G61" i="2"/>
  <c r="G113" i="7"/>
  <c r="A1254" i="16"/>
  <c r="B1674" i="16"/>
  <c r="G103" i="9"/>
  <c r="E61" i="8"/>
  <c r="G80" i="6"/>
  <c r="G82" i="7"/>
  <c r="H96" i="11"/>
  <c r="E4" i="2"/>
  <c r="G138" i="2"/>
  <c r="A73" i="10"/>
  <c r="B1392" i="16"/>
  <c r="B705" i="20"/>
  <c r="B2085" i="20"/>
  <c r="A46" i="19"/>
  <c r="F1" i="10"/>
  <c r="B1606" i="20"/>
  <c r="H4" i="1"/>
  <c r="B7153" i="20"/>
  <c r="B21" i="13"/>
  <c r="B132" i="4"/>
  <c r="E4" i="9"/>
  <c r="A95" i="20"/>
  <c r="H90" i="9"/>
  <c r="H112" i="1"/>
  <c r="A1074" i="20"/>
  <c r="B2941" i="20"/>
  <c r="A5597" i="20"/>
  <c r="B88" i="5"/>
  <c r="G95" i="10"/>
  <c r="A12" i="10"/>
  <c r="B108" i="8"/>
  <c r="B182" i="20"/>
  <c r="A139" i="16"/>
  <c r="H106" i="1"/>
  <c r="A142" i="1"/>
  <c r="B112" i="6"/>
  <c r="H138" i="2"/>
  <c r="B1516" i="16"/>
  <c r="H125" i="13"/>
  <c r="A123" i="13"/>
  <c r="B2508" i="20"/>
  <c r="A873" i="20"/>
  <c r="B103" i="4"/>
  <c r="B44" i="8"/>
  <c r="H84" i="9"/>
  <c r="B953" i="16"/>
  <c r="A25" i="6"/>
  <c r="A28" i="7"/>
  <c r="H107" i="8"/>
  <c r="B1819" i="16"/>
  <c r="A1128" i="16"/>
  <c r="A111" i="8"/>
  <c r="G87" i="5"/>
  <c r="G101" i="9"/>
  <c r="A23" i="4"/>
  <c r="B769" i="16"/>
  <c r="A202" i="20"/>
  <c r="B78" i="12"/>
  <c r="B112" i="8"/>
  <c r="B148" i="20"/>
  <c r="A294" i="16"/>
  <c r="G117" i="4"/>
  <c r="H86" i="9"/>
  <c r="B3573" i="20"/>
  <c r="B176" i="19"/>
  <c r="F39" i="1"/>
  <c r="E116" i="10"/>
  <c r="A1294" i="16"/>
  <c r="A111" i="4"/>
  <c r="A91" i="4"/>
  <c r="B1460" i="20"/>
  <c r="A2165" i="20"/>
  <c r="A1035" i="16"/>
  <c r="B90" i="7"/>
  <c r="E28" i="7"/>
  <c r="A1471" i="16"/>
  <c r="A274" i="16"/>
  <c r="B417" i="20"/>
  <c r="A261" i="20"/>
  <c r="G79" i="10"/>
  <c r="A2588" i="20"/>
  <c r="A86" i="18"/>
  <c r="F33" i="6"/>
  <c r="F62" i="6"/>
  <c r="H63" i="1"/>
  <c r="B32" i="8"/>
  <c r="B1378" i="16"/>
  <c r="B213" i="19"/>
  <c r="A8" i="12"/>
  <c r="B94" i="5"/>
  <c r="F134" i="10"/>
  <c r="A107" i="16"/>
  <c r="A616" i="16"/>
  <c r="A1435" i="16"/>
  <c r="A327" i="19"/>
  <c r="B889" i="20"/>
  <c r="F132" i="5"/>
  <c r="B896" i="20"/>
  <c r="A33" i="2"/>
  <c r="A661" i="16"/>
  <c r="B2453" i="20"/>
  <c r="B1551" i="16"/>
  <c r="A925" i="16"/>
  <c r="B1840" i="20"/>
  <c r="A6854" i="20"/>
  <c r="B4570" i="20"/>
  <c r="B1731" i="20"/>
  <c r="F6" i="29"/>
  <c r="B4049" i="20"/>
  <c r="A7103" i="20"/>
  <c r="B6" i="5"/>
  <c r="B874" i="16"/>
  <c r="B1025" i="16"/>
  <c r="A36" i="13"/>
  <c r="A7212" i="20"/>
  <c r="B3377" i="20"/>
  <c r="B130" i="13"/>
  <c r="B40" i="9"/>
  <c r="A505" i="20"/>
  <c r="A403" i="20"/>
  <c r="G30" i="2"/>
  <c r="G108" i="10"/>
  <c r="A562" i="16"/>
  <c r="B10" i="17"/>
  <c r="F44" i="1"/>
  <c r="A48" i="1"/>
  <c r="E12" i="10"/>
  <c r="A1612" i="16"/>
  <c r="G38" i="12"/>
  <c r="F10" i="8"/>
  <c r="B1478" i="16"/>
  <c r="E12" i="8"/>
  <c r="A79" i="16"/>
  <c r="E62" i="5"/>
  <c r="A13" i="9"/>
  <c r="A583" i="16"/>
  <c r="H81" i="1"/>
  <c r="B16" i="4"/>
  <c r="A1770" i="20"/>
  <c r="B45" i="7"/>
  <c r="G137" i="1"/>
  <c r="B78" i="10"/>
  <c r="A1477" i="16"/>
  <c r="A80" i="6"/>
  <c r="A1149" i="16"/>
  <c r="B95" i="6"/>
  <c r="B1579" i="20"/>
  <c r="B3635" i="20"/>
  <c r="G82" i="6"/>
  <c r="C96" i="18"/>
  <c r="A120" i="5"/>
  <c r="B106" i="10"/>
  <c r="E2" i="13"/>
  <c r="H84" i="13"/>
  <c r="H138" i="9"/>
  <c r="H103" i="9"/>
  <c r="B273" i="19"/>
  <c r="A5872" i="20"/>
  <c r="A134" i="9"/>
  <c r="A4216" i="20"/>
  <c r="A1470" i="16"/>
  <c r="B127" i="18"/>
  <c r="A78" i="16"/>
  <c r="A555" i="16"/>
  <c r="B1832" i="20"/>
  <c r="B85" i="7"/>
  <c r="A1074" i="16"/>
  <c r="B858" i="16"/>
  <c r="G98" i="4"/>
  <c r="A112" i="7"/>
  <c r="A11" i="9"/>
  <c r="H8" i="9"/>
  <c r="B1248" i="16"/>
  <c r="F112" i="1"/>
  <c r="A1255" i="16"/>
  <c r="B22" i="9"/>
  <c r="F110" i="1"/>
  <c r="B46" i="10"/>
  <c r="A1256" i="16"/>
  <c r="B33" i="5"/>
  <c r="B1317" i="16"/>
  <c r="G140" i="8"/>
  <c r="B5826" i="20"/>
  <c r="F11" i="7"/>
  <c r="G77" i="8"/>
  <c r="A1977" i="20"/>
  <c r="B137" i="20"/>
  <c r="H107" i="2"/>
  <c r="C70" i="18"/>
  <c r="H102" i="8"/>
  <c r="A20" i="2"/>
  <c r="H74" i="6"/>
  <c r="B14" i="10"/>
  <c r="B176" i="16"/>
  <c r="B4491" i="20"/>
  <c r="B118" i="5"/>
  <c r="H17" i="10"/>
  <c r="A106" i="9"/>
  <c r="A127" i="4"/>
  <c r="A55" i="18"/>
  <c r="B1544" i="20"/>
  <c r="A1676" i="16"/>
  <c r="H57" i="8"/>
  <c r="B377" i="16"/>
  <c r="B26" i="9"/>
  <c r="E150" i="1"/>
  <c r="A121" i="5"/>
  <c r="H91" i="11"/>
  <c r="B22" i="8"/>
  <c r="G30" i="10"/>
  <c r="A1039" i="20"/>
  <c r="B199" i="19"/>
  <c r="G119" i="2"/>
  <c r="B448" i="20"/>
  <c r="B3089" i="20"/>
  <c r="G5" i="9"/>
  <c r="G52" i="7"/>
  <c r="A609" i="20"/>
  <c r="A1786" i="16"/>
  <c r="A1014" i="16"/>
  <c r="A1036" i="16"/>
  <c r="F87" i="1"/>
  <c r="B1269" i="16"/>
  <c r="A2201" i="20"/>
  <c r="H67" i="1"/>
  <c r="B1784" i="20"/>
  <c r="A233" i="20"/>
  <c r="A60" i="13"/>
  <c r="A155" i="4"/>
  <c r="A1290" i="16"/>
  <c r="A187" i="16"/>
  <c r="B4214" i="20"/>
  <c r="A539" i="16"/>
  <c r="H91" i="1"/>
  <c r="D1" i="9"/>
  <c r="A4947" i="20"/>
  <c r="A1137" i="20"/>
  <c r="A19" i="17"/>
  <c r="A2" i="2"/>
  <c r="A1641" i="20"/>
  <c r="A275" i="20"/>
  <c r="G82" i="8"/>
  <c r="H59" i="8"/>
  <c r="A1752" i="16"/>
  <c r="D94" i="1"/>
  <c r="A7033" i="20"/>
  <c r="B952" i="20"/>
  <c r="B56" i="7"/>
  <c r="A89" i="2"/>
  <c r="A1396" i="16"/>
  <c r="A101" i="16"/>
  <c r="H130" i="2"/>
  <c r="A837" i="20"/>
  <c r="A96" i="5"/>
  <c r="B660" i="20"/>
  <c r="H98" i="10"/>
  <c r="B218" i="20"/>
  <c r="H119" i="13"/>
  <c r="A998" i="16"/>
  <c r="H31" i="13"/>
  <c r="B1136" i="16"/>
  <c r="B1305" i="16"/>
  <c r="A127" i="1"/>
  <c r="A61" i="13"/>
  <c r="A21" i="2"/>
  <c r="H120" i="4"/>
  <c r="B65" i="12"/>
  <c r="G94" i="5"/>
  <c r="A1063" i="16"/>
  <c r="B459" i="20"/>
  <c r="A123" i="19"/>
  <c r="A1645" i="16"/>
  <c r="B2008" i="20"/>
  <c r="A2258" i="20"/>
  <c r="A101" i="6"/>
  <c r="A1108" i="16"/>
  <c r="H118" i="11"/>
  <c r="A1124" i="20"/>
  <c r="B129" i="5"/>
  <c r="B29" i="5"/>
  <c r="B72" i="10"/>
  <c r="A1356" i="16"/>
  <c r="A1723" i="16"/>
  <c r="A1346" i="16"/>
  <c r="B548" i="16"/>
  <c r="A1110" i="16"/>
  <c r="G112" i="5"/>
  <c r="B1113" i="16"/>
  <c r="A672" i="16"/>
  <c r="G122" i="9"/>
  <c r="B2807" i="20"/>
  <c r="B31" i="18"/>
  <c r="A59" i="12"/>
  <c r="B151" i="4"/>
  <c r="B70" i="19"/>
  <c r="A111" i="18"/>
  <c r="B105" i="2"/>
  <c r="G48" i="12"/>
  <c r="A78" i="10"/>
  <c r="A1401" i="16"/>
  <c r="B73" i="19"/>
  <c r="B75" i="2"/>
  <c r="A1664" i="16"/>
  <c r="A510" i="16"/>
  <c r="A3740" i="20"/>
  <c r="B232" i="20"/>
  <c r="H65" i="8"/>
  <c r="A143" i="9"/>
  <c r="A1500" i="20"/>
  <c r="B3455" i="20"/>
  <c r="A1468" i="16"/>
  <c r="B122" i="5"/>
  <c r="A21" i="12"/>
  <c r="B556" i="20"/>
  <c r="B1738" i="16"/>
  <c r="G90" i="1"/>
  <c r="A2366" i="20"/>
  <c r="G14" i="5"/>
  <c r="B108" i="18"/>
  <c r="A68" i="19"/>
  <c r="B318" i="19"/>
  <c r="H59" i="10"/>
  <c r="B614" i="16"/>
  <c r="H69" i="13"/>
  <c r="H31" i="5"/>
  <c r="A90" i="7"/>
  <c r="E6" i="9"/>
  <c r="A3404" i="20"/>
  <c r="F101" i="1"/>
  <c r="F5" i="9"/>
  <c r="A1302" i="16"/>
  <c r="B4868" i="20"/>
  <c r="N49" i="33"/>
  <c r="B5998" i="20"/>
  <c r="B3141" i="20"/>
  <c r="B1558" i="16"/>
  <c r="A3927" i="20"/>
  <c r="B3463" i="20"/>
  <c r="B1669" i="16"/>
  <c r="A4208" i="20"/>
  <c r="D122" i="4"/>
  <c r="H64" i="6"/>
  <c r="B809" i="20"/>
  <c r="H42" i="5"/>
  <c r="G48" i="13"/>
  <c r="B2015" i="20"/>
  <c r="B1947" i="20"/>
  <c r="A534" i="16"/>
  <c r="B5" i="2"/>
  <c r="B1020" i="20"/>
  <c r="A237" i="20"/>
  <c r="A3288" i="20"/>
  <c r="D105" i="7"/>
  <c r="B1296" i="16"/>
  <c r="A72" i="18"/>
  <c r="G112" i="11"/>
  <c r="H8" i="11"/>
  <c r="B1716" i="20"/>
  <c r="B931" i="16"/>
  <c r="A3442" i="20"/>
  <c r="B24" i="17"/>
  <c r="B79" i="10"/>
  <c r="A65" i="18"/>
  <c r="A1229" i="16"/>
  <c r="B116" i="2"/>
  <c r="A976" i="20"/>
  <c r="A463" i="16"/>
  <c r="H62" i="11"/>
  <c r="G123" i="6"/>
  <c r="B45" i="13"/>
  <c r="G43" i="11"/>
  <c r="B6416" i="20"/>
  <c r="B39" i="5"/>
  <c r="A71" i="5"/>
  <c r="A52" i="8"/>
  <c r="A781" i="16"/>
  <c r="A2600" i="20"/>
  <c r="C79" i="18"/>
  <c r="A42" i="16"/>
  <c r="A1398" i="16"/>
  <c r="A146" i="4"/>
  <c r="H152" i="1"/>
  <c r="B515" i="20"/>
  <c r="A13" i="16"/>
  <c r="A23" i="9"/>
  <c r="F81" i="6"/>
  <c r="H123" i="1"/>
  <c r="B1760" i="16"/>
  <c r="A185" i="19"/>
  <c r="B17" i="12"/>
  <c r="H96" i="10"/>
  <c r="B35" i="16"/>
  <c r="A845" i="16"/>
  <c r="B4281" i="20"/>
  <c r="G110" i="8"/>
  <c r="B121" i="2"/>
  <c r="H95" i="6"/>
  <c r="A1274" i="16"/>
  <c r="B682" i="16"/>
  <c r="B49" i="9"/>
  <c r="G101" i="1"/>
  <c r="B85" i="12"/>
  <c r="A26" i="8"/>
  <c r="B77" i="2"/>
  <c r="B1475" i="20"/>
  <c r="A1652" i="16"/>
  <c r="B175" i="19"/>
  <c r="B32" i="13"/>
  <c r="B1336" i="20"/>
  <c r="G66" i="12"/>
  <c r="A1292" i="16"/>
  <c r="A260" i="19"/>
  <c r="A152" i="18"/>
  <c r="A76" i="18"/>
  <c r="A934" i="16"/>
  <c r="A310" i="19"/>
  <c r="B1484" i="16"/>
  <c r="H97" i="10"/>
  <c r="A59" i="4"/>
  <c r="G30" i="11"/>
  <c r="A2028" i="20"/>
  <c r="A399" i="20"/>
  <c r="A29" i="5"/>
  <c r="G113" i="11"/>
  <c r="A36" i="1"/>
  <c r="B75" i="8"/>
  <c r="B2173" i="20"/>
  <c r="G122" i="7"/>
  <c r="G29" i="4"/>
  <c r="B837" i="16"/>
  <c r="A762" i="16"/>
  <c r="B820" i="16"/>
  <c r="B29" i="12"/>
  <c r="B1288" i="20"/>
  <c r="B4209" i="20"/>
  <c r="B1808" i="16"/>
  <c r="B97" i="9"/>
  <c r="D10" i="1"/>
  <c r="G138" i="4"/>
  <c r="G13" i="5"/>
  <c r="A48" i="2"/>
  <c r="B27" i="6"/>
  <c r="B3416" i="20"/>
  <c r="H42" i="1"/>
  <c r="H89" i="1"/>
  <c r="B55" i="11"/>
  <c r="A2344" i="20"/>
  <c r="A1280" i="16"/>
  <c r="B196" i="19"/>
  <c r="F28" i="4"/>
  <c r="H122" i="12"/>
  <c r="H120" i="6"/>
  <c r="H23" i="4"/>
  <c r="A9" i="17"/>
  <c r="A27" i="12"/>
  <c r="G98" i="6"/>
  <c r="G71" i="6"/>
  <c r="H17" i="8"/>
  <c r="B10" i="16"/>
  <c r="H109" i="12"/>
  <c r="H87" i="8"/>
  <c r="B1110" i="16"/>
  <c r="G50" i="10"/>
  <c r="B48" i="16"/>
  <c r="A120" i="6"/>
  <c r="B102" i="20"/>
  <c r="B85" i="6"/>
  <c r="A656" i="20"/>
  <c r="F61" i="5"/>
  <c r="A700" i="16"/>
  <c r="A1006" i="16"/>
  <c r="H143" i="8"/>
  <c r="B7" i="4"/>
  <c r="H19" i="7"/>
  <c r="A56" i="5"/>
  <c r="B107" i="20"/>
  <c r="A600" i="16"/>
  <c r="A25" i="19"/>
  <c r="B42" i="4"/>
  <c r="A82" i="5"/>
  <c r="B298" i="16"/>
  <c r="A121" i="10"/>
  <c r="B75" i="7"/>
  <c r="A60" i="10"/>
  <c r="D2" i="6"/>
  <c r="A3488" i="20"/>
  <c r="B21" i="19"/>
  <c r="A57" i="18"/>
  <c r="B7" i="15"/>
  <c r="B1911" i="20"/>
  <c r="B1548" i="20"/>
  <c r="A172" i="19"/>
  <c r="B1521" i="16"/>
  <c r="H75" i="7"/>
  <c r="B1328" i="20"/>
  <c r="H5" i="13"/>
  <c r="A154" i="8"/>
  <c r="B1471" i="20"/>
  <c r="E75" i="8"/>
  <c r="A410" i="16"/>
  <c r="A96" i="20"/>
  <c r="A1771" i="16"/>
  <c r="B304" i="19"/>
  <c r="A1718" i="16"/>
  <c r="F2" i="2"/>
  <c r="G70" i="7"/>
  <c r="B1128" i="20"/>
  <c r="A2076" i="20"/>
  <c r="A2" i="7"/>
  <c r="B3991" i="20"/>
  <c r="A76" i="9"/>
  <c r="G139" i="8"/>
  <c r="A1044" i="16"/>
  <c r="B25" i="5"/>
  <c r="A1748" i="20"/>
  <c r="G55" i="11"/>
  <c r="F104" i="8"/>
  <c r="A78" i="20"/>
  <c r="F76" i="9"/>
  <c r="A135" i="1"/>
  <c r="A342" i="16"/>
  <c r="A1512" i="16"/>
  <c r="A34" i="1"/>
  <c r="A1221" i="16"/>
  <c r="H66" i="12"/>
  <c r="B135" i="9"/>
  <c r="H53" i="5"/>
  <c r="A1640" i="16"/>
  <c r="B1051" i="20"/>
  <c r="A2710" i="20"/>
  <c r="A64" i="1"/>
  <c r="H49" i="1"/>
  <c r="B361" i="16"/>
  <c r="G17" i="12"/>
  <c r="A58" i="4"/>
  <c r="B187" i="20"/>
  <c r="B78" i="4"/>
  <c r="A712" i="20"/>
  <c r="H61" i="11"/>
  <c r="F61" i="4"/>
  <c r="A87" i="1"/>
  <c r="E110" i="4"/>
  <c r="B8" i="12"/>
  <c r="A1766" i="20"/>
  <c r="H105" i="1"/>
  <c r="B927" i="20"/>
  <c r="B40" i="12"/>
  <c r="G68" i="2"/>
  <c r="F17" i="1"/>
  <c r="A31" i="4"/>
  <c r="B1561" i="16"/>
  <c r="G99" i="11"/>
  <c r="B1572" i="20"/>
  <c r="B1655" i="16"/>
  <c r="A789" i="16"/>
  <c r="A122" i="13"/>
  <c r="A57" i="19"/>
  <c r="B1013" i="20"/>
  <c r="A999" i="20"/>
  <c r="A862" i="20"/>
  <c r="B741" i="20"/>
  <c r="H110" i="12"/>
  <c r="E33" i="7"/>
  <c r="H23" i="2"/>
  <c r="B415" i="20"/>
  <c r="A936" i="16"/>
  <c r="B842" i="16"/>
  <c r="B3773" i="20"/>
  <c r="H96" i="2"/>
  <c r="B695" i="20"/>
  <c r="A32" i="1"/>
  <c r="B1566" i="16"/>
  <c r="A100" i="18"/>
  <c r="G107" i="9"/>
  <c r="H131" i="9"/>
  <c r="A1690" i="16"/>
  <c r="B2227" i="20"/>
  <c r="A371" i="20"/>
  <c r="A314" i="19"/>
  <c r="A8" i="8"/>
  <c r="H62" i="12"/>
  <c r="A264" i="16"/>
  <c r="H1" i="9"/>
  <c r="B122" i="9"/>
  <c r="F67" i="11"/>
  <c r="A1134" i="16"/>
  <c r="G123" i="4"/>
  <c r="A138" i="19"/>
  <c r="A786" i="16"/>
  <c r="A1784" i="16"/>
  <c r="B292" i="16"/>
  <c r="B3332" i="20"/>
  <c r="B101" i="10"/>
  <c r="A431" i="20"/>
  <c r="A91" i="8"/>
  <c r="B4180" i="20"/>
  <c r="B781" i="16"/>
  <c r="B2472" i="20"/>
  <c r="B234" i="19"/>
  <c r="C144" i="18"/>
  <c r="A103" i="20"/>
  <c r="A597" i="16"/>
  <c r="B1648" i="16"/>
  <c r="A150" i="4"/>
  <c r="A852" i="16"/>
  <c r="A3370" i="20"/>
  <c r="A1725" i="20"/>
  <c r="A32" i="4"/>
  <c r="A475" i="16"/>
  <c r="B1734" i="16"/>
  <c r="A3077" i="20"/>
  <c r="F25" i="2"/>
  <c r="G43" i="13"/>
  <c r="A154" i="16"/>
  <c r="A139" i="18"/>
  <c r="G101" i="4"/>
  <c r="B134" i="4"/>
  <c r="B66" i="16"/>
  <c r="B7109" i="20"/>
  <c r="B3810" i="20"/>
  <c r="A910" i="16"/>
  <c r="A126" i="8"/>
  <c r="A6183" i="20"/>
  <c r="A96" i="4"/>
  <c r="H16" i="8"/>
  <c r="B1297" i="16"/>
  <c r="A3635" i="20"/>
  <c r="A3163" i="20"/>
  <c r="F83" i="1"/>
  <c r="B63" i="8"/>
  <c r="A1200" i="16"/>
  <c r="H106" i="9"/>
  <c r="B1359" i="20"/>
  <c r="B101" i="4"/>
  <c r="G6" i="11"/>
  <c r="H108" i="5"/>
  <c r="B66" i="5"/>
  <c r="B2626" i="20"/>
  <c r="A105" i="10"/>
  <c r="H80" i="6"/>
  <c r="B480" i="20"/>
  <c r="B109" i="10"/>
  <c r="B744" i="16"/>
  <c r="A40" i="19"/>
  <c r="B42" i="7"/>
  <c r="B2503" i="20"/>
  <c r="B113" i="16"/>
  <c r="B2815" i="20"/>
  <c r="A14" i="12"/>
  <c r="A6988" i="20"/>
  <c r="A77" i="5"/>
  <c r="B6" i="14"/>
  <c r="H123" i="4"/>
  <c r="H71" i="8"/>
  <c r="H38" i="1"/>
  <c r="A1354" i="16"/>
  <c r="B1" i="14"/>
  <c r="A368" i="16"/>
  <c r="B1839" i="20"/>
  <c r="A94" i="4"/>
  <c r="G56" i="12"/>
  <c r="A150" i="8"/>
  <c r="B46" i="12"/>
  <c r="A493" i="16"/>
  <c r="G68" i="13"/>
  <c r="A113" i="8"/>
  <c r="H1" i="1"/>
  <c r="H92" i="1"/>
  <c r="A57" i="5"/>
  <c r="A111" i="7"/>
  <c r="A93" i="10"/>
  <c r="A7391" i="20"/>
  <c r="A18" i="16"/>
  <c r="B43" i="17"/>
  <c r="H82" i="1"/>
  <c r="H61" i="9"/>
  <c r="A2929" i="20"/>
  <c r="A62" i="2"/>
  <c r="B118" i="9"/>
  <c r="E3" i="8"/>
  <c r="A73" i="20"/>
  <c r="A1342" i="16"/>
  <c r="G97" i="4"/>
  <c r="G80" i="11"/>
  <c r="A1770" i="16"/>
  <c r="A85" i="10"/>
  <c r="A87" i="18"/>
  <c r="A1571" i="16"/>
  <c r="A1317" i="16"/>
  <c r="A2430" i="20"/>
  <c r="B1553" i="20"/>
  <c r="A118" i="16"/>
  <c r="B51" i="16"/>
  <c r="A89" i="4"/>
  <c r="A509" i="20"/>
  <c r="A107" i="20"/>
  <c r="B1578" i="16"/>
  <c r="B756" i="16"/>
  <c r="H119" i="9"/>
  <c r="G136" i="13"/>
  <c r="B1585" i="20"/>
  <c r="B37" i="17"/>
  <c r="B1171" i="20"/>
  <c r="F6" i="6"/>
  <c r="B11" i="14"/>
  <c r="E9" i="8"/>
  <c r="G81" i="11"/>
  <c r="B1577" i="16"/>
  <c r="A6357" i="20"/>
  <c r="B858" i="20"/>
  <c r="B2007" i="20"/>
  <c r="A43" i="16"/>
  <c r="A5102" i="20"/>
  <c r="G105" i="7"/>
  <c r="A2524" i="20"/>
  <c r="B780" i="20"/>
  <c r="A1631" i="16"/>
  <c r="B114" i="19"/>
  <c r="A10" i="9"/>
  <c r="E133" i="13"/>
  <c r="B131" i="4"/>
  <c r="C9" i="14"/>
  <c r="H93" i="5"/>
  <c r="B2927" i="20"/>
  <c r="H64" i="11"/>
  <c r="B98" i="20"/>
  <c r="A690" i="16"/>
  <c r="A98" i="7"/>
  <c r="A1851" i="16"/>
  <c r="A5452" i="20"/>
  <c r="F38" i="1"/>
  <c r="B119" i="16"/>
  <c r="F7" i="6"/>
  <c r="A1768" i="16"/>
  <c r="A379" i="16"/>
  <c r="C88" i="18"/>
  <c r="B1623" i="20"/>
  <c r="B118" i="18"/>
  <c r="B3941" i="20"/>
  <c r="H61" i="12"/>
  <c r="A1805" i="16"/>
  <c r="A682" i="16"/>
  <c r="F142" i="9"/>
  <c r="A1434" i="20"/>
  <c r="A3316" i="20"/>
  <c r="G16" i="10"/>
  <c r="A118" i="7"/>
  <c r="G16" i="1"/>
  <c r="H47" i="4"/>
  <c r="B522" i="20"/>
  <c r="B421" i="16"/>
  <c r="B454" i="20"/>
  <c r="B327" i="19"/>
  <c r="G23" i="5"/>
  <c r="B2724" i="20"/>
  <c r="B3117" i="20"/>
  <c r="H127" i="9"/>
  <c r="A549" i="16"/>
  <c r="A353" i="20"/>
  <c r="H106" i="13"/>
  <c r="B33" i="16"/>
  <c r="A134" i="1"/>
  <c r="B1801" i="16"/>
  <c r="A3143" i="20"/>
  <c r="B4245" i="20"/>
  <c r="B4614" i="20"/>
  <c r="A1248" i="16"/>
  <c r="A32" i="16"/>
  <c r="B263" i="19"/>
  <c r="G28" i="13"/>
  <c r="G116" i="5"/>
  <c r="A555" i="20"/>
  <c r="B362" i="20"/>
  <c r="A2297" i="20"/>
  <c r="A44" i="13"/>
  <c r="B406" i="16"/>
  <c r="C22" i="18"/>
  <c r="A527" i="20"/>
  <c r="G96" i="5"/>
  <c r="G83" i="7"/>
  <c r="B1627" i="20"/>
  <c r="G17" i="6"/>
  <c r="C18" i="18"/>
  <c r="A81" i="19"/>
  <c r="B1579" i="16"/>
  <c r="C52" i="18"/>
  <c r="A36" i="6"/>
  <c r="A416" i="20"/>
  <c r="B45" i="6"/>
  <c r="H88" i="8"/>
  <c r="A144" i="8"/>
  <c r="A98" i="8"/>
  <c r="A843" i="20"/>
  <c r="H82" i="12"/>
  <c r="E63" i="5"/>
  <c r="H9" i="1"/>
  <c r="B253" i="16"/>
  <c r="A338" i="20"/>
  <c r="A5138" i="20"/>
  <c r="A55" i="6"/>
  <c r="B125" i="6"/>
  <c r="A532" i="20"/>
  <c r="A69" i="2"/>
  <c r="B6266" i="20"/>
  <c r="H43" i="13"/>
  <c r="G20" i="2"/>
  <c r="A1482" i="20"/>
  <c r="A54" i="2"/>
  <c r="B1337" i="16"/>
  <c r="B84" i="10"/>
  <c r="A214" i="19"/>
  <c r="B1507" i="16"/>
  <c r="H104" i="11"/>
  <c r="B51" i="5"/>
  <c r="G9" i="1"/>
  <c r="B21" i="6"/>
  <c r="B12" i="15"/>
  <c r="G45" i="1"/>
  <c r="A1023" i="16"/>
  <c r="F50" i="2"/>
  <c r="B823" i="16"/>
  <c r="B758" i="16"/>
  <c r="B28" i="10"/>
  <c r="A733" i="16"/>
  <c r="A1099" i="16"/>
  <c r="A75" i="4"/>
  <c r="A1320" i="20"/>
  <c r="A256" i="19"/>
  <c r="B11" i="17"/>
  <c r="A49" i="4"/>
  <c r="B747" i="20"/>
  <c r="F96" i="7"/>
  <c r="A255" i="20"/>
  <c r="A5445" i="20"/>
  <c r="B291" i="20"/>
  <c r="G102" i="8"/>
  <c r="A1267" i="16"/>
  <c r="B4" i="9"/>
  <c r="A222" i="16"/>
  <c r="B70" i="5"/>
  <c r="A2452" i="20"/>
  <c r="B37" i="9"/>
  <c r="B795" i="16"/>
  <c r="A1348" i="16"/>
  <c r="B31" i="11"/>
  <c r="B301" i="19"/>
  <c r="B1110" i="20"/>
  <c r="B110" i="18"/>
  <c r="A52" i="4"/>
  <c r="A68" i="12"/>
  <c r="A323" i="16"/>
  <c r="G28" i="8"/>
  <c r="F65" i="13"/>
  <c r="B211" i="16"/>
  <c r="A528" i="20"/>
  <c r="A4043" i="20"/>
  <c r="A4054" i="20"/>
  <c r="A519" i="20"/>
  <c r="G121" i="2"/>
  <c r="A95" i="10"/>
  <c r="G95" i="4"/>
  <c r="H121" i="1"/>
  <c r="B1082" i="20"/>
  <c r="B503" i="16"/>
  <c r="B4976" i="20"/>
  <c r="E125" i="2"/>
  <c r="B208" i="16"/>
  <c r="A64" i="13"/>
  <c r="A1836" i="16"/>
  <c r="E47" i="6"/>
  <c r="A109" i="16"/>
  <c r="B79" i="4"/>
  <c r="B774" i="16"/>
  <c r="A230" i="16"/>
  <c r="A131" i="1"/>
  <c r="H67" i="10"/>
  <c r="B714" i="16"/>
  <c r="G18" i="10"/>
  <c r="A3276" i="20"/>
  <c r="A132" i="7"/>
  <c r="B848" i="20"/>
  <c r="B67" i="5"/>
  <c r="A584" i="20"/>
  <c r="A1507" i="20"/>
  <c r="A955" i="16"/>
  <c r="B1093" i="20"/>
  <c r="A551" i="20"/>
  <c r="B2" i="6"/>
  <c r="A110" i="19"/>
  <c r="A17" i="16"/>
  <c r="B82" i="20"/>
  <c r="G54" i="7"/>
  <c r="F98" i="1"/>
  <c r="A38" i="16"/>
  <c r="B46" i="17"/>
  <c r="B6252" i="20"/>
  <c r="G28" i="2"/>
  <c r="A1035" i="20"/>
  <c r="F13" i="13"/>
  <c r="G70" i="8"/>
  <c r="B64" i="18"/>
  <c r="B6763" i="20"/>
  <c r="A992" i="20"/>
  <c r="A126" i="7"/>
  <c r="B3166" i="20"/>
  <c r="B51" i="7"/>
  <c r="A39" i="13"/>
  <c r="A94" i="1"/>
  <c r="A6" i="1"/>
  <c r="H100" i="4"/>
  <c r="C116" i="10"/>
  <c r="A119" i="11"/>
  <c r="A151" i="20"/>
  <c r="E26" i="12"/>
  <c r="B23" i="6"/>
  <c r="B3044" i="20"/>
  <c r="H14" i="7"/>
  <c r="A550" i="16"/>
  <c r="B1199" i="20"/>
  <c r="B4120" i="20"/>
  <c r="H39" i="8"/>
  <c r="H137" i="10"/>
  <c r="B573" i="16"/>
  <c r="H82" i="9"/>
  <c r="B874" i="20"/>
  <c r="B904" i="16"/>
  <c r="B93" i="11"/>
  <c r="A6322" i="20"/>
  <c r="B3643" i="20"/>
  <c r="F5" i="10"/>
  <c r="F63" i="5"/>
  <c r="A2611" i="20"/>
  <c r="H5" i="10"/>
  <c r="A1360" i="16"/>
  <c r="H24" i="6"/>
  <c r="C127" i="18"/>
  <c r="B112" i="9"/>
  <c r="A1289" i="16"/>
  <c r="B36" i="4"/>
  <c r="G23" i="10"/>
  <c r="A145" i="18"/>
  <c r="B23" i="7"/>
  <c r="A248" i="16"/>
  <c r="H61" i="10"/>
  <c r="G47" i="2"/>
  <c r="A67" i="2"/>
  <c r="A45" i="17"/>
  <c r="B1894" i="20"/>
  <c r="B70" i="7"/>
  <c r="A1212" i="16"/>
  <c r="A25" i="1"/>
  <c r="A41" i="11"/>
  <c r="H98" i="1"/>
  <c r="B42" i="8"/>
  <c r="H129" i="8"/>
  <c r="B41" i="2"/>
  <c r="A33" i="7"/>
  <c r="B132" i="12"/>
  <c r="F116" i="1"/>
  <c r="G129" i="4"/>
  <c r="B61" i="7"/>
  <c r="E25" i="4"/>
  <c r="A86" i="1"/>
  <c r="H42" i="9"/>
  <c r="A4336" i="20"/>
  <c r="A38" i="8"/>
  <c r="A87" i="11"/>
  <c r="B108" i="5"/>
  <c r="H86" i="2"/>
  <c r="H84" i="5"/>
  <c r="B689" i="16"/>
  <c r="A54" i="12"/>
  <c r="H35" i="11"/>
  <c r="H43" i="2"/>
  <c r="B769" i="20"/>
  <c r="B880" i="16"/>
  <c r="B9" i="6"/>
  <c r="B94" i="11"/>
  <c r="B66" i="6"/>
  <c r="F48" i="1"/>
  <c r="B84" i="20"/>
  <c r="C32" i="18"/>
  <c r="A118" i="9"/>
  <c r="B53" i="19"/>
  <c r="B374" i="19"/>
  <c r="A109" i="18"/>
  <c r="B74" i="18"/>
  <c r="B968" i="20"/>
  <c r="A136" i="4"/>
  <c r="A88" i="6"/>
  <c r="B228" i="19"/>
  <c r="B385" i="16"/>
  <c r="H128" i="6"/>
  <c r="A868" i="16"/>
  <c r="A3991" i="20"/>
  <c r="A1552" i="16"/>
  <c r="G85" i="13"/>
  <c r="B120" i="2"/>
  <c r="F28" i="7"/>
  <c r="B3461" i="20"/>
  <c r="H103" i="11"/>
  <c r="A243" i="19"/>
  <c r="B106" i="9"/>
  <c r="B555" i="16"/>
  <c r="B185" i="16"/>
  <c r="B46" i="7"/>
  <c r="A951" i="20"/>
  <c r="F26" i="2"/>
  <c r="B19" i="10"/>
  <c r="G76" i="2"/>
  <c r="H55" i="5"/>
  <c r="B43" i="16"/>
  <c r="B75" i="10"/>
  <c r="G74" i="7"/>
  <c r="F61" i="10"/>
  <c r="B74" i="4"/>
  <c r="A112" i="10"/>
  <c r="A171" i="16"/>
  <c r="F13" i="1"/>
  <c r="A5957" i="20"/>
  <c r="B8017" i="20"/>
  <c r="A3918" i="20"/>
  <c r="A6736" i="20"/>
  <c r="G84" i="13"/>
  <c r="A3986" i="20"/>
  <c r="A6899" i="20"/>
  <c r="A133" i="1"/>
  <c r="A1429" i="16"/>
  <c r="B402" i="16"/>
  <c r="A113" i="20"/>
  <c r="H110" i="2"/>
  <c r="B79" i="19"/>
  <c r="B1309" i="20"/>
  <c r="B129" i="8"/>
  <c r="A1103" i="20"/>
  <c r="A328" i="20"/>
  <c r="A784" i="16"/>
  <c r="H21" i="5"/>
  <c r="B206" i="19"/>
  <c r="B1399" i="16"/>
  <c r="A1814" i="16"/>
  <c r="A4" i="16"/>
  <c r="A117" i="19"/>
  <c r="H51" i="2"/>
  <c r="G106" i="5"/>
  <c r="B332" i="20"/>
  <c r="F3" i="12"/>
  <c r="H20" i="10"/>
  <c r="A66" i="16"/>
  <c r="A737" i="20"/>
  <c r="B1479" i="20"/>
  <c r="B165" i="16"/>
  <c r="B1895" i="20"/>
  <c r="A1147" i="16"/>
  <c r="A1283" i="16"/>
  <c r="H80" i="8"/>
  <c r="B2533" i="20"/>
  <c r="A363" i="19"/>
  <c r="C36" i="5"/>
  <c r="B636" i="20"/>
  <c r="B1468" i="20"/>
  <c r="B23" i="17"/>
  <c r="G84" i="5"/>
  <c r="A137" i="12"/>
  <c r="A116" i="9"/>
  <c r="B3793" i="20"/>
  <c r="B16" i="18"/>
  <c r="F150" i="4"/>
  <c r="A136" i="8"/>
  <c r="B1" i="1"/>
  <c r="B948" i="20"/>
  <c r="H111" i="7"/>
  <c r="B1660" i="16"/>
  <c r="B16" i="9"/>
  <c r="H87" i="1"/>
  <c r="F89" i="1"/>
  <c r="A932" i="16"/>
  <c r="F66" i="11"/>
  <c r="A285" i="16"/>
  <c r="E10" i="10"/>
  <c r="A21" i="16"/>
  <c r="B1315" i="20"/>
  <c r="A55" i="1"/>
  <c r="A1342" i="20"/>
  <c r="C78" i="9"/>
  <c r="B174" i="16"/>
  <c r="G39" i="10"/>
  <c r="A26" i="4"/>
  <c r="B128" i="11"/>
  <c r="B32" i="5"/>
  <c r="A32" i="11"/>
  <c r="G86" i="1"/>
  <c r="B193" i="20"/>
  <c r="A76" i="13"/>
  <c r="A19" i="10"/>
  <c r="H130" i="10"/>
  <c r="F28" i="5"/>
  <c r="B1607" i="20"/>
  <c r="B345" i="16"/>
  <c r="A59" i="8"/>
  <c r="B1552" i="16"/>
  <c r="F125" i="1"/>
  <c r="A1578" i="20"/>
  <c r="A1677" i="20"/>
  <c r="A45" i="11"/>
  <c r="H80" i="5"/>
  <c r="B127" i="13"/>
  <c r="B20" i="19"/>
  <c r="A57" i="16"/>
  <c r="A121" i="16"/>
  <c r="A54" i="18"/>
  <c r="H104" i="8"/>
  <c r="B3256" i="20"/>
  <c r="B1807" i="16"/>
  <c r="A71" i="20"/>
  <c r="A145" i="4"/>
  <c r="A7" i="4"/>
  <c r="A135" i="13"/>
  <c r="A5045" i="20"/>
  <c r="A1961" i="20"/>
  <c r="A1955" i="20"/>
  <c r="G153" i="4"/>
  <c r="A787" i="20"/>
  <c r="H85" i="7"/>
  <c r="B2792" i="20"/>
  <c r="B3037" i="20"/>
  <c r="A2" i="17"/>
  <c r="H115" i="4"/>
  <c r="G109" i="4"/>
  <c r="A1183" i="16"/>
  <c r="B3081" i="20"/>
  <c r="F110" i="9"/>
  <c r="A94" i="7"/>
  <c r="B198" i="16"/>
  <c r="H78" i="10"/>
  <c r="B1573" i="16"/>
  <c r="B2437" i="20"/>
  <c r="G115" i="11"/>
  <c r="C119" i="18"/>
  <c r="A103" i="5"/>
  <c r="B3418" i="20"/>
  <c r="A791" i="20"/>
  <c r="B94" i="6"/>
  <c r="B1020" i="16"/>
  <c r="A101" i="1"/>
  <c r="B96" i="20"/>
  <c r="A945" i="20"/>
  <c r="B478" i="16"/>
  <c r="C2" i="12"/>
  <c r="G79" i="8"/>
  <c r="A478" i="16"/>
  <c r="A917" i="16"/>
  <c r="A3696" i="20"/>
  <c r="B2637" i="20"/>
  <c r="B1228" i="16"/>
  <c r="H38" i="13"/>
  <c r="H84" i="11"/>
  <c r="A62" i="5"/>
  <c r="A1884" i="20"/>
  <c r="B638" i="16"/>
  <c r="G128" i="12"/>
  <c r="H82" i="7"/>
  <c r="G20" i="9"/>
  <c r="F55" i="1"/>
  <c r="G47" i="5"/>
  <c r="A74" i="18"/>
  <c r="E33" i="6"/>
  <c r="B1751" i="20"/>
  <c r="A564" i="20"/>
  <c r="A628" i="20"/>
  <c r="A65" i="1"/>
  <c r="B1342" i="16"/>
  <c r="B82" i="9"/>
  <c r="B316" i="16"/>
  <c r="G110" i="4"/>
  <c r="A112" i="5"/>
  <c r="A2537" i="20"/>
  <c r="B1" i="2"/>
  <c r="H105" i="12"/>
  <c r="B79" i="2"/>
  <c r="H1" i="2"/>
  <c r="G71" i="5"/>
  <c r="H22" i="11"/>
  <c r="C80" i="18"/>
  <c r="A128" i="11"/>
  <c r="G22" i="6"/>
  <c r="B90" i="4"/>
  <c r="A5179" i="20"/>
  <c r="A1625" i="20"/>
  <c r="G21" i="1"/>
  <c r="B678" i="20"/>
  <c r="A63" i="9"/>
  <c r="A128" i="18"/>
  <c r="H91" i="10"/>
  <c r="G81" i="10"/>
  <c r="A1702" i="16"/>
  <c r="A1565" i="16"/>
  <c r="B95" i="20"/>
  <c r="B43" i="19"/>
  <c r="A808" i="16"/>
  <c r="B477" i="20"/>
  <c r="A69" i="4"/>
  <c r="G77" i="9"/>
  <c r="B11" i="12"/>
  <c r="H92" i="12"/>
  <c r="A637" i="16"/>
  <c r="A1469" i="16"/>
  <c r="B1610" i="16"/>
  <c r="A57" i="6"/>
  <c r="A294" i="20"/>
  <c r="H117" i="7"/>
  <c r="B444" i="16"/>
  <c r="A1444" i="16"/>
  <c r="B29" i="13"/>
  <c r="H116" i="10"/>
  <c r="B31" i="2"/>
  <c r="A299" i="19"/>
  <c r="A5108" i="20"/>
  <c r="E66" i="11"/>
  <c r="B129" i="10"/>
  <c r="F34" i="5"/>
  <c r="B584" i="20"/>
  <c r="F78" i="4"/>
  <c r="B111" i="18"/>
  <c r="A253" i="16"/>
  <c r="A1572" i="16"/>
  <c r="H136" i="8"/>
  <c r="G5" i="10"/>
  <c r="B99" i="2"/>
  <c r="B10" i="11"/>
  <c r="B1036" i="16"/>
  <c r="B1539" i="20"/>
  <c r="A1190" i="16"/>
  <c r="B1724" i="16"/>
  <c r="G29" i="6"/>
  <c r="G134" i="12"/>
  <c r="G103" i="2"/>
  <c r="C7" i="14"/>
  <c r="B7" i="12"/>
  <c r="B1755" i="16"/>
  <c r="B330" i="19"/>
  <c r="B1612" i="16"/>
  <c r="H89" i="5"/>
  <c r="E156" i="1"/>
  <c r="H45" i="1"/>
  <c r="A1268" i="16"/>
  <c r="G99" i="8"/>
  <c r="B76" i="5"/>
  <c r="G126" i="1"/>
  <c r="H110" i="6"/>
  <c r="H19" i="8"/>
  <c r="D2" i="1"/>
  <c r="G64" i="6"/>
  <c r="B82" i="11"/>
  <c r="B96" i="7"/>
  <c r="G85" i="8"/>
  <c r="B57" i="18"/>
  <c r="B413" i="20"/>
  <c r="A1722" i="16"/>
  <c r="A233" i="19"/>
  <c r="H112" i="7"/>
  <c r="B1150" i="20"/>
  <c r="A3818" i="20"/>
  <c r="A1357" i="16"/>
  <c r="B3125" i="20"/>
  <c r="A7246" i="20"/>
  <c r="B5828" i="20"/>
  <c r="G90" i="10"/>
  <c r="H72" i="6"/>
  <c r="G142" i="9"/>
  <c r="B29" i="6"/>
  <c r="B467" i="16"/>
  <c r="F128" i="12"/>
  <c r="A16" i="12"/>
  <c r="H90" i="12"/>
  <c r="A412" i="16"/>
  <c r="H47" i="11"/>
  <c r="B248" i="19"/>
  <c r="B2265" i="20"/>
  <c r="A44" i="18"/>
  <c r="C78" i="1"/>
  <c r="A3521" i="20"/>
  <c r="A676" i="16"/>
  <c r="G24" i="9"/>
  <c r="A607" i="16"/>
  <c r="A584" i="16"/>
  <c r="H106" i="5"/>
  <c r="A1898" i="20"/>
  <c r="F64" i="7"/>
  <c r="A284" i="16"/>
  <c r="A38" i="1"/>
  <c r="B119" i="4"/>
  <c r="G105" i="9"/>
  <c r="A2315" i="20"/>
  <c r="G102" i="9"/>
  <c r="B1156" i="16"/>
  <c r="A116" i="4"/>
  <c r="H102" i="5"/>
  <c r="A148" i="9"/>
  <c r="H69" i="8"/>
  <c r="B617" i="20"/>
  <c r="A145" i="8"/>
  <c r="G14" i="4"/>
  <c r="B2671" i="20"/>
  <c r="G85" i="11"/>
  <c r="B125" i="13"/>
  <c r="B373" i="19"/>
  <c r="G17" i="1"/>
  <c r="B2335" i="20"/>
  <c r="B2640" i="20"/>
  <c r="A127" i="10"/>
  <c r="A436" i="20"/>
  <c r="G68" i="8"/>
  <c r="B2360" i="20"/>
  <c r="A96" i="7"/>
  <c r="A1305" i="20"/>
  <c r="E10" i="13"/>
  <c r="E123" i="6"/>
  <c r="A11" i="1"/>
  <c r="G43" i="5"/>
  <c r="E27" i="2"/>
  <c r="B1323" i="16"/>
  <c r="B293" i="16"/>
  <c r="H5" i="12"/>
  <c r="B1641" i="16"/>
  <c r="B73" i="7"/>
  <c r="C118" i="18"/>
  <c r="A499" i="16"/>
  <c r="B4031" i="20"/>
  <c r="A832" i="16"/>
  <c r="E65" i="5"/>
  <c r="B4269" i="20"/>
  <c r="H136" i="9"/>
  <c r="B30" i="10"/>
  <c r="A805" i="16"/>
  <c r="B1503" i="20"/>
  <c r="B136" i="4"/>
  <c r="A920" i="20"/>
  <c r="G106" i="8"/>
  <c r="B73" i="5"/>
  <c r="H5" i="5"/>
  <c r="A307" i="16"/>
  <c r="A39" i="9"/>
  <c r="B2234" i="20"/>
  <c r="B2" i="12"/>
  <c r="A131" i="5"/>
  <c r="G138" i="1"/>
  <c r="B7467" i="20"/>
  <c r="G87" i="6"/>
  <c r="A140" i="19"/>
  <c r="A11" i="10"/>
  <c r="A655" i="20"/>
  <c r="B35" i="7"/>
  <c r="A75" i="18"/>
  <c r="B1044" i="16"/>
  <c r="B61" i="18"/>
  <c r="F136" i="12"/>
  <c r="G113" i="10"/>
  <c r="G63" i="1"/>
  <c r="B824" i="16"/>
  <c r="H31" i="2"/>
  <c r="A70" i="18"/>
  <c r="A442" i="20"/>
  <c r="A117" i="5"/>
  <c r="G51" i="7"/>
  <c r="B1788" i="16"/>
  <c r="A5339" i="20"/>
  <c r="B1872" i="20"/>
  <c r="A168" i="19"/>
  <c r="A32" i="5"/>
  <c r="A95" i="5"/>
  <c r="A1368" i="16"/>
  <c r="H23" i="5"/>
  <c r="A2669" i="20"/>
  <c r="A741" i="16"/>
  <c r="G138" i="7"/>
  <c r="G8" i="8"/>
  <c r="B878" i="20"/>
  <c r="B1847" i="16"/>
  <c r="B88" i="16"/>
  <c r="A528" i="16"/>
  <c r="G57" i="12"/>
  <c r="H39" i="4"/>
  <c r="G61" i="4"/>
  <c r="B120" i="16"/>
  <c r="A7504" i="20"/>
  <c r="B15" i="19"/>
  <c r="H125" i="10"/>
  <c r="B5942" i="20"/>
  <c r="B3645" i="20"/>
  <c r="B8" i="9"/>
  <c r="C86" i="18"/>
  <c r="A116" i="10"/>
  <c r="A462" i="16"/>
  <c r="G98" i="1"/>
  <c r="A108" i="12"/>
  <c r="A74" i="8"/>
  <c r="A14" i="2"/>
  <c r="E10" i="1"/>
  <c r="A1066" i="20"/>
  <c r="F35" i="5"/>
  <c r="B102" i="4"/>
  <c r="A343" i="20"/>
  <c r="B1820" i="20"/>
  <c r="A423" i="20"/>
  <c r="B2199" i="20"/>
  <c r="A1456" i="16"/>
  <c r="H78" i="8"/>
  <c r="H40" i="4"/>
  <c r="B1144" i="16"/>
  <c r="E26" i="10"/>
  <c r="H24" i="4"/>
  <c r="H39" i="12"/>
  <c r="A24" i="11"/>
  <c r="F74" i="9"/>
  <c r="A1553" i="16"/>
  <c r="B101" i="9"/>
  <c r="H88" i="6"/>
  <c r="A53" i="2"/>
  <c r="A4426" i="20"/>
  <c r="A1261" i="20"/>
  <c r="A1448" i="16"/>
  <c r="B62" i="10"/>
  <c r="A1493" i="16"/>
  <c r="A1210" i="16"/>
  <c r="G107" i="1"/>
  <c r="A4733" i="20"/>
  <c r="A1195" i="16"/>
  <c r="D104" i="1"/>
  <c r="F133" i="2"/>
  <c r="G107" i="6"/>
  <c r="B1074" i="20"/>
  <c r="B404" i="16"/>
  <c r="B887" i="16"/>
  <c r="B1661" i="16"/>
  <c r="B105" i="9"/>
  <c r="A132" i="5"/>
  <c r="A18" i="7"/>
  <c r="H124" i="13"/>
  <c r="E2" i="5"/>
  <c r="E125" i="7"/>
  <c r="B717" i="20"/>
  <c r="A358" i="16"/>
  <c r="A240" i="20"/>
  <c r="A3744" i="20"/>
  <c r="A891" i="16"/>
  <c r="H15" i="4"/>
  <c r="B394" i="20"/>
  <c r="A1054" i="16"/>
  <c r="B15" i="12"/>
  <c r="B3481" i="20"/>
  <c r="B90" i="10"/>
  <c r="B841" i="16"/>
  <c r="B1590" i="20"/>
  <c r="G48" i="2"/>
  <c r="A1734" i="16"/>
  <c r="B547" i="20"/>
  <c r="B33" i="13"/>
  <c r="B1260" i="16"/>
  <c r="A113" i="5"/>
  <c r="B616" i="20"/>
  <c r="G68" i="1"/>
  <c r="B49" i="16"/>
  <c r="A1060" i="16"/>
  <c r="A1323" i="16"/>
  <c r="A2635" i="20"/>
  <c r="B450" i="16"/>
  <c r="B1887" i="20"/>
  <c r="G79" i="7"/>
  <c r="B45" i="8"/>
  <c r="G77" i="4"/>
  <c r="A15" i="6"/>
  <c r="A101" i="8"/>
  <c r="B127" i="10"/>
  <c r="G5" i="2"/>
  <c r="A39" i="6"/>
  <c r="H52" i="4"/>
  <c r="B115" i="4"/>
  <c r="A934" i="20"/>
  <c r="G65" i="11"/>
  <c r="B1347" i="16"/>
  <c r="B2907" i="20"/>
  <c r="A1660" i="20"/>
  <c r="B389" i="16"/>
  <c r="A791" i="16"/>
  <c r="B5134" i="20"/>
  <c r="A7154" i="20"/>
  <c r="C59" i="18"/>
  <c r="H85" i="8"/>
  <c r="B771" i="20"/>
  <c r="A1165" i="16"/>
  <c r="A459" i="20"/>
  <c r="B1" i="18"/>
  <c r="A383" i="20"/>
  <c r="A1673" i="20"/>
  <c r="B7464" i="20"/>
  <c r="D3" i="1"/>
  <c r="B19" i="5"/>
  <c r="B403" i="20"/>
  <c r="A4800" i="20"/>
  <c r="G117" i="1"/>
  <c r="A52" i="6"/>
  <c r="B273" i="16"/>
  <c r="E63" i="7"/>
  <c r="B30" i="4"/>
  <c r="A44" i="16"/>
  <c r="A22" i="13"/>
  <c r="A1813" i="20"/>
  <c r="B1480" i="20"/>
  <c r="F27" i="2"/>
  <c r="H56" i="10"/>
  <c r="A4634" i="20"/>
  <c r="A3050" i="20"/>
  <c r="G89" i="10"/>
  <c r="A848" i="16"/>
  <c r="A3183" i="20"/>
  <c r="A1911" i="20"/>
  <c r="A6930" i="20"/>
  <c r="A116" i="5"/>
  <c r="E2" i="6"/>
  <c r="B2385" i="20"/>
  <c r="B202" i="19"/>
  <c r="B65" i="10"/>
  <c r="G86" i="8"/>
  <c r="H108" i="6"/>
  <c r="G135" i="9"/>
  <c r="A128" i="8"/>
  <c r="B166" i="20"/>
  <c r="A108" i="16"/>
  <c r="A115" i="5"/>
  <c r="A36" i="18"/>
  <c r="B626" i="16"/>
  <c r="B457" i="20"/>
  <c r="H97" i="9"/>
  <c r="B1837" i="20"/>
  <c r="B1229" i="16"/>
  <c r="B726" i="16"/>
  <c r="A114" i="2"/>
  <c r="A968" i="20"/>
  <c r="A136" i="2"/>
  <c r="A3402" i="20"/>
  <c r="G66" i="1"/>
  <c r="A28" i="12"/>
  <c r="A139" i="10"/>
  <c r="A371" i="16"/>
  <c r="H71" i="11"/>
  <c r="A742" i="20"/>
  <c r="B5" i="4"/>
  <c r="B3257" i="20"/>
  <c r="B82" i="2"/>
  <c r="A125" i="5"/>
  <c r="G136" i="1"/>
  <c r="F6" i="7"/>
  <c r="B620" i="16"/>
  <c r="B560" i="16"/>
  <c r="B455" i="16"/>
  <c r="A1052" i="16"/>
  <c r="A87" i="2"/>
  <c r="B365" i="20"/>
  <c r="A378" i="16"/>
  <c r="B3" i="4"/>
  <c r="B89" i="6"/>
  <c r="D36" i="6"/>
  <c r="H8" i="13"/>
  <c r="B48" i="9"/>
  <c r="A1772" i="16"/>
  <c r="A107" i="4"/>
  <c r="A1151" i="16"/>
  <c r="A106" i="2"/>
  <c r="A65" i="8"/>
  <c r="G6" i="4"/>
  <c r="A56" i="12"/>
  <c r="E78" i="8"/>
  <c r="B1527" i="16"/>
  <c r="B4575" i="20"/>
  <c r="B106" i="20"/>
  <c r="A15" i="8"/>
  <c r="A234" i="19"/>
  <c r="E123" i="2"/>
  <c r="B2155" i="20"/>
  <c r="B47" i="13"/>
  <c r="H93" i="8"/>
  <c r="A238" i="19"/>
  <c r="B830" i="16"/>
  <c r="A5" i="9"/>
  <c r="B106" i="19"/>
  <c r="F71" i="1"/>
  <c r="G122" i="2"/>
  <c r="H69" i="9"/>
  <c r="D1" i="6"/>
  <c r="A3" i="1"/>
  <c r="A2002" i="20"/>
  <c r="A73" i="19"/>
  <c r="A1382" i="16"/>
  <c r="H86" i="7"/>
  <c r="A136" i="16"/>
  <c r="G70" i="10"/>
  <c r="C46" i="18"/>
  <c r="H121" i="9"/>
  <c r="H116" i="5"/>
  <c r="H60" i="8"/>
  <c r="G136" i="2"/>
  <c r="B147" i="8"/>
  <c r="H42" i="7"/>
  <c r="A1354" i="20"/>
  <c r="B755" i="20"/>
  <c r="A104" i="8"/>
  <c r="E3" i="10"/>
  <c r="A4512" i="20"/>
  <c r="A24" i="18"/>
  <c r="A138" i="1"/>
  <c r="B3780" i="20"/>
  <c r="B109" i="18"/>
  <c r="A84" i="2"/>
  <c r="G141" i="1"/>
  <c r="B2683" i="20"/>
  <c r="A67" i="7"/>
  <c r="B904" i="20"/>
  <c r="A105" i="9"/>
  <c r="B906" i="20"/>
  <c r="B81" i="7"/>
  <c r="B442" i="20"/>
  <c r="A84" i="18"/>
  <c r="A2996" i="20"/>
  <c r="G37" i="12"/>
  <c r="A167" i="16"/>
  <c r="A2346" i="20"/>
  <c r="A2823" i="20"/>
  <c r="B813" i="20"/>
  <c r="B683" i="20"/>
  <c r="A6982" i="20"/>
  <c r="B794" i="20"/>
  <c r="A33" i="13"/>
  <c r="B2487" i="20"/>
  <c r="C3" i="18"/>
  <c r="B872" i="16"/>
  <c r="E25" i="5"/>
  <c r="B16" i="16"/>
  <c r="B94" i="10"/>
  <c r="B1545" i="20"/>
  <c r="G107" i="5"/>
  <c r="A118" i="2"/>
  <c r="G69" i="7"/>
  <c r="B2717" i="20"/>
  <c r="A8490" i="20"/>
  <c r="A241" i="20"/>
  <c r="B3034" i="20"/>
  <c r="F12" i="4"/>
  <c r="H151" i="9"/>
  <c r="A734" i="20"/>
  <c r="G19" i="8"/>
  <c r="A330" i="16"/>
  <c r="A37" i="16"/>
  <c r="B3157" i="20"/>
  <c r="B372" i="16"/>
  <c r="A59" i="13"/>
  <c r="B6118" i="20"/>
  <c r="B1760" i="20"/>
  <c r="A123" i="2"/>
  <c r="A19" i="5"/>
  <c r="A589" i="16"/>
  <c r="A658" i="20"/>
  <c r="B9" i="20"/>
  <c r="B412" i="20"/>
  <c r="B1616" i="20"/>
  <c r="G99" i="7"/>
  <c r="G18" i="7"/>
  <c r="G19" i="13"/>
  <c r="B1553" i="16"/>
  <c r="F93" i="13"/>
  <c r="H116" i="11"/>
  <c r="H28" i="13"/>
  <c r="B1526" i="16"/>
  <c r="A45" i="7"/>
  <c r="G49" i="1"/>
  <c r="A81" i="1"/>
  <c r="A111" i="6"/>
  <c r="H93" i="2"/>
  <c r="A7061" i="20"/>
  <c r="A3557" i="20"/>
  <c r="A1762" i="20"/>
  <c r="A10" i="17"/>
  <c r="B5419" i="20"/>
  <c r="B89" i="7"/>
  <c r="A1118" i="16"/>
  <c r="A128" i="4"/>
  <c r="A382" i="16"/>
  <c r="B41" i="19"/>
  <c r="A88" i="13"/>
  <c r="A247" i="20"/>
  <c r="B1084" i="16"/>
  <c r="A154" i="9"/>
  <c r="B1172" i="16"/>
  <c r="A77" i="10"/>
  <c r="A114" i="5"/>
  <c r="G20" i="6"/>
  <c r="E134" i="2"/>
  <c r="A313" i="19"/>
  <c r="B1030" i="16"/>
  <c r="H72" i="10"/>
  <c r="A1346" i="20"/>
  <c r="A1837" i="16"/>
  <c r="A2038" i="20"/>
  <c r="B497" i="16"/>
  <c r="B15" i="7"/>
  <c r="A2244" i="20"/>
  <c r="G48" i="9"/>
  <c r="A148" i="20"/>
  <c r="F105" i="7"/>
  <c r="F19" i="1"/>
  <c r="A75" i="20"/>
  <c r="A86" i="6"/>
  <c r="A41" i="4"/>
  <c r="B1646" i="16"/>
  <c r="A3512" i="20"/>
  <c r="B1879" i="20"/>
  <c r="A42" i="7"/>
  <c r="A4147" i="20"/>
  <c r="B1481" i="16"/>
  <c r="G121" i="8"/>
  <c r="H27" i="1"/>
  <c r="G103" i="13"/>
  <c r="A1307" i="20"/>
  <c r="A119" i="6"/>
  <c r="H75" i="4"/>
  <c r="A62" i="13"/>
  <c r="B530" i="20"/>
  <c r="A900" i="16"/>
  <c r="A888" i="16"/>
  <c r="F74" i="8"/>
  <c r="G63" i="9"/>
  <c r="B461" i="16"/>
  <c r="A606" i="16"/>
  <c r="A32" i="17"/>
  <c r="B69" i="10"/>
  <c r="A138" i="16"/>
  <c r="A1484" i="16"/>
  <c r="A7346" i="20"/>
  <c r="B1138" i="20"/>
  <c r="G63" i="11"/>
  <c r="B3" i="2"/>
  <c r="A121" i="4"/>
  <c r="A2042" i="20"/>
  <c r="G133" i="10"/>
  <c r="B1179" i="16"/>
  <c r="A16" i="13"/>
  <c r="B3035" i="20"/>
  <c r="A49" i="11"/>
  <c r="G18" i="4"/>
  <c r="H38" i="6"/>
  <c r="A118" i="5"/>
  <c r="B894" i="16"/>
  <c r="G22" i="10"/>
  <c r="B64" i="10"/>
  <c r="A3640" i="20"/>
  <c r="B4260" i="20"/>
  <c r="B17" i="17"/>
  <c r="H5" i="6"/>
  <c r="A4042" i="20"/>
  <c r="D13" i="1"/>
  <c r="A16" i="11"/>
  <c r="B12" i="8"/>
  <c r="H47" i="2"/>
  <c r="F103" i="1"/>
  <c r="G15" i="4"/>
  <c r="A1001" i="20"/>
  <c r="A10" i="14"/>
  <c r="A1375" i="16"/>
  <c r="A670" i="16"/>
  <c r="E5" i="5"/>
  <c r="B4542" i="20"/>
  <c r="B28" i="13"/>
  <c r="G41" i="12"/>
  <c r="A43" i="4"/>
  <c r="A250" i="16"/>
  <c r="B989" i="16"/>
  <c r="G79" i="1"/>
  <c r="A48" i="6"/>
  <c r="B80" i="4"/>
  <c r="A120" i="8"/>
  <c r="A648" i="16"/>
  <c r="A2358" i="20"/>
  <c r="B87" i="8"/>
  <c r="E4" i="13"/>
  <c r="A22" i="7"/>
  <c r="H20" i="9"/>
  <c r="C12" i="18"/>
  <c r="B109" i="7"/>
  <c r="G49" i="8"/>
  <c r="E13" i="8"/>
  <c r="A1056" i="16"/>
  <c r="B55" i="12"/>
  <c r="H7" i="9"/>
  <c r="H47" i="1"/>
  <c r="A2169" i="20"/>
  <c r="H111" i="2"/>
  <c r="H81" i="4"/>
  <c r="B47" i="7"/>
  <c r="B120" i="6"/>
  <c r="A63" i="1"/>
  <c r="A1351" i="16"/>
  <c r="H113" i="8"/>
  <c r="H66" i="6"/>
  <c r="B224" i="16"/>
  <c r="A6" i="4"/>
  <c r="F94" i="4"/>
  <c r="B129" i="20"/>
  <c r="A5723" i="20"/>
  <c r="G6" i="5"/>
  <c r="A63" i="11"/>
  <c r="H74" i="7"/>
  <c r="H118" i="4"/>
  <c r="A1437" i="16"/>
  <c r="B78" i="20"/>
  <c r="E63" i="2"/>
  <c r="G8" i="1"/>
  <c r="H87" i="11"/>
  <c r="B47" i="10"/>
  <c r="B798" i="16"/>
  <c r="A60" i="6"/>
  <c r="F150" i="9"/>
  <c r="A6024" i="20"/>
  <c r="B2521" i="20"/>
  <c r="B58" i="7"/>
  <c r="A1676" i="20"/>
  <c r="A75" i="5"/>
  <c r="A157" i="20"/>
  <c r="A94" i="10"/>
  <c r="C2" i="2"/>
  <c r="B1354" i="20"/>
  <c r="B5026" i="20"/>
  <c r="A72" i="19"/>
  <c r="B183" i="20"/>
  <c r="B156" i="20"/>
  <c r="B97" i="8"/>
  <c r="B927" i="16"/>
  <c r="A107" i="19"/>
  <c r="A6" i="8"/>
  <c r="H135" i="4"/>
  <c r="A722" i="20"/>
  <c r="E64" i="13"/>
  <c r="F10" i="7"/>
  <c r="E110" i="1"/>
  <c r="E7" i="12"/>
  <c r="G29" i="7"/>
  <c r="G91" i="10"/>
  <c r="H38" i="9"/>
  <c r="B3" i="7"/>
  <c r="B76" i="8"/>
  <c r="H80" i="2"/>
  <c r="F14" i="1"/>
  <c r="G96" i="7"/>
  <c r="B92" i="4"/>
  <c r="G110" i="6"/>
  <c r="B2193" i="20"/>
  <c r="A94" i="18"/>
  <c r="H13" i="5"/>
  <c r="B926" i="16"/>
  <c r="A90" i="13"/>
  <c r="B634" i="16"/>
  <c r="A209" i="19"/>
  <c r="B5245" i="20"/>
  <c r="B1694" i="16"/>
  <c r="A24" i="13"/>
  <c r="A1" i="12"/>
  <c r="A1478" i="16"/>
  <c r="A1" i="2"/>
  <c r="G49" i="5"/>
  <c r="A167" i="20"/>
  <c r="A1283" i="20"/>
  <c r="F91" i="5"/>
  <c r="H72" i="1"/>
  <c r="H108" i="8"/>
  <c r="B2135" i="20"/>
  <c r="B76" i="11"/>
  <c r="A1288" i="20"/>
  <c r="A3131" i="20"/>
  <c r="G40" i="4"/>
  <c r="G102" i="5"/>
  <c r="B270" i="19"/>
  <c r="B124" i="13"/>
  <c r="A24" i="4"/>
  <c r="B1848" i="20"/>
  <c r="A86" i="2"/>
  <c r="B956" i="16"/>
  <c r="A6017" i="20"/>
  <c r="H53" i="4"/>
  <c r="A1603" i="16"/>
  <c r="B101" i="2"/>
  <c r="B2479" i="20"/>
  <c r="B34" i="9"/>
  <c r="B65" i="9"/>
  <c r="A10" i="18"/>
  <c r="B19" i="7"/>
  <c r="H56" i="13"/>
  <c r="A40" i="7"/>
  <c r="H81" i="10"/>
  <c r="B547" i="16"/>
  <c r="B2650" i="20"/>
  <c r="E60" i="12"/>
  <c r="A30" i="16"/>
  <c r="B69" i="11"/>
  <c r="B1673" i="16"/>
  <c r="A1318" i="20"/>
  <c r="G97" i="9"/>
  <c r="G151" i="8"/>
  <c r="H18" i="4"/>
  <c r="A1043" i="16"/>
  <c r="B265" i="20"/>
  <c r="G65" i="8"/>
  <c r="F4" i="11"/>
  <c r="A278" i="16"/>
  <c r="B1737" i="16"/>
  <c r="G69" i="5"/>
  <c r="G101" i="5"/>
  <c r="B588" i="16"/>
  <c r="A23" i="7"/>
  <c r="A1580" i="16"/>
  <c r="A866" i="16"/>
  <c r="A480" i="16"/>
  <c r="B884" i="16"/>
  <c r="B790" i="16"/>
  <c r="B1502" i="20"/>
  <c r="E139" i="2"/>
  <c r="A476" i="16"/>
  <c r="B524" i="20"/>
  <c r="A1586" i="16"/>
  <c r="F6" i="5"/>
  <c r="E28" i="13"/>
  <c r="B669" i="20"/>
  <c r="A1438" i="16"/>
  <c r="A1805" i="20"/>
  <c r="A7623" i="20"/>
  <c r="B1247" i="20"/>
  <c r="B2208" i="20"/>
  <c r="A2348" i="20"/>
  <c r="B2908" i="20"/>
  <c r="B2310" i="20"/>
  <c r="B4225" i="20"/>
  <c r="G30" i="9"/>
  <c r="B910" i="20"/>
  <c r="B1571" i="16"/>
  <c r="B5540" i="20"/>
  <c r="B236" i="19"/>
  <c r="B17" i="13"/>
  <c r="E26" i="6"/>
  <c r="B1182" i="16"/>
  <c r="B1909" i="20"/>
  <c r="G40" i="5"/>
  <c r="A26" i="1"/>
  <c r="H111" i="10"/>
  <c r="B2342" i="20"/>
  <c r="H60" i="6"/>
  <c r="A1297" i="16"/>
  <c r="A27" i="11"/>
  <c r="A74" i="5"/>
  <c r="B20" i="8"/>
  <c r="B967" i="16"/>
  <c r="A249" i="19"/>
  <c r="A38" i="2"/>
  <c r="H44" i="12"/>
  <c r="B62" i="11"/>
  <c r="A21" i="4"/>
  <c r="A1817" i="16"/>
  <c r="A129" i="12"/>
  <c r="B138" i="7"/>
  <c r="H49" i="6"/>
  <c r="A23" i="18"/>
  <c r="A1795" i="16"/>
  <c r="A679" i="16"/>
  <c r="A1821" i="16"/>
  <c r="F5" i="7"/>
  <c r="B997" i="16"/>
  <c r="A6" i="15"/>
  <c r="H153" i="8"/>
  <c r="F123" i="2"/>
  <c r="B524" i="16"/>
  <c r="B73" i="11"/>
  <c r="A1184" i="16"/>
  <c r="G49" i="9"/>
  <c r="H49" i="2"/>
  <c r="A45" i="5"/>
  <c r="A529" i="20"/>
  <c r="A1769" i="20"/>
  <c r="B75" i="18"/>
  <c r="A1820" i="16"/>
  <c r="G116" i="11"/>
  <c r="A986" i="16"/>
  <c r="A8" i="10"/>
  <c r="A147" i="20"/>
  <c r="A15" i="2"/>
  <c r="A33" i="11"/>
  <c r="B1462" i="20"/>
  <c r="B393" i="16"/>
  <c r="H7" i="2"/>
  <c r="A226" i="16"/>
  <c r="G37" i="1"/>
  <c r="B668" i="20"/>
  <c r="A37" i="8"/>
  <c r="A454" i="16"/>
  <c r="H40" i="6"/>
  <c r="F102" i="1"/>
  <c r="G50" i="9"/>
  <c r="B3364" i="20"/>
  <c r="A747" i="20"/>
  <c r="A126" i="6"/>
  <c r="H120" i="1"/>
  <c r="C134" i="18"/>
  <c r="B704" i="20"/>
  <c r="A1019" i="16"/>
  <c r="A97" i="5"/>
  <c r="B22" i="19"/>
  <c r="A1403" i="16"/>
  <c r="B4118" i="20"/>
  <c r="H29" i="4"/>
  <c r="G135" i="10"/>
  <c r="A332" i="16"/>
  <c r="C78" i="4"/>
  <c r="A746" i="16"/>
  <c r="A1194" i="20"/>
  <c r="H110" i="1"/>
  <c r="B709" i="20"/>
  <c r="B33" i="18"/>
  <c r="A1698" i="16"/>
  <c r="A181" i="19"/>
  <c r="A68" i="7"/>
  <c r="B71" i="10"/>
  <c r="G122" i="8"/>
  <c r="B314" i="45"/>
  <c r="H29" i="9"/>
  <c r="A6555" i="20"/>
  <c r="A2306" i="20"/>
  <c r="A2879" i="20"/>
  <c r="A67" i="20"/>
  <c r="A467" i="20"/>
  <c r="B10" i="7"/>
  <c r="F63" i="2"/>
  <c r="A1" i="4"/>
  <c r="A56" i="9"/>
  <c r="B130" i="16"/>
  <c r="B336" i="20"/>
  <c r="A1486" i="20"/>
  <c r="A94" i="9"/>
  <c r="B2195" i="20"/>
  <c r="H148" i="4"/>
  <c r="H113" i="2"/>
  <c r="B425" i="20"/>
  <c r="A388" i="16"/>
  <c r="G36" i="11"/>
  <c r="B80" i="2"/>
  <c r="B289" i="16"/>
  <c r="A42" i="9"/>
  <c r="G131" i="1"/>
  <c r="H81" i="13"/>
  <c r="H86" i="8"/>
  <c r="B806" i="16"/>
  <c r="B854" i="20"/>
  <c r="B84" i="13"/>
  <c r="B77" i="10"/>
  <c r="A369" i="16"/>
  <c r="G85" i="9"/>
  <c r="B136" i="2"/>
  <c r="A880" i="16"/>
  <c r="B468" i="16"/>
  <c r="B267" i="19"/>
  <c r="H99" i="4"/>
  <c r="A115" i="9"/>
  <c r="G36" i="7"/>
  <c r="B49" i="4"/>
  <c r="A4883" i="20"/>
  <c r="B136" i="16"/>
  <c r="A861" i="20"/>
  <c r="A130" i="7"/>
  <c r="B1497" i="16"/>
  <c r="B1041" i="16"/>
  <c r="A225" i="20"/>
  <c r="H96" i="8"/>
  <c r="A1180" i="20"/>
  <c r="H126" i="13"/>
  <c r="A231" i="19"/>
  <c r="G104" i="1"/>
  <c r="A2029" i="20"/>
  <c r="H22" i="9"/>
  <c r="E9" i="4"/>
  <c r="A58" i="2"/>
  <c r="B19" i="13"/>
  <c r="A416" i="16"/>
  <c r="G98" i="11"/>
  <c r="A4458" i="20"/>
  <c r="A477" i="16"/>
  <c r="F12" i="7"/>
  <c r="B9" i="13"/>
  <c r="H155" i="4"/>
  <c r="B60" i="16"/>
  <c r="A802" i="20"/>
  <c r="H110" i="4"/>
  <c r="H122" i="2"/>
  <c r="B230" i="19"/>
  <c r="A126" i="9"/>
  <c r="H89" i="9"/>
  <c r="A313" i="16"/>
  <c r="B84" i="6"/>
  <c r="B1630" i="16"/>
  <c r="A1446" i="20"/>
  <c r="A456" i="16"/>
  <c r="H95" i="9"/>
  <c r="A2218" i="20"/>
  <c r="B130" i="4"/>
  <c r="H41" i="5"/>
  <c r="A30" i="8"/>
  <c r="A1307" i="16"/>
  <c r="B244" i="16"/>
  <c r="B3741" i="20"/>
  <c r="G47" i="13"/>
  <c r="B44" i="20"/>
  <c r="A21" i="19"/>
  <c r="A645" i="20"/>
  <c r="H36" i="5"/>
  <c r="G46" i="6"/>
  <c r="B64" i="9"/>
  <c r="B109" i="2"/>
  <c r="A422" i="20"/>
  <c r="A5382" i="20"/>
  <c r="G100" i="9"/>
  <c r="B1753" i="20"/>
  <c r="G31" i="7"/>
  <c r="B1147" i="20"/>
  <c r="A524" i="20"/>
  <c r="E7" i="9"/>
  <c r="G52" i="1"/>
  <c r="B1965" i="20"/>
  <c r="H38" i="10"/>
  <c r="H52" i="9"/>
  <c r="H107" i="10"/>
  <c r="A92" i="1"/>
  <c r="B83" i="9"/>
  <c r="F25" i="8"/>
  <c r="G40" i="2"/>
  <c r="C94" i="18"/>
  <c r="B74" i="16"/>
  <c r="B2688" i="20"/>
  <c r="A62" i="9"/>
  <c r="B3" i="17"/>
  <c r="B2413" i="20"/>
  <c r="D74" i="1"/>
  <c r="H118" i="1"/>
  <c r="F137" i="12"/>
  <c r="G16" i="6"/>
  <c r="G128" i="11"/>
  <c r="F106" i="1"/>
  <c r="F3" i="13"/>
  <c r="B1131" i="20"/>
  <c r="B153" i="4"/>
  <c r="F66" i="1"/>
  <c r="A148" i="4"/>
  <c r="H90" i="6"/>
  <c r="G77" i="10"/>
  <c r="G28" i="9"/>
  <c r="H96" i="9"/>
  <c r="F142" i="8"/>
  <c r="B346" i="16"/>
  <c r="B1702" i="20"/>
  <c r="A14" i="16"/>
  <c r="H57" i="1"/>
  <c r="B4" i="16"/>
  <c r="G121" i="4"/>
  <c r="B1470" i="16"/>
  <c r="A89" i="5"/>
  <c r="G42" i="5"/>
  <c r="A71" i="8"/>
  <c r="B15" i="14"/>
  <c r="A35" i="1"/>
  <c r="A26" i="6"/>
  <c r="G8" i="7"/>
  <c r="A124" i="7"/>
  <c r="G82" i="5"/>
  <c r="B86" i="10"/>
  <c r="A327" i="16"/>
  <c r="G113" i="12"/>
  <c r="A171" i="19"/>
  <c r="B10" i="20"/>
  <c r="B3348" i="20"/>
  <c r="A125" i="10"/>
  <c r="B87" i="2"/>
  <c r="G61" i="8"/>
  <c r="B9" i="2"/>
  <c r="A5112" i="20"/>
  <c r="E50" i="2"/>
  <c r="G120" i="10"/>
  <c r="B3801" i="20"/>
  <c r="A101" i="4"/>
  <c r="B107" i="10"/>
  <c r="B5160" i="20"/>
  <c r="A2877" i="20"/>
  <c r="H62" i="1"/>
  <c r="B26" i="11"/>
  <c r="A110" i="7"/>
  <c r="A48" i="12"/>
  <c r="B154" i="9"/>
  <c r="B2282" i="20"/>
  <c r="A1320" i="16"/>
  <c r="G111" i="6"/>
  <c r="A6066" i="20"/>
  <c r="G1" i="4"/>
  <c r="F7" i="2"/>
  <c r="A601" i="20"/>
  <c r="A166" i="16"/>
  <c r="B306" i="20"/>
  <c r="G142" i="1"/>
  <c r="A3192" i="20"/>
  <c r="A1458" i="16"/>
  <c r="G47" i="8"/>
  <c r="H59" i="12"/>
  <c r="A1534" i="16"/>
  <c r="A110" i="9"/>
  <c r="G66" i="4"/>
  <c r="H46" i="4"/>
  <c r="B2802" i="20"/>
  <c r="A370" i="19"/>
  <c r="H109" i="1"/>
  <c r="A4145" i="20"/>
  <c r="B321" i="45"/>
  <c r="E35" i="7"/>
  <c r="B144" i="19"/>
  <c r="B35" i="17"/>
  <c r="B3556" i="20"/>
  <c r="B3425" i="20"/>
  <c r="A610" i="16"/>
  <c r="H108" i="12"/>
  <c r="A130" i="16"/>
  <c r="A2150" i="20"/>
  <c r="A117" i="2"/>
  <c r="B642" i="16"/>
  <c r="B418" i="16"/>
  <c r="B428" i="16"/>
  <c r="A2" i="6"/>
  <c r="H41" i="8"/>
  <c r="A38" i="12"/>
  <c r="B1744" i="16"/>
  <c r="B47" i="18"/>
  <c r="A2374" i="20"/>
  <c r="B12" i="2"/>
  <c r="A7" i="20"/>
  <c r="H57" i="10"/>
  <c r="A396" i="16"/>
  <c r="B1711" i="20"/>
  <c r="B42" i="19"/>
  <c r="B498" i="20"/>
  <c r="H61" i="1"/>
  <c r="B110" i="12"/>
  <c r="A21" i="5"/>
  <c r="H124" i="6"/>
  <c r="B658" i="20"/>
  <c r="A48" i="9"/>
  <c r="H94" i="10"/>
  <c r="B1164" i="20"/>
  <c r="H59" i="11"/>
  <c r="A525" i="16"/>
  <c r="B39" i="19"/>
  <c r="B29" i="8"/>
  <c r="B168" i="19"/>
  <c r="A108" i="8"/>
  <c r="G130" i="10"/>
  <c r="B3789" i="20"/>
  <c r="B122" i="12"/>
  <c r="B25" i="20"/>
  <c r="A103" i="2"/>
  <c r="B400" i="16"/>
  <c r="H13" i="6"/>
  <c r="A975" i="20"/>
  <c r="A1117" i="16"/>
  <c r="B1066" i="16"/>
  <c r="A1728" i="20"/>
  <c r="B99" i="4"/>
  <c r="B32" i="12"/>
  <c r="A63" i="2"/>
  <c r="E47" i="8"/>
  <c r="B6312" i="20"/>
  <c r="A6861" i="20"/>
  <c r="A1326" i="16"/>
  <c r="A17" i="10"/>
  <c r="D27" i="1"/>
  <c r="E50" i="7"/>
  <c r="A818" i="20"/>
  <c r="A560" i="16"/>
  <c r="A1531" i="16"/>
  <c r="A82" i="9"/>
  <c r="B2519" i="20"/>
  <c r="G107" i="10"/>
  <c r="A81" i="9"/>
  <c r="E94" i="5"/>
  <c r="A8" i="18"/>
  <c r="G72" i="8"/>
  <c r="B918" i="16"/>
  <c r="B483" i="20"/>
  <c r="B1707" i="16"/>
  <c r="A751" i="20"/>
  <c r="H83" i="9"/>
  <c r="A665" i="16"/>
  <c r="A12" i="6"/>
  <c r="A4427" i="20"/>
  <c r="B1136" i="20"/>
  <c r="B11" i="5"/>
  <c r="B3771" i="20"/>
  <c r="B32" i="9"/>
  <c r="B89" i="16"/>
  <c r="A74" i="4"/>
  <c r="A1800" i="20"/>
  <c r="A1666" i="16"/>
  <c r="A2770" i="20"/>
  <c r="B1200" i="16"/>
  <c r="G17" i="11"/>
  <c r="A1015" i="16"/>
  <c r="B358" i="16"/>
  <c r="A355" i="19"/>
  <c r="A394" i="16"/>
  <c r="B5977" i="20"/>
  <c r="H22" i="2"/>
  <c r="G50" i="6"/>
  <c r="F13" i="9"/>
  <c r="A2636" i="20"/>
  <c r="B936" i="16"/>
  <c r="H119" i="2"/>
  <c r="B1661" i="20"/>
  <c r="H105" i="6"/>
  <c r="A6617" i="20"/>
  <c r="A602" i="16"/>
  <c r="B730" i="20"/>
  <c r="B1302" i="20"/>
  <c r="B13" i="12"/>
  <c r="B395" i="16"/>
  <c r="A20" i="5"/>
  <c r="B61" i="2"/>
  <c r="C122" i="18"/>
  <c r="A992" i="16"/>
  <c r="B113" i="4"/>
  <c r="E94" i="10"/>
  <c r="B3389" i="20"/>
  <c r="B36" i="2"/>
  <c r="A90" i="8"/>
  <c r="B1948" i="20"/>
  <c r="A141" i="8"/>
  <c r="B3381" i="20"/>
  <c r="A27" i="5"/>
  <c r="B2031" i="20"/>
  <c r="AK2" i="29"/>
  <c r="A11" i="14"/>
  <c r="A318" i="16"/>
  <c r="B3933" i="20"/>
  <c r="H94" i="13"/>
  <c r="B268" i="16"/>
  <c r="B1315" i="16"/>
  <c r="F3" i="5"/>
  <c r="B138" i="9"/>
  <c r="A1230" i="20"/>
  <c r="A1378" i="16"/>
  <c r="B145" i="8"/>
  <c r="H100" i="8"/>
  <c r="G23" i="11"/>
  <c r="G81" i="5"/>
  <c r="A3711" i="20"/>
  <c r="B435" i="20"/>
  <c r="G91" i="9"/>
  <c r="A138" i="4"/>
  <c r="H17" i="1"/>
  <c r="A289" i="20"/>
  <c r="A643" i="16"/>
  <c r="H142" i="4"/>
  <c r="B22" i="5"/>
  <c r="B135" i="8"/>
  <c r="B33" i="4"/>
  <c r="A759" i="20"/>
  <c r="B12" i="16"/>
  <c r="G38" i="11"/>
  <c r="F34" i="10"/>
  <c r="D103" i="6"/>
  <c r="A79" i="7"/>
  <c r="B1485" i="20"/>
  <c r="G81" i="6"/>
  <c r="A886" i="16"/>
  <c r="A154" i="1"/>
  <c r="A3544" i="20"/>
  <c r="B104" i="8"/>
  <c r="B150" i="18"/>
  <c r="B1737" i="20"/>
  <c r="F36" i="8"/>
  <c r="B180" i="16"/>
  <c r="A61" i="12"/>
  <c r="G62" i="10"/>
  <c r="B118" i="2"/>
  <c r="A605" i="20"/>
  <c r="G125" i="9"/>
  <c r="B3023" i="20"/>
  <c r="F81" i="5"/>
  <c r="B1307" i="20"/>
  <c r="F7" i="11"/>
  <c r="A37" i="18"/>
  <c r="B7416" i="20"/>
  <c r="B5673" i="20"/>
  <c r="G88" i="4"/>
  <c r="B121" i="10"/>
  <c r="H101" i="6"/>
  <c r="B1048" i="16"/>
  <c r="A809" i="20"/>
  <c r="A144" i="1"/>
  <c r="A1141" i="20"/>
  <c r="G126" i="12"/>
  <c r="B597" i="20"/>
  <c r="A727" i="20"/>
  <c r="D5" i="1"/>
  <c r="A70" i="13"/>
  <c r="B1649" i="20"/>
  <c r="G9" i="11"/>
  <c r="A4549" i="20"/>
  <c r="B84" i="7"/>
  <c r="F9" i="9"/>
  <c r="A55" i="10"/>
  <c r="B10" i="14"/>
  <c r="H12" i="1"/>
  <c r="B3211" i="20"/>
  <c r="B829" i="16"/>
  <c r="G44" i="10"/>
  <c r="B67" i="7"/>
  <c r="B419" i="16"/>
  <c r="B15" i="4"/>
  <c r="B1800" i="20"/>
  <c r="A1134" i="20"/>
  <c r="A21" i="11"/>
  <c r="A2118" i="20"/>
  <c r="B1309" i="16"/>
  <c r="A1809" i="20"/>
  <c r="A41" i="8"/>
  <c r="A1527" i="16"/>
  <c r="B106" i="5"/>
  <c r="B1517" i="20"/>
  <c r="B1073" i="16"/>
  <c r="F41" i="1"/>
  <c r="H7" i="7"/>
  <c r="B64" i="12"/>
  <c r="B1785" i="16"/>
  <c r="B78" i="16"/>
  <c r="B149" i="9"/>
  <c r="A54" i="13"/>
  <c r="H136" i="10"/>
  <c r="B66" i="10"/>
  <c r="A36" i="7"/>
  <c r="B134" i="10"/>
  <c r="B1905" i="20"/>
  <c r="B502" i="16"/>
  <c r="B851" i="16"/>
  <c r="B51" i="9"/>
  <c r="G47" i="12"/>
  <c r="B1534" i="16"/>
  <c r="B13" i="5"/>
  <c r="A1729" i="20"/>
  <c r="B278" i="19"/>
  <c r="A3" i="13"/>
  <c r="B1" i="13"/>
  <c r="A1663" i="16"/>
  <c r="E12" i="9"/>
  <c r="B96" i="9"/>
  <c r="G1" i="6"/>
  <c r="A306" i="19"/>
  <c r="A77" i="1"/>
  <c r="E34" i="9"/>
  <c r="B84" i="12"/>
  <c r="B1547" i="16"/>
  <c r="B7" i="2"/>
  <c r="G103" i="5"/>
  <c r="B87" i="19"/>
  <c r="G72" i="5"/>
  <c r="B405" i="20"/>
  <c r="H88" i="9"/>
  <c r="B36" i="7"/>
  <c r="H17" i="4"/>
  <c r="B762" i="20"/>
  <c r="B66" i="8"/>
  <c r="B1166" i="16"/>
  <c r="B243" i="19"/>
  <c r="A652" i="16"/>
  <c r="B111" i="9"/>
  <c r="B129" i="16"/>
  <c r="B1075" i="20"/>
  <c r="A4074" i="20"/>
  <c r="B27" i="13"/>
  <c r="B795" i="20"/>
  <c r="H25" i="1"/>
  <c r="B1379" i="16"/>
  <c r="A1517" i="16"/>
  <c r="B34" i="2"/>
  <c r="G137" i="4"/>
  <c r="E2" i="7"/>
  <c r="G128" i="10"/>
  <c r="B593" i="20"/>
  <c r="A1574" i="16"/>
  <c r="A49" i="1"/>
  <c r="G15" i="13"/>
  <c r="B1446" i="20"/>
  <c r="A1275" i="20"/>
  <c r="B1289" i="16"/>
  <c r="F3" i="7"/>
  <c r="H118" i="6"/>
  <c r="A803" i="16"/>
  <c r="B1403" i="20"/>
  <c r="H31" i="6"/>
  <c r="B134" i="19"/>
  <c r="A121" i="6"/>
  <c r="H119" i="5"/>
  <c r="E12" i="7"/>
  <c r="B2981" i="20"/>
  <c r="H87" i="6"/>
  <c r="A85" i="1"/>
  <c r="H91" i="13"/>
  <c r="A451" i="16"/>
  <c r="H40" i="12"/>
  <c r="A902" i="16"/>
  <c r="A1675" i="16"/>
  <c r="H125" i="2"/>
  <c r="B49" i="7"/>
  <c r="B105" i="16"/>
  <c r="A121" i="11"/>
  <c r="G76" i="13"/>
  <c r="A382" i="19"/>
  <c r="B1741" i="16"/>
  <c r="B104" i="13"/>
  <c r="B58" i="10"/>
  <c r="B932" i="16"/>
  <c r="B3515" i="20"/>
  <c r="A586" i="16"/>
  <c r="A1188" i="16"/>
  <c r="B1199" i="16"/>
  <c r="G129" i="5"/>
  <c r="B23" i="2"/>
  <c r="A35" i="7"/>
  <c r="C129" i="18"/>
  <c r="B60" i="9"/>
  <c r="B929" i="20"/>
  <c r="G60" i="8"/>
  <c r="A72" i="16"/>
  <c r="H112" i="4"/>
  <c r="G15" i="6"/>
  <c r="B106" i="8"/>
  <c r="A1042" i="20"/>
  <c r="A46" i="9"/>
  <c r="H52" i="1"/>
  <c r="A81" i="2"/>
  <c r="F12" i="5"/>
  <c r="B3480" i="20"/>
  <c r="A28" i="5"/>
  <c r="A1350" i="20"/>
  <c r="B1692" i="16"/>
  <c r="G107" i="12"/>
  <c r="B121" i="6"/>
  <c r="F77" i="1"/>
  <c r="A187" i="19"/>
  <c r="A60" i="7"/>
  <c r="H130" i="7"/>
  <c r="B1835" i="16"/>
  <c r="B8" i="4"/>
  <c r="F95" i="1"/>
  <c r="G44" i="9"/>
  <c r="H42" i="12"/>
  <c r="A77" i="2"/>
  <c r="B808" i="20"/>
  <c r="G42" i="8"/>
  <c r="A85" i="8"/>
  <c r="A3887" i="20"/>
  <c r="F64" i="1"/>
  <c r="B3583" i="20"/>
  <c r="B35" i="13"/>
  <c r="A1116" i="16"/>
  <c r="H19" i="4"/>
  <c r="G122" i="10"/>
  <c r="B89" i="4"/>
  <c r="B1525" i="20"/>
  <c r="A179" i="19"/>
  <c r="A82" i="8"/>
  <c r="B1873" i="20"/>
  <c r="A552" i="16"/>
  <c r="A86" i="10"/>
  <c r="A1798" i="16"/>
  <c r="H64" i="1"/>
  <c r="H14" i="1"/>
  <c r="B155" i="16"/>
  <c r="A1003" i="20"/>
  <c r="A718" i="20"/>
  <c r="A147" i="9"/>
  <c r="G79" i="12"/>
  <c r="G104" i="6"/>
  <c r="H80" i="13"/>
  <c r="G14" i="1"/>
  <c r="B1709" i="20"/>
  <c r="E156" i="8"/>
  <c r="A3525" i="20"/>
  <c r="G63" i="8"/>
  <c r="B960" i="20"/>
  <c r="A56" i="1"/>
  <c r="H119" i="11"/>
  <c r="A3479" i="20"/>
  <c r="A52" i="9"/>
  <c r="H53" i="9"/>
  <c r="E35" i="2"/>
  <c r="A941" i="16"/>
  <c r="B99" i="9"/>
  <c r="B96" i="4"/>
  <c r="H55" i="2"/>
  <c r="A518" i="16"/>
  <c r="H20" i="6"/>
  <c r="H9" i="4"/>
  <c r="B110" i="8"/>
  <c r="G92" i="7"/>
  <c r="A1783" i="16"/>
  <c r="B47" i="9"/>
  <c r="A1042" i="16"/>
  <c r="A52" i="16"/>
  <c r="B658" i="16"/>
  <c r="B168" i="20"/>
  <c r="B5822" i="20"/>
  <c r="H54" i="6"/>
  <c r="B67" i="2"/>
  <c r="H36" i="10"/>
  <c r="H18" i="8"/>
  <c r="B694" i="16"/>
  <c r="A129" i="6"/>
  <c r="A474" i="16"/>
  <c r="B1090" i="20"/>
  <c r="G115" i="9"/>
  <c r="B48" i="2"/>
  <c r="A246" i="16"/>
  <c r="B564" i="20"/>
  <c r="B61" i="19"/>
  <c r="A86" i="9"/>
  <c r="B344" i="19"/>
  <c r="B709" i="16"/>
  <c r="B1542" i="16"/>
  <c r="B249" i="20"/>
  <c r="G13" i="7"/>
  <c r="B19" i="17"/>
  <c r="C69" i="18"/>
  <c r="H5" i="1"/>
  <c r="A127" i="12"/>
  <c r="H66" i="4"/>
  <c r="B5352" i="20"/>
  <c r="H51" i="13"/>
  <c r="B20" i="16"/>
  <c r="A511" i="20"/>
  <c r="G74" i="11"/>
  <c r="B16" i="8"/>
  <c r="G22" i="9"/>
  <c r="B1209" i="16"/>
  <c r="B38" i="2"/>
  <c r="B818" i="16"/>
  <c r="B195" i="16"/>
  <c r="H123" i="6"/>
  <c r="B243" i="20"/>
  <c r="A2157" i="20"/>
  <c r="E103" i="6"/>
  <c r="H91" i="2"/>
  <c r="B897" i="16"/>
  <c r="B3473" i="20"/>
  <c r="B211" i="19"/>
  <c r="A81" i="5"/>
  <c r="A1011" i="16"/>
  <c r="A99" i="5"/>
  <c r="A430" i="20"/>
  <c r="H8" i="1"/>
  <c r="A5388" i="20"/>
  <c r="E36" i="8"/>
  <c r="B733" i="20"/>
  <c r="A1385" i="20"/>
  <c r="A1758" i="20"/>
  <c r="B4349" i="20"/>
  <c r="H48" i="7"/>
  <c r="H98" i="6"/>
  <c r="B526" i="20"/>
  <c r="B1475" i="16"/>
  <c r="B1399" i="20"/>
  <c r="B770" i="16"/>
  <c r="A288" i="19"/>
  <c r="A1610" i="20"/>
  <c r="A1568" i="20"/>
  <c r="A104" i="2"/>
  <c r="F58" i="1"/>
  <c r="A279" i="20"/>
  <c r="B1684" i="16"/>
  <c r="A96" i="10"/>
  <c r="B52" i="2"/>
  <c r="A27" i="16"/>
  <c r="A17" i="4"/>
  <c r="A1020" i="16"/>
  <c r="B728" i="16"/>
  <c r="B822" i="16"/>
  <c r="A328" i="16"/>
  <c r="A2" i="16"/>
  <c r="A102" i="19"/>
  <c r="G39" i="4"/>
  <c r="H51" i="1"/>
  <c r="H63" i="5"/>
  <c r="B18" i="16"/>
  <c r="A420" i="16"/>
  <c r="B1019" i="16"/>
  <c r="G55" i="5"/>
  <c r="B602" i="45"/>
  <c r="A1219" i="20"/>
  <c r="A259" i="16"/>
  <c r="B4280" i="20"/>
  <c r="E2" i="11"/>
  <c r="F28" i="11"/>
  <c r="B101" i="18"/>
  <c r="A125" i="8"/>
  <c r="A143" i="20"/>
  <c r="C19" i="18"/>
  <c r="B1967" i="20"/>
  <c r="H110" i="10"/>
  <c r="A5" i="6"/>
  <c r="B3388" i="20"/>
  <c r="B72" i="7"/>
  <c r="B194" i="20"/>
  <c r="A266" i="19"/>
  <c r="A3668" i="20"/>
  <c r="A558" i="16"/>
  <c r="A96" i="2"/>
  <c r="A545" i="20"/>
  <c r="B92" i="16"/>
  <c r="A93" i="2"/>
  <c r="B898" i="20"/>
  <c r="A1031" i="20"/>
  <c r="H68" i="6"/>
  <c r="B55" i="5"/>
  <c r="G136" i="4"/>
  <c r="A138" i="10"/>
  <c r="A204" i="16"/>
  <c r="A1214" i="16"/>
  <c r="G101" i="8"/>
  <c r="A38" i="20"/>
  <c r="B411" i="20"/>
  <c r="A779" i="20"/>
  <c r="B126" i="7"/>
  <c r="B1011" i="20"/>
  <c r="B3697" i="20"/>
  <c r="H155" i="8"/>
  <c r="F107" i="1"/>
  <c r="B250" i="20"/>
  <c r="B104" i="2"/>
  <c r="H67" i="9"/>
  <c r="B267" i="20"/>
  <c r="B3485" i="20"/>
  <c r="A100" i="6"/>
  <c r="A364" i="16"/>
  <c r="B1769" i="16"/>
  <c r="H44" i="5"/>
  <c r="A142" i="19"/>
  <c r="B995" i="20"/>
  <c r="D36" i="2"/>
  <c r="B126" i="12"/>
  <c r="B95" i="9"/>
  <c r="B694" i="20"/>
  <c r="A143" i="18"/>
  <c r="H95" i="10"/>
  <c r="B5071" i="20"/>
  <c r="H68" i="9"/>
  <c r="H20" i="13"/>
  <c r="A5" i="4"/>
  <c r="B620" i="20"/>
  <c r="B33" i="8"/>
  <c r="B62" i="18"/>
  <c r="A231" i="16"/>
  <c r="B47" i="6"/>
  <c r="A136" i="7"/>
  <c r="E122" i="4"/>
  <c r="G20" i="12"/>
  <c r="A3" i="5"/>
  <c r="A982" i="16"/>
  <c r="B18" i="4"/>
  <c r="A97" i="11"/>
  <c r="B59" i="6"/>
  <c r="A1364" i="16"/>
  <c r="G71" i="2"/>
  <c r="A87" i="8"/>
  <c r="H101" i="10"/>
  <c r="B4391" i="20"/>
  <c r="A603" i="16"/>
  <c r="B1622" i="20"/>
  <c r="H16" i="10"/>
  <c r="B62" i="16"/>
  <c r="G141" i="8"/>
  <c r="H92" i="8"/>
  <c r="H28" i="4"/>
  <c r="A1731" i="16"/>
  <c r="A423" i="16"/>
  <c r="A1245" i="16"/>
  <c r="B6961" i="20"/>
  <c r="A45" i="16"/>
  <c r="F9" i="6"/>
  <c r="A1441" i="16"/>
  <c r="B1691" i="16"/>
  <c r="B31" i="5"/>
  <c r="A4" i="6"/>
  <c r="B586" i="16"/>
  <c r="A49" i="20"/>
  <c r="B1856" i="20"/>
  <c r="G22" i="2"/>
  <c r="B2249" i="20"/>
  <c r="B35" i="5"/>
  <c r="B62" i="13"/>
  <c r="F150" i="8"/>
  <c r="B1154" i="16"/>
  <c r="B12" i="12"/>
  <c r="G19" i="12"/>
  <c r="B799" i="20"/>
  <c r="B6962" i="20"/>
  <c r="B129" i="18"/>
  <c r="B6612" i="20"/>
  <c r="B99" i="5"/>
  <c r="C36" i="13"/>
  <c r="C122" i="8"/>
  <c r="B276" i="16"/>
  <c r="B111" i="11"/>
  <c r="F5" i="5"/>
  <c r="A121" i="7"/>
  <c r="A153" i="1"/>
  <c r="A256" i="20"/>
  <c r="B516" i="16"/>
  <c r="A109" i="1"/>
  <c r="A115" i="6"/>
  <c r="B1248" i="20"/>
  <c r="B4502" i="20"/>
  <c r="B256" i="20"/>
  <c r="B2110" i="20"/>
  <c r="A48" i="13"/>
  <c r="A132" i="16"/>
  <c r="B25" i="11"/>
  <c r="G106" i="10"/>
  <c r="E3" i="11"/>
  <c r="B3004" i="20"/>
  <c r="A1694" i="16"/>
  <c r="A132" i="13"/>
  <c r="B1332" i="16"/>
  <c r="B115" i="20"/>
  <c r="A1168" i="16"/>
  <c r="G22" i="5"/>
  <c r="B8" i="5"/>
  <c r="B127" i="4"/>
  <c r="B2351" i="20"/>
  <c r="B72" i="20"/>
  <c r="A104" i="9"/>
  <c r="H47" i="7"/>
  <c r="G67" i="9"/>
  <c r="G67" i="10"/>
  <c r="A326" i="16"/>
  <c r="G116" i="8"/>
  <c r="A1627" i="16"/>
  <c r="B1763" i="16"/>
  <c r="H131" i="4"/>
  <c r="A153" i="9"/>
  <c r="H15" i="7"/>
  <c r="A22" i="10"/>
  <c r="H87" i="5"/>
  <c r="A787" i="16"/>
  <c r="A1803" i="20"/>
  <c r="B104" i="10"/>
  <c r="A4659" i="20"/>
  <c r="B126" i="4"/>
  <c r="B2603" i="20"/>
  <c r="B73" i="8"/>
  <c r="B6258" i="20"/>
  <c r="H109" i="5"/>
  <c r="A7124" i="20"/>
  <c r="B246" i="16"/>
  <c r="H68" i="5"/>
  <c r="A443" i="16"/>
  <c r="A1003" i="16"/>
  <c r="B451" i="16"/>
  <c r="B9" i="18"/>
  <c r="B1206" i="16"/>
  <c r="B205" i="20"/>
  <c r="B924" i="20"/>
  <c r="H19" i="1"/>
  <c r="B102" i="13"/>
  <c r="A710" i="16"/>
  <c r="H128" i="10"/>
  <c r="B2288" i="20"/>
  <c r="B494" i="16"/>
  <c r="B575" i="16"/>
  <c r="A180" i="16"/>
  <c r="B5618" i="20"/>
  <c r="A7432" i="20"/>
  <c r="B1007" i="16"/>
  <c r="B229" i="16"/>
  <c r="A2960" i="20"/>
  <c r="B1552" i="20"/>
  <c r="A34" i="6"/>
  <c r="B6322" i="20"/>
  <c r="B1001" i="16"/>
  <c r="B2565" i="20"/>
  <c r="E12" i="2"/>
  <c r="A68" i="9"/>
  <c r="E9" i="5"/>
  <c r="A18" i="17"/>
  <c r="A1766" i="16"/>
  <c r="B135" i="20"/>
  <c r="A1603" i="20"/>
  <c r="H16" i="5"/>
  <c r="B5" i="8"/>
  <c r="B55" i="16"/>
  <c r="A6707" i="20"/>
  <c r="A1510" i="16"/>
  <c r="B79" i="12"/>
  <c r="A9" i="8"/>
  <c r="B1073" i="20"/>
  <c r="B487" i="16"/>
  <c r="B1252" i="20"/>
  <c r="E25" i="1"/>
  <c r="B872" i="20"/>
  <c r="A298" i="16"/>
  <c r="F136" i="1"/>
  <c r="B598" i="20"/>
  <c r="A4223" i="20"/>
  <c r="G9" i="2"/>
  <c r="B1842" i="16"/>
  <c r="G29" i="1"/>
  <c r="B33" i="9"/>
  <c r="B356" i="20"/>
  <c r="A4" i="2"/>
  <c r="B1985" i="20"/>
  <c r="B53" i="2"/>
  <c r="B63" i="13"/>
  <c r="B135" i="10"/>
  <c r="A4373" i="20"/>
  <c r="B11" i="6"/>
  <c r="A1169" i="20"/>
  <c r="B258" i="16"/>
  <c r="B3185" i="20"/>
  <c r="G14" i="7"/>
  <c r="A4727" i="20"/>
  <c r="A54" i="1"/>
  <c r="H16" i="9"/>
  <c r="A1998" i="20"/>
  <c r="B1165" i="20"/>
  <c r="A930" i="16"/>
  <c r="M72" i="33"/>
  <c r="A1347" i="20"/>
  <c r="B1003" i="20"/>
  <c r="B4042" i="20"/>
  <c r="H95" i="2"/>
  <c r="E61" i="9"/>
  <c r="A983" i="20"/>
  <c r="B125" i="16"/>
  <c r="G17" i="2"/>
  <c r="G34" i="11"/>
  <c r="A1796" i="16"/>
  <c r="H119" i="8"/>
  <c r="D78" i="4"/>
  <c r="G44" i="5"/>
  <c r="B2319" i="20"/>
  <c r="B1999" i="20"/>
  <c r="F75" i="4"/>
  <c r="A1176" i="16"/>
  <c r="A65" i="7"/>
  <c r="G84" i="9"/>
  <c r="E27" i="9"/>
  <c r="A14" i="10"/>
  <c r="A1523" i="20"/>
  <c r="G76" i="7"/>
  <c r="B97" i="5"/>
  <c r="G83" i="9"/>
  <c r="B74" i="12"/>
  <c r="B93" i="2"/>
  <c r="G82" i="2"/>
  <c r="H54" i="10"/>
  <c r="A4" i="8"/>
  <c r="A1482" i="16"/>
  <c r="B1256" i="16"/>
  <c r="B1060" i="16"/>
  <c r="A1213" i="16"/>
  <c r="B132" i="8"/>
  <c r="H46" i="13"/>
  <c r="B178" i="19"/>
  <c r="F79" i="1"/>
  <c r="B5327" i="20"/>
  <c r="A40" i="16"/>
  <c r="B3073" i="20"/>
  <c r="A4880" i="20"/>
  <c r="A4079" i="20"/>
  <c r="A2233" i="20"/>
  <c r="A2779" i="20"/>
  <c r="A1412" i="20"/>
  <c r="B976" i="20"/>
  <c r="B56" i="10"/>
  <c r="A4644" i="20"/>
  <c r="A124" i="12"/>
  <c r="B775" i="16"/>
  <c r="A650" i="16"/>
  <c r="A7421" i="20"/>
  <c r="A1260" i="16"/>
  <c r="H76" i="7"/>
  <c r="B80" i="6"/>
  <c r="B118" i="12"/>
  <c r="A1038" i="16"/>
  <c r="B1443" i="20"/>
  <c r="A1172" i="16"/>
  <c r="H135" i="10"/>
  <c r="E36" i="5"/>
  <c r="A59" i="19"/>
  <c r="H6" i="4"/>
  <c r="B925" i="20"/>
  <c r="B441" i="16"/>
  <c r="A75" i="8"/>
  <c r="H126" i="9"/>
  <c r="B179" i="16"/>
  <c r="B110" i="2"/>
  <c r="A56" i="18"/>
  <c r="B4609" i="20"/>
  <c r="A95" i="6"/>
  <c r="F36" i="4"/>
  <c r="B875" i="16"/>
  <c r="B2286" i="20"/>
  <c r="B2579" i="20"/>
  <c r="B7865" i="20"/>
  <c r="H18" i="7"/>
  <c r="A110" i="1"/>
  <c r="B3182" i="20"/>
  <c r="G85" i="5"/>
  <c r="A1392" i="16"/>
  <c r="H99" i="8"/>
  <c r="B198" i="19"/>
  <c r="B106" i="11"/>
  <c r="A25" i="12"/>
  <c r="A400" i="20"/>
  <c r="B549" i="16"/>
  <c r="A810" i="20"/>
  <c r="B354" i="16"/>
  <c r="B1149" i="16"/>
  <c r="B340" i="20"/>
  <c r="A90" i="2"/>
  <c r="B106" i="13"/>
  <c r="B296" i="19"/>
  <c r="B602" i="16"/>
  <c r="B278" i="16"/>
  <c r="A20" i="19"/>
  <c r="E2" i="8"/>
  <c r="A1382" i="20"/>
  <c r="B41" i="9"/>
  <c r="A1204" i="16"/>
  <c r="A40" i="1"/>
  <c r="A110" i="16"/>
  <c r="A42" i="17"/>
  <c r="A10" i="13"/>
  <c r="A1657" i="20"/>
  <c r="A612" i="16"/>
  <c r="H130" i="1"/>
  <c r="F59" i="1"/>
  <c r="G112" i="6"/>
  <c r="B83" i="4"/>
  <c r="A1743" i="20"/>
  <c r="A1231" i="20"/>
  <c r="B92" i="5"/>
  <c r="B1138" i="16"/>
  <c r="H48" i="10"/>
  <c r="B796" i="16"/>
  <c r="A60" i="8"/>
  <c r="H13" i="4"/>
  <c r="A147" i="18"/>
  <c r="D122" i="9"/>
  <c r="B833" i="20"/>
  <c r="G111" i="4"/>
  <c r="B169" i="20"/>
  <c r="H137" i="1"/>
  <c r="A58" i="10"/>
  <c r="D1" i="2"/>
  <c r="H124" i="1"/>
  <c r="B674" i="20"/>
  <c r="G114" i="9"/>
  <c r="B142" i="4"/>
  <c r="A862" i="16"/>
  <c r="E133" i="2"/>
  <c r="A6169" i="20"/>
  <c r="A816" i="20"/>
  <c r="A16" i="1"/>
  <c r="A77" i="9"/>
  <c r="B506" i="20"/>
  <c r="H142" i="1"/>
  <c r="B928" i="20"/>
  <c r="A3" i="11"/>
  <c r="E25" i="6"/>
  <c r="G19" i="1"/>
  <c r="B1051" i="16"/>
  <c r="B41" i="10"/>
  <c r="B13" i="7"/>
  <c r="A806" i="16"/>
  <c r="B1401" i="16"/>
  <c r="H41" i="4"/>
  <c r="B710" i="16"/>
  <c r="H1" i="7"/>
  <c r="B68" i="2"/>
  <c r="G106" i="13"/>
  <c r="A2610" i="20"/>
  <c r="G76" i="1"/>
  <c r="B3886" i="20"/>
  <c r="B68" i="4"/>
  <c r="A60" i="2"/>
  <c r="B1720" i="20"/>
  <c r="B342" i="20"/>
  <c r="G39" i="9"/>
  <c r="B72" i="12"/>
  <c r="E4" i="6"/>
  <c r="C1" i="1"/>
  <c r="B56" i="16"/>
  <c r="B1322" i="16"/>
  <c r="A8607" i="20"/>
  <c r="A1667" i="16"/>
  <c r="H14" i="6"/>
  <c r="B1076" i="16"/>
  <c r="B4071" i="20"/>
  <c r="B863" i="20"/>
  <c r="H6" i="2"/>
  <c r="B73" i="9"/>
  <c r="A2086" i="20"/>
  <c r="H124" i="7"/>
  <c r="B1090" i="16"/>
  <c r="C4" i="18"/>
  <c r="A5" i="10"/>
  <c r="F96" i="2"/>
  <c r="H37" i="7"/>
  <c r="H87" i="2"/>
  <c r="B57" i="4"/>
  <c r="G58" i="5"/>
  <c r="B1645" i="20"/>
  <c r="B294" i="20"/>
  <c r="A3624" i="20"/>
  <c r="B2537" i="20"/>
  <c r="F28" i="2"/>
  <c r="A139" i="2"/>
  <c r="D1" i="13"/>
  <c r="F143" i="1"/>
  <c r="G22" i="12"/>
  <c r="A413" i="16"/>
  <c r="B1089" i="16"/>
  <c r="A37" i="5"/>
  <c r="G58" i="13"/>
  <c r="A1324" i="16"/>
  <c r="A957" i="16"/>
  <c r="B1743" i="20"/>
  <c r="A1390" i="16"/>
  <c r="D113" i="1"/>
  <c r="B428" i="20"/>
  <c r="B4772" i="20"/>
  <c r="A1713" i="16"/>
  <c r="A3185" i="20"/>
  <c r="H61" i="13"/>
  <c r="C91" i="18"/>
  <c r="A853" i="16"/>
  <c r="A111" i="1"/>
  <c r="A726" i="20"/>
  <c r="A503" i="16"/>
  <c r="A4728" i="20"/>
  <c r="H129" i="11"/>
  <c r="H112" i="8"/>
  <c r="A3502" i="20"/>
  <c r="A6326" i="20"/>
  <c r="H73" i="5"/>
  <c r="H82" i="8"/>
  <c r="A53" i="19"/>
  <c r="G65" i="10"/>
  <c r="F94" i="5"/>
  <c r="B11" i="16"/>
  <c r="D150" i="1"/>
  <c r="B78" i="7"/>
  <c r="A324" i="16"/>
  <c r="B64" i="2"/>
  <c r="B133" i="8"/>
  <c r="A2504" i="20"/>
  <c r="A1062" i="20"/>
  <c r="B33" i="10"/>
  <c r="E6" i="10"/>
  <c r="B2786" i="20"/>
  <c r="B12" i="4"/>
  <c r="B902" i="20"/>
  <c r="E2" i="4"/>
  <c r="B189" i="16"/>
  <c r="A81" i="18"/>
  <c r="D105" i="2"/>
  <c r="H104" i="4"/>
  <c r="B28" i="8"/>
  <c r="A56" i="4"/>
  <c r="A470" i="20"/>
  <c r="E122" i="9"/>
  <c r="A244" i="19"/>
  <c r="B1108" i="16"/>
  <c r="A439" i="20"/>
  <c r="A28" i="16"/>
  <c r="B65" i="19"/>
  <c r="A1790" i="16"/>
  <c r="B1595" i="20"/>
  <c r="G50" i="4"/>
  <c r="B111" i="4"/>
  <c r="H70" i="13"/>
  <c r="A1073" i="20"/>
  <c r="H101" i="9"/>
  <c r="A15" i="18"/>
  <c r="A6481" i="20"/>
  <c r="B7" i="5"/>
  <c r="G57" i="7"/>
  <c r="A3106" i="20"/>
  <c r="A121" i="9"/>
  <c r="A1156" i="16"/>
  <c r="A1072" i="16"/>
  <c r="H101" i="8"/>
  <c r="B4469" i="20"/>
  <c r="F29" i="1"/>
  <c r="A80" i="8"/>
  <c r="B570" i="20"/>
  <c r="D67" i="7"/>
  <c r="B43" i="6"/>
  <c r="B242" i="20"/>
  <c r="A55" i="13"/>
  <c r="B2" i="9"/>
  <c r="H148" i="8"/>
  <c r="B941" i="20"/>
  <c r="H14" i="9"/>
  <c r="A2056" i="20"/>
  <c r="A2073" i="20"/>
  <c r="G8" i="13"/>
  <c r="H17" i="7"/>
  <c r="A129" i="5"/>
  <c r="A133" i="18"/>
  <c r="E28" i="4"/>
  <c r="B2185" i="20"/>
  <c r="A1646" i="16"/>
  <c r="B86" i="16"/>
  <c r="A125" i="1"/>
  <c r="A895" i="20"/>
  <c r="A1352" i="16"/>
  <c r="B83" i="19"/>
  <c r="B62" i="4"/>
  <c r="A13" i="8"/>
  <c r="H89" i="12"/>
  <c r="A356" i="16"/>
  <c r="A96" i="19"/>
  <c r="B1841" i="16"/>
  <c r="B748" i="16"/>
  <c r="H68" i="2"/>
  <c r="A168" i="16"/>
  <c r="A368" i="19"/>
  <c r="B2" i="8"/>
  <c r="B1169" i="20"/>
  <c r="B3732" i="20"/>
  <c r="B255" i="20"/>
  <c r="A2805" i="20"/>
  <c r="C36" i="18"/>
  <c r="B77" i="5"/>
  <c r="A345" i="16"/>
  <c r="A7373" i="20"/>
  <c r="B3083" i="20"/>
  <c r="B21" i="8"/>
  <c r="C2" i="18"/>
  <c r="B133" i="4"/>
  <c r="B2968" i="20"/>
  <c r="A817" i="20"/>
  <c r="G31" i="1"/>
  <c r="B1319" i="20"/>
  <c r="B370" i="16"/>
  <c r="A1315" i="16"/>
  <c r="B713" i="20"/>
  <c r="H100" i="6"/>
  <c r="H15" i="9"/>
  <c r="B324" i="16"/>
  <c r="B505" i="16"/>
  <c r="A60" i="9"/>
  <c r="F13" i="7"/>
  <c r="A8" i="15"/>
  <c r="H141" i="4"/>
  <c r="B132" i="2"/>
  <c r="B2347" i="20"/>
  <c r="H29" i="10"/>
  <c r="B669" i="16"/>
  <c r="A346" i="19"/>
  <c r="G154" i="4"/>
  <c r="G37" i="5"/>
  <c r="A1312" i="16"/>
  <c r="A93" i="6"/>
  <c r="A337" i="19"/>
  <c r="A219" i="19"/>
  <c r="B75" i="16"/>
  <c r="A188" i="16"/>
  <c r="G48" i="7"/>
  <c r="A904" i="16"/>
  <c r="A668" i="20"/>
  <c r="B153" i="16"/>
  <c r="A2033" i="20"/>
  <c r="A38" i="10"/>
  <c r="B97" i="11"/>
  <c r="B60" i="4"/>
  <c r="A1391" i="20"/>
  <c r="A55" i="4"/>
  <c r="A1406" i="16"/>
  <c r="A124" i="1"/>
  <c r="A1075" i="20"/>
  <c r="B1817" i="20"/>
  <c r="A1788" i="16"/>
  <c r="B70" i="10"/>
  <c r="A90" i="11"/>
  <c r="G42" i="6"/>
  <c r="A32" i="13"/>
  <c r="G125" i="2"/>
  <c r="A48" i="7"/>
  <c r="G38" i="2"/>
  <c r="B78" i="19"/>
  <c r="G79" i="5"/>
  <c r="B596" i="16"/>
  <c r="A363" i="16"/>
  <c r="A3480" i="20"/>
  <c r="D6" i="1"/>
  <c r="B811" i="16"/>
  <c r="G83" i="4"/>
  <c r="B245" i="20"/>
  <c r="B1581" i="20"/>
  <c r="A151" i="4"/>
  <c r="B8" i="16"/>
  <c r="H122" i="4"/>
  <c r="F123" i="1"/>
  <c r="B299" i="16"/>
  <c r="B52" i="13"/>
  <c r="E10" i="7"/>
  <c r="B38" i="9"/>
  <c r="F42" i="1"/>
  <c r="A464" i="20"/>
  <c r="B1644" i="20"/>
  <c r="B137" i="12"/>
  <c r="G112" i="9"/>
  <c r="B1488" i="20"/>
  <c r="A22" i="5"/>
  <c r="G120" i="7"/>
  <c r="D2" i="8"/>
  <c r="B25" i="9"/>
  <c r="A685" i="16"/>
  <c r="A102" i="7"/>
  <c r="F85" i="1"/>
  <c r="A1563" i="16"/>
  <c r="B532" i="16"/>
  <c r="A224" i="20"/>
  <c r="B64" i="7"/>
  <c r="A22" i="8"/>
  <c r="B149" i="18"/>
  <c r="B3148" i="20"/>
  <c r="A921" i="20"/>
  <c r="A1637" i="16"/>
  <c r="B1775" i="20"/>
  <c r="E12" i="4"/>
  <c r="A6283" i="20"/>
  <c r="H45" i="7"/>
  <c r="B882" i="16"/>
  <c r="H54" i="12"/>
  <c r="B5499" i="20"/>
  <c r="B137" i="9"/>
  <c r="A119" i="4"/>
  <c r="H14" i="10"/>
  <c r="E2" i="9"/>
  <c r="B3826" i="20"/>
  <c r="B34" i="18"/>
  <c r="F96" i="12"/>
  <c r="G61" i="10"/>
  <c r="E128" i="12"/>
  <c r="F35" i="4"/>
  <c r="H18" i="6"/>
  <c r="B2167" i="20"/>
  <c r="A50" i="12"/>
  <c r="B262" i="19"/>
  <c r="A2113" i="20"/>
  <c r="B281" i="16"/>
  <c r="B1345" i="16"/>
  <c r="A500" i="20"/>
  <c r="A4" i="4"/>
  <c r="B9" i="4"/>
  <c r="B288" i="20"/>
  <c r="H91" i="4"/>
  <c r="H154" i="8"/>
  <c r="B13" i="4"/>
  <c r="A101" i="2"/>
  <c r="H16" i="13"/>
  <c r="A633" i="20"/>
  <c r="H82" i="11"/>
  <c r="B77" i="18"/>
  <c r="H57" i="11"/>
  <c r="F122" i="8"/>
  <c r="A366" i="16"/>
  <c r="A1635" i="16"/>
  <c r="B4047" i="20"/>
  <c r="B2065" i="20"/>
  <c r="E35" i="5"/>
  <c r="A110" i="2"/>
  <c r="G6" i="6"/>
  <c r="G96" i="2"/>
  <c r="A127" i="20"/>
  <c r="B884" i="20"/>
  <c r="B121" i="9"/>
  <c r="A269" i="19"/>
  <c r="G62" i="5"/>
  <c r="A1291" i="16"/>
  <c r="G31" i="9"/>
  <c r="A696" i="16"/>
  <c r="B125" i="8"/>
  <c r="B212" i="19"/>
  <c r="A98" i="18"/>
  <c r="B1354" i="16"/>
  <c r="B107" i="18"/>
  <c r="B2168" i="20"/>
  <c r="A1412" i="16"/>
  <c r="A1350" i="16"/>
  <c r="G72" i="2"/>
  <c r="B445" i="20"/>
  <c r="B46" i="6"/>
  <c r="E33" i="9"/>
  <c r="A13" i="15"/>
  <c r="A85" i="2"/>
  <c r="B2323" i="20"/>
  <c r="A935" i="16"/>
  <c r="A27" i="1"/>
  <c r="B79" i="5"/>
  <c r="B3449" i="20"/>
  <c r="A57" i="13"/>
  <c r="B394" i="16"/>
  <c r="H57" i="5"/>
  <c r="B1628" i="16"/>
  <c r="A203" i="20"/>
  <c r="A102" i="1"/>
  <c r="H93" i="12"/>
  <c r="H24" i="11"/>
  <c r="A76" i="11"/>
  <c r="A322" i="16"/>
  <c r="B115" i="18"/>
  <c r="A352" i="20"/>
  <c r="A38" i="13"/>
  <c r="A3840" i="20"/>
  <c r="A1980" i="20"/>
  <c r="H22" i="12"/>
  <c r="H111" i="9"/>
  <c r="A173" i="19"/>
  <c r="G32" i="11"/>
  <c r="G39" i="8"/>
  <c r="A436" i="16"/>
  <c r="A2285" i="20"/>
  <c r="A5172" i="20"/>
  <c r="G84" i="4"/>
  <c r="A83" i="6"/>
  <c r="A110" i="18"/>
  <c r="A2954" i="20"/>
  <c r="A1236" i="16"/>
  <c r="A529" i="16"/>
  <c r="A2224" i="20"/>
  <c r="A121" i="12"/>
  <c r="G47" i="9"/>
  <c r="B483" i="16"/>
  <c r="B151" i="9"/>
  <c r="B127" i="9"/>
  <c r="B69" i="19"/>
  <c r="H141" i="9"/>
  <c r="B3695" i="20"/>
  <c r="A7111" i="20"/>
  <c r="F140" i="8"/>
  <c r="F25" i="6"/>
  <c r="B223" i="20"/>
  <c r="E139" i="7"/>
  <c r="B3450" i="20"/>
  <c r="H119" i="4"/>
  <c r="A69" i="1"/>
  <c r="A340" i="19"/>
  <c r="A96" i="13"/>
  <c r="G103" i="6"/>
  <c r="B4235" i="20"/>
  <c r="G104" i="4"/>
  <c r="A3857" i="20"/>
  <c r="B58" i="2"/>
  <c r="H101" i="2"/>
  <c r="A4809" i="20"/>
  <c r="B3" i="11"/>
  <c r="B11" i="10"/>
  <c r="B1735" i="20"/>
  <c r="B27" i="12"/>
  <c r="B19" i="4"/>
  <c r="A1092" i="16"/>
  <c r="B338" i="20"/>
  <c r="H68" i="10"/>
  <c r="B801" i="16"/>
  <c r="A5931" i="20"/>
  <c r="H9" i="10"/>
  <c r="A6" i="7"/>
  <c r="B5720" i="20"/>
  <c r="G60" i="5"/>
  <c r="B56" i="6"/>
  <c r="G18" i="8"/>
  <c r="A604" i="16"/>
  <c r="B2614" i="20"/>
  <c r="B297" i="16"/>
  <c r="B370" i="20"/>
  <c r="A90" i="12"/>
  <c r="B98" i="8"/>
  <c r="A112" i="6"/>
  <c r="G55" i="13"/>
  <c r="B1314" i="16"/>
  <c r="B92" i="2"/>
  <c r="B660" i="16"/>
  <c r="B235" i="20"/>
  <c r="B131" i="7"/>
  <c r="H70" i="9"/>
  <c r="A89" i="8"/>
  <c r="G24" i="2"/>
  <c r="G50" i="5"/>
  <c r="H24" i="2"/>
  <c r="H87" i="7"/>
  <c r="A6367" i="20"/>
  <c r="A80" i="18"/>
  <c r="B1235" i="20"/>
  <c r="G80" i="4"/>
  <c r="G30" i="12"/>
  <c r="B64" i="8"/>
  <c r="H78" i="9"/>
  <c r="H106" i="2"/>
  <c r="B85" i="4"/>
  <c r="B307" i="19"/>
  <c r="G149" i="8"/>
  <c r="A12" i="13"/>
  <c r="A1096" i="20"/>
  <c r="B1385" i="16"/>
  <c r="B145" i="19"/>
  <c r="H54" i="13"/>
  <c r="B300" i="16"/>
  <c r="A64" i="4"/>
  <c r="A1340" i="16"/>
  <c r="F1" i="5"/>
  <c r="A230" i="20"/>
  <c r="B3875" i="20"/>
  <c r="H102" i="1"/>
  <c r="F3" i="2"/>
  <c r="B8467" i="20"/>
  <c r="A277" i="19"/>
  <c r="B44" i="2"/>
  <c r="A52" i="12"/>
  <c r="B103" i="11"/>
  <c r="G64" i="1"/>
  <c r="B98" i="5"/>
  <c r="H17" i="11"/>
  <c r="B110" i="9"/>
  <c r="B14" i="12"/>
  <c r="A67" i="6"/>
  <c r="E110" i="9"/>
  <c r="A116" i="16"/>
  <c r="A1083" i="16"/>
  <c r="C107" i="18"/>
  <c r="B1476" i="16"/>
  <c r="H123" i="2"/>
  <c r="H69" i="1"/>
  <c r="E35" i="9"/>
  <c r="B113" i="8"/>
  <c r="G105" i="12"/>
  <c r="B20" i="5"/>
  <c r="B1004" i="20"/>
  <c r="A69" i="7"/>
  <c r="F30" i="1"/>
  <c r="A130" i="5"/>
  <c r="A166" i="19"/>
  <c r="H58" i="6"/>
  <c r="B71" i="19"/>
  <c r="B3093" i="20"/>
  <c r="B20" i="12"/>
  <c r="A149" i="18"/>
  <c r="B1465" i="16"/>
  <c r="B411" i="16"/>
  <c r="H6" i="7"/>
  <c r="B7" i="7"/>
  <c r="F25" i="9"/>
  <c r="A308" i="16"/>
  <c r="B581" i="16"/>
  <c r="F152" i="1"/>
  <c r="A1179" i="16"/>
  <c r="B2169" i="20"/>
  <c r="H119" i="1"/>
  <c r="A1192" i="16"/>
  <c r="A1190" i="20"/>
  <c r="A10" i="11"/>
  <c r="A94" i="16"/>
  <c r="B13" i="18"/>
  <c r="B135" i="2"/>
  <c r="F91" i="1"/>
  <c r="B1196" i="20"/>
  <c r="B346" i="20"/>
  <c r="H50" i="10"/>
  <c r="G121" i="5"/>
  <c r="A4093" i="20"/>
  <c r="H56" i="1"/>
  <c r="A132" i="8"/>
  <c r="B1605" i="20"/>
  <c r="B3939" i="20"/>
  <c r="B6093" i="20"/>
  <c r="B109" i="4"/>
  <c r="F117" i="1"/>
  <c r="A963" i="16"/>
  <c r="B1112" i="16"/>
  <c r="B90" i="13"/>
  <c r="G33" i="11"/>
  <c r="B498" i="16"/>
  <c r="B32" i="11"/>
  <c r="G51" i="4"/>
  <c r="A273" i="19"/>
  <c r="H77" i="2"/>
  <c r="B67" i="19"/>
  <c r="F121" i="6"/>
  <c r="A8" i="6"/>
  <c r="B4445" i="20"/>
  <c r="A58" i="11"/>
  <c r="A1693" i="16"/>
  <c r="G82" i="12"/>
  <c r="H49" i="5"/>
  <c r="A2976" i="20"/>
  <c r="B25" i="13"/>
  <c r="D110" i="1"/>
  <c r="G138" i="13"/>
  <c r="A1205" i="16"/>
  <c r="H64" i="8"/>
  <c r="H18" i="10"/>
  <c r="B92" i="7"/>
  <c r="B1546" i="16"/>
  <c r="A113" i="18"/>
  <c r="A324" i="19"/>
  <c r="H1" i="5"/>
  <c r="E105" i="7"/>
  <c r="B113" i="2"/>
  <c r="G111" i="13"/>
  <c r="H75" i="6"/>
  <c r="H113" i="10"/>
  <c r="B91" i="10"/>
  <c r="A150" i="20"/>
  <c r="G72" i="6"/>
  <c r="E33" i="13"/>
  <c r="B322" i="20"/>
  <c r="A1704" i="16"/>
  <c r="B358" i="20"/>
  <c r="A1652" i="20"/>
  <c r="B125" i="18"/>
  <c r="B1004" i="16"/>
  <c r="G77" i="7"/>
  <c r="H102" i="11"/>
  <c r="F27" i="8"/>
  <c r="F6" i="8"/>
  <c r="B1826" i="16"/>
  <c r="A1095" i="20"/>
  <c r="E156" i="9"/>
  <c r="H9" i="7"/>
  <c r="A122" i="10"/>
  <c r="A1004" i="16"/>
  <c r="B39" i="11"/>
  <c r="H58" i="13"/>
  <c r="B2675" i="20"/>
  <c r="B1137" i="16"/>
  <c r="A36" i="9"/>
  <c r="B1691" i="20"/>
  <c r="D2" i="5"/>
  <c r="G75" i="5"/>
  <c r="A31" i="17"/>
  <c r="A689" i="16"/>
  <c r="A372" i="16"/>
  <c r="G44" i="8"/>
  <c r="A884" i="16"/>
  <c r="G67" i="12"/>
  <c r="A80" i="13"/>
  <c r="E1" i="8"/>
  <c r="A108" i="7"/>
  <c r="A44" i="8"/>
  <c r="B104" i="5"/>
  <c r="H59" i="7"/>
  <c r="B138" i="10"/>
  <c r="G5" i="4"/>
  <c r="G5" i="6"/>
  <c r="A95" i="9"/>
  <c r="B436" i="16"/>
  <c r="B72" i="4"/>
  <c r="B129" i="9"/>
  <c r="B69" i="6"/>
  <c r="G88" i="9"/>
  <c r="H17" i="6"/>
  <c r="A618" i="16"/>
  <c r="B1620" i="16"/>
  <c r="G96" i="8"/>
  <c r="D70" i="11"/>
  <c r="B4" i="5"/>
  <c r="B5024" i="20"/>
  <c r="B4288" i="20"/>
  <c r="B4043" i="20"/>
  <c r="A6439" i="20"/>
  <c r="B623" i="16"/>
  <c r="A153" i="4"/>
  <c r="B8011" i="20"/>
  <c r="B816" i="20"/>
  <c r="B4745" i="20"/>
  <c r="B144" i="4"/>
  <c r="C36" i="2"/>
  <c r="B1120" i="20"/>
  <c r="A31" i="6"/>
  <c r="G19" i="2"/>
  <c r="A357" i="20"/>
  <c r="A156" i="20"/>
  <c r="G14" i="12"/>
  <c r="H118" i="5"/>
  <c r="H18" i="12"/>
  <c r="A1742" i="20"/>
  <c r="B132" i="10"/>
  <c r="A33" i="8"/>
  <c r="A1727" i="16"/>
  <c r="B3620" i="20"/>
  <c r="H21" i="10"/>
  <c r="G120" i="1"/>
  <c r="A669" i="16"/>
  <c r="B1085" i="16"/>
  <c r="A2942" i="20"/>
  <c r="A82" i="18"/>
  <c r="A106" i="18"/>
  <c r="B1633" i="20"/>
  <c r="A129" i="9"/>
  <c r="D1" i="1"/>
  <c r="B1488" i="16"/>
  <c r="A19" i="11"/>
  <c r="B1490" i="16"/>
  <c r="G24" i="8"/>
  <c r="A11" i="2"/>
  <c r="A111" i="11"/>
  <c r="B3019" i="20"/>
  <c r="A557" i="16"/>
  <c r="B105" i="5"/>
  <c r="B1407" i="20"/>
  <c r="A2990" i="20"/>
  <c r="G54" i="6"/>
  <c r="A70" i="19"/>
  <c r="B10" i="13"/>
  <c r="B1367" i="20"/>
  <c r="H92" i="2"/>
  <c r="A95" i="2"/>
  <c r="A889" i="20"/>
  <c r="B188" i="16"/>
  <c r="A656" i="16"/>
  <c r="B3331" i="20"/>
  <c r="B88" i="7"/>
  <c r="B1800" i="16"/>
  <c r="F123" i="6"/>
  <c r="F25" i="12"/>
  <c r="H30" i="4"/>
  <c r="A121" i="13"/>
  <c r="B1457" i="16"/>
  <c r="G1" i="2"/>
  <c r="A47" i="2"/>
  <c r="B1639" i="20"/>
  <c r="B77" i="7"/>
  <c r="A720" i="20"/>
  <c r="G93" i="8"/>
  <c r="H81" i="9"/>
  <c r="E123" i="5"/>
  <c r="A352" i="16"/>
  <c r="H75" i="8"/>
  <c r="B128" i="4"/>
  <c r="A18" i="19"/>
  <c r="B1025" i="20"/>
  <c r="F27" i="4"/>
  <c r="B2399" i="20"/>
  <c r="B26" i="2"/>
  <c r="B2127" i="20"/>
  <c r="E91" i="5"/>
  <c r="A87" i="13"/>
  <c r="B4696" i="20"/>
  <c r="B37" i="2"/>
  <c r="B38" i="20"/>
  <c r="A1951" i="20"/>
  <c r="E7" i="6"/>
  <c r="G82" i="1"/>
  <c r="B89" i="10"/>
  <c r="G5" i="5"/>
  <c r="A835" i="16"/>
  <c r="G37" i="10"/>
  <c r="A94" i="20"/>
  <c r="B127" i="2"/>
  <c r="B24" i="19"/>
  <c r="A72" i="4"/>
  <c r="B569" i="16"/>
  <c r="B1420" i="16"/>
  <c r="F70" i="1"/>
  <c r="A1004" i="20"/>
  <c r="B5674" i="20"/>
  <c r="B998" i="20"/>
  <c r="B3792" i="20"/>
  <c r="A29" i="32"/>
  <c r="B1054" i="20"/>
  <c r="A86" i="19"/>
  <c r="A60" i="19"/>
  <c r="A5157" i="20"/>
  <c r="A116" i="19"/>
  <c r="D156" i="1"/>
  <c r="A554" i="16"/>
  <c r="G21" i="7"/>
  <c r="H92" i="10"/>
  <c r="A99" i="10"/>
  <c r="B539" i="16"/>
  <c r="B3130" i="20"/>
  <c r="B439" i="16"/>
  <c r="F122" i="4"/>
  <c r="A44" i="19"/>
  <c r="B131" i="19"/>
  <c r="B996" i="20"/>
  <c r="A14" i="1"/>
  <c r="A759" i="16"/>
  <c r="B9" i="16"/>
  <c r="B113" i="11"/>
  <c r="B180" i="20"/>
  <c r="A326" i="19"/>
  <c r="A64" i="7"/>
  <c r="B5126" i="20"/>
  <c r="G104" i="12"/>
  <c r="B12" i="18"/>
  <c r="A853" i="20"/>
  <c r="B1328" i="16"/>
  <c r="H66" i="13"/>
  <c r="B886" i="16"/>
  <c r="G78" i="6"/>
  <c r="A4366" i="20"/>
  <c r="H111" i="4"/>
  <c r="G113" i="2"/>
  <c r="H78" i="12"/>
  <c r="D2" i="9"/>
  <c r="A1474" i="16"/>
  <c r="B6114" i="20"/>
  <c r="H57" i="6"/>
  <c r="H126" i="7"/>
  <c r="B1444" i="20"/>
  <c r="B95" i="5"/>
  <c r="B1235" i="16"/>
  <c r="H79" i="1"/>
  <c r="A28" i="4"/>
  <c r="B2281" i="20"/>
  <c r="A702" i="16"/>
  <c r="A120" i="10"/>
  <c r="A76" i="5"/>
  <c r="H57" i="13"/>
  <c r="B122" i="1"/>
  <c r="B1384" i="16"/>
  <c r="A7189" i="20"/>
  <c r="A472" i="16"/>
  <c r="A37" i="1"/>
  <c r="A109" i="10"/>
  <c r="H132" i="2"/>
  <c r="G71" i="9"/>
  <c r="A84" i="5"/>
  <c r="G7" i="5"/>
  <c r="A77" i="7"/>
  <c r="A630" i="16"/>
  <c r="A268" i="16"/>
  <c r="B133" i="13"/>
  <c r="E35" i="12"/>
  <c r="B458" i="20"/>
  <c r="B4012" i="20"/>
  <c r="A965" i="20"/>
  <c r="B51" i="6"/>
  <c r="F50" i="1"/>
  <c r="A1066" i="16"/>
  <c r="A1" i="9"/>
  <c r="B87" i="12"/>
  <c r="G129" i="12"/>
  <c r="B126" i="16"/>
  <c r="A1166" i="16"/>
  <c r="A210" i="20"/>
  <c r="A235" i="19"/>
  <c r="A4972" i="20"/>
  <c r="A16" i="10"/>
  <c r="B97" i="10"/>
  <c r="A359" i="20"/>
  <c r="A482" i="20"/>
  <c r="B1550" i="16"/>
  <c r="H75" i="13"/>
  <c r="B66" i="12"/>
  <c r="B1115" i="16"/>
  <c r="A1024" i="16"/>
  <c r="G117" i="9"/>
  <c r="F78" i="10"/>
  <c r="B3693" i="20"/>
  <c r="A106" i="11"/>
  <c r="G1" i="9"/>
  <c r="B2071" i="20"/>
  <c r="B906" i="16"/>
  <c r="B65" i="16"/>
  <c r="B98" i="4"/>
  <c r="H122" i="10"/>
  <c r="A152" i="4"/>
  <c r="B4277" i="20"/>
  <c r="A1416" i="20"/>
  <c r="A64" i="6"/>
  <c r="A760" i="16"/>
  <c r="B75" i="12"/>
  <c r="B856" i="16"/>
  <c r="H65" i="6"/>
  <c r="G116" i="6"/>
  <c r="H86" i="1"/>
  <c r="A697" i="16"/>
  <c r="H75" i="1"/>
  <c r="A80" i="4"/>
  <c r="A6079" i="20"/>
  <c r="G31" i="11"/>
  <c r="F33" i="10"/>
  <c r="H121" i="4"/>
  <c r="A1146" i="16"/>
  <c r="B4623" i="20"/>
  <c r="G83" i="10"/>
  <c r="B149" i="8"/>
  <c r="A5505" i="20"/>
  <c r="B2107" i="20"/>
  <c r="A750" i="16"/>
  <c r="A236" i="19"/>
  <c r="A106" i="5"/>
  <c r="A42" i="2"/>
  <c r="C65" i="5"/>
  <c r="B16" i="2"/>
  <c r="G24" i="1"/>
  <c r="G14" i="6"/>
  <c r="A113" i="13"/>
  <c r="B153" i="20"/>
  <c r="H138" i="13"/>
  <c r="H76" i="12"/>
  <c r="G121" i="9"/>
  <c r="F76" i="4"/>
  <c r="B14" i="4"/>
  <c r="A375" i="20"/>
  <c r="A94" i="2"/>
  <c r="G60" i="2"/>
  <c r="A23" i="5"/>
  <c r="A119" i="10"/>
  <c r="B1497" i="20"/>
  <c r="H120" i="5"/>
  <c r="A1407" i="16"/>
  <c r="B75" i="5"/>
  <c r="B145" i="20"/>
  <c r="G57" i="11"/>
  <c r="A140" i="9"/>
  <c r="A865" i="20"/>
  <c r="B221" i="20"/>
  <c r="A116" i="12"/>
  <c r="B791" i="16"/>
  <c r="F10" i="10"/>
  <c r="A827" i="16"/>
  <c r="H60" i="1"/>
  <c r="H20" i="2"/>
  <c r="A14" i="17"/>
  <c r="G84" i="2"/>
  <c r="B4770" i="20"/>
  <c r="B144" i="9"/>
  <c r="B675" i="16"/>
  <c r="B19" i="2"/>
  <c r="A2025" i="20"/>
  <c r="E134" i="10"/>
  <c r="A3027" i="20"/>
  <c r="B118" i="6"/>
  <c r="B43" i="13"/>
  <c r="B143" i="8"/>
  <c r="A421" i="16"/>
  <c r="B2228" i="20"/>
  <c r="B1382" i="16"/>
  <c r="A892" i="16"/>
  <c r="A1487" i="16"/>
  <c r="A425" i="20"/>
  <c r="B961" i="16"/>
  <c r="A651" i="16"/>
  <c r="B1368" i="16"/>
  <c r="G23" i="4"/>
  <c r="G75" i="6"/>
  <c r="H24" i="5"/>
  <c r="F13" i="4"/>
  <c r="B44" i="11"/>
  <c r="A29" i="4"/>
  <c r="B71" i="9"/>
  <c r="H73" i="10"/>
  <c r="A71" i="1"/>
  <c r="A155" i="16"/>
  <c r="A54" i="7"/>
  <c r="A156" i="16"/>
  <c r="F4" i="8"/>
  <c r="A1858" i="20"/>
  <c r="B77" i="9"/>
  <c r="G59" i="7"/>
  <c r="B670" i="20"/>
  <c r="G13" i="4"/>
  <c r="F4" i="7"/>
  <c r="A125" i="12"/>
  <c r="B47" i="5"/>
  <c r="B131" i="6"/>
  <c r="H36" i="9"/>
  <c r="A88" i="5"/>
  <c r="A59" i="1"/>
  <c r="B80" i="11"/>
  <c r="F83" i="13"/>
  <c r="H151" i="1"/>
  <c r="B1574" i="16"/>
  <c r="G9" i="6"/>
  <c r="A1371" i="16"/>
  <c r="G21" i="2"/>
  <c r="D1" i="4"/>
  <c r="B116" i="6"/>
  <c r="B131" i="13"/>
  <c r="E75" i="9"/>
  <c r="B1391" i="20"/>
  <c r="F26" i="5"/>
  <c r="B107" i="16"/>
  <c r="B13" i="13"/>
  <c r="B102" i="8"/>
  <c r="A678" i="20"/>
  <c r="B65" i="5"/>
  <c r="H41" i="2"/>
  <c r="A122" i="18"/>
  <c r="A4637" i="20"/>
  <c r="A1293" i="16"/>
  <c r="A1206" i="16"/>
  <c r="A2460" i="20"/>
  <c r="B25" i="6"/>
  <c r="B154" i="8"/>
  <c r="B1405" i="16"/>
  <c r="A174" i="19"/>
  <c r="A1130" i="16"/>
  <c r="A77" i="19"/>
  <c r="B363" i="16"/>
  <c r="A75" i="12"/>
  <c r="B38" i="4"/>
  <c r="B779" i="16"/>
  <c r="A1213" i="20"/>
  <c r="G16" i="4"/>
  <c r="B1772" i="16"/>
  <c r="A7404" i="20"/>
  <c r="A39" i="4"/>
  <c r="G62" i="2"/>
  <c r="A4827" i="20"/>
  <c r="A128" i="9"/>
  <c r="B60" i="20"/>
  <c r="H101" i="5"/>
  <c r="A79" i="5"/>
  <c r="A113" i="1"/>
  <c r="A782" i="16"/>
  <c r="G99" i="2"/>
  <c r="B9" i="12"/>
  <c r="A58" i="7"/>
  <c r="A51" i="10"/>
  <c r="B140" i="4"/>
  <c r="B174" i="20"/>
  <c r="B3692" i="20"/>
  <c r="B50" i="18"/>
  <c r="G131" i="8"/>
  <c r="G18" i="6"/>
  <c r="E25" i="10"/>
  <c r="A1816" i="16"/>
  <c r="B976" i="16"/>
  <c r="B41" i="16"/>
  <c r="B2421" i="20"/>
  <c r="A923" i="16"/>
  <c r="E114" i="11"/>
  <c r="B1994" i="20"/>
  <c r="A1009" i="16"/>
  <c r="B810" i="16"/>
  <c r="B139" i="9"/>
  <c r="B4602" i="20"/>
  <c r="B48" i="8"/>
  <c r="B101" i="12"/>
  <c r="H49" i="8"/>
  <c r="A8" i="4"/>
  <c r="A1081" i="20"/>
  <c r="H123" i="11"/>
  <c r="A16" i="17"/>
  <c r="G69" i="1"/>
  <c r="B184" i="19"/>
  <c r="A938" i="16"/>
  <c r="A418" i="16"/>
  <c r="B1097" i="16"/>
  <c r="G40" i="8"/>
  <c r="C103" i="5"/>
  <c r="A1056" i="20"/>
  <c r="A463" i="20"/>
  <c r="B364" i="19"/>
  <c r="A8" i="9"/>
  <c r="G73" i="11"/>
  <c r="H13" i="9"/>
  <c r="A6341" i="20"/>
  <c r="E36" i="6"/>
  <c r="H137" i="4"/>
  <c r="A1067" i="16"/>
  <c r="A2059" i="20"/>
  <c r="A89" i="12"/>
  <c r="B2432" i="20"/>
  <c r="G124" i="7"/>
  <c r="H114" i="4"/>
  <c r="B540" i="20"/>
  <c r="H130" i="11"/>
  <c r="A1284" i="16"/>
  <c r="B1225" i="16"/>
  <c r="A1420" i="16"/>
  <c r="A61" i="7"/>
  <c r="H102" i="7"/>
  <c r="B118" i="8"/>
  <c r="A105" i="12"/>
  <c r="B1141" i="20"/>
  <c r="H114" i="13"/>
  <c r="B1229" i="20"/>
  <c r="F25" i="5"/>
  <c r="B9" i="10"/>
  <c r="H88" i="13"/>
  <c r="A567" i="20"/>
  <c r="B1140" i="16"/>
  <c r="B1111" i="20"/>
  <c r="A6332" i="20"/>
  <c r="B63" i="4"/>
  <c r="A150" i="9"/>
  <c r="A7645" i="20"/>
  <c r="B724" i="16"/>
  <c r="B1705" i="20"/>
  <c r="A126" i="11"/>
  <c r="B52" i="7"/>
  <c r="B76" i="16"/>
  <c r="G120" i="4"/>
  <c r="B52" i="4"/>
  <c r="B1836" i="16"/>
  <c r="H83" i="2"/>
  <c r="A26" i="9"/>
  <c r="A11" i="13"/>
  <c r="B470" i="16"/>
  <c r="A29" i="13"/>
  <c r="E35" i="13"/>
  <c r="B4027" i="20"/>
  <c r="A1590" i="16"/>
  <c r="G109" i="1"/>
  <c r="A447" i="20"/>
  <c r="B53" i="5"/>
  <c r="B17" i="20"/>
  <c r="A2616" i="20"/>
  <c r="G127" i="4"/>
  <c r="A1088" i="20"/>
  <c r="E140" i="9"/>
  <c r="B85" i="8"/>
  <c r="B48" i="5"/>
  <c r="A6946" i="20"/>
  <c r="A316" i="16"/>
  <c r="A63" i="6"/>
  <c r="A4184" i="20"/>
  <c r="B136" i="10"/>
  <c r="A2958" i="20"/>
  <c r="B156" i="16"/>
  <c r="B72" i="5"/>
  <c r="G90" i="6"/>
  <c r="C1" i="18"/>
  <c r="B628" i="20"/>
  <c r="B2647" i="20"/>
  <c r="E33" i="12"/>
  <c r="A1143" i="16"/>
  <c r="A2568" i="20"/>
  <c r="A7164" i="20"/>
  <c r="A5291" i="20"/>
  <c r="B1168" i="16"/>
  <c r="F20" i="1"/>
  <c r="H21" i="8"/>
  <c r="G84" i="10"/>
  <c r="A674" i="16"/>
  <c r="B119" i="19"/>
  <c r="B3" i="5"/>
  <c r="B1473" i="20"/>
  <c r="G45" i="2"/>
  <c r="G119" i="7"/>
  <c r="B716" i="20"/>
  <c r="G5" i="7"/>
  <c r="G112" i="1"/>
  <c r="A250" i="19"/>
  <c r="A1554" i="16"/>
  <c r="F105" i="1"/>
  <c r="B1270" i="16"/>
  <c r="A60" i="16"/>
  <c r="B828" i="16"/>
  <c r="B2834" i="20"/>
  <c r="B115" i="10"/>
  <c r="G106" i="6"/>
  <c r="A58" i="18"/>
  <c r="A1447" i="16"/>
  <c r="A51" i="4"/>
  <c r="H50" i="7"/>
  <c r="F9" i="8"/>
  <c r="B67" i="6"/>
  <c r="A2391" i="20"/>
  <c r="E5" i="4"/>
  <c r="B111" i="5"/>
  <c r="B552" i="16"/>
  <c r="H65" i="10"/>
  <c r="A99" i="2"/>
  <c r="A123" i="9"/>
  <c r="F104" i="1"/>
  <c r="A492" i="20"/>
  <c r="A398" i="16"/>
  <c r="A3020" i="20"/>
  <c r="H39" i="13"/>
  <c r="B75" i="4"/>
  <c r="B264" i="20"/>
  <c r="B106" i="6"/>
  <c r="A218" i="19"/>
  <c r="A206" i="16"/>
  <c r="A70" i="16"/>
  <c r="B1806" i="16"/>
  <c r="A131" i="19"/>
  <c r="C124" i="18"/>
  <c r="B707" i="20"/>
  <c r="A31" i="5"/>
  <c r="A137" i="9"/>
  <c r="B500" i="20"/>
  <c r="A1728" i="16"/>
  <c r="B1044" i="20"/>
  <c r="A1558" i="16"/>
  <c r="A4538" i="20"/>
  <c r="E113" i="8"/>
  <c r="A176" i="20"/>
  <c r="B1190" i="20"/>
  <c r="B1276" i="20"/>
  <c r="B99" i="8"/>
  <c r="A296" i="16"/>
  <c r="B1726" i="16"/>
  <c r="B1624" i="20"/>
  <c r="B2051" i="20"/>
  <c r="A20" i="1"/>
  <c r="H68" i="7"/>
  <c r="F47" i="12"/>
  <c r="B753" i="16"/>
  <c r="G57" i="6"/>
  <c r="A110" i="12"/>
  <c r="B3009" i="20"/>
  <c r="B6" i="9"/>
  <c r="C36" i="10"/>
  <c r="B859" i="16"/>
  <c r="G7" i="12"/>
  <c r="A51" i="1"/>
  <c r="A990" i="20"/>
  <c r="A377" i="16"/>
  <c r="H64" i="2"/>
  <c r="B1531" i="16"/>
  <c r="B125" i="7"/>
  <c r="B2574" i="20"/>
  <c r="H37" i="2"/>
  <c r="A4555" i="20"/>
  <c r="A1685" i="16"/>
  <c r="B350" i="16"/>
  <c r="A79" i="6"/>
  <c r="G13" i="11"/>
  <c r="A5401" i="20"/>
  <c r="A1531" i="20"/>
  <c r="B29" i="10"/>
  <c r="A1289" i="20"/>
  <c r="A7398" i="20"/>
  <c r="F36" i="5"/>
  <c r="B1428" i="16"/>
  <c r="H68" i="4"/>
  <c r="B521" i="20"/>
  <c r="A599" i="20"/>
  <c r="B637" i="16"/>
  <c r="A263" i="20"/>
  <c r="A487" i="20"/>
  <c r="B123" i="4"/>
  <c r="A5743" i="20"/>
  <c r="H36" i="12"/>
  <c r="H135" i="9"/>
  <c r="B577" i="16"/>
  <c r="B125" i="9"/>
  <c r="A1486" i="16"/>
  <c r="H53" i="10"/>
  <c r="C2" i="4"/>
  <c r="A127" i="9"/>
  <c r="B172" i="16"/>
  <c r="A1008" i="20"/>
  <c r="B126" i="5"/>
  <c r="B1195" i="16"/>
  <c r="B4501" i="20"/>
  <c r="B37" i="7"/>
  <c r="A659" i="20"/>
  <c r="B275" i="20"/>
  <c r="G9" i="7"/>
  <c r="B100" i="8"/>
  <c r="A51" i="5"/>
  <c r="B73" i="20"/>
  <c r="A965" i="16"/>
  <c r="B103" i="2"/>
  <c r="B1605" i="16"/>
  <c r="A37" i="13"/>
  <c r="H70" i="8"/>
  <c r="B970" i="16"/>
  <c r="AT38" i="8" l="1"/>
  <c r="AC38" i="10"/>
  <c r="W133" i="9"/>
  <c r="L38" i="12"/>
  <c r="AQ38" i="4"/>
  <c r="L13" i="11"/>
  <c r="L38" i="2"/>
  <c r="AG37" i="6"/>
  <c r="L113" i="8"/>
  <c r="O38" i="13"/>
  <c r="L102" i="1"/>
  <c r="AO38" i="10"/>
  <c r="AA1" i="4"/>
  <c r="Z38" i="7"/>
  <c r="O113" i="6"/>
  <c r="M102" i="1"/>
  <c r="N110" i="1"/>
  <c r="X115" i="7"/>
  <c r="T37" i="2"/>
  <c r="T14" i="8"/>
  <c r="R13" i="1"/>
  <c r="U82" i="6"/>
  <c r="M121" i="9"/>
  <c r="P132" i="4"/>
  <c r="Q103" i="1"/>
  <c r="K85" i="2"/>
  <c r="R114" i="4"/>
  <c r="Q85" i="13"/>
  <c r="U116" i="13"/>
  <c r="Q98" i="7"/>
  <c r="Z115" i="11"/>
  <c r="K115" i="4"/>
  <c r="N105" i="7"/>
  <c r="X133" i="4"/>
  <c r="L36" i="6"/>
  <c r="L14" i="9"/>
  <c r="P37" i="8"/>
  <c r="AR38" i="1"/>
  <c r="U115" i="11"/>
  <c r="Y38" i="8"/>
  <c r="L113" i="11"/>
  <c r="Q13" i="6"/>
  <c r="U132" i="8"/>
  <c r="N98" i="2"/>
  <c r="Q96" i="5"/>
  <c r="AK37" i="2"/>
  <c r="N13" i="4"/>
  <c r="P38" i="2"/>
  <c r="S13" i="2"/>
  <c r="L38" i="9"/>
  <c r="K13" i="4"/>
  <c r="AI37" i="7"/>
  <c r="AW38" i="10"/>
  <c r="V14" i="5"/>
  <c r="U13" i="4"/>
  <c r="M115" i="10"/>
  <c r="L84" i="2"/>
  <c r="R14" i="2"/>
  <c r="AO29" i="11"/>
  <c r="Z114" i="5"/>
  <c r="AI37" i="2"/>
  <c r="T114" i="9"/>
  <c r="M13" i="6"/>
  <c r="V14" i="1"/>
  <c r="R115" i="4"/>
  <c r="O29" i="11"/>
  <c r="W113" i="6"/>
  <c r="R127" i="10"/>
  <c r="P114" i="9"/>
  <c r="Q108" i="12"/>
  <c r="Y37" i="1"/>
  <c r="AU37" i="9"/>
  <c r="S107" i="2"/>
  <c r="AG38" i="13"/>
  <c r="AG38" i="6"/>
  <c r="S115" i="2"/>
  <c r="L109" i="4"/>
  <c r="Q100" i="12"/>
  <c r="T13" i="7"/>
  <c r="P108" i="1"/>
  <c r="AS37" i="1"/>
  <c r="M37" i="10"/>
  <c r="K88" i="5"/>
  <c r="O102" i="5"/>
  <c r="T85" i="2"/>
  <c r="AD37" i="6"/>
  <c r="W13" i="8"/>
  <c r="S117" i="1"/>
  <c r="T14" i="10"/>
  <c r="Q14" i="12"/>
  <c r="X114" i="5"/>
  <c r="M13" i="12"/>
  <c r="Q13" i="2"/>
  <c r="N95" i="8"/>
  <c r="P14" i="6"/>
  <c r="AI38" i="7"/>
  <c r="T37" i="8"/>
  <c r="AH38" i="13"/>
  <c r="P107" i="9"/>
  <c r="L101" i="11"/>
  <c r="Q109" i="10"/>
  <c r="R115" i="13"/>
  <c r="L114" i="7"/>
  <c r="Q14" i="10"/>
  <c r="AN38" i="8"/>
  <c r="L108" i="1"/>
  <c r="X38" i="5"/>
  <c r="N81" i="12"/>
  <c r="Z37" i="4"/>
  <c r="Q29" i="11"/>
  <c r="P116" i="1"/>
  <c r="L103" i="5"/>
  <c r="Z38" i="10"/>
  <c r="AH38" i="6"/>
  <c r="R100" i="12"/>
  <c r="L107" i="2"/>
  <c r="L107" i="9"/>
  <c r="P14" i="11"/>
  <c r="AM38" i="1"/>
  <c r="AD38" i="13"/>
  <c r="T122" i="8"/>
  <c r="L116" i="2"/>
  <c r="P85" i="7"/>
  <c r="V14" i="2"/>
  <c r="Y37" i="5"/>
  <c r="V13" i="2"/>
  <c r="AT38" i="9"/>
  <c r="AE37" i="13"/>
  <c r="Q13" i="8"/>
  <c r="AI37" i="5"/>
  <c r="AR38" i="10"/>
  <c r="P99" i="2"/>
  <c r="K101" i="4"/>
  <c r="L113" i="6"/>
  <c r="P115" i="4"/>
  <c r="P90" i="7"/>
  <c r="P123" i="9"/>
  <c r="N123" i="9"/>
  <c r="W37" i="9"/>
  <c r="O37" i="8"/>
  <c r="P29" i="11"/>
  <c r="M109" i="9"/>
  <c r="U14" i="12"/>
  <c r="W14" i="11"/>
  <c r="O88" i="12"/>
  <c r="AF38" i="5"/>
  <c r="K98" i="2"/>
  <c r="AO30" i="11"/>
  <c r="O14" i="13"/>
  <c r="Q14" i="6"/>
  <c r="P107" i="12"/>
  <c r="AK37" i="10"/>
  <c r="M14" i="10"/>
  <c r="AD38" i="12"/>
  <c r="U38" i="7"/>
  <c r="Y115" i="7"/>
  <c r="N108" i="9"/>
  <c r="Q37" i="1"/>
  <c r="M131" i="1"/>
  <c r="K133" i="4"/>
  <c r="S115" i="4"/>
  <c r="K1" i="1"/>
  <c r="M37" i="2"/>
  <c r="O106" i="2"/>
  <c r="R37" i="6"/>
  <c r="X37" i="7"/>
  <c r="L37" i="5"/>
  <c r="M124" i="4"/>
  <c r="N14" i="9"/>
  <c r="Q96" i="6"/>
  <c r="U82" i="12"/>
  <c r="P14" i="7"/>
  <c r="M14" i="9"/>
  <c r="S123" i="8"/>
  <c r="S96" i="8"/>
  <c r="AG37" i="7"/>
  <c r="S96" i="9"/>
  <c r="Y37" i="4"/>
  <c r="L131" i="9"/>
  <c r="K102" i="4"/>
  <c r="L1" i="10"/>
  <c r="AO37" i="10"/>
  <c r="N109" i="8"/>
  <c r="Y115" i="11"/>
  <c r="AK38" i="13"/>
  <c r="L115" i="1"/>
  <c r="AH37" i="13"/>
  <c r="U13" i="12"/>
  <c r="Q122" i="1"/>
  <c r="AG37" i="5"/>
  <c r="O85" i="2"/>
  <c r="M38" i="7"/>
  <c r="N106" i="7"/>
  <c r="P106" i="7"/>
  <c r="M14" i="6"/>
  <c r="O37" i="9"/>
  <c r="M115" i="13"/>
  <c r="P38" i="4"/>
  <c r="Q14" i="1"/>
  <c r="M114" i="9"/>
  <c r="L108" i="4"/>
  <c r="K14" i="4"/>
  <c r="X38" i="10"/>
  <c r="U113" i="6"/>
  <c r="AH37" i="1"/>
  <c r="Q96" i="8"/>
  <c r="O82" i="5"/>
  <c r="Q14" i="7"/>
  <c r="P133" i="9"/>
  <c r="K36" i="5"/>
  <c r="N117" i="10"/>
  <c r="P117" i="10"/>
  <c r="V38" i="13"/>
  <c r="AD38" i="10"/>
  <c r="S37" i="5"/>
  <c r="Q115" i="8"/>
  <c r="R29" i="11"/>
  <c r="O13" i="2"/>
  <c r="AK36" i="9"/>
  <c r="M92" i="2"/>
  <c r="O14" i="9"/>
  <c r="M13" i="7"/>
  <c r="X131" i="1"/>
  <c r="N14" i="5"/>
  <c r="V127" i="10"/>
  <c r="Q114" i="5"/>
  <c r="Q83" i="5"/>
  <c r="N14" i="7"/>
  <c r="T133" i="4"/>
  <c r="O114" i="8"/>
  <c r="AQ37" i="10"/>
  <c r="AQ37" i="9"/>
  <c r="W38" i="7"/>
  <c r="T13" i="5"/>
  <c r="N102" i="10"/>
  <c r="R13" i="12"/>
  <c r="T13" i="2"/>
  <c r="N122" i="8"/>
  <c r="O14" i="10"/>
  <c r="S96" i="10"/>
  <c r="S13" i="12"/>
  <c r="K131" i="4"/>
  <c r="S14" i="13"/>
  <c r="AR38" i="9"/>
  <c r="M96" i="10"/>
  <c r="S38" i="5"/>
  <c r="AQ38" i="9"/>
  <c r="O102" i="1"/>
  <c r="S95" i="8"/>
  <c r="W132" i="4"/>
  <c r="N109" i="10"/>
  <c r="AD37" i="5"/>
  <c r="N37" i="4"/>
  <c r="AG37" i="1"/>
  <c r="O96" i="6"/>
  <c r="X38" i="7"/>
  <c r="L36" i="8"/>
  <c r="S85" i="2"/>
  <c r="L112" i="6"/>
  <c r="Q104" i="6"/>
  <c r="U13" i="9"/>
  <c r="AA38" i="13"/>
  <c r="AO38" i="4"/>
  <c r="L13" i="7"/>
  <c r="N114" i="9"/>
  <c r="Q14" i="8"/>
  <c r="L38" i="10"/>
  <c r="AD38" i="6"/>
  <c r="U84" i="7"/>
  <c r="S14" i="6"/>
  <c r="AD38" i="2"/>
  <c r="AC38" i="9"/>
  <c r="Q115" i="11"/>
  <c r="AM37" i="8"/>
  <c r="P107" i="8"/>
  <c r="L14" i="1"/>
  <c r="M113" i="6"/>
  <c r="R126" i="10"/>
  <c r="Q14" i="4"/>
  <c r="AM37" i="1"/>
  <c r="R37" i="8"/>
  <c r="R38" i="12"/>
  <c r="T37" i="9"/>
  <c r="M95" i="1"/>
  <c r="R106" i="7"/>
  <c r="T100" i="12"/>
  <c r="N13" i="6"/>
  <c r="M109" i="4"/>
  <c r="AJ37" i="8"/>
  <c r="R103" i="5"/>
  <c r="O107" i="2"/>
  <c r="P38" i="12"/>
  <c r="T85" i="13"/>
  <c r="R83" i="6"/>
  <c r="Y114" i="5"/>
  <c r="Y114" i="6"/>
  <c r="N13" i="13"/>
  <c r="V126" i="10"/>
  <c r="X132" i="4"/>
  <c r="O14" i="4"/>
  <c r="K113" i="5"/>
  <c r="W37" i="12"/>
  <c r="Q117" i="10"/>
  <c r="P37" i="1"/>
  <c r="T37" i="10"/>
  <c r="AA1" i="1"/>
  <c r="M108" i="12"/>
  <c r="R96" i="6"/>
  <c r="O132" i="9"/>
  <c r="AL37" i="10"/>
  <c r="L82" i="6"/>
  <c r="V29" i="11"/>
  <c r="O124" i="4"/>
  <c r="K82" i="5"/>
  <c r="V13" i="11"/>
  <c r="R96" i="8"/>
  <c r="M92" i="13"/>
  <c r="L94" i="10"/>
  <c r="N114" i="6"/>
  <c r="W116" i="2"/>
  <c r="Z37" i="6"/>
  <c r="T14" i="2"/>
  <c r="P13" i="11"/>
  <c r="AV37" i="8"/>
  <c r="K94" i="5"/>
  <c r="L108" i="10"/>
  <c r="Z36" i="7"/>
  <c r="W36" i="8"/>
  <c r="L14" i="6"/>
  <c r="X126" i="10"/>
  <c r="AQ30" i="11"/>
  <c r="L96" i="10"/>
  <c r="AG38" i="10"/>
  <c r="Q38" i="8"/>
  <c r="T101" i="12"/>
  <c r="L119" i="12"/>
  <c r="U38" i="4"/>
  <c r="AO37" i="4"/>
  <c r="AI38" i="12"/>
  <c r="W37" i="8"/>
  <c r="P123" i="1"/>
  <c r="T113" i="6"/>
  <c r="P126" i="10"/>
  <c r="Y36" i="2"/>
  <c r="AK37" i="8"/>
  <c r="Q118" i="12"/>
  <c r="L82" i="5"/>
  <c r="Q37" i="5"/>
  <c r="S114" i="4"/>
  <c r="N96" i="9"/>
  <c r="U83" i="6"/>
  <c r="AO37" i="1"/>
  <c r="N102" i="1"/>
  <c r="X114" i="11"/>
  <c r="O13" i="6"/>
  <c r="P94" i="12"/>
  <c r="O37" i="2"/>
  <c r="AB38" i="9"/>
  <c r="N38" i="10"/>
  <c r="AA38" i="1"/>
  <c r="R95" i="9"/>
  <c r="V37" i="6"/>
  <c r="K38" i="5"/>
  <c r="W37" i="13"/>
  <c r="P38" i="5"/>
  <c r="M96" i="9"/>
  <c r="Z116" i="2"/>
  <c r="K109" i="4"/>
  <c r="N93" i="11"/>
  <c r="U14" i="9"/>
  <c r="L103" i="1"/>
  <c r="N96" i="8"/>
  <c r="L37" i="7"/>
  <c r="P96" i="4"/>
  <c r="U132" i="1"/>
  <c r="T29" i="11"/>
  <c r="S116" i="2"/>
  <c r="R124" i="4"/>
  <c r="L132" i="8"/>
  <c r="N116" i="10"/>
  <c r="Z37" i="9"/>
  <c r="T95" i="1"/>
  <c r="P38" i="6"/>
  <c r="L38" i="1"/>
  <c r="N114" i="11"/>
  <c r="X38" i="2"/>
  <c r="Y37" i="9"/>
  <c r="Y38" i="6"/>
  <c r="T38" i="12"/>
  <c r="AJ38" i="6"/>
  <c r="O109" i="10"/>
  <c r="O37" i="5"/>
  <c r="O90" i="2"/>
  <c r="R95" i="5"/>
  <c r="AO37" i="8"/>
  <c r="P14" i="4"/>
  <c r="O95" i="9"/>
  <c r="AF38" i="13"/>
  <c r="AB38" i="4"/>
  <c r="S95" i="5"/>
  <c r="O37" i="4"/>
  <c r="P102" i="8"/>
  <c r="X37" i="5"/>
  <c r="K14" i="5"/>
  <c r="S113" i="6"/>
  <c r="L97" i="7"/>
  <c r="L13" i="1"/>
  <c r="N38" i="9"/>
  <c r="V133" i="4"/>
  <c r="M88" i="11"/>
  <c r="O115" i="4"/>
  <c r="Q116" i="2"/>
  <c r="L12" i="8"/>
  <c r="Y37" i="8"/>
  <c r="S14" i="9"/>
  <c r="Q37" i="12"/>
  <c r="AA1" i="5"/>
  <c r="M13" i="4"/>
  <c r="U95" i="1"/>
  <c r="V38" i="2"/>
  <c r="K12" i="1"/>
  <c r="U13" i="10"/>
  <c r="N38" i="6"/>
  <c r="P13" i="4"/>
  <c r="AA126" i="10"/>
  <c r="AU29" i="11"/>
  <c r="AM37" i="9"/>
  <c r="S97" i="13"/>
  <c r="T114" i="8"/>
  <c r="Q13" i="1"/>
  <c r="X37" i="9"/>
  <c r="AV38" i="10"/>
  <c r="S13" i="6"/>
  <c r="K92" i="2"/>
  <c r="X38" i="1"/>
  <c r="N115" i="11"/>
  <c r="R13" i="13"/>
  <c r="Q13" i="7"/>
  <c r="O97" i="7"/>
  <c r="R13" i="8"/>
  <c r="O113" i="5"/>
  <c r="M37" i="12"/>
  <c r="N123" i="1"/>
  <c r="R38" i="7"/>
  <c r="AJ38" i="8"/>
  <c r="V114" i="5"/>
  <c r="S115" i="9"/>
  <c r="AT37" i="10"/>
  <c r="O85" i="7"/>
  <c r="AS38" i="9"/>
  <c r="Z115" i="2"/>
  <c r="AT37" i="1"/>
  <c r="L105" i="2"/>
  <c r="X132" i="1"/>
  <c r="AO38" i="1"/>
  <c r="O96" i="9"/>
  <c r="W132" i="9"/>
  <c r="Q114" i="6"/>
  <c r="AF38" i="10"/>
  <c r="P117" i="1"/>
  <c r="AW29" i="11"/>
  <c r="AA38" i="4"/>
  <c r="AQ38" i="1"/>
  <c r="W37" i="2"/>
  <c r="M14" i="4"/>
  <c r="P104" i="7"/>
  <c r="N106" i="13"/>
  <c r="P106" i="13"/>
  <c r="P113" i="6"/>
  <c r="L101" i="1"/>
  <c r="O103" i="1"/>
  <c r="S83" i="6"/>
  <c r="O38" i="12"/>
  <c r="V14" i="4"/>
  <c r="O38" i="4"/>
  <c r="P96" i="1"/>
  <c r="U127" i="10"/>
  <c r="AJ37" i="4"/>
  <c r="N38" i="4"/>
  <c r="AG37" i="12"/>
  <c r="U14" i="5"/>
  <c r="AA37" i="7"/>
  <c r="AL38" i="1"/>
  <c r="R108" i="10"/>
  <c r="R82" i="6"/>
  <c r="Z132" i="1"/>
  <c r="N101" i="8"/>
  <c r="X133" i="9"/>
  <c r="R37" i="5"/>
  <c r="P102" i="6"/>
  <c r="AR37" i="8"/>
  <c r="O14" i="1"/>
  <c r="L13" i="4"/>
  <c r="AS38" i="8"/>
  <c r="R96" i="5"/>
  <c r="T95" i="9"/>
  <c r="M101" i="9"/>
  <c r="N114" i="5"/>
  <c r="W13" i="9"/>
  <c r="AE30" i="11"/>
  <c r="L88" i="12"/>
  <c r="P122" i="9"/>
  <c r="S116" i="7"/>
  <c r="R14" i="8"/>
  <c r="S114" i="6"/>
  <c r="P132" i="1"/>
  <c r="Q95" i="8"/>
  <c r="P109" i="1"/>
  <c r="S83" i="5"/>
  <c r="R98" i="2"/>
  <c r="S108" i="12"/>
  <c r="X133" i="8"/>
  <c r="L127" i="10"/>
  <c r="T109" i="10"/>
  <c r="V116" i="7"/>
  <c r="N88" i="12"/>
  <c r="S14" i="1"/>
  <c r="U13" i="6"/>
  <c r="U14" i="11"/>
  <c r="Q101" i="12"/>
  <c r="K108" i="4"/>
  <c r="V37" i="5"/>
  <c r="AD37" i="1"/>
  <c r="S13" i="9"/>
  <c r="P108" i="12"/>
  <c r="N38" i="13"/>
  <c r="M114" i="11"/>
  <c r="P101" i="4"/>
  <c r="L115" i="4"/>
  <c r="N85" i="7"/>
  <c r="L102" i="8"/>
  <c r="O131" i="1"/>
  <c r="X127" i="10"/>
  <c r="O37" i="10"/>
  <c r="R116" i="7"/>
  <c r="N82" i="5"/>
  <c r="S14" i="10"/>
  <c r="N113" i="5"/>
  <c r="Z38" i="2"/>
  <c r="S14" i="5"/>
  <c r="P116" i="2"/>
  <c r="M84" i="13"/>
  <c r="K13" i="1"/>
  <c r="AD38" i="5"/>
  <c r="M101" i="11"/>
  <c r="N84" i="13"/>
  <c r="R104" i="6"/>
  <c r="W37" i="1"/>
  <c r="R38" i="2"/>
  <c r="S30" i="11"/>
  <c r="N83" i="5"/>
  <c r="N85" i="2"/>
  <c r="R38" i="9"/>
  <c r="R132" i="4"/>
  <c r="O116" i="1"/>
  <c r="S133" i="8"/>
  <c r="V37" i="2"/>
  <c r="AK38" i="10"/>
  <c r="V13" i="10"/>
  <c r="W14" i="6"/>
  <c r="O38" i="8"/>
  <c r="M14" i="7"/>
  <c r="Q96" i="4"/>
  <c r="AT37" i="8"/>
  <c r="P95" i="1"/>
  <c r="AD37" i="7"/>
  <c r="Q13" i="10"/>
  <c r="AQ38" i="10"/>
  <c r="W36" i="6"/>
  <c r="O105" i="2"/>
  <c r="L95" i="4"/>
  <c r="Y115" i="2"/>
  <c r="T95" i="8"/>
  <c r="T38" i="1"/>
  <c r="N101" i="11"/>
  <c r="R13" i="2"/>
  <c r="S38" i="13"/>
  <c r="N82" i="12"/>
  <c r="P13" i="6"/>
  <c r="L84" i="7"/>
  <c r="M95" i="5"/>
  <c r="V113" i="5"/>
  <c r="M116" i="13"/>
  <c r="Q133" i="9"/>
  <c r="U13" i="5"/>
  <c r="V38" i="4"/>
  <c r="N14" i="1"/>
  <c r="O13" i="10"/>
  <c r="M37" i="1"/>
  <c r="AV30" i="11"/>
  <c r="M90" i="5"/>
  <c r="L115" i="7"/>
  <c r="Q115" i="9"/>
  <c r="N95" i="4"/>
  <c r="AK38" i="9"/>
  <c r="AF37" i="12"/>
  <c r="AU38" i="8"/>
  <c r="L133" i="4"/>
  <c r="P114" i="5"/>
  <c r="N102" i="9"/>
  <c r="O14" i="8"/>
  <c r="R95" i="4"/>
  <c r="S37" i="13"/>
  <c r="L132" i="4"/>
  <c r="U133" i="9"/>
  <c r="O101" i="9"/>
  <c r="K99" i="2"/>
  <c r="U14" i="2"/>
  <c r="N119" i="12"/>
  <c r="O93" i="11"/>
  <c r="O13" i="1"/>
  <c r="K107" i="4"/>
  <c r="AS30" i="11"/>
  <c r="P13" i="12"/>
  <c r="AB38" i="5"/>
  <c r="AM29" i="11"/>
  <c r="AA132" i="8"/>
  <c r="R14" i="7"/>
  <c r="Z37" i="10"/>
  <c r="M119" i="12"/>
  <c r="P14" i="8"/>
  <c r="P95" i="6"/>
  <c r="U14" i="4"/>
  <c r="AA114" i="6"/>
  <c r="X119" i="12"/>
  <c r="K13" i="5"/>
  <c r="Y132" i="4"/>
  <c r="AA115" i="7"/>
  <c r="T106" i="11"/>
  <c r="N29" i="11"/>
  <c r="O96" i="10"/>
  <c r="S96" i="1"/>
  <c r="L96" i="6"/>
  <c r="L108" i="8"/>
  <c r="N96" i="10"/>
  <c r="AA29" i="11"/>
  <c r="P103" i="6"/>
  <c r="AT30" i="11"/>
  <c r="S106" i="11"/>
  <c r="X37" i="13"/>
  <c r="Q38" i="5"/>
  <c r="S95" i="1"/>
  <c r="L1" i="9"/>
  <c r="AI38" i="10"/>
  <c r="L13" i="5"/>
  <c r="AO38" i="8"/>
  <c r="X37" i="12"/>
  <c r="L132" i="9"/>
  <c r="T113" i="5"/>
  <c r="P115" i="11"/>
  <c r="K95" i="5"/>
  <c r="Q115" i="4"/>
  <c r="X116" i="13"/>
  <c r="P96" i="10"/>
  <c r="Q107" i="2"/>
  <c r="L94" i="1"/>
  <c r="AI38" i="8"/>
  <c r="AB37" i="7"/>
  <c r="W115" i="2"/>
  <c r="Q88" i="11"/>
  <c r="AG38" i="8"/>
  <c r="P14" i="10"/>
  <c r="T96" i="8"/>
  <c r="M116" i="2"/>
  <c r="M122" i="8"/>
  <c r="L109" i="1"/>
  <c r="N109" i="1"/>
  <c r="O95" i="4"/>
  <c r="U96" i="9"/>
  <c r="Z133" i="9"/>
  <c r="M85" i="13"/>
  <c r="M82" i="6"/>
  <c r="Y132" i="1"/>
  <c r="N37" i="12"/>
  <c r="S37" i="1"/>
  <c r="M108" i="10"/>
  <c r="O89" i="5"/>
  <c r="L125" i="10"/>
  <c r="N37" i="1"/>
  <c r="O114" i="4"/>
  <c r="S95" i="9"/>
  <c r="Q82" i="5"/>
  <c r="O102" i="8"/>
  <c r="Q106" i="13"/>
  <c r="M95" i="10"/>
  <c r="L94" i="11"/>
  <c r="AK36" i="8"/>
  <c r="U95" i="9"/>
  <c r="T115" i="7"/>
  <c r="AJ37" i="2"/>
  <c r="Q37" i="8"/>
  <c r="V38" i="1"/>
  <c r="P127" i="10"/>
  <c r="O37" i="13"/>
  <c r="O38" i="9"/>
  <c r="V133" i="8"/>
  <c r="P83" i="5"/>
  <c r="P37" i="6"/>
  <c r="Q107" i="11"/>
  <c r="P124" i="4"/>
  <c r="AE38" i="9"/>
  <c r="L102" i="4"/>
  <c r="L98" i="7"/>
  <c r="AC38" i="1"/>
  <c r="O83" i="5"/>
  <c r="L132" i="1"/>
  <c r="S38" i="9"/>
  <c r="R14" i="4"/>
  <c r="S13" i="7"/>
  <c r="AF38" i="7"/>
  <c r="K84" i="2"/>
  <c r="U115" i="2"/>
  <c r="M30" i="11"/>
  <c r="T13" i="11"/>
  <c r="O104" i="5"/>
  <c r="W133" i="8"/>
  <c r="L38" i="8"/>
  <c r="T114" i="5"/>
  <c r="L14" i="10"/>
  <c r="R107" i="2"/>
  <c r="R115" i="7"/>
  <c r="U96" i="8"/>
  <c r="M13" i="13"/>
  <c r="Y38" i="5"/>
  <c r="S13" i="1"/>
  <c r="AH38" i="12"/>
  <c r="M101" i="8"/>
  <c r="K100" i="4"/>
  <c r="N13" i="7"/>
  <c r="AJ38" i="2"/>
  <c r="O37" i="1"/>
  <c r="R88" i="11"/>
  <c r="N97" i="13"/>
  <c r="O14" i="7"/>
  <c r="T115" i="8"/>
  <c r="L133" i="8"/>
  <c r="O95" i="10"/>
  <c r="AG37" i="9"/>
  <c r="L13" i="6"/>
  <c r="T104" i="6"/>
  <c r="X38" i="6"/>
  <c r="AA127" i="10"/>
  <c r="U37" i="6"/>
  <c r="M95" i="6"/>
  <c r="P105" i="7"/>
  <c r="Z113" i="6"/>
  <c r="M82" i="5"/>
  <c r="T105" i="7"/>
  <c r="AK38" i="8"/>
  <c r="S116" i="1"/>
  <c r="M95" i="8"/>
  <c r="V14" i="13"/>
  <c r="T97" i="7"/>
  <c r="R14" i="1"/>
  <c r="N115" i="9"/>
  <c r="AC37" i="9"/>
  <c r="O133" i="9"/>
  <c r="Q98" i="2"/>
  <c r="M108" i="8"/>
  <c r="Z116" i="7"/>
  <c r="S103" i="5"/>
  <c r="AA37" i="13"/>
  <c r="T38" i="7"/>
  <c r="Z133" i="8"/>
  <c r="Y38" i="10"/>
  <c r="T14" i="5"/>
  <c r="L1" i="13"/>
  <c r="M38" i="9"/>
  <c r="T82" i="12"/>
  <c r="U37" i="10"/>
  <c r="AB38" i="6"/>
  <c r="Q132" i="4"/>
  <c r="T38" i="13"/>
  <c r="O84" i="2"/>
  <c r="S84" i="2"/>
  <c r="U38" i="2"/>
  <c r="R115" i="11"/>
  <c r="AE37" i="6"/>
  <c r="W28" i="11"/>
  <c r="O37" i="7"/>
  <c r="L90" i="7"/>
  <c r="Q105" i="13"/>
  <c r="L95" i="1"/>
  <c r="P38" i="9"/>
  <c r="O123" i="4"/>
  <c r="W132" i="1"/>
  <c r="M85" i="7"/>
  <c r="T115" i="11"/>
  <c r="Z37" i="2"/>
  <c r="L96" i="9"/>
  <c r="W38" i="4"/>
  <c r="AF37" i="4"/>
  <c r="Y37" i="2"/>
  <c r="K1" i="4"/>
  <c r="AH37" i="6"/>
  <c r="W38" i="6"/>
  <c r="AS37" i="9"/>
  <c r="M114" i="4"/>
  <c r="S132" i="8"/>
  <c r="L96" i="5"/>
  <c r="U133" i="4"/>
  <c r="T14" i="9"/>
  <c r="L98" i="2"/>
  <c r="M91" i="13"/>
  <c r="L94" i="9"/>
  <c r="R123" i="1"/>
  <c r="M88" i="12"/>
  <c r="V13" i="9"/>
  <c r="M37" i="4"/>
  <c r="K37" i="5"/>
  <c r="M116" i="10"/>
  <c r="L13" i="9"/>
  <c r="W14" i="13"/>
  <c r="U37" i="1"/>
  <c r="M14" i="1"/>
  <c r="AU38" i="9"/>
  <c r="P115" i="10"/>
  <c r="Q95" i="10"/>
  <c r="N116" i="1"/>
  <c r="V37" i="10"/>
  <c r="P13" i="2"/>
  <c r="N108" i="8"/>
  <c r="AH38" i="5"/>
  <c r="T96" i="4"/>
  <c r="S133" i="4"/>
  <c r="AV38" i="1"/>
  <c r="P38" i="7"/>
  <c r="R114" i="8"/>
  <c r="AG37" i="4"/>
  <c r="S109" i="10"/>
  <c r="M121" i="1"/>
  <c r="Q37" i="7"/>
  <c r="M106" i="11"/>
  <c r="R97" i="7"/>
  <c r="S131" i="1"/>
  <c r="L95" i="8"/>
  <c r="M38" i="12"/>
  <c r="U114" i="6"/>
  <c r="Z38" i="12"/>
  <c r="P82" i="5"/>
  <c r="K14" i="1"/>
  <c r="U115" i="13"/>
  <c r="AH38" i="1"/>
  <c r="M101" i="4"/>
  <c r="Y37" i="10"/>
  <c r="V37" i="4"/>
  <c r="S29" i="11"/>
  <c r="R95" i="8"/>
  <c r="AI38" i="2"/>
  <c r="AE38" i="10"/>
  <c r="R96" i="10"/>
  <c r="U38" i="6"/>
  <c r="S14" i="4"/>
  <c r="AA38" i="7"/>
  <c r="S115" i="7"/>
  <c r="S14" i="8"/>
  <c r="AP37" i="10"/>
  <c r="AH38" i="2"/>
  <c r="Q126" i="10"/>
  <c r="Q123" i="4"/>
  <c r="R37" i="10"/>
  <c r="N13" i="12"/>
  <c r="N14" i="13"/>
  <c r="P14" i="5"/>
  <c r="AT37" i="9"/>
  <c r="N84" i="7"/>
  <c r="N13" i="9"/>
  <c r="AH37" i="7"/>
  <c r="M109" i="10"/>
  <c r="X115" i="2"/>
  <c r="L95" i="12"/>
  <c r="L98" i="13"/>
  <c r="K96" i="5"/>
  <c r="S114" i="8"/>
  <c r="R105" i="13"/>
  <c r="Q37" i="13"/>
  <c r="L91" i="7"/>
  <c r="Y38" i="2"/>
  <c r="AM38" i="8"/>
  <c r="W114" i="6"/>
  <c r="N13" i="10"/>
  <c r="AA1" i="2"/>
  <c r="Q117" i="1"/>
  <c r="AJ36" i="1"/>
  <c r="AI38" i="6"/>
  <c r="N98" i="7"/>
  <c r="T133" i="8"/>
  <c r="AI30" i="11"/>
  <c r="R101" i="12"/>
  <c r="Y133" i="4"/>
  <c r="Q122" i="9"/>
  <c r="O88" i="5"/>
  <c r="L14" i="2"/>
  <c r="L93" i="11"/>
  <c r="AA133" i="8"/>
  <c r="AS38" i="1"/>
  <c r="AV37" i="1"/>
  <c r="AF38" i="6"/>
  <c r="Q122" i="8"/>
  <c r="M133" i="9"/>
  <c r="AC38" i="13"/>
  <c r="Z133" i="4"/>
  <c r="AN38" i="1"/>
  <c r="Q85" i="2"/>
  <c r="V13" i="1"/>
  <c r="L101" i="4"/>
  <c r="O99" i="2"/>
  <c r="P82" i="6"/>
  <c r="L108" i="9"/>
  <c r="M83" i="5"/>
  <c r="N95" i="9"/>
  <c r="L85" i="7"/>
  <c r="M100" i="12"/>
  <c r="S109" i="12"/>
  <c r="L1" i="11"/>
  <c r="P107" i="2"/>
  <c r="R122" i="9"/>
  <c r="AA37" i="9"/>
  <c r="Q104" i="5"/>
  <c r="M89" i="5"/>
  <c r="AI37" i="6"/>
  <c r="L14" i="8"/>
  <c r="N38" i="2"/>
  <c r="S123" i="9"/>
  <c r="AN37" i="10"/>
  <c r="O114" i="5"/>
  <c r="R38" i="4"/>
  <c r="P82" i="12"/>
  <c r="Z37" i="8"/>
  <c r="M123" i="9"/>
  <c r="P38" i="8"/>
  <c r="V132" i="1"/>
  <c r="AL37" i="4"/>
  <c r="L36" i="13"/>
  <c r="AU38" i="4"/>
  <c r="M107" i="2"/>
  <c r="W113" i="5"/>
  <c r="AA132" i="9"/>
  <c r="U38" i="9"/>
  <c r="K114" i="4"/>
  <c r="W36" i="10"/>
  <c r="W115" i="7"/>
  <c r="X37" i="4"/>
  <c r="R95" i="6"/>
  <c r="R132" i="9"/>
  <c r="O38" i="10"/>
  <c r="W126" i="10"/>
  <c r="P121" i="1"/>
  <c r="Q123" i="1"/>
  <c r="M81" i="12"/>
  <c r="N113" i="6"/>
  <c r="W37" i="10"/>
  <c r="S132" i="9"/>
  <c r="Z116" i="13"/>
  <c r="L92" i="11"/>
  <c r="P38" i="10"/>
  <c r="R117" i="10"/>
  <c r="V115" i="2"/>
  <c r="AJ37" i="7"/>
  <c r="S96" i="6"/>
  <c r="Q102" i="1"/>
  <c r="P96" i="8"/>
  <c r="X30" i="11"/>
  <c r="Q38" i="12"/>
  <c r="N37" i="6"/>
  <c r="P101" i="9"/>
  <c r="AF37" i="2"/>
  <c r="AE38" i="6"/>
  <c r="AD37" i="8"/>
  <c r="M106" i="2"/>
  <c r="R87" i="11"/>
  <c r="V37" i="1"/>
  <c r="K116" i="2"/>
  <c r="AW38" i="9"/>
  <c r="N37" i="8"/>
  <c r="M94" i="12"/>
  <c r="K83" i="2"/>
  <c r="P14" i="2"/>
  <c r="T126" i="10"/>
  <c r="Q127" i="10"/>
  <c r="O95" i="5"/>
  <c r="AE38" i="1"/>
  <c r="V118" i="12"/>
  <c r="W36" i="12"/>
  <c r="Q37" i="2"/>
  <c r="O91" i="2"/>
  <c r="Z132" i="8"/>
  <c r="AW37" i="8"/>
  <c r="K132" i="4"/>
  <c r="Y114" i="11"/>
  <c r="AS29" i="11"/>
  <c r="K38" i="1"/>
  <c r="L1" i="12"/>
  <c r="T132" i="9"/>
  <c r="AK37" i="4"/>
  <c r="T115" i="2"/>
  <c r="N97" i="7"/>
  <c r="T122" i="9"/>
  <c r="AG38" i="9"/>
  <c r="T114" i="11"/>
  <c r="T119" i="12"/>
  <c r="K1" i="5"/>
  <c r="L126" i="10"/>
  <c r="AB38" i="13"/>
  <c r="Q96" i="9"/>
  <c r="L37" i="9"/>
  <c r="O96" i="4"/>
  <c r="S14" i="2"/>
  <c r="O14" i="12"/>
  <c r="S104" i="6"/>
  <c r="AF37" i="5"/>
  <c r="U13" i="8"/>
  <c r="P84" i="7"/>
  <c r="T96" i="9"/>
  <c r="W14" i="8"/>
  <c r="Z38" i="8"/>
  <c r="T106" i="7"/>
  <c r="L102" i="5"/>
  <c r="O98" i="7"/>
  <c r="T14" i="1"/>
  <c r="W114" i="11"/>
  <c r="V131" i="1"/>
  <c r="U84" i="13"/>
  <c r="V132" i="4"/>
  <c r="N30" i="11"/>
  <c r="K37" i="2"/>
  <c r="O127" i="10"/>
  <c r="AG38" i="2"/>
  <c r="M115" i="7"/>
  <c r="O133" i="8"/>
  <c r="AL38" i="13"/>
  <c r="M103" i="10"/>
  <c r="P93" i="12"/>
  <c r="O96" i="1"/>
  <c r="S37" i="2"/>
  <c r="N84" i="2"/>
  <c r="L92" i="2"/>
  <c r="M116" i="7"/>
  <c r="M84" i="7"/>
  <c r="P30" i="11"/>
  <c r="L28" i="11"/>
  <c r="P114" i="8"/>
  <c r="S98" i="7"/>
  <c r="O95" i="8"/>
  <c r="AJ37" i="10"/>
  <c r="S13" i="5"/>
  <c r="Z37" i="5"/>
  <c r="V36" i="1"/>
  <c r="AG38" i="7"/>
  <c r="S101" i="12"/>
  <c r="R115" i="8"/>
  <c r="P85" i="2"/>
  <c r="M14" i="8"/>
  <c r="AA113" i="6"/>
  <c r="M102" i="4"/>
  <c r="Q13" i="12"/>
  <c r="AC37" i="10"/>
  <c r="O13" i="8"/>
  <c r="V30" i="11"/>
  <c r="X37" i="10"/>
  <c r="AA133" i="9"/>
  <c r="K114" i="2"/>
  <c r="T38" i="6"/>
  <c r="O100" i="12"/>
  <c r="O96" i="5"/>
  <c r="N101" i="9"/>
  <c r="P98" i="2"/>
  <c r="T96" i="10"/>
  <c r="N14" i="2"/>
  <c r="P109" i="10"/>
  <c r="AA38" i="2"/>
  <c r="AB1" i="8"/>
  <c r="AR29" i="11"/>
  <c r="Q84" i="2"/>
  <c r="R133" i="4"/>
  <c r="T13" i="6"/>
  <c r="X37" i="8"/>
  <c r="N96" i="6"/>
  <c r="Q87" i="12"/>
  <c r="N37" i="2"/>
  <c r="L110" i="1"/>
  <c r="AV37" i="9"/>
  <c r="Y119" i="12"/>
  <c r="M38" i="10"/>
  <c r="Z38" i="4"/>
  <c r="L93" i="12"/>
  <c r="L115" i="8"/>
  <c r="AA38" i="6"/>
  <c r="S38" i="10"/>
  <c r="L101" i="10"/>
  <c r="T123" i="9"/>
  <c r="Y131" i="1"/>
  <c r="M98" i="2"/>
  <c r="R37" i="7"/>
  <c r="L107" i="10"/>
  <c r="P114" i="6"/>
  <c r="L14" i="5"/>
  <c r="AE37" i="4"/>
  <c r="T14" i="7"/>
  <c r="AT38" i="1"/>
  <c r="AK38" i="2"/>
  <c r="L12" i="13"/>
  <c r="W38" i="8"/>
  <c r="P13" i="9"/>
  <c r="N123" i="8"/>
  <c r="P123" i="8"/>
  <c r="P37" i="5"/>
  <c r="AE37" i="7"/>
  <c r="L37" i="6"/>
  <c r="M133" i="4"/>
  <c r="M84" i="2"/>
  <c r="L1" i="6"/>
  <c r="P119" i="12"/>
  <c r="M13" i="5"/>
  <c r="AG37" i="2"/>
  <c r="AJ38" i="4"/>
  <c r="P101" i="8"/>
  <c r="N95" i="6"/>
  <c r="U13" i="2"/>
  <c r="U114" i="11"/>
  <c r="V38" i="8"/>
  <c r="AN29" i="11"/>
  <c r="R115" i="9"/>
  <c r="AT29" i="11"/>
  <c r="P14" i="12"/>
  <c r="AI37" i="10"/>
  <c r="R38" i="6"/>
  <c r="AD29" i="11"/>
  <c r="Z114" i="6"/>
  <c r="U116" i="7"/>
  <c r="U95" i="10"/>
  <c r="Q106" i="7"/>
  <c r="L37" i="8"/>
  <c r="W37" i="4"/>
  <c r="L37" i="10"/>
  <c r="T95" i="4"/>
  <c r="L12" i="9"/>
  <c r="U37" i="4"/>
  <c r="AB38" i="1"/>
  <c r="AH38" i="4"/>
  <c r="P106" i="2"/>
  <c r="M97" i="13"/>
  <c r="M38" i="2"/>
  <c r="AB37" i="1"/>
  <c r="O14" i="11"/>
  <c r="P115" i="7"/>
  <c r="O38" i="1"/>
  <c r="AB1" i="13"/>
  <c r="AN37" i="1"/>
  <c r="R30" i="11"/>
  <c r="R114" i="5"/>
  <c r="AQ29" i="11"/>
  <c r="U81" i="12"/>
  <c r="AQ38" i="8"/>
  <c r="M94" i="11"/>
  <c r="AA115" i="11"/>
  <c r="AP29" i="11"/>
  <c r="R82" i="12"/>
  <c r="R84" i="2"/>
  <c r="S37" i="10"/>
  <c r="N87" i="11"/>
  <c r="R132" i="8"/>
  <c r="P37" i="4"/>
  <c r="K112" i="5"/>
  <c r="Z37" i="7"/>
  <c r="T116" i="1"/>
  <c r="T115" i="13"/>
  <c r="N107" i="11"/>
  <c r="AE38" i="7"/>
  <c r="Q95" i="6"/>
  <c r="M38" i="4"/>
  <c r="M99" i="2"/>
  <c r="AL38" i="4"/>
  <c r="AJ38" i="13"/>
  <c r="R106" i="2"/>
  <c r="N118" i="12"/>
  <c r="S122" i="9"/>
  <c r="N131" i="1"/>
  <c r="L101" i="8"/>
  <c r="L115" i="9"/>
  <c r="AL37" i="8"/>
  <c r="Z132" i="4"/>
  <c r="R132" i="1"/>
  <c r="W37" i="5"/>
  <c r="L88" i="6"/>
  <c r="M103" i="5"/>
  <c r="R37" i="13"/>
  <c r="M96" i="6"/>
  <c r="T37" i="1"/>
  <c r="W38" i="1"/>
  <c r="Y116" i="7"/>
  <c r="AI38" i="9"/>
  <c r="R118" i="12"/>
  <c r="P84" i="2"/>
  <c r="T84" i="2"/>
  <c r="M37" i="5"/>
  <c r="T85" i="7"/>
  <c r="AS37" i="4"/>
  <c r="AJ29" i="11"/>
  <c r="AU37" i="1"/>
  <c r="L123" i="4"/>
  <c r="S38" i="2"/>
  <c r="T14" i="13"/>
  <c r="AK38" i="1"/>
  <c r="X38" i="8"/>
  <c r="N109" i="9"/>
  <c r="Z36" i="13"/>
  <c r="L100" i="11"/>
  <c r="R113" i="5"/>
  <c r="X37" i="2"/>
  <c r="AH38" i="8"/>
  <c r="M108" i="4"/>
  <c r="AW37" i="9"/>
  <c r="U13" i="13"/>
  <c r="U37" i="2"/>
  <c r="P97" i="7"/>
  <c r="X132" i="9"/>
  <c r="L85" i="13"/>
  <c r="M38" i="6"/>
  <c r="AB37" i="6"/>
  <c r="T14" i="6"/>
  <c r="M102" i="10"/>
  <c r="R14" i="5"/>
  <c r="R14" i="6"/>
  <c r="X116" i="7"/>
  <c r="O132" i="1"/>
  <c r="K1" i="2"/>
  <c r="Q115" i="2"/>
  <c r="R13" i="5"/>
  <c r="V38" i="12"/>
  <c r="L13" i="10"/>
  <c r="R108" i="12"/>
  <c r="M37" i="9"/>
  <c r="AN37" i="4"/>
  <c r="U115" i="7"/>
  <c r="L81" i="12"/>
  <c r="T131" i="1"/>
  <c r="Z37" i="1"/>
  <c r="AD37" i="13"/>
  <c r="V13" i="5"/>
  <c r="Q38" i="13"/>
  <c r="L90" i="6"/>
  <c r="L92" i="7"/>
  <c r="M91" i="2"/>
  <c r="Q113" i="5"/>
  <c r="P102" i="4"/>
  <c r="P96" i="5"/>
  <c r="Q124" i="4"/>
  <c r="N100" i="12"/>
  <c r="AQ37" i="1"/>
  <c r="O115" i="7"/>
  <c r="AL38" i="10"/>
  <c r="X113" i="5"/>
  <c r="P115" i="9"/>
  <c r="AC38" i="7"/>
  <c r="S38" i="12"/>
  <c r="N133" i="4"/>
  <c r="L99" i="12"/>
  <c r="AR38" i="4"/>
  <c r="X115" i="13"/>
  <c r="R123" i="4"/>
  <c r="N13" i="5"/>
  <c r="Y38" i="9"/>
  <c r="W114" i="5"/>
  <c r="AR37" i="10"/>
  <c r="Q38" i="9"/>
  <c r="O87" i="12"/>
  <c r="P90" i="13"/>
  <c r="K114" i="5"/>
  <c r="S96" i="5"/>
  <c r="V36" i="5"/>
  <c r="K91" i="2"/>
  <c r="N115" i="13"/>
  <c r="L36" i="9"/>
  <c r="W38" i="12"/>
  <c r="AB38" i="8"/>
  <c r="W133" i="4"/>
  <c r="T38" i="2"/>
  <c r="N92" i="7"/>
  <c r="V38" i="6"/>
  <c r="T132" i="8"/>
  <c r="M114" i="6"/>
  <c r="Q97" i="7"/>
  <c r="R37" i="2"/>
  <c r="Y113" i="5"/>
  <c r="AD38" i="1"/>
  <c r="M132" i="4"/>
  <c r="W13" i="6"/>
  <c r="R123" i="8"/>
  <c r="AP38" i="1"/>
  <c r="O102" i="4"/>
  <c r="AL37" i="9"/>
  <c r="M102" i="8"/>
  <c r="AP38" i="4"/>
  <c r="U133" i="8"/>
  <c r="R13" i="7"/>
  <c r="AC38" i="8"/>
  <c r="Q106" i="11"/>
  <c r="R37" i="12"/>
  <c r="AQ37" i="8"/>
  <c r="AK37" i="7"/>
  <c r="W37" i="7"/>
  <c r="AD38" i="9"/>
  <c r="AB37" i="5"/>
  <c r="Y38" i="1"/>
  <c r="S133" i="9"/>
  <c r="R38" i="8"/>
  <c r="M106" i="13"/>
  <c r="M107" i="11"/>
  <c r="L14" i="11"/>
  <c r="L130" i="1"/>
  <c r="R38" i="1"/>
  <c r="L105" i="11"/>
  <c r="K90" i="2"/>
  <c r="AJ38" i="10"/>
  <c r="AB1" i="7"/>
  <c r="S108" i="10"/>
  <c r="X37" i="6"/>
  <c r="N95" i="5"/>
  <c r="Q133" i="4"/>
  <c r="R104" i="5"/>
  <c r="Z38" i="6"/>
  <c r="Q115" i="13"/>
  <c r="W14" i="12"/>
  <c r="M13" i="9"/>
  <c r="M104" i="6"/>
  <c r="AH37" i="5"/>
  <c r="Q13" i="9"/>
  <c r="R116" i="2"/>
  <c r="AB37" i="12"/>
  <c r="L82" i="12"/>
  <c r="AB1" i="11"/>
  <c r="L113" i="9"/>
  <c r="S106" i="7"/>
  <c r="P96" i="6"/>
  <c r="L36" i="12"/>
  <c r="X114" i="6"/>
  <c r="L12" i="10"/>
  <c r="AA38" i="8"/>
  <c r="S100" i="12"/>
  <c r="W14" i="10"/>
  <c r="Q13" i="4"/>
  <c r="Q95" i="1"/>
  <c r="AW38" i="8"/>
  <c r="T38" i="5"/>
  <c r="M92" i="7"/>
  <c r="K36" i="1"/>
  <c r="R96" i="9"/>
  <c r="U37" i="12"/>
  <c r="AL37" i="7"/>
  <c r="AE37" i="9"/>
  <c r="L37" i="13"/>
  <c r="AP37" i="4"/>
  <c r="R115" i="2"/>
  <c r="S95" i="10"/>
  <c r="N106" i="11"/>
  <c r="R99" i="2"/>
  <c r="T95" i="10"/>
  <c r="T127" i="10"/>
  <c r="M38" i="8"/>
  <c r="Q37" i="6"/>
  <c r="L115" i="2"/>
  <c r="P104" i="5"/>
  <c r="M13" i="10"/>
  <c r="L106" i="2"/>
  <c r="AC38" i="6"/>
  <c r="AI37" i="12"/>
  <c r="O81" i="12"/>
  <c r="AR37" i="9"/>
  <c r="N13" i="11"/>
  <c r="Y116" i="13"/>
  <c r="R117" i="1"/>
  <c r="L36" i="10"/>
  <c r="L83" i="7"/>
  <c r="P95" i="10"/>
  <c r="T13" i="8"/>
  <c r="R13" i="6"/>
  <c r="V13" i="4"/>
  <c r="W115" i="13"/>
  <c r="M123" i="1"/>
  <c r="T38" i="8"/>
  <c r="M109" i="1"/>
  <c r="Q106" i="2"/>
  <c r="N98" i="13"/>
  <c r="N132" i="9"/>
  <c r="U37" i="9"/>
  <c r="L96" i="4"/>
  <c r="AI38" i="1"/>
  <c r="U13" i="11"/>
  <c r="T98" i="7"/>
  <c r="L116" i="7"/>
  <c r="AP37" i="8"/>
  <c r="O82" i="6"/>
  <c r="M114" i="8"/>
  <c r="AK37" i="13"/>
  <c r="T114" i="6"/>
  <c r="AR37" i="4"/>
  <c r="W13" i="13"/>
  <c r="T122" i="1"/>
  <c r="Y132" i="9"/>
  <c r="AH38" i="9"/>
  <c r="AH37" i="2"/>
  <c r="AM30" i="11"/>
  <c r="O84" i="7"/>
  <c r="Q109" i="12"/>
  <c r="M121" i="8"/>
  <c r="V115" i="11"/>
  <c r="N91" i="13"/>
  <c r="AC37" i="5"/>
  <c r="T13" i="13"/>
  <c r="L94" i="8"/>
  <c r="Q38" i="10"/>
  <c r="V38" i="7"/>
  <c r="P106" i="11"/>
  <c r="L103" i="10"/>
  <c r="S38" i="8"/>
  <c r="R98" i="7"/>
  <c r="AF38" i="12"/>
  <c r="P103" i="1"/>
  <c r="N90" i="6"/>
  <c r="AE38" i="8"/>
  <c r="N132" i="4"/>
  <c r="O13" i="9"/>
  <c r="L1" i="8"/>
  <c r="M104" i="5"/>
  <c r="S116" i="13"/>
  <c r="R106" i="11"/>
  <c r="R83" i="5"/>
  <c r="L83" i="6"/>
  <c r="X29" i="11"/>
  <c r="N37" i="10"/>
  <c r="L89" i="6"/>
  <c r="L114" i="13"/>
  <c r="N13" i="1"/>
  <c r="N122" i="9"/>
  <c r="L29" i="11"/>
  <c r="L96" i="7"/>
  <c r="M95" i="12"/>
  <c r="AH37" i="8"/>
  <c r="AV37" i="10"/>
  <c r="T106" i="13"/>
  <c r="L36" i="7"/>
  <c r="P14" i="1"/>
  <c r="S14" i="12"/>
  <c r="U14" i="6"/>
  <c r="S38" i="1"/>
  <c r="AA30" i="11"/>
  <c r="U132" i="9"/>
  <c r="M106" i="7"/>
  <c r="T14" i="12"/>
  <c r="AG38" i="4"/>
  <c r="P37" i="9"/>
  <c r="AD38" i="4"/>
  <c r="L37" i="1"/>
  <c r="AE37" i="8"/>
  <c r="M96" i="1"/>
  <c r="M103" i="1"/>
  <c r="O101" i="8"/>
  <c r="L14" i="7"/>
  <c r="Q13" i="11"/>
  <c r="U96" i="10"/>
  <c r="O13" i="7"/>
  <c r="T38" i="10"/>
  <c r="O115" i="13"/>
  <c r="L102" i="10"/>
  <c r="M98" i="13"/>
  <c r="M109" i="8"/>
  <c r="R95" i="1"/>
  <c r="L109" i="10"/>
  <c r="V37" i="7"/>
  <c r="Y38" i="7"/>
  <c r="N109" i="12"/>
  <c r="P109" i="12"/>
  <c r="U131" i="1"/>
  <c r="S117" i="10"/>
  <c r="AA118" i="12"/>
  <c r="Y116" i="2"/>
  <c r="Z114" i="11"/>
  <c r="X38" i="9"/>
  <c r="AK29" i="11"/>
  <c r="S126" i="10"/>
  <c r="Y37" i="6"/>
  <c r="AC37" i="8"/>
  <c r="Q98" i="13"/>
  <c r="N38" i="1"/>
  <c r="AU37" i="10"/>
  <c r="R14" i="9"/>
  <c r="N115" i="2"/>
  <c r="AA37" i="1"/>
  <c r="AB1" i="9"/>
  <c r="M114" i="5"/>
  <c r="AW30" i="11"/>
  <c r="O13" i="5"/>
  <c r="R14" i="13"/>
  <c r="N105" i="13"/>
  <c r="U38" i="5"/>
  <c r="M82" i="12"/>
  <c r="Q88" i="12"/>
  <c r="AG29" i="11"/>
  <c r="M103" i="6"/>
  <c r="T115" i="9"/>
  <c r="L133" i="9"/>
  <c r="AC38" i="4"/>
  <c r="S127" i="10"/>
  <c r="N38" i="12"/>
  <c r="S84" i="7"/>
  <c r="S99" i="2"/>
  <c r="N14" i="12"/>
  <c r="AB37" i="2"/>
  <c r="P88" i="11"/>
  <c r="K14" i="2"/>
  <c r="U116" i="2"/>
  <c r="N102" i="8"/>
  <c r="Q13" i="13"/>
  <c r="T132" i="4"/>
  <c r="O101" i="4"/>
  <c r="R37" i="1"/>
  <c r="AJ38" i="7"/>
  <c r="N96" i="1"/>
  <c r="S37" i="6"/>
  <c r="T83" i="5"/>
  <c r="AF37" i="1"/>
  <c r="O132" i="4"/>
  <c r="N114" i="8"/>
  <c r="S38" i="7"/>
  <c r="Q103" i="5"/>
  <c r="P14" i="9"/>
  <c r="Q99" i="2"/>
  <c r="Y118" i="12"/>
  <c r="M89" i="6"/>
  <c r="AA116" i="7"/>
  <c r="P132" i="8"/>
  <c r="AC30" i="11"/>
  <c r="S84" i="13"/>
  <c r="P83" i="6"/>
  <c r="R109" i="12"/>
  <c r="Y127" i="10"/>
  <c r="P122" i="1"/>
  <c r="Q83" i="6"/>
  <c r="L115" i="13"/>
  <c r="Y37" i="12"/>
  <c r="N13" i="8"/>
  <c r="V13" i="13"/>
  <c r="W13" i="7"/>
  <c r="Q102" i="8"/>
  <c r="AG38" i="12"/>
  <c r="K96" i="4"/>
  <c r="AN38" i="4"/>
  <c r="M117" i="1"/>
  <c r="Q101" i="8"/>
  <c r="M132" i="1"/>
  <c r="M29" i="11"/>
  <c r="W38" i="10"/>
  <c r="N99" i="2"/>
  <c r="K97" i="2"/>
  <c r="P85" i="13"/>
  <c r="Z115" i="7"/>
  <c r="M115" i="11"/>
  <c r="U95" i="8"/>
  <c r="P133" i="8"/>
  <c r="O37" i="12"/>
  <c r="Z37" i="12"/>
  <c r="Z119" i="12"/>
  <c r="M38" i="13"/>
  <c r="K94" i="4"/>
  <c r="AD37" i="9"/>
  <c r="S37" i="4"/>
  <c r="T37" i="12"/>
  <c r="O114" i="6"/>
  <c r="AI38" i="4"/>
  <c r="K115" i="2"/>
  <c r="R96" i="1"/>
  <c r="P104" i="13"/>
  <c r="AJ38" i="9"/>
  <c r="AQ37" i="4"/>
  <c r="M38" i="5"/>
  <c r="S14" i="7"/>
  <c r="V13" i="8"/>
  <c r="AM38" i="4"/>
  <c r="AF38" i="2"/>
  <c r="V113" i="6"/>
  <c r="T96" i="1"/>
  <c r="L122" i="4"/>
  <c r="Z127" i="10"/>
  <c r="K89" i="5"/>
  <c r="U119" i="12"/>
  <c r="L100" i="9"/>
  <c r="L12" i="7"/>
  <c r="N96" i="5"/>
  <c r="N108" i="10"/>
  <c r="Q114" i="4"/>
  <c r="U37" i="7"/>
  <c r="M105" i="7"/>
  <c r="Z38" i="9"/>
  <c r="L114" i="8"/>
  <c r="L86" i="12"/>
  <c r="M93" i="11"/>
  <c r="Q105" i="7"/>
  <c r="T105" i="13"/>
  <c r="V114" i="6"/>
  <c r="O38" i="7"/>
  <c r="L99" i="11"/>
  <c r="P102" i="1"/>
  <c r="T132" i="1"/>
  <c r="AK38" i="7"/>
  <c r="U96" i="1"/>
  <c r="AV38" i="8"/>
  <c r="M127" i="10"/>
  <c r="P98" i="7"/>
  <c r="AR38" i="8"/>
  <c r="L12" i="6"/>
  <c r="N101" i="4"/>
  <c r="L12" i="11"/>
  <c r="O95" i="6"/>
  <c r="U13" i="7"/>
  <c r="Q116" i="1"/>
  <c r="AU37" i="8"/>
  <c r="P13" i="8"/>
  <c r="T13" i="4"/>
  <c r="T133" i="9"/>
  <c r="AU30" i="11"/>
  <c r="M13" i="11"/>
  <c r="R96" i="4"/>
  <c r="K95" i="4"/>
  <c r="R114" i="6"/>
  <c r="T95" i="6"/>
  <c r="S95" i="4"/>
  <c r="AN38" i="10"/>
  <c r="P121" i="9"/>
  <c r="O115" i="9"/>
  <c r="P116" i="7"/>
  <c r="P38" i="1"/>
  <c r="X38" i="12"/>
  <c r="AK37" i="9"/>
  <c r="AJ37" i="1"/>
  <c r="U14" i="10"/>
  <c r="R107" i="11"/>
  <c r="L14" i="4"/>
  <c r="R84" i="7"/>
  <c r="T37" i="4"/>
  <c r="AU37" i="4"/>
  <c r="T117" i="10"/>
  <c r="Q132" i="9"/>
  <c r="M90" i="6"/>
  <c r="M104" i="13"/>
  <c r="S96" i="4"/>
  <c r="AD38" i="8"/>
  <c r="N103" i="10"/>
  <c r="AE38" i="4"/>
  <c r="AF38" i="9"/>
  <c r="L13" i="8"/>
  <c r="AB1" i="6"/>
  <c r="Q38" i="2"/>
  <c r="M14" i="5"/>
  <c r="U88" i="11"/>
  <c r="Q14" i="5"/>
  <c r="Q38" i="4"/>
  <c r="O83" i="6"/>
  <c r="S81" i="12"/>
  <c r="U38" i="1"/>
  <c r="O122" i="4"/>
  <c r="R38" i="10"/>
  <c r="L95" i="5"/>
  <c r="Z131" i="1"/>
  <c r="AS37" i="10"/>
  <c r="P37" i="12"/>
  <c r="P14" i="13"/>
  <c r="M85" i="2"/>
  <c r="L1" i="7"/>
  <c r="S123" i="1"/>
  <c r="L117" i="1"/>
  <c r="S118" i="12"/>
  <c r="Y133" i="8"/>
  <c r="V37" i="9"/>
  <c r="X116" i="2"/>
  <c r="O13" i="4"/>
  <c r="U38" i="10"/>
  <c r="Q93" i="11"/>
  <c r="T88" i="11"/>
  <c r="W13" i="10"/>
  <c r="T87" i="11"/>
  <c r="AJ37" i="13"/>
  <c r="M100" i="11"/>
  <c r="M37" i="7"/>
  <c r="V38" i="10"/>
  <c r="M115" i="2"/>
  <c r="N95" i="12"/>
  <c r="M98" i="7"/>
  <c r="AL38" i="7"/>
  <c r="Y38" i="4"/>
  <c r="AI37" i="1"/>
  <c r="L107" i="8"/>
  <c r="AK38" i="4"/>
  <c r="P132" i="9"/>
  <c r="N95" i="1"/>
  <c r="R37" i="4"/>
  <c r="AB38" i="7"/>
  <c r="N127" i="10"/>
  <c r="N38" i="7"/>
  <c r="U113" i="5"/>
  <c r="O107" i="4"/>
  <c r="K37" i="1"/>
  <c r="N14" i="8"/>
  <c r="AV29" i="11"/>
  <c r="AU38" i="10"/>
  <c r="L81" i="6"/>
  <c r="AR37" i="1"/>
  <c r="AB37" i="9"/>
  <c r="R131" i="1"/>
  <c r="T123" i="1"/>
  <c r="L13" i="2"/>
  <c r="Q14" i="9"/>
  <c r="Q96" i="10"/>
  <c r="W131" i="1"/>
  <c r="N116" i="13"/>
  <c r="N108" i="12"/>
  <c r="Q38" i="7"/>
  <c r="P102" i="9"/>
  <c r="AA116" i="13"/>
  <c r="AA37" i="8"/>
  <c r="S87" i="11"/>
  <c r="AI37" i="4"/>
  <c r="P84" i="13"/>
  <c r="T37" i="5"/>
  <c r="Y29" i="11"/>
  <c r="T38" i="9"/>
  <c r="AG38" i="5"/>
  <c r="S104" i="5"/>
  <c r="K81" i="5"/>
  <c r="W14" i="9"/>
  <c r="Y126" i="10"/>
  <c r="U38" i="8"/>
  <c r="S132" i="4"/>
  <c r="AC38" i="2"/>
  <c r="L124" i="4"/>
  <c r="Q38" i="1"/>
  <c r="L38" i="5"/>
  <c r="AA37" i="6"/>
  <c r="AG38" i="1"/>
  <c r="AI29" i="11"/>
  <c r="AN37" i="8"/>
  <c r="L37" i="4"/>
  <c r="AE38" i="13"/>
  <c r="M13" i="8"/>
  <c r="S98" i="2"/>
  <c r="Q114" i="11"/>
  <c r="P37" i="10"/>
  <c r="T38" i="4"/>
  <c r="N101" i="12"/>
  <c r="S113" i="5"/>
  <c r="W119" i="12"/>
  <c r="L116" i="1"/>
  <c r="N115" i="8"/>
  <c r="P95" i="4"/>
  <c r="AN37" i="9"/>
  <c r="N13" i="2"/>
  <c r="K83" i="5"/>
  <c r="M13" i="2"/>
  <c r="N37" i="13"/>
  <c r="N133" i="9"/>
  <c r="P131" i="1"/>
  <c r="AT37" i="4"/>
  <c r="AM37" i="4"/>
  <c r="R14" i="12"/>
  <c r="O98" i="2"/>
  <c r="AC37" i="2"/>
  <c r="AE38" i="2"/>
  <c r="T14" i="11"/>
  <c r="V13" i="12"/>
  <c r="R116" i="1"/>
  <c r="M110" i="1"/>
  <c r="V13" i="6"/>
  <c r="N95" i="10"/>
  <c r="O38" i="6"/>
  <c r="R97" i="13"/>
  <c r="L114" i="5"/>
  <c r="N126" i="10"/>
  <c r="S107" i="11"/>
  <c r="AP37" i="1"/>
  <c r="AE37" i="2"/>
  <c r="O94" i="11"/>
  <c r="X37" i="1"/>
  <c r="W116" i="7"/>
  <c r="AD37" i="2"/>
  <c r="AB37" i="8"/>
  <c r="N115" i="7"/>
  <c r="T30" i="11"/>
  <c r="M108" i="9"/>
  <c r="L12" i="12"/>
  <c r="N14" i="4"/>
  <c r="M37" i="6"/>
  <c r="P105" i="13"/>
  <c r="S37" i="9"/>
  <c r="R122" i="8"/>
  <c r="L37" i="2"/>
  <c r="S97" i="7"/>
  <c r="P108" i="9"/>
  <c r="T116" i="2"/>
  <c r="S114" i="9"/>
  <c r="M122" i="1"/>
  <c r="AB38" i="10"/>
  <c r="AS37" i="8"/>
  <c r="Y113" i="6"/>
  <c r="N133" i="8"/>
  <c r="P13" i="13"/>
  <c r="P115" i="8"/>
  <c r="S82" i="12"/>
  <c r="L38" i="4"/>
  <c r="L104" i="5"/>
  <c r="U87" i="11"/>
  <c r="S95" i="6"/>
  <c r="AN38" i="9"/>
  <c r="M123" i="8"/>
  <c r="Y132" i="8"/>
  <c r="O38" i="2"/>
  <c r="AB37" i="13"/>
  <c r="Q81" i="12"/>
  <c r="N117" i="1"/>
  <c r="M113" i="5"/>
  <c r="N96" i="4"/>
  <c r="Q37" i="4"/>
  <c r="AL37" i="1"/>
  <c r="Q102" i="9"/>
  <c r="AH38" i="10"/>
  <c r="M116" i="1"/>
  <c r="W38" i="2"/>
  <c r="Q13" i="5"/>
  <c r="AG37" i="10"/>
  <c r="N114" i="4"/>
  <c r="V116" i="2"/>
  <c r="AA37" i="2"/>
  <c r="U30" i="11"/>
  <c r="U37" i="5"/>
  <c r="AI37" i="9"/>
  <c r="W14" i="7"/>
  <c r="P116" i="13"/>
  <c r="V115" i="7"/>
  <c r="U132" i="4"/>
  <c r="AJ30" i="11"/>
  <c r="AK37" i="1"/>
  <c r="W38" i="5"/>
  <c r="V36" i="4"/>
  <c r="K12" i="2"/>
  <c r="P115" i="13"/>
  <c r="L38" i="6"/>
  <c r="Q114" i="9"/>
  <c r="U14" i="1"/>
  <c r="P122" i="8"/>
  <c r="S114" i="11"/>
  <c r="AA38" i="12"/>
  <c r="R133" i="9"/>
  <c r="AB37" i="4"/>
  <c r="L117" i="12"/>
  <c r="AE37" i="1"/>
  <c r="N14" i="10"/>
  <c r="K38" i="2"/>
  <c r="P100" i="12"/>
  <c r="M14" i="13"/>
  <c r="W29" i="11"/>
  <c r="Q14" i="11"/>
  <c r="N14" i="11"/>
  <c r="L86" i="11"/>
  <c r="AB1" i="10"/>
  <c r="L118" i="12"/>
  <c r="Q85" i="7"/>
  <c r="U126" i="10"/>
  <c r="S85" i="13"/>
  <c r="L95" i="9"/>
  <c r="L89" i="5"/>
  <c r="M102" i="9"/>
  <c r="W13" i="12"/>
  <c r="M115" i="8"/>
  <c r="O115" i="2"/>
  <c r="AB30" i="11"/>
  <c r="O114" i="11"/>
  <c r="V37" i="13"/>
  <c r="W118" i="12"/>
  <c r="L88" i="11"/>
  <c r="AH37" i="12"/>
  <c r="O119" i="12"/>
  <c r="P95" i="5"/>
  <c r="R105" i="7"/>
  <c r="L114" i="9"/>
  <c r="T123" i="8"/>
  <c r="AF37" i="7"/>
  <c r="W132" i="8"/>
  <c r="P87" i="12"/>
  <c r="AT38" i="4"/>
  <c r="V37" i="12"/>
  <c r="P115" i="2"/>
  <c r="S37" i="8"/>
  <c r="S132" i="1"/>
  <c r="S82" i="6"/>
  <c r="P95" i="9"/>
  <c r="K12" i="4"/>
  <c r="O132" i="8"/>
  <c r="V14" i="9"/>
  <c r="R38" i="5"/>
  <c r="Q14" i="2"/>
  <c r="M95" i="4"/>
  <c r="AF38" i="4"/>
  <c r="AS38" i="10"/>
  <c r="S13" i="4"/>
  <c r="M91" i="7"/>
  <c r="O108" i="4"/>
  <c r="L94" i="12"/>
  <c r="AJ38" i="1"/>
  <c r="S122" i="8"/>
  <c r="N116" i="7"/>
  <c r="AG37" i="8"/>
  <c r="AO38" i="9"/>
  <c r="S122" i="1"/>
  <c r="N94" i="11"/>
  <c r="L85" i="2"/>
  <c r="L109" i="8"/>
  <c r="M97" i="7"/>
  <c r="T116" i="7"/>
  <c r="O38" i="5"/>
  <c r="P96" i="9"/>
  <c r="T37" i="13"/>
  <c r="AF38" i="1"/>
  <c r="AI38" i="13"/>
  <c r="R84" i="13"/>
  <c r="U38" i="13"/>
  <c r="Q30" i="11"/>
  <c r="S116" i="10"/>
  <c r="AE37" i="5"/>
  <c r="N103" i="1"/>
  <c r="S114" i="5"/>
  <c r="L30" i="11"/>
  <c r="T84" i="13"/>
  <c r="L102" i="9"/>
  <c r="S119" i="12"/>
  <c r="O103" i="5"/>
  <c r="M115" i="4"/>
  <c r="Z126" i="10"/>
  <c r="S106" i="13"/>
  <c r="L113" i="5"/>
  <c r="L14" i="12"/>
  <c r="AB37" i="10"/>
  <c r="M38" i="1"/>
  <c r="O108" i="10"/>
  <c r="P113" i="5"/>
  <c r="AO37" i="9"/>
  <c r="O88" i="11"/>
  <c r="V14" i="6"/>
  <c r="T37" i="6"/>
  <c r="M87" i="12"/>
  <c r="M13" i="1"/>
  <c r="L84" i="13"/>
  <c r="M96" i="8"/>
  <c r="S124" i="4"/>
  <c r="Q116" i="10"/>
  <c r="Y37" i="7"/>
  <c r="P13" i="10"/>
  <c r="AD37" i="4"/>
  <c r="N85" i="13"/>
  <c r="O118" i="12"/>
  <c r="T118" i="12"/>
  <c r="AF38" i="8"/>
  <c r="AA131" i="1"/>
  <c r="R38" i="13"/>
  <c r="R95" i="10"/>
  <c r="R13" i="9"/>
  <c r="P91" i="13"/>
  <c r="M96" i="4"/>
  <c r="K13" i="2"/>
  <c r="V37" i="8"/>
  <c r="Q114" i="8"/>
  <c r="V14" i="7"/>
  <c r="AH37" i="9"/>
  <c r="V132" i="8"/>
  <c r="R85" i="7"/>
  <c r="V132" i="9"/>
  <c r="AA132" i="1"/>
  <c r="L114" i="6"/>
  <c r="T96" i="6"/>
  <c r="P133" i="4"/>
  <c r="L100" i="8"/>
  <c r="Q131" i="1"/>
  <c r="P87" i="11"/>
  <c r="L101" i="12"/>
  <c r="R14" i="11"/>
  <c r="Q37" i="9"/>
  <c r="V14" i="8"/>
  <c r="Q82" i="6"/>
  <c r="M37" i="8"/>
  <c r="AA119" i="12"/>
  <c r="M132" i="9"/>
  <c r="R122" i="1"/>
  <c r="P101" i="12"/>
  <c r="T13" i="1"/>
  <c r="S37" i="7"/>
  <c r="L114" i="11"/>
  <c r="N116" i="2"/>
  <c r="T13" i="10"/>
  <c r="Q132" i="8"/>
  <c r="AC37" i="1"/>
  <c r="Q87" i="11"/>
  <c r="O133" i="4"/>
  <c r="Q96" i="1"/>
  <c r="U118" i="12"/>
  <c r="N87" i="12"/>
  <c r="O117" i="1"/>
  <c r="AL29" i="11"/>
  <c r="M95" i="9"/>
  <c r="AF37" i="8"/>
  <c r="O37" i="6"/>
  <c r="Q38" i="6"/>
  <c r="AC37" i="4"/>
  <c r="V14" i="10"/>
  <c r="Q123" i="8"/>
  <c r="Z113" i="5"/>
  <c r="W30" i="11"/>
  <c r="M123" i="4"/>
  <c r="V116" i="13"/>
  <c r="L99" i="2"/>
  <c r="R13" i="11"/>
  <c r="T117" i="1"/>
  <c r="P114" i="4"/>
  <c r="AM37" i="10"/>
  <c r="U13" i="1"/>
  <c r="R13" i="4"/>
  <c r="O116" i="7"/>
  <c r="K38" i="4"/>
  <c r="N132" i="8"/>
  <c r="O116" i="2"/>
  <c r="W13" i="11"/>
  <c r="AJ36" i="4"/>
  <c r="Q37" i="10"/>
  <c r="R113" i="6"/>
  <c r="M107" i="12"/>
  <c r="Y133" i="9"/>
  <c r="O14" i="6"/>
  <c r="O96" i="8"/>
  <c r="N122" i="1"/>
  <c r="N37" i="7"/>
  <c r="AM38" i="9"/>
  <c r="V13" i="7"/>
  <c r="P37" i="2"/>
  <c r="AL38" i="8"/>
  <c r="T97" i="13"/>
  <c r="L96" i="1"/>
  <c r="T84" i="7"/>
  <c r="AV37" i="4"/>
  <c r="AU38" i="1"/>
  <c r="T83" i="6"/>
  <c r="S88" i="11"/>
  <c r="O114" i="9"/>
  <c r="S38" i="4"/>
  <c r="AA38" i="10"/>
  <c r="L109" i="9"/>
  <c r="AI37" i="8"/>
  <c r="M14" i="2"/>
  <c r="S115" i="11"/>
  <c r="W38" i="13"/>
  <c r="AV38" i="4"/>
  <c r="M133" i="8"/>
  <c r="AL37" i="13"/>
  <c r="AA37" i="4"/>
  <c r="AN30" i="11"/>
  <c r="R13" i="10"/>
  <c r="L87" i="12"/>
  <c r="Q84" i="7"/>
  <c r="N94" i="12"/>
  <c r="K36" i="4"/>
  <c r="L91" i="2"/>
  <c r="O95" i="1"/>
  <c r="AC38" i="5"/>
  <c r="L90" i="13"/>
  <c r="AD30" i="11"/>
  <c r="AE38" i="12"/>
  <c r="P104" i="6"/>
  <c r="N104" i="6"/>
  <c r="R109" i="10"/>
  <c r="S38" i="6"/>
  <c r="O98" i="13"/>
  <c r="N103" i="6"/>
  <c r="L83" i="5"/>
  <c r="S14" i="11"/>
  <c r="V115" i="13"/>
  <c r="Z118" i="12"/>
  <c r="AC29" i="11"/>
  <c r="Y38" i="12"/>
  <c r="AH38" i="7"/>
  <c r="Z29" i="11"/>
  <c r="P91" i="7"/>
  <c r="S105" i="13"/>
  <c r="AF37" i="10"/>
  <c r="S98" i="13"/>
  <c r="M14" i="11"/>
  <c r="T108" i="10"/>
  <c r="X132" i="8"/>
  <c r="AW37" i="10"/>
  <c r="AP30" i="11"/>
  <c r="S103" i="6"/>
  <c r="S82" i="5"/>
  <c r="P93" i="11"/>
  <c r="Q101" i="9"/>
  <c r="R106" i="13"/>
  <c r="N91" i="7"/>
  <c r="AF37" i="6"/>
  <c r="O107" i="11"/>
  <c r="W127" i="10"/>
  <c r="X118" i="12"/>
  <c r="L87" i="11"/>
  <c r="S105" i="7"/>
  <c r="Q113" i="6"/>
  <c r="R119" i="12"/>
  <c r="L13" i="12"/>
  <c r="O84" i="13"/>
  <c r="AJ37" i="9"/>
  <c r="L107" i="11"/>
  <c r="O106" i="11"/>
  <c r="N102" i="4"/>
  <c r="AH37" i="4"/>
  <c r="AH30" i="11"/>
  <c r="L13" i="13"/>
  <c r="N14" i="6"/>
  <c r="Q133" i="8"/>
  <c r="U14" i="7"/>
  <c r="S115" i="8"/>
  <c r="AB1" i="12"/>
  <c r="T13" i="9"/>
  <c r="AT38" i="10"/>
  <c r="O87" i="11"/>
  <c r="Z115" i="13"/>
  <c r="T98" i="13"/>
  <c r="L116" i="13"/>
  <c r="AE37" i="10"/>
  <c r="R103" i="6"/>
  <c r="R123" i="9"/>
  <c r="M87" i="11"/>
  <c r="M122" i="9"/>
  <c r="V38" i="5"/>
  <c r="X113" i="6"/>
  <c r="AP38" i="9"/>
  <c r="L97" i="13"/>
  <c r="T37" i="7"/>
  <c r="AA38" i="9"/>
  <c r="Z38" i="13"/>
  <c r="AH37" i="10"/>
  <c r="P123" i="4"/>
  <c r="O13" i="11"/>
  <c r="M14" i="12"/>
  <c r="K12" i="5"/>
  <c r="U85" i="13"/>
  <c r="L38" i="13"/>
  <c r="AC37" i="7"/>
  <c r="P121" i="8"/>
  <c r="N88" i="11"/>
  <c r="O97" i="13"/>
  <c r="L94" i="6"/>
  <c r="L96" i="8"/>
  <c r="AH29" i="11"/>
  <c r="U37" i="8"/>
  <c r="Y115" i="13"/>
  <c r="U14" i="13"/>
  <c r="P13" i="1"/>
  <c r="AI37" i="13"/>
  <c r="R81" i="12"/>
  <c r="U37" i="13"/>
  <c r="AF37" i="9"/>
  <c r="W37" i="6"/>
  <c r="M37" i="13"/>
  <c r="R37" i="9"/>
  <c r="L100" i="12"/>
  <c r="AB38" i="2"/>
  <c r="M96" i="5"/>
  <c r="N89" i="6"/>
  <c r="T13" i="12"/>
  <c r="Y38" i="13"/>
  <c r="L114" i="4"/>
  <c r="M132" i="8"/>
  <c r="Q95" i="9"/>
  <c r="AK36" i="10"/>
  <c r="X38" i="4"/>
  <c r="P114" i="11"/>
  <c r="Q116" i="13"/>
  <c r="P98" i="13"/>
  <c r="Z38" i="1"/>
  <c r="Q119" i="12"/>
  <c r="AP38" i="8"/>
  <c r="N82" i="6"/>
  <c r="U114" i="5"/>
  <c r="R133" i="8"/>
  <c r="P116" i="10"/>
  <c r="P107" i="11"/>
  <c r="M109" i="12"/>
  <c r="R85" i="2"/>
  <c r="AR30" i="11"/>
  <c r="Q97" i="13"/>
  <c r="P13" i="7"/>
  <c r="W36" i="9"/>
  <c r="AA37" i="10"/>
  <c r="AA37" i="5"/>
  <c r="M104" i="7"/>
  <c r="AV38" i="9"/>
  <c r="AK30" i="11"/>
  <c r="M126" i="10"/>
  <c r="R116" i="13"/>
  <c r="N92" i="13"/>
  <c r="K37" i="4"/>
  <c r="Q94" i="11"/>
  <c r="K36" i="2"/>
  <c r="AA114" i="11"/>
  <c r="N38" i="5"/>
  <c r="AS38" i="4"/>
  <c r="W116" i="13"/>
  <c r="AA38" i="5"/>
  <c r="P94" i="11"/>
  <c r="V119" i="12"/>
  <c r="Q82" i="12"/>
  <c r="O14" i="2"/>
  <c r="S13" i="10"/>
  <c r="AM38" i="10"/>
  <c r="AK28" i="11"/>
  <c r="Q116" i="7"/>
  <c r="L131" i="8"/>
  <c r="K113" i="4"/>
  <c r="S123" i="4"/>
  <c r="O126" i="10"/>
  <c r="M115" i="9"/>
  <c r="T116" i="10"/>
  <c r="P37" i="13"/>
  <c r="AD38" i="7"/>
  <c r="P118" i="12"/>
  <c r="Q103" i="6"/>
  <c r="R114" i="11"/>
  <c r="U14" i="8"/>
  <c r="R85" i="13"/>
  <c r="L95" i="10"/>
  <c r="AD37" i="12"/>
  <c r="M105" i="13"/>
  <c r="L38" i="7"/>
  <c r="T82" i="5"/>
  <c r="T82" i="6"/>
  <c r="M83" i="6"/>
  <c r="V38" i="9"/>
  <c r="P108" i="10"/>
  <c r="T81" i="12"/>
  <c r="O116" i="13"/>
  <c r="R116" i="10"/>
  <c r="L131" i="1"/>
  <c r="AE29" i="11"/>
  <c r="AL30" i="11"/>
  <c r="S85" i="7"/>
  <c r="AF30" i="11"/>
  <c r="Y37" i="13"/>
  <c r="AL38" i="9"/>
  <c r="P103" i="5"/>
  <c r="L101" i="9"/>
  <c r="AA115" i="13"/>
  <c r="U85" i="7"/>
  <c r="Q84" i="13"/>
  <c r="AJ37" i="6"/>
  <c r="P81" i="12"/>
  <c r="AC37" i="12"/>
  <c r="Q95" i="5"/>
  <c r="N100" i="11"/>
  <c r="M101" i="12"/>
  <c r="K90" i="5"/>
  <c r="T14" i="4"/>
  <c r="AF29" i="11"/>
  <c r="M118" i="12"/>
  <c r="N115" i="4"/>
  <c r="S13" i="13"/>
  <c r="Q108" i="10"/>
  <c r="S37" i="12"/>
  <c r="S106" i="2"/>
  <c r="P13" i="5"/>
  <c r="Z30" i="11"/>
  <c r="L95" i="6"/>
  <c r="Z37" i="13"/>
  <c r="R14" i="10"/>
  <c r="P108" i="8"/>
  <c r="O115" i="8"/>
  <c r="V114" i="11"/>
  <c r="O82" i="12"/>
  <c r="P88" i="12"/>
  <c r="AP38" i="10"/>
  <c r="S13" i="8"/>
  <c r="Q132" i="1"/>
  <c r="N37" i="5"/>
  <c r="R98" i="13"/>
  <c r="Q115" i="7"/>
  <c r="Q95" i="4"/>
  <c r="AP37" i="9"/>
  <c r="V14" i="12"/>
  <c r="Z38" i="5"/>
  <c r="M102" i="6"/>
  <c r="L106" i="11"/>
  <c r="N83" i="6"/>
  <c r="AG37" i="13"/>
  <c r="AC37" i="6"/>
  <c r="O102" i="9"/>
  <c r="P38" i="13"/>
  <c r="Q123" i="9"/>
  <c r="P37" i="7"/>
  <c r="W38" i="9"/>
  <c r="N132" i="1"/>
  <c r="Z132" i="9"/>
  <c r="AD37" i="10"/>
  <c r="O14" i="5"/>
  <c r="L96" i="13"/>
  <c r="O13" i="12"/>
  <c r="X38" i="13"/>
  <c r="R114" i="9"/>
  <c r="L91" i="13"/>
  <c r="U29" i="11"/>
  <c r="L37" i="12"/>
  <c r="R82" i="5"/>
  <c r="V133" i="9"/>
  <c r="L80" i="12"/>
  <c r="S13" i="11"/>
  <c r="T103" i="6"/>
  <c r="P95" i="8"/>
  <c r="M117" i="10"/>
  <c r="W115" i="11"/>
  <c r="N38" i="8"/>
  <c r="AG30" i="11"/>
  <c r="L83" i="13"/>
  <c r="P97" i="13"/>
  <c r="Y30" i="11"/>
  <c r="AE38" i="5"/>
  <c r="X115" i="11"/>
  <c r="AA37" i="12"/>
  <c r="L90" i="5"/>
  <c r="AE37" i="12"/>
  <c r="AI38" i="5"/>
  <c r="N37" i="9"/>
  <c r="L92" i="13"/>
  <c r="S115" i="13"/>
  <c r="U38" i="12"/>
  <c r="AC38" i="12"/>
  <c r="AB29" i="11"/>
  <c r="AB38" i="12"/>
  <c r="T109" i="12"/>
  <c r="O101" i="12"/>
  <c r="L14" i="13"/>
  <c r="O13" i="13"/>
  <c r="L115" i="11"/>
  <c r="T107" i="11"/>
  <c r="O85" i="13"/>
  <c r="O30" i="11"/>
  <c r="O115" i="11"/>
  <c r="Q14" i="13"/>
  <c r="AF37" i="13"/>
  <c r="V14" i="11"/>
  <c r="AC37" i="13"/>
  <c r="T116" i="13"/>
  <c r="T108" i="12"/>
</calcChain>
</file>

<file path=xl/comments1.xml><?xml version="1.0" encoding="utf-8"?>
<comments xmlns="http://schemas.openxmlformats.org/spreadsheetml/2006/main">
  <authors>
    <author/>
  </authors>
  <commentList>
    <comment ref="C1" authorId="0" shapeId="0">
      <text>
        <r>
          <rPr>
            <sz val="10"/>
            <color rgb="FF000000"/>
            <rFont val="Arial"/>
            <family val="2"/>
          </rPr>
          <t>1= Compulsory
0:1= chance to fulfill the field
0:N= Chance to fulfill one or more fields
1:N= Compulsory to fulfill at least one</t>
        </r>
      </text>
    </comment>
    <comment ref="E1" authorId="0" shapeId="0">
      <text>
        <r>
          <rPr>
            <sz val="10"/>
            <color rgb="FF000000"/>
            <rFont val="Arial"/>
            <family val="2"/>
          </rPr>
          <t>1= Compulsory
0:1= chance to fulfill the field
0:N= Chance to fulfill one or more fields
1:N= Compulsory to fulfill at least one</t>
        </r>
      </text>
    </comment>
    <comment ref="G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Data types are shown in the following link:
https://docs.google.com/spreadsheets/d/1C6N4-YWX9OMmNStd2rYlSUaVys-aiJGLj00cD44aVc8/edit#gid=1894320575</t>
        </r>
      </text>
    </comment>
    <comment ref="K1" authorId="0" shapeId="0">
      <text>
        <r>
          <rPr>
            <sz val="10"/>
            <color rgb="FF000000"/>
            <rFont val="Arial"/>
            <family val="2"/>
          </rPr>
          <t xml:space="preserve">The person responsible for creating the model file in the present form or the person responsible for creating the data file in the present form </t>
        </r>
      </text>
    </comment>
    <comment ref="AA1" authorId="0" shapeId="0">
      <text>
        <r>
          <rPr>
            <sz val="10"/>
            <color rgb="FF000000"/>
            <rFont val="Arial"/>
            <family val="2"/>
          </rPr>
          <t>Person who generated the model code or generated the data set originally</t>
        </r>
      </text>
    </comment>
    <comment ref="D2" authorId="0" shapeId="0">
      <text>
        <r>
          <rPr>
            <sz val="10"/>
            <color rgb="FF000000"/>
            <rFont val="Arial"/>
            <family val="2"/>
          </rPr>
          <t>A name given to the model or data</t>
        </r>
      </text>
    </comment>
    <comment ref="K2" authorId="0" shapeId="0">
      <text>
        <r>
          <rPr>
            <sz val="10"/>
            <color rgb="FF000000"/>
            <rFont val="Arial"/>
            <family val="2"/>
          </rPr>
          <t>For example, Dr, Sr...</t>
        </r>
      </text>
    </comment>
    <comment ref="AA2" authorId="0" shapeId="0">
      <text>
        <r>
          <rPr>
            <sz val="10"/>
            <color rgb="FF000000"/>
            <rFont val="Arial"/>
            <family val="2"/>
          </rPr>
          <t>For example, Dr, Sr...</t>
        </r>
      </text>
    </comment>
    <comment ref="D3" authorId="0" shapeId="0">
      <text>
        <r>
          <rPr>
            <sz val="10"/>
            <color rgb="FF000000"/>
            <rFont val="Arial"/>
            <family val="2"/>
          </rPr>
          <t>A related resource from which the described resource is derived</t>
        </r>
      </text>
    </comment>
    <comment ref="D4" authorId="0" shapeId="0">
      <text>
        <r>
          <rPr>
            <sz val="10"/>
            <color rgb="FF000000"/>
            <rFont val="Arial"/>
            <family val="2"/>
          </rPr>
          <t>An unambiguous ID given to the model or data(e.g. URI)</t>
        </r>
      </text>
    </comment>
    <comment ref="D5" authorId="0" shapeId="0">
      <text>
        <r>
          <rPr>
            <sz val="10"/>
            <color rgb="FF000000"/>
            <rFont val="Arial"/>
            <family val="2"/>
          </rPr>
          <t>Person who generated the model code or generated the data set originally</t>
        </r>
      </text>
    </comment>
    <comment ref="D6" authorId="0" shapeId="0">
      <text>
        <r>
          <rPr>
            <sz val="10"/>
            <color rgb="FF000000"/>
            <rFont val="Arial"/>
            <family val="2"/>
          </rPr>
          <t xml:space="preserve">The person responsible for creating the model file in the present form or the person responsible for creating the data file in the present form </t>
        </r>
      </text>
    </comment>
    <comment ref="F7" authorId="0" shapeId="0">
      <text>
        <r>
          <rPr>
            <sz val="10"/>
            <color rgb="FF000000"/>
            <rFont val="Arial"/>
            <family val="2"/>
          </rPr>
          <t>Temporal information on the model creation date</t>
        </r>
      </text>
    </comment>
    <comment ref="F8" authorId="0" shapeId="0">
      <text>
        <r>
          <rPr>
            <sz val="10"/>
            <color rgb="FF000000"/>
            <rFont val="Arial"/>
            <family val="2"/>
          </rPr>
          <t>Temporal information on the last modification of the model</t>
        </r>
      </text>
    </comment>
    <comment ref="F9" authorId="0" shapeId="0">
      <text>
        <r>
          <rPr>
            <sz val="10"/>
            <color rgb="FF000000"/>
            <rFont val="Arial"/>
            <family val="2"/>
          </rPr>
          <t>Information on rights held in an over the resource</t>
        </r>
      </text>
    </comment>
    <comment ref="D10" authorId="0" shapeId="0">
      <text>
        <r>
          <rPr>
            <sz val="10"/>
            <color rgb="FF000000"/>
            <rFont val="Arial"/>
            <family val="2"/>
          </rPr>
          <t>Availability of data or model</t>
        </r>
      </text>
    </comment>
    <comment ref="D11" authorId="0" shapeId="0">
      <text>
        <r>
          <rPr>
            <sz val="10"/>
            <color rgb="FF000000"/>
            <rFont val="Arial"/>
            <family val="2"/>
          </rPr>
          <t>Web address referencing the resource location (data for example)</t>
        </r>
      </text>
    </comment>
    <comment ref="D12" authorId="0" shapeId="0">
      <text>
        <r>
          <rPr>
            <sz val="10"/>
            <color rgb="FF000000"/>
            <rFont val="Arial"/>
            <family val="2"/>
          </rPr>
          <t>Form of model or data (file extension)</t>
        </r>
      </text>
    </comment>
    <comment ref="F13" authorId="0" shapeId="0">
      <text>
        <r>
          <rPr>
            <sz val="10"/>
            <color rgb="FF000000"/>
            <rFont val="Arial"/>
            <family val="2"/>
          </rPr>
          <t>Indicates whether the publication serves as the reference description for the model</t>
        </r>
      </text>
    </comment>
    <comment ref="K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The type of publication, e.g. Report, Journal article, Book, Online database, ...</t>
        </r>
      </text>
    </comment>
    <comment ref="M13" authorId="0" shapeId="0">
      <text>
        <r>
          <rPr>
            <sz val="10"/>
            <color rgb="FF000000"/>
            <rFont val="Arial"/>
            <family val="2"/>
          </rPr>
          <t>Temporal information on the publication date</t>
        </r>
      </text>
    </comment>
    <comment ref="N13" authorId="0" shapeId="0">
      <text>
        <r>
          <rPr>
            <sz val="10"/>
            <color rgb="FF000000"/>
            <rFont val="Arial"/>
            <family val="2"/>
          </rPr>
          <t>The PubMed ID related to this publication</t>
        </r>
      </text>
    </comment>
    <comment ref="O13" authorId="0" shapeId="0">
      <text>
        <r>
          <rPr>
            <sz val="10"/>
            <color rgb="FF000000"/>
            <rFont val="Arial"/>
            <family val="2"/>
          </rPr>
          <t>The DOI related to this publication</t>
        </r>
      </text>
    </comment>
    <comment ref="P13" authorId="0" shapeId="0">
      <text>
        <r>
          <rPr>
            <sz val="10"/>
            <color rgb="FF000000"/>
            <rFont val="Arial"/>
            <family val="2"/>
          </rPr>
          <t>Name and surname of the authors who contributed to this publication</t>
        </r>
      </text>
    </comment>
    <comment ref="Q13" authorId="0" shapeId="0">
      <text>
        <r>
          <rPr>
            <sz val="10"/>
            <color rgb="FF000000"/>
            <rFont val="Arial"/>
            <family val="2"/>
          </rPr>
          <t>Title of the publication in which the model has been described</t>
        </r>
      </text>
    </comment>
    <comment ref="R13" authorId="0" shapeId="0">
      <text>
        <r>
          <rPr>
            <sz val="10"/>
            <color rgb="FF000000"/>
            <rFont val="Arial"/>
            <family val="2"/>
          </rPr>
          <t>Abstract of the publication in which the model has been described</t>
        </r>
      </text>
    </comment>
    <comment ref="S13" authorId="0" shapeId="0">
      <text>
        <r>
          <rPr>
            <sz val="10"/>
            <color rgb="FF000000"/>
            <rFont val="Arial"/>
            <family val="2"/>
          </rPr>
          <t>Data on the details of the journal in which the model has been described</t>
        </r>
      </text>
    </comment>
    <comment ref="T13" authorId="0" shapeId="0">
      <text>
        <r>
          <rPr>
            <sz val="10"/>
            <color rgb="FF000000"/>
            <rFont val="Arial"/>
            <family val="2"/>
          </rPr>
          <t>The status of this publication, e.g. Published, Submitted, etc.</t>
        </r>
      </text>
    </comment>
    <comment ref="U13" authorId="0" shapeId="0">
      <text>
        <r>
          <rPr>
            <sz val="10"/>
            <color rgb="FF000000"/>
            <rFont val="Arial"/>
            <family val="2"/>
          </rPr>
          <t>A link to the reference description SUGGESTION: A link to the publication description</t>
        </r>
      </text>
    </comment>
    <comment ref="V13" authorId="0" shapeId="0">
      <text>
        <r>
          <rPr>
            <sz val="10"/>
            <color rgb="FF000000"/>
            <rFont val="Arial"/>
            <family val="2"/>
          </rPr>
          <t>Further comments related to the reference description</t>
        </r>
      </text>
    </comment>
    <comment ref="F14" authorId="0" shapeId="0">
      <text>
        <r>
          <rPr>
            <sz val="10"/>
            <color rgb="FF000000"/>
            <rFont val="Arial"/>
            <family val="2"/>
          </rPr>
          <t>The type of publication, e.g. Report, Journal article, Book, Online database, ...</t>
        </r>
      </text>
    </comment>
    <comment ref="F15" authorId="0" shapeId="0">
      <text>
        <r>
          <rPr>
            <sz val="10"/>
            <color rgb="FF000000"/>
            <rFont val="Arial"/>
            <family val="2"/>
          </rPr>
          <t>Temporal information on the publication date</t>
        </r>
      </text>
    </comment>
    <comment ref="F16" authorId="0" shapeId="0">
      <text>
        <r>
          <rPr>
            <sz val="10"/>
            <color rgb="FF000000"/>
            <rFont val="Arial"/>
            <family val="2"/>
          </rPr>
          <t>The PubMed ID related to this publication</t>
        </r>
      </text>
    </comment>
    <comment ref="F17" authorId="0" shapeId="0">
      <text>
        <r>
          <rPr>
            <sz val="10"/>
            <color rgb="FF000000"/>
            <rFont val="Arial"/>
            <family val="2"/>
          </rPr>
          <t>The DOI related to this publication</t>
        </r>
      </text>
    </comment>
    <comment ref="F18" authorId="0" shapeId="0">
      <text>
        <r>
          <rPr>
            <sz val="10"/>
            <color rgb="FF000000"/>
            <rFont val="Arial"/>
            <family val="2"/>
          </rPr>
          <t>Name and surname of the authors who contributed to this publication</t>
        </r>
      </text>
    </comment>
    <comment ref="F19" authorId="0" shapeId="0">
      <text>
        <r>
          <rPr>
            <sz val="10"/>
            <color rgb="FF000000"/>
            <rFont val="Arial"/>
            <family val="2"/>
          </rPr>
          <t>Title of the publication in which the model has been described</t>
        </r>
      </text>
    </comment>
    <comment ref="F20" authorId="0" shapeId="0">
      <text>
        <r>
          <rPr>
            <sz val="10"/>
            <color rgb="FF000000"/>
            <rFont val="Arial"/>
            <family val="2"/>
          </rPr>
          <t>Abstract of the publication in which the model has been described</t>
        </r>
      </text>
    </comment>
    <comment ref="F21" authorId="0" shapeId="0">
      <text>
        <r>
          <rPr>
            <sz val="10"/>
            <color rgb="FF000000"/>
            <rFont val="Arial"/>
            <family val="2"/>
          </rPr>
          <t>Data on the details of the journal in which the model has been described</t>
        </r>
      </text>
    </comment>
    <comment ref="F22" authorId="0" shapeId="0">
      <text>
        <r>
          <rPr>
            <sz val="10"/>
            <color rgb="FF000000"/>
            <rFont val="Arial"/>
            <family val="2"/>
          </rPr>
          <t>The status of this publication, e.g. Published, Submitted, etc.</t>
        </r>
      </text>
    </comment>
    <comment ref="F23" authorId="0" shapeId="0">
      <text>
        <r>
          <rPr>
            <sz val="10"/>
            <color rgb="FF000000"/>
            <rFont val="Arial"/>
            <family val="2"/>
          </rPr>
          <t>A link to the publication description</t>
        </r>
      </text>
    </comment>
    <comment ref="F24" authorId="0" shapeId="0">
      <text>
        <r>
          <rPr>
            <sz val="10"/>
            <color rgb="FF000000"/>
            <rFont val="Arial"/>
            <family val="2"/>
          </rPr>
          <t>Further comments related to the reference description</t>
        </r>
      </text>
    </comment>
    <comment ref="D25" authorId="0" shapeId="0">
      <text>
        <r>
          <rPr>
            <sz val="10"/>
            <color rgb="FF000000"/>
            <rFont val="Arial"/>
            <family val="2"/>
          </rPr>
          <t>A language of the resource (some data or reports can be available in French language for example)</t>
        </r>
      </text>
    </comment>
    <comment ref="D26" authorId="0" shapeId="0">
      <text>
        <r>
          <rPr>
            <sz val="10"/>
            <color rgb="FF000000"/>
            <rFont val="Arial"/>
            <family val="2"/>
          </rPr>
          <t>The program in which the model has been implemented.</t>
        </r>
      </text>
    </comment>
    <comment ref="D27" authorId="0" shapeId="0">
      <text>
        <r>
          <rPr>
            <sz val="10"/>
            <color rgb="FF000000"/>
            <rFont val="Arial"/>
            <family val="2"/>
          </rPr>
          <t>Language used to write the model, e.g. R or MatLab</t>
        </r>
      </text>
    </comment>
    <comment ref="F28" authorId="0" shapeId="0">
      <text>
        <r>
          <rPr>
            <sz val="10"/>
            <color rgb="FF000000"/>
            <rFont val="Arial"/>
            <family val="2"/>
          </rPr>
          <t>Type of model used to build-up the risk assessment structure.</t>
        </r>
      </text>
    </comment>
    <comment ref="F29" authorId="0" shapeId="0">
      <text>
        <r>
          <rPr>
            <sz val="10"/>
            <color rgb="FF000000"/>
            <rFont val="Arial"/>
            <family val="2"/>
          </rPr>
          <t>Sub-cassification of the model given the Model Class</t>
        </r>
      </text>
    </comment>
    <comment ref="F31" authorId="0" shapeId="0">
      <text>
        <r>
          <rPr>
            <sz val="10"/>
            <color rgb="FF000000"/>
            <rFont val="Arial"/>
            <family val="2"/>
          </rPr>
          <t>Defines the impact of the specific process on the hazard</t>
        </r>
      </text>
    </comment>
    <comment ref="D33" authorId="0" shapeId="0">
      <text>
        <r>
          <rPr>
            <sz val="10"/>
            <color rgb="FF000000"/>
            <rFont val="Arial"/>
            <family val="2"/>
          </rPr>
          <t>The curation status of the model</t>
        </r>
      </text>
    </comment>
    <comment ref="D34" authorId="0" shapeId="0">
      <text>
        <r>
          <rPr>
            <sz val="10"/>
            <color rgb="FF000000"/>
            <rFont val="Arial"/>
            <family val="2"/>
          </rPr>
          <t xml:space="preserve">Objective of the model </t>
        </r>
      </text>
    </comment>
    <comment ref="D35" authorId="0" shapeId="0">
      <text>
        <r>
          <rPr>
            <sz val="10"/>
            <color rgb="FF000000"/>
            <rFont val="Arial"/>
            <family val="2"/>
          </rPr>
          <t>General description of the study,  model</t>
        </r>
      </text>
    </comment>
    <comment ref="F36" authorId="0" shapeId="0">
      <text>
        <r>
          <rPr>
            <sz val="10"/>
            <color rgb="FF000000"/>
            <rFont val="Arial"/>
            <family val="2"/>
          </rPr>
          <t>The product-matrix (animal, food product, matrix, lab media, etc.) for which the model applies</t>
        </r>
      </text>
    </comment>
    <comment ref="F37" authorId="0" shapeId="0">
      <text>
        <r>
          <rPr>
            <sz val="10"/>
            <color rgb="FF000000"/>
            <rFont val="Arial"/>
            <family val="2"/>
          </rPr>
          <t>Description of the product-matrix (animal, food product, matrix, lab media, etc.) for which the model applies</t>
        </r>
      </text>
    </comment>
    <comment ref="K37" authorId="0" shapeId="0">
      <text>
        <r>
          <rPr>
            <sz val="10"/>
            <color rgb="FF000000"/>
            <rFont val="Arial"/>
            <family val="2"/>
          </rPr>
          <t>The product-matrix (animal, food product, matrix, lab media, etc.) for which the model applies</t>
        </r>
      </text>
    </comment>
    <comment ref="L37" authorId="0" shapeId="0">
      <text>
        <r>
          <rPr>
            <sz val="10"/>
            <color rgb="FF000000"/>
            <rFont val="Arial"/>
            <family val="2"/>
          </rPr>
          <t>Description of the product-matrix (animal, food product, matrix, lab media, etc.) for which the model applies</t>
        </r>
      </text>
    </comment>
    <comment ref="M37" authorId="0" shapeId="0">
      <text>
        <r>
          <rPr>
            <sz val="10"/>
            <color rgb="FF000000"/>
            <rFont val="Arial"/>
            <family val="2"/>
          </rPr>
          <t>Units of the product-matrix for which the model applies</t>
        </r>
      </text>
    </comment>
    <comment ref="N37" authorId="0" shapeId="0">
      <text>
        <r>
          <rPr>
            <sz val="10"/>
            <color rgb="FF000000"/>
            <rFont val="Arial"/>
            <family val="2"/>
          </rPr>
          <t>Type of production for the product/ matrix</t>
        </r>
      </text>
    </comment>
    <comment ref="O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family val="2"/>
          </rPr>
          <t>Used to characterise a product/matrix based on the treatment or processes applied to the product or any indexed ingredient.</t>
        </r>
      </text>
    </comment>
    <comment ref="Q37" authorId="0" shapeId="0">
      <text>
        <r>
          <rPr>
            <sz val="10"/>
            <color rgb="FF000000"/>
            <rFont val="Arial"/>
            <family val="2"/>
          </rPr>
          <t>Country of origin of the food/product (ISO 3166-1-alpha-2 country code).</t>
        </r>
      </text>
    </comment>
    <comment ref="R37" authorId="0" shapeId="0">
      <text>
        <r>
          <rPr>
            <sz val="10"/>
            <color rgb="FF000000"/>
            <rFont val="Arial"/>
            <family val="2"/>
          </rPr>
          <t>Area of origin of the food/product (Nomenclature of territorial units for statistics – NUTS – coding system valid only for EEA and Switzerland).</t>
        </r>
      </text>
    </comment>
    <comment ref="S37" authorId="0" shapeId="0">
      <text>
        <r>
          <rPr>
            <sz val="10"/>
            <color rgb="FF000000"/>
            <rFont val="Arial"/>
            <family val="2"/>
          </rPr>
          <t>Fisheries or aquaculture area specifying the origin of the sample (FAO Fisheries areas).</t>
        </r>
      </text>
    </comment>
    <comment ref="T37" authorId="0" shapeId="0">
      <text>
        <r>
          <rPr>
            <sz val="10"/>
            <color rgb="FF000000"/>
            <rFont val="Arial"/>
            <family val="2"/>
          </rPr>
          <t>date of production of food/product</t>
        </r>
      </text>
    </comment>
    <comment ref="U37" authorId="0" shapeId="0">
      <text>
        <r>
          <rPr>
            <sz val="10"/>
            <color rgb="FF000000"/>
            <rFont val="Arial"/>
            <family val="2"/>
          </rPr>
          <t>date of expiry of food/product</t>
        </r>
      </text>
    </comment>
    <comment ref="V37" authorId="0" shapeId="0">
      <text>
        <r>
          <rPr>
            <sz val="10"/>
            <color rgb="FF000000"/>
            <rFont val="Arial"/>
            <family val="2"/>
          </rPr>
          <t>General classification of the hazard for which the model or data applies</t>
        </r>
      </text>
    </comment>
    <comment ref="W37" authorId="0" shapeId="0">
      <text>
        <r>
          <rPr>
            <sz val="10"/>
            <color rgb="FF000000"/>
            <rFont val="Arial"/>
            <family val="2"/>
          </rPr>
          <t>Name of the hazard for which the model or data applies</t>
        </r>
      </text>
    </comment>
    <comment ref="X37" authorId="0" shapeId="0">
      <text>
        <r>
          <rPr>
            <sz val="10"/>
            <color rgb="FF000000"/>
            <rFont val="Arial"/>
            <family val="2"/>
          </rPr>
          <t>Description of the hazard for which the model or data applies</t>
        </r>
      </text>
    </comment>
    <comment ref="Y37" authorId="0" shapeId="0">
      <text>
        <r>
          <rPr>
            <sz val="10"/>
            <color rgb="FF000000"/>
            <rFont val="Arial"/>
            <family val="2"/>
          </rPr>
          <t>Unit of the hazard for which the model applies</t>
        </r>
      </text>
    </comment>
    <comment ref="Z37" authorId="0" shapeId="0">
      <text>
        <r>
          <rPr>
            <sz val="10"/>
            <color rgb="FF000000"/>
            <rFont val="Arial"/>
            <family val="2"/>
          </rPr>
          <t>morbidity, mortality, effect</t>
        </r>
      </text>
    </comment>
    <comment ref="AA37" authorId="0" shapeId="0">
      <text>
        <r>
          <rPr>
            <sz val="10"/>
            <color rgb="FF000000"/>
            <rFont val="Arial"/>
            <family val="2"/>
          </rPr>
          <t>source of contamination, origin</t>
        </r>
      </text>
    </comment>
    <comment ref="AB37" authorId="0" shapeId="0">
      <text>
        <r>
          <rPr>
            <sz val="10"/>
            <color rgb="FF000000"/>
            <rFont val="Arial"/>
            <family val="2"/>
          </rPr>
          <t>A dose or concentration that produces a predetermined change in response rate of an adverse effect (called the bench response or BMR) compared to background.</t>
        </r>
      </text>
    </comment>
    <comment ref="AC37" authorId="0" shapeId="0">
      <text>
        <r>
          <rPr>
            <sz val="10"/>
            <color rgb="FF000000"/>
            <rFont val="Arial"/>
            <family val="2"/>
          </rPr>
          <t>International regulations and permissible maximum residue levels in food and drinking water</t>
        </r>
      </text>
    </comment>
    <comment ref="AD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I37" authorId="0" shapeId="0">
      <text>
        <r>
          <rPr>
            <sz val="10"/>
            <color rgb="FF000000"/>
            <rFont val="Arial"/>
            <family val="2"/>
          </rPr>
          <t>Define if the parameter reported is an individual residue/analyte, a summed residue definition or part of a sum a summed residue definition.</t>
        </r>
      </text>
    </comment>
    <comment ref="AJ37" authorId="0" shapeId="0">
      <text>
        <r>
          <rPr>
            <sz val="10"/>
            <color rgb="FF000000"/>
            <rFont val="Arial"/>
            <family val="2"/>
          </rPr>
          <t>Name of the population for which the model or data applies</t>
        </r>
      </text>
    </comment>
    <comment ref="AK37" authorId="0" shapeId="0">
      <text>
        <r>
          <rPr>
            <sz val="10"/>
            <color rgb="FF000000"/>
            <rFont val="Arial"/>
            <family val="2"/>
          </rPr>
          <t>population of individual that we are interested in describing and making statistical inferences about</t>
        </r>
      </text>
    </comment>
    <comment ref="AL37" authorId="0" shapeId="0">
      <text>
        <r>
          <rPr>
            <sz val="10"/>
            <color rgb="FF000000"/>
            <rFont val="Arial"/>
            <family val="2"/>
          </rPr>
          <t>Temporal information on the exposure duration</t>
        </r>
      </text>
    </comment>
    <comment ref="AM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family val="2"/>
          </rPr>
          <t>describe the range of age or group of age</t>
        </r>
      </text>
    </comment>
    <comment ref="AO37" authorId="0" shapeId="0">
      <text>
        <r>
          <rPr>
            <sz val="10"/>
            <color rgb="FF000000"/>
            <rFont val="Arial"/>
            <family val="2"/>
          </rPr>
          <t>describe the percentage of gender</t>
        </r>
      </text>
    </comment>
    <comment ref="AP37" authorId="0" shapeId="0">
      <text>
        <r>
          <rPr>
            <sz val="10"/>
            <color rgb="FF000000"/>
            <rFont val="Arial"/>
            <family val="2"/>
          </rPr>
          <t>describe the range of BMI or class of BMI or BMI mean</t>
        </r>
      </text>
    </comment>
    <comment ref="AQ37" authorId="0" shapeId="0">
      <text>
        <r>
          <rPr>
            <sz val="10"/>
            <color rgb="FF000000"/>
            <rFont val="Arial"/>
            <family val="2"/>
          </rPr>
          <t>sub-population with special diets (vegetarians, diabetics, group following special ethnic diets)</t>
        </r>
      </text>
    </comment>
    <comment ref="AR37" authorId="0" shapeId="0">
      <text>
        <r>
          <rPr>
            <sz val="10"/>
            <color rgb="FF000000"/>
            <rFont val="Arial"/>
            <family val="2"/>
          </rPr>
          <t>describe the consumption of different food items: frequency, portion size</t>
        </r>
      </text>
    </comment>
    <comment ref="AS37" authorId="0" shapeId="0">
      <text>
        <r>
          <rPr>
            <sz val="10"/>
            <color rgb="FF000000"/>
            <rFont val="Arial"/>
            <family val="2"/>
          </rPr>
          <t>Spatial information (area) on which the population group of the model or data applies</t>
        </r>
      </text>
    </comment>
    <comment ref="AT37" authorId="0" shapeId="0">
      <text>
        <r>
          <rPr>
            <sz val="10"/>
            <color rgb="FF000000"/>
            <rFont val="Arial"/>
            <family val="2"/>
          </rPr>
          <t>Country on which the population group of the model or data applies</t>
        </r>
      </text>
    </comment>
    <comment ref="AU37" authorId="0" shapeId="0">
      <text>
        <r>
          <rPr>
            <sz val="10"/>
            <color rgb="FF000000"/>
            <rFont val="Arial"/>
            <family val="2"/>
          </rPr>
          <t>distribution of surveyed people according to the season (influence consumption pattern)</t>
        </r>
      </text>
    </comment>
    <comment ref="AV37" authorId="0" shapeId="0">
      <text>
        <r>
          <rPr>
            <sz val="10"/>
            <color rgb="FF000000"/>
            <rFont val="Arial"/>
            <family val="2"/>
          </rPr>
          <t>distribution of surveyed people according to the season (influence consumption pattern)</t>
        </r>
      </text>
    </comment>
    <comment ref="F38" authorId="0" shapeId="0">
      <text>
        <r>
          <rPr>
            <sz val="10"/>
            <color rgb="FF000000"/>
            <rFont val="Arial"/>
            <family val="2"/>
          </rPr>
          <t>Units of the product-matrix for which the model applies</t>
        </r>
      </text>
    </comment>
    <comment ref="F39" authorId="0" shapeId="0">
      <text>
        <r>
          <rPr>
            <sz val="10"/>
            <color rgb="FF000000"/>
            <rFont val="Arial"/>
            <family val="2"/>
          </rPr>
          <t>Type of production for the product/ matrix</t>
        </r>
      </text>
    </comment>
    <comment ref="F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F41" authorId="0" shapeId="0">
      <text>
        <r>
          <rPr>
            <sz val="10"/>
            <color rgb="FF000000"/>
            <rFont val="Arial"/>
            <family val="2"/>
          </rPr>
          <t>Used to characterise a product/matrix based on the treatment or processes applied to the product or any indexed ingredient.</t>
        </r>
      </text>
    </comment>
    <comment ref="F42" authorId="0" shapeId="0">
      <text>
        <r>
          <rPr>
            <sz val="10"/>
            <color rgb="FF000000"/>
            <rFont val="Arial"/>
            <family val="2"/>
          </rPr>
          <t>Country of origin of the food/product (ISO 3166-1-alpha-2 country code).</t>
        </r>
      </text>
    </comment>
    <comment ref="F43" authorId="0" shapeId="0">
      <text>
        <r>
          <rPr>
            <sz val="10"/>
            <color rgb="FF000000"/>
            <rFont val="Arial"/>
            <family val="2"/>
          </rPr>
          <t>Area of origin of the food/product (Nomenclature of territorial units for statistics – NUTS – coding system valid only for EEA and Switzerland).</t>
        </r>
      </text>
    </comment>
    <comment ref="F44" authorId="0" shapeId="0">
      <text>
        <r>
          <rPr>
            <sz val="10"/>
            <color rgb="FF000000"/>
            <rFont val="Arial"/>
            <family val="2"/>
          </rPr>
          <t>Fisheries or aquaculture area specifying the origin of the sample (FAO Fisheries areas).</t>
        </r>
      </text>
    </comment>
    <comment ref="F45" authorId="0" shapeId="0">
      <text>
        <r>
          <rPr>
            <sz val="10"/>
            <color rgb="FF000000"/>
            <rFont val="Arial"/>
            <family val="2"/>
          </rPr>
          <t>date of production of food/product</t>
        </r>
      </text>
    </comment>
    <comment ref="F46" authorId="0" shapeId="0">
      <text>
        <r>
          <rPr>
            <sz val="10"/>
            <color rgb="FF000000"/>
            <rFont val="Arial"/>
            <family val="2"/>
          </rPr>
          <t>date of expiry of food/product</t>
        </r>
      </text>
    </comment>
    <comment ref="F47" authorId="0" shapeId="0">
      <text>
        <r>
          <rPr>
            <sz val="10"/>
            <color rgb="FF000000"/>
            <rFont val="Arial"/>
            <family val="2"/>
          </rPr>
          <t>General classification of the hazard for which the model or data applies</t>
        </r>
      </text>
    </comment>
    <comment ref="F48" authorId="0" shapeId="0">
      <text>
        <r>
          <rPr>
            <sz val="10"/>
            <color rgb="FF000000"/>
            <rFont val="Arial"/>
            <family val="2"/>
          </rPr>
          <t>Name of the hazard for which the model or data applies</t>
        </r>
      </text>
    </comment>
    <comment ref="F49" authorId="0" shapeId="0">
      <text>
        <r>
          <rPr>
            <sz val="10"/>
            <color rgb="FF000000"/>
            <rFont val="Arial"/>
            <family val="2"/>
          </rPr>
          <t>Description of the hazard for which the model or data applies</t>
        </r>
      </text>
    </comment>
    <comment ref="F50" authorId="0" shapeId="0">
      <text>
        <r>
          <rPr>
            <sz val="10"/>
            <color rgb="FF000000"/>
            <rFont val="Arial"/>
            <family val="2"/>
          </rPr>
          <t>Unit of the hazard for which the model applies</t>
        </r>
      </text>
    </comment>
    <comment ref="F51" authorId="0" shapeId="0">
      <text>
        <r>
          <rPr>
            <sz val="10"/>
            <color rgb="FF000000"/>
            <rFont val="Arial"/>
            <family val="2"/>
          </rPr>
          <t>morbidity, mortality, effect</t>
        </r>
      </text>
    </comment>
    <comment ref="F52" authorId="0" shapeId="0">
      <text>
        <r>
          <rPr>
            <sz val="10"/>
            <color rgb="FF000000"/>
            <rFont val="Arial"/>
            <family val="2"/>
          </rPr>
          <t>source of contamination, origin</t>
        </r>
      </text>
    </comment>
    <comment ref="F53" authorId="0" shapeId="0">
      <text>
        <r>
          <rPr>
            <sz val="10"/>
            <color rgb="FF000000"/>
            <rFont val="Arial"/>
            <family val="2"/>
          </rPr>
          <t>A dose or concentration that produces a predetermined change in response rate of an adverse effect (called the bench response or BMR) compared to background.</t>
        </r>
      </text>
    </comment>
    <comment ref="F54" authorId="0" shapeId="0">
      <text>
        <r>
          <rPr>
            <sz val="10"/>
            <color rgb="FF000000"/>
            <rFont val="Arial"/>
            <family val="2"/>
          </rPr>
          <t>International regulations and permissible maximum residue levels in food and drinking water</t>
        </r>
      </text>
    </comment>
    <comment ref="F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F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F60" authorId="0" shapeId="0">
      <text>
        <r>
          <rPr>
            <sz val="10"/>
            <color rgb="FF000000"/>
            <rFont val="Arial"/>
            <family val="2"/>
          </rPr>
          <t>Define if the parameter reported is an individual residue/analyte, a summed residue definition or part of a sum a summed residue definition.</t>
        </r>
      </text>
    </comment>
    <comment ref="F61" authorId="0" shapeId="0">
      <text>
        <r>
          <rPr>
            <sz val="10"/>
            <color rgb="FF000000"/>
            <rFont val="Arial"/>
            <family val="2"/>
          </rPr>
          <t>Name of the population for which the model or data applies</t>
        </r>
      </text>
    </comment>
    <comment ref="F62" authorId="0" shapeId="0">
      <text>
        <r>
          <rPr>
            <sz val="10"/>
            <color rgb="FF000000"/>
            <rFont val="Arial"/>
            <family val="2"/>
          </rPr>
          <t>population of individual that we are interested in describing and making statistical inferences about</t>
        </r>
      </text>
    </comment>
    <comment ref="F63" authorId="0" shapeId="0">
      <text>
        <r>
          <rPr>
            <sz val="10"/>
            <color rgb="FF000000"/>
            <rFont val="Arial"/>
            <family val="2"/>
          </rPr>
          <t>Temporal information on the exposure duration</t>
        </r>
      </text>
    </comment>
    <comment ref="F64"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5" authorId="0" shapeId="0">
      <text>
        <r>
          <rPr>
            <sz val="10"/>
            <color rgb="FF000000"/>
            <rFont val="Arial"/>
            <family val="2"/>
          </rPr>
          <t>describe the range of age or group of age</t>
        </r>
      </text>
    </comment>
    <comment ref="F66" authorId="0" shapeId="0">
      <text>
        <r>
          <rPr>
            <sz val="10"/>
            <color rgb="FF000000"/>
            <rFont val="Arial"/>
            <family val="2"/>
          </rPr>
          <t>describe the percentage of gender</t>
        </r>
      </text>
    </comment>
    <comment ref="F67" authorId="0" shapeId="0">
      <text>
        <r>
          <rPr>
            <sz val="10"/>
            <color rgb="FF000000"/>
            <rFont val="Arial"/>
            <family val="2"/>
          </rPr>
          <t>describe the range of BMI or class of BMI or BMI mean</t>
        </r>
      </text>
    </comment>
    <comment ref="F68" authorId="0" shapeId="0">
      <text>
        <r>
          <rPr>
            <sz val="10"/>
            <color rgb="FF000000"/>
            <rFont val="Arial"/>
            <family val="2"/>
          </rPr>
          <t>sub-population with special diets (vegetarians, diabetics, group following special ethnic diets)</t>
        </r>
      </text>
    </comment>
    <comment ref="F69" authorId="0" shapeId="0">
      <text>
        <r>
          <rPr>
            <sz val="10"/>
            <color rgb="FF000000"/>
            <rFont val="Arial"/>
            <family val="2"/>
          </rPr>
          <t>describe the consumption of different food items: frequency, portion size</t>
        </r>
      </text>
    </comment>
    <comment ref="F70" authorId="0" shapeId="0">
      <text>
        <r>
          <rPr>
            <sz val="10"/>
            <color rgb="FF000000"/>
            <rFont val="Arial"/>
            <family val="2"/>
          </rPr>
          <t>Spatial information (area) on which the population group of the model or data applies</t>
        </r>
      </text>
    </comment>
    <comment ref="F71" authorId="0" shapeId="0">
      <text>
        <r>
          <rPr>
            <sz val="10"/>
            <color rgb="FF000000"/>
            <rFont val="Arial"/>
            <family val="2"/>
          </rPr>
          <t>Country on which the population group of the model or data applies</t>
        </r>
      </text>
    </comment>
    <comment ref="F72" authorId="0" shapeId="0">
      <text>
        <r>
          <rPr>
            <sz val="10"/>
            <color rgb="FF000000"/>
            <rFont val="Arial"/>
            <family val="2"/>
          </rPr>
          <t>distribution of surveyed people according to the season (influence consumption pattern)</t>
        </r>
      </text>
    </comment>
    <comment ref="F73" authorId="0" shapeId="0">
      <text>
        <r>
          <rPr>
            <sz val="10"/>
            <color rgb="FF000000"/>
            <rFont val="Arial"/>
            <family val="2"/>
          </rPr>
          <t>distribution of surveyed people according to the season (influence consumption pattern)</t>
        </r>
      </text>
    </comment>
    <comment ref="D74" authorId="0" shapeId="0">
      <text>
        <r>
          <rPr>
            <sz val="10"/>
            <color rgb="FF000000"/>
            <rFont val="Arial"/>
            <family val="2"/>
          </rPr>
          <t>General comments on the scope of the model</t>
        </r>
      </text>
    </comment>
    <comment ref="F75" authorId="0" shapeId="0">
      <text>
        <r>
          <rPr>
            <sz val="10"/>
            <color rgb="FF000000"/>
            <rFont val="Arial"/>
            <family val="2"/>
          </rPr>
          <t>Temporal information on which the model applies / An interval of time that is named or defined by its start and end dates (period of study)</t>
        </r>
      </text>
    </comment>
    <comment ref="F76" authorId="0" shapeId="0">
      <text>
        <r>
          <rPr>
            <sz val="10"/>
            <color rgb="FF000000"/>
            <rFont val="Arial"/>
            <family val="2"/>
          </rPr>
          <t>Spatial information (area) on which the model applies</t>
        </r>
      </text>
    </comment>
    <comment ref="F77" authorId="0" shapeId="0">
      <text>
        <r>
          <rPr>
            <sz val="10"/>
            <color rgb="FF000000"/>
            <rFont val="Arial"/>
            <family val="2"/>
          </rPr>
          <t>Country on which the model applies</t>
        </r>
      </text>
    </comment>
    <comment ref="F78" authorId="0" shapeId="0">
      <text>
        <r>
          <rPr>
            <sz val="10"/>
            <color rgb="FF000000"/>
            <rFont val="Arial"/>
            <family val="2"/>
          </rPr>
          <t>A user defined identifier for the study</t>
        </r>
      </text>
    </comment>
    <comment ref="F79" authorId="0" shapeId="0">
      <text>
        <r>
          <rPr>
            <sz val="10"/>
            <color rgb="FF000000"/>
            <rFont val="Arial"/>
            <family val="2"/>
          </rPr>
          <t>A title for the Study.</t>
        </r>
      </text>
    </comment>
    <comment ref="F80" authorId="0" shapeId="0">
      <text>
        <r>
          <rPr>
            <sz val="10"/>
            <color rgb="FF000000"/>
            <rFont val="Arial"/>
            <family val="2"/>
          </rPr>
          <t>A brief description of the study aims.</t>
        </r>
      </text>
    </comment>
    <comment ref="F81" authorId="0" shapeId="0">
      <text>
        <r>
          <rPr>
            <sz val="10"/>
            <color rgb="FF000000"/>
            <rFont val="Arial"/>
            <family val="2"/>
          </rPr>
          <t>The type of study design being employed</t>
        </r>
      </text>
    </comment>
    <comment ref="F82" authorId="0" shapeId="0">
      <text>
        <r>
          <rPr>
            <sz val="10"/>
            <color rgb="FF000000"/>
            <rFont val="Arial"/>
            <family val="2"/>
          </rPr>
          <t>The measurement being observed in this assay</t>
        </r>
      </text>
    </comment>
    <comment ref="F83" authorId="0" shapeId="0">
      <text>
        <r>
          <rPr>
            <sz val="10"/>
            <color rgb="FF000000"/>
            <rFont val="Arial"/>
            <family val="2"/>
          </rPr>
          <t>The technology being employed to observe this measurement</t>
        </r>
      </text>
    </comment>
    <comment ref="F84" authorId="0" shapeId="0">
      <text>
        <r>
          <rPr>
            <sz val="10"/>
            <color rgb="FF000000"/>
            <rFont val="Arial"/>
            <family val="2"/>
          </rPr>
          <t>The technology platform used</t>
        </r>
      </text>
    </comment>
    <comment ref="F85" authorId="0" shapeId="0">
      <text>
        <r>
          <rPr>
            <sz val="10"/>
            <color rgb="FF000000"/>
            <rFont val="Arial"/>
            <family val="2"/>
          </rPr>
          <t>Accreditation procedure for the analytical method used</t>
        </r>
      </text>
    </comment>
    <comment ref="F86" authorId="0" shapeId="0">
      <text>
        <r>
          <rPr>
            <sz val="10"/>
            <color rgb="FF000000"/>
            <rFont val="Arial"/>
            <family val="2"/>
          </rPr>
          <t>The name of the protocol, e.g.Extraction Protocol</t>
        </r>
      </text>
    </comment>
    <comment ref="F87" authorId="0" shapeId="0">
      <text>
        <r>
          <rPr>
            <sz val="10"/>
            <color rgb="FF000000"/>
            <rFont val="Arial"/>
            <family val="2"/>
          </rPr>
          <t>The type of the protocol, preferably coming from an Ontology, e.g. Extraction Protocol</t>
        </r>
      </text>
    </comment>
    <comment ref="F88" authorId="0" shapeId="0">
      <text>
        <r>
          <rPr>
            <sz val="10"/>
            <color rgb="FF000000"/>
            <rFont val="Arial"/>
            <family val="2"/>
          </rPr>
          <t>A description of the Protocol.</t>
        </r>
      </text>
    </comment>
    <comment ref="F89" authorId="0" shapeId="0">
      <text>
        <r>
          <rPr>
            <sz val="10"/>
            <color rgb="FF000000"/>
            <rFont val="Arial"/>
            <family val="2"/>
          </rPr>
          <t>A URI to link out to a publication, web page, etc. describing the protocol.</t>
        </r>
      </text>
    </comment>
    <comment ref="F90" authorId="0" shapeId="0">
      <text>
        <r>
          <rPr>
            <sz val="10"/>
            <color rgb="FF000000"/>
            <rFont val="Arial"/>
            <family val="2"/>
          </rPr>
          <t>The version of the protocol used, where applicable.</t>
        </r>
      </text>
    </comment>
    <comment ref="F91" authorId="0" shapeId="0">
      <text>
        <r>
          <rPr>
            <sz val="10"/>
            <color rgb="FF000000"/>
            <rFont val="Arial"/>
            <family val="2"/>
          </rPr>
          <t>The parameters used when executing this protocol.</t>
        </r>
      </text>
    </comment>
    <comment ref="F92" authorId="0" shapeId="0">
      <text>
        <r>
          <rPr>
            <sz val="10"/>
            <color rgb="FF000000"/>
            <rFont val="Arial"/>
            <family val="2"/>
          </rPr>
          <t>The components used when carrying out this protocol.</t>
        </r>
      </text>
    </comment>
    <comment ref="F94" authorId="0" shapeId="0">
      <text>
        <r>
          <rPr>
            <sz val="10"/>
            <color rgb="FF000000"/>
            <rFont val="Arial"/>
            <family val="2"/>
          </rPr>
          <t>An unambiguous ID given to the samples used in the assay</t>
        </r>
      </text>
    </comment>
    <comment ref="F95" authorId="0" shapeId="0">
      <text>
        <r>
          <rPr>
            <sz val="10"/>
            <color rgb="FF000000"/>
            <rFont val="Arial"/>
            <family val="2"/>
          </rPr>
          <t>Additional protocol for sample and sample collection. Corresponds to the Protocol REF in ISA</t>
        </r>
      </text>
    </comment>
    <comment ref="L95" authorId="0" shapeId="0">
      <text>
        <r>
          <rPr>
            <sz val="10"/>
            <color rgb="FF000000"/>
            <rFont val="Arial"/>
            <family val="2"/>
          </rPr>
          <t>An unambiguous ID given to the samples used in the assay</t>
        </r>
      </text>
    </comment>
    <comment ref="M95" authorId="0" shapeId="0">
      <text>
        <r>
          <rPr>
            <sz val="10"/>
            <color rgb="FF000000"/>
            <rFont val="Arial"/>
            <family val="2"/>
          </rPr>
          <t>Additional protocol for sample and sample collection. Corresponds to the Protocol REF in ISA</t>
        </r>
      </text>
    </comment>
    <comment ref="N95" authorId="0" shapeId="0">
      <text>
        <r>
          <rPr>
            <sz val="10"/>
            <color rgb="FF000000"/>
            <rFont val="Arial"/>
            <family val="2"/>
          </rPr>
          <t>Sampling strategy (ref. EUROSTAT - Typology of sampling strategy, version of July 2009)</t>
        </r>
      </text>
    </comment>
    <comment ref="O95" authorId="0" shapeId="0">
      <text>
        <r>
          <rPr>
            <sz val="10"/>
            <color rgb="FF000000"/>
            <rFont val="Arial"/>
            <family val="2"/>
          </rPr>
          <t>Indicate the type programme for which the samples have been collected.</t>
        </r>
      </text>
    </comment>
    <comment ref="P95" authorId="0" shapeId="0">
      <text>
        <r>
          <rPr>
            <sz val="10"/>
            <color rgb="FF000000"/>
            <rFont val="Arial"/>
            <family val="2"/>
          </rPr>
          <t>Sampling method used to take the sample</t>
        </r>
      </text>
    </comment>
    <comment ref="Q95" authorId="0" shapeId="0">
      <text>
        <r>
          <rPr>
            <sz val="10"/>
            <color rgb="FF000000"/>
            <rFont val="Arial"/>
            <family val="2"/>
          </rPr>
          <t>description of data collection technique: stratified or complex sampling (several stages)</t>
        </r>
      </text>
    </comment>
    <comment ref="R95" authorId="0" shapeId="0">
      <text>
        <r>
          <rPr>
            <sz val="10"/>
            <color rgb="FF000000"/>
            <rFont val="Arial"/>
            <family val="2"/>
          </rPr>
          <t>description of the method employed to compute sampling weight (nonresponse-adjusted weight)</t>
        </r>
      </text>
    </comment>
    <comment ref="S95" authorId="0" shapeId="0">
      <text>
        <r>
          <rPr>
            <sz val="10"/>
            <color rgb="FF000000"/>
            <rFont val="Arial"/>
            <family val="2"/>
          </rPr>
          <t>number of units, full participants, partial participants, eligibles, not eligible, unresolved (eligibility status not resolved)…</t>
        </r>
      </text>
    </comment>
    <comment ref="T95" authorId="0" shapeId="0">
      <text>
        <r>
          <rPr>
            <sz val="10"/>
            <color rgb="FF000000"/>
            <rFont val="Arial"/>
            <family val="2"/>
          </rPr>
          <t>Unit in which the lot size is expressed.</t>
        </r>
      </text>
    </comment>
    <comment ref="U95" authorId="0" shapeId="0">
      <text>
        <r>
          <rPr>
            <sz val="10"/>
            <color rgb="FF000000"/>
            <rFont val="Arial"/>
            <family val="2"/>
          </rPr>
          <t>Point in the food chain where the sample was taken. (Doc. ESTAT/F5/ES/155 “Data dictionary of activities of the establishments”).</t>
        </r>
      </text>
    </comment>
    <comment ref="F96" authorId="0" shapeId="0">
      <text>
        <r>
          <rPr>
            <sz val="10"/>
            <color rgb="FF000000"/>
            <rFont val="Arial"/>
            <family val="2"/>
          </rPr>
          <t>Sampling strategy (ref. EUROSTAT - Typology of sampling strategy, version of July 2009)</t>
        </r>
      </text>
    </comment>
    <comment ref="F97" authorId="0" shapeId="0">
      <text>
        <r>
          <rPr>
            <sz val="10"/>
            <color rgb="FF000000"/>
            <rFont val="Arial"/>
            <family val="2"/>
          </rPr>
          <t>Indicate the type programme for which the samples have been collected.</t>
        </r>
      </text>
    </comment>
    <comment ref="F98" authorId="0" shapeId="0">
      <text>
        <r>
          <rPr>
            <sz val="10"/>
            <color rgb="FF000000"/>
            <rFont val="Arial"/>
            <family val="2"/>
          </rPr>
          <t>Sampling method used to take the sample</t>
        </r>
      </text>
    </comment>
    <comment ref="F99" authorId="0" shapeId="0">
      <text>
        <r>
          <rPr>
            <sz val="10"/>
            <color rgb="FF000000"/>
            <rFont val="Arial"/>
            <family val="2"/>
          </rPr>
          <t>description of data collection technique: stratified or complex sampling (several stages)</t>
        </r>
      </text>
    </comment>
    <comment ref="F100" authorId="0" shapeId="0">
      <text>
        <r>
          <rPr>
            <sz val="10"/>
            <color rgb="FF000000"/>
            <rFont val="Arial"/>
            <family val="2"/>
          </rPr>
          <t>description of the method employed to compute sampling weight (nonresponse-adjusted weight)</t>
        </r>
      </text>
    </comment>
    <comment ref="F101" authorId="0" shapeId="0">
      <text>
        <r>
          <rPr>
            <sz val="10"/>
            <color rgb="FF000000"/>
            <rFont val="Arial"/>
            <family val="2"/>
          </rPr>
          <t>number of units, full participants, partial participants, eligibles, not eligible, unresolved (eligibility status not resolved)…</t>
        </r>
      </text>
    </comment>
    <comment ref="F102" authorId="0" shapeId="0">
      <text>
        <r>
          <rPr>
            <sz val="10"/>
            <color rgb="FF000000"/>
            <rFont val="Arial"/>
            <family val="2"/>
          </rPr>
          <t>Unit in which the lot size is expressed.</t>
        </r>
      </text>
    </comment>
    <comment ref="L102" authorId="0" shapeId="0">
      <text>
        <r>
          <rPr>
            <sz val="10"/>
            <color rgb="FF000000"/>
            <rFont val="Arial"/>
            <family val="2"/>
          </rPr>
          <t>food diaries, interview, 24-hour recall interview, food propensy questionnaire, portion size measurement aids, eating outside questionnaire</t>
        </r>
      </text>
    </comment>
    <comment ref="P102" authorId="0" shapeId="0">
      <text>
        <r>
          <rPr>
            <sz val="10"/>
            <color rgb="FF000000"/>
            <rFont val="Arial"/>
            <family val="2"/>
          </rPr>
          <t>consumption occasion, mean of consumption, quantified and described as eaten, recipes for self-made</t>
        </r>
      </text>
    </comment>
    <comment ref="Q102" authorId="0" shapeId="0">
      <text>
        <r>
          <rPr>
            <sz val="10"/>
            <color rgb="FF000000"/>
            <rFont val="Arial"/>
            <family val="2"/>
          </rPr>
          <t>use foodex2 facets</t>
        </r>
      </text>
    </comment>
    <comment ref="F103" authorId="0" shapeId="0">
      <text>
        <r>
          <rPr>
            <sz val="10"/>
            <color rgb="FF000000"/>
            <rFont val="Arial"/>
            <family val="2"/>
          </rPr>
          <t>Point in the food chain where the sample was taken. (Doc. ESTAT/F5/ES/155 “Data dictionary of activities of the establishments”).</t>
        </r>
      </text>
    </comment>
    <comment ref="F104" authorId="0" shapeId="0">
      <text>
        <r>
          <rPr>
            <sz val="10"/>
            <color rgb="FF000000"/>
            <rFont val="Arial"/>
            <family val="2"/>
          </rPr>
          <t>food diaries, interview, 24-hour recall interview, food propensy questionnaire, portion size measurement aids, eating outside questionnaire</t>
        </r>
      </text>
    </comment>
    <comment ref="F108" authorId="0" shapeId="0">
      <text>
        <r>
          <rPr>
            <sz val="10"/>
            <color rgb="FF000000"/>
            <rFont val="Arial"/>
            <family val="2"/>
          </rPr>
          <t>consumption occasion, mean of consumption, quantified and described as eaten, recipes for self-made</t>
        </r>
      </text>
    </comment>
    <comment ref="P108" authorId="0" shapeId="0">
      <text>
        <r>
          <rPr>
            <sz val="10"/>
            <color rgb="FF000000"/>
            <rFont val="Arial"/>
            <family val="2"/>
          </rPr>
          <t>Definition of time-dependent parameter changes</t>
        </r>
      </text>
    </comment>
    <comment ref="F109" authorId="0" shapeId="0">
      <text>
        <r>
          <rPr>
            <sz val="10"/>
            <color rgb="FF000000"/>
            <rFont val="Arial"/>
            <family val="2"/>
          </rPr>
          <t>use foodex2 facets</t>
        </r>
      </text>
    </comment>
    <comment ref="L109" authorId="0" shapeId="0">
      <text>
        <r>
          <rPr>
            <sz val="10"/>
            <color rgb="FF000000"/>
            <rFont val="Arial"/>
            <family val="2"/>
          </rPr>
          <t>The laboratory accreditation to ISO/IEC 17025.</t>
        </r>
      </text>
    </comment>
    <comment ref="M109" authorId="0" shapeId="0">
      <text>
        <r>
          <rPr>
            <sz val="10"/>
            <color rgb="FF000000"/>
            <rFont val="Arial"/>
            <family val="2"/>
          </rPr>
          <t>Laboratory code (National laboratory code if available) or Laboratory name</t>
        </r>
      </text>
    </comment>
    <comment ref="N109" authorId="0" shapeId="0">
      <text>
        <r>
          <rPr>
            <sz val="10"/>
            <color rgb="FF000000"/>
            <rFont val="Arial"/>
            <family val="2"/>
          </rPr>
          <t>Country where the laboratory is placed. (ISO 3166-1-alpha-2).</t>
        </r>
      </text>
    </comment>
    <comment ref="F110" authorId="0" shapeId="0">
      <text>
        <r>
          <rPr>
            <sz val="10"/>
            <color rgb="FF000000"/>
            <rFont val="Arial"/>
            <family val="2"/>
          </rPr>
          <t>The laboratory accreditation to ISO/IEC 17025.</t>
        </r>
      </text>
    </comment>
    <comment ref="F111" authorId="0" shapeId="0">
      <text>
        <r>
          <rPr>
            <sz val="10"/>
            <color rgb="FF000000"/>
            <rFont val="Arial"/>
            <family val="2"/>
          </rPr>
          <t>Laboratory code (National laboratory code if available) or Laboratory name</t>
        </r>
      </text>
    </comment>
    <comment ref="F112" authorId="0" shapeId="0">
      <text>
        <r>
          <rPr>
            <sz val="10"/>
            <color rgb="FF000000"/>
            <rFont val="Arial"/>
            <family val="2"/>
          </rPr>
          <t>Country where the laboratory is placed. (ISO 3166-1-alpha-2).</t>
        </r>
      </text>
    </comment>
    <comment ref="F113" authorId="0" shapeId="0">
      <text>
        <r>
          <rPr>
            <sz val="10"/>
            <color rgb="FF000000"/>
            <rFont val="Arial"/>
            <family val="2"/>
          </rPr>
          <t>A name given to the assay</t>
        </r>
      </text>
    </comment>
    <comment ref="F114" authorId="0" shapeId="0">
      <text>
        <r>
          <rPr>
            <sz val="10"/>
            <color rgb="FF000000"/>
            <rFont val="Arial"/>
            <family val="2"/>
          </rPr>
          <t>General description of the assay. Corresponds to the Protocol REF in ISA</t>
        </r>
      </text>
    </comment>
    <comment ref="F115" authorId="0" shapeId="0">
      <text>
        <r>
          <rPr>
            <sz val="10"/>
            <color rgb="FF000000"/>
            <rFont val="Arial"/>
            <family val="2"/>
          </rPr>
          <t>Percentage of moisture in the original sample</t>
        </r>
      </text>
    </comment>
    <comment ref="F116" authorId="0" shapeId="0">
      <text>
        <r>
          <rPr>
            <sz val="10"/>
            <color rgb="FF000000"/>
            <rFont val="Arial"/>
            <family val="2"/>
          </rPr>
          <t>Percentage of fat in the original sample</t>
        </r>
      </text>
    </comment>
    <comment ref="L116" authorId="0" shapeId="0">
      <text>
        <r>
          <rPr>
            <sz val="10"/>
            <color rgb="FF000000"/>
            <rFont val="Arial"/>
            <family val="2"/>
          </rPr>
          <t>A name given to the assay</t>
        </r>
      </text>
    </comment>
    <comment ref="M116" authorId="0" shapeId="0">
      <text>
        <r>
          <rPr>
            <sz val="10"/>
            <color rgb="FF000000"/>
            <rFont val="Arial"/>
            <family val="2"/>
          </rPr>
          <t>General description of the assay. Corresponds to the Protocol REF in ISA</t>
        </r>
      </text>
    </comment>
    <comment ref="N116" authorId="0" shapeId="0">
      <text>
        <r>
          <rPr>
            <sz val="10"/>
            <color rgb="FF000000"/>
            <rFont val="Arial"/>
            <family val="2"/>
          </rPr>
          <t>Percentage of moisture in the original sample</t>
        </r>
      </text>
    </comment>
    <comment ref="O116" authorId="0" shapeId="0">
      <text>
        <r>
          <rPr>
            <sz val="10"/>
            <color rgb="FF000000"/>
            <rFont val="Arial"/>
            <family val="2"/>
          </rPr>
          <t>Percentage of fat in the original sample</t>
        </r>
      </text>
    </comment>
    <comment ref="P116" authorId="0" shapeId="0">
      <text>
        <r>
          <rPr>
            <sz val="10"/>
            <color rgb="FF000000"/>
            <rFont val="Arial"/>
            <family val="2"/>
          </rPr>
          <t>Limit of detection reported in the unit specified by the variable “Hazard unit”.</t>
        </r>
      </text>
    </comment>
    <comment ref="Q116" authorId="0" shapeId="0">
      <text>
        <r>
          <rPr>
            <sz val="10"/>
            <color rgb="FF000000"/>
            <rFont val="Arial"/>
            <family val="2"/>
          </rPr>
          <t>Limit of quantification reported in the unit specified by the variable “Hazard unit”</t>
        </r>
      </text>
    </comment>
    <comment ref="R116" authorId="0" shapeId="0">
      <text>
        <r>
          <rPr>
            <sz val="10"/>
            <color rgb="FF000000"/>
            <rFont val="Arial"/>
            <family val="2"/>
          </rPr>
          <t>percentage of measures equal to LOQ and/or LOD</t>
        </r>
      </text>
    </comment>
    <comment ref="S116" authorId="0" shapeId="0">
      <text>
        <r>
          <rPr>
            <sz val="10"/>
            <color rgb="FF000000"/>
            <rFont val="Arial"/>
            <family val="2"/>
          </rPr>
          <t>Range of result of the analytical measure reported in the unit specified by the variable “Hazard unit”</t>
        </r>
      </text>
    </comment>
    <comment ref="T116" authorId="0" shapeId="0">
      <text>
        <r>
          <rPr>
            <sz val="10"/>
            <color rgb="FF000000"/>
            <rFont val="Arial"/>
            <family val="2"/>
          </rPr>
          <t>Indicate the expanded uncertainty (usually 95% confidence interval) value associated with the measurement expressed in the unit reported in the field “Hazard unit”.</t>
        </r>
      </text>
    </comment>
    <comment ref="F117" authorId="0" shapeId="0">
      <text>
        <r>
          <rPr>
            <sz val="10"/>
            <color rgb="FF000000"/>
            <rFont val="Arial"/>
            <family val="2"/>
          </rPr>
          <t>Limit of detection reported in the unit specified by the variable “Hazard unit”.</t>
        </r>
      </text>
    </comment>
    <comment ref="F118" authorId="0" shapeId="0">
      <text>
        <r>
          <rPr>
            <sz val="10"/>
            <color rgb="FF000000"/>
            <rFont val="Arial"/>
            <family val="2"/>
          </rPr>
          <t>Limit of quantification reported in the unit specified by the variable “Hazard unit”</t>
        </r>
      </text>
    </comment>
    <comment ref="F119" authorId="0" shapeId="0">
      <text>
        <r>
          <rPr>
            <sz val="10"/>
            <color rgb="FF000000"/>
            <rFont val="Arial"/>
            <family val="2"/>
          </rPr>
          <t>percentage of measures equal to LOQ and/or LOD</t>
        </r>
      </text>
    </comment>
    <comment ref="F120" authorId="0" shapeId="0">
      <text>
        <r>
          <rPr>
            <sz val="10"/>
            <color rgb="FF000000"/>
            <rFont val="Arial"/>
            <family val="2"/>
          </rPr>
          <t>Range of result of the analytical measure reported in the unit specified by the variable “Hazard unit”</t>
        </r>
      </text>
    </comment>
    <comment ref="F121" authorId="0" shapeId="0">
      <text>
        <r>
          <rPr>
            <sz val="10"/>
            <color rgb="FF000000"/>
            <rFont val="Arial"/>
            <family val="2"/>
          </rPr>
          <t>Indicate the expanded uncertainty (usually 95% confidence interval) value associated with the measurement expressed in the unit reported in the field “Hazard unit”.</t>
        </r>
      </text>
    </comment>
    <comment ref="F122" authorId="0" shapeId="0">
      <text>
        <r>
          <rPr>
            <sz val="10"/>
            <color rgb="FF000000"/>
            <rFont val="Arial"/>
            <family val="2"/>
          </rPr>
          <t>An unambiguous and sequential ID given to the parameter. To be compatible with SBML, only letters from A to Z, numbers and "_" are acepted for ID creation.</t>
        </r>
      </text>
    </comment>
    <comment ref="M122" authorId="0" shapeId="0">
      <text>
        <r>
          <rPr>
            <sz val="10"/>
            <color rgb="FF000000"/>
            <rFont val="Arial"/>
            <family val="2"/>
          </rPr>
          <t>Statistical values calculated to describe the performance of the model fitting procedure</t>
        </r>
      </text>
    </comment>
    <comment ref="P122" authorId="0" shapeId="0">
      <text>
        <r>
          <rPr>
            <sz val="10"/>
            <color rgb="FF000000"/>
            <rFont val="Arial"/>
            <family val="2"/>
          </rPr>
          <t>A name given to the model equation</t>
        </r>
      </text>
    </comment>
    <comment ref="Q122" authorId="0" shapeId="0">
      <text>
        <r>
          <rPr>
            <sz val="10"/>
            <color rgb="FF000000"/>
            <rFont val="Arial"/>
            <family val="2"/>
          </rPr>
          <t>Information on that helps to categorize model equations</t>
        </r>
      </text>
    </comment>
    <comment ref="R122" authorId="0" shapeId="0">
      <text>
        <r>
          <rPr>
            <sz val="10"/>
            <color rgb="FF000000"/>
            <rFont val="Arial"/>
            <family val="2"/>
          </rPr>
          <t xml:space="preserve">Procedure used to fit the data to the model equation </t>
        </r>
      </text>
    </comment>
    <comment ref="S122" authorId="0" shapeId="0">
      <text>
        <r>
          <rPr>
            <sz val="10"/>
            <color rgb="FF000000"/>
            <rFont val="Arial"/>
            <family val="2"/>
          </rPr>
          <t>The pointer to the file that holds the software code (e.g. R-script)</t>
        </r>
      </text>
    </comment>
    <comment ref="F123" authorId="0" shapeId="0">
      <text>
        <r>
          <rPr>
            <sz val="10"/>
            <color rgb="FF000000"/>
            <rFont val="Arial"/>
            <family val="2"/>
          </rPr>
          <t>General classification of the parameter (e.g. Input, Constant, Output...)</t>
        </r>
      </text>
    </comment>
    <comment ref="F124" authorId="0" shapeId="0">
      <text>
        <r>
          <rPr>
            <sz val="10"/>
            <color rgb="FF000000"/>
            <rFont val="Arial"/>
            <family val="2"/>
          </rPr>
          <t>A name given to the parameter</t>
        </r>
      </text>
    </comment>
    <comment ref="F125" authorId="0" shapeId="0">
      <text>
        <r>
          <rPr>
            <sz val="10"/>
            <color rgb="FF000000"/>
            <rFont val="Arial"/>
            <family val="2"/>
          </rPr>
          <t>General description of the parameter</t>
        </r>
      </text>
    </comment>
    <comment ref="F126" authorId="0" shapeId="0">
      <text>
        <r>
          <rPr>
            <sz val="10"/>
            <color rgb="FF000000"/>
            <rFont val="Arial"/>
            <family val="2"/>
          </rPr>
          <t>Unit of the parameter</t>
        </r>
      </text>
    </comment>
    <comment ref="F127" authorId="0" shapeId="0">
      <text>
        <r>
          <rPr>
            <sz val="10"/>
            <color rgb="FF000000"/>
            <rFont val="Arial"/>
            <family val="2"/>
          </rPr>
          <t>General classification of the parameter unit</t>
        </r>
      </text>
    </comment>
    <comment ref="F128" authorId="0" shapeId="0">
      <text>
        <r>
          <rPr>
            <sz val="10"/>
            <color rgb="FF000000"/>
            <rFont val="Arial"/>
            <family val="2"/>
          </rPr>
          <t>Information on the data format of the parameter, e.g. if it is a categorial variable, int, double, array of size x,y,z</t>
        </r>
      </text>
    </comment>
    <comment ref="F129" authorId="0" shapeId="0">
      <text>
        <r>
          <rPr>
            <sz val="10"/>
            <color rgb="FF000000"/>
            <rFont val="Arial"/>
            <family val="2"/>
          </rPr>
          <t>Information on the type of knowledge used to define the parameter value</t>
        </r>
      </text>
    </comment>
    <comment ref="F130" authorId="0" shapeId="0">
      <text>
        <r>
          <rPr>
            <sz val="10"/>
            <color rgb="FF000000"/>
            <rFont val="Arial"/>
            <family val="2"/>
          </rPr>
          <t>Scope of the parameter, e.g. if it refers to an animal, a batch of animals, a batch of products, a carcass, a carcass skin etc</t>
        </r>
      </text>
    </comment>
    <comment ref="K130"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F131" authorId="0" shapeId="0">
      <text>
        <r>
          <rPr>
            <sz val="10"/>
            <color rgb="FF000000"/>
            <rFont val="Arial"/>
            <family val="2"/>
          </rPr>
          <t xml:space="preserve">Information on the distribution describing the parameter (e.g. variability, uncertainty, point estimate...) </t>
        </r>
      </text>
    </comment>
    <comment ref="L131" authorId="0" shapeId="0">
      <text>
        <r>
          <rPr>
            <sz val="10"/>
            <color rgb="FF000000"/>
            <rFont val="Arial"/>
            <family val="2"/>
          </rPr>
          <t>An unambiguous and sequential ID given to the parameter. To be compatible with SBML, only letters from A to Z, numbers and "_" are acepted for ID creation.</t>
        </r>
      </text>
    </comment>
    <comment ref="M131" authorId="0" shapeId="0">
      <text>
        <r>
          <rPr>
            <sz val="10"/>
            <color rgb="FF000000"/>
            <rFont val="Arial"/>
            <family val="2"/>
          </rPr>
          <t>General classification of the parameter (e.g. Input, Constant, Output...)</t>
        </r>
      </text>
    </comment>
    <comment ref="N131" authorId="0" shapeId="0">
      <text>
        <r>
          <rPr>
            <sz val="10"/>
            <color rgb="FF000000"/>
            <rFont val="Arial"/>
            <family val="2"/>
          </rPr>
          <t>A name given to the parameter</t>
        </r>
      </text>
    </comment>
    <comment ref="O131" authorId="0" shapeId="0">
      <text>
        <r>
          <rPr>
            <sz val="10"/>
            <color rgb="FF000000"/>
            <rFont val="Arial"/>
            <family val="2"/>
          </rPr>
          <t>General description of the parameter</t>
        </r>
      </text>
    </comment>
    <comment ref="P131" authorId="0" shapeId="0">
      <text>
        <r>
          <rPr>
            <sz val="10"/>
            <color rgb="FF000000"/>
            <rFont val="Arial"/>
            <family val="2"/>
          </rPr>
          <t>Unit of the parameter</t>
        </r>
      </text>
    </comment>
    <comment ref="Q131" authorId="0" shapeId="0">
      <text>
        <r>
          <rPr>
            <sz val="10"/>
            <color rgb="FF000000"/>
            <rFont val="Arial"/>
            <family val="2"/>
          </rPr>
          <t>General classification of the parameter unit</t>
        </r>
      </text>
    </comment>
    <comment ref="R131" authorId="0" shapeId="0">
      <text>
        <r>
          <rPr>
            <sz val="10"/>
            <color rgb="FF000000"/>
            <rFont val="Arial"/>
            <family val="2"/>
          </rPr>
          <t>Information on the data format of the parameter, e.g. if it is a categorial variable, int, double, array of size x,y,z</t>
        </r>
      </text>
    </comment>
    <comment ref="S131" authorId="0" shapeId="0">
      <text>
        <r>
          <rPr>
            <sz val="10"/>
            <color rgb="FF000000"/>
            <rFont val="Arial"/>
            <family val="2"/>
          </rPr>
          <t>Information on the type of knowledge used to define the parameter value</t>
        </r>
      </text>
    </comment>
    <comment ref="T131" authorId="0" shapeId="0">
      <text>
        <r>
          <rPr>
            <sz val="10"/>
            <color rgb="FF000000"/>
            <rFont val="Arial"/>
            <family val="2"/>
          </rPr>
          <t>Scope of the parameter, e.g. if it refers to an animal, a batch of animals, a batch of products, a carcass, a carcass skin etc</t>
        </r>
      </text>
    </comment>
    <comment ref="U131"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1"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31"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31"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31" authorId="0" shapeId="0">
      <text>
        <r>
          <rPr>
            <sz val="10"/>
            <color rgb="FF000000"/>
            <rFont val="Arial"/>
            <family val="2"/>
          </rPr>
          <t>Numerical values of the maximum limit of the parameter that determine the range of applicability for which the model applies</t>
        </r>
      </text>
    </comment>
    <comment ref="Z131" authorId="0" shapeId="0">
      <text>
        <r>
          <rPr>
            <sz val="10"/>
            <color rgb="FF000000"/>
            <rFont val="Arial"/>
            <family val="2"/>
          </rPr>
          <t xml:space="preserve">
minimum limit of the parameter that determine the range of applicability for which the model applies</t>
        </r>
      </text>
    </comment>
    <comment ref="AA131" authorId="0" shapeId="0">
      <text>
        <r>
          <rPr>
            <sz val="10"/>
            <color rgb="FF000000"/>
            <rFont val="Arial"/>
            <family val="2"/>
          </rPr>
          <t>Error of the parameter value</t>
        </r>
      </text>
    </comment>
    <comment ref="F134"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F13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F136"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F137" authorId="0" shapeId="0">
      <text>
        <r>
          <rPr>
            <sz val="10"/>
            <color rgb="FF000000"/>
            <rFont val="Arial"/>
            <family val="2"/>
          </rPr>
          <t>Numerical value of the  minimum limits of the parameter that determine the range of applicability for which the model applies</t>
        </r>
      </text>
    </comment>
    <comment ref="F138" authorId="0" shapeId="0">
      <text>
        <r>
          <rPr>
            <sz val="10"/>
            <color rgb="FF000000"/>
            <rFont val="Arial"/>
            <family val="2"/>
          </rPr>
          <t>Numerical value of the minimum limit of the parameter that determine the range of applicability for which the model applies</t>
        </r>
      </text>
    </comment>
    <comment ref="F139" authorId="0" shapeId="0">
      <text>
        <r>
          <rPr>
            <sz val="10"/>
            <color rgb="FF000000"/>
            <rFont val="Arial"/>
            <family val="2"/>
          </rPr>
          <t>Error of the parameter value</t>
        </r>
      </text>
    </comment>
    <comment ref="F140" authorId="0" shapeId="0">
      <text>
        <r>
          <rPr>
            <sz val="10"/>
            <color rgb="FF000000"/>
            <rFont val="Arial"/>
            <family val="2"/>
          </rPr>
          <t>Statistical values calculated to describe the performance of the model fitting procedure</t>
        </r>
      </text>
    </comment>
    <comment ref="F142" authorId="0" shapeId="0">
      <text>
        <r>
          <rPr>
            <sz val="10"/>
            <color rgb="FF000000"/>
            <rFont val="Arial"/>
            <family val="2"/>
          </rPr>
          <t>A name given to the model equation</t>
        </r>
      </text>
    </comment>
    <comment ref="F143" authorId="0" shapeId="0">
      <text>
        <r>
          <rPr>
            <sz val="10"/>
            <color rgb="FF000000"/>
            <rFont val="Arial"/>
            <family val="2"/>
          </rPr>
          <t>Information on that helps to categorize model equations</t>
        </r>
      </text>
    </comment>
    <comment ref="F147" authorId="0" shapeId="0">
      <text>
        <r>
          <rPr>
            <sz val="10"/>
            <color rgb="FF000000"/>
            <rFont val="Arial"/>
            <family val="2"/>
          </rPr>
          <t xml:space="preserve">Procedure used to fit the data to the model equation </t>
        </r>
      </text>
    </comment>
    <comment ref="F148" authorId="0" shapeId="0">
      <text>
        <r>
          <rPr>
            <sz val="10"/>
            <color rgb="FF000000"/>
            <rFont val="Arial"/>
            <family val="2"/>
          </rPr>
          <t>The pointer to the file that holds the software code (e.g. R-script)</t>
        </r>
      </text>
    </comment>
    <comment ref="D150" authorId="0" shapeId="0">
      <text>
        <r>
          <rPr>
            <sz val="10"/>
            <color rgb="FF000000"/>
            <rFont val="Arial"/>
            <family val="2"/>
          </rPr>
          <t xml:space="preserve">Procedure used to fit the data to the model equation </t>
        </r>
      </text>
    </comment>
    <comment ref="F151" authorId="0" shapeId="0">
      <text>
        <r>
          <rPr>
            <sz val="10"/>
            <color rgb="FF000000"/>
            <rFont val="Arial"/>
            <family val="2"/>
          </rPr>
          <t>describe the mathematical method to replace left-censored data: recommandation of WHO (2013), distribution or ohters</t>
        </r>
      </text>
    </comment>
    <comment ref="F152" authorId="0" shapeId="0">
      <text>
        <r>
          <rPr>
            <sz val="10"/>
            <color rgb="FF000000"/>
            <rFont val="Arial"/>
            <family val="2"/>
          </rPr>
          <t>describe the range of of the level of contamination after left censored data treatment</t>
        </r>
      </text>
    </comment>
    <comment ref="F154" authorId="0" shapeId="0">
      <text>
        <r>
          <rPr>
            <sz val="10"/>
            <color rgb="FF000000"/>
            <rFont val="Arial"/>
            <family val="2"/>
          </rPr>
          <t>describe the different scenari of exposure assessment</t>
        </r>
      </text>
    </comment>
    <comment ref="F155" authorId="0" shapeId="0">
      <text>
        <r>
          <rPr>
            <sz val="10"/>
            <color rgb="FF000000"/>
            <rFont val="Arial"/>
            <family val="2"/>
          </rPr>
          <t>Analysis to estimate uncertainty</t>
        </r>
      </text>
    </comment>
    <comment ref="D156" authorId="0" shapeId="0">
      <text>
        <r>
          <rPr>
            <sz val="10"/>
            <color rgb="FF000000"/>
            <rFont val="Arial"/>
            <family val="2"/>
          </rPr>
          <t>Definition of time-dependent parameter changes</t>
        </r>
      </text>
    </comment>
  </commentList>
</comments>
</file>

<file path=xl/comments2.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K1" authorId="0" shapeId="0">
      <text>
        <r>
          <rPr>
            <sz val="10"/>
            <color rgb="FF000000"/>
            <rFont val="Arial"/>
            <family val="2"/>
          </rPr>
          <t>The person or institution who contributed to the encoding of the model in its present form by creating the model file</t>
        </r>
      </text>
    </comment>
    <comment ref="AA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K2" authorId="0" shapeId="0">
      <text>
        <r>
          <rPr>
            <sz val="10"/>
            <color rgb="FF000000"/>
            <rFont val="Arial"/>
            <family val="2"/>
          </rPr>
          <t>For example, Dr, Sr...</t>
        </r>
      </text>
    </comment>
    <comment ref="AA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K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The type of publication, e.g. Report, Journal article, Book, Online database, ...</t>
        </r>
      </text>
    </comment>
    <comment ref="M13" authorId="0" shapeId="0">
      <text>
        <r>
          <rPr>
            <sz val="10"/>
            <color rgb="FF000000"/>
            <rFont val="Arial"/>
            <family val="2"/>
          </rPr>
          <t>Temporal information on the publication date</t>
        </r>
      </text>
    </comment>
    <comment ref="N13" authorId="0" shapeId="0">
      <text>
        <r>
          <rPr>
            <sz val="10"/>
            <color rgb="FF000000"/>
            <rFont val="Arial"/>
            <family val="2"/>
          </rPr>
          <t>The PubMed ID related to this publication</t>
        </r>
      </text>
    </comment>
    <comment ref="O13" authorId="0" shapeId="0">
      <text>
        <r>
          <rPr>
            <sz val="10"/>
            <color rgb="FF000000"/>
            <rFont val="Arial"/>
            <family val="2"/>
          </rPr>
          <t>The DOI related to this publication</t>
        </r>
      </text>
    </comment>
    <comment ref="P13" authorId="0" shapeId="0">
      <text>
        <r>
          <rPr>
            <sz val="10"/>
            <color rgb="FF000000"/>
            <rFont val="Arial"/>
            <family val="2"/>
          </rPr>
          <t>Name and surname of the authors who contributed to this publication</t>
        </r>
      </text>
    </comment>
    <comment ref="Q13" authorId="0" shapeId="0">
      <text>
        <r>
          <rPr>
            <sz val="10"/>
            <color rgb="FF000000"/>
            <rFont val="Arial"/>
            <family val="2"/>
          </rPr>
          <t>Title of the publication in which the model has been described</t>
        </r>
      </text>
    </comment>
    <comment ref="R13" authorId="0" shapeId="0">
      <text>
        <r>
          <rPr>
            <sz val="10"/>
            <color rgb="FF000000"/>
            <rFont val="Arial"/>
            <family val="2"/>
          </rPr>
          <t>Abstract of the publication in which the model has been described</t>
        </r>
      </text>
    </comment>
    <comment ref="S13" authorId="0" shapeId="0">
      <text>
        <r>
          <rPr>
            <sz val="10"/>
            <color rgb="FF000000"/>
            <rFont val="Arial"/>
            <family val="2"/>
          </rPr>
          <t>Data on the details of the journal in which the model has been described</t>
        </r>
      </text>
    </comment>
    <comment ref="T13" authorId="0" shapeId="0">
      <text>
        <r>
          <rPr>
            <sz val="10"/>
            <color rgb="FF000000"/>
            <rFont val="Arial"/>
            <family val="2"/>
          </rPr>
          <t>The status of this publication, e.g. Published, Submitted, etc.</t>
        </r>
      </text>
    </comment>
    <comment ref="U13" authorId="0" shapeId="0">
      <text>
        <r>
          <rPr>
            <sz val="10"/>
            <color rgb="FF000000"/>
            <rFont val="Arial"/>
            <family val="2"/>
          </rPr>
          <t>A link to the reference description SUGGESTION: A link to the publication description</t>
        </r>
      </text>
    </comment>
    <comment ref="V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General classification of the hazard for which the model applies</t>
        </r>
      </text>
    </comment>
    <comment ref="G37" authorId="0" shapeId="0">
      <text>
        <r>
          <rPr>
            <sz val="10"/>
            <color rgb="FF000000"/>
            <rFont val="Arial"/>
            <family val="2"/>
          </rPr>
          <t>Name of the hazard for which the model applies</t>
        </r>
      </text>
    </comment>
    <comment ref="K37" authorId="0" shapeId="0">
      <text>
        <r>
          <rPr>
            <sz val="10"/>
            <color rgb="FF000000"/>
            <rFont val="Arial"/>
            <family val="2"/>
          </rPr>
          <t>General classification of the hazard for which the model or data applies</t>
        </r>
      </text>
    </comment>
    <comment ref="L37" authorId="0" shapeId="0">
      <text>
        <r>
          <rPr>
            <sz val="10"/>
            <color rgb="FF000000"/>
            <rFont val="Arial"/>
            <family val="2"/>
          </rPr>
          <t>Name of the hazard for which the model or data applies</t>
        </r>
      </text>
    </comment>
    <comment ref="M37" authorId="0" shapeId="0">
      <text>
        <r>
          <rPr>
            <sz val="10"/>
            <color rgb="FF000000"/>
            <rFont val="Arial"/>
            <family val="2"/>
          </rPr>
          <t>Description of the hazard for which the model or data applies</t>
        </r>
      </text>
    </comment>
    <comment ref="N37" authorId="0" shapeId="0">
      <text>
        <r>
          <rPr>
            <sz val="10"/>
            <color rgb="FF000000"/>
            <rFont val="Arial"/>
            <family val="2"/>
          </rPr>
          <t>Unit of the hazard for which the model applies</t>
        </r>
      </text>
    </comment>
    <comment ref="O37" authorId="0" shapeId="0">
      <text>
        <r>
          <rPr>
            <sz val="10"/>
            <color rgb="FF000000"/>
            <rFont val="Arial"/>
            <family val="2"/>
          </rPr>
          <t>morbidity, mortality, effect</t>
        </r>
      </text>
    </comment>
    <comment ref="P37" authorId="0" shapeId="0">
      <text>
        <r>
          <rPr>
            <sz val="10"/>
            <color rgb="FF000000"/>
            <rFont val="Arial"/>
            <family val="2"/>
          </rPr>
          <t>source of contamination, origin</t>
        </r>
      </text>
    </comment>
    <comment ref="Q37" authorId="0" shapeId="0">
      <text>
        <r>
          <rPr>
            <sz val="10"/>
            <color rgb="FF000000"/>
            <rFont val="Arial"/>
            <family val="2"/>
          </rPr>
          <t>A dose or concentration that produces a predetermined change in response rate of an adverse effect (called the bench response or BMR) compared to background.</t>
        </r>
      </text>
    </comment>
    <comment ref="R37" authorId="0" shapeId="0">
      <text>
        <r>
          <rPr>
            <sz val="10"/>
            <color rgb="FF000000"/>
            <rFont val="Arial"/>
            <family val="2"/>
          </rPr>
          <t>International regulations and permissible maximum residue levels in food and drinking water</t>
        </r>
      </text>
    </comment>
    <comment ref="S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T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U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V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W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X37" authorId="0" shapeId="0">
      <text>
        <r>
          <rPr>
            <sz val="10"/>
            <color rgb="FF000000"/>
            <rFont val="Arial"/>
            <family val="2"/>
          </rPr>
          <t>Define if the parameter reported is an individual residue/analyte, a summed residue definition or part of a sum a summed residue definition.</t>
        </r>
      </text>
    </comment>
    <comment ref="Y37" authorId="0" shapeId="0">
      <text>
        <r>
          <rPr>
            <sz val="10"/>
            <color rgb="FF000000"/>
            <rFont val="Arial"/>
            <family val="2"/>
          </rPr>
          <t>Name of the population for which the model or data applies</t>
        </r>
      </text>
    </comment>
    <comment ref="Z37" authorId="0" shapeId="0">
      <text>
        <r>
          <rPr>
            <sz val="10"/>
            <color rgb="FF000000"/>
            <rFont val="Arial"/>
            <family val="2"/>
          </rPr>
          <t>population of individual that we are interested in describing and making statistical inferences about</t>
        </r>
      </text>
    </comment>
    <comment ref="AA37" authorId="0" shapeId="0">
      <text>
        <r>
          <rPr>
            <sz val="10"/>
            <color rgb="FF000000"/>
            <rFont val="Arial"/>
            <family val="2"/>
          </rPr>
          <t>Temporal information on the exposure duration</t>
        </r>
      </text>
    </comment>
    <comment ref="AB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C37" authorId="0" shapeId="0">
      <text>
        <r>
          <rPr>
            <sz val="10"/>
            <color rgb="FF000000"/>
            <rFont val="Arial"/>
            <family val="2"/>
          </rPr>
          <t>describe the range of age or group of age</t>
        </r>
      </text>
    </comment>
    <comment ref="AD37" authorId="0" shapeId="0">
      <text>
        <r>
          <rPr>
            <sz val="10"/>
            <color rgb="FF000000"/>
            <rFont val="Arial"/>
            <family val="2"/>
          </rPr>
          <t>describe the percentage of gender</t>
        </r>
      </text>
    </comment>
    <comment ref="AE37" authorId="0" shapeId="0">
      <text>
        <r>
          <rPr>
            <sz val="10"/>
            <color rgb="FF000000"/>
            <rFont val="Arial"/>
            <family val="2"/>
          </rPr>
          <t>describe the range of BMI or class of BMI or BMI mean</t>
        </r>
      </text>
    </comment>
    <comment ref="AF37" authorId="0" shapeId="0">
      <text>
        <r>
          <rPr>
            <sz val="10"/>
            <color rgb="FF000000"/>
            <rFont val="Arial"/>
            <family val="2"/>
          </rPr>
          <t>sub-population with special diets (vegetarians, diabetics, group following special ethnic diets)</t>
        </r>
      </text>
    </comment>
    <comment ref="AG37" authorId="0" shapeId="0">
      <text>
        <r>
          <rPr>
            <sz val="10"/>
            <color rgb="FF000000"/>
            <rFont val="Arial"/>
            <family val="2"/>
          </rPr>
          <t>describe the consumption of different food items: frequency, portion size</t>
        </r>
      </text>
    </comment>
    <comment ref="AH37" authorId="0" shapeId="0">
      <text>
        <r>
          <rPr>
            <sz val="10"/>
            <color rgb="FF000000"/>
            <rFont val="Arial"/>
            <family val="2"/>
          </rPr>
          <t>Spatial information (area) on which the population group of the model or data applies</t>
        </r>
      </text>
    </comment>
    <comment ref="AI37" authorId="0" shapeId="0">
      <text>
        <r>
          <rPr>
            <sz val="10"/>
            <color rgb="FF000000"/>
            <rFont val="Arial"/>
            <family val="2"/>
          </rPr>
          <t>Country on which the population group of the model or data applies</t>
        </r>
      </text>
    </comment>
    <comment ref="AJ37" authorId="0" shapeId="0">
      <text>
        <r>
          <rPr>
            <sz val="10"/>
            <color rgb="FF000000"/>
            <rFont val="Arial"/>
            <family val="2"/>
          </rPr>
          <t>distribution of surveyed people according to the season (influence consumption pattern)</t>
        </r>
      </text>
    </comment>
    <comment ref="AK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Description of the hazard for which the model applies</t>
        </r>
      </text>
    </comment>
    <comment ref="G39" authorId="0" shapeId="0">
      <text>
        <r>
          <rPr>
            <sz val="10"/>
            <color rgb="FF000000"/>
            <rFont val="Arial"/>
            <family val="2"/>
          </rPr>
          <t>Unit of the hazard for which the model applies</t>
        </r>
      </text>
    </comment>
    <comment ref="G40" authorId="0" shapeId="0">
      <text>
        <r>
          <rPr>
            <sz val="10"/>
            <color rgb="FF000000"/>
            <rFont val="Arial"/>
            <family val="2"/>
          </rPr>
          <t>morbidity, mortality, effect</t>
        </r>
      </text>
    </comment>
    <comment ref="G41" authorId="0" shapeId="0">
      <text>
        <r>
          <rPr>
            <sz val="10"/>
            <color rgb="FF000000"/>
            <rFont val="Arial"/>
            <family val="2"/>
          </rPr>
          <t>source of contamination, origin</t>
        </r>
      </text>
    </comment>
    <comment ref="G42" authorId="0" shapeId="0">
      <text>
        <r>
          <rPr>
            <sz val="10"/>
            <color rgb="FF000000"/>
            <rFont val="Arial"/>
            <family val="2"/>
          </rPr>
          <t>A dose or concentration that produces a predetermined change in response rate of an adverse effect (called the bench response or BMR) compared to background.</t>
        </r>
      </text>
    </comment>
    <comment ref="G43" authorId="0" shapeId="0">
      <text>
        <r>
          <rPr>
            <sz val="10"/>
            <color rgb="FF000000"/>
            <rFont val="Arial"/>
            <family val="2"/>
          </rPr>
          <t>International regulations and permissible maximum residue levels in food and drinking water</t>
        </r>
      </text>
    </comment>
    <comment ref="G44"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49" authorId="0" shapeId="0">
      <text>
        <r>
          <rPr>
            <sz val="10"/>
            <color rgb="FF000000"/>
            <rFont val="Arial"/>
            <family val="2"/>
          </rPr>
          <t>Define if the parameter reported is an individual residue/analyte, a summed residue definition or part of a sum a summed residue definition.</t>
        </r>
      </text>
    </comment>
    <comment ref="G50" authorId="0" shapeId="0">
      <text>
        <r>
          <rPr>
            <sz val="10"/>
            <color rgb="FF000000"/>
            <rFont val="Arial"/>
            <family val="2"/>
          </rPr>
          <t>Name of the population for which the model or data applies</t>
        </r>
      </text>
    </comment>
    <comment ref="G51" authorId="0" shapeId="0">
      <text>
        <r>
          <rPr>
            <sz val="10"/>
            <color rgb="FF000000"/>
            <rFont val="Arial"/>
            <family val="2"/>
          </rPr>
          <t>population of individual that we are interested in describing and making statistical inferences about</t>
        </r>
      </text>
    </comment>
    <comment ref="G52" authorId="0" shapeId="0">
      <text>
        <r>
          <rPr>
            <sz val="10"/>
            <color rgb="FF000000"/>
            <rFont val="Arial"/>
            <family val="2"/>
          </rPr>
          <t>Temporal information on the exposure duration</t>
        </r>
      </text>
    </comment>
    <comment ref="G53"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family val="2"/>
          </rPr>
          <t>describe the range of age or group of age</t>
        </r>
      </text>
    </comment>
    <comment ref="G55" authorId="0" shapeId="0">
      <text>
        <r>
          <rPr>
            <sz val="10"/>
            <color rgb="FF000000"/>
            <rFont val="Arial"/>
            <family val="2"/>
          </rPr>
          <t>describe the percentage of gender</t>
        </r>
      </text>
    </comment>
    <comment ref="G56" authorId="0" shapeId="0">
      <text>
        <r>
          <rPr>
            <sz val="10"/>
            <color rgb="FF000000"/>
            <rFont val="Arial"/>
            <family val="2"/>
          </rPr>
          <t>describe the range of BMI or class of BMI or BMI mean</t>
        </r>
      </text>
    </comment>
    <comment ref="G57" authorId="0" shapeId="0">
      <text>
        <r>
          <rPr>
            <sz val="10"/>
            <color rgb="FF000000"/>
            <rFont val="Arial"/>
            <family val="2"/>
          </rPr>
          <t>sub-population with special diets (vegetarians, diabetics, group following special ethnic diets)</t>
        </r>
      </text>
    </comment>
    <comment ref="G58" authorId="0" shapeId="0">
      <text>
        <r>
          <rPr>
            <sz val="10"/>
            <color rgb="FF000000"/>
            <rFont val="Arial"/>
            <family val="2"/>
          </rPr>
          <t>describe the consumption of different food items: frequency, portion size</t>
        </r>
      </text>
    </comment>
    <comment ref="G59" authorId="0" shapeId="0">
      <text>
        <r>
          <rPr>
            <sz val="10"/>
            <color rgb="FF000000"/>
            <rFont val="Arial"/>
            <family val="2"/>
          </rPr>
          <t>Spatial information (area) on which the population group of the model or data applies</t>
        </r>
      </text>
    </comment>
    <comment ref="G60" authorId="0" shapeId="0">
      <text>
        <r>
          <rPr>
            <sz val="10"/>
            <color rgb="FF000000"/>
            <rFont val="Arial"/>
            <family val="2"/>
          </rPr>
          <t>Country on which the population group of the model or data applies</t>
        </r>
      </text>
    </comment>
    <comment ref="G61" authorId="0" shapeId="0">
      <text>
        <r>
          <rPr>
            <sz val="10"/>
            <color rgb="FF000000"/>
            <rFont val="Arial"/>
            <family val="2"/>
          </rPr>
          <t>distribution of surveyed people according to the season (influence consumption pattern)</t>
        </r>
      </text>
    </comment>
    <comment ref="G62" authorId="0" shapeId="0">
      <text>
        <r>
          <rPr>
            <sz val="10"/>
            <color rgb="FF000000"/>
            <rFont val="Arial"/>
            <family val="2"/>
          </rPr>
          <t>distribution of surveyed people according to the season (influence consumption pattern)</t>
        </r>
      </text>
    </comment>
    <comment ref="E63" authorId="0" shapeId="0">
      <text>
        <r>
          <rPr>
            <sz val="10"/>
            <color rgb="FF000000"/>
            <rFont val="Arial"/>
            <family val="2"/>
          </rPr>
          <t>General comments on the scope of the model</t>
        </r>
      </text>
    </comment>
    <comment ref="G64" authorId="0" shapeId="0">
      <text>
        <r>
          <rPr>
            <sz val="10"/>
            <color rgb="FF000000"/>
            <rFont val="Arial"/>
            <family val="2"/>
          </rPr>
          <t>Temporal information on which the model applies / An interval of time that is named or defined by its start and end dates (period of study)</t>
        </r>
      </text>
    </comment>
    <comment ref="G65" authorId="0" shapeId="0">
      <text>
        <r>
          <rPr>
            <sz val="10"/>
            <color rgb="FF000000"/>
            <rFont val="Arial"/>
            <family val="2"/>
          </rPr>
          <t>Spatial information (area) on which the model applies</t>
        </r>
      </text>
    </comment>
    <comment ref="G66" authorId="0" shapeId="0">
      <text>
        <r>
          <rPr>
            <sz val="10"/>
            <color rgb="FF000000"/>
            <rFont val="Arial"/>
            <family val="2"/>
          </rPr>
          <t>Country on which the model applies</t>
        </r>
      </text>
    </comment>
    <comment ref="G67" authorId="0" shapeId="0">
      <text>
        <r>
          <rPr>
            <sz val="10"/>
            <color rgb="FF000000"/>
            <rFont val="Arial"/>
            <family val="2"/>
          </rPr>
          <t>A user defined identifier for the study</t>
        </r>
      </text>
    </comment>
    <comment ref="G68" authorId="0" shapeId="0">
      <text>
        <r>
          <rPr>
            <sz val="10"/>
            <color rgb="FF000000"/>
            <rFont val="Arial"/>
            <family val="2"/>
          </rPr>
          <t>A title for the Study.</t>
        </r>
      </text>
    </comment>
    <comment ref="G69" authorId="0" shapeId="0">
      <text>
        <r>
          <rPr>
            <sz val="10"/>
            <color rgb="FF000000"/>
            <rFont val="Arial"/>
            <family val="2"/>
          </rPr>
          <t>A brief description of the study aims.</t>
        </r>
      </text>
    </comment>
    <comment ref="G70" authorId="0" shapeId="0">
      <text>
        <r>
          <rPr>
            <sz val="10"/>
            <color rgb="FF000000"/>
            <rFont val="Arial"/>
            <family val="2"/>
          </rPr>
          <t>The type of study design being employed</t>
        </r>
      </text>
    </comment>
    <comment ref="G71" authorId="0" shapeId="0">
      <text>
        <r>
          <rPr>
            <sz val="10"/>
            <color rgb="FF000000"/>
            <rFont val="Arial"/>
            <family val="2"/>
          </rPr>
          <t>The measurement being observed in this assay</t>
        </r>
      </text>
    </comment>
    <comment ref="G72" authorId="0" shapeId="0">
      <text>
        <r>
          <rPr>
            <sz val="10"/>
            <color rgb="FF000000"/>
            <rFont val="Arial"/>
            <family val="2"/>
          </rPr>
          <t>The technology being employed to observe this measurement</t>
        </r>
      </text>
    </comment>
    <comment ref="G73" authorId="0" shapeId="0">
      <text>
        <r>
          <rPr>
            <sz val="10"/>
            <color rgb="FF000000"/>
            <rFont val="Arial"/>
            <family val="2"/>
          </rPr>
          <t>The technology platform used</t>
        </r>
      </text>
    </comment>
    <comment ref="G74" authorId="0" shapeId="0">
      <text>
        <r>
          <rPr>
            <sz val="10"/>
            <color rgb="FF000000"/>
            <rFont val="Arial"/>
            <family val="2"/>
          </rPr>
          <t>Accreditation procedure for the analytical method used</t>
        </r>
      </text>
    </comment>
    <comment ref="G75" authorId="0" shapeId="0">
      <text>
        <r>
          <rPr>
            <sz val="10"/>
            <color rgb="FF000000"/>
            <rFont val="Arial"/>
            <family val="2"/>
          </rPr>
          <t>The name of the protocol, e.g.Extraction Protocol</t>
        </r>
      </text>
    </comment>
    <comment ref="G76" authorId="0" shapeId="0">
      <text>
        <r>
          <rPr>
            <sz val="10"/>
            <color rgb="FF000000"/>
            <rFont val="Arial"/>
            <family val="2"/>
          </rPr>
          <t>The type of the protocol, preferably coming from an Ontology, e.g. Extraction Protocol</t>
        </r>
      </text>
    </comment>
    <comment ref="G77" authorId="0" shapeId="0">
      <text>
        <r>
          <rPr>
            <sz val="10"/>
            <color rgb="FF000000"/>
            <rFont val="Arial"/>
            <family val="2"/>
          </rPr>
          <t>A description of the Protocol.</t>
        </r>
      </text>
    </comment>
    <comment ref="G78" authorId="0" shapeId="0">
      <text>
        <r>
          <rPr>
            <sz val="10"/>
            <color rgb="FF000000"/>
            <rFont val="Arial"/>
            <family val="2"/>
          </rPr>
          <t>A URI to link out to a publication, web page, etc. describing the protocol.</t>
        </r>
      </text>
    </comment>
    <comment ref="G79" authorId="0" shapeId="0">
      <text>
        <r>
          <rPr>
            <sz val="10"/>
            <color rgb="FF000000"/>
            <rFont val="Arial"/>
            <family val="2"/>
          </rPr>
          <t>The version of the protocol used, where applicable.</t>
        </r>
      </text>
    </comment>
    <comment ref="G80" authorId="0" shapeId="0">
      <text>
        <r>
          <rPr>
            <sz val="10"/>
            <color rgb="FF000000"/>
            <rFont val="Arial"/>
            <family val="2"/>
          </rPr>
          <t>The parameters used when executing this protocol.</t>
        </r>
      </text>
    </comment>
    <comment ref="G81" authorId="0" shapeId="0">
      <text>
        <r>
          <rPr>
            <sz val="10"/>
            <color rgb="FF000000"/>
            <rFont val="Arial"/>
            <family val="2"/>
          </rPr>
          <t>The components used when carrying out this protocol.</t>
        </r>
      </text>
    </comment>
    <comment ref="G83" authorId="0" shapeId="0">
      <text>
        <r>
          <rPr>
            <sz val="10"/>
            <color rgb="FF000000"/>
            <rFont val="Arial"/>
            <family val="2"/>
          </rPr>
          <t>An unambiguous ID given to the samples used in the assay</t>
        </r>
      </text>
    </comment>
    <comment ref="G84" authorId="0" shapeId="0">
      <text>
        <r>
          <rPr>
            <sz val="10"/>
            <color rgb="FF000000"/>
            <rFont val="Arial"/>
            <family val="2"/>
          </rPr>
          <t>Additional protocol for sample and sample collection. Corresponds to the Protocol REF in ISA</t>
        </r>
      </text>
    </comment>
    <comment ref="K84" authorId="0" shapeId="0">
      <text>
        <r>
          <rPr>
            <sz val="10"/>
            <color rgb="FF000000"/>
            <rFont val="Arial"/>
            <family val="2"/>
          </rPr>
          <t>An unambiguous ID given to the samples used in the assay</t>
        </r>
      </text>
    </comment>
    <comment ref="L84" authorId="0" shapeId="0">
      <text>
        <r>
          <rPr>
            <sz val="10"/>
            <color rgb="FF000000"/>
            <rFont val="Arial"/>
            <family val="2"/>
          </rPr>
          <t>Additional protocol for sample and sample collection. Corresponds to the Protocol REF in ISA</t>
        </r>
      </text>
    </comment>
    <comment ref="M84" authorId="0" shapeId="0">
      <text>
        <r>
          <rPr>
            <sz val="10"/>
            <color rgb="FF000000"/>
            <rFont val="Arial"/>
            <family val="2"/>
          </rPr>
          <t>Sampling strategy (ref. EUROSTAT - Typology of sampling strategy, version of July 2009)</t>
        </r>
      </text>
    </comment>
    <comment ref="N84" authorId="0" shapeId="0">
      <text>
        <r>
          <rPr>
            <sz val="10"/>
            <color rgb="FF000000"/>
            <rFont val="Arial"/>
            <family val="2"/>
          </rPr>
          <t>Indicate the type programme for which the samples have been collected.</t>
        </r>
      </text>
    </comment>
    <comment ref="O84" authorId="0" shapeId="0">
      <text>
        <r>
          <rPr>
            <sz val="10"/>
            <color rgb="FF000000"/>
            <rFont val="Arial"/>
            <family val="2"/>
          </rPr>
          <t>Sampling method used to take the sample</t>
        </r>
      </text>
    </comment>
    <comment ref="P84" authorId="0" shapeId="0">
      <text>
        <r>
          <rPr>
            <sz val="10"/>
            <color rgb="FF000000"/>
            <rFont val="Arial"/>
            <family val="2"/>
          </rPr>
          <t>description of data collection technique: stratified or complex sampling (several stages)</t>
        </r>
      </text>
    </comment>
    <comment ref="Q84" authorId="0" shapeId="0">
      <text>
        <r>
          <rPr>
            <sz val="10"/>
            <color rgb="FF000000"/>
            <rFont val="Arial"/>
            <family val="2"/>
          </rPr>
          <t>description of the method employed to compute sampling weight (nonresponse-adjusted weight)</t>
        </r>
      </text>
    </comment>
    <comment ref="R84" authorId="0" shapeId="0">
      <text>
        <r>
          <rPr>
            <sz val="10"/>
            <color rgb="FF000000"/>
            <rFont val="Arial"/>
            <family val="2"/>
          </rPr>
          <t>number of units, full participants, partial participants, eligibles, not eligible, unresolved (eligibility status not resolved)…</t>
        </r>
      </text>
    </comment>
    <comment ref="S84" authorId="0" shapeId="0">
      <text>
        <r>
          <rPr>
            <sz val="10"/>
            <color rgb="FF000000"/>
            <rFont val="Arial"/>
            <family val="2"/>
          </rPr>
          <t>Unit in which the lot size is expressed.</t>
        </r>
      </text>
    </comment>
    <comment ref="T84" authorId="0" shapeId="0">
      <text>
        <r>
          <rPr>
            <sz val="10"/>
            <color rgb="FF000000"/>
            <rFont val="Arial"/>
            <family val="2"/>
          </rPr>
          <t>Point in the food chain where the sample was taken. (Doc. ESTAT/F5/ES/155 “Data dictionary of activities of the establishments”).</t>
        </r>
      </text>
    </comment>
    <comment ref="G85" authorId="0" shapeId="0">
      <text>
        <r>
          <rPr>
            <sz val="10"/>
            <color rgb="FF000000"/>
            <rFont val="Arial"/>
            <family val="2"/>
          </rPr>
          <t>Sampling strategy (ref. EUROSTAT - Typology of sampling strategy, version of July 2009)</t>
        </r>
      </text>
    </comment>
    <comment ref="G86" authorId="0" shapeId="0">
      <text>
        <r>
          <rPr>
            <sz val="10"/>
            <color rgb="FF000000"/>
            <rFont val="Arial"/>
            <family val="2"/>
          </rPr>
          <t>Indicate the type programme for which the samples have been collected.</t>
        </r>
      </text>
    </comment>
    <comment ref="G87" authorId="0" shapeId="0">
      <text>
        <r>
          <rPr>
            <sz val="10"/>
            <color rgb="FF000000"/>
            <rFont val="Arial"/>
            <family val="2"/>
          </rPr>
          <t>Sampling method used to take the sample</t>
        </r>
      </text>
    </comment>
    <comment ref="G88" authorId="0" shapeId="0">
      <text>
        <r>
          <rPr>
            <sz val="10"/>
            <color rgb="FF000000"/>
            <rFont val="Arial"/>
            <family val="2"/>
          </rPr>
          <t>description of data collection technique: stratified or complex sampling (several stages)</t>
        </r>
      </text>
    </comment>
    <comment ref="G89" authorId="0" shapeId="0">
      <text>
        <r>
          <rPr>
            <sz val="10"/>
            <color rgb="FF000000"/>
            <rFont val="Arial"/>
            <family val="2"/>
          </rPr>
          <t>description of the method employed to compute sampling weight (nonresponse-adjusted weight)</t>
        </r>
      </text>
    </comment>
    <comment ref="G90" authorId="0" shapeId="0">
      <text>
        <r>
          <rPr>
            <sz val="10"/>
            <color rgb="FF000000"/>
            <rFont val="Arial"/>
            <family val="2"/>
          </rPr>
          <t>number of units, full participants, partial participants, eligibles, not eligible, unresolved (eligibility status not resolved)…</t>
        </r>
      </text>
    </comment>
    <comment ref="O90" authorId="0" shapeId="0">
      <text>
        <r>
          <rPr>
            <sz val="10"/>
            <color rgb="FF000000"/>
            <rFont val="Arial"/>
            <family val="2"/>
          </rPr>
          <t>Definition of time-dependent parameter changes</t>
        </r>
      </text>
    </comment>
    <comment ref="G91" authorId="0" shapeId="0">
      <text>
        <r>
          <rPr>
            <sz val="10"/>
            <color rgb="FF000000"/>
            <rFont val="Arial"/>
            <family val="2"/>
          </rPr>
          <t>Unit in which the lot size is expressed.</t>
        </r>
      </text>
    </comment>
    <comment ref="K91" authorId="0" shapeId="0">
      <text>
        <r>
          <rPr>
            <sz val="10"/>
            <color rgb="FF000000"/>
            <rFont val="Arial"/>
            <family val="2"/>
          </rPr>
          <t>The laboratory accreditation to ISO/IEC 17025.</t>
        </r>
      </text>
    </comment>
    <comment ref="L91" authorId="0" shapeId="0">
      <text>
        <r>
          <rPr>
            <sz val="10"/>
            <color rgb="FF000000"/>
            <rFont val="Arial"/>
            <family val="2"/>
          </rPr>
          <t>Laboratory code (National laboratory code if available) or Laboratory name</t>
        </r>
      </text>
    </comment>
    <comment ref="M91" authorId="0" shapeId="0">
      <text>
        <r>
          <rPr>
            <sz val="10"/>
            <color rgb="FF000000"/>
            <rFont val="Arial"/>
            <family val="2"/>
          </rPr>
          <t>Country where the laboratory is placed. (ISO 3166-1-alpha-2).</t>
        </r>
      </text>
    </comment>
    <comment ref="G92" authorId="0" shapeId="0">
      <text>
        <r>
          <rPr>
            <sz val="10"/>
            <color rgb="FF000000"/>
            <rFont val="Arial"/>
            <family val="2"/>
          </rPr>
          <t>Point in the food chain where the sample was taken. (Doc. ESTAT/F5/ES/155 “Data dictionary of activities of the establishments”).</t>
        </r>
      </text>
    </comment>
    <comment ref="G93" authorId="0" shapeId="0">
      <text>
        <r>
          <rPr>
            <sz val="10"/>
            <color rgb="FF000000"/>
            <rFont val="Arial"/>
            <family val="2"/>
          </rPr>
          <t>The laboratory accreditation to ISO/IEC 17025.</t>
        </r>
      </text>
    </comment>
    <comment ref="G94" authorId="0" shapeId="0">
      <text>
        <r>
          <rPr>
            <sz val="10"/>
            <color rgb="FF000000"/>
            <rFont val="Arial"/>
            <family val="2"/>
          </rPr>
          <t>Laboratory code (National laboratory code if available) or Laboratory name</t>
        </r>
      </text>
    </comment>
    <comment ref="G95" authorId="0" shapeId="0">
      <text>
        <r>
          <rPr>
            <sz val="10"/>
            <color rgb="FF000000"/>
            <rFont val="Arial"/>
            <family val="2"/>
          </rPr>
          <t>Country where the laboratory is placed. (ISO 3166-1-alpha-2).</t>
        </r>
      </text>
    </comment>
    <comment ref="G96" authorId="0" shapeId="0">
      <text>
        <r>
          <rPr>
            <sz val="10"/>
            <color rgb="FF000000"/>
            <rFont val="Arial"/>
            <family val="2"/>
          </rPr>
          <t>A name given to the assay</t>
        </r>
      </text>
    </comment>
    <comment ref="G97" authorId="0" shapeId="0">
      <text>
        <r>
          <rPr>
            <sz val="10"/>
            <color rgb="FF000000"/>
            <rFont val="Arial"/>
            <family val="2"/>
          </rPr>
          <t>General description of the assay. Corresponds to the Protocol REF in ISA</t>
        </r>
      </text>
    </comment>
    <comment ref="G98" authorId="0" shapeId="0">
      <text>
        <r>
          <rPr>
            <sz val="10"/>
            <color rgb="FF000000"/>
            <rFont val="Arial"/>
            <family val="2"/>
          </rPr>
          <t>Percentage of moisture in the original sample</t>
        </r>
      </text>
    </comment>
    <comment ref="G99" authorId="0" shapeId="0">
      <text>
        <r>
          <rPr>
            <sz val="10"/>
            <color rgb="FF000000"/>
            <rFont val="Arial"/>
            <family val="2"/>
          </rPr>
          <t>Percentage of fat in the original sample</t>
        </r>
      </text>
    </comment>
    <comment ref="G100" authorId="0" shapeId="0">
      <text>
        <r>
          <rPr>
            <sz val="10"/>
            <color rgb="FF000000"/>
            <rFont val="Arial"/>
            <family val="2"/>
          </rPr>
          <t>Limit of detection reported in the unit specified by the variable “Hazard unit”.</t>
        </r>
      </text>
    </comment>
    <comment ref="G101" authorId="0" shapeId="0">
      <text>
        <r>
          <rPr>
            <sz val="10"/>
            <color rgb="FF000000"/>
            <rFont val="Arial"/>
            <family val="2"/>
          </rPr>
          <t>Limit of quantification reported in the unit specified by the variable “Hazard unit”</t>
        </r>
      </text>
    </comment>
    <comment ref="G102" authorId="0" shapeId="0">
      <text>
        <r>
          <rPr>
            <sz val="10"/>
            <color rgb="FF000000"/>
            <rFont val="Arial"/>
            <family val="2"/>
          </rPr>
          <t>percentage of measures equal to LOQ and/or LOD</t>
        </r>
      </text>
    </comment>
    <comment ref="G103" authorId="0" shapeId="0">
      <text>
        <r>
          <rPr>
            <sz val="10"/>
            <color rgb="FF000000"/>
            <rFont val="Arial"/>
            <family val="2"/>
          </rPr>
          <t>Range of result of the analytical measure reported in the unit specified by the variable “Hazard unit”</t>
        </r>
      </text>
    </comment>
    <comment ref="G104" authorId="0" shapeId="0">
      <text>
        <r>
          <rPr>
            <sz val="10"/>
            <color rgb="FF000000"/>
            <rFont val="Arial"/>
            <family val="2"/>
          </rPr>
          <t>Indicate the expanded uncertainty (usually 95% confidence interval) value associated with the measurement expressed in the unit reported in the field “Hazard unit”.</t>
        </r>
      </text>
    </comment>
    <comment ref="G105" authorId="0" shapeId="0">
      <text>
        <r>
          <rPr>
            <sz val="10"/>
            <color rgb="FF000000"/>
            <rFont val="Arial"/>
            <family val="2"/>
          </rPr>
          <t>An unambiguous and sequential ID given to the parameter. To be compatible with SBML, only letters from A to Z, numbers and "_" are acepted for ID creation.</t>
        </r>
      </text>
    </comment>
    <comment ref="G106" authorId="0" shapeId="0">
      <text>
        <r>
          <rPr>
            <sz val="10"/>
            <color rgb="FF000000"/>
            <rFont val="Arial"/>
            <family val="2"/>
          </rPr>
          <t>General classification of the parameter (e.g. Input, Constant, Output...)</t>
        </r>
      </text>
    </comment>
    <comment ref="L106" authorId="0" shapeId="0">
      <text>
        <r>
          <rPr>
            <sz val="10"/>
            <color rgb="FF000000"/>
            <rFont val="Arial"/>
            <family val="2"/>
          </rPr>
          <t>Statistical values calculated to describe the performance of the model fitting procedure</t>
        </r>
      </text>
    </comment>
    <comment ref="O106" authorId="0" shapeId="0">
      <text>
        <r>
          <rPr>
            <sz val="10"/>
            <color rgb="FF000000"/>
            <rFont val="Arial"/>
            <family val="2"/>
          </rPr>
          <t>A name given to the model equation</t>
        </r>
      </text>
    </comment>
    <comment ref="P106" authorId="0" shapeId="0">
      <text>
        <r>
          <rPr>
            <sz val="10"/>
            <color rgb="FF000000"/>
            <rFont val="Arial"/>
            <family val="2"/>
          </rPr>
          <t>Information on that helps to categorize model equations</t>
        </r>
      </text>
    </comment>
    <comment ref="Q106" authorId="0" shapeId="0">
      <text>
        <r>
          <rPr>
            <sz val="10"/>
            <color rgb="FF000000"/>
            <rFont val="Arial"/>
            <family val="2"/>
          </rPr>
          <t xml:space="preserve">Procedure used to fit the data to the model equation </t>
        </r>
      </text>
    </comment>
    <comment ref="R106" authorId="0" shapeId="0">
      <text>
        <r>
          <rPr>
            <sz val="10"/>
            <color rgb="FF000000"/>
            <rFont val="Arial"/>
            <family val="2"/>
          </rPr>
          <t>The pointer to the file that holds the software code (e.g. R-script)</t>
        </r>
      </text>
    </comment>
    <comment ref="G107" authorId="0" shapeId="0">
      <text>
        <r>
          <rPr>
            <sz val="10"/>
            <color rgb="FF000000"/>
            <rFont val="Arial"/>
            <family val="2"/>
          </rPr>
          <t>A name given to the parameter</t>
        </r>
      </text>
    </comment>
    <comment ref="G108" authorId="0" shapeId="0">
      <text>
        <r>
          <rPr>
            <sz val="10"/>
            <color rgb="FF000000"/>
            <rFont val="Arial"/>
            <family val="2"/>
          </rPr>
          <t>General description of the parameter</t>
        </r>
      </text>
    </comment>
    <comment ref="G109" authorId="0" shapeId="0">
      <text>
        <r>
          <rPr>
            <sz val="10"/>
            <color rgb="FF000000"/>
            <rFont val="Arial"/>
            <family val="2"/>
          </rPr>
          <t>Unit of the parameter</t>
        </r>
      </text>
    </comment>
    <comment ref="G110" authorId="0" shapeId="0">
      <text>
        <r>
          <rPr>
            <sz val="10"/>
            <color rgb="FF000000"/>
            <rFont val="Arial"/>
            <family val="2"/>
          </rPr>
          <t>General classification of the parameter unit</t>
        </r>
      </text>
    </comment>
    <comment ref="G111" authorId="0" shapeId="0">
      <text>
        <r>
          <rPr>
            <sz val="10"/>
            <color rgb="FF000000"/>
            <rFont val="Arial"/>
            <family val="2"/>
          </rPr>
          <t>Information on the data format of the parameter, e.g. if it is a categorial variable, int, double, array of size x,y,z</t>
        </r>
      </text>
    </comment>
    <comment ref="G112" authorId="0" shapeId="0">
      <text>
        <r>
          <rPr>
            <sz val="10"/>
            <color rgb="FF000000"/>
            <rFont val="Arial"/>
            <family val="2"/>
          </rPr>
          <t>Information on the type of knowledge used to define the parameter value</t>
        </r>
      </text>
    </comment>
    <comment ref="G113" authorId="0" shapeId="0">
      <text>
        <r>
          <rPr>
            <sz val="10"/>
            <color rgb="FF000000"/>
            <rFont val="Arial"/>
            <family val="2"/>
          </rPr>
          <t>Scope of the parameter, e.g. if it refers to an animal, a batch of animals, a batch of products, a carcass, a carcass skin etc</t>
        </r>
      </text>
    </comment>
    <comment ref="G114" authorId="0" shapeId="0">
      <text>
        <r>
          <rPr>
            <sz val="10"/>
            <color rgb="FF000000"/>
            <rFont val="Arial"/>
            <family val="2"/>
          </rPr>
          <t xml:space="preserve">Information on the distribution describing the parameter (e.g. variability, uncertainty, point estimate...) </t>
        </r>
      </text>
    </comment>
    <comment ref="J114"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K115" authorId="0" shapeId="0">
      <text>
        <r>
          <rPr>
            <sz val="10"/>
            <color rgb="FF000000"/>
            <rFont val="Arial"/>
            <family val="2"/>
          </rPr>
          <t>An unambiguous and sequential ID given to the parameter. To be compatible with SBML, only letters from A to Z, numbers and "_" are acepted for ID creation.</t>
        </r>
      </text>
    </comment>
    <comment ref="L115" authorId="0" shapeId="0">
      <text>
        <r>
          <rPr>
            <sz val="10"/>
            <color rgb="FF000000"/>
            <rFont val="Arial"/>
            <family val="2"/>
          </rPr>
          <t>General classification of the parameter (e.g. Input, Constant, Output...)</t>
        </r>
      </text>
    </comment>
    <comment ref="M115" authorId="0" shapeId="0">
      <text>
        <r>
          <rPr>
            <sz val="10"/>
            <color rgb="FF000000"/>
            <rFont val="Arial"/>
            <family val="2"/>
          </rPr>
          <t>A name given to the parameter</t>
        </r>
      </text>
    </comment>
    <comment ref="N115" authorId="0" shapeId="0">
      <text>
        <r>
          <rPr>
            <sz val="10"/>
            <color rgb="FF000000"/>
            <rFont val="Arial"/>
            <family val="2"/>
          </rPr>
          <t>General description of the parameter</t>
        </r>
      </text>
    </comment>
    <comment ref="O115" authorId="0" shapeId="0">
      <text>
        <r>
          <rPr>
            <sz val="10"/>
            <color rgb="FF000000"/>
            <rFont val="Arial"/>
            <family val="2"/>
          </rPr>
          <t>Unit of the parameter</t>
        </r>
      </text>
    </comment>
    <comment ref="P115" authorId="0" shapeId="0">
      <text>
        <r>
          <rPr>
            <sz val="10"/>
            <color rgb="FF000000"/>
            <rFont val="Arial"/>
            <family val="2"/>
          </rPr>
          <t>General classification of the parameter unit</t>
        </r>
      </text>
    </comment>
    <comment ref="Q115" authorId="0" shapeId="0">
      <text>
        <r>
          <rPr>
            <sz val="10"/>
            <color rgb="FF000000"/>
            <rFont val="Arial"/>
            <family val="2"/>
          </rPr>
          <t>Information on the data format of the parameter, e.g. if it is a categorial variable, int, double, array of size x,y,z</t>
        </r>
      </text>
    </comment>
    <comment ref="R115" authorId="0" shapeId="0">
      <text>
        <r>
          <rPr>
            <sz val="10"/>
            <color rgb="FF000000"/>
            <rFont val="Arial"/>
            <family val="2"/>
          </rPr>
          <t>Information on the type of knowledge used to define the parameter value</t>
        </r>
      </text>
    </comment>
    <comment ref="S115" authorId="0" shapeId="0">
      <text>
        <r>
          <rPr>
            <sz val="10"/>
            <color rgb="FF000000"/>
            <rFont val="Arial"/>
            <family val="2"/>
          </rPr>
          <t>Scope of the parameter, e.g. if it refers to an animal, a batch of animals, a batch of products, a carcass, a carcass skin etc</t>
        </r>
      </text>
    </comment>
    <comment ref="T115"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5"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V11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W115"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X115" authorId="0" shapeId="0">
      <text>
        <r>
          <rPr>
            <sz val="10"/>
            <color rgb="FF000000"/>
            <rFont val="Arial"/>
            <family val="2"/>
          </rPr>
          <t>Numerical values of the maximum limit of the parameter that determine the range of applicability for which the model applies</t>
        </r>
      </text>
    </comment>
    <comment ref="Y115" authorId="0" shapeId="0">
      <text>
        <r>
          <rPr>
            <sz val="10"/>
            <color rgb="FF000000"/>
            <rFont val="Arial"/>
            <family val="2"/>
          </rPr>
          <t>Numerical values of the minimum limit of the parameter that determine the range of applicability for which the model applies</t>
        </r>
      </text>
    </comment>
    <comment ref="Z115" authorId="0" shapeId="0">
      <text>
        <r>
          <rPr>
            <sz val="10"/>
            <color rgb="FF000000"/>
            <rFont val="Arial"/>
            <family val="2"/>
          </rPr>
          <t>Error of the parameter value</t>
        </r>
      </text>
    </comment>
    <comment ref="G117"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family val="2"/>
          </rPr>
          <t>Numerical values of the maximum limit of the parameter that determine the range of applicability for which the model applies</t>
        </r>
      </text>
    </comment>
    <comment ref="G121" authorId="0" shapeId="0">
      <text>
        <r>
          <rPr>
            <sz val="10"/>
            <color rgb="FF000000"/>
            <rFont val="Arial"/>
            <family val="2"/>
          </rPr>
          <t>Numerical values of the minimum limit of the parameter that determine the range of applicability for which the model applies</t>
        </r>
      </text>
    </comment>
    <comment ref="G122" authorId="0" shapeId="0">
      <text>
        <r>
          <rPr>
            <sz val="10"/>
            <color rgb="FF000000"/>
            <rFont val="Arial"/>
            <family val="2"/>
          </rPr>
          <t>Error of the parameter value</t>
        </r>
      </text>
    </comment>
    <comment ref="G123" authorId="0" shapeId="0">
      <text>
        <r>
          <rPr>
            <sz val="10"/>
            <color rgb="FF000000"/>
            <rFont val="Arial"/>
            <family val="2"/>
          </rPr>
          <t>Statistical values calculated to describe the performance of the model fitting procedure</t>
        </r>
      </text>
    </comment>
    <comment ref="G125" authorId="0" shapeId="0">
      <text>
        <r>
          <rPr>
            <sz val="10"/>
            <color rgb="FF000000"/>
            <rFont val="Arial"/>
            <family val="2"/>
          </rPr>
          <t>A name given to the model equation</t>
        </r>
      </text>
    </comment>
    <comment ref="G126" authorId="0" shapeId="0">
      <text>
        <r>
          <rPr>
            <sz val="10"/>
            <color rgb="FF000000"/>
            <rFont val="Arial"/>
            <family val="2"/>
          </rPr>
          <t>Information on that helps to categorize model equations</t>
        </r>
      </text>
    </comment>
    <comment ref="G130" authorId="0" shapeId="0">
      <text>
        <r>
          <rPr>
            <sz val="10"/>
            <color rgb="FF000000"/>
            <rFont val="Arial"/>
            <family val="2"/>
          </rPr>
          <t xml:space="preserve">Procedure used to fit the data to the model equation </t>
        </r>
      </text>
    </comment>
    <comment ref="G131" authorId="0" shapeId="0">
      <text>
        <r>
          <rPr>
            <sz val="10"/>
            <color rgb="FF000000"/>
            <rFont val="Arial"/>
            <family val="2"/>
          </rPr>
          <t>The pointer to the file that holds the software code (e.g. R-script)</t>
        </r>
      </text>
    </comment>
    <comment ref="E133" authorId="0" shapeId="0">
      <text>
        <r>
          <rPr>
            <sz val="10"/>
            <color rgb="FF000000"/>
            <rFont val="Arial"/>
            <family val="2"/>
          </rPr>
          <t xml:space="preserve">Procedure used to fit the data to the model equation </t>
        </r>
      </text>
    </comment>
    <comment ref="G134" authorId="0" shapeId="0">
      <text>
        <r>
          <rPr>
            <sz val="10"/>
            <color rgb="FF000000"/>
            <rFont val="Arial"/>
            <family val="2"/>
          </rPr>
          <t>describe the mathematical method to replace left-censored data: recommandation of WHO (2013), distribution or ohters</t>
        </r>
      </text>
    </comment>
    <comment ref="G135" authorId="0" shapeId="0">
      <text>
        <r>
          <rPr>
            <sz val="10"/>
            <color rgb="FF000000"/>
            <rFont val="Arial"/>
            <family val="2"/>
          </rPr>
          <t>describe the range of of the level of contamination after left censored data treatment</t>
        </r>
      </text>
    </comment>
    <comment ref="G137" authorId="0" shapeId="0">
      <text>
        <r>
          <rPr>
            <sz val="10"/>
            <color rgb="FF000000"/>
            <rFont val="Arial"/>
            <family val="2"/>
          </rPr>
          <t>describe the different scenari of exposure assessment</t>
        </r>
      </text>
    </comment>
    <comment ref="G138" authorId="0" shapeId="0">
      <text>
        <r>
          <rPr>
            <sz val="10"/>
            <color rgb="FF000000"/>
            <rFont val="Arial"/>
            <family val="2"/>
          </rPr>
          <t>Analysis to estimate uncertainty</t>
        </r>
      </text>
    </comment>
    <comment ref="E139" authorId="0" shapeId="0">
      <text>
        <r>
          <rPr>
            <sz val="10"/>
            <color rgb="FF000000"/>
            <rFont val="Arial"/>
            <family val="2"/>
          </rPr>
          <t>Definition of time-dependent parameter changes</t>
        </r>
      </text>
    </comment>
  </commentList>
</comments>
</file>

<file path=xl/comments3.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K1" authorId="0" shapeId="0">
      <text>
        <r>
          <rPr>
            <sz val="10"/>
            <color rgb="FF000000"/>
            <rFont val="Arial"/>
            <family val="2"/>
          </rPr>
          <t>The person or institution who contributed to the encoding of the model in its present form by creating the model file</t>
        </r>
      </text>
    </comment>
    <comment ref="AA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K2" authorId="0" shapeId="0">
      <text>
        <r>
          <rPr>
            <sz val="10"/>
            <color rgb="FF000000"/>
            <rFont val="Arial"/>
            <family val="2"/>
          </rPr>
          <t>For example, Dr, Sr...</t>
        </r>
      </text>
    </comment>
    <comment ref="AA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K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The type of publication, e.g. Report, Journal article, Book, Online database, ...</t>
        </r>
      </text>
    </comment>
    <comment ref="M13" authorId="0" shapeId="0">
      <text>
        <r>
          <rPr>
            <sz val="10"/>
            <color rgb="FF000000"/>
            <rFont val="Arial"/>
            <family val="2"/>
          </rPr>
          <t>Temporal information on the publication date</t>
        </r>
      </text>
    </comment>
    <comment ref="N13" authorId="0" shapeId="0">
      <text>
        <r>
          <rPr>
            <sz val="10"/>
            <color rgb="FF000000"/>
            <rFont val="Arial"/>
            <family val="2"/>
          </rPr>
          <t>The PubMed ID related to this publication</t>
        </r>
      </text>
    </comment>
    <comment ref="O13" authorId="0" shapeId="0">
      <text>
        <r>
          <rPr>
            <sz val="10"/>
            <color rgb="FF000000"/>
            <rFont val="Arial"/>
            <family val="2"/>
          </rPr>
          <t>The DOI related to this publication</t>
        </r>
      </text>
    </comment>
    <comment ref="P13" authorId="0" shapeId="0">
      <text>
        <r>
          <rPr>
            <sz val="10"/>
            <color rgb="FF000000"/>
            <rFont val="Arial"/>
            <family val="2"/>
          </rPr>
          <t>Name and surname of the authors who contributed to this publication</t>
        </r>
      </text>
    </comment>
    <comment ref="Q13" authorId="0" shapeId="0">
      <text>
        <r>
          <rPr>
            <sz val="10"/>
            <color rgb="FF000000"/>
            <rFont val="Arial"/>
            <family val="2"/>
          </rPr>
          <t>Title of the publication in which the model has been described</t>
        </r>
      </text>
    </comment>
    <comment ref="R13" authorId="0" shapeId="0">
      <text>
        <r>
          <rPr>
            <sz val="10"/>
            <color rgb="FF000000"/>
            <rFont val="Arial"/>
            <family val="2"/>
          </rPr>
          <t>Abstract of the publication in which the model has been described</t>
        </r>
      </text>
    </comment>
    <comment ref="S13" authorId="0" shapeId="0">
      <text>
        <r>
          <rPr>
            <sz val="10"/>
            <color rgb="FF000000"/>
            <rFont val="Arial"/>
            <family val="2"/>
          </rPr>
          <t>Data on the details of the journal in which the model has been described</t>
        </r>
      </text>
    </comment>
    <comment ref="T13" authorId="0" shapeId="0">
      <text>
        <r>
          <rPr>
            <sz val="10"/>
            <color rgb="FF000000"/>
            <rFont val="Arial"/>
            <family val="2"/>
          </rPr>
          <t>The status of this publication, e.g. Published, Submitted, etc.</t>
        </r>
      </text>
    </comment>
    <comment ref="U13" authorId="0" shapeId="0">
      <text>
        <r>
          <rPr>
            <sz val="10"/>
            <color rgb="FF000000"/>
            <rFont val="Arial"/>
            <family val="2"/>
          </rPr>
          <t>A link to the reference description SUGGESTION: A link to the publication description</t>
        </r>
      </text>
    </comment>
    <comment ref="V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 xml:space="preserve">Objective of the model </t>
        </r>
      </text>
    </comment>
    <comment ref="E35" authorId="0" shapeId="0">
      <text>
        <r>
          <rPr>
            <sz val="10"/>
            <color rgb="FF000000"/>
            <rFont val="Arial"/>
            <family val="2"/>
          </rPr>
          <t>General description of the model - What is the difference to "Objective?"</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K37" authorId="0" shapeId="0">
      <text>
        <r>
          <rPr>
            <sz val="10"/>
            <color rgb="FF000000"/>
            <rFont val="Arial"/>
            <family val="2"/>
          </rPr>
          <t>The product-matrix (animal, food product, matrix, lab media, etc.) for which the model applies</t>
        </r>
      </text>
    </comment>
    <comment ref="L37" authorId="0" shapeId="0">
      <text>
        <r>
          <rPr>
            <sz val="10"/>
            <color rgb="FF000000"/>
            <rFont val="Arial"/>
            <family val="2"/>
          </rPr>
          <t>Description of the product-matrix (animal, food product, matrix, lab media, etc.) for which the model applies</t>
        </r>
      </text>
    </comment>
    <comment ref="M37" authorId="0" shapeId="0">
      <text>
        <r>
          <rPr>
            <sz val="10"/>
            <color rgb="FF000000"/>
            <rFont val="Arial"/>
            <family val="2"/>
          </rPr>
          <t>Units of the product-matrix for which the model applies</t>
        </r>
      </text>
    </comment>
    <comment ref="N37" authorId="0" shapeId="0">
      <text>
        <r>
          <rPr>
            <sz val="10"/>
            <color rgb="FF000000"/>
            <rFont val="Arial"/>
            <family val="2"/>
          </rPr>
          <t>Type of production for the product/ matrix</t>
        </r>
      </text>
    </comment>
    <comment ref="O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family val="2"/>
          </rPr>
          <t>Used to characterise a product/matrix based on the treatment or processes applied to the product or any indexed ingredient.</t>
        </r>
      </text>
    </comment>
    <comment ref="Q37" authorId="0" shapeId="0">
      <text>
        <r>
          <rPr>
            <sz val="10"/>
            <color rgb="FF000000"/>
            <rFont val="Arial"/>
            <family val="2"/>
          </rPr>
          <t>Country of origin of the food/product (ISO 3166-1-alpha-2 country code).</t>
        </r>
      </text>
    </comment>
    <comment ref="R37" authorId="0" shapeId="0">
      <text>
        <r>
          <rPr>
            <sz val="10"/>
            <color rgb="FF000000"/>
            <rFont val="Arial"/>
            <family val="2"/>
          </rPr>
          <t>Area of origin of the food/product (Nomenclature of territorial units for statistics – NUTS – coding system valid only for EEA and Switzerland).</t>
        </r>
      </text>
    </comment>
    <comment ref="S37" authorId="0" shapeId="0">
      <text>
        <r>
          <rPr>
            <sz val="10"/>
            <color rgb="FF000000"/>
            <rFont val="Arial"/>
            <family val="2"/>
          </rPr>
          <t>Fisheries or aquaculture area specifying the origin of the sample (FAO Fisheries areas).</t>
        </r>
      </text>
    </comment>
    <comment ref="T37" authorId="0" shapeId="0">
      <text>
        <r>
          <rPr>
            <sz val="10"/>
            <color rgb="FF000000"/>
            <rFont val="Arial"/>
            <family val="2"/>
          </rPr>
          <t>date of production of food/product</t>
        </r>
      </text>
    </comment>
    <comment ref="U37" authorId="0" shapeId="0">
      <text>
        <r>
          <rPr>
            <sz val="10"/>
            <color rgb="FF000000"/>
            <rFont val="Arial"/>
            <family val="2"/>
          </rPr>
          <t>date of expiry of food/product</t>
        </r>
      </text>
    </comment>
    <comment ref="V37" authorId="0" shapeId="0">
      <text>
        <r>
          <rPr>
            <sz val="10"/>
            <color rgb="FF000000"/>
            <rFont val="Arial"/>
            <family val="2"/>
          </rPr>
          <t>General classification of the hazard for which the model or data applies</t>
        </r>
      </text>
    </comment>
    <comment ref="W37" authorId="0" shapeId="0">
      <text>
        <r>
          <rPr>
            <sz val="10"/>
            <color rgb="FF000000"/>
            <rFont val="Arial"/>
            <family val="2"/>
          </rPr>
          <t>Name of the hazard for which the model or data applies</t>
        </r>
      </text>
    </comment>
    <comment ref="X37" authorId="0" shapeId="0">
      <text>
        <r>
          <rPr>
            <sz val="10"/>
            <color rgb="FF000000"/>
            <rFont val="Arial"/>
            <family val="2"/>
          </rPr>
          <t>Description of the hazard for which the model or data applies</t>
        </r>
      </text>
    </comment>
    <comment ref="Y37" authorId="0" shapeId="0">
      <text>
        <r>
          <rPr>
            <sz val="10"/>
            <color rgb="FF000000"/>
            <rFont val="Arial"/>
            <family val="2"/>
          </rPr>
          <t>Unit of the hazard for which the model applies</t>
        </r>
      </text>
    </comment>
    <comment ref="Z37" authorId="0" shapeId="0">
      <text>
        <r>
          <rPr>
            <sz val="10"/>
            <color rgb="FF000000"/>
            <rFont val="Arial"/>
            <family val="2"/>
          </rPr>
          <t>morbidity, mortality, effect</t>
        </r>
      </text>
    </comment>
    <comment ref="AA37" authorId="0" shapeId="0">
      <text>
        <r>
          <rPr>
            <sz val="10"/>
            <color rgb="FF000000"/>
            <rFont val="Arial"/>
            <family val="2"/>
          </rPr>
          <t>source of contamination, origin</t>
        </r>
      </text>
    </comment>
    <comment ref="AB37" authorId="0" shapeId="0">
      <text>
        <r>
          <rPr>
            <sz val="10"/>
            <color rgb="FF000000"/>
            <rFont val="Arial"/>
            <family val="2"/>
          </rPr>
          <t>A dose or concentration that produces a predetermined change in response rate of an adverse effect (called the bench response or BMR) compared to background.</t>
        </r>
      </text>
    </comment>
    <comment ref="AC37" authorId="0" shapeId="0">
      <text>
        <r>
          <rPr>
            <sz val="10"/>
            <color rgb="FF000000"/>
            <rFont val="Arial"/>
            <family val="2"/>
          </rPr>
          <t>International regulations and permissible maximum residue levels in food and drinking water</t>
        </r>
      </text>
    </comment>
    <comment ref="AD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I37" authorId="0" shapeId="0">
      <text>
        <r>
          <rPr>
            <sz val="10"/>
            <color rgb="FF000000"/>
            <rFont val="Arial"/>
            <family val="2"/>
          </rPr>
          <t>Define if the parameter reported is an individual residue/analyte, a summed residue definition or part of a sum a summed residue definition.</t>
        </r>
      </text>
    </comment>
    <comment ref="AJ37" authorId="0" shapeId="0">
      <text>
        <r>
          <rPr>
            <sz val="10"/>
            <color rgb="FF000000"/>
            <rFont val="Arial"/>
            <family val="2"/>
          </rPr>
          <t>Name of the population for which the model or data applies</t>
        </r>
      </text>
    </comment>
    <comment ref="AK37" authorId="0" shapeId="0">
      <text>
        <r>
          <rPr>
            <sz val="10"/>
            <color rgb="FF000000"/>
            <rFont val="Arial"/>
            <family val="2"/>
          </rPr>
          <t>population of individual that we are interested in describing and making statistical inferences about</t>
        </r>
      </text>
    </comment>
    <comment ref="AL37" authorId="0" shapeId="0">
      <text>
        <r>
          <rPr>
            <sz val="10"/>
            <color rgb="FF000000"/>
            <rFont val="Arial"/>
            <family val="2"/>
          </rPr>
          <t>Temporal information on the exposure duration</t>
        </r>
      </text>
    </comment>
    <comment ref="AM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family val="2"/>
          </rPr>
          <t>describe the range of age or group of age</t>
        </r>
      </text>
    </comment>
    <comment ref="AO37" authorId="0" shapeId="0">
      <text>
        <r>
          <rPr>
            <sz val="10"/>
            <color rgb="FF000000"/>
            <rFont val="Arial"/>
            <family val="2"/>
          </rPr>
          <t>describe the percentage of gender</t>
        </r>
      </text>
    </comment>
    <comment ref="AP37" authorId="0" shapeId="0">
      <text>
        <r>
          <rPr>
            <sz val="10"/>
            <color rgb="FF000000"/>
            <rFont val="Arial"/>
            <family val="2"/>
          </rPr>
          <t>describe the range of BMI or class of BMI or BMI mean</t>
        </r>
      </text>
    </comment>
    <comment ref="AQ37" authorId="0" shapeId="0">
      <text>
        <r>
          <rPr>
            <sz val="10"/>
            <color rgb="FF000000"/>
            <rFont val="Arial"/>
            <family val="2"/>
          </rPr>
          <t>sub-population with special diets (vegetarians, diabetics, group following special ethnic diets)</t>
        </r>
      </text>
    </comment>
    <comment ref="AR37" authorId="0" shapeId="0">
      <text>
        <r>
          <rPr>
            <sz val="10"/>
            <color rgb="FF000000"/>
            <rFont val="Arial"/>
            <family val="2"/>
          </rPr>
          <t>describe the consumption of different food items: frequency, portion size</t>
        </r>
      </text>
    </comment>
    <comment ref="AS37" authorId="0" shapeId="0">
      <text>
        <r>
          <rPr>
            <sz val="10"/>
            <color rgb="FF000000"/>
            <rFont val="Arial"/>
            <family val="2"/>
          </rPr>
          <t>Spatial information (area) on which the population group of the model or data applies</t>
        </r>
      </text>
    </comment>
    <comment ref="AT37" authorId="0" shapeId="0">
      <text>
        <r>
          <rPr>
            <sz val="10"/>
            <color rgb="FF000000"/>
            <rFont val="Arial"/>
            <family val="2"/>
          </rPr>
          <t>Country on which the population group of the model or data applies</t>
        </r>
      </text>
    </comment>
    <comment ref="AU37" authorId="0" shapeId="0">
      <text>
        <r>
          <rPr>
            <sz val="10"/>
            <color rgb="FF000000"/>
            <rFont val="Arial"/>
            <family val="2"/>
          </rPr>
          <t>distribution of surveyed people according to the season (influence consumption pattern)</t>
        </r>
      </text>
    </comment>
    <comment ref="AV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or data applies</t>
        </r>
      </text>
    </comment>
    <comment ref="G48" authorId="0" shapeId="0">
      <text>
        <r>
          <rPr>
            <sz val="10"/>
            <color rgb="FF000000"/>
            <rFont val="Arial"/>
            <family val="2"/>
          </rPr>
          <t>Name of the hazard for which the model or data applies</t>
        </r>
      </text>
    </comment>
    <comment ref="G49" authorId="0" shapeId="0">
      <text>
        <r>
          <rPr>
            <sz val="10"/>
            <color rgb="FF000000"/>
            <rFont val="Arial"/>
            <family val="2"/>
          </rPr>
          <t>Description of the hazard for which the model or data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G61" authorId="0" shapeId="0">
      <text>
        <r>
          <rPr>
            <sz val="10"/>
            <color rgb="FF000000"/>
            <rFont val="Arial"/>
            <family val="2"/>
          </rPr>
          <t>Name of the population for which the model or data applies</t>
        </r>
      </text>
    </comment>
    <comment ref="G62" authorId="0" shapeId="0">
      <text>
        <r>
          <rPr>
            <sz val="10"/>
            <color rgb="FF000000"/>
            <rFont val="Arial"/>
            <family val="2"/>
          </rPr>
          <t>population of individual that we are interested in describing and making statistical inferences about</t>
        </r>
      </text>
    </comment>
    <comment ref="G63" authorId="0" shapeId="0">
      <text>
        <r>
          <rPr>
            <sz val="10"/>
            <color rgb="FF000000"/>
            <rFont val="Arial"/>
            <family val="2"/>
          </rPr>
          <t>Temporal information on the exposure duration</t>
        </r>
      </text>
    </comment>
    <comment ref="G64"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family val="2"/>
          </rPr>
          <t>describe the range of age or group of age</t>
        </r>
      </text>
    </comment>
    <comment ref="G66" authorId="0" shapeId="0">
      <text>
        <r>
          <rPr>
            <sz val="10"/>
            <color rgb="FF000000"/>
            <rFont val="Arial"/>
            <family val="2"/>
          </rPr>
          <t>describe the percentage of gender</t>
        </r>
      </text>
    </comment>
    <comment ref="G67" authorId="0" shapeId="0">
      <text>
        <r>
          <rPr>
            <sz val="10"/>
            <color rgb="FF000000"/>
            <rFont val="Arial"/>
            <family val="2"/>
          </rPr>
          <t>describe the range of BMI or class of BMI or BMI mean</t>
        </r>
      </text>
    </comment>
    <comment ref="G68" authorId="0" shapeId="0">
      <text>
        <r>
          <rPr>
            <sz val="10"/>
            <color rgb="FF000000"/>
            <rFont val="Arial"/>
            <family val="2"/>
          </rPr>
          <t>sub-population with special diets (vegetarians, diabetics, group following special ethnic diets)</t>
        </r>
      </text>
    </comment>
    <comment ref="G69" authorId="0" shapeId="0">
      <text>
        <r>
          <rPr>
            <sz val="10"/>
            <color rgb="FF000000"/>
            <rFont val="Arial"/>
            <family val="2"/>
          </rPr>
          <t>describe the consumption of different food items: frequency, portion size</t>
        </r>
      </text>
    </comment>
    <comment ref="G70" authorId="0" shapeId="0">
      <text>
        <r>
          <rPr>
            <sz val="10"/>
            <color rgb="FF000000"/>
            <rFont val="Arial"/>
            <family val="2"/>
          </rPr>
          <t>Spatial information (area) on which the population group of the model or data applies</t>
        </r>
      </text>
    </comment>
    <comment ref="G71" authorId="0" shapeId="0">
      <text>
        <r>
          <rPr>
            <sz val="10"/>
            <color rgb="FF000000"/>
            <rFont val="Arial"/>
            <family val="2"/>
          </rPr>
          <t>Country on which the population group of the model or data applies</t>
        </r>
      </text>
    </comment>
    <comment ref="G72" authorId="0" shapeId="0">
      <text>
        <r>
          <rPr>
            <sz val="10"/>
            <color rgb="FF000000"/>
            <rFont val="Arial"/>
            <family val="2"/>
          </rPr>
          <t>distribution of surveyed people according to the season (influence consumption pattern)</t>
        </r>
      </text>
    </comment>
    <comment ref="G73" authorId="0" shapeId="0">
      <text>
        <r>
          <rPr>
            <sz val="10"/>
            <color rgb="FF000000"/>
            <rFont val="Arial"/>
            <family val="2"/>
          </rPr>
          <t>distribution of surveyed people according to the season (influence consumption pattern)</t>
        </r>
      </text>
    </comment>
    <comment ref="E74" authorId="0" shapeId="0">
      <text>
        <r>
          <rPr>
            <sz val="10"/>
            <color rgb="FF000000"/>
            <rFont val="Arial"/>
            <family val="2"/>
          </rPr>
          <t>General comments on the scope of the model</t>
        </r>
      </text>
    </comment>
    <comment ref="G75" authorId="0" shapeId="0">
      <text>
        <r>
          <rPr>
            <sz val="10"/>
            <color rgb="FF000000"/>
            <rFont val="Arial"/>
            <family val="2"/>
          </rPr>
          <t>Temporal information on which the model applies / An interval of time that is named or defined by its start and end dates (period of study)</t>
        </r>
      </text>
    </comment>
    <comment ref="G76" authorId="0" shapeId="0">
      <text>
        <r>
          <rPr>
            <sz val="10"/>
            <color rgb="FF000000"/>
            <rFont val="Arial"/>
            <family val="2"/>
          </rPr>
          <t>Spatial information (area) on which the model applies</t>
        </r>
      </text>
    </comment>
    <comment ref="G77" authorId="0" shapeId="0">
      <text>
        <r>
          <rPr>
            <sz val="10"/>
            <color rgb="FF000000"/>
            <rFont val="Arial"/>
            <family val="2"/>
          </rPr>
          <t>Country on which the model applies</t>
        </r>
      </text>
    </comment>
    <comment ref="G78" authorId="0" shapeId="0">
      <text>
        <r>
          <rPr>
            <sz val="10"/>
            <color rgb="FF000000"/>
            <rFont val="Arial"/>
            <family val="2"/>
          </rPr>
          <t>A user defined identifier for the study</t>
        </r>
      </text>
    </comment>
    <comment ref="G79" authorId="0" shapeId="0">
      <text>
        <r>
          <rPr>
            <sz val="10"/>
            <color rgb="FF000000"/>
            <rFont val="Arial"/>
            <family val="2"/>
          </rPr>
          <t>A title for the Study.</t>
        </r>
      </text>
    </comment>
    <comment ref="G80" authorId="0" shapeId="0">
      <text>
        <r>
          <rPr>
            <sz val="10"/>
            <color rgb="FF000000"/>
            <rFont val="Arial"/>
            <family val="2"/>
          </rPr>
          <t>A brief description of the study aims.</t>
        </r>
      </text>
    </comment>
    <comment ref="G81" authorId="0" shapeId="0">
      <text>
        <r>
          <rPr>
            <sz val="10"/>
            <color rgb="FF000000"/>
            <rFont val="Arial"/>
            <family val="2"/>
          </rPr>
          <t>The type of study design being employed</t>
        </r>
      </text>
    </comment>
    <comment ref="G82" authorId="0" shapeId="0">
      <text>
        <r>
          <rPr>
            <sz val="10"/>
            <color rgb="FF000000"/>
            <rFont val="Arial"/>
            <family val="2"/>
          </rPr>
          <t>The measurement being observed in this assay</t>
        </r>
      </text>
    </comment>
    <comment ref="G83" authorId="0" shapeId="0">
      <text>
        <r>
          <rPr>
            <sz val="10"/>
            <color rgb="FF000000"/>
            <rFont val="Arial"/>
            <family val="2"/>
          </rPr>
          <t>The technology being employed to observe this measurement</t>
        </r>
      </text>
    </comment>
    <comment ref="G84" authorId="0" shapeId="0">
      <text>
        <r>
          <rPr>
            <sz val="10"/>
            <color rgb="FF000000"/>
            <rFont val="Arial"/>
            <family val="2"/>
          </rPr>
          <t>The technology platform used</t>
        </r>
      </text>
    </comment>
    <comment ref="G85" authorId="0" shapeId="0">
      <text>
        <r>
          <rPr>
            <sz val="10"/>
            <color rgb="FF000000"/>
            <rFont val="Arial"/>
            <family val="2"/>
          </rPr>
          <t>Accreditation procedure for the analytical method used</t>
        </r>
      </text>
    </comment>
    <comment ref="G86" authorId="0" shapeId="0">
      <text>
        <r>
          <rPr>
            <sz val="10"/>
            <color rgb="FF000000"/>
            <rFont val="Arial"/>
            <family val="2"/>
          </rPr>
          <t>The name of the protocol, e.g.Extraction Protocol</t>
        </r>
      </text>
    </comment>
    <comment ref="G87" authorId="0" shapeId="0">
      <text>
        <r>
          <rPr>
            <sz val="10"/>
            <color rgb="FF000000"/>
            <rFont val="Arial"/>
            <family val="2"/>
          </rPr>
          <t>The type of the protocol, preferably coming from an Ontology, e.g. Extraction Protocol</t>
        </r>
      </text>
    </comment>
    <comment ref="G88" authorId="0" shapeId="0">
      <text>
        <r>
          <rPr>
            <sz val="10"/>
            <color rgb="FF000000"/>
            <rFont val="Arial"/>
            <family val="2"/>
          </rPr>
          <t>A description of the Protocol.</t>
        </r>
      </text>
    </comment>
    <comment ref="G89" authorId="0" shapeId="0">
      <text>
        <r>
          <rPr>
            <sz val="10"/>
            <color rgb="FF000000"/>
            <rFont val="Arial"/>
            <family val="2"/>
          </rPr>
          <t>A URI to link out to a publication, web page, etc. describing the protocol.</t>
        </r>
      </text>
    </comment>
    <comment ref="G90" authorId="0" shapeId="0">
      <text>
        <r>
          <rPr>
            <sz val="10"/>
            <color rgb="FF000000"/>
            <rFont val="Arial"/>
            <family val="2"/>
          </rPr>
          <t>The version of the protocol used, where applicable.</t>
        </r>
      </text>
    </comment>
    <comment ref="G91" authorId="0" shapeId="0">
      <text>
        <r>
          <rPr>
            <sz val="10"/>
            <color rgb="FF000000"/>
            <rFont val="Arial"/>
            <family val="2"/>
          </rPr>
          <t>The parameters used when executing this protocol.</t>
        </r>
      </text>
    </comment>
    <comment ref="G92" authorId="0" shapeId="0">
      <text>
        <r>
          <rPr>
            <sz val="10"/>
            <color rgb="FF000000"/>
            <rFont val="Arial"/>
            <family val="2"/>
          </rPr>
          <t>The components used when carrying out this protocol.</t>
        </r>
      </text>
    </comment>
    <comment ref="G94" authorId="0" shapeId="0">
      <text>
        <r>
          <rPr>
            <sz val="10"/>
            <color rgb="FF000000"/>
            <rFont val="Arial"/>
            <family val="2"/>
          </rPr>
          <t>An unambiguous ID given to the samples used in the assay</t>
        </r>
      </text>
    </comment>
    <comment ref="G95" authorId="0" shapeId="0">
      <text>
        <r>
          <rPr>
            <sz val="10"/>
            <color rgb="FF000000"/>
            <rFont val="Arial"/>
            <family val="2"/>
          </rPr>
          <t>Additional protocol for sample and sample collection. Corresponds to the Protocol REF in ISA</t>
        </r>
      </text>
    </comment>
    <comment ref="K95" authorId="0" shapeId="0">
      <text>
        <r>
          <rPr>
            <sz val="10"/>
            <color rgb="FF000000"/>
            <rFont val="Arial"/>
            <family val="2"/>
          </rPr>
          <t>An unambiguous ID given to the samples used in the assay</t>
        </r>
      </text>
    </comment>
    <comment ref="L95" authorId="0" shapeId="0">
      <text>
        <r>
          <rPr>
            <sz val="10"/>
            <color rgb="FF000000"/>
            <rFont val="Arial"/>
            <family val="2"/>
          </rPr>
          <t>Additional protocol for sample and sample collection. Corresponds to the Protocol REF in ISA</t>
        </r>
      </text>
    </comment>
    <comment ref="M95" authorId="0" shapeId="0">
      <text>
        <r>
          <rPr>
            <sz val="10"/>
            <color rgb="FF000000"/>
            <rFont val="Arial"/>
            <family val="2"/>
          </rPr>
          <t>Sampling strategy (ref. EUROSTAT - Typology of sampling strategy, version of July 2009)</t>
        </r>
      </text>
    </comment>
    <comment ref="N95" authorId="0" shapeId="0">
      <text>
        <r>
          <rPr>
            <sz val="10"/>
            <color rgb="FF000000"/>
            <rFont val="Arial"/>
            <family val="2"/>
          </rPr>
          <t>Indicate the type programme for which the samples have been collected.</t>
        </r>
      </text>
    </comment>
    <comment ref="O95" authorId="0" shapeId="0">
      <text>
        <r>
          <rPr>
            <sz val="10"/>
            <color rgb="FF000000"/>
            <rFont val="Arial"/>
            <family val="2"/>
          </rPr>
          <t>Sampling method used to take the sample</t>
        </r>
      </text>
    </comment>
    <comment ref="P95" authorId="0" shapeId="0">
      <text>
        <r>
          <rPr>
            <sz val="10"/>
            <color rgb="FF000000"/>
            <rFont val="Arial"/>
            <family val="2"/>
          </rPr>
          <t>description of data collection technique: stratified or complex sampling (several stages)</t>
        </r>
      </text>
    </comment>
    <comment ref="Q95" authorId="0" shapeId="0">
      <text>
        <r>
          <rPr>
            <sz val="10"/>
            <color rgb="FF000000"/>
            <rFont val="Arial"/>
            <family val="2"/>
          </rPr>
          <t>description of the method employed to compute sampling weight (nonresponse-adjusted weight)</t>
        </r>
      </text>
    </comment>
    <comment ref="R95" authorId="0" shapeId="0">
      <text>
        <r>
          <rPr>
            <sz val="10"/>
            <color rgb="FF000000"/>
            <rFont val="Arial"/>
            <family val="2"/>
          </rPr>
          <t>number of units, full participants, partial participants, eligibles, not eligible, unresolved (eligibility status not resolved)…</t>
        </r>
      </text>
    </comment>
    <comment ref="S95" authorId="0" shapeId="0">
      <text>
        <r>
          <rPr>
            <sz val="10"/>
            <color rgb="FF000000"/>
            <rFont val="Arial"/>
            <family val="2"/>
          </rPr>
          <t>Unit in which the lot size is expressed.</t>
        </r>
      </text>
    </comment>
    <comment ref="T95" authorId="0" shapeId="0">
      <text>
        <r>
          <rPr>
            <sz val="10"/>
            <color rgb="FF000000"/>
            <rFont val="Arial"/>
            <family val="2"/>
          </rPr>
          <t>Point in the food chain where the sample was taken. (Doc. ESTAT/F5/ES/155 “Data dictionary of activities of the establishments”).</t>
        </r>
      </text>
    </comment>
    <comment ref="G96" authorId="0" shapeId="0">
      <text>
        <r>
          <rPr>
            <sz val="10"/>
            <color rgb="FF000000"/>
            <rFont val="Arial"/>
            <family val="2"/>
          </rPr>
          <t>Sampling strategy (ref. EUROSTAT - Typology of sampling strategy, version of July 2009)</t>
        </r>
      </text>
    </comment>
    <comment ref="G97" authorId="0" shapeId="0">
      <text>
        <r>
          <rPr>
            <sz val="10"/>
            <color rgb="FF000000"/>
            <rFont val="Arial"/>
            <family val="2"/>
          </rPr>
          <t>Indicate the type programme for which the samples have been collected.</t>
        </r>
      </text>
    </comment>
    <comment ref="G98" authorId="0" shapeId="0">
      <text>
        <r>
          <rPr>
            <sz val="10"/>
            <color rgb="FF000000"/>
            <rFont val="Arial"/>
            <family val="2"/>
          </rPr>
          <t>Sampling method used to take the sample</t>
        </r>
      </text>
    </comment>
    <comment ref="G99" authorId="0" shapeId="0">
      <text>
        <r>
          <rPr>
            <sz val="10"/>
            <color rgb="FF000000"/>
            <rFont val="Arial"/>
            <family val="2"/>
          </rPr>
          <t>description of data collection technique: stratified or complex sampling (several stages)</t>
        </r>
      </text>
    </comment>
    <comment ref="G100" authorId="0" shapeId="0">
      <text>
        <r>
          <rPr>
            <sz val="10"/>
            <color rgb="FF000000"/>
            <rFont val="Arial"/>
            <family val="2"/>
          </rPr>
          <t>description of the method employed to compute sampling weight (nonresponse-adjusted weight)</t>
        </r>
      </text>
    </comment>
    <comment ref="G101" authorId="0" shapeId="0">
      <text>
        <r>
          <rPr>
            <sz val="10"/>
            <color rgb="FF000000"/>
            <rFont val="Arial"/>
            <family val="2"/>
          </rPr>
          <t>number of units, full participants, partial participants, eligibles, not eligible, unresolved (eligibility status not resolved)…</t>
        </r>
      </text>
    </comment>
    <comment ref="K101" authorId="0" shapeId="0">
      <text>
        <r>
          <rPr>
            <sz val="10"/>
            <color rgb="FF000000"/>
            <rFont val="Arial"/>
            <family val="2"/>
          </rPr>
          <t>food diaries, interview, 24-hour recall interview, food propensy questionnaire, portion size measurement aids, eating outside questionnaire</t>
        </r>
      </text>
    </comment>
    <comment ref="O101" authorId="0" shapeId="0">
      <text>
        <r>
          <rPr>
            <sz val="10"/>
            <color rgb="FF000000"/>
            <rFont val="Arial"/>
            <family val="2"/>
          </rPr>
          <t>consumption occasion, mean of consumption, quantified and described as eaten, recipes for self-made</t>
        </r>
      </text>
    </comment>
    <comment ref="P101" authorId="0" shapeId="0">
      <text>
        <r>
          <rPr>
            <sz val="10"/>
            <color rgb="FF000000"/>
            <rFont val="Arial"/>
            <family val="2"/>
          </rPr>
          <t>use foodex2 facets</t>
        </r>
      </text>
    </comment>
    <comment ref="G102" authorId="0" shapeId="0">
      <text>
        <r>
          <rPr>
            <sz val="10"/>
            <color rgb="FF000000"/>
            <rFont val="Arial"/>
            <family val="2"/>
          </rPr>
          <t>Unit in which the lot size is expressed.</t>
        </r>
      </text>
    </comment>
    <comment ref="G103" authorId="0" shapeId="0">
      <text>
        <r>
          <rPr>
            <sz val="10"/>
            <color rgb="FF000000"/>
            <rFont val="Arial"/>
            <family val="2"/>
          </rPr>
          <t>Point in the food chain where the sample was taken. (Doc. ESTAT/F5/ES/155 “Data dictionary of activities of the establishments”).</t>
        </r>
      </text>
    </comment>
    <comment ref="G104" authorId="0" shapeId="0">
      <text>
        <r>
          <rPr>
            <sz val="10"/>
            <color rgb="FF000000"/>
            <rFont val="Arial"/>
            <family val="2"/>
          </rPr>
          <t>food diaries, interview, 24-hour recall interview, food propensy questionnaire, portion size measurement aids, eating outside questionnaire</t>
        </r>
      </text>
    </comment>
    <comment ref="O107" authorId="0" shapeId="0">
      <text>
        <r>
          <rPr>
            <sz val="10"/>
            <color rgb="FF000000"/>
            <rFont val="Arial"/>
            <family val="2"/>
          </rPr>
          <t>Definition of time-dependent parameter changes</t>
        </r>
      </text>
    </comment>
    <comment ref="G108" authorId="0" shapeId="0">
      <text>
        <r>
          <rPr>
            <sz val="10"/>
            <color rgb="FF000000"/>
            <rFont val="Arial"/>
            <family val="2"/>
          </rPr>
          <t>consumption occasion, mean of consumption, quantified and described as eaten, recipes for self-made</t>
        </r>
      </text>
    </comment>
    <comment ref="K108" authorId="0" shapeId="0">
      <text>
        <r>
          <rPr>
            <sz val="10"/>
            <color rgb="FF000000"/>
            <rFont val="Arial"/>
            <family val="2"/>
          </rPr>
          <t>The laboratory accreditation to ISO/IEC 17025.</t>
        </r>
      </text>
    </comment>
    <comment ref="L108" authorId="0" shapeId="0">
      <text>
        <r>
          <rPr>
            <sz val="10"/>
            <color rgb="FF000000"/>
            <rFont val="Arial"/>
            <family val="2"/>
          </rPr>
          <t>Laboratory code (National laboratory code if available) or Laboratory name</t>
        </r>
      </text>
    </comment>
    <comment ref="M108" authorId="0" shapeId="0">
      <text>
        <r>
          <rPr>
            <sz val="10"/>
            <color rgb="FF000000"/>
            <rFont val="Arial"/>
            <family val="2"/>
          </rPr>
          <t>Country where the laboratory is placed. (ISO 3166-1-alpha-2).</t>
        </r>
      </text>
    </comment>
    <comment ref="G109" authorId="0" shapeId="0">
      <text>
        <r>
          <rPr>
            <sz val="10"/>
            <color rgb="FF000000"/>
            <rFont val="Arial"/>
            <family val="2"/>
          </rPr>
          <t>use foodex2 facets</t>
        </r>
      </text>
    </comment>
    <comment ref="G110" authorId="0" shapeId="0">
      <text>
        <r>
          <rPr>
            <sz val="10"/>
            <color rgb="FF000000"/>
            <rFont val="Arial"/>
            <family val="2"/>
          </rPr>
          <t>The laboratory accreditation to ISO/IEC 17025.</t>
        </r>
      </text>
    </comment>
    <comment ref="G111" authorId="0" shapeId="0">
      <text>
        <r>
          <rPr>
            <sz val="10"/>
            <color rgb="FF000000"/>
            <rFont val="Arial"/>
            <family val="2"/>
          </rPr>
          <t>Laboratory code (National laboratory code if available) or Laboratory name</t>
        </r>
      </text>
    </comment>
    <comment ref="G112" authorId="0" shapeId="0">
      <text>
        <r>
          <rPr>
            <sz val="10"/>
            <color rgb="FF000000"/>
            <rFont val="Arial"/>
            <family val="2"/>
          </rPr>
          <t>Country where the laboratory is placed. (ISO 3166-1-alpha-2).</t>
        </r>
      </text>
    </comment>
    <comment ref="G113" authorId="0" shapeId="0">
      <text>
        <r>
          <rPr>
            <sz val="10"/>
            <color rgb="FF000000"/>
            <rFont val="Arial"/>
            <family val="2"/>
          </rPr>
          <t>A name given to the assay</t>
        </r>
      </text>
    </comment>
    <comment ref="G114" authorId="0" shapeId="0">
      <text>
        <r>
          <rPr>
            <sz val="10"/>
            <color rgb="FF000000"/>
            <rFont val="Arial"/>
            <family val="2"/>
          </rPr>
          <t>General description of the assay. Corresponds to the Protocol REF in ISA</t>
        </r>
      </text>
    </comment>
    <comment ref="G115" authorId="0" shapeId="0">
      <text>
        <r>
          <rPr>
            <sz val="10"/>
            <color rgb="FF000000"/>
            <rFont val="Arial"/>
            <family val="2"/>
          </rPr>
          <t>Percentage of moisture in the original sample</t>
        </r>
      </text>
    </comment>
    <comment ref="G116" authorId="0" shapeId="0">
      <text>
        <r>
          <rPr>
            <sz val="10"/>
            <color rgb="FF000000"/>
            <rFont val="Arial"/>
            <family val="2"/>
          </rPr>
          <t>Percentage of fat in the original sample</t>
        </r>
      </text>
    </comment>
    <comment ref="G117" authorId="0" shapeId="0">
      <text>
        <r>
          <rPr>
            <sz val="10"/>
            <color rgb="FF000000"/>
            <rFont val="Arial"/>
            <family val="2"/>
          </rPr>
          <t>Limit of detection reported in the unit specified by the variable “Hazard unit”.</t>
        </r>
      </text>
    </comment>
    <comment ref="G118" authorId="0" shapeId="0">
      <text>
        <r>
          <rPr>
            <sz val="10"/>
            <color rgb="FF000000"/>
            <rFont val="Arial"/>
            <family val="2"/>
          </rPr>
          <t>Limit of quantification reported in the unit specified by the variable “Hazard unit”</t>
        </r>
      </text>
    </comment>
    <comment ref="G119" authorId="0" shapeId="0">
      <text>
        <r>
          <rPr>
            <sz val="10"/>
            <color rgb="FF000000"/>
            <rFont val="Arial"/>
            <family val="2"/>
          </rPr>
          <t>percentage of measures equal to LOQ and/or LOD</t>
        </r>
      </text>
    </comment>
    <comment ref="G120" authorId="0" shapeId="0">
      <text>
        <r>
          <rPr>
            <sz val="10"/>
            <color rgb="FF000000"/>
            <rFont val="Arial"/>
            <family val="2"/>
          </rPr>
          <t>Range of result of the analytical measure reported in the unit specified by the variable “Hazard unit”</t>
        </r>
      </text>
    </comment>
    <comment ref="G121" authorId="0" shapeId="0">
      <text>
        <r>
          <rPr>
            <sz val="10"/>
            <color rgb="FF000000"/>
            <rFont val="Arial"/>
            <family val="2"/>
          </rPr>
          <t>Indicate the expanded uncertainty (usually 95% confidence interval) value associated with the measurement expressed in the unit reported in the field “Hazard unit”.</t>
        </r>
      </text>
    </comment>
    <comment ref="G122" authorId="0" shapeId="0">
      <text>
        <r>
          <rPr>
            <sz val="10"/>
            <color rgb="FF000000"/>
            <rFont val="Arial"/>
            <family val="2"/>
          </rPr>
          <t>An unambiguous and sequential ID given to the parameter. To be compatible with SBML, only letters from A to Z, numbers and "_" are acepted for ID creation.</t>
        </r>
      </text>
    </comment>
    <comment ref="G123" authorId="0" shapeId="0">
      <text>
        <r>
          <rPr>
            <sz val="10"/>
            <color rgb="FF000000"/>
            <rFont val="Arial"/>
            <family val="2"/>
          </rPr>
          <t>General classification of the parameter (e.g. Input, Constant, Output...)</t>
        </r>
      </text>
    </comment>
    <comment ref="L123" authorId="0" shapeId="0">
      <text>
        <r>
          <rPr>
            <sz val="10"/>
            <color rgb="FF000000"/>
            <rFont val="Arial"/>
            <family val="2"/>
          </rPr>
          <t>Statistical values calculated to describe the performance of the model fitting procedure</t>
        </r>
      </text>
    </comment>
    <comment ref="O123" authorId="0" shapeId="0">
      <text>
        <r>
          <rPr>
            <sz val="10"/>
            <color rgb="FF000000"/>
            <rFont val="Arial"/>
            <family val="2"/>
          </rPr>
          <t>A name given to the model equation</t>
        </r>
      </text>
    </comment>
    <comment ref="P123" authorId="0" shapeId="0">
      <text>
        <r>
          <rPr>
            <sz val="10"/>
            <color rgb="FF000000"/>
            <rFont val="Arial"/>
            <family val="2"/>
          </rPr>
          <t>Information on that helps to categorize model equations</t>
        </r>
      </text>
    </comment>
    <comment ref="Q123" authorId="0" shapeId="0">
      <text>
        <r>
          <rPr>
            <sz val="10"/>
            <color rgb="FF000000"/>
            <rFont val="Arial"/>
            <family val="2"/>
          </rPr>
          <t xml:space="preserve">Procedure used to fit the data to the model equation </t>
        </r>
      </text>
    </comment>
    <comment ref="R123" authorId="0" shapeId="0">
      <text>
        <r>
          <rPr>
            <sz val="10"/>
            <color rgb="FF000000"/>
            <rFont val="Arial"/>
            <family val="2"/>
          </rPr>
          <t>The pointer to the file that holds the software code (e.g. R-script)</t>
        </r>
      </text>
    </comment>
    <comment ref="G124" authorId="0" shapeId="0">
      <text>
        <r>
          <rPr>
            <sz val="10"/>
            <color rgb="FF000000"/>
            <rFont val="Arial"/>
            <family val="2"/>
          </rPr>
          <t>A name given to the parameter</t>
        </r>
      </text>
    </comment>
    <comment ref="G125" authorId="0" shapeId="0">
      <text>
        <r>
          <rPr>
            <sz val="10"/>
            <color rgb="FF000000"/>
            <rFont val="Arial"/>
            <family val="2"/>
          </rPr>
          <t>General description of the parameter</t>
        </r>
      </text>
    </comment>
    <comment ref="G126" authorId="0" shapeId="0">
      <text>
        <r>
          <rPr>
            <sz val="10"/>
            <color rgb="FF000000"/>
            <rFont val="Arial"/>
            <family val="2"/>
          </rPr>
          <t>Unit of the parameter</t>
        </r>
      </text>
    </comment>
    <comment ref="G127" authorId="0" shapeId="0">
      <text>
        <r>
          <rPr>
            <sz val="10"/>
            <color rgb="FF000000"/>
            <rFont val="Arial"/>
            <family val="2"/>
          </rPr>
          <t>General classification of the parameter unit</t>
        </r>
      </text>
    </comment>
    <comment ref="G128" authorId="0" shapeId="0">
      <text>
        <r>
          <rPr>
            <sz val="10"/>
            <color rgb="FF000000"/>
            <rFont val="Arial"/>
            <family val="2"/>
          </rPr>
          <t>Information on the data format of the parameter, e.g. if it is a categorial variable, int, double, array of size x,y,z</t>
        </r>
      </text>
    </comment>
    <comment ref="G129" authorId="0" shapeId="0">
      <text>
        <r>
          <rPr>
            <sz val="10"/>
            <color rgb="FF000000"/>
            <rFont val="Arial"/>
            <family val="2"/>
          </rPr>
          <t>Information on the type of knowledge used to define the parameter value</t>
        </r>
      </text>
    </comment>
    <comment ref="G130" authorId="0" shapeId="0">
      <text>
        <r>
          <rPr>
            <sz val="10"/>
            <color rgb="FF000000"/>
            <rFont val="Arial"/>
            <family val="2"/>
          </rPr>
          <t>Scope of the parameter, e.g. if it refers to an animal, a batch of animals, a batch of products, a carcass, a carcass skin etc</t>
        </r>
      </text>
    </comment>
    <comment ref="G131" authorId="0" shapeId="0">
      <text>
        <r>
          <rPr>
            <sz val="10"/>
            <color rgb="FF000000"/>
            <rFont val="Arial"/>
            <family val="2"/>
          </rPr>
          <t xml:space="preserve">Information on the distribution describing the parameter (e.g. variability, uncertainty, point estimate...) </t>
        </r>
      </text>
    </comment>
    <comment ref="J131"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K132" authorId="0" shapeId="0">
      <text>
        <r>
          <rPr>
            <sz val="10"/>
            <color rgb="FF000000"/>
            <rFont val="Arial"/>
            <family val="2"/>
          </rPr>
          <t>An unambiguous and sequential ID given to the parameter. To be compatible with SBML, only letters from A to Z, numbers and "_" are acepted for ID creation.</t>
        </r>
      </text>
    </comment>
    <comment ref="L132" authorId="0" shapeId="0">
      <text>
        <r>
          <rPr>
            <sz val="10"/>
            <color rgb="FF000000"/>
            <rFont val="Arial"/>
            <family val="2"/>
          </rPr>
          <t>General classification of the parameter (e.g. Input, Constant, Output...)</t>
        </r>
      </text>
    </comment>
    <comment ref="M132" authorId="0" shapeId="0">
      <text>
        <r>
          <rPr>
            <sz val="10"/>
            <color rgb="FF000000"/>
            <rFont val="Arial"/>
            <family val="2"/>
          </rPr>
          <t>A name given to the parameter</t>
        </r>
      </text>
    </comment>
    <comment ref="N132" authorId="0" shapeId="0">
      <text>
        <r>
          <rPr>
            <sz val="10"/>
            <color rgb="FF000000"/>
            <rFont val="Arial"/>
            <family val="2"/>
          </rPr>
          <t>General description of the parameter</t>
        </r>
      </text>
    </comment>
    <comment ref="O132" authorId="0" shapeId="0">
      <text>
        <r>
          <rPr>
            <sz val="10"/>
            <color rgb="FF000000"/>
            <rFont val="Arial"/>
            <family val="2"/>
          </rPr>
          <t>Unit of the parameter</t>
        </r>
      </text>
    </comment>
    <comment ref="P132" authorId="0" shapeId="0">
      <text>
        <r>
          <rPr>
            <sz val="10"/>
            <color rgb="FF000000"/>
            <rFont val="Arial"/>
            <family val="2"/>
          </rPr>
          <t>General classification of the parameter unit</t>
        </r>
      </text>
    </comment>
    <comment ref="Q132" authorId="0" shapeId="0">
      <text>
        <r>
          <rPr>
            <sz val="10"/>
            <color rgb="FF000000"/>
            <rFont val="Arial"/>
            <family val="2"/>
          </rPr>
          <t>Information on the data format of the parameter, e.g. if it is a categorial variable, int, double, array of size x,y,z</t>
        </r>
      </text>
    </comment>
    <comment ref="R132" authorId="0" shapeId="0">
      <text>
        <r>
          <rPr>
            <sz val="10"/>
            <color rgb="FF000000"/>
            <rFont val="Arial"/>
            <family val="2"/>
          </rPr>
          <t>Information on the type of knowledge used to define the parameter value</t>
        </r>
      </text>
    </comment>
    <comment ref="S132" authorId="0" shapeId="0">
      <text>
        <r>
          <rPr>
            <sz val="10"/>
            <color rgb="FF000000"/>
            <rFont val="Arial"/>
            <family val="2"/>
          </rPr>
          <t>Scope of the parameter, e.g. if it refers to an animal, a batch of animals, a batch of products, a carcass, a carcass skin etc</t>
        </r>
      </text>
    </comment>
    <comment ref="T132"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32"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V132"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W132"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X132" authorId="0" shapeId="0">
      <text>
        <r>
          <rPr>
            <sz val="10"/>
            <color rgb="FF000000"/>
            <rFont val="Arial"/>
            <family val="2"/>
          </rPr>
          <t>Numerical values of the maximum  limit of the parameter that determine the range of applicability for which the model applies</t>
        </r>
      </text>
    </comment>
    <comment ref="Y132" authorId="0" shapeId="0">
      <text>
        <r>
          <rPr>
            <sz val="10"/>
            <color rgb="FF000000"/>
            <rFont val="Arial"/>
            <family val="2"/>
          </rPr>
          <t>Numerical values of the minimum limit of the parameter that determine the range of applicability for which the model applies</t>
        </r>
      </text>
    </comment>
    <comment ref="Z132" authorId="0" shapeId="0">
      <text>
        <r>
          <rPr>
            <sz val="10"/>
            <color rgb="FF000000"/>
            <rFont val="Arial"/>
            <family val="2"/>
          </rPr>
          <t>Error of the parameter value</t>
        </r>
      </text>
    </comment>
    <comment ref="G134"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family val="2"/>
          </rPr>
          <t>Numerical value of the minimum limit of the parameter that determine the range of applicability for which the model applies</t>
        </r>
      </text>
    </comment>
    <comment ref="G138" authorId="0" shapeId="0">
      <text>
        <r>
          <rPr>
            <sz val="10"/>
            <color rgb="FF000000"/>
            <rFont val="Arial"/>
            <family val="2"/>
          </rPr>
          <t>Numerical value of the maximum limit of the parameter that determine the range of applicability for which the model applies</t>
        </r>
      </text>
    </comment>
    <comment ref="G139" authorId="0" shapeId="0">
      <text>
        <r>
          <rPr>
            <sz val="10"/>
            <color rgb="FF000000"/>
            <rFont val="Arial"/>
            <family val="2"/>
          </rPr>
          <t>Error of the parameter value</t>
        </r>
      </text>
    </comment>
    <comment ref="G140" authorId="0" shapeId="0">
      <text>
        <r>
          <rPr>
            <sz val="10"/>
            <color rgb="FF000000"/>
            <rFont val="Arial"/>
            <family val="2"/>
          </rPr>
          <t>Statistical values calculated to describe the performance of the model fitting procedure</t>
        </r>
      </text>
    </comment>
    <comment ref="G142" authorId="0" shapeId="0">
      <text>
        <r>
          <rPr>
            <sz val="10"/>
            <color rgb="FF000000"/>
            <rFont val="Arial"/>
            <family val="2"/>
          </rPr>
          <t>A name given to the model equation</t>
        </r>
      </text>
    </comment>
    <comment ref="G143" authorId="0" shapeId="0">
      <text>
        <r>
          <rPr>
            <sz val="10"/>
            <color rgb="FF000000"/>
            <rFont val="Arial"/>
            <family val="2"/>
          </rPr>
          <t>Information on that helps to categorize model equations</t>
        </r>
      </text>
    </comment>
    <comment ref="G147" authorId="0" shapeId="0">
      <text>
        <r>
          <rPr>
            <sz val="10"/>
            <color rgb="FF000000"/>
            <rFont val="Arial"/>
            <family val="2"/>
          </rPr>
          <t xml:space="preserve">Procedure used to fit the data to the model equation </t>
        </r>
      </text>
    </comment>
    <comment ref="G148" authorId="0" shapeId="0">
      <text>
        <r>
          <rPr>
            <sz val="10"/>
            <color rgb="FF000000"/>
            <rFont val="Arial"/>
            <family val="2"/>
          </rPr>
          <t>The pointer to the file that holds the software code (e.g. R-script)</t>
        </r>
      </text>
    </comment>
    <comment ref="E150" authorId="0" shapeId="0">
      <text>
        <r>
          <rPr>
            <sz val="10"/>
            <color rgb="FF000000"/>
            <rFont val="Arial"/>
            <family val="2"/>
          </rPr>
          <t xml:space="preserve">Procedure used to fit the data to the model equation </t>
        </r>
      </text>
    </comment>
    <comment ref="G151" authorId="0" shapeId="0">
      <text>
        <r>
          <rPr>
            <sz val="10"/>
            <color rgb="FF000000"/>
            <rFont val="Arial"/>
            <family val="2"/>
          </rPr>
          <t>describe the mathematical method to replace left-censored data: recommandation of WHO (2013), distribution or ohters</t>
        </r>
      </text>
    </comment>
    <comment ref="G152" authorId="0" shapeId="0">
      <text>
        <r>
          <rPr>
            <sz val="10"/>
            <color rgb="FF000000"/>
            <rFont val="Arial"/>
            <family val="2"/>
          </rPr>
          <t>describe the range of of the level of contamination after left censored data treatment</t>
        </r>
      </text>
    </comment>
    <comment ref="G154" authorId="0" shapeId="0">
      <text>
        <r>
          <rPr>
            <sz val="10"/>
            <color rgb="FF000000"/>
            <rFont val="Arial"/>
            <family val="2"/>
          </rPr>
          <t>describe the different scenari of exposure assessment</t>
        </r>
      </text>
    </comment>
    <comment ref="G155" authorId="0" shapeId="0">
      <text>
        <r>
          <rPr>
            <sz val="10"/>
            <color rgb="FF000000"/>
            <rFont val="Arial"/>
            <family val="2"/>
          </rPr>
          <t>Analysis to estimate uncertainty</t>
        </r>
      </text>
    </comment>
    <comment ref="E156" authorId="0" shapeId="0">
      <text>
        <r>
          <rPr>
            <sz val="10"/>
            <color rgb="FF000000"/>
            <rFont val="Arial"/>
            <family val="2"/>
          </rPr>
          <t>Definition of time-dependent parameter changes</t>
        </r>
      </text>
    </comment>
  </commentList>
</comments>
</file>

<file path=xl/comments4.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K1" authorId="0" shapeId="0">
      <text>
        <r>
          <rPr>
            <sz val="10"/>
            <color rgb="FF000000"/>
            <rFont val="Arial"/>
            <family val="2"/>
          </rPr>
          <t>The person or institution who contributed to the encoding of the model in its present form by creating the model file</t>
        </r>
      </text>
    </comment>
    <comment ref="AA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K2" authorId="0" shapeId="0">
      <text>
        <r>
          <rPr>
            <sz val="10"/>
            <color rgb="FF000000"/>
            <rFont val="Arial"/>
            <family val="2"/>
          </rPr>
          <t>For example, Dr, Sr...</t>
        </r>
      </text>
    </comment>
    <comment ref="AA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of the model</t>
        </r>
      </text>
    </comment>
    <comment ref="K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The type of publication, e.g. Report, Journal article, Book, Online database, ...</t>
        </r>
      </text>
    </comment>
    <comment ref="M13" authorId="0" shapeId="0">
      <text>
        <r>
          <rPr>
            <sz val="10"/>
            <color rgb="FF000000"/>
            <rFont val="Arial"/>
            <family val="2"/>
          </rPr>
          <t>Temporal information on the publication date</t>
        </r>
      </text>
    </comment>
    <comment ref="N13" authorId="0" shapeId="0">
      <text>
        <r>
          <rPr>
            <sz val="10"/>
            <color rgb="FF000000"/>
            <rFont val="Arial"/>
            <family val="2"/>
          </rPr>
          <t>The PubMed ID related to this publication</t>
        </r>
      </text>
    </comment>
    <comment ref="O13" authorId="0" shapeId="0">
      <text>
        <r>
          <rPr>
            <sz val="10"/>
            <color rgb="FF000000"/>
            <rFont val="Arial"/>
            <family val="2"/>
          </rPr>
          <t>The DOI related to this publication</t>
        </r>
      </text>
    </comment>
    <comment ref="P13" authorId="0" shapeId="0">
      <text>
        <r>
          <rPr>
            <sz val="10"/>
            <color rgb="FF000000"/>
            <rFont val="Arial"/>
            <family val="2"/>
          </rPr>
          <t>Name and surname of the authors who contributed to this publication</t>
        </r>
      </text>
    </comment>
    <comment ref="Q13" authorId="0" shapeId="0">
      <text>
        <r>
          <rPr>
            <sz val="10"/>
            <color rgb="FF000000"/>
            <rFont val="Arial"/>
            <family val="2"/>
          </rPr>
          <t>Title of the publication in which the model has been described</t>
        </r>
      </text>
    </comment>
    <comment ref="R13" authorId="0" shapeId="0">
      <text>
        <r>
          <rPr>
            <sz val="10"/>
            <color rgb="FF000000"/>
            <rFont val="Arial"/>
            <family val="2"/>
          </rPr>
          <t>Abstract of the publication in which the model has been described</t>
        </r>
      </text>
    </comment>
    <comment ref="S13" authorId="0" shapeId="0">
      <text>
        <r>
          <rPr>
            <sz val="10"/>
            <color rgb="FF000000"/>
            <rFont val="Arial"/>
            <family val="2"/>
          </rPr>
          <t>Data on the details of the journal in which the model has been described</t>
        </r>
      </text>
    </comment>
    <comment ref="T13" authorId="0" shapeId="0">
      <text>
        <r>
          <rPr>
            <sz val="10"/>
            <color rgb="FF000000"/>
            <rFont val="Arial"/>
            <family val="2"/>
          </rPr>
          <t>The status of this publication, e.g. Published, Submitted, etc.</t>
        </r>
      </text>
    </comment>
    <comment ref="U13" authorId="0" shapeId="0">
      <text>
        <r>
          <rPr>
            <sz val="10"/>
            <color rgb="FF000000"/>
            <rFont val="Arial"/>
            <family val="2"/>
          </rPr>
          <t>A link to the reference description SUGGESTION: A link to the publication description</t>
        </r>
      </text>
    </comment>
    <comment ref="V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K37" authorId="0" shapeId="0">
      <text>
        <r>
          <rPr>
            <sz val="10"/>
            <color rgb="FF000000"/>
            <rFont val="Arial"/>
            <family val="2"/>
          </rPr>
          <t>The product-matrix (animal, food product, matrix, lab media, etc.) for which the model applies</t>
        </r>
      </text>
    </comment>
    <comment ref="L37" authorId="0" shapeId="0">
      <text>
        <r>
          <rPr>
            <sz val="10"/>
            <color rgb="FF000000"/>
            <rFont val="Arial"/>
            <family val="2"/>
          </rPr>
          <t>Description of the product-matrix (animal, food product, matrix, lab media, etc.) for which the model applies</t>
        </r>
      </text>
    </comment>
    <comment ref="M37" authorId="0" shapeId="0">
      <text>
        <r>
          <rPr>
            <sz val="10"/>
            <color rgb="FF000000"/>
            <rFont val="Arial"/>
            <family val="2"/>
          </rPr>
          <t>Units of the product-matrix for which the model applies</t>
        </r>
      </text>
    </comment>
    <comment ref="N37" authorId="0" shapeId="0">
      <text>
        <r>
          <rPr>
            <sz val="10"/>
            <color rgb="FF000000"/>
            <rFont val="Arial"/>
            <family val="2"/>
          </rPr>
          <t>Type of production for the product/ matrix</t>
        </r>
      </text>
    </comment>
    <comment ref="O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family val="2"/>
          </rPr>
          <t>Used to characterise a product/matrix based on the treatment or processes applied to the product or any indexed ingredient.</t>
        </r>
      </text>
    </comment>
    <comment ref="Q37" authorId="0" shapeId="0">
      <text>
        <r>
          <rPr>
            <sz val="10"/>
            <color rgb="FF000000"/>
            <rFont val="Arial"/>
            <family val="2"/>
          </rPr>
          <t>Country of origin of the food/product (ISO 3166-1-alpha-2 country code).</t>
        </r>
      </text>
    </comment>
    <comment ref="R37" authorId="0" shapeId="0">
      <text>
        <r>
          <rPr>
            <sz val="10"/>
            <color rgb="FF000000"/>
            <rFont val="Arial"/>
            <family val="2"/>
          </rPr>
          <t>Area of origin of the food/product (Nomenclature of territorial units for statistics – NUTS – coding system valid only for EEA and Switzerland).</t>
        </r>
      </text>
    </comment>
    <comment ref="S37" authorId="0" shapeId="0">
      <text>
        <r>
          <rPr>
            <sz val="10"/>
            <color rgb="FF000000"/>
            <rFont val="Arial"/>
            <family val="2"/>
          </rPr>
          <t>Fisheries or aquaculture area specifying the origin of the sample (FAO Fisheries areas).</t>
        </r>
      </text>
    </comment>
    <comment ref="T37" authorId="0" shapeId="0">
      <text>
        <r>
          <rPr>
            <sz val="10"/>
            <color rgb="FF000000"/>
            <rFont val="Arial"/>
            <family val="2"/>
          </rPr>
          <t>date of production of food/product</t>
        </r>
      </text>
    </comment>
    <comment ref="U37" authorId="0" shapeId="0">
      <text>
        <r>
          <rPr>
            <sz val="10"/>
            <color rgb="FF000000"/>
            <rFont val="Arial"/>
            <family val="2"/>
          </rPr>
          <t>date of expiry of food/product</t>
        </r>
      </text>
    </comment>
    <comment ref="V37" authorId="0" shapeId="0">
      <text>
        <r>
          <rPr>
            <sz val="10"/>
            <color rgb="FF000000"/>
            <rFont val="Arial"/>
            <family val="2"/>
          </rPr>
          <t>General classification of the hazard for which the model or data applies</t>
        </r>
      </text>
    </comment>
    <comment ref="W37" authorId="0" shapeId="0">
      <text>
        <r>
          <rPr>
            <sz val="10"/>
            <color rgb="FF000000"/>
            <rFont val="Arial"/>
            <family val="2"/>
          </rPr>
          <t>Name of the hazard for which the model or data applies</t>
        </r>
      </text>
    </comment>
    <comment ref="X37" authorId="0" shapeId="0">
      <text>
        <r>
          <rPr>
            <sz val="10"/>
            <color rgb="FF000000"/>
            <rFont val="Arial"/>
            <family val="2"/>
          </rPr>
          <t>Description of the hazard for which the model or data applies</t>
        </r>
      </text>
    </comment>
    <comment ref="Y37" authorId="0" shapeId="0">
      <text>
        <r>
          <rPr>
            <sz val="10"/>
            <color rgb="FF000000"/>
            <rFont val="Arial"/>
            <family val="2"/>
          </rPr>
          <t>Unit of the hazard for which the model applies</t>
        </r>
      </text>
    </comment>
    <comment ref="Z37" authorId="0" shapeId="0">
      <text>
        <r>
          <rPr>
            <sz val="10"/>
            <color rgb="FF000000"/>
            <rFont val="Arial"/>
            <family val="2"/>
          </rPr>
          <t>morbidity, mortality, effect</t>
        </r>
      </text>
    </comment>
    <comment ref="AA37" authorId="0" shapeId="0">
      <text>
        <r>
          <rPr>
            <sz val="10"/>
            <color rgb="FF000000"/>
            <rFont val="Arial"/>
            <family val="2"/>
          </rPr>
          <t>source of contamination, origin</t>
        </r>
      </text>
    </comment>
    <comment ref="AB37" authorId="0" shapeId="0">
      <text>
        <r>
          <rPr>
            <sz val="10"/>
            <color rgb="FF000000"/>
            <rFont val="Arial"/>
            <family val="2"/>
          </rPr>
          <t>A dose or concentration that produces a predetermined change in response rate of an adverse effect (called the bench response or BMR) compared to background.</t>
        </r>
      </text>
    </comment>
    <comment ref="AC37" authorId="0" shapeId="0">
      <text>
        <r>
          <rPr>
            <sz val="10"/>
            <color rgb="FF000000"/>
            <rFont val="Arial"/>
            <family val="2"/>
          </rPr>
          <t>International regulations and permissible maximum residue levels in food and drinking water</t>
        </r>
      </text>
    </comment>
    <comment ref="AD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I37" authorId="0" shapeId="0">
      <text>
        <r>
          <rPr>
            <sz val="10"/>
            <color rgb="FF000000"/>
            <rFont val="Arial"/>
            <family val="2"/>
          </rPr>
          <t>Define if the parameter reported is an individual residue/analyte, a summed residue definition or part of a sum a summed residue definition.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or data applies</t>
        </r>
      </text>
    </comment>
    <comment ref="G48" authorId="0" shapeId="0">
      <text>
        <r>
          <rPr>
            <sz val="10"/>
            <color rgb="FF000000"/>
            <rFont val="Arial"/>
            <family val="2"/>
          </rPr>
          <t>Name of the hazard for which the model or data applies</t>
        </r>
      </text>
    </comment>
    <comment ref="G49" authorId="0" shapeId="0">
      <text>
        <r>
          <rPr>
            <sz val="10"/>
            <color rgb="FF000000"/>
            <rFont val="Arial"/>
            <family val="2"/>
          </rPr>
          <t>Description of the hazard for which the model or data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E61" authorId="0" shapeId="0">
      <text>
        <r>
          <rPr>
            <sz val="10"/>
            <color rgb="FF000000"/>
            <rFont val="Arial"/>
            <family val="2"/>
          </rPr>
          <t>General comments on the scope of the model</t>
        </r>
      </text>
    </comment>
    <comment ref="G62" authorId="0" shapeId="0">
      <text>
        <r>
          <rPr>
            <sz val="10"/>
            <color rgb="FF000000"/>
            <rFont val="Arial"/>
            <family val="2"/>
          </rPr>
          <t>Temporal information on which the model applies / An interval of time that is named or defined by its start and end dates (period of study)</t>
        </r>
      </text>
    </comment>
    <comment ref="G63" authorId="0" shapeId="0">
      <text>
        <r>
          <rPr>
            <sz val="10"/>
            <color rgb="FF000000"/>
            <rFont val="Arial"/>
            <family val="2"/>
          </rPr>
          <t>Spatial information (area) on which the model applies</t>
        </r>
      </text>
    </comment>
    <comment ref="G64" authorId="0" shapeId="0">
      <text>
        <r>
          <rPr>
            <sz val="10"/>
            <color rgb="FF000000"/>
            <rFont val="Arial"/>
            <family val="2"/>
          </rPr>
          <t>Country on which the model applies</t>
        </r>
      </text>
    </comment>
    <comment ref="G65" authorId="0" shapeId="0">
      <text>
        <r>
          <rPr>
            <sz val="10"/>
            <color rgb="FF000000"/>
            <rFont val="Arial"/>
            <family val="2"/>
          </rPr>
          <t>A user defined identifier for the study</t>
        </r>
      </text>
    </comment>
    <comment ref="G66" authorId="0" shapeId="0">
      <text>
        <r>
          <rPr>
            <sz val="10"/>
            <color rgb="FF000000"/>
            <rFont val="Arial"/>
            <family val="2"/>
          </rPr>
          <t>A title for the Study.</t>
        </r>
      </text>
    </comment>
    <comment ref="G67" authorId="0" shapeId="0">
      <text>
        <r>
          <rPr>
            <sz val="10"/>
            <color rgb="FF000000"/>
            <rFont val="Arial"/>
            <family val="2"/>
          </rPr>
          <t>A brief description of the study aims.</t>
        </r>
      </text>
    </comment>
    <comment ref="G68" authorId="0" shapeId="0">
      <text>
        <r>
          <rPr>
            <sz val="10"/>
            <color rgb="FF000000"/>
            <rFont val="Arial"/>
            <family val="2"/>
          </rPr>
          <t>The type of study design being employed</t>
        </r>
      </text>
    </comment>
    <comment ref="G69" authorId="0" shapeId="0">
      <text>
        <r>
          <rPr>
            <sz val="10"/>
            <color rgb="FF000000"/>
            <rFont val="Arial"/>
            <family val="2"/>
          </rPr>
          <t>The measurement being observed in this assay</t>
        </r>
      </text>
    </comment>
    <comment ref="G70" authorId="0" shapeId="0">
      <text>
        <r>
          <rPr>
            <sz val="10"/>
            <color rgb="FF000000"/>
            <rFont val="Arial"/>
            <family val="2"/>
          </rPr>
          <t>The technology being employed to observe this measurement</t>
        </r>
      </text>
    </comment>
    <comment ref="G71" authorId="0" shapeId="0">
      <text>
        <r>
          <rPr>
            <sz val="10"/>
            <color rgb="FF000000"/>
            <rFont val="Arial"/>
            <family val="2"/>
          </rPr>
          <t>The technology platform used</t>
        </r>
      </text>
    </comment>
    <comment ref="G72" authorId="0" shapeId="0">
      <text>
        <r>
          <rPr>
            <sz val="10"/>
            <color rgb="FF000000"/>
            <rFont val="Arial"/>
            <family val="2"/>
          </rPr>
          <t>Accreditation procedure for the analytical method used</t>
        </r>
      </text>
    </comment>
    <comment ref="G73" authorId="0" shapeId="0">
      <text>
        <r>
          <rPr>
            <sz val="10"/>
            <color rgb="FF000000"/>
            <rFont val="Arial"/>
            <family val="2"/>
          </rPr>
          <t>The name of the protocol, e.g.Extraction Protocol</t>
        </r>
      </text>
    </comment>
    <comment ref="G74" authorId="0" shapeId="0">
      <text>
        <r>
          <rPr>
            <sz val="10"/>
            <color rgb="FF000000"/>
            <rFont val="Arial"/>
            <family val="2"/>
          </rPr>
          <t>The type of the protocol, preferably coming from an Ontology, e.g. Extraction Protocol</t>
        </r>
      </text>
    </comment>
    <comment ref="G75" authorId="0" shapeId="0">
      <text>
        <r>
          <rPr>
            <sz val="10"/>
            <color rgb="FF000000"/>
            <rFont val="Arial"/>
            <family val="2"/>
          </rPr>
          <t>A description of the Protocol.</t>
        </r>
      </text>
    </comment>
    <comment ref="G76" authorId="0" shapeId="0">
      <text>
        <r>
          <rPr>
            <sz val="10"/>
            <color rgb="FF000000"/>
            <rFont val="Arial"/>
            <family val="2"/>
          </rPr>
          <t>A URI to link out to a publication, web page, etc. describing the protocol.</t>
        </r>
      </text>
    </comment>
    <comment ref="G77" authorId="0" shapeId="0">
      <text>
        <r>
          <rPr>
            <sz val="10"/>
            <color rgb="FF000000"/>
            <rFont val="Arial"/>
            <family val="2"/>
          </rPr>
          <t>The version of the protocol used, where applicable.</t>
        </r>
      </text>
    </comment>
    <comment ref="G78" authorId="0" shapeId="0">
      <text>
        <r>
          <rPr>
            <sz val="10"/>
            <color rgb="FF000000"/>
            <rFont val="Arial"/>
            <family val="2"/>
          </rPr>
          <t>The parameters used when executing this protocol.</t>
        </r>
      </text>
    </comment>
    <comment ref="G79" authorId="0" shapeId="0">
      <text>
        <r>
          <rPr>
            <sz val="10"/>
            <color rgb="FF000000"/>
            <rFont val="Arial"/>
            <family val="2"/>
          </rPr>
          <t>The components used when carrying out this protocol.</t>
        </r>
      </text>
    </comment>
    <comment ref="G81" authorId="0" shapeId="0">
      <text>
        <r>
          <rPr>
            <sz val="10"/>
            <color rgb="FF000000"/>
            <rFont val="Arial"/>
            <family val="2"/>
          </rPr>
          <t>An unambiguous ID given to the samples used in the assay</t>
        </r>
      </text>
    </comment>
    <comment ref="G82" authorId="0" shapeId="0">
      <text>
        <r>
          <rPr>
            <sz val="10"/>
            <color rgb="FF000000"/>
            <rFont val="Arial"/>
            <family val="2"/>
          </rPr>
          <t>Additional protocol for sample and sample collection. Corresponds to the Protocol REF in ISA</t>
        </r>
      </text>
    </comment>
    <comment ref="K82" authorId="0" shapeId="0">
      <text>
        <r>
          <rPr>
            <sz val="10"/>
            <color rgb="FF000000"/>
            <rFont val="Arial"/>
            <family val="2"/>
          </rPr>
          <t>An unambiguous ID given to the samples used in the assay</t>
        </r>
      </text>
    </comment>
    <comment ref="L82" authorId="0" shapeId="0">
      <text>
        <r>
          <rPr>
            <sz val="10"/>
            <color rgb="FF000000"/>
            <rFont val="Arial"/>
            <family val="2"/>
          </rPr>
          <t>Additional protocol for sample and sample collection. Corresponds to the Protocol REF in ISA</t>
        </r>
      </text>
    </comment>
    <comment ref="M82" authorId="0" shapeId="0">
      <text>
        <r>
          <rPr>
            <sz val="10"/>
            <color rgb="FF000000"/>
            <rFont val="Arial"/>
            <family val="2"/>
          </rPr>
          <t>Sampling strategy (ref. EUROSTAT - Typology of sampling strategy, version of July 2009)</t>
        </r>
      </text>
    </comment>
    <comment ref="N82" authorId="0" shapeId="0">
      <text>
        <r>
          <rPr>
            <sz val="10"/>
            <color rgb="FF000000"/>
            <rFont val="Arial"/>
            <family val="2"/>
          </rPr>
          <t>Indicate the type programme for which the samples have been collected.</t>
        </r>
      </text>
    </comment>
    <comment ref="O82" authorId="0" shapeId="0">
      <text>
        <r>
          <rPr>
            <sz val="10"/>
            <color rgb="FF000000"/>
            <rFont val="Arial"/>
            <family val="2"/>
          </rPr>
          <t>Sampling method used to take the sample</t>
        </r>
      </text>
    </comment>
    <comment ref="P82" authorId="0" shapeId="0">
      <text>
        <r>
          <rPr>
            <sz val="10"/>
            <color rgb="FF000000"/>
            <rFont val="Arial"/>
            <family val="2"/>
          </rPr>
          <t>description of data collection technique: stratified or complex sampling (several stages)</t>
        </r>
      </text>
    </comment>
    <comment ref="Q82" authorId="0" shapeId="0">
      <text>
        <r>
          <rPr>
            <sz val="10"/>
            <color rgb="FF000000"/>
            <rFont val="Arial"/>
            <family val="2"/>
          </rPr>
          <t>description of the method employed to compute sampling weight (nonresponse-adjusted weight)</t>
        </r>
      </text>
    </comment>
    <comment ref="R82" authorId="0" shapeId="0">
      <text>
        <r>
          <rPr>
            <sz val="10"/>
            <color rgb="FF000000"/>
            <rFont val="Arial"/>
            <family val="2"/>
          </rPr>
          <t>number of units, full participants, partial participants, eligibles, not eligible, unresolved (eligibility status not resolved)…</t>
        </r>
      </text>
    </comment>
    <comment ref="S82" authorId="0" shapeId="0">
      <text>
        <r>
          <rPr>
            <sz val="10"/>
            <color rgb="FF000000"/>
            <rFont val="Arial"/>
            <family val="2"/>
          </rPr>
          <t>Unit in which the lot size is expressed.</t>
        </r>
      </text>
    </comment>
    <comment ref="T82" authorId="0" shapeId="0">
      <text>
        <r>
          <rPr>
            <sz val="10"/>
            <color rgb="FF000000"/>
            <rFont val="Arial"/>
            <family val="2"/>
          </rPr>
          <t>Point in the food chain where the sample was taken. (Doc. ESTAT/F5/ES/155 “Data dictionary of activities of the establishments”).</t>
        </r>
      </text>
    </comment>
    <comment ref="G83" authorId="0" shapeId="0">
      <text>
        <r>
          <rPr>
            <sz val="10"/>
            <color rgb="FF000000"/>
            <rFont val="Arial"/>
            <family val="2"/>
          </rPr>
          <t>Sampling strategy (ref. EUROSTAT - Typology of sampling strategy, version of July 2009)</t>
        </r>
      </text>
    </comment>
    <comment ref="G84" authorId="0" shapeId="0">
      <text>
        <r>
          <rPr>
            <sz val="10"/>
            <color rgb="FF000000"/>
            <rFont val="Arial"/>
            <family val="2"/>
          </rPr>
          <t>Indicate the type programme for which the samples have been collected.</t>
        </r>
      </text>
    </comment>
    <comment ref="G85" authorId="0" shapeId="0">
      <text>
        <r>
          <rPr>
            <sz val="10"/>
            <color rgb="FF000000"/>
            <rFont val="Arial"/>
            <family val="2"/>
          </rPr>
          <t>Sampling method used to take the sample</t>
        </r>
      </text>
    </comment>
    <comment ref="G86" authorId="0" shapeId="0">
      <text>
        <r>
          <rPr>
            <sz val="10"/>
            <color rgb="FF000000"/>
            <rFont val="Arial"/>
            <family val="2"/>
          </rPr>
          <t>description of data collection technique: stratified or complex sampling (several stages)</t>
        </r>
      </text>
    </comment>
    <comment ref="G87" authorId="0" shapeId="0">
      <text>
        <r>
          <rPr>
            <sz val="10"/>
            <color rgb="FF000000"/>
            <rFont val="Arial"/>
            <family val="2"/>
          </rPr>
          <t>description of the method employed to compute sampling weight (nonresponse-adjusted weight)</t>
        </r>
      </text>
    </comment>
    <comment ref="G88" authorId="0" shapeId="0">
      <text>
        <r>
          <rPr>
            <sz val="10"/>
            <color rgb="FF000000"/>
            <rFont val="Arial"/>
            <family val="2"/>
          </rPr>
          <t>number of units, full participants, partial participants, eligibles, not eligible, unresolved (eligibility status not resolved)…</t>
        </r>
      </text>
    </comment>
    <comment ref="O88" authorId="0" shapeId="0">
      <text>
        <r>
          <rPr>
            <sz val="10"/>
            <color rgb="FF000000"/>
            <rFont val="Arial"/>
            <family val="2"/>
          </rPr>
          <t>Definition of time-dependent parameter changes</t>
        </r>
      </text>
    </comment>
    <comment ref="G89" authorId="0" shapeId="0">
      <text>
        <r>
          <rPr>
            <sz val="10"/>
            <color rgb="FF000000"/>
            <rFont val="Arial"/>
            <family val="2"/>
          </rPr>
          <t>Unit in which the lot size is expressed.</t>
        </r>
      </text>
    </comment>
    <comment ref="K89" authorId="0" shapeId="0">
      <text>
        <r>
          <rPr>
            <sz val="10"/>
            <color rgb="FF000000"/>
            <rFont val="Arial"/>
            <family val="2"/>
          </rPr>
          <t>The laboratory accreditation to ISO/IEC 17025.</t>
        </r>
      </text>
    </comment>
    <comment ref="L89" authorId="0" shapeId="0">
      <text>
        <r>
          <rPr>
            <sz val="10"/>
            <color rgb="FF000000"/>
            <rFont val="Arial"/>
            <family val="2"/>
          </rPr>
          <t>Laboratory code (National laboratory code if available) or Laboratory name</t>
        </r>
      </text>
    </comment>
    <comment ref="M89" authorId="0" shapeId="0">
      <text>
        <r>
          <rPr>
            <sz val="10"/>
            <color rgb="FF000000"/>
            <rFont val="Arial"/>
            <family val="2"/>
          </rPr>
          <t>Country where the laboratory is placed. (ISO 3166-1-alpha-2).</t>
        </r>
      </text>
    </comment>
    <comment ref="G90" authorId="0" shapeId="0">
      <text>
        <r>
          <rPr>
            <sz val="10"/>
            <color rgb="FF000000"/>
            <rFont val="Arial"/>
            <family val="2"/>
          </rPr>
          <t>Point in the food chain where the sample was taken. (Doc. ESTAT/F5/ES/155 “Data dictionary of activities of the establishments”).</t>
        </r>
      </text>
    </comment>
    <comment ref="G91" authorId="0" shapeId="0">
      <text>
        <r>
          <rPr>
            <sz val="10"/>
            <color rgb="FF000000"/>
            <rFont val="Arial"/>
            <family val="2"/>
          </rPr>
          <t>The laboratory accreditation to ISO/IEC 17025.</t>
        </r>
      </text>
    </comment>
    <comment ref="G92" authorId="0" shapeId="0">
      <text>
        <r>
          <rPr>
            <sz val="10"/>
            <color rgb="FF000000"/>
            <rFont val="Arial"/>
            <family val="2"/>
          </rPr>
          <t>Laboratory code (National laboratory code if available) or Laboratory name</t>
        </r>
      </text>
    </comment>
    <comment ref="G93" authorId="0" shapeId="0">
      <text>
        <r>
          <rPr>
            <sz val="10"/>
            <color rgb="FF000000"/>
            <rFont val="Arial"/>
            <family val="2"/>
          </rPr>
          <t>Country where the laboratory is placed. (ISO 3166-1-alpha-2).</t>
        </r>
      </text>
    </comment>
    <comment ref="G94" authorId="0" shapeId="0">
      <text>
        <r>
          <rPr>
            <sz val="10"/>
            <color rgb="FF000000"/>
            <rFont val="Arial"/>
            <family val="2"/>
          </rPr>
          <t>A name given to the assay</t>
        </r>
      </text>
    </comment>
    <comment ref="G95" authorId="0" shapeId="0">
      <text>
        <r>
          <rPr>
            <sz val="10"/>
            <color rgb="FF000000"/>
            <rFont val="Arial"/>
            <family val="2"/>
          </rPr>
          <t>General description of the assay. Corresponds to the Protocol REF in ISA</t>
        </r>
      </text>
    </comment>
    <comment ref="G96" authorId="0" shapeId="0">
      <text>
        <r>
          <rPr>
            <sz val="10"/>
            <color rgb="FF000000"/>
            <rFont val="Arial"/>
            <family val="2"/>
          </rPr>
          <t>Percentage of moisture in the original sample</t>
        </r>
      </text>
    </comment>
    <comment ref="G97" authorId="0" shapeId="0">
      <text>
        <r>
          <rPr>
            <sz val="10"/>
            <color rgb="FF000000"/>
            <rFont val="Arial"/>
            <family val="2"/>
          </rPr>
          <t>Percentage of fat in the original sample</t>
        </r>
      </text>
    </comment>
    <comment ref="G98" authorId="0" shapeId="0">
      <text>
        <r>
          <rPr>
            <sz val="10"/>
            <color rgb="FF000000"/>
            <rFont val="Arial"/>
            <family val="2"/>
          </rPr>
          <t>Limit of detection reported in the unit specified by the variable “Hazard unit”.</t>
        </r>
      </text>
    </comment>
    <comment ref="G99" authorId="0" shapeId="0">
      <text>
        <r>
          <rPr>
            <sz val="10"/>
            <color rgb="FF000000"/>
            <rFont val="Arial"/>
            <family val="2"/>
          </rPr>
          <t>Limit of quantification reported in the unit specified by the variable “Hazard unit”</t>
        </r>
      </text>
    </comment>
    <comment ref="G100" authorId="0" shapeId="0">
      <text>
        <r>
          <rPr>
            <sz val="10"/>
            <color rgb="FF000000"/>
            <rFont val="Arial"/>
            <family val="2"/>
          </rPr>
          <t>percentage of measures equal to LOQ and/or LOD</t>
        </r>
      </text>
    </comment>
    <comment ref="G101" authorId="0" shapeId="0">
      <text>
        <r>
          <rPr>
            <sz val="10"/>
            <color rgb="FF000000"/>
            <rFont val="Arial"/>
            <family val="2"/>
          </rPr>
          <t>Range of result of the analytical measure reported in the unit specified by the variable “Hazard unit”</t>
        </r>
      </text>
    </comment>
    <comment ref="G102" authorId="0" shapeId="0">
      <text>
        <r>
          <rPr>
            <sz val="10"/>
            <color rgb="FF000000"/>
            <rFont val="Arial"/>
            <family val="2"/>
          </rPr>
          <t>Indicate the expanded uncertainty (usually 95% confidence interval) value associated with the measurement expressed in the unit reported in the field “Hazard unit”.</t>
        </r>
      </text>
    </comment>
    <comment ref="G103" authorId="0" shapeId="0">
      <text>
        <r>
          <rPr>
            <sz val="10"/>
            <color rgb="FF000000"/>
            <rFont val="Arial"/>
            <family val="2"/>
          </rPr>
          <t>An unambiguous and sequential ID given to the parameter. To be compatible with SBML, only letters from A to Z, numbers and "_" are acepted for ID creation.</t>
        </r>
      </text>
    </comment>
    <comment ref="L103" authorId="0" shapeId="0">
      <text>
        <r>
          <rPr>
            <sz val="10"/>
            <color rgb="FF000000"/>
            <rFont val="Arial"/>
            <family val="2"/>
          </rPr>
          <t>Statistical values calculated to describe the performance of the model fitting procedure</t>
        </r>
      </text>
    </comment>
    <comment ref="O103" authorId="0" shapeId="0">
      <text>
        <r>
          <rPr>
            <sz val="10"/>
            <color rgb="FF000000"/>
            <rFont val="Arial"/>
            <family val="2"/>
          </rPr>
          <t>A name given to the model equation</t>
        </r>
      </text>
    </comment>
    <comment ref="P103" authorId="0" shapeId="0">
      <text>
        <r>
          <rPr>
            <sz val="10"/>
            <color rgb="FF000000"/>
            <rFont val="Arial"/>
            <family val="2"/>
          </rPr>
          <t>Information on that helps to categorize model equations</t>
        </r>
      </text>
    </comment>
    <comment ref="Q103" authorId="0" shapeId="0">
      <text>
        <r>
          <rPr>
            <sz val="10"/>
            <color rgb="FF000000"/>
            <rFont val="Arial"/>
            <family val="2"/>
          </rPr>
          <t xml:space="preserve">Procedure used to fit the data to the model equation </t>
        </r>
      </text>
    </comment>
    <comment ref="R103" authorId="0" shapeId="0">
      <text>
        <r>
          <rPr>
            <sz val="10"/>
            <color rgb="FF000000"/>
            <rFont val="Arial"/>
            <family val="2"/>
          </rPr>
          <t>The pointer to the file that holds the software code (e.g. R-script)</t>
        </r>
      </text>
    </comment>
    <comment ref="G104" authorId="0" shapeId="0">
      <text>
        <r>
          <rPr>
            <sz val="10"/>
            <color rgb="FF000000"/>
            <rFont val="Arial"/>
            <family val="2"/>
          </rPr>
          <t>General classification of the parameter (e.g. Input, Constant, Output...)</t>
        </r>
      </text>
    </comment>
    <comment ref="G105" authorId="0" shapeId="0">
      <text>
        <r>
          <rPr>
            <sz val="10"/>
            <color rgb="FF000000"/>
            <rFont val="Arial"/>
            <family val="2"/>
          </rPr>
          <t>A name given to the parameter</t>
        </r>
      </text>
    </comment>
    <comment ref="G106" authorId="0" shapeId="0">
      <text>
        <r>
          <rPr>
            <sz val="10"/>
            <color rgb="FF000000"/>
            <rFont val="Arial"/>
            <family val="2"/>
          </rPr>
          <t>General description of the parameter</t>
        </r>
      </text>
    </comment>
    <comment ref="G107" authorId="0" shapeId="0">
      <text>
        <r>
          <rPr>
            <sz val="10"/>
            <color rgb="FF000000"/>
            <rFont val="Arial"/>
            <family val="2"/>
          </rPr>
          <t>Unit of the parameter</t>
        </r>
      </text>
    </comment>
    <comment ref="G108" authorId="0" shapeId="0">
      <text>
        <r>
          <rPr>
            <sz val="10"/>
            <color rgb="FF000000"/>
            <rFont val="Arial"/>
            <family val="2"/>
          </rPr>
          <t>General classification of the parameter unit</t>
        </r>
      </text>
    </comment>
    <comment ref="G109" authorId="0" shapeId="0">
      <text>
        <r>
          <rPr>
            <sz val="10"/>
            <color rgb="FF000000"/>
            <rFont val="Arial"/>
            <family val="2"/>
          </rPr>
          <t>Information on the data format of the parameter, e.g. if it is a categorial variable, int, double, array of size x,y,z</t>
        </r>
      </text>
    </comment>
    <comment ref="G110" authorId="0" shapeId="0">
      <text>
        <r>
          <rPr>
            <sz val="10"/>
            <color rgb="FF000000"/>
            <rFont val="Arial"/>
            <family val="2"/>
          </rPr>
          <t>Information on the type of knowledge used to define the parameter value</t>
        </r>
      </text>
    </comment>
    <comment ref="G111" authorId="0" shapeId="0">
      <text>
        <r>
          <rPr>
            <sz val="10"/>
            <color rgb="FF000000"/>
            <rFont val="Arial"/>
            <family val="2"/>
          </rPr>
          <t>Scope of the parameter, e.g. if it refers to an animal, a batch of animals, a batch of products, a carcass, a carcass skin etc</t>
        </r>
      </text>
    </comment>
    <comment ref="G112" authorId="0" shapeId="0">
      <text>
        <r>
          <rPr>
            <sz val="10"/>
            <color rgb="FF000000"/>
            <rFont val="Arial"/>
            <family val="2"/>
          </rPr>
          <t xml:space="preserve">Information on the distribution describing the parameter (e.g. variability, uncertainty, point estimate...) </t>
        </r>
      </text>
    </comment>
    <comment ref="J112"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K113" authorId="0" shapeId="0">
      <text>
        <r>
          <rPr>
            <sz val="10"/>
            <color rgb="FF000000"/>
            <rFont val="Arial"/>
            <family val="2"/>
          </rPr>
          <t>An unambiguous and sequential ID given to the parameter. To be compatible with SBML, only letters from A to Z, numbers and "_" are acepted for ID creation.</t>
        </r>
      </text>
    </comment>
    <comment ref="L113" authorId="0" shapeId="0">
      <text>
        <r>
          <rPr>
            <sz val="10"/>
            <color rgb="FF000000"/>
            <rFont val="Arial"/>
            <family val="2"/>
          </rPr>
          <t>General classification of the parameter (e.g. Input, Constant, Output...)</t>
        </r>
      </text>
    </comment>
    <comment ref="M113" authorId="0" shapeId="0">
      <text>
        <r>
          <rPr>
            <sz val="10"/>
            <color rgb="FF000000"/>
            <rFont val="Arial"/>
            <family val="2"/>
          </rPr>
          <t>A name given to the parameter</t>
        </r>
      </text>
    </comment>
    <comment ref="N113" authorId="0" shapeId="0">
      <text>
        <r>
          <rPr>
            <sz val="10"/>
            <color rgb="FF000000"/>
            <rFont val="Arial"/>
            <family val="2"/>
          </rPr>
          <t>General description of the parameter</t>
        </r>
      </text>
    </comment>
    <comment ref="O113" authorId="0" shapeId="0">
      <text>
        <r>
          <rPr>
            <sz val="10"/>
            <color rgb="FF000000"/>
            <rFont val="Arial"/>
            <family val="2"/>
          </rPr>
          <t>Unit of the parameter</t>
        </r>
      </text>
    </comment>
    <comment ref="P113" authorId="0" shapeId="0">
      <text>
        <r>
          <rPr>
            <sz val="10"/>
            <color rgb="FF000000"/>
            <rFont val="Arial"/>
            <family val="2"/>
          </rPr>
          <t>General classification of the parameter unit</t>
        </r>
      </text>
    </comment>
    <comment ref="Q113" authorId="0" shapeId="0">
      <text>
        <r>
          <rPr>
            <sz val="10"/>
            <color rgb="FF000000"/>
            <rFont val="Arial"/>
            <family val="2"/>
          </rPr>
          <t>Information on the data format of the parameter, e.g. if it is a categorial variable, int, double, array of size x,y,z</t>
        </r>
      </text>
    </comment>
    <comment ref="R113" authorId="0" shapeId="0">
      <text>
        <r>
          <rPr>
            <sz val="10"/>
            <color rgb="FF000000"/>
            <rFont val="Arial"/>
            <family val="2"/>
          </rPr>
          <t>Information on the type of knowledge used to define the parameter value</t>
        </r>
      </text>
    </comment>
    <comment ref="S113" authorId="0" shapeId="0">
      <text>
        <r>
          <rPr>
            <sz val="10"/>
            <color rgb="FF000000"/>
            <rFont val="Arial"/>
            <family val="2"/>
          </rPr>
          <t>Scope of the parameter, e.g. if it refers to an animal, a batch of animals, a batch of products, a carcass, a carcass skin etc</t>
        </r>
      </text>
    </comment>
    <comment ref="T113"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3"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V113"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W113"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X113" authorId="0" shapeId="0">
      <text>
        <r>
          <rPr>
            <sz val="10"/>
            <color rgb="FF000000"/>
            <rFont val="Arial"/>
            <family val="2"/>
          </rPr>
          <t>Numerical values of the maximum  limit of the parameter that determine the range of applicability for which the model applies</t>
        </r>
      </text>
    </comment>
    <comment ref="Y113" authorId="0" shapeId="0">
      <text>
        <r>
          <rPr>
            <sz val="10"/>
            <color rgb="FF000000"/>
            <rFont val="Arial"/>
            <family val="2"/>
          </rPr>
          <t>Numerical values of the minimum limit of the parameter that determine the range of applicability for which the model applies</t>
        </r>
      </text>
    </comment>
    <comment ref="Z113" authorId="0" shapeId="0">
      <text>
        <r>
          <rPr>
            <sz val="10"/>
            <color rgb="FF000000"/>
            <rFont val="Arial"/>
            <family val="2"/>
          </rPr>
          <t>Error of the parameter value</t>
        </r>
      </text>
    </comment>
    <comment ref="G115"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family val="2"/>
          </rPr>
          <t>Numerical value of the maximum limit of the parameter that determine the range of applicability for which the model applies</t>
        </r>
      </text>
    </comment>
    <comment ref="G119" authorId="0" shapeId="0">
      <text>
        <r>
          <rPr>
            <sz val="10"/>
            <color rgb="FF000000"/>
            <rFont val="Arial"/>
            <family val="2"/>
          </rPr>
          <t>Numerical value of the minimum limit of the parameter that determine the range of applicability for which the model applies</t>
        </r>
      </text>
    </comment>
    <comment ref="G120" authorId="0" shapeId="0">
      <text>
        <r>
          <rPr>
            <sz val="10"/>
            <color rgb="FF000000"/>
            <rFont val="Arial"/>
            <family val="2"/>
          </rPr>
          <t>Error of the parameter value</t>
        </r>
      </text>
    </comment>
    <comment ref="G121" authorId="0" shapeId="0">
      <text>
        <r>
          <rPr>
            <sz val="10"/>
            <color rgb="FF000000"/>
            <rFont val="Arial"/>
            <family val="2"/>
          </rPr>
          <t>Statistical values calculated to describe the performance of the model fitting procedure</t>
        </r>
      </text>
    </comment>
    <comment ref="G123" authorId="0" shapeId="0">
      <text>
        <r>
          <rPr>
            <sz val="10"/>
            <color rgb="FF000000"/>
            <rFont val="Arial"/>
            <family val="2"/>
          </rPr>
          <t>A name given to the model equation</t>
        </r>
      </text>
    </comment>
    <comment ref="G124" authorId="0" shapeId="0">
      <text>
        <r>
          <rPr>
            <sz val="10"/>
            <color rgb="FF000000"/>
            <rFont val="Arial"/>
            <family val="2"/>
          </rPr>
          <t>Information on that helps to categorize model equations</t>
        </r>
      </text>
    </comment>
    <comment ref="G128" authorId="0" shapeId="0">
      <text>
        <r>
          <rPr>
            <sz val="10"/>
            <color rgb="FF000000"/>
            <rFont val="Arial"/>
            <family val="2"/>
          </rPr>
          <t xml:space="preserve">Procedure used to fit the data to the model equation </t>
        </r>
      </text>
    </comment>
    <comment ref="G129" authorId="0" shapeId="0">
      <text>
        <r>
          <rPr>
            <sz val="10"/>
            <color rgb="FF000000"/>
            <rFont val="Arial"/>
            <family val="2"/>
          </rPr>
          <t>The pointer to the file that holds the software code (e.g. R-script)</t>
        </r>
      </text>
    </comment>
    <comment ref="E131" authorId="0" shapeId="0">
      <text>
        <r>
          <rPr>
            <sz val="10"/>
            <color rgb="FF000000"/>
            <rFont val="Arial"/>
            <family val="2"/>
          </rPr>
          <t xml:space="preserve">Procedure used to fit the data to the model equation </t>
        </r>
      </text>
    </comment>
    <comment ref="E132" authorId="0" shapeId="0">
      <text>
        <r>
          <rPr>
            <sz val="10"/>
            <color rgb="FF000000"/>
            <rFont val="Arial"/>
            <family val="2"/>
          </rPr>
          <t>Definition of time-dependent parameter changes</t>
        </r>
      </text>
    </comment>
  </commentList>
</comments>
</file>

<file path=xl/comments5.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L37" authorId="0" shapeId="0">
      <text>
        <r>
          <rPr>
            <sz val="10"/>
            <color rgb="FF000000"/>
            <rFont val="Arial"/>
            <family val="2"/>
          </rPr>
          <t>The product-matrix (animal, food product, matrix, lab media, etc.) for which the model applies</t>
        </r>
      </text>
    </comment>
    <comment ref="M37" authorId="0" shapeId="0">
      <text>
        <r>
          <rPr>
            <sz val="10"/>
            <color rgb="FF000000"/>
            <rFont val="Arial"/>
            <family val="2"/>
          </rPr>
          <t>Description of the product-matrix (animal, food product, matrix, lab media, etc.) for which the model applies</t>
        </r>
      </text>
    </comment>
    <comment ref="N37" authorId="0" shapeId="0">
      <text>
        <r>
          <rPr>
            <sz val="10"/>
            <color rgb="FF000000"/>
            <rFont val="Arial"/>
            <family val="2"/>
          </rPr>
          <t>Units of the product-matrix for which the model applies</t>
        </r>
      </text>
    </comment>
    <comment ref="O37" authorId="0" shapeId="0">
      <text>
        <r>
          <rPr>
            <sz val="10"/>
            <color rgb="FF000000"/>
            <rFont val="Arial"/>
            <family val="2"/>
          </rPr>
          <t>Type of production for the product/ matrix</t>
        </r>
      </text>
    </comment>
    <comment ref="P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family val="2"/>
          </rPr>
          <t>Used to characterise a product/matrix based on the treatment or processes applied to the product or any indexed ingredient.</t>
        </r>
      </text>
    </comment>
    <comment ref="R37" authorId="0" shapeId="0">
      <text>
        <r>
          <rPr>
            <sz val="10"/>
            <color rgb="FF000000"/>
            <rFont val="Arial"/>
            <family val="2"/>
          </rPr>
          <t>Country of origin of the food/product (ISO 3166-1-alpha-2 country code).</t>
        </r>
      </text>
    </comment>
    <comment ref="S37" authorId="0" shapeId="0">
      <text>
        <r>
          <rPr>
            <sz val="10"/>
            <color rgb="FF000000"/>
            <rFont val="Arial"/>
            <family val="2"/>
          </rPr>
          <t>Area of origin of the food/product (Nomenclature of territorial units for statistics – NUTS – coding system valid only for EEA and Switzerland).</t>
        </r>
      </text>
    </comment>
    <comment ref="T37" authorId="0" shapeId="0">
      <text>
        <r>
          <rPr>
            <sz val="10"/>
            <color rgb="FF000000"/>
            <rFont val="Arial"/>
            <family val="2"/>
          </rPr>
          <t>Fisheries or aquaculture area specifying the origin of the sample (FAO Fisheries areas).</t>
        </r>
      </text>
    </comment>
    <comment ref="U37" authorId="0" shapeId="0">
      <text>
        <r>
          <rPr>
            <sz val="10"/>
            <color rgb="FF000000"/>
            <rFont val="Arial"/>
            <family val="2"/>
          </rPr>
          <t>date of production of food/product</t>
        </r>
      </text>
    </comment>
    <comment ref="V37" authorId="0" shapeId="0">
      <text>
        <r>
          <rPr>
            <sz val="10"/>
            <color rgb="FF000000"/>
            <rFont val="Arial"/>
            <family val="2"/>
          </rPr>
          <t>date of expiry of food/product</t>
        </r>
      </text>
    </comment>
    <comment ref="W37" authorId="0" shapeId="0">
      <text>
        <r>
          <rPr>
            <sz val="10"/>
            <color rgb="FF000000"/>
            <rFont val="Arial"/>
            <family val="2"/>
          </rPr>
          <t>General classification of the hazard for which the model or data applies</t>
        </r>
      </text>
    </comment>
    <comment ref="X37" authorId="0" shapeId="0">
      <text>
        <r>
          <rPr>
            <sz val="10"/>
            <color rgb="FF000000"/>
            <rFont val="Arial"/>
            <family val="2"/>
          </rPr>
          <t>Name of the hazard for which the model or data applies</t>
        </r>
      </text>
    </comment>
    <comment ref="Y37" authorId="0" shapeId="0">
      <text>
        <r>
          <rPr>
            <sz val="10"/>
            <color rgb="FF000000"/>
            <rFont val="Arial"/>
            <family val="2"/>
          </rPr>
          <t>Description of the hazard for which the model or data applies</t>
        </r>
      </text>
    </comment>
    <comment ref="Z37" authorId="0" shapeId="0">
      <text>
        <r>
          <rPr>
            <sz val="10"/>
            <color rgb="FF000000"/>
            <rFont val="Arial"/>
            <family val="2"/>
          </rPr>
          <t>Unit of the hazard for which the model applies</t>
        </r>
      </text>
    </comment>
    <comment ref="AA37" authorId="0" shapeId="0">
      <text>
        <r>
          <rPr>
            <sz val="10"/>
            <color rgb="FF000000"/>
            <rFont val="Arial"/>
            <family val="2"/>
          </rPr>
          <t>morbidity, mortality, effect</t>
        </r>
      </text>
    </comment>
    <comment ref="AB37" authorId="0" shapeId="0">
      <text>
        <r>
          <rPr>
            <sz val="10"/>
            <color rgb="FF000000"/>
            <rFont val="Arial"/>
            <family val="2"/>
          </rPr>
          <t>source of contamination, origin</t>
        </r>
      </text>
    </comment>
    <comment ref="AC37" authorId="0" shapeId="0">
      <text>
        <r>
          <rPr>
            <sz val="10"/>
            <color rgb="FF000000"/>
            <rFont val="Arial"/>
            <family val="2"/>
          </rPr>
          <t>A dose or concentration that produces a predetermined change in response rate of an adverse effect (called the bench response or BMR) compared to background.</t>
        </r>
      </text>
    </comment>
    <comment ref="AD37" authorId="0" shapeId="0">
      <text>
        <r>
          <rPr>
            <sz val="10"/>
            <color rgb="FF000000"/>
            <rFont val="Arial"/>
            <family val="2"/>
          </rPr>
          <t>International regulations and permissible maximum residue levels in food and drinking water</t>
        </r>
      </text>
    </comment>
    <comment ref="AE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J37" authorId="0" shapeId="0">
      <text>
        <r>
          <rPr>
            <sz val="10"/>
            <color rgb="FF000000"/>
            <rFont val="Arial"/>
            <family val="2"/>
          </rPr>
          <t>Define if the parameter reported is an individual residue/analyte, a summed residue definition or part of a sum a summed residue definition.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or data applies</t>
        </r>
      </text>
    </comment>
    <comment ref="G48" authorId="0" shapeId="0">
      <text>
        <r>
          <rPr>
            <sz val="10"/>
            <color rgb="FF000000"/>
            <rFont val="Arial"/>
            <family val="2"/>
          </rPr>
          <t>Name of the hazard for which the model applies</t>
        </r>
      </text>
    </comment>
    <comment ref="G49" authorId="0" shapeId="0">
      <text>
        <r>
          <rPr>
            <sz val="10"/>
            <color rgb="FF000000"/>
            <rFont val="Arial"/>
            <family val="2"/>
          </rPr>
          <t>Description of the hazard for which the model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E61" authorId="0" shapeId="0">
      <text>
        <r>
          <rPr>
            <sz val="10"/>
            <color rgb="FF000000"/>
            <rFont val="Arial"/>
            <family val="2"/>
          </rPr>
          <t>General comments on the scope of the model</t>
        </r>
      </text>
    </comment>
    <comment ref="G62" authorId="0" shapeId="0">
      <text>
        <r>
          <rPr>
            <sz val="10"/>
            <color rgb="FF000000"/>
            <rFont val="Arial"/>
            <family val="2"/>
          </rPr>
          <t>Temporal information on which the model applies / An interval of time that is named or defined by its start and end dates (period of study)</t>
        </r>
      </text>
    </comment>
    <comment ref="G63" authorId="0" shapeId="0">
      <text>
        <r>
          <rPr>
            <sz val="10"/>
            <color rgb="FF000000"/>
            <rFont val="Arial"/>
            <family val="2"/>
          </rPr>
          <t>Spatial information (area) on which the model applies</t>
        </r>
      </text>
    </comment>
    <comment ref="G64" authorId="0" shapeId="0">
      <text>
        <r>
          <rPr>
            <sz val="10"/>
            <color rgb="FF000000"/>
            <rFont val="Arial"/>
            <family val="2"/>
          </rPr>
          <t>Country on which the model applies</t>
        </r>
      </text>
    </comment>
    <comment ref="G65" authorId="0" shapeId="0">
      <text>
        <r>
          <rPr>
            <sz val="10"/>
            <color rgb="FF000000"/>
            <rFont val="Arial"/>
            <family val="2"/>
          </rPr>
          <t>A user defined identifier for the study</t>
        </r>
      </text>
    </comment>
    <comment ref="G66" authorId="0" shapeId="0">
      <text>
        <r>
          <rPr>
            <sz val="10"/>
            <color rgb="FF000000"/>
            <rFont val="Arial"/>
            <family val="2"/>
          </rPr>
          <t>A title for the Study.</t>
        </r>
      </text>
    </comment>
    <comment ref="G67" authorId="0" shapeId="0">
      <text>
        <r>
          <rPr>
            <sz val="10"/>
            <color rgb="FF000000"/>
            <rFont val="Arial"/>
            <family val="2"/>
          </rPr>
          <t>A brief description of the study aims.</t>
        </r>
      </text>
    </comment>
    <comment ref="G68" authorId="0" shapeId="0">
      <text>
        <r>
          <rPr>
            <sz val="10"/>
            <color rgb="FF000000"/>
            <rFont val="Arial"/>
            <family val="2"/>
          </rPr>
          <t>The type of study design being employed</t>
        </r>
      </text>
    </comment>
    <comment ref="G69" authorId="0" shapeId="0">
      <text>
        <r>
          <rPr>
            <sz val="10"/>
            <color rgb="FF000000"/>
            <rFont val="Arial"/>
            <family val="2"/>
          </rPr>
          <t>The measurement being observed in this assay</t>
        </r>
      </text>
    </comment>
    <comment ref="G70" authorId="0" shapeId="0">
      <text>
        <r>
          <rPr>
            <sz val="10"/>
            <color rgb="FF000000"/>
            <rFont val="Arial"/>
            <family val="2"/>
          </rPr>
          <t>The technology being employed to observe this measurement</t>
        </r>
      </text>
    </comment>
    <comment ref="G71" authorId="0" shapeId="0">
      <text>
        <r>
          <rPr>
            <sz val="10"/>
            <color rgb="FF000000"/>
            <rFont val="Arial"/>
            <family val="2"/>
          </rPr>
          <t>The technology platform used</t>
        </r>
      </text>
    </comment>
    <comment ref="G72" authorId="0" shapeId="0">
      <text>
        <r>
          <rPr>
            <sz val="10"/>
            <color rgb="FF000000"/>
            <rFont val="Arial"/>
            <family val="2"/>
          </rPr>
          <t>Accreditation procedure for the analytical method used</t>
        </r>
      </text>
    </comment>
    <comment ref="G73" authorId="0" shapeId="0">
      <text>
        <r>
          <rPr>
            <sz val="10"/>
            <color rgb="FF000000"/>
            <rFont val="Arial"/>
            <family val="2"/>
          </rPr>
          <t>The name of the protocol, e.g.Extraction Protocol</t>
        </r>
      </text>
    </comment>
    <comment ref="G74" authorId="0" shapeId="0">
      <text>
        <r>
          <rPr>
            <sz val="10"/>
            <color rgb="FF000000"/>
            <rFont val="Arial"/>
            <family val="2"/>
          </rPr>
          <t>The type of the protocol, preferably coming from an Ontology, e.g. Extraction Protocol</t>
        </r>
      </text>
    </comment>
    <comment ref="G75" authorId="0" shapeId="0">
      <text>
        <r>
          <rPr>
            <sz val="10"/>
            <color rgb="FF000000"/>
            <rFont val="Arial"/>
            <family val="2"/>
          </rPr>
          <t>A description of the Protocol.</t>
        </r>
      </text>
    </comment>
    <comment ref="G76" authorId="0" shapeId="0">
      <text>
        <r>
          <rPr>
            <sz val="10"/>
            <color rgb="FF000000"/>
            <rFont val="Arial"/>
            <family val="2"/>
          </rPr>
          <t>A URI to link out to a publication, web page, etc. describing the protocol.</t>
        </r>
      </text>
    </comment>
    <comment ref="G77" authorId="0" shapeId="0">
      <text>
        <r>
          <rPr>
            <sz val="10"/>
            <color rgb="FF000000"/>
            <rFont val="Arial"/>
            <family val="2"/>
          </rPr>
          <t>The version of the protocol used, where applicable.</t>
        </r>
      </text>
    </comment>
    <comment ref="G78" authorId="0" shapeId="0">
      <text>
        <r>
          <rPr>
            <sz val="10"/>
            <color rgb="FF000000"/>
            <rFont val="Arial"/>
            <family val="2"/>
          </rPr>
          <t>The parameters used when executing this protocol.</t>
        </r>
      </text>
    </comment>
    <comment ref="G79" authorId="0" shapeId="0">
      <text>
        <r>
          <rPr>
            <sz val="10"/>
            <color rgb="FF000000"/>
            <rFont val="Arial"/>
            <family val="2"/>
          </rPr>
          <t>The components used when carrying out this protocol.</t>
        </r>
      </text>
    </comment>
    <comment ref="G81" authorId="0" shapeId="0">
      <text>
        <r>
          <rPr>
            <sz val="10"/>
            <color rgb="FF000000"/>
            <rFont val="Arial"/>
            <family val="2"/>
          </rPr>
          <t>An unambiguous ID given to the samples used in the assay</t>
        </r>
      </text>
    </comment>
    <comment ref="G82" authorId="0" shapeId="0">
      <text>
        <r>
          <rPr>
            <sz val="10"/>
            <color rgb="FF000000"/>
            <rFont val="Arial"/>
            <family val="2"/>
          </rPr>
          <t>Additional protocol for sample and sample collection. Corresponds to the Protocol REF in ISA</t>
        </r>
      </text>
    </comment>
    <comment ref="L82" authorId="0" shapeId="0">
      <text>
        <r>
          <rPr>
            <sz val="10"/>
            <color rgb="FF000000"/>
            <rFont val="Arial"/>
            <family val="2"/>
          </rPr>
          <t>An unambiguous ID given to the samples used in the assay</t>
        </r>
      </text>
    </comment>
    <comment ref="M82" authorId="0" shapeId="0">
      <text>
        <r>
          <rPr>
            <sz val="10"/>
            <color rgb="FF000000"/>
            <rFont val="Arial"/>
            <family val="2"/>
          </rPr>
          <t>Additional protocol for sample and sample collection. Corresponds to the Protocol REF in ISA</t>
        </r>
      </text>
    </comment>
    <comment ref="N82" authorId="0" shapeId="0">
      <text>
        <r>
          <rPr>
            <sz val="10"/>
            <color rgb="FF000000"/>
            <rFont val="Arial"/>
            <family val="2"/>
          </rPr>
          <t>Sampling strategy (ref. EUROSTAT - Typology of sampling strategy, version of July 2009)</t>
        </r>
      </text>
    </comment>
    <comment ref="O82" authorId="0" shapeId="0">
      <text>
        <r>
          <rPr>
            <sz val="10"/>
            <color rgb="FF000000"/>
            <rFont val="Arial"/>
            <family val="2"/>
          </rPr>
          <t>Indicate the type programme for which the samples have been collected.</t>
        </r>
      </text>
    </comment>
    <comment ref="P82" authorId="0" shapeId="0">
      <text>
        <r>
          <rPr>
            <sz val="10"/>
            <color rgb="FF000000"/>
            <rFont val="Arial"/>
            <family val="2"/>
          </rPr>
          <t>Sampling method used to take the sample</t>
        </r>
      </text>
    </comment>
    <comment ref="Q82" authorId="0" shapeId="0">
      <text>
        <r>
          <rPr>
            <sz val="10"/>
            <color rgb="FF000000"/>
            <rFont val="Arial"/>
            <family val="2"/>
          </rPr>
          <t>description of data collection technique: stratified or complex sampling (several stages)</t>
        </r>
      </text>
    </comment>
    <comment ref="R82" authorId="0" shapeId="0">
      <text>
        <r>
          <rPr>
            <sz val="10"/>
            <color rgb="FF000000"/>
            <rFont val="Arial"/>
            <family val="2"/>
          </rPr>
          <t>description of the method employed to compute sampling weight (nonresponse-adjusted weight)</t>
        </r>
      </text>
    </comment>
    <comment ref="S82" authorId="0" shapeId="0">
      <text>
        <r>
          <rPr>
            <sz val="10"/>
            <color rgb="FF000000"/>
            <rFont val="Arial"/>
            <family val="2"/>
          </rPr>
          <t>number of units, full participants, partial participants, eligibles, not eligible, unresolved (eligibility status not resolved)…</t>
        </r>
      </text>
    </comment>
    <comment ref="T82" authorId="0" shapeId="0">
      <text>
        <r>
          <rPr>
            <sz val="10"/>
            <color rgb="FF000000"/>
            <rFont val="Arial"/>
            <family val="2"/>
          </rPr>
          <t>Unit in which the lot size is expressed.</t>
        </r>
      </text>
    </comment>
    <comment ref="U82" authorId="0" shapeId="0">
      <text>
        <r>
          <rPr>
            <sz val="10"/>
            <color rgb="FF000000"/>
            <rFont val="Arial"/>
            <family val="2"/>
          </rPr>
          <t>Point in the food chain where the sample was taken. (Doc. ESTAT/F5/ES/155 “Data dictionary of activities of the establishments”).</t>
        </r>
      </text>
    </comment>
    <comment ref="G83" authorId="0" shapeId="0">
      <text>
        <r>
          <rPr>
            <sz val="10"/>
            <color rgb="FF000000"/>
            <rFont val="Arial"/>
            <family val="2"/>
          </rPr>
          <t>Sampling strategy (ref. EUROSTAT - Typology of sampling strategy, version of July 2009)</t>
        </r>
      </text>
    </comment>
    <comment ref="G84" authorId="0" shapeId="0">
      <text>
        <r>
          <rPr>
            <sz val="10"/>
            <color rgb="FF000000"/>
            <rFont val="Arial"/>
            <family val="2"/>
          </rPr>
          <t>Indicate the type programme for which the samples have been collected.</t>
        </r>
      </text>
    </comment>
    <comment ref="G85" authorId="0" shapeId="0">
      <text>
        <r>
          <rPr>
            <sz val="10"/>
            <color rgb="FF000000"/>
            <rFont val="Arial"/>
            <family val="2"/>
          </rPr>
          <t>Sampling method used to take the sample</t>
        </r>
      </text>
    </comment>
    <comment ref="G86" authorId="0" shapeId="0">
      <text>
        <r>
          <rPr>
            <sz val="10"/>
            <color rgb="FF000000"/>
            <rFont val="Arial"/>
            <family val="2"/>
          </rPr>
          <t>description of data collection technique: stratified or complex sampling (several stages)</t>
        </r>
      </text>
    </comment>
    <comment ref="G87" authorId="0" shapeId="0">
      <text>
        <r>
          <rPr>
            <sz val="10"/>
            <color rgb="FF000000"/>
            <rFont val="Arial"/>
            <family val="2"/>
          </rPr>
          <t>description of the method employed to compute sampling weight (nonresponse-adjusted weight)</t>
        </r>
      </text>
    </comment>
    <comment ref="G88" authorId="0" shapeId="0">
      <text>
        <r>
          <rPr>
            <sz val="10"/>
            <color rgb="FF000000"/>
            <rFont val="Arial"/>
            <family val="2"/>
          </rPr>
          <t>number of units, full participants, partial participants, eligibles, not eligible, unresolved (eligibility status not resolved)…</t>
        </r>
      </text>
    </comment>
    <comment ref="G89" authorId="0" shapeId="0">
      <text>
        <r>
          <rPr>
            <sz val="10"/>
            <color rgb="FF000000"/>
            <rFont val="Arial"/>
            <family val="2"/>
          </rPr>
          <t>Unit in which the lot size is expressed.</t>
        </r>
      </text>
    </comment>
    <comment ref="L89" authorId="0" shapeId="0">
      <text>
        <r>
          <rPr>
            <sz val="10"/>
            <color rgb="FF000000"/>
            <rFont val="Arial"/>
            <family val="2"/>
          </rPr>
          <t>The laboratory accreditation to ISO/IEC 17025.</t>
        </r>
      </text>
    </comment>
    <comment ref="M89" authorId="0" shapeId="0">
      <text>
        <r>
          <rPr>
            <sz val="10"/>
            <color rgb="FF000000"/>
            <rFont val="Arial"/>
            <family val="2"/>
          </rPr>
          <t>Laboratory code (National laboratory code if available) or Laboratory name</t>
        </r>
      </text>
    </comment>
    <comment ref="N89" authorId="0" shapeId="0">
      <text>
        <r>
          <rPr>
            <sz val="10"/>
            <color rgb="FF000000"/>
            <rFont val="Arial"/>
            <family val="2"/>
          </rPr>
          <t>Country where the laboratory is placed. (ISO 3166-1-alpha-2).</t>
        </r>
      </text>
    </comment>
    <comment ref="G90" authorId="0" shapeId="0">
      <text>
        <r>
          <rPr>
            <sz val="10"/>
            <color rgb="FF000000"/>
            <rFont val="Arial"/>
            <family val="2"/>
          </rPr>
          <t>Point in the food chain where the sample was taken. (Doc. ESTAT/F5/ES/155 “Data dictionary of activities of the establishments”).</t>
        </r>
      </text>
    </comment>
    <comment ref="G91" authorId="0" shapeId="0">
      <text>
        <r>
          <rPr>
            <sz val="10"/>
            <color rgb="FF000000"/>
            <rFont val="Arial"/>
            <family val="2"/>
          </rPr>
          <t>The laboratory accreditation to ISO/IEC 17025.</t>
        </r>
      </text>
    </comment>
    <comment ref="G92" authorId="0" shapeId="0">
      <text>
        <r>
          <rPr>
            <sz val="10"/>
            <color rgb="FF000000"/>
            <rFont val="Arial"/>
            <family val="2"/>
          </rPr>
          <t>Laboratory code (National laboratory code if available) or Laboratory name</t>
        </r>
      </text>
    </comment>
    <comment ref="G93" authorId="0" shapeId="0">
      <text>
        <r>
          <rPr>
            <sz val="10"/>
            <color rgb="FF000000"/>
            <rFont val="Arial"/>
            <family val="2"/>
          </rPr>
          <t>Country where the laboratory is placed. (ISO 3166-1-alpha-2).</t>
        </r>
      </text>
    </comment>
    <comment ref="G94" authorId="0" shapeId="0">
      <text>
        <r>
          <rPr>
            <sz val="10"/>
            <color rgb="FF000000"/>
            <rFont val="Arial"/>
            <family val="2"/>
          </rPr>
          <t>A name given to the assay</t>
        </r>
      </text>
    </comment>
    <comment ref="G95" authorId="0" shapeId="0">
      <text>
        <r>
          <rPr>
            <sz val="10"/>
            <color rgb="FF000000"/>
            <rFont val="Arial"/>
            <family val="2"/>
          </rPr>
          <t>General description of the assay. Corresponds to the Protocol REF in ISA</t>
        </r>
      </text>
    </comment>
    <comment ref="G96" authorId="0" shapeId="0">
      <text>
        <r>
          <rPr>
            <sz val="10"/>
            <color rgb="FF000000"/>
            <rFont val="Arial"/>
            <family val="2"/>
          </rPr>
          <t>Percentage of moisture in the original sample</t>
        </r>
      </text>
    </comment>
    <comment ref="G97" authorId="0" shapeId="0">
      <text>
        <r>
          <rPr>
            <sz val="10"/>
            <color rgb="FF000000"/>
            <rFont val="Arial"/>
            <family val="2"/>
          </rPr>
          <t>Percentage of fat in the original sample</t>
        </r>
      </text>
    </comment>
    <comment ref="G98" authorId="0" shapeId="0">
      <text>
        <r>
          <rPr>
            <sz val="10"/>
            <color rgb="FF000000"/>
            <rFont val="Arial"/>
            <family val="2"/>
          </rPr>
          <t>Limit of detection reported in the unit specified by the variable “Hazard unit”.</t>
        </r>
      </text>
    </comment>
    <comment ref="G99" authorId="0" shapeId="0">
      <text>
        <r>
          <rPr>
            <sz val="10"/>
            <color rgb="FF000000"/>
            <rFont val="Arial"/>
            <family val="2"/>
          </rPr>
          <t>Limit of quantification reported in the unit specified by the variable “Hazard unit”</t>
        </r>
      </text>
    </comment>
    <comment ref="G100" authorId="0" shapeId="0">
      <text>
        <r>
          <rPr>
            <sz val="10"/>
            <color rgb="FF000000"/>
            <rFont val="Arial"/>
            <family val="2"/>
          </rPr>
          <t>percentage of measures equal to LOQ and/or LOD</t>
        </r>
      </text>
    </comment>
    <comment ref="G101" authorId="0" shapeId="0">
      <text>
        <r>
          <rPr>
            <sz val="10"/>
            <color rgb="FF000000"/>
            <rFont val="Arial"/>
            <family val="2"/>
          </rPr>
          <t>Range of result of the analytical measure reported in the unit specified by the variable “Hazard unit”</t>
        </r>
      </text>
    </comment>
    <comment ref="G102" authorId="0" shapeId="0">
      <text>
        <r>
          <rPr>
            <sz val="10"/>
            <color rgb="FF000000"/>
            <rFont val="Arial"/>
            <family val="2"/>
          </rPr>
          <t>Indicate the expanded uncertainty (usually 95% confidence interval) value associated with the measurement expressed in the unit reported in the field “Hazard unit”.</t>
        </r>
      </text>
    </comment>
    <comment ref="G103" authorId="0" shapeId="0">
      <text>
        <r>
          <rPr>
            <sz val="10"/>
            <color rgb="FF000000"/>
            <rFont val="Arial"/>
            <family val="2"/>
          </rPr>
          <t>An unambiguous and sequential ID given to the parameter. To be compatible with SBML, only letters from A to Z, numbers and "_" are acepted for ID creation.</t>
        </r>
      </text>
    </comment>
    <comment ref="M103" authorId="0" shapeId="0">
      <text>
        <r>
          <rPr>
            <sz val="10"/>
            <color rgb="FF000000"/>
            <rFont val="Arial"/>
            <family val="2"/>
          </rPr>
          <t>Statistical values calculated to describe the performance of the model fitting procedure</t>
        </r>
      </text>
    </comment>
    <comment ref="P103" authorId="0" shapeId="0">
      <text>
        <r>
          <rPr>
            <sz val="10"/>
            <color rgb="FF000000"/>
            <rFont val="Arial"/>
            <family val="2"/>
          </rPr>
          <t>A name given to the model equation</t>
        </r>
      </text>
    </comment>
    <comment ref="Q103" authorId="0" shapeId="0">
      <text>
        <r>
          <rPr>
            <sz val="10"/>
            <color rgb="FF000000"/>
            <rFont val="Arial"/>
            <family val="2"/>
          </rPr>
          <t>Information on that helps to categorize model equations</t>
        </r>
      </text>
    </comment>
    <comment ref="R103" authorId="0" shapeId="0">
      <text>
        <r>
          <rPr>
            <sz val="10"/>
            <color rgb="FF000000"/>
            <rFont val="Arial"/>
            <family val="2"/>
          </rPr>
          <t xml:space="preserve">Procedure used to fit the data to the model equation </t>
        </r>
      </text>
    </comment>
    <comment ref="S103" authorId="0" shapeId="0">
      <text>
        <r>
          <rPr>
            <sz val="10"/>
            <color rgb="FF000000"/>
            <rFont val="Arial"/>
            <family val="2"/>
          </rPr>
          <t>The pointer to the file that holds the software code (e.g. R-script)</t>
        </r>
      </text>
    </comment>
    <comment ref="G104" authorId="0" shapeId="0">
      <text>
        <r>
          <rPr>
            <sz val="10"/>
            <color rgb="FF000000"/>
            <rFont val="Arial"/>
            <family val="2"/>
          </rPr>
          <t>General classification of the parameter (e.g. Input, Constant, Output...)</t>
        </r>
      </text>
    </comment>
    <comment ref="G105" authorId="0" shapeId="0">
      <text>
        <r>
          <rPr>
            <sz val="10"/>
            <color rgb="FF000000"/>
            <rFont val="Arial"/>
            <family val="2"/>
          </rPr>
          <t>A name given to the parameter</t>
        </r>
      </text>
    </comment>
    <comment ref="G106" authorId="0" shapeId="0">
      <text>
        <r>
          <rPr>
            <sz val="10"/>
            <color rgb="FF000000"/>
            <rFont val="Arial"/>
            <family val="2"/>
          </rPr>
          <t>General description of the parameter</t>
        </r>
      </text>
    </comment>
    <comment ref="G107" authorId="0" shapeId="0">
      <text>
        <r>
          <rPr>
            <sz val="10"/>
            <color rgb="FF000000"/>
            <rFont val="Arial"/>
            <family val="2"/>
          </rPr>
          <t>Unit of the parameter</t>
        </r>
      </text>
    </comment>
    <comment ref="G108" authorId="0" shapeId="0">
      <text>
        <r>
          <rPr>
            <sz val="10"/>
            <color rgb="FF000000"/>
            <rFont val="Arial"/>
            <family val="2"/>
          </rPr>
          <t>General classification of the parameter unit</t>
        </r>
      </text>
    </comment>
    <comment ref="G109" authorId="0" shapeId="0">
      <text>
        <r>
          <rPr>
            <sz val="10"/>
            <color rgb="FF000000"/>
            <rFont val="Arial"/>
            <family val="2"/>
          </rPr>
          <t>Information on the data format of the parameter, e.g. if it is a categorial variable, int, double, array of size x,y,z</t>
        </r>
      </text>
    </comment>
    <comment ref="G110" authorId="0" shapeId="0">
      <text>
        <r>
          <rPr>
            <sz val="10"/>
            <color rgb="FF000000"/>
            <rFont val="Arial"/>
            <family val="2"/>
          </rPr>
          <t>Information on the type of knowledge used to define the parameter value</t>
        </r>
      </text>
    </comment>
    <comment ref="G111" authorId="0" shapeId="0">
      <text>
        <r>
          <rPr>
            <sz val="10"/>
            <color rgb="FF000000"/>
            <rFont val="Arial"/>
            <family val="2"/>
          </rPr>
          <t>Scope of the parameter, e.g. if it refers to an animal, a batch of animals, a batch of products, a carcass, a carcass skin etc</t>
        </r>
      </text>
    </comment>
    <comment ref="G112" authorId="0" shapeId="0">
      <text>
        <r>
          <rPr>
            <sz val="10"/>
            <color rgb="FF000000"/>
            <rFont val="Arial"/>
            <family val="2"/>
          </rPr>
          <t xml:space="preserve">Information on the distribution describing the parameter (e.g. variability, uncertainty, point estimate...) </t>
        </r>
      </text>
    </comment>
    <comment ref="K112"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13" authorId="0" shapeId="0">
      <text>
        <r>
          <rPr>
            <sz val="10"/>
            <color rgb="FF000000"/>
            <rFont val="Arial"/>
            <family val="2"/>
          </rPr>
          <t>An unambiguous and sequential ID given to the parameter. To be compatible with SBML, only letters from A to Z, numbers and "_" are acepted for ID creation.</t>
        </r>
      </text>
    </comment>
    <comment ref="M113" authorId="0" shapeId="0">
      <text>
        <r>
          <rPr>
            <sz val="10"/>
            <color rgb="FF000000"/>
            <rFont val="Arial"/>
            <family val="2"/>
          </rPr>
          <t>General classification of the parameter (e.g. Input, Constant, Output...)</t>
        </r>
      </text>
    </comment>
    <comment ref="N113" authorId="0" shapeId="0">
      <text>
        <r>
          <rPr>
            <sz val="10"/>
            <color rgb="FF000000"/>
            <rFont val="Arial"/>
            <family val="2"/>
          </rPr>
          <t>A name given to the parameter</t>
        </r>
      </text>
    </comment>
    <comment ref="O113" authorId="0" shapeId="0">
      <text>
        <r>
          <rPr>
            <sz val="10"/>
            <color rgb="FF000000"/>
            <rFont val="Arial"/>
            <family val="2"/>
          </rPr>
          <t>General description of the parameter</t>
        </r>
      </text>
    </comment>
    <comment ref="P113" authorId="0" shapeId="0">
      <text>
        <r>
          <rPr>
            <sz val="10"/>
            <color rgb="FF000000"/>
            <rFont val="Arial"/>
            <family val="2"/>
          </rPr>
          <t>Unit of the parameter</t>
        </r>
      </text>
    </comment>
    <comment ref="Q113" authorId="0" shapeId="0">
      <text>
        <r>
          <rPr>
            <sz val="10"/>
            <color rgb="FF000000"/>
            <rFont val="Arial"/>
            <family val="2"/>
          </rPr>
          <t>General classification of the parameter unit</t>
        </r>
      </text>
    </comment>
    <comment ref="R113" authorId="0" shapeId="0">
      <text>
        <r>
          <rPr>
            <sz val="10"/>
            <color rgb="FF000000"/>
            <rFont val="Arial"/>
            <family val="2"/>
          </rPr>
          <t>Information on the data format of the parameter, e.g. if it is a categorial variable, int, double, array of size x,y,z</t>
        </r>
      </text>
    </comment>
    <comment ref="S113" authorId="0" shapeId="0">
      <text>
        <r>
          <rPr>
            <sz val="10"/>
            <color rgb="FF000000"/>
            <rFont val="Arial"/>
            <family val="2"/>
          </rPr>
          <t>Information on the type of knowledge used to define the parameter value</t>
        </r>
      </text>
    </comment>
    <comment ref="T113" authorId="0" shapeId="0">
      <text>
        <r>
          <rPr>
            <sz val="10"/>
            <color rgb="FF000000"/>
            <rFont val="Arial"/>
            <family val="2"/>
          </rPr>
          <t>Scope of the parameter, e.g. if it refers to an animal, a batch of animals, a batch of products, a carcass, a carcass skin etc</t>
        </r>
      </text>
    </comment>
    <comment ref="U113"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3"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13"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13"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13" authorId="0" shapeId="0">
      <text>
        <r>
          <rPr>
            <sz val="10"/>
            <color rgb="FF000000"/>
            <rFont val="Arial"/>
            <family val="2"/>
          </rPr>
          <t>Numerical values of the maximum limit of the parameter that determine the range of applicability for which the model applies</t>
        </r>
      </text>
    </comment>
    <comment ref="Z113" authorId="0" shapeId="0">
      <text>
        <r>
          <rPr>
            <sz val="10"/>
            <color rgb="FF000000"/>
            <rFont val="Arial"/>
            <family val="2"/>
          </rPr>
          <t>Numerical values of the minimum limit of the parameter that determine the range of applicability for which the model applies</t>
        </r>
      </text>
    </comment>
    <comment ref="AA113" authorId="0" shapeId="0">
      <text>
        <r>
          <rPr>
            <sz val="10"/>
            <color rgb="FF000000"/>
            <rFont val="Arial"/>
            <family val="2"/>
          </rPr>
          <t>Error of the parameter value</t>
        </r>
      </text>
    </comment>
    <comment ref="G115"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family val="2"/>
          </rPr>
          <t>Numerical value of the maximum  limit of the parameter that determine the range of applicability for which the model applies</t>
        </r>
      </text>
    </comment>
    <comment ref="G119" authorId="0" shapeId="0">
      <text>
        <r>
          <rPr>
            <sz val="10"/>
            <color rgb="FF000000"/>
            <rFont val="Arial"/>
            <family val="2"/>
          </rPr>
          <t>Numerical value of the minimum  limit of the parameter that determine the range of applicability for which the model applies</t>
        </r>
      </text>
    </comment>
    <comment ref="G120" authorId="0" shapeId="0">
      <text>
        <r>
          <rPr>
            <sz val="10"/>
            <color rgb="FF000000"/>
            <rFont val="Arial"/>
            <family val="2"/>
          </rPr>
          <t>Error of the parameter value</t>
        </r>
      </text>
    </comment>
    <comment ref="G121" authorId="0" shapeId="0">
      <text>
        <r>
          <rPr>
            <sz val="10"/>
            <color rgb="FF000000"/>
            <rFont val="Arial"/>
            <family val="2"/>
          </rPr>
          <t>Statistical values calculated to describe the performance of the model fitting procedure</t>
        </r>
      </text>
    </comment>
    <comment ref="G123" authorId="0" shapeId="0">
      <text>
        <r>
          <rPr>
            <sz val="10"/>
            <color rgb="FF000000"/>
            <rFont val="Arial"/>
            <family val="2"/>
          </rPr>
          <t>A name given to the model equation</t>
        </r>
      </text>
    </comment>
    <comment ref="G124" authorId="0" shapeId="0">
      <text>
        <r>
          <rPr>
            <sz val="10"/>
            <color rgb="FF000000"/>
            <rFont val="Arial"/>
            <family val="2"/>
          </rPr>
          <t>Information on that helps to categorize model equations</t>
        </r>
      </text>
    </comment>
    <comment ref="G128" authorId="0" shapeId="0">
      <text>
        <r>
          <rPr>
            <sz val="10"/>
            <color rgb="FF000000"/>
            <rFont val="Arial"/>
            <family val="2"/>
          </rPr>
          <t xml:space="preserve">Procedure used to fit the data to the model equation </t>
        </r>
      </text>
    </comment>
    <comment ref="G129" authorId="0" shapeId="0">
      <text>
        <r>
          <rPr>
            <sz val="10"/>
            <color rgb="FF000000"/>
            <rFont val="Arial"/>
            <family val="2"/>
          </rPr>
          <t>The pointer to the file that holds the software code (e.g. R-script)</t>
        </r>
      </text>
    </comment>
    <comment ref="E131" authorId="0" shapeId="0">
      <text>
        <r>
          <rPr>
            <sz val="10"/>
            <color rgb="FF000000"/>
            <rFont val="Arial"/>
            <family val="2"/>
          </rPr>
          <t xml:space="preserve">Procedure used to fit the data to the model equation </t>
        </r>
      </text>
    </comment>
  </commentList>
</comments>
</file>

<file path=xl/comments6.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General classification of the hazard for which the model applies</t>
        </r>
      </text>
    </comment>
    <comment ref="G37" authorId="0" shapeId="0">
      <text>
        <r>
          <rPr>
            <sz val="10"/>
            <color rgb="FF000000"/>
            <rFont val="Arial"/>
            <family val="2"/>
          </rPr>
          <t>Name of the hazard for which the model applies</t>
        </r>
      </text>
    </comment>
    <comment ref="L37" authorId="0" shapeId="0">
      <text>
        <r>
          <rPr>
            <sz val="10"/>
            <color rgb="FF000000"/>
            <rFont val="Arial"/>
            <family val="2"/>
          </rPr>
          <t>General classification of the hazard for which the model or data applies</t>
        </r>
      </text>
    </comment>
    <comment ref="M37" authorId="0" shapeId="0">
      <text>
        <r>
          <rPr>
            <sz val="10"/>
            <color rgb="FF000000"/>
            <rFont val="Arial"/>
            <family val="2"/>
          </rPr>
          <t>Name of the hazard for which the model or data applies</t>
        </r>
      </text>
    </comment>
    <comment ref="N37" authorId="0" shapeId="0">
      <text>
        <r>
          <rPr>
            <sz val="10"/>
            <color rgb="FF000000"/>
            <rFont val="Arial"/>
            <family val="2"/>
          </rPr>
          <t>Description of the hazard for which the model or data applies</t>
        </r>
      </text>
    </comment>
    <comment ref="O37" authorId="0" shapeId="0">
      <text>
        <r>
          <rPr>
            <sz val="10"/>
            <color rgb="FF000000"/>
            <rFont val="Arial"/>
            <family val="2"/>
          </rPr>
          <t>Unit of the hazard for which the model applies</t>
        </r>
      </text>
    </comment>
    <comment ref="P37" authorId="0" shapeId="0">
      <text>
        <r>
          <rPr>
            <sz val="10"/>
            <color rgb="FF000000"/>
            <rFont val="Arial"/>
            <family val="2"/>
          </rPr>
          <t>morbidity, mortality, effect</t>
        </r>
      </text>
    </comment>
    <comment ref="Q37" authorId="0" shapeId="0">
      <text>
        <r>
          <rPr>
            <sz val="10"/>
            <color rgb="FF000000"/>
            <rFont val="Arial"/>
            <family val="2"/>
          </rPr>
          <t>source of contamination, origin</t>
        </r>
      </text>
    </comment>
    <comment ref="R37" authorId="0" shapeId="0">
      <text>
        <r>
          <rPr>
            <sz val="10"/>
            <color rgb="FF000000"/>
            <rFont val="Arial"/>
            <family val="2"/>
          </rPr>
          <t>A dose or concentration that produces a predetermined change in response rate of an adverse effect (called the bench response or BMR) compared to background.</t>
        </r>
      </text>
    </comment>
    <comment ref="S37" authorId="0" shapeId="0">
      <text>
        <r>
          <rPr>
            <sz val="10"/>
            <color rgb="FF000000"/>
            <rFont val="Arial"/>
            <family val="2"/>
          </rPr>
          <t>International regulations and permissible maximum residue levels in food and drinking water</t>
        </r>
      </text>
    </comment>
    <comment ref="T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Y37" authorId="0" shapeId="0">
      <text>
        <r>
          <rPr>
            <sz val="10"/>
            <color rgb="FF000000"/>
            <rFont val="Arial"/>
            <family val="2"/>
          </rPr>
          <t>Define if the parameter reported is an individual residue/analyte, a summed residue definition or part of a sum a summed residue definition.</t>
        </r>
      </text>
    </comment>
    <comment ref="Z37" authorId="0" shapeId="0">
      <text>
        <r>
          <rPr>
            <sz val="10"/>
            <color rgb="FF000000"/>
            <rFont val="Arial"/>
            <family val="2"/>
          </rPr>
          <t>Name of the population for which the model or data applies</t>
        </r>
      </text>
    </comment>
    <comment ref="AA37" authorId="0" shapeId="0">
      <text>
        <r>
          <rPr>
            <sz val="10"/>
            <color rgb="FF000000"/>
            <rFont val="Arial"/>
            <family val="2"/>
          </rPr>
          <t>population of individual that we are interested in describing and making statistical inferences about</t>
        </r>
      </text>
    </comment>
    <comment ref="AB37" authorId="0" shapeId="0">
      <text>
        <r>
          <rPr>
            <sz val="10"/>
            <color rgb="FF000000"/>
            <rFont val="Arial"/>
            <family val="2"/>
          </rPr>
          <t>Temporal information on the exposure duration</t>
        </r>
      </text>
    </comment>
    <comment ref="AC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family val="2"/>
          </rPr>
          <t>describe the range of age or group of age</t>
        </r>
      </text>
    </comment>
    <comment ref="AE37" authorId="0" shapeId="0">
      <text>
        <r>
          <rPr>
            <sz val="10"/>
            <color rgb="FF000000"/>
            <rFont val="Arial"/>
            <family val="2"/>
          </rPr>
          <t>describe the percentage of gender</t>
        </r>
      </text>
    </comment>
    <comment ref="AF37" authorId="0" shapeId="0">
      <text>
        <r>
          <rPr>
            <sz val="10"/>
            <color rgb="FF000000"/>
            <rFont val="Arial"/>
            <family val="2"/>
          </rPr>
          <t>describe the range of BMI or class of BMI or BMI mean</t>
        </r>
      </text>
    </comment>
    <comment ref="AG37" authorId="0" shapeId="0">
      <text>
        <r>
          <rPr>
            <sz val="10"/>
            <color rgb="FF000000"/>
            <rFont val="Arial"/>
            <family val="2"/>
          </rPr>
          <t>sub-population with special diets (vegetarians, diabetics, group following special ethnic diets)</t>
        </r>
      </text>
    </comment>
    <comment ref="AH37" authorId="0" shapeId="0">
      <text>
        <r>
          <rPr>
            <sz val="10"/>
            <color rgb="FF000000"/>
            <rFont val="Arial"/>
            <family val="2"/>
          </rPr>
          <t>describe the consumption of different food items: frequency, portion size</t>
        </r>
      </text>
    </comment>
    <comment ref="AI37" authorId="0" shapeId="0">
      <text>
        <r>
          <rPr>
            <sz val="10"/>
            <color rgb="FF000000"/>
            <rFont val="Arial"/>
            <family val="2"/>
          </rPr>
          <t>Spatial information (area) on which the population group of the model or data applies</t>
        </r>
      </text>
    </comment>
    <comment ref="AJ37" authorId="0" shapeId="0">
      <text>
        <r>
          <rPr>
            <sz val="10"/>
            <color rgb="FF000000"/>
            <rFont val="Arial"/>
            <family val="2"/>
          </rPr>
          <t>Country on which the population group of the model or data applies</t>
        </r>
      </text>
    </comment>
    <comment ref="AK37" authorId="0" shapeId="0">
      <text>
        <r>
          <rPr>
            <sz val="10"/>
            <color rgb="FF000000"/>
            <rFont val="Arial"/>
            <family val="2"/>
          </rPr>
          <t>distribution of surveyed people according to the season (influence consumption pattern)</t>
        </r>
      </text>
    </comment>
    <comment ref="AL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Description of the hazard for which the model applies</t>
        </r>
      </text>
    </comment>
    <comment ref="G39" authorId="0" shapeId="0">
      <text>
        <r>
          <rPr>
            <sz val="10"/>
            <color rgb="FF000000"/>
            <rFont val="Arial"/>
            <family val="2"/>
          </rPr>
          <t>Unit of the hazard for which the model applies</t>
        </r>
      </text>
    </comment>
    <comment ref="G40" authorId="0" shapeId="0">
      <text>
        <r>
          <rPr>
            <sz val="10"/>
            <color rgb="FF000000"/>
            <rFont val="Arial"/>
            <family val="2"/>
          </rPr>
          <t>morbidity, mortality, effect</t>
        </r>
      </text>
    </comment>
    <comment ref="G41" authorId="0" shapeId="0">
      <text>
        <r>
          <rPr>
            <sz val="10"/>
            <color rgb="FF000000"/>
            <rFont val="Arial"/>
            <family val="2"/>
          </rPr>
          <t>source of contamination, origin</t>
        </r>
      </text>
    </comment>
    <comment ref="G42" authorId="0" shapeId="0">
      <text>
        <r>
          <rPr>
            <sz val="10"/>
            <color rgb="FF000000"/>
            <rFont val="Arial"/>
            <family val="2"/>
          </rPr>
          <t>A dose or concentration that produces a predetermined change in response rate of an adverse effect (called the bench response or BMR) compared to background.</t>
        </r>
      </text>
    </comment>
    <comment ref="G43" authorId="0" shapeId="0">
      <text>
        <r>
          <rPr>
            <sz val="10"/>
            <color rgb="FF000000"/>
            <rFont val="Arial"/>
            <family val="2"/>
          </rPr>
          <t>International regulations and permissible maximum residue levels in food and drinking water</t>
        </r>
      </text>
    </comment>
    <comment ref="G44"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49" authorId="0" shapeId="0">
      <text>
        <r>
          <rPr>
            <sz val="10"/>
            <color rgb="FF000000"/>
            <rFont val="Arial"/>
            <family val="2"/>
          </rPr>
          <t>Define if the parameter reported is an individual residue/analyte, a summed residue definition or part of a sum a summed residue definition.</t>
        </r>
      </text>
    </comment>
    <comment ref="G50" authorId="0" shapeId="0">
      <text>
        <r>
          <rPr>
            <sz val="10"/>
            <color rgb="FF000000"/>
            <rFont val="Arial"/>
            <family val="2"/>
          </rPr>
          <t>Name of the population for which the model or data applies</t>
        </r>
      </text>
    </comment>
    <comment ref="G51" authorId="0" shapeId="0">
      <text>
        <r>
          <rPr>
            <sz val="10"/>
            <color rgb="FF000000"/>
            <rFont val="Arial"/>
            <family val="2"/>
          </rPr>
          <t>population of individual that we are interested in describing and making statistical inferences about</t>
        </r>
      </text>
    </comment>
    <comment ref="G52" authorId="0" shapeId="0">
      <text>
        <r>
          <rPr>
            <sz val="10"/>
            <color rgb="FF000000"/>
            <rFont val="Arial"/>
            <family val="2"/>
          </rPr>
          <t>Temporal information on the exposure duration</t>
        </r>
      </text>
    </comment>
    <comment ref="G53"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family val="2"/>
          </rPr>
          <t>describe the range of age or group of age</t>
        </r>
      </text>
    </comment>
    <comment ref="G55" authorId="0" shapeId="0">
      <text>
        <r>
          <rPr>
            <sz val="10"/>
            <color rgb="FF000000"/>
            <rFont val="Arial"/>
            <family val="2"/>
          </rPr>
          <t>describe the percentage of gender</t>
        </r>
      </text>
    </comment>
    <comment ref="G56" authorId="0" shapeId="0">
      <text>
        <r>
          <rPr>
            <sz val="10"/>
            <color rgb="FF000000"/>
            <rFont val="Arial"/>
            <family val="2"/>
          </rPr>
          <t>describe the range of BMI or class of BMI or BMI mean</t>
        </r>
      </text>
    </comment>
    <comment ref="G57" authorId="0" shapeId="0">
      <text>
        <r>
          <rPr>
            <sz val="10"/>
            <color rgb="FF000000"/>
            <rFont val="Arial"/>
            <family val="2"/>
          </rPr>
          <t>sub-population with special diets (vegetarians, diabetics, group following special ethnic diets)</t>
        </r>
      </text>
    </comment>
    <comment ref="G58" authorId="0" shapeId="0">
      <text>
        <r>
          <rPr>
            <sz val="10"/>
            <color rgb="FF000000"/>
            <rFont val="Arial"/>
            <family val="2"/>
          </rPr>
          <t>describe the consumption of different food items: frequency, portion size</t>
        </r>
      </text>
    </comment>
    <comment ref="G59" authorId="0" shapeId="0">
      <text>
        <r>
          <rPr>
            <sz val="10"/>
            <color rgb="FF000000"/>
            <rFont val="Arial"/>
            <family val="2"/>
          </rPr>
          <t>Spatial information (area) on which the population group of the model applies</t>
        </r>
      </text>
    </comment>
    <comment ref="G60" authorId="0" shapeId="0">
      <text>
        <r>
          <rPr>
            <sz val="10"/>
            <color rgb="FF000000"/>
            <rFont val="Arial"/>
            <family val="2"/>
          </rPr>
          <t>Country on which the population group of the model applies</t>
        </r>
      </text>
    </comment>
    <comment ref="G61" authorId="0" shapeId="0">
      <text>
        <r>
          <rPr>
            <sz val="10"/>
            <color rgb="FF000000"/>
            <rFont val="Arial"/>
            <family val="2"/>
          </rPr>
          <t>distribution of surveyed people according to the season (influence consumption pattern)</t>
        </r>
      </text>
    </comment>
    <comment ref="G62" authorId="0" shapeId="0">
      <text>
        <r>
          <rPr>
            <sz val="10"/>
            <color rgb="FF000000"/>
            <rFont val="Arial"/>
            <family val="2"/>
          </rPr>
          <t>distribution of surveyed people according to the season (influence consumption pattern)</t>
        </r>
      </text>
    </comment>
    <comment ref="E63" authorId="0" shapeId="0">
      <text>
        <r>
          <rPr>
            <sz val="10"/>
            <color rgb="FF000000"/>
            <rFont val="Arial"/>
            <family val="2"/>
          </rPr>
          <t>General comments on the scope of the model</t>
        </r>
      </text>
    </comment>
    <comment ref="G64" authorId="0" shapeId="0">
      <text>
        <r>
          <rPr>
            <sz val="10"/>
            <color rgb="FF000000"/>
            <rFont val="Arial"/>
            <family val="2"/>
          </rPr>
          <t>Temporal information on which the model applies / An interval of time that is named or defined by its start and end dates (period of study)</t>
        </r>
      </text>
    </comment>
    <comment ref="G65" authorId="0" shapeId="0">
      <text>
        <r>
          <rPr>
            <sz val="10"/>
            <color rgb="FF000000"/>
            <rFont val="Arial"/>
            <family val="2"/>
          </rPr>
          <t>Spatial information (area) on which the model applies</t>
        </r>
      </text>
    </comment>
    <comment ref="G66" authorId="0" shapeId="0">
      <text>
        <r>
          <rPr>
            <sz val="10"/>
            <color rgb="FF000000"/>
            <rFont val="Arial"/>
            <family val="2"/>
          </rPr>
          <t>Country on which the model applies</t>
        </r>
      </text>
    </comment>
    <comment ref="G67" authorId="0" shapeId="0">
      <text>
        <r>
          <rPr>
            <sz val="10"/>
            <color rgb="FF000000"/>
            <rFont val="Arial"/>
            <family val="2"/>
          </rPr>
          <t>A user defined identifier for the study</t>
        </r>
      </text>
    </comment>
    <comment ref="G68" authorId="0" shapeId="0">
      <text>
        <r>
          <rPr>
            <sz val="10"/>
            <color rgb="FF000000"/>
            <rFont val="Arial"/>
            <family val="2"/>
          </rPr>
          <t>A title for the Study.</t>
        </r>
      </text>
    </comment>
    <comment ref="G69" authorId="0" shapeId="0">
      <text>
        <r>
          <rPr>
            <sz val="10"/>
            <color rgb="FF000000"/>
            <rFont val="Arial"/>
            <family val="2"/>
          </rPr>
          <t>A brief description of the study aims.</t>
        </r>
      </text>
    </comment>
    <comment ref="G70" authorId="0" shapeId="0">
      <text>
        <r>
          <rPr>
            <sz val="10"/>
            <color rgb="FF000000"/>
            <rFont val="Arial"/>
            <family val="2"/>
          </rPr>
          <t>The type of study design being employed</t>
        </r>
      </text>
    </comment>
    <comment ref="G71" authorId="0" shapeId="0">
      <text>
        <r>
          <rPr>
            <sz val="10"/>
            <color rgb="FF000000"/>
            <rFont val="Arial"/>
            <family val="2"/>
          </rPr>
          <t>The measurement being observed in this assay</t>
        </r>
      </text>
    </comment>
    <comment ref="G72" authorId="0" shapeId="0">
      <text>
        <r>
          <rPr>
            <sz val="10"/>
            <color rgb="FF000000"/>
            <rFont val="Arial"/>
            <family val="2"/>
          </rPr>
          <t>The technology being employed to observe this measurement</t>
        </r>
      </text>
    </comment>
    <comment ref="G73" authorId="0" shapeId="0">
      <text>
        <r>
          <rPr>
            <sz val="10"/>
            <color rgb="FF000000"/>
            <rFont val="Arial"/>
            <family val="2"/>
          </rPr>
          <t>The technology platform used</t>
        </r>
      </text>
    </comment>
    <comment ref="G74" authorId="0" shapeId="0">
      <text>
        <r>
          <rPr>
            <sz val="10"/>
            <color rgb="FF000000"/>
            <rFont val="Arial"/>
            <family val="2"/>
          </rPr>
          <t>Accreditation procedure for the analytical method used</t>
        </r>
      </text>
    </comment>
    <comment ref="G75" authorId="0" shapeId="0">
      <text>
        <r>
          <rPr>
            <sz val="10"/>
            <color rgb="FF000000"/>
            <rFont val="Arial"/>
            <family val="2"/>
          </rPr>
          <t>The name of the protocol, e.g.Extraction Protocol</t>
        </r>
      </text>
    </comment>
    <comment ref="G76" authorId="0" shapeId="0">
      <text>
        <r>
          <rPr>
            <sz val="10"/>
            <color rgb="FF000000"/>
            <rFont val="Arial"/>
            <family val="2"/>
          </rPr>
          <t>The type of the protocol, preferably coming from an Ontology, e.g. Extraction Protocol</t>
        </r>
      </text>
    </comment>
    <comment ref="G77" authorId="0" shapeId="0">
      <text>
        <r>
          <rPr>
            <sz val="10"/>
            <color rgb="FF000000"/>
            <rFont val="Arial"/>
            <family val="2"/>
          </rPr>
          <t>A description of the Protocol.</t>
        </r>
      </text>
    </comment>
    <comment ref="G78" authorId="0" shapeId="0">
      <text>
        <r>
          <rPr>
            <sz val="10"/>
            <color rgb="FF000000"/>
            <rFont val="Arial"/>
            <family val="2"/>
          </rPr>
          <t>A URI to link out to a publication, web page, etc. describing the protocol.</t>
        </r>
      </text>
    </comment>
    <comment ref="G79" authorId="0" shapeId="0">
      <text>
        <r>
          <rPr>
            <sz val="10"/>
            <color rgb="FF000000"/>
            <rFont val="Arial"/>
            <family val="2"/>
          </rPr>
          <t>The version of the protocol used, where applicable.</t>
        </r>
      </text>
    </comment>
    <comment ref="G80" authorId="0" shapeId="0">
      <text>
        <r>
          <rPr>
            <sz val="10"/>
            <color rgb="FF000000"/>
            <rFont val="Arial"/>
            <family val="2"/>
          </rPr>
          <t>The parameters used when executing this protocol.</t>
        </r>
      </text>
    </comment>
    <comment ref="G81" authorId="0" shapeId="0">
      <text>
        <r>
          <rPr>
            <sz val="10"/>
            <color rgb="FF000000"/>
            <rFont val="Arial"/>
            <family val="2"/>
          </rPr>
          <t>The components used when carrying out this protocol.</t>
        </r>
      </text>
    </comment>
    <comment ref="G83" authorId="0" shapeId="0">
      <text>
        <r>
          <rPr>
            <sz val="10"/>
            <color rgb="FF000000"/>
            <rFont val="Arial"/>
            <family val="2"/>
          </rPr>
          <t>An unambiguous ID given to the samples used in the assay</t>
        </r>
      </text>
    </comment>
    <comment ref="G84" authorId="0" shapeId="0">
      <text>
        <r>
          <rPr>
            <sz val="10"/>
            <color rgb="FF000000"/>
            <rFont val="Arial"/>
            <family val="2"/>
          </rPr>
          <t>Additional protocol for sample and sample collection. Corresponds to the Protocol REF in ISA</t>
        </r>
      </text>
    </comment>
    <comment ref="L84" authorId="0" shapeId="0">
      <text>
        <r>
          <rPr>
            <sz val="10"/>
            <color rgb="FF000000"/>
            <rFont val="Arial"/>
            <family val="2"/>
          </rPr>
          <t>An unambiguous ID given to the samples used in the assay</t>
        </r>
      </text>
    </comment>
    <comment ref="M84" authorId="0" shapeId="0">
      <text>
        <r>
          <rPr>
            <sz val="10"/>
            <color rgb="FF000000"/>
            <rFont val="Arial"/>
            <family val="2"/>
          </rPr>
          <t>Additional protocol for sample and sample collection. Corresponds to the Protocol REF in ISA</t>
        </r>
      </text>
    </comment>
    <comment ref="N84" authorId="0" shapeId="0">
      <text>
        <r>
          <rPr>
            <sz val="10"/>
            <color rgb="FF000000"/>
            <rFont val="Arial"/>
            <family val="2"/>
          </rPr>
          <t>Sampling strategy (ref. EUROSTAT - Typology of sampling strategy, version of July 2009)</t>
        </r>
      </text>
    </comment>
    <comment ref="O84" authorId="0" shapeId="0">
      <text>
        <r>
          <rPr>
            <sz val="10"/>
            <color rgb="FF000000"/>
            <rFont val="Arial"/>
            <family val="2"/>
          </rPr>
          <t>Indicate the type programme for which the samples have been collected.</t>
        </r>
      </text>
    </comment>
    <comment ref="P84" authorId="0" shapeId="0">
      <text>
        <r>
          <rPr>
            <sz val="10"/>
            <color rgb="FF000000"/>
            <rFont val="Arial"/>
            <family val="2"/>
          </rPr>
          <t>Sampling method used to take the sample</t>
        </r>
      </text>
    </comment>
    <comment ref="Q84" authorId="0" shapeId="0">
      <text>
        <r>
          <rPr>
            <sz val="10"/>
            <color rgb="FF000000"/>
            <rFont val="Arial"/>
            <family val="2"/>
          </rPr>
          <t>description of data collection technique: stratified or complex sampling (several stages)</t>
        </r>
      </text>
    </comment>
    <comment ref="R84" authorId="0" shapeId="0">
      <text>
        <r>
          <rPr>
            <sz val="10"/>
            <color rgb="FF000000"/>
            <rFont val="Arial"/>
            <family val="2"/>
          </rPr>
          <t>description of the method employed to compute sampling weight (nonresponse-adjusted weight)</t>
        </r>
      </text>
    </comment>
    <comment ref="S84" authorId="0" shapeId="0">
      <text>
        <r>
          <rPr>
            <sz val="10"/>
            <color rgb="FF000000"/>
            <rFont val="Arial"/>
            <family val="2"/>
          </rPr>
          <t>number of units, full participants, partial participants, eligibles, not eligible, unresolved (eligibility status not resolved)…</t>
        </r>
      </text>
    </comment>
    <comment ref="T84" authorId="0" shapeId="0">
      <text>
        <r>
          <rPr>
            <sz val="10"/>
            <color rgb="FF000000"/>
            <rFont val="Arial"/>
            <family val="2"/>
          </rPr>
          <t>Unit in which the lot size is expressed.</t>
        </r>
      </text>
    </comment>
    <comment ref="U84" authorId="0" shapeId="0">
      <text>
        <r>
          <rPr>
            <sz val="10"/>
            <color rgb="FF000000"/>
            <rFont val="Arial"/>
            <family val="2"/>
          </rPr>
          <t>Point in the food chain where the sample was taken. (Doc. ESTAT/F5/ES/155 “Data dictionary of activities of the establishments”).</t>
        </r>
      </text>
    </comment>
    <comment ref="G85" authorId="0" shapeId="0">
      <text>
        <r>
          <rPr>
            <sz val="10"/>
            <color rgb="FF000000"/>
            <rFont val="Arial"/>
            <family val="2"/>
          </rPr>
          <t>Sampling strategy (ref. EUROSTAT - Typology of sampling strategy, version of July 2009)</t>
        </r>
      </text>
    </comment>
    <comment ref="G86" authorId="0" shapeId="0">
      <text>
        <r>
          <rPr>
            <sz val="10"/>
            <color rgb="FF000000"/>
            <rFont val="Arial"/>
            <family val="2"/>
          </rPr>
          <t>Indicate the type programme for which the samples have been collected.</t>
        </r>
      </text>
    </comment>
    <comment ref="G87" authorId="0" shapeId="0">
      <text>
        <r>
          <rPr>
            <sz val="10"/>
            <color rgb="FF000000"/>
            <rFont val="Arial"/>
            <family val="2"/>
          </rPr>
          <t>Sampling method used to take the sample</t>
        </r>
      </text>
    </comment>
    <comment ref="G88" authorId="0" shapeId="0">
      <text>
        <r>
          <rPr>
            <sz val="10"/>
            <color rgb="FF000000"/>
            <rFont val="Arial"/>
            <family val="2"/>
          </rPr>
          <t>description of data collection technique: stratified or complex sampling (several stages)</t>
        </r>
      </text>
    </comment>
    <comment ref="G89" authorId="0" shapeId="0">
      <text>
        <r>
          <rPr>
            <sz val="10"/>
            <color rgb="FF000000"/>
            <rFont val="Arial"/>
            <family val="2"/>
          </rPr>
          <t>description of the method employed to compute sampling weight (nonresponse-adjusted weight)</t>
        </r>
      </text>
    </comment>
    <comment ref="G90" authorId="0" shapeId="0">
      <text>
        <r>
          <rPr>
            <sz val="10"/>
            <color rgb="FF000000"/>
            <rFont val="Arial"/>
            <family val="2"/>
          </rPr>
          <t>number of units, full participants, partial participants, eligibles, not eligible, unresolved (eligibility status not resolved)…</t>
        </r>
      </text>
    </comment>
    <comment ref="P90" authorId="0" shapeId="0">
      <text>
        <r>
          <rPr>
            <sz val="10"/>
            <color rgb="FF000000"/>
            <rFont val="Arial"/>
            <family val="2"/>
          </rPr>
          <t>Definition of time-dependent parameter changes</t>
        </r>
      </text>
    </comment>
    <comment ref="G91" authorId="0" shapeId="0">
      <text>
        <r>
          <rPr>
            <sz val="10"/>
            <color rgb="FF000000"/>
            <rFont val="Arial"/>
            <family val="2"/>
          </rPr>
          <t>Unit in which the lot size is expressed.</t>
        </r>
      </text>
    </comment>
    <comment ref="L91" authorId="0" shapeId="0">
      <text>
        <r>
          <rPr>
            <sz val="10"/>
            <color rgb="FF000000"/>
            <rFont val="Arial"/>
            <family val="2"/>
          </rPr>
          <t>The laboratory accreditation to ISO/IEC 17025.</t>
        </r>
      </text>
    </comment>
    <comment ref="M91" authorId="0" shapeId="0">
      <text>
        <r>
          <rPr>
            <sz val="10"/>
            <color rgb="FF000000"/>
            <rFont val="Arial"/>
            <family val="2"/>
          </rPr>
          <t>Laboratory code (National laboratory code if available) or Laboratory name</t>
        </r>
      </text>
    </comment>
    <comment ref="N91" authorId="0" shapeId="0">
      <text>
        <r>
          <rPr>
            <sz val="10"/>
            <color rgb="FF000000"/>
            <rFont val="Arial"/>
            <family val="2"/>
          </rPr>
          <t>Country where the laboratory is placed. (ISO 3166-1-alpha-2).</t>
        </r>
      </text>
    </comment>
    <comment ref="G92" authorId="0" shapeId="0">
      <text>
        <r>
          <rPr>
            <sz val="10"/>
            <color rgb="FF000000"/>
            <rFont val="Arial"/>
            <family val="2"/>
          </rPr>
          <t>Point in the food chain where the sample was taken. (Doc. ESTAT/F5/ES/155 “Data dictionary of activities of the establishments”).</t>
        </r>
      </text>
    </comment>
    <comment ref="G93" authorId="0" shapeId="0">
      <text>
        <r>
          <rPr>
            <sz val="10"/>
            <color rgb="FF000000"/>
            <rFont val="Arial"/>
            <family val="2"/>
          </rPr>
          <t>The laboratory accreditation to ISO/IEC 17025.</t>
        </r>
      </text>
    </comment>
    <comment ref="G94" authorId="0" shapeId="0">
      <text>
        <r>
          <rPr>
            <sz val="10"/>
            <color rgb="FF000000"/>
            <rFont val="Arial"/>
            <family val="2"/>
          </rPr>
          <t>Laboratory code (National laboratory code if available) or Laboratory name</t>
        </r>
      </text>
    </comment>
    <comment ref="G95" authorId="0" shapeId="0">
      <text>
        <r>
          <rPr>
            <sz val="10"/>
            <color rgb="FF000000"/>
            <rFont val="Arial"/>
            <family val="2"/>
          </rPr>
          <t>Country where the laboratory is placed. (ISO 3166-1-alpha-2).</t>
        </r>
      </text>
    </comment>
    <comment ref="G96" authorId="0" shapeId="0">
      <text>
        <r>
          <rPr>
            <sz val="10"/>
            <color rgb="FF000000"/>
            <rFont val="Arial"/>
            <family val="2"/>
          </rPr>
          <t>A name given to the assay</t>
        </r>
      </text>
    </comment>
    <comment ref="G97" authorId="0" shapeId="0">
      <text>
        <r>
          <rPr>
            <sz val="10"/>
            <color rgb="FF000000"/>
            <rFont val="Arial"/>
            <family val="2"/>
          </rPr>
          <t>General description of the assay. Corresponds to the Protocol REF in ISA</t>
        </r>
      </text>
    </comment>
    <comment ref="G98" authorId="0" shapeId="0">
      <text>
        <r>
          <rPr>
            <sz val="10"/>
            <color rgb="FF000000"/>
            <rFont val="Arial"/>
            <family val="2"/>
          </rPr>
          <t>Percentage of moisture in the original sample</t>
        </r>
      </text>
    </comment>
    <comment ref="G99" authorId="0" shapeId="0">
      <text>
        <r>
          <rPr>
            <sz val="10"/>
            <color rgb="FF000000"/>
            <rFont val="Arial"/>
            <family val="2"/>
          </rPr>
          <t>Percentage of fat in the original sample</t>
        </r>
      </text>
    </comment>
    <comment ref="G100" authorId="0" shapeId="0">
      <text>
        <r>
          <rPr>
            <sz val="10"/>
            <color rgb="FF000000"/>
            <rFont val="Arial"/>
            <family val="2"/>
          </rPr>
          <t>Limit of detection reported in the unit specified by the variable “Hazard unit”.</t>
        </r>
      </text>
    </comment>
    <comment ref="G101" authorId="0" shapeId="0">
      <text>
        <r>
          <rPr>
            <sz val="10"/>
            <color rgb="FF000000"/>
            <rFont val="Arial"/>
            <family val="2"/>
          </rPr>
          <t>Limit of quantification reported in the unit specified by the variable “Hazard unit”</t>
        </r>
      </text>
    </comment>
    <comment ref="G102" authorId="0" shapeId="0">
      <text>
        <r>
          <rPr>
            <sz val="10"/>
            <color rgb="FF000000"/>
            <rFont val="Arial"/>
            <family val="2"/>
          </rPr>
          <t>percentage of measures equal to LOQ and/or LOD</t>
        </r>
      </text>
    </comment>
    <comment ref="G103" authorId="0" shapeId="0">
      <text>
        <r>
          <rPr>
            <sz val="10"/>
            <color rgb="FF000000"/>
            <rFont val="Arial"/>
            <family val="2"/>
          </rPr>
          <t>Range of result of the analytical measure reported in the unit specified by the variable “Hazard unit”</t>
        </r>
      </text>
    </comment>
    <comment ref="G104" authorId="0" shapeId="0">
      <text>
        <r>
          <rPr>
            <sz val="10"/>
            <color rgb="FF000000"/>
            <rFont val="Arial"/>
            <family val="2"/>
          </rPr>
          <t>Indicate the expanded uncertainty (usually 95% confidence interval) value associated with the measurement expressed in the unit reported in the field “Hazard unit”.</t>
        </r>
      </text>
    </comment>
    <comment ref="G105" authorId="0" shapeId="0">
      <text>
        <r>
          <rPr>
            <sz val="10"/>
            <color rgb="FF000000"/>
            <rFont val="Arial"/>
            <family val="2"/>
          </rPr>
          <t>An unambiguous and sequential ID given to the parameter. To be compatible with SBML, only letters from A to Z, numbers and "_" are acepted for ID creation.</t>
        </r>
      </text>
    </comment>
    <comment ref="M105" authorId="0" shapeId="0">
      <text>
        <r>
          <rPr>
            <sz val="10"/>
            <color rgb="FF000000"/>
            <rFont val="Arial"/>
            <family val="2"/>
          </rPr>
          <t>Statistical values calculated to describe the performance of the model fitting procedure</t>
        </r>
      </text>
    </comment>
    <comment ref="P105" authorId="0" shapeId="0">
      <text>
        <r>
          <rPr>
            <sz val="10"/>
            <color rgb="FF000000"/>
            <rFont val="Arial"/>
            <family val="2"/>
          </rPr>
          <t>A name given to the model equation</t>
        </r>
      </text>
    </comment>
    <comment ref="Q105" authorId="0" shapeId="0">
      <text>
        <r>
          <rPr>
            <sz val="10"/>
            <color rgb="FF000000"/>
            <rFont val="Arial"/>
            <family val="2"/>
          </rPr>
          <t>Information on that helps to categorize model equations</t>
        </r>
      </text>
    </comment>
    <comment ref="R105" authorId="0" shapeId="0">
      <text>
        <r>
          <rPr>
            <sz val="10"/>
            <color rgb="FF000000"/>
            <rFont val="Arial"/>
            <family val="2"/>
          </rPr>
          <t xml:space="preserve">Procedure used to fit the data to the model equation </t>
        </r>
      </text>
    </comment>
    <comment ref="S105" authorId="0" shapeId="0">
      <text>
        <r>
          <rPr>
            <sz val="10"/>
            <color rgb="FF000000"/>
            <rFont val="Arial"/>
            <family val="2"/>
          </rPr>
          <t>The pointer to the file that holds the software code (e.g. R-script)</t>
        </r>
      </text>
    </comment>
    <comment ref="G106" authorId="0" shapeId="0">
      <text>
        <r>
          <rPr>
            <sz val="10"/>
            <color rgb="FF000000"/>
            <rFont val="Arial"/>
            <family val="2"/>
          </rPr>
          <t>General classification of the parameter (e.g. Input, Constant, Output...)</t>
        </r>
      </text>
    </comment>
    <comment ref="G107" authorId="0" shapeId="0">
      <text>
        <r>
          <rPr>
            <sz val="10"/>
            <color rgb="FF000000"/>
            <rFont val="Arial"/>
            <family val="2"/>
          </rPr>
          <t>A name given to the parameter</t>
        </r>
      </text>
    </comment>
    <comment ref="G108" authorId="0" shapeId="0">
      <text>
        <r>
          <rPr>
            <sz val="10"/>
            <color rgb="FF000000"/>
            <rFont val="Arial"/>
            <family val="2"/>
          </rPr>
          <t>General description of the parameter</t>
        </r>
      </text>
    </comment>
    <comment ref="G109" authorId="0" shapeId="0">
      <text>
        <r>
          <rPr>
            <sz val="10"/>
            <color rgb="FF000000"/>
            <rFont val="Arial"/>
            <family val="2"/>
          </rPr>
          <t>Unit of the parameter</t>
        </r>
      </text>
    </comment>
    <comment ref="G110" authorId="0" shapeId="0">
      <text>
        <r>
          <rPr>
            <sz val="10"/>
            <color rgb="FF000000"/>
            <rFont val="Arial"/>
            <family val="2"/>
          </rPr>
          <t>General classification of the parameter unit</t>
        </r>
      </text>
    </comment>
    <comment ref="G111" authorId="0" shapeId="0">
      <text>
        <r>
          <rPr>
            <sz val="10"/>
            <color rgb="FF000000"/>
            <rFont val="Arial"/>
            <family val="2"/>
          </rPr>
          <t>Information on the data format of the parameter, e.g. if it is a categorial variable, int, double, array of size x,y,z</t>
        </r>
      </text>
    </comment>
    <comment ref="G112" authorId="0" shapeId="0">
      <text>
        <r>
          <rPr>
            <sz val="10"/>
            <color rgb="FF000000"/>
            <rFont val="Arial"/>
            <family val="2"/>
          </rPr>
          <t>Information on the type of knowledge used to define the parameter value</t>
        </r>
      </text>
    </comment>
    <comment ref="G113" authorId="0" shapeId="0">
      <text>
        <r>
          <rPr>
            <sz val="10"/>
            <color rgb="FF000000"/>
            <rFont val="Arial"/>
            <family val="2"/>
          </rPr>
          <t>Scope of the parameter, e.g. if it refers to an animal, a batch of animals, a batch of products, a carcass, a carcass skin etc</t>
        </r>
      </text>
    </comment>
    <comment ref="G114" authorId="0" shapeId="0">
      <text>
        <r>
          <rPr>
            <sz val="10"/>
            <color rgb="FF000000"/>
            <rFont val="Arial"/>
            <family val="2"/>
          </rPr>
          <t xml:space="preserve">Information on the distribution describing the parameter (e.g. variability, uncertainty, point estimate...) </t>
        </r>
      </text>
    </comment>
    <comment ref="K114"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15" authorId="0" shapeId="0">
      <text>
        <r>
          <rPr>
            <sz val="10"/>
            <color rgb="FF000000"/>
            <rFont val="Arial"/>
            <family val="2"/>
          </rPr>
          <t>An unambiguous and sequential ID given to the parameter. To be compatible with SBML, only letters from A to Z, numbers and "_" are acepted for ID creation.</t>
        </r>
      </text>
    </comment>
    <comment ref="M115" authorId="0" shapeId="0">
      <text>
        <r>
          <rPr>
            <sz val="10"/>
            <color rgb="FF000000"/>
            <rFont val="Arial"/>
            <family val="2"/>
          </rPr>
          <t>General classification of the parameter (e.g. Input, Constant, Output...)</t>
        </r>
      </text>
    </comment>
    <comment ref="N115" authorId="0" shapeId="0">
      <text>
        <r>
          <rPr>
            <sz val="10"/>
            <color rgb="FF000000"/>
            <rFont val="Arial"/>
            <family val="2"/>
          </rPr>
          <t>A name given to the parameter</t>
        </r>
      </text>
    </comment>
    <comment ref="O115" authorId="0" shapeId="0">
      <text>
        <r>
          <rPr>
            <sz val="10"/>
            <color rgb="FF000000"/>
            <rFont val="Arial"/>
            <family val="2"/>
          </rPr>
          <t>General description of the parameter</t>
        </r>
      </text>
    </comment>
    <comment ref="P115" authorId="0" shapeId="0">
      <text>
        <r>
          <rPr>
            <sz val="10"/>
            <color rgb="FF000000"/>
            <rFont val="Arial"/>
            <family val="2"/>
          </rPr>
          <t>Unit of the parameter</t>
        </r>
      </text>
    </comment>
    <comment ref="Q115" authorId="0" shapeId="0">
      <text>
        <r>
          <rPr>
            <sz val="10"/>
            <color rgb="FF000000"/>
            <rFont val="Arial"/>
            <family val="2"/>
          </rPr>
          <t>General classification of the parameter unit</t>
        </r>
      </text>
    </comment>
    <comment ref="R115" authorId="0" shapeId="0">
      <text>
        <r>
          <rPr>
            <sz val="10"/>
            <color rgb="FF000000"/>
            <rFont val="Arial"/>
            <family val="2"/>
          </rPr>
          <t>Information on the data format of the parameter, e.g. if it is a categorial variable, int, double, array of size x,y,z</t>
        </r>
      </text>
    </comment>
    <comment ref="S115" authorId="0" shapeId="0">
      <text>
        <r>
          <rPr>
            <sz val="10"/>
            <color rgb="FF000000"/>
            <rFont val="Arial"/>
            <family val="2"/>
          </rPr>
          <t>Information on the type of knowledge used to define the parameter value</t>
        </r>
      </text>
    </comment>
    <comment ref="T115" authorId="0" shapeId="0">
      <text>
        <r>
          <rPr>
            <sz val="10"/>
            <color rgb="FF000000"/>
            <rFont val="Arial"/>
            <family val="2"/>
          </rPr>
          <t>Scope of the parameter, e.g. if it refers to an animal, a batch of animals, a batch of products, a carcass, a carcass skin etc</t>
        </r>
      </text>
    </comment>
    <comment ref="U115"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15"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family val="2"/>
          </rPr>
          <t>Numerical values of the maximum  limit of the parameter that determine the range of applicability for which the model applies</t>
        </r>
      </text>
    </comment>
    <comment ref="Z115" authorId="0" shapeId="0">
      <text>
        <r>
          <rPr>
            <sz val="10"/>
            <color rgb="FF000000"/>
            <rFont val="Arial"/>
            <family val="2"/>
          </rPr>
          <t>Numerical values of the minimum limit of the parameter that determine the range of applicability for which the model appliesError of the parameter value</t>
        </r>
      </text>
    </comment>
    <comment ref="AA115" authorId="0" shapeId="0">
      <text>
        <r>
          <rPr>
            <sz val="10"/>
            <color rgb="FF000000"/>
            <rFont val="Arial"/>
            <family val="2"/>
          </rPr>
          <t>Error of the parameter value</t>
        </r>
      </text>
    </comment>
    <comment ref="G117"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family val="2"/>
          </rPr>
          <t>Numerical value of the maximum  limit of the parameter that determine the range of applicability for which the model applies</t>
        </r>
      </text>
    </comment>
    <comment ref="G121" authorId="0" shapeId="0">
      <text>
        <r>
          <rPr>
            <sz val="10"/>
            <color rgb="FF000000"/>
            <rFont val="Arial"/>
            <family val="2"/>
          </rPr>
          <t>Numerical value of the minimum  limit of the parameter that determine the range of applicability for which the model applies</t>
        </r>
      </text>
    </comment>
    <comment ref="G122" authorId="0" shapeId="0">
      <text>
        <r>
          <rPr>
            <sz val="10"/>
            <color rgb="FF000000"/>
            <rFont val="Arial"/>
            <family val="2"/>
          </rPr>
          <t>Error of the parameter value</t>
        </r>
      </text>
    </comment>
    <comment ref="G123" authorId="0" shapeId="0">
      <text>
        <r>
          <rPr>
            <sz val="10"/>
            <color rgb="FF000000"/>
            <rFont val="Arial"/>
            <family val="2"/>
          </rPr>
          <t>Statistical values calculated to describe the performance of the model fitting procedure</t>
        </r>
      </text>
    </comment>
    <comment ref="G125" authorId="0" shapeId="0">
      <text>
        <r>
          <rPr>
            <sz val="10"/>
            <color rgb="FF000000"/>
            <rFont val="Arial"/>
            <family val="2"/>
          </rPr>
          <t>A name given to the model equation</t>
        </r>
      </text>
    </comment>
    <comment ref="G126" authorId="0" shapeId="0">
      <text>
        <r>
          <rPr>
            <sz val="10"/>
            <color rgb="FF000000"/>
            <rFont val="Arial"/>
            <family val="2"/>
          </rPr>
          <t>Information on that helps to categorize model equations</t>
        </r>
      </text>
    </comment>
    <comment ref="G130" authorId="0" shapeId="0">
      <text>
        <r>
          <rPr>
            <sz val="10"/>
            <color rgb="FF000000"/>
            <rFont val="Arial"/>
            <family val="2"/>
          </rPr>
          <t xml:space="preserve">Procedure used to fit the data to the model equation </t>
        </r>
      </text>
    </comment>
    <comment ref="G131" authorId="0" shapeId="0">
      <text>
        <r>
          <rPr>
            <sz val="10"/>
            <color rgb="FF000000"/>
            <rFont val="Arial"/>
            <family val="2"/>
          </rPr>
          <t>The pointer to the file that holds the software code (e.g. R-script)</t>
        </r>
      </text>
    </comment>
    <comment ref="E133" authorId="0" shapeId="0">
      <text>
        <r>
          <rPr>
            <sz val="10"/>
            <color rgb="FF000000"/>
            <rFont val="Arial"/>
            <family val="2"/>
          </rPr>
          <t xml:space="preserve">Procedure used to fit the data to the model equation </t>
        </r>
      </text>
    </comment>
    <comment ref="G134" authorId="0" shapeId="0">
      <text>
        <r>
          <rPr>
            <sz val="10"/>
            <color rgb="FF000000"/>
            <rFont val="Arial"/>
            <family val="2"/>
          </rPr>
          <t>describe the mathematical method to replace left-censored data: recommandation of WHO (2013), distribution or ohters</t>
        </r>
      </text>
    </comment>
    <comment ref="G135" authorId="0" shapeId="0">
      <text>
        <r>
          <rPr>
            <sz val="10"/>
            <color rgb="FF000000"/>
            <rFont val="Arial"/>
            <family val="2"/>
          </rPr>
          <t>describe the range of of the level of contamination after left censored data treatment</t>
        </r>
      </text>
    </comment>
    <comment ref="G137" authorId="0" shapeId="0">
      <text>
        <r>
          <rPr>
            <sz val="10"/>
            <color rgb="FF000000"/>
            <rFont val="Arial"/>
            <family val="2"/>
          </rPr>
          <t>describe the different scenari of exposure assessment</t>
        </r>
      </text>
    </comment>
    <comment ref="G138" authorId="0" shapeId="0">
      <text>
        <r>
          <rPr>
            <sz val="10"/>
            <color rgb="FF000000"/>
            <rFont val="Arial"/>
            <family val="2"/>
          </rPr>
          <t>Analysis to estimate uncertainty</t>
        </r>
      </text>
    </comment>
    <comment ref="E139" authorId="0" shapeId="0">
      <text>
        <r>
          <rPr>
            <sz val="10"/>
            <color rgb="FF000000"/>
            <rFont val="Arial"/>
            <family val="2"/>
          </rPr>
          <t>Definition of time-dependent parameter changes</t>
        </r>
      </text>
    </comment>
  </commentList>
</comments>
</file>

<file path=xl/comments7.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L37" authorId="0" shapeId="0">
      <text>
        <r>
          <rPr>
            <sz val="10"/>
            <color rgb="FF000000"/>
            <rFont val="Arial"/>
            <family val="2"/>
          </rPr>
          <t>The product-matrix (animal, food product, matrix, lab media, etc.) for which the model applies</t>
        </r>
      </text>
    </comment>
    <comment ref="M37" authorId="0" shapeId="0">
      <text>
        <r>
          <rPr>
            <sz val="10"/>
            <color rgb="FF000000"/>
            <rFont val="Arial"/>
            <family val="2"/>
          </rPr>
          <t>Description of the product-matrix (animal, food product, matrix, lab media, etc.) for which the model applies</t>
        </r>
      </text>
    </comment>
    <comment ref="N37" authorId="0" shapeId="0">
      <text>
        <r>
          <rPr>
            <sz val="10"/>
            <color rgb="FF000000"/>
            <rFont val="Arial"/>
            <family val="2"/>
          </rPr>
          <t>Units of the product-matrix for which the model applies</t>
        </r>
      </text>
    </comment>
    <comment ref="O37" authorId="0" shapeId="0">
      <text>
        <r>
          <rPr>
            <sz val="10"/>
            <color rgb="FF000000"/>
            <rFont val="Arial"/>
            <family val="2"/>
          </rPr>
          <t>Type of production for the product/ matrix</t>
        </r>
      </text>
    </comment>
    <comment ref="P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family val="2"/>
          </rPr>
          <t>Used to characterise a product/matrix based on the treatment or processes applied to the product or any indexed ingredient.</t>
        </r>
      </text>
    </comment>
    <comment ref="R37" authorId="0" shapeId="0">
      <text>
        <r>
          <rPr>
            <sz val="10"/>
            <color rgb="FF000000"/>
            <rFont val="Arial"/>
            <family val="2"/>
          </rPr>
          <t>Country of origin of the food/product (ISO 3166-1-alpha-2 country code).</t>
        </r>
      </text>
    </comment>
    <comment ref="S37" authorId="0" shapeId="0">
      <text>
        <r>
          <rPr>
            <sz val="10"/>
            <color rgb="FF000000"/>
            <rFont val="Arial"/>
            <family val="2"/>
          </rPr>
          <t>Area of origin of the food/product (Nomenclature of territorial units for statistics – NUTS – coding system valid only for EEA and Switzerland).</t>
        </r>
      </text>
    </comment>
    <comment ref="T37" authorId="0" shapeId="0">
      <text>
        <r>
          <rPr>
            <sz val="10"/>
            <color rgb="FF000000"/>
            <rFont val="Arial"/>
            <family val="2"/>
          </rPr>
          <t>Fisheries or aquaculture area specifying the origin of the sample (FAO Fisheries areas).</t>
        </r>
      </text>
    </comment>
    <comment ref="U37" authorId="0" shapeId="0">
      <text>
        <r>
          <rPr>
            <sz val="10"/>
            <color rgb="FF000000"/>
            <rFont val="Arial"/>
            <family val="2"/>
          </rPr>
          <t>date of production of food/product</t>
        </r>
      </text>
    </comment>
    <comment ref="V37" authorId="0" shapeId="0">
      <text>
        <r>
          <rPr>
            <sz val="10"/>
            <color rgb="FF000000"/>
            <rFont val="Arial"/>
            <family val="2"/>
          </rPr>
          <t>date of expiry of food/product</t>
        </r>
      </text>
    </comment>
    <comment ref="W37" authorId="0" shapeId="0">
      <text>
        <r>
          <rPr>
            <sz val="10"/>
            <color rgb="FF000000"/>
            <rFont val="Arial"/>
            <family val="2"/>
          </rPr>
          <t>General classification of the hazard for which the model or data applies</t>
        </r>
      </text>
    </comment>
    <comment ref="X37" authorId="0" shapeId="0">
      <text>
        <r>
          <rPr>
            <sz val="10"/>
            <color rgb="FF000000"/>
            <rFont val="Arial"/>
            <family val="2"/>
          </rPr>
          <t>Name of the hazard for which the model or data applies</t>
        </r>
      </text>
    </comment>
    <comment ref="Y37" authorId="0" shapeId="0">
      <text>
        <r>
          <rPr>
            <sz val="10"/>
            <color rgb="FF000000"/>
            <rFont val="Arial"/>
            <family val="2"/>
          </rPr>
          <t>Description of the hazard for which the model or data applies</t>
        </r>
      </text>
    </comment>
    <comment ref="Z37" authorId="0" shapeId="0">
      <text>
        <r>
          <rPr>
            <sz val="10"/>
            <color rgb="FF000000"/>
            <rFont val="Arial"/>
            <family val="2"/>
          </rPr>
          <t>Unit of the hazard for which the model applies</t>
        </r>
      </text>
    </comment>
    <comment ref="AA37" authorId="0" shapeId="0">
      <text>
        <r>
          <rPr>
            <sz val="10"/>
            <color rgb="FF000000"/>
            <rFont val="Arial"/>
            <family val="2"/>
          </rPr>
          <t>morbidity, mortality, effect</t>
        </r>
      </text>
    </comment>
    <comment ref="AB37" authorId="0" shapeId="0">
      <text>
        <r>
          <rPr>
            <sz val="10"/>
            <color rgb="FF000000"/>
            <rFont val="Arial"/>
            <family val="2"/>
          </rPr>
          <t>source of contamination, origin</t>
        </r>
      </text>
    </comment>
    <comment ref="AC37" authorId="0" shapeId="0">
      <text>
        <r>
          <rPr>
            <sz val="10"/>
            <color rgb="FF000000"/>
            <rFont val="Arial"/>
            <family val="2"/>
          </rPr>
          <t>A dose or concentration that produces a predetermined change in response rate of an adverse effect (called the bench response or BMR) compared to background.</t>
        </r>
      </text>
    </comment>
    <comment ref="AD37" authorId="0" shapeId="0">
      <text>
        <r>
          <rPr>
            <sz val="10"/>
            <color rgb="FF000000"/>
            <rFont val="Arial"/>
            <family val="2"/>
          </rPr>
          <t>International regulations and permissible maximum residue levels in food and drinking water</t>
        </r>
      </text>
    </comment>
    <comment ref="AE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J37" authorId="0" shapeId="0">
      <text>
        <r>
          <rPr>
            <sz val="10"/>
            <color rgb="FF000000"/>
            <rFont val="Arial"/>
            <family val="2"/>
          </rPr>
          <t>Define if the parameter reported is an individual residue/analyte, a summed residue definition or part of a sum a summed residue definition.</t>
        </r>
      </text>
    </comment>
    <comment ref="AK37" authorId="0" shapeId="0">
      <text>
        <r>
          <rPr>
            <sz val="10"/>
            <color rgb="FF000000"/>
            <rFont val="Arial"/>
            <family val="2"/>
          </rPr>
          <t>Name of the population for which the model or data applies</t>
        </r>
      </text>
    </comment>
    <comment ref="AL37" authorId="0" shapeId="0">
      <text>
        <r>
          <rPr>
            <sz val="10"/>
            <color rgb="FF000000"/>
            <rFont val="Arial"/>
            <family val="2"/>
          </rPr>
          <t>population of individual that we are interested in describing and making statistical inferences about</t>
        </r>
      </text>
    </comment>
    <comment ref="AM37" authorId="0" shapeId="0">
      <text>
        <r>
          <rPr>
            <sz val="10"/>
            <color rgb="FF000000"/>
            <rFont val="Arial"/>
            <family val="2"/>
          </rPr>
          <t>Temporal information on the exposure duration</t>
        </r>
      </text>
    </comment>
    <comment ref="AN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family val="2"/>
          </rPr>
          <t>describe the range of age or group of age</t>
        </r>
      </text>
    </comment>
    <comment ref="AP37" authorId="0" shapeId="0">
      <text>
        <r>
          <rPr>
            <sz val="10"/>
            <color rgb="FF000000"/>
            <rFont val="Arial"/>
            <family val="2"/>
          </rPr>
          <t>describe the percentage of gender</t>
        </r>
      </text>
    </comment>
    <comment ref="AQ37" authorId="0" shapeId="0">
      <text>
        <r>
          <rPr>
            <sz val="10"/>
            <color rgb="FF000000"/>
            <rFont val="Arial"/>
            <family val="2"/>
          </rPr>
          <t>describe the range of BMI or class of BMI or BMI mean</t>
        </r>
      </text>
    </comment>
    <comment ref="AR37" authorId="0" shapeId="0">
      <text>
        <r>
          <rPr>
            <sz val="10"/>
            <color rgb="FF000000"/>
            <rFont val="Arial"/>
            <family val="2"/>
          </rPr>
          <t>sub-population with special diets (vegetarians, diabetics, group following special ethnic diets)</t>
        </r>
      </text>
    </comment>
    <comment ref="AS37" authorId="0" shapeId="0">
      <text>
        <r>
          <rPr>
            <sz val="10"/>
            <color rgb="FF000000"/>
            <rFont val="Arial"/>
            <family val="2"/>
          </rPr>
          <t>describe the consumption of different food items: frequency, portion size</t>
        </r>
      </text>
    </comment>
    <comment ref="AT37" authorId="0" shapeId="0">
      <text>
        <r>
          <rPr>
            <sz val="10"/>
            <color rgb="FF000000"/>
            <rFont val="Arial"/>
            <family val="2"/>
          </rPr>
          <t>Spatial information (area) on which the population group of the model or data applies</t>
        </r>
      </text>
    </comment>
    <comment ref="AU37" authorId="0" shapeId="0">
      <text>
        <r>
          <rPr>
            <sz val="10"/>
            <color rgb="FF000000"/>
            <rFont val="Arial"/>
            <family val="2"/>
          </rPr>
          <t>Country on which the population group of the model or data applies</t>
        </r>
      </text>
    </comment>
    <comment ref="AV37" authorId="0" shapeId="0">
      <text>
        <r>
          <rPr>
            <sz val="10"/>
            <color rgb="FF000000"/>
            <rFont val="Arial"/>
            <family val="2"/>
          </rPr>
          <t>distribution of surveyed people according to the season (influence consumption pattern)</t>
        </r>
      </text>
    </comment>
    <comment ref="AW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applies</t>
        </r>
      </text>
    </comment>
    <comment ref="G48" authorId="0" shapeId="0">
      <text>
        <r>
          <rPr>
            <sz val="10"/>
            <color rgb="FF000000"/>
            <rFont val="Arial"/>
            <family val="2"/>
          </rPr>
          <t>Name of the hazard for which the model applies</t>
        </r>
      </text>
    </comment>
    <comment ref="G49" authorId="0" shapeId="0">
      <text>
        <r>
          <rPr>
            <sz val="10"/>
            <color rgb="FF000000"/>
            <rFont val="Arial"/>
            <family val="2"/>
          </rPr>
          <t>Description of the hazard for which the model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G61" authorId="0" shapeId="0">
      <text>
        <r>
          <rPr>
            <sz val="10"/>
            <color rgb="FF000000"/>
            <rFont val="Arial"/>
            <family val="2"/>
          </rPr>
          <t>Name of the population for which the model applies</t>
        </r>
      </text>
    </comment>
    <comment ref="G62" authorId="0" shapeId="0">
      <text>
        <r>
          <rPr>
            <sz val="10"/>
            <color rgb="FF000000"/>
            <rFont val="Arial"/>
            <family val="2"/>
          </rPr>
          <t>population of individual that we are interested in describing and making statistical inferences about</t>
        </r>
      </text>
    </comment>
    <comment ref="G63" authorId="0" shapeId="0">
      <text>
        <r>
          <rPr>
            <sz val="10"/>
            <color rgb="FF000000"/>
            <rFont val="Arial"/>
            <family val="2"/>
          </rPr>
          <t>Temporal information on the exposure duration</t>
        </r>
      </text>
    </comment>
    <comment ref="G64"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family val="2"/>
          </rPr>
          <t>describe the range of age or group of age</t>
        </r>
      </text>
    </comment>
    <comment ref="G66" authorId="0" shapeId="0">
      <text>
        <r>
          <rPr>
            <sz val="10"/>
            <color rgb="FF000000"/>
            <rFont val="Arial"/>
            <family val="2"/>
          </rPr>
          <t>describe the percentage of gender</t>
        </r>
      </text>
    </comment>
    <comment ref="G67" authorId="0" shapeId="0">
      <text>
        <r>
          <rPr>
            <sz val="10"/>
            <color rgb="FF000000"/>
            <rFont val="Arial"/>
            <family val="2"/>
          </rPr>
          <t>describe the range of BMI or class of BMI or BMI mean</t>
        </r>
      </text>
    </comment>
    <comment ref="G68" authorId="0" shapeId="0">
      <text>
        <r>
          <rPr>
            <sz val="10"/>
            <color rgb="FF000000"/>
            <rFont val="Arial"/>
            <family val="2"/>
          </rPr>
          <t>sub-population with special diets (vegetarians, diabetics, group following special ethnic diets)</t>
        </r>
      </text>
    </comment>
    <comment ref="G69" authorId="0" shapeId="0">
      <text>
        <r>
          <rPr>
            <sz val="10"/>
            <color rgb="FF000000"/>
            <rFont val="Arial"/>
            <family val="2"/>
          </rPr>
          <t>describe the consumption of different food items: frequency, portion size</t>
        </r>
      </text>
    </comment>
    <comment ref="G70" authorId="0" shapeId="0">
      <text>
        <r>
          <rPr>
            <sz val="10"/>
            <color rgb="FF000000"/>
            <rFont val="Arial"/>
            <family val="2"/>
          </rPr>
          <t>Spatial information (area) on which the population group of the model or data applies</t>
        </r>
      </text>
    </comment>
    <comment ref="G71" authorId="0" shapeId="0">
      <text>
        <r>
          <rPr>
            <sz val="10"/>
            <color rgb="FF000000"/>
            <rFont val="Arial"/>
            <family val="2"/>
          </rPr>
          <t>Country on which the population group of the model or data applies</t>
        </r>
      </text>
    </comment>
    <comment ref="G72" authorId="0" shapeId="0">
      <text>
        <r>
          <rPr>
            <sz val="10"/>
            <color rgb="FF000000"/>
            <rFont val="Arial"/>
            <family val="2"/>
          </rPr>
          <t>distribution of surveyed people according to the season (influence consumption pattern)</t>
        </r>
      </text>
    </comment>
    <comment ref="G73" authorId="0" shapeId="0">
      <text>
        <r>
          <rPr>
            <sz val="10"/>
            <color rgb="FF000000"/>
            <rFont val="Arial"/>
            <family val="2"/>
          </rPr>
          <t>distribution of surveyed people according to the season (influence consumption pattern)</t>
        </r>
      </text>
    </comment>
    <comment ref="E74" authorId="0" shapeId="0">
      <text>
        <r>
          <rPr>
            <sz val="10"/>
            <color rgb="FF000000"/>
            <rFont val="Arial"/>
            <family val="2"/>
          </rPr>
          <t>General comments on the scope of the model</t>
        </r>
      </text>
    </comment>
    <comment ref="G75" authorId="0" shapeId="0">
      <text>
        <r>
          <rPr>
            <sz val="10"/>
            <color rgb="FF000000"/>
            <rFont val="Arial"/>
            <family val="2"/>
          </rPr>
          <t>Temporal information on which the model applies / An interval of time that is named or defined by its start and end dates (period of study)</t>
        </r>
      </text>
    </comment>
    <comment ref="G76" authorId="0" shapeId="0">
      <text>
        <r>
          <rPr>
            <sz val="10"/>
            <color rgb="FF000000"/>
            <rFont val="Arial"/>
            <family val="2"/>
          </rPr>
          <t>Spatial information (area) on which the model applies</t>
        </r>
      </text>
    </comment>
    <comment ref="G77" authorId="0" shapeId="0">
      <text>
        <r>
          <rPr>
            <sz val="10"/>
            <color rgb="FF000000"/>
            <rFont val="Arial"/>
            <family val="2"/>
          </rPr>
          <t>Country on which the model applies</t>
        </r>
      </text>
    </comment>
    <comment ref="G78" authorId="0" shapeId="0">
      <text>
        <r>
          <rPr>
            <sz val="10"/>
            <color rgb="FF000000"/>
            <rFont val="Arial"/>
            <family val="2"/>
          </rPr>
          <t>A user defined identifier for the study</t>
        </r>
      </text>
    </comment>
    <comment ref="G79" authorId="0" shapeId="0">
      <text>
        <r>
          <rPr>
            <sz val="10"/>
            <color rgb="FF000000"/>
            <rFont val="Arial"/>
            <family val="2"/>
          </rPr>
          <t>A title for the Study.</t>
        </r>
      </text>
    </comment>
    <comment ref="G80" authorId="0" shapeId="0">
      <text>
        <r>
          <rPr>
            <sz val="10"/>
            <color rgb="FF000000"/>
            <rFont val="Arial"/>
            <family val="2"/>
          </rPr>
          <t>A brief description of the study aims.</t>
        </r>
      </text>
    </comment>
    <comment ref="G81" authorId="0" shapeId="0">
      <text>
        <r>
          <rPr>
            <sz val="10"/>
            <color rgb="FF000000"/>
            <rFont val="Arial"/>
            <family val="2"/>
          </rPr>
          <t>The type of study design being employed</t>
        </r>
      </text>
    </comment>
    <comment ref="G82" authorId="0" shapeId="0">
      <text>
        <r>
          <rPr>
            <sz val="10"/>
            <color rgb="FF000000"/>
            <rFont val="Arial"/>
            <family val="2"/>
          </rPr>
          <t>The measurement being observed in this assay</t>
        </r>
      </text>
    </comment>
    <comment ref="G83" authorId="0" shapeId="0">
      <text>
        <r>
          <rPr>
            <sz val="10"/>
            <color rgb="FF000000"/>
            <rFont val="Arial"/>
            <family val="2"/>
          </rPr>
          <t>The technology being employed to observe this measurement</t>
        </r>
      </text>
    </comment>
    <comment ref="G84" authorId="0" shapeId="0">
      <text>
        <r>
          <rPr>
            <sz val="10"/>
            <color rgb="FF000000"/>
            <rFont val="Arial"/>
            <family val="2"/>
          </rPr>
          <t>The technology platform used</t>
        </r>
      </text>
    </comment>
    <comment ref="G85" authorId="0" shapeId="0">
      <text>
        <r>
          <rPr>
            <sz val="10"/>
            <color rgb="FF000000"/>
            <rFont val="Arial"/>
            <family val="2"/>
          </rPr>
          <t>Accreditation procedure for the analytical method used</t>
        </r>
      </text>
    </comment>
    <comment ref="G86" authorId="0" shapeId="0">
      <text>
        <r>
          <rPr>
            <sz val="10"/>
            <color rgb="FF000000"/>
            <rFont val="Arial"/>
            <family val="2"/>
          </rPr>
          <t>The name of the protocol, e.g.Extraction Protocol</t>
        </r>
      </text>
    </comment>
    <comment ref="G87" authorId="0" shapeId="0">
      <text>
        <r>
          <rPr>
            <sz val="10"/>
            <color rgb="FF000000"/>
            <rFont val="Arial"/>
            <family val="2"/>
          </rPr>
          <t>The type of the protocol, preferably coming from an Ontology, e.g. Extraction Protocol</t>
        </r>
      </text>
    </comment>
    <comment ref="G88" authorId="0" shapeId="0">
      <text>
        <r>
          <rPr>
            <sz val="10"/>
            <color rgb="FF000000"/>
            <rFont val="Arial"/>
            <family val="2"/>
          </rPr>
          <t>A description of the Protocol.</t>
        </r>
      </text>
    </comment>
    <comment ref="G89" authorId="0" shapeId="0">
      <text>
        <r>
          <rPr>
            <sz val="10"/>
            <color rgb="FF000000"/>
            <rFont val="Arial"/>
            <family val="2"/>
          </rPr>
          <t>A URI to link out to a publication, web page, etc. describing the protocol.</t>
        </r>
      </text>
    </comment>
    <comment ref="G90" authorId="0" shapeId="0">
      <text>
        <r>
          <rPr>
            <sz val="10"/>
            <color rgb="FF000000"/>
            <rFont val="Arial"/>
            <family val="2"/>
          </rPr>
          <t>The version of the protocol used, where applicable.</t>
        </r>
      </text>
    </comment>
    <comment ref="G91" authorId="0" shapeId="0">
      <text>
        <r>
          <rPr>
            <sz val="10"/>
            <color rgb="FF000000"/>
            <rFont val="Arial"/>
            <family val="2"/>
          </rPr>
          <t>The parameters used when executing this protocol.</t>
        </r>
      </text>
    </comment>
    <comment ref="G92" authorId="0" shapeId="0">
      <text>
        <r>
          <rPr>
            <sz val="10"/>
            <color rgb="FF000000"/>
            <rFont val="Arial"/>
            <family val="2"/>
          </rPr>
          <t>The components used when carrying out this protocol.</t>
        </r>
      </text>
    </comment>
    <comment ref="G94" authorId="0" shapeId="0">
      <text>
        <r>
          <rPr>
            <sz val="10"/>
            <color rgb="FF000000"/>
            <rFont val="Arial"/>
            <family val="2"/>
          </rPr>
          <t>An unambiguous ID given to the samples used in the assay</t>
        </r>
      </text>
    </comment>
    <comment ref="G95" authorId="0" shapeId="0">
      <text>
        <r>
          <rPr>
            <sz val="10"/>
            <color rgb="FF000000"/>
            <rFont val="Arial"/>
            <family val="2"/>
          </rPr>
          <t>Additional protocol for sample and sample collection. Corresponds to the Protocol REF in ISA</t>
        </r>
      </text>
    </comment>
    <comment ref="L95" authorId="0" shapeId="0">
      <text>
        <r>
          <rPr>
            <sz val="10"/>
            <color rgb="FF000000"/>
            <rFont val="Arial"/>
            <family val="2"/>
          </rPr>
          <t>An unambiguous ID given to the samples used in the assay</t>
        </r>
      </text>
    </comment>
    <comment ref="M95" authorId="0" shapeId="0">
      <text>
        <r>
          <rPr>
            <sz val="10"/>
            <color rgb="FF000000"/>
            <rFont val="Arial"/>
            <family val="2"/>
          </rPr>
          <t>Additional protocol for sample and sample collection. Corresponds to the Protocol REF in ISA</t>
        </r>
      </text>
    </comment>
    <comment ref="N95" authorId="0" shapeId="0">
      <text>
        <r>
          <rPr>
            <sz val="10"/>
            <color rgb="FF000000"/>
            <rFont val="Arial"/>
            <family val="2"/>
          </rPr>
          <t>Sampling strategy (ref. EUROSTAT - Typology of sampling strategy, version of July 2009)</t>
        </r>
      </text>
    </comment>
    <comment ref="O95" authorId="0" shapeId="0">
      <text>
        <r>
          <rPr>
            <sz val="10"/>
            <color rgb="FF000000"/>
            <rFont val="Arial"/>
            <family val="2"/>
          </rPr>
          <t>Indicate the type programme for which the samples have been collected.</t>
        </r>
      </text>
    </comment>
    <comment ref="P95" authorId="0" shapeId="0">
      <text>
        <r>
          <rPr>
            <sz val="10"/>
            <color rgb="FF000000"/>
            <rFont val="Arial"/>
            <family val="2"/>
          </rPr>
          <t>Sampling method used to take the sample</t>
        </r>
      </text>
    </comment>
    <comment ref="Q95" authorId="0" shapeId="0">
      <text>
        <r>
          <rPr>
            <sz val="10"/>
            <color rgb="FF000000"/>
            <rFont val="Arial"/>
            <family val="2"/>
          </rPr>
          <t>description of data collection technique: stratified or complex sampling (several stages)</t>
        </r>
      </text>
    </comment>
    <comment ref="R95" authorId="0" shapeId="0">
      <text>
        <r>
          <rPr>
            <sz val="10"/>
            <color rgb="FF000000"/>
            <rFont val="Arial"/>
            <family val="2"/>
          </rPr>
          <t>description of the method employed to compute sampling weight (nonresponse-adjusted weight)</t>
        </r>
      </text>
    </comment>
    <comment ref="S95" authorId="0" shapeId="0">
      <text>
        <r>
          <rPr>
            <sz val="10"/>
            <color rgb="FF000000"/>
            <rFont val="Arial"/>
            <family val="2"/>
          </rPr>
          <t>number of units, full participants, partial participants, eligibles, not eligible, unresolved (eligibility status not resolved)…</t>
        </r>
      </text>
    </comment>
    <comment ref="T95" authorId="0" shapeId="0">
      <text>
        <r>
          <rPr>
            <sz val="10"/>
            <color rgb="FF000000"/>
            <rFont val="Arial"/>
            <family val="2"/>
          </rPr>
          <t>Unit in which the lot size is expressed.</t>
        </r>
      </text>
    </comment>
    <comment ref="U95" authorId="0" shapeId="0">
      <text>
        <r>
          <rPr>
            <sz val="10"/>
            <color rgb="FF000000"/>
            <rFont val="Arial"/>
            <family val="2"/>
          </rPr>
          <t>Point in the food chain where the sample was taken. (Doc. ESTAT/F5/ES/155 “Data dictionary of activities of the establishments”).</t>
        </r>
      </text>
    </comment>
    <comment ref="G96" authorId="0" shapeId="0">
      <text>
        <r>
          <rPr>
            <sz val="10"/>
            <color rgb="FF000000"/>
            <rFont val="Arial"/>
            <family val="2"/>
          </rPr>
          <t>Sampling strategy (ref. EUROSTAT - Typology of sampling strategy, version of July 2009)</t>
        </r>
      </text>
    </comment>
    <comment ref="G97" authorId="0" shapeId="0">
      <text>
        <r>
          <rPr>
            <sz val="10"/>
            <color rgb="FF000000"/>
            <rFont val="Arial"/>
            <family val="2"/>
          </rPr>
          <t>Indicate the type programme for which the samples have been collected.</t>
        </r>
      </text>
    </comment>
    <comment ref="G98" authorId="0" shapeId="0">
      <text>
        <r>
          <rPr>
            <sz val="10"/>
            <color rgb="FF000000"/>
            <rFont val="Arial"/>
            <family val="2"/>
          </rPr>
          <t>Sampling method used to take the sample</t>
        </r>
      </text>
    </comment>
    <comment ref="G99" authorId="0" shapeId="0">
      <text>
        <r>
          <rPr>
            <sz val="10"/>
            <color rgb="FF000000"/>
            <rFont val="Arial"/>
            <family val="2"/>
          </rPr>
          <t>description of data collection technique: stratified or complex sampling (several stages)</t>
        </r>
      </text>
    </comment>
    <comment ref="G100" authorId="0" shapeId="0">
      <text>
        <r>
          <rPr>
            <sz val="10"/>
            <color rgb="FF000000"/>
            <rFont val="Arial"/>
            <family val="2"/>
          </rPr>
          <t>description of the method employed to compute sampling weight (nonresponse-adjusted weight)</t>
        </r>
      </text>
    </comment>
    <comment ref="G101" authorId="0" shapeId="0">
      <text>
        <r>
          <rPr>
            <sz val="10"/>
            <color rgb="FF000000"/>
            <rFont val="Arial"/>
            <family val="2"/>
          </rPr>
          <t>number of units, full participants, partial participants, eligibles, not eligible, unresolved (eligibility status not resolved)…</t>
        </r>
      </text>
    </comment>
    <comment ref="L101" authorId="0" shapeId="0">
      <text>
        <r>
          <rPr>
            <sz val="10"/>
            <color rgb="FF000000"/>
            <rFont val="Arial"/>
            <family val="2"/>
          </rPr>
          <t>food diaries, interview, 24-hour recall interview, food propensy questionnaire, portion size measurement aids, eating outside questionnaire</t>
        </r>
      </text>
    </comment>
    <comment ref="P101" authorId="0" shapeId="0">
      <text>
        <r>
          <rPr>
            <sz val="10"/>
            <color rgb="FF000000"/>
            <rFont val="Arial"/>
            <family val="2"/>
          </rPr>
          <t>consumption occasion, mean of consumption, quantified and described as eaten, recipes for self-made</t>
        </r>
      </text>
    </comment>
    <comment ref="Q101" authorId="0" shapeId="0">
      <text>
        <r>
          <rPr>
            <sz val="10"/>
            <color rgb="FF000000"/>
            <rFont val="Arial"/>
            <family val="2"/>
          </rPr>
          <t>use foodex2 facets</t>
        </r>
      </text>
    </comment>
    <comment ref="G102" authorId="0" shapeId="0">
      <text>
        <r>
          <rPr>
            <sz val="10"/>
            <color rgb="FF000000"/>
            <rFont val="Arial"/>
            <family val="2"/>
          </rPr>
          <t>Unit in which the lot size is expressed.</t>
        </r>
      </text>
    </comment>
    <comment ref="G103" authorId="0" shapeId="0">
      <text>
        <r>
          <rPr>
            <sz val="10"/>
            <color rgb="FF000000"/>
            <rFont val="Arial"/>
            <family val="2"/>
          </rPr>
          <t>Point in the food chain where the sample was taken. (Doc. ESTAT/F5/ES/155 “Data dictionary of activities of the establishments”).</t>
        </r>
      </text>
    </comment>
    <comment ref="G104" authorId="0" shapeId="0">
      <text>
        <r>
          <rPr>
            <sz val="10"/>
            <color rgb="FF000000"/>
            <rFont val="Arial"/>
            <family val="2"/>
          </rPr>
          <t>food diaries, interview, 24-hour recall interview, food propensy questionnaire, portion size measurement aids, eating outside questionnaire</t>
        </r>
      </text>
    </comment>
    <comment ref="P107" authorId="0" shapeId="0">
      <text>
        <r>
          <rPr>
            <sz val="10"/>
            <color rgb="FF000000"/>
            <rFont val="Arial"/>
            <family val="2"/>
          </rPr>
          <t>Definition of time-dependent parameter changes</t>
        </r>
      </text>
    </comment>
    <comment ref="G108" authorId="0" shapeId="0">
      <text>
        <r>
          <rPr>
            <sz val="10"/>
            <color rgb="FF000000"/>
            <rFont val="Arial"/>
            <family val="2"/>
          </rPr>
          <t>consumption occasion, mean of consumption, quantified and described as eaten, recipes for self-made</t>
        </r>
      </text>
    </comment>
    <comment ref="L108" authorId="0" shapeId="0">
      <text>
        <r>
          <rPr>
            <sz val="10"/>
            <color rgb="FF000000"/>
            <rFont val="Arial"/>
            <family val="2"/>
          </rPr>
          <t>The laboratory accreditation to ISO/IEC 17025.</t>
        </r>
      </text>
    </comment>
    <comment ref="M108" authorId="0" shapeId="0">
      <text>
        <r>
          <rPr>
            <sz val="10"/>
            <color rgb="FF000000"/>
            <rFont val="Arial"/>
            <family val="2"/>
          </rPr>
          <t>Laboratory code (National laboratory code if available) or Laboratory name</t>
        </r>
      </text>
    </comment>
    <comment ref="N108" authorId="0" shapeId="0">
      <text>
        <r>
          <rPr>
            <sz val="10"/>
            <color rgb="FF000000"/>
            <rFont val="Arial"/>
            <family val="2"/>
          </rPr>
          <t>Country where the laboratory is placed. (ISO 3166-1-alpha-2).</t>
        </r>
      </text>
    </comment>
    <comment ref="G109" authorId="0" shapeId="0">
      <text>
        <r>
          <rPr>
            <sz val="10"/>
            <color rgb="FF000000"/>
            <rFont val="Arial"/>
            <family val="2"/>
          </rPr>
          <t>use foodex2 facets</t>
        </r>
      </text>
    </comment>
    <comment ref="G110" authorId="0" shapeId="0">
      <text>
        <r>
          <rPr>
            <sz val="10"/>
            <color rgb="FF000000"/>
            <rFont val="Arial"/>
            <family val="2"/>
          </rPr>
          <t>The laboratory accreditation to ISO/IEC 17025.</t>
        </r>
      </text>
    </comment>
    <comment ref="G111" authorId="0" shapeId="0">
      <text>
        <r>
          <rPr>
            <sz val="10"/>
            <color rgb="FF000000"/>
            <rFont val="Arial"/>
            <family val="2"/>
          </rPr>
          <t>Laboratory code (National laboratory code if available) or Laboratory name</t>
        </r>
      </text>
    </comment>
    <comment ref="G112" authorId="0" shapeId="0">
      <text>
        <r>
          <rPr>
            <sz val="10"/>
            <color rgb="FF000000"/>
            <rFont val="Arial"/>
            <family val="2"/>
          </rPr>
          <t>Country where the laboratory is placed. (ISO 3166-1-alpha-2).</t>
        </r>
      </text>
    </comment>
    <comment ref="G113" authorId="0" shapeId="0">
      <text>
        <r>
          <rPr>
            <sz val="10"/>
            <color rgb="FF000000"/>
            <rFont val="Arial"/>
            <family val="2"/>
          </rPr>
          <t>A name given to the assay</t>
        </r>
      </text>
    </comment>
    <comment ref="G114" authorId="0" shapeId="0">
      <text>
        <r>
          <rPr>
            <sz val="10"/>
            <color rgb="FF000000"/>
            <rFont val="Arial"/>
            <family val="2"/>
          </rPr>
          <t>General description of the assay. Corresponds to the Protocol REF in ISA</t>
        </r>
      </text>
    </comment>
    <comment ref="G115" authorId="0" shapeId="0">
      <text>
        <r>
          <rPr>
            <sz val="10"/>
            <color rgb="FF000000"/>
            <rFont val="Arial"/>
            <family val="2"/>
          </rPr>
          <t>Percentage of moisture in the original sample</t>
        </r>
      </text>
    </comment>
    <comment ref="G116" authorId="0" shapeId="0">
      <text>
        <r>
          <rPr>
            <sz val="10"/>
            <color rgb="FF000000"/>
            <rFont val="Arial"/>
            <family val="2"/>
          </rPr>
          <t>Percentage of fat in the original sample</t>
        </r>
      </text>
    </comment>
    <comment ref="G117" authorId="0" shapeId="0">
      <text>
        <r>
          <rPr>
            <sz val="10"/>
            <color rgb="FF000000"/>
            <rFont val="Arial"/>
            <family val="2"/>
          </rPr>
          <t>Limit of detection reported in the unit specified by the variable “Hazard unit”.</t>
        </r>
      </text>
    </comment>
    <comment ref="G118" authorId="0" shapeId="0">
      <text>
        <r>
          <rPr>
            <sz val="10"/>
            <color rgb="FF000000"/>
            <rFont val="Arial"/>
            <family val="2"/>
          </rPr>
          <t>Limit of quantification reported in the unit specified by the variable “Hazard unit”</t>
        </r>
      </text>
    </comment>
    <comment ref="G119" authorId="0" shapeId="0">
      <text>
        <r>
          <rPr>
            <sz val="10"/>
            <color rgb="FF000000"/>
            <rFont val="Arial"/>
            <family val="2"/>
          </rPr>
          <t>percentage of measures equal to LOQ and/or LOD</t>
        </r>
      </text>
    </comment>
    <comment ref="G120" authorId="0" shapeId="0">
      <text>
        <r>
          <rPr>
            <sz val="10"/>
            <color rgb="FF000000"/>
            <rFont val="Arial"/>
            <family val="2"/>
          </rPr>
          <t>Range of result of the analytical measure reported in the unit specified by the variable “Hazard unit”</t>
        </r>
      </text>
    </comment>
    <comment ref="G121" authorId="0" shapeId="0">
      <text>
        <r>
          <rPr>
            <sz val="10"/>
            <color rgb="FF000000"/>
            <rFont val="Arial"/>
            <family val="2"/>
          </rPr>
          <t>Indicate the expanded uncertainty (usually 95% confidence interval) value associated with the measurement expressed in the unit reported in the field “Hazard unit”.</t>
        </r>
      </text>
    </comment>
    <comment ref="G122" authorId="0" shapeId="0">
      <text>
        <r>
          <rPr>
            <sz val="10"/>
            <color rgb="FF000000"/>
            <rFont val="Arial"/>
            <family val="2"/>
          </rPr>
          <t>An unambiguous and sequential ID given to the parameter. To be compatible with SBML, only letters from A to Z, numbers and "_" are acepted for ID creation.</t>
        </r>
      </text>
    </comment>
    <comment ref="M122" authorId="0" shapeId="0">
      <text>
        <r>
          <rPr>
            <sz val="10"/>
            <color rgb="FF000000"/>
            <rFont val="Arial"/>
            <family val="2"/>
          </rPr>
          <t>Statistical values calculated to describe the performance of the model fitting procedure</t>
        </r>
      </text>
    </comment>
    <comment ref="P122" authorId="0" shapeId="0">
      <text>
        <r>
          <rPr>
            <sz val="10"/>
            <color rgb="FF000000"/>
            <rFont val="Arial"/>
            <family val="2"/>
          </rPr>
          <t>A name given to the model equation</t>
        </r>
      </text>
    </comment>
    <comment ref="Q122" authorId="0" shapeId="0">
      <text>
        <r>
          <rPr>
            <sz val="10"/>
            <color rgb="FF000000"/>
            <rFont val="Arial"/>
            <family val="2"/>
          </rPr>
          <t>Information on that helps to categorize model equations</t>
        </r>
      </text>
    </comment>
    <comment ref="R122" authorId="0" shapeId="0">
      <text>
        <r>
          <rPr>
            <sz val="10"/>
            <color rgb="FF000000"/>
            <rFont val="Arial"/>
            <family val="2"/>
          </rPr>
          <t xml:space="preserve">Procedure used to fit the data to the model equation </t>
        </r>
      </text>
    </comment>
    <comment ref="S122" authorId="0" shapeId="0">
      <text>
        <r>
          <rPr>
            <sz val="10"/>
            <color rgb="FF000000"/>
            <rFont val="Arial"/>
            <family val="2"/>
          </rPr>
          <t>The pointer to the file that holds the software code (e.g. R-script)</t>
        </r>
      </text>
    </comment>
    <comment ref="G123" authorId="0" shapeId="0">
      <text>
        <r>
          <rPr>
            <sz val="10"/>
            <color rgb="FF000000"/>
            <rFont val="Arial"/>
            <family val="2"/>
          </rPr>
          <t>General classification of the parameter (e.g. Input, Constant, Output...)</t>
        </r>
      </text>
    </comment>
    <comment ref="G124" authorId="0" shapeId="0">
      <text>
        <r>
          <rPr>
            <sz val="10"/>
            <color rgb="FF000000"/>
            <rFont val="Arial"/>
            <family val="2"/>
          </rPr>
          <t>A name given to the parameter</t>
        </r>
      </text>
    </comment>
    <comment ref="G125" authorId="0" shapeId="0">
      <text>
        <r>
          <rPr>
            <sz val="10"/>
            <color rgb="FF000000"/>
            <rFont val="Arial"/>
            <family val="2"/>
          </rPr>
          <t>General description of the parameter</t>
        </r>
      </text>
    </comment>
    <comment ref="G126" authorId="0" shapeId="0">
      <text>
        <r>
          <rPr>
            <sz val="10"/>
            <color rgb="FF000000"/>
            <rFont val="Arial"/>
            <family val="2"/>
          </rPr>
          <t>Unit of the parameter</t>
        </r>
      </text>
    </comment>
    <comment ref="G127" authorId="0" shapeId="0">
      <text>
        <r>
          <rPr>
            <sz val="10"/>
            <color rgb="FF000000"/>
            <rFont val="Arial"/>
            <family val="2"/>
          </rPr>
          <t>General classification of the parameter unit</t>
        </r>
      </text>
    </comment>
    <comment ref="G128" authorId="0" shapeId="0">
      <text>
        <r>
          <rPr>
            <sz val="10"/>
            <color rgb="FF000000"/>
            <rFont val="Arial"/>
            <family val="2"/>
          </rPr>
          <t>Information on the data format of the parameter, e.g. if it is a categorial variable, int, double, array of size x,y,z</t>
        </r>
      </text>
    </comment>
    <comment ref="G129" authorId="0" shapeId="0">
      <text>
        <r>
          <rPr>
            <sz val="10"/>
            <color rgb="FF000000"/>
            <rFont val="Arial"/>
            <family val="2"/>
          </rPr>
          <t>Information on the type of knowledge used to define the parameter value</t>
        </r>
      </text>
    </comment>
    <comment ref="G130" authorId="0" shapeId="0">
      <text>
        <r>
          <rPr>
            <sz val="10"/>
            <color rgb="FF000000"/>
            <rFont val="Arial"/>
            <family val="2"/>
          </rPr>
          <t>Scope of the parameter, e.g. if it refers to an animal, a batch of animals, a batch of products, a carcass, a carcass skin etc</t>
        </r>
      </text>
    </comment>
    <comment ref="G131" authorId="0" shapeId="0">
      <text>
        <r>
          <rPr>
            <sz val="10"/>
            <color rgb="FF000000"/>
            <rFont val="Arial"/>
            <family val="2"/>
          </rPr>
          <t xml:space="preserve">Information on the distribution describing the parameter (e.g. variability, uncertainty, point estimate...) </t>
        </r>
      </text>
    </comment>
    <comment ref="K131"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32" authorId="0" shapeId="0">
      <text>
        <r>
          <rPr>
            <sz val="10"/>
            <color rgb="FF000000"/>
            <rFont val="Arial"/>
            <family val="2"/>
          </rPr>
          <t>An unambiguous and sequential ID given to the parameter. To be compatible with SBML, only letters from A to Z, numbers and "_" are acepted for ID creation.</t>
        </r>
      </text>
    </comment>
    <comment ref="M132" authorId="0" shapeId="0">
      <text>
        <r>
          <rPr>
            <sz val="10"/>
            <color rgb="FF000000"/>
            <rFont val="Arial"/>
            <family val="2"/>
          </rPr>
          <t>General classification of the parameter (e.g. Input, Constant, Output...)</t>
        </r>
      </text>
    </comment>
    <comment ref="N132" authorId="0" shapeId="0">
      <text>
        <r>
          <rPr>
            <sz val="10"/>
            <color rgb="FF000000"/>
            <rFont val="Arial"/>
            <family val="2"/>
          </rPr>
          <t>A name given to the parameter</t>
        </r>
      </text>
    </comment>
    <comment ref="O132" authorId="0" shapeId="0">
      <text>
        <r>
          <rPr>
            <sz val="10"/>
            <color rgb="FF000000"/>
            <rFont val="Arial"/>
            <family val="2"/>
          </rPr>
          <t>General description of the parameter</t>
        </r>
      </text>
    </comment>
    <comment ref="P132" authorId="0" shapeId="0">
      <text>
        <r>
          <rPr>
            <sz val="10"/>
            <color rgb="FF000000"/>
            <rFont val="Arial"/>
            <family val="2"/>
          </rPr>
          <t>The type of the parameter</t>
        </r>
      </text>
    </comment>
    <comment ref="Q132" authorId="0" shapeId="0">
      <text>
        <r>
          <rPr>
            <sz val="10"/>
            <color rgb="FF000000"/>
            <rFont val="Arial"/>
            <family val="2"/>
          </rPr>
          <t>General classification of the parameter unit</t>
        </r>
      </text>
    </comment>
    <comment ref="R132" authorId="0" shapeId="0">
      <text>
        <r>
          <rPr>
            <sz val="10"/>
            <color rgb="FF000000"/>
            <rFont val="Arial"/>
            <family val="2"/>
          </rPr>
          <t>Information on the data format of the parameter, e.g. if it is a categorial variable, int, double, array of size x,y,z</t>
        </r>
      </text>
    </comment>
    <comment ref="S132" authorId="0" shapeId="0">
      <text>
        <r>
          <rPr>
            <sz val="10"/>
            <color rgb="FF000000"/>
            <rFont val="Arial"/>
            <family val="2"/>
          </rPr>
          <t>Information on the type of knowledge used to define the parameter value</t>
        </r>
      </text>
    </comment>
    <comment ref="T132" authorId="0" shapeId="0">
      <text>
        <r>
          <rPr>
            <sz val="10"/>
            <color rgb="FF000000"/>
            <rFont val="Arial"/>
            <family val="2"/>
          </rPr>
          <t>Scope of the parameter, e.g. if it refers to an animal, a batch of animals, a batch of products, a carcass, a carcass skin etc</t>
        </r>
      </text>
    </comment>
    <comment ref="U132"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family val="2"/>
          </rPr>
          <t>Numerical values of the maximum limit of the parameter that determine the range of applicability for which the model applies</t>
        </r>
      </text>
    </comment>
    <comment ref="Z132" authorId="0" shapeId="0">
      <text>
        <r>
          <rPr>
            <sz val="10"/>
            <color rgb="FF000000"/>
            <rFont val="Arial"/>
            <family val="2"/>
          </rPr>
          <t>Numerical values of the minimum limit of the parameter that determine the range of applicability for which the model applies</t>
        </r>
      </text>
    </comment>
    <comment ref="AA132" authorId="0" shapeId="0">
      <text>
        <r>
          <rPr>
            <sz val="10"/>
            <color rgb="FF000000"/>
            <rFont val="Arial"/>
            <family val="2"/>
          </rPr>
          <t>Error of the parameter value</t>
        </r>
      </text>
    </comment>
    <comment ref="G134"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family val="2"/>
          </rPr>
          <t>Numerical value of the maximum limit of the parameter that determine the range of applicability for which the model applies</t>
        </r>
      </text>
    </comment>
    <comment ref="G138" authorId="0" shapeId="0">
      <text>
        <r>
          <rPr>
            <sz val="10"/>
            <color rgb="FF000000"/>
            <rFont val="Arial"/>
            <family val="2"/>
          </rPr>
          <t>Numerical value of the minimum limit of the parameter that determine the range of applicability for which the model applies</t>
        </r>
      </text>
    </comment>
    <comment ref="G139" authorId="0" shapeId="0">
      <text>
        <r>
          <rPr>
            <sz val="10"/>
            <color rgb="FF000000"/>
            <rFont val="Arial"/>
            <family val="2"/>
          </rPr>
          <t>Error of the parameter value</t>
        </r>
      </text>
    </comment>
    <comment ref="G140" authorId="0" shapeId="0">
      <text>
        <r>
          <rPr>
            <sz val="10"/>
            <color rgb="FF000000"/>
            <rFont val="Arial"/>
            <family val="2"/>
          </rPr>
          <t>Statistical values calculated to describe the performance of the model fitting procedure</t>
        </r>
      </text>
    </comment>
    <comment ref="G142" authorId="0" shapeId="0">
      <text>
        <r>
          <rPr>
            <sz val="10"/>
            <color rgb="FF000000"/>
            <rFont val="Arial"/>
            <family val="2"/>
          </rPr>
          <t>A name given to the model equation</t>
        </r>
      </text>
    </comment>
    <comment ref="G143" authorId="0" shapeId="0">
      <text>
        <r>
          <rPr>
            <sz val="10"/>
            <color rgb="FF000000"/>
            <rFont val="Arial"/>
            <family val="2"/>
          </rPr>
          <t>Information on that helps to categorize model equations</t>
        </r>
      </text>
    </comment>
    <comment ref="G147" authorId="0" shapeId="0">
      <text>
        <r>
          <rPr>
            <sz val="10"/>
            <color rgb="FF000000"/>
            <rFont val="Arial"/>
            <family val="2"/>
          </rPr>
          <t xml:space="preserve">Procedure used to fit the data to the model equation </t>
        </r>
      </text>
    </comment>
    <comment ref="G148" authorId="0" shapeId="0">
      <text>
        <r>
          <rPr>
            <sz val="10"/>
            <color rgb="FF000000"/>
            <rFont val="Arial"/>
            <family val="2"/>
          </rPr>
          <t>The pointer to the file that holds the software code (e.g. R-script)</t>
        </r>
      </text>
    </comment>
    <comment ref="E150" authorId="0" shapeId="0">
      <text>
        <r>
          <rPr>
            <sz val="10"/>
            <color rgb="FF000000"/>
            <rFont val="Arial"/>
            <family val="2"/>
          </rPr>
          <t xml:space="preserve">Procedure used to fit the data to the model equation </t>
        </r>
      </text>
    </comment>
    <comment ref="G151" authorId="0" shapeId="0">
      <text>
        <r>
          <rPr>
            <sz val="10"/>
            <color rgb="FF000000"/>
            <rFont val="Arial"/>
            <family val="2"/>
          </rPr>
          <t>describe the mathematical method to replace left-censored data: recommandation of WHO (2013), distribution or ohters</t>
        </r>
      </text>
    </comment>
    <comment ref="G152" authorId="0" shapeId="0">
      <text>
        <r>
          <rPr>
            <sz val="10"/>
            <color rgb="FF000000"/>
            <rFont val="Arial"/>
            <family val="2"/>
          </rPr>
          <t>describe the range of of the level of contamination after left censored data treatment</t>
        </r>
      </text>
    </comment>
    <comment ref="G154" authorId="0" shapeId="0">
      <text>
        <r>
          <rPr>
            <sz val="10"/>
            <color rgb="FF000000"/>
            <rFont val="Arial"/>
            <family val="2"/>
          </rPr>
          <t>describe the different scenari of exposure assessment</t>
        </r>
      </text>
    </comment>
    <comment ref="G155" authorId="0" shapeId="0">
      <text>
        <r>
          <rPr>
            <sz val="10"/>
            <color rgb="FF000000"/>
            <rFont val="Arial"/>
            <family val="2"/>
          </rPr>
          <t>Analysis to estimate uncertainty</t>
        </r>
      </text>
    </comment>
    <comment ref="E156" authorId="0" shapeId="0">
      <text>
        <r>
          <rPr>
            <sz val="10"/>
            <color rgb="FF000000"/>
            <rFont val="Arial"/>
            <family val="2"/>
          </rPr>
          <t>Definition of time-dependent parameter changes</t>
        </r>
      </text>
    </comment>
  </commentList>
</comments>
</file>

<file path=xl/comments8.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L37" authorId="0" shapeId="0">
      <text>
        <r>
          <rPr>
            <sz val="10"/>
            <color rgb="FF000000"/>
            <rFont val="Arial"/>
            <family val="2"/>
          </rPr>
          <t>The product-matrix (animal, food product, matrix, lab media, etc.) for which the model applies</t>
        </r>
      </text>
    </comment>
    <comment ref="M37" authorId="0" shapeId="0">
      <text>
        <r>
          <rPr>
            <sz val="10"/>
            <color rgb="FF000000"/>
            <rFont val="Arial"/>
            <family val="2"/>
          </rPr>
          <t>Description of the product-matrix (animal, food product, matrix, lab media, etc.) for which the model applies</t>
        </r>
      </text>
    </comment>
    <comment ref="N37" authorId="0" shapeId="0">
      <text>
        <r>
          <rPr>
            <sz val="10"/>
            <color rgb="FF000000"/>
            <rFont val="Arial"/>
            <family val="2"/>
          </rPr>
          <t>Units of the product-matrix for which the model applies</t>
        </r>
      </text>
    </comment>
    <comment ref="O37" authorId="0" shapeId="0">
      <text>
        <r>
          <rPr>
            <sz val="10"/>
            <color rgb="FF000000"/>
            <rFont val="Arial"/>
            <family val="2"/>
          </rPr>
          <t>Type of production for the product/ matrix</t>
        </r>
      </text>
    </comment>
    <comment ref="P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family val="2"/>
          </rPr>
          <t>Used to characterise a product/matrix based on the treatment or processes applied to the product or any indexed ingredient.</t>
        </r>
      </text>
    </comment>
    <comment ref="R37" authorId="0" shapeId="0">
      <text>
        <r>
          <rPr>
            <sz val="10"/>
            <color rgb="FF000000"/>
            <rFont val="Arial"/>
            <family val="2"/>
          </rPr>
          <t>Country of origin of the food/product (ISO 3166-1-alpha-2 country code).</t>
        </r>
      </text>
    </comment>
    <comment ref="S37" authorId="0" shapeId="0">
      <text>
        <r>
          <rPr>
            <sz val="10"/>
            <color rgb="FF000000"/>
            <rFont val="Arial"/>
            <family val="2"/>
          </rPr>
          <t>Area of origin of the food/product (Nomenclature of territorial units for statistics – NUTS – coding system valid only for EEA and Switzerland).</t>
        </r>
      </text>
    </comment>
    <comment ref="T37" authorId="0" shapeId="0">
      <text>
        <r>
          <rPr>
            <sz val="10"/>
            <color rgb="FF000000"/>
            <rFont val="Arial"/>
            <family val="2"/>
          </rPr>
          <t>Fisheries or aquaculture area specifying the origin of the sample (FAO Fisheries areas).</t>
        </r>
      </text>
    </comment>
    <comment ref="U37" authorId="0" shapeId="0">
      <text>
        <r>
          <rPr>
            <sz val="10"/>
            <color rgb="FF000000"/>
            <rFont val="Arial"/>
            <family val="2"/>
          </rPr>
          <t>date of production of food/product</t>
        </r>
      </text>
    </comment>
    <comment ref="V37" authorId="0" shapeId="0">
      <text>
        <r>
          <rPr>
            <sz val="10"/>
            <color rgb="FF000000"/>
            <rFont val="Arial"/>
            <family val="2"/>
          </rPr>
          <t>date of expiry of food/product</t>
        </r>
      </text>
    </comment>
    <comment ref="W37" authorId="0" shapeId="0">
      <text>
        <r>
          <rPr>
            <sz val="10"/>
            <color rgb="FF000000"/>
            <rFont val="Arial"/>
            <family val="2"/>
          </rPr>
          <t>General classification of the hazard for which the model or data applies</t>
        </r>
      </text>
    </comment>
    <comment ref="X37" authorId="0" shapeId="0">
      <text>
        <r>
          <rPr>
            <sz val="10"/>
            <color rgb="FF000000"/>
            <rFont val="Arial"/>
            <family val="2"/>
          </rPr>
          <t>Name of the hazard for which the model or data applies</t>
        </r>
      </text>
    </comment>
    <comment ref="Y37" authorId="0" shapeId="0">
      <text>
        <r>
          <rPr>
            <sz val="10"/>
            <color rgb="FF000000"/>
            <rFont val="Arial"/>
            <family val="2"/>
          </rPr>
          <t>Description of the hazard for which the model or data applies</t>
        </r>
      </text>
    </comment>
    <comment ref="Z37" authorId="0" shapeId="0">
      <text>
        <r>
          <rPr>
            <sz val="10"/>
            <color rgb="FF000000"/>
            <rFont val="Arial"/>
            <family val="2"/>
          </rPr>
          <t>Unit of the hazard for which the model applies</t>
        </r>
      </text>
    </comment>
    <comment ref="AA37" authorId="0" shapeId="0">
      <text>
        <r>
          <rPr>
            <sz val="10"/>
            <color rgb="FF000000"/>
            <rFont val="Arial"/>
            <family val="2"/>
          </rPr>
          <t>morbidity, mortality, effect</t>
        </r>
      </text>
    </comment>
    <comment ref="AB37" authorId="0" shapeId="0">
      <text>
        <r>
          <rPr>
            <sz val="10"/>
            <color rgb="FF000000"/>
            <rFont val="Arial"/>
            <family val="2"/>
          </rPr>
          <t>source of contamination, origin</t>
        </r>
      </text>
    </comment>
    <comment ref="AC37" authorId="0" shapeId="0">
      <text>
        <r>
          <rPr>
            <sz val="10"/>
            <color rgb="FF000000"/>
            <rFont val="Arial"/>
            <family val="2"/>
          </rPr>
          <t>A dose or concentration that produces a predetermined change in response rate of an adverse effect (called the bench response or BMR) compared to background.</t>
        </r>
      </text>
    </comment>
    <comment ref="AD37" authorId="0" shapeId="0">
      <text>
        <r>
          <rPr>
            <sz val="10"/>
            <color rgb="FF000000"/>
            <rFont val="Arial"/>
            <family val="2"/>
          </rPr>
          <t>International regulations and permissible maximum residue levels in food and drinking water</t>
        </r>
      </text>
    </comment>
    <comment ref="AE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J37" authorId="0" shapeId="0">
      <text>
        <r>
          <rPr>
            <sz val="10"/>
            <color rgb="FF000000"/>
            <rFont val="Arial"/>
            <family val="2"/>
          </rPr>
          <t>Define if the parameter reported is an individual residue/analyte, a summed residue definition or part of a sum a summed residue definition.</t>
        </r>
      </text>
    </comment>
    <comment ref="AK37" authorId="0" shapeId="0">
      <text>
        <r>
          <rPr>
            <sz val="10"/>
            <color rgb="FF000000"/>
            <rFont val="Arial"/>
            <family val="2"/>
          </rPr>
          <t>Name of the population for which the model or data applies</t>
        </r>
      </text>
    </comment>
    <comment ref="AL37" authorId="0" shapeId="0">
      <text>
        <r>
          <rPr>
            <sz val="10"/>
            <color rgb="FF000000"/>
            <rFont val="Arial"/>
            <family val="2"/>
          </rPr>
          <t>population of individual that we are interested in describing and making statistical inferences about</t>
        </r>
      </text>
    </comment>
    <comment ref="AM37" authorId="0" shapeId="0">
      <text>
        <r>
          <rPr>
            <sz val="10"/>
            <color rgb="FF000000"/>
            <rFont val="Arial"/>
            <family val="2"/>
          </rPr>
          <t>Temporal information on the exposure duration</t>
        </r>
      </text>
    </comment>
    <comment ref="AN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family val="2"/>
          </rPr>
          <t>describe the range of age or group of age</t>
        </r>
      </text>
    </comment>
    <comment ref="AP37" authorId="0" shapeId="0">
      <text>
        <r>
          <rPr>
            <sz val="10"/>
            <color rgb="FF000000"/>
            <rFont val="Arial"/>
            <family val="2"/>
          </rPr>
          <t>describe the percentage of gender</t>
        </r>
      </text>
    </comment>
    <comment ref="AQ37" authorId="0" shapeId="0">
      <text>
        <r>
          <rPr>
            <sz val="10"/>
            <color rgb="FF000000"/>
            <rFont val="Arial"/>
            <family val="2"/>
          </rPr>
          <t>describe the range of BMI or class of BMI or BMI mean</t>
        </r>
      </text>
    </comment>
    <comment ref="AR37" authorId="0" shapeId="0">
      <text>
        <r>
          <rPr>
            <sz val="10"/>
            <color rgb="FF000000"/>
            <rFont val="Arial"/>
            <family val="2"/>
          </rPr>
          <t>sub-population with special diets (vegetarians, diabetics, group following special ethnic diets)</t>
        </r>
      </text>
    </comment>
    <comment ref="AS37" authorId="0" shapeId="0">
      <text>
        <r>
          <rPr>
            <sz val="10"/>
            <color rgb="FF000000"/>
            <rFont val="Arial"/>
            <family val="2"/>
          </rPr>
          <t>describe the consumption of different food items: frequency, portion size</t>
        </r>
      </text>
    </comment>
    <comment ref="AT37" authorId="0" shapeId="0">
      <text>
        <r>
          <rPr>
            <sz val="10"/>
            <color rgb="FF000000"/>
            <rFont val="Arial"/>
            <family val="2"/>
          </rPr>
          <t>Spatial information (area) on which the population group of the model or data applies</t>
        </r>
      </text>
    </comment>
    <comment ref="AU37" authorId="0" shapeId="0">
      <text>
        <r>
          <rPr>
            <sz val="10"/>
            <color rgb="FF000000"/>
            <rFont val="Arial"/>
            <family val="2"/>
          </rPr>
          <t>Country on which the population group of the model or data applies</t>
        </r>
      </text>
    </comment>
    <comment ref="AV37" authorId="0" shapeId="0">
      <text>
        <r>
          <rPr>
            <sz val="10"/>
            <color rgb="FF000000"/>
            <rFont val="Arial"/>
            <family val="2"/>
          </rPr>
          <t>distribution of surveyed people according to the season (influence consumption pattern)</t>
        </r>
      </text>
    </comment>
    <comment ref="AW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applies</t>
        </r>
      </text>
    </comment>
    <comment ref="G48" authorId="0" shapeId="0">
      <text>
        <r>
          <rPr>
            <sz val="10"/>
            <color rgb="FF000000"/>
            <rFont val="Arial"/>
            <family val="2"/>
          </rPr>
          <t>Name of the hazard for which the model applies</t>
        </r>
      </text>
    </comment>
    <comment ref="G49" authorId="0" shapeId="0">
      <text>
        <r>
          <rPr>
            <sz val="10"/>
            <color rgb="FF000000"/>
            <rFont val="Arial"/>
            <family val="2"/>
          </rPr>
          <t>Description of the hazard for which the model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G61" authorId="0" shapeId="0">
      <text>
        <r>
          <rPr>
            <sz val="10"/>
            <color rgb="FF000000"/>
            <rFont val="Arial"/>
            <family val="2"/>
          </rPr>
          <t>Name of the population for which the model applies</t>
        </r>
      </text>
    </comment>
    <comment ref="G62" authorId="0" shapeId="0">
      <text>
        <r>
          <rPr>
            <sz val="10"/>
            <color rgb="FF000000"/>
            <rFont val="Arial"/>
            <family val="2"/>
          </rPr>
          <t>population of individual that we are interested in describing and making statistical inferences about</t>
        </r>
      </text>
    </comment>
    <comment ref="G63" authorId="0" shapeId="0">
      <text>
        <r>
          <rPr>
            <sz val="10"/>
            <color rgb="FF000000"/>
            <rFont val="Arial"/>
            <family val="2"/>
          </rPr>
          <t>Temporal information on the exposure duration</t>
        </r>
      </text>
    </comment>
    <comment ref="G64"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family val="2"/>
          </rPr>
          <t>describe the range of age or group of age</t>
        </r>
      </text>
    </comment>
    <comment ref="G66" authorId="0" shapeId="0">
      <text>
        <r>
          <rPr>
            <sz val="10"/>
            <color rgb="FF000000"/>
            <rFont val="Arial"/>
            <family val="2"/>
          </rPr>
          <t>describe the percentage of gender</t>
        </r>
      </text>
    </comment>
    <comment ref="G67" authorId="0" shapeId="0">
      <text>
        <r>
          <rPr>
            <sz val="10"/>
            <color rgb="FF000000"/>
            <rFont val="Arial"/>
            <family val="2"/>
          </rPr>
          <t>describe the range of BMI or class of BMI or BMI mean</t>
        </r>
      </text>
    </comment>
    <comment ref="G68" authorId="0" shapeId="0">
      <text>
        <r>
          <rPr>
            <sz val="10"/>
            <color rgb="FF000000"/>
            <rFont val="Arial"/>
            <family val="2"/>
          </rPr>
          <t>sub-population with special diets (vegetarians, diabetics, group following special ethnic diets)</t>
        </r>
      </text>
    </comment>
    <comment ref="G69" authorId="0" shapeId="0">
      <text>
        <r>
          <rPr>
            <sz val="10"/>
            <color rgb="FF000000"/>
            <rFont val="Arial"/>
            <family val="2"/>
          </rPr>
          <t>describe the consumption of different food items: frequency, portion size</t>
        </r>
      </text>
    </comment>
    <comment ref="G70" authorId="0" shapeId="0">
      <text>
        <r>
          <rPr>
            <sz val="10"/>
            <color rgb="FF000000"/>
            <rFont val="Arial"/>
            <family val="2"/>
          </rPr>
          <t>Spatial information (area) on which the population group of the model or data applies</t>
        </r>
      </text>
    </comment>
    <comment ref="G71" authorId="0" shapeId="0">
      <text>
        <r>
          <rPr>
            <sz val="10"/>
            <color rgb="FF000000"/>
            <rFont val="Arial"/>
            <family val="2"/>
          </rPr>
          <t>Country on which the population group of the model or data applies</t>
        </r>
      </text>
    </comment>
    <comment ref="G72" authorId="0" shapeId="0">
      <text>
        <r>
          <rPr>
            <sz val="10"/>
            <color rgb="FF000000"/>
            <rFont val="Arial"/>
            <family val="2"/>
          </rPr>
          <t>distribution of surveyed people according to the season (influence consumption pattern)</t>
        </r>
      </text>
    </comment>
    <comment ref="G73" authorId="0" shapeId="0">
      <text>
        <r>
          <rPr>
            <sz val="10"/>
            <color rgb="FF000000"/>
            <rFont val="Arial"/>
            <family val="2"/>
          </rPr>
          <t>distribution of surveyed people according to the season (influence consumption pattern)</t>
        </r>
      </text>
    </comment>
    <comment ref="E74" authorId="0" shapeId="0">
      <text>
        <r>
          <rPr>
            <sz val="10"/>
            <color rgb="FF000000"/>
            <rFont val="Arial"/>
            <family val="2"/>
          </rPr>
          <t>General comments on the scope of the model</t>
        </r>
      </text>
    </comment>
    <comment ref="G75" authorId="0" shapeId="0">
      <text>
        <r>
          <rPr>
            <sz val="10"/>
            <color rgb="FF000000"/>
            <rFont val="Arial"/>
            <family val="2"/>
          </rPr>
          <t>Temporal information on which the model applies / An interval of time that is named or defined by its start and end dates (period of study)</t>
        </r>
      </text>
    </comment>
    <comment ref="G76" authorId="0" shapeId="0">
      <text>
        <r>
          <rPr>
            <sz val="10"/>
            <color rgb="FF000000"/>
            <rFont val="Arial"/>
            <family val="2"/>
          </rPr>
          <t>Spatial information (area) on which the model applies</t>
        </r>
      </text>
    </comment>
    <comment ref="G77" authorId="0" shapeId="0">
      <text>
        <r>
          <rPr>
            <sz val="10"/>
            <color rgb="FF000000"/>
            <rFont val="Arial"/>
            <family val="2"/>
          </rPr>
          <t>Country on which the model applies</t>
        </r>
      </text>
    </comment>
    <comment ref="G78" authorId="0" shapeId="0">
      <text>
        <r>
          <rPr>
            <sz val="10"/>
            <color rgb="FF000000"/>
            <rFont val="Arial"/>
            <family val="2"/>
          </rPr>
          <t>A user defined identifier for the study</t>
        </r>
      </text>
    </comment>
    <comment ref="G79" authorId="0" shapeId="0">
      <text>
        <r>
          <rPr>
            <sz val="10"/>
            <color rgb="FF000000"/>
            <rFont val="Arial"/>
            <family val="2"/>
          </rPr>
          <t>A title for the Study.</t>
        </r>
      </text>
    </comment>
    <comment ref="G80" authorId="0" shapeId="0">
      <text>
        <r>
          <rPr>
            <sz val="10"/>
            <color rgb="FF000000"/>
            <rFont val="Arial"/>
            <family val="2"/>
          </rPr>
          <t>A brief description of the study aims.</t>
        </r>
      </text>
    </comment>
    <comment ref="G81" authorId="0" shapeId="0">
      <text>
        <r>
          <rPr>
            <sz val="10"/>
            <color rgb="FF000000"/>
            <rFont val="Arial"/>
            <family val="2"/>
          </rPr>
          <t>The type of study design being employed</t>
        </r>
      </text>
    </comment>
    <comment ref="G82" authorId="0" shapeId="0">
      <text>
        <r>
          <rPr>
            <sz val="10"/>
            <color rgb="FF000000"/>
            <rFont val="Arial"/>
            <family val="2"/>
          </rPr>
          <t>The measurement being observed in this assay</t>
        </r>
      </text>
    </comment>
    <comment ref="G83" authorId="0" shapeId="0">
      <text>
        <r>
          <rPr>
            <sz val="10"/>
            <color rgb="FF000000"/>
            <rFont val="Arial"/>
            <family val="2"/>
          </rPr>
          <t>The technology being employed to observe this measurement</t>
        </r>
      </text>
    </comment>
    <comment ref="G84" authorId="0" shapeId="0">
      <text>
        <r>
          <rPr>
            <sz val="10"/>
            <color rgb="FF000000"/>
            <rFont val="Arial"/>
            <family val="2"/>
          </rPr>
          <t>The technology platform used</t>
        </r>
      </text>
    </comment>
    <comment ref="G85" authorId="0" shapeId="0">
      <text>
        <r>
          <rPr>
            <sz val="10"/>
            <color rgb="FF000000"/>
            <rFont val="Arial"/>
            <family val="2"/>
          </rPr>
          <t>Accreditation procedure for the analytical method used</t>
        </r>
      </text>
    </comment>
    <comment ref="G86" authorId="0" shapeId="0">
      <text>
        <r>
          <rPr>
            <sz val="10"/>
            <color rgb="FF000000"/>
            <rFont val="Arial"/>
            <family val="2"/>
          </rPr>
          <t>The name of the protocol, e.g.Extraction Protocol</t>
        </r>
      </text>
    </comment>
    <comment ref="G87" authorId="0" shapeId="0">
      <text>
        <r>
          <rPr>
            <sz val="10"/>
            <color rgb="FF000000"/>
            <rFont val="Arial"/>
            <family val="2"/>
          </rPr>
          <t>The type of the protocol, preferably coming from an Ontology, e.g. Extraction Protocol</t>
        </r>
      </text>
    </comment>
    <comment ref="G88" authorId="0" shapeId="0">
      <text>
        <r>
          <rPr>
            <sz val="10"/>
            <color rgb="FF000000"/>
            <rFont val="Arial"/>
            <family val="2"/>
          </rPr>
          <t>A description of the Protocol.</t>
        </r>
      </text>
    </comment>
    <comment ref="G89" authorId="0" shapeId="0">
      <text>
        <r>
          <rPr>
            <sz val="10"/>
            <color rgb="FF000000"/>
            <rFont val="Arial"/>
            <family val="2"/>
          </rPr>
          <t>A URI to link out to a publication, web page, etc. describing the protocol.</t>
        </r>
      </text>
    </comment>
    <comment ref="G90" authorId="0" shapeId="0">
      <text>
        <r>
          <rPr>
            <sz val="10"/>
            <color rgb="FF000000"/>
            <rFont val="Arial"/>
            <family val="2"/>
          </rPr>
          <t>The version of the protocol used, where applicable.</t>
        </r>
      </text>
    </comment>
    <comment ref="G91" authorId="0" shapeId="0">
      <text>
        <r>
          <rPr>
            <sz val="10"/>
            <color rgb="FF000000"/>
            <rFont val="Arial"/>
            <family val="2"/>
          </rPr>
          <t>The parameters used when executing this protocol.</t>
        </r>
      </text>
    </comment>
    <comment ref="G92" authorId="0" shapeId="0">
      <text>
        <r>
          <rPr>
            <sz val="10"/>
            <color rgb="FF000000"/>
            <rFont val="Arial"/>
            <family val="2"/>
          </rPr>
          <t>The components used when carrying out this protocol.</t>
        </r>
      </text>
    </comment>
    <comment ref="G94" authorId="0" shapeId="0">
      <text>
        <r>
          <rPr>
            <sz val="10"/>
            <color rgb="FF000000"/>
            <rFont val="Arial"/>
            <family val="2"/>
          </rPr>
          <t>An unambiguous ID given to the samples used in the assay</t>
        </r>
      </text>
    </comment>
    <comment ref="G95" authorId="0" shapeId="0">
      <text>
        <r>
          <rPr>
            <sz val="10"/>
            <color rgb="FF000000"/>
            <rFont val="Arial"/>
            <family val="2"/>
          </rPr>
          <t>Additional protocol for sample and sample collection. Corresponds to the Protocol REF in ISA</t>
        </r>
      </text>
    </comment>
    <comment ref="L95" authorId="0" shapeId="0">
      <text>
        <r>
          <rPr>
            <sz val="10"/>
            <color rgb="FF000000"/>
            <rFont val="Arial"/>
            <family val="2"/>
          </rPr>
          <t>An unambiguous ID given to the samples used in the assay</t>
        </r>
      </text>
    </comment>
    <comment ref="M95" authorId="0" shapeId="0">
      <text>
        <r>
          <rPr>
            <sz val="10"/>
            <color rgb="FF000000"/>
            <rFont val="Arial"/>
            <family val="2"/>
          </rPr>
          <t>Additional protocol for sample and sample collection. Corresponds to the Protocol REF in ISA</t>
        </r>
      </text>
    </comment>
    <comment ref="N95" authorId="0" shapeId="0">
      <text>
        <r>
          <rPr>
            <sz val="10"/>
            <color rgb="FF000000"/>
            <rFont val="Arial"/>
            <family val="2"/>
          </rPr>
          <t>Sampling strategy (ref. EUROSTAT - Typology of sampling strategy, version of July 2009)</t>
        </r>
      </text>
    </comment>
    <comment ref="O95" authorId="0" shapeId="0">
      <text>
        <r>
          <rPr>
            <sz val="10"/>
            <color rgb="FF000000"/>
            <rFont val="Arial"/>
            <family val="2"/>
          </rPr>
          <t>Indicate the type programme for which the samples have been collected.</t>
        </r>
      </text>
    </comment>
    <comment ref="P95" authorId="0" shapeId="0">
      <text>
        <r>
          <rPr>
            <sz val="10"/>
            <color rgb="FF000000"/>
            <rFont val="Arial"/>
            <family val="2"/>
          </rPr>
          <t>Sampling method used to take the sample</t>
        </r>
      </text>
    </comment>
    <comment ref="Q95" authorId="0" shapeId="0">
      <text>
        <r>
          <rPr>
            <sz val="10"/>
            <color rgb="FF000000"/>
            <rFont val="Arial"/>
            <family val="2"/>
          </rPr>
          <t>description of data collection technique: stratified or complex sampling (several stages)</t>
        </r>
      </text>
    </comment>
    <comment ref="R95" authorId="0" shapeId="0">
      <text>
        <r>
          <rPr>
            <sz val="10"/>
            <color rgb="FF000000"/>
            <rFont val="Arial"/>
            <family val="2"/>
          </rPr>
          <t>description of the method employed to compute sampling weight (nonresponse-adjusted weight)</t>
        </r>
      </text>
    </comment>
    <comment ref="S95" authorId="0" shapeId="0">
      <text>
        <r>
          <rPr>
            <sz val="10"/>
            <color rgb="FF000000"/>
            <rFont val="Arial"/>
            <family val="2"/>
          </rPr>
          <t>number of units, full participants, partial participants, eligibles, not eligible, unresolved (eligibility status not resolved)…</t>
        </r>
      </text>
    </comment>
    <comment ref="T95" authorId="0" shapeId="0">
      <text>
        <r>
          <rPr>
            <sz val="10"/>
            <color rgb="FF000000"/>
            <rFont val="Arial"/>
            <family val="2"/>
          </rPr>
          <t>Unit in which the lot size is expressed.</t>
        </r>
      </text>
    </comment>
    <comment ref="U95" authorId="0" shapeId="0">
      <text>
        <r>
          <rPr>
            <sz val="10"/>
            <color rgb="FF000000"/>
            <rFont val="Arial"/>
            <family val="2"/>
          </rPr>
          <t>Point in the food chain where the sample was taken. (Doc. ESTAT/F5/ES/155 “Data dictionary of activities of the establishments”).</t>
        </r>
      </text>
    </comment>
    <comment ref="G96" authorId="0" shapeId="0">
      <text>
        <r>
          <rPr>
            <sz val="10"/>
            <color rgb="FF000000"/>
            <rFont val="Arial"/>
            <family val="2"/>
          </rPr>
          <t>Sampling strategy (ref. EUROSTAT - Typology of sampling strategy, version of July 2009)</t>
        </r>
      </text>
    </comment>
    <comment ref="G97" authorId="0" shapeId="0">
      <text>
        <r>
          <rPr>
            <sz val="10"/>
            <color rgb="FF000000"/>
            <rFont val="Arial"/>
            <family val="2"/>
          </rPr>
          <t>Indicate the type programme for which the samples have been collected.</t>
        </r>
      </text>
    </comment>
    <comment ref="G98" authorId="0" shapeId="0">
      <text>
        <r>
          <rPr>
            <sz val="10"/>
            <color rgb="FF000000"/>
            <rFont val="Arial"/>
            <family val="2"/>
          </rPr>
          <t>Sampling method used to take the sample</t>
        </r>
      </text>
    </comment>
    <comment ref="G99" authorId="0" shapeId="0">
      <text>
        <r>
          <rPr>
            <sz val="10"/>
            <color rgb="FF000000"/>
            <rFont val="Arial"/>
            <family val="2"/>
          </rPr>
          <t>description of data collection technique: stratified or complex sampling (several stages)</t>
        </r>
      </text>
    </comment>
    <comment ref="G100" authorId="0" shapeId="0">
      <text>
        <r>
          <rPr>
            <sz val="10"/>
            <color rgb="FF000000"/>
            <rFont val="Arial"/>
            <family val="2"/>
          </rPr>
          <t>description of the method employed to compute sampling weight (nonresponse-adjusted weight)</t>
        </r>
      </text>
    </comment>
    <comment ref="G101" authorId="0" shapeId="0">
      <text>
        <r>
          <rPr>
            <sz val="10"/>
            <color rgb="FF000000"/>
            <rFont val="Arial"/>
            <family val="2"/>
          </rPr>
          <t>number of units, full participants, partial participants, eligibles, not eligible, unresolved (eligibility status not resolved)…</t>
        </r>
      </text>
    </comment>
    <comment ref="L101" authorId="0" shapeId="0">
      <text>
        <r>
          <rPr>
            <sz val="10"/>
            <color rgb="FF000000"/>
            <rFont val="Arial"/>
            <family val="2"/>
          </rPr>
          <t>food diaries, interview, 24-hour recall interview, food propensy questionnaire, portion size measurement aids, eating outside questionnaire</t>
        </r>
      </text>
    </comment>
    <comment ref="P101" authorId="0" shapeId="0">
      <text>
        <r>
          <rPr>
            <sz val="10"/>
            <color rgb="FF000000"/>
            <rFont val="Arial"/>
            <family val="2"/>
          </rPr>
          <t>consumption occasion, mean of consumption, quantified and described as eaten, recipes for self-made</t>
        </r>
      </text>
    </comment>
    <comment ref="Q101" authorId="0" shapeId="0">
      <text>
        <r>
          <rPr>
            <sz val="10"/>
            <color rgb="FF000000"/>
            <rFont val="Arial"/>
            <family val="2"/>
          </rPr>
          <t>use foodex2 facets</t>
        </r>
      </text>
    </comment>
    <comment ref="G102" authorId="0" shapeId="0">
      <text>
        <r>
          <rPr>
            <sz val="10"/>
            <color rgb="FF000000"/>
            <rFont val="Arial"/>
            <family val="2"/>
          </rPr>
          <t>Unit in which the lot size is expressed.</t>
        </r>
      </text>
    </comment>
    <comment ref="G103" authorId="0" shapeId="0">
      <text>
        <r>
          <rPr>
            <sz val="10"/>
            <color rgb="FF000000"/>
            <rFont val="Arial"/>
            <family val="2"/>
          </rPr>
          <t>Point in the food chain where the sample was taken. (Doc. ESTAT/F5/ES/155 “Data dictionary of activities of the establishments”).</t>
        </r>
      </text>
    </comment>
    <comment ref="G104" authorId="0" shapeId="0">
      <text>
        <r>
          <rPr>
            <sz val="10"/>
            <color rgb="FF000000"/>
            <rFont val="Arial"/>
            <family val="2"/>
          </rPr>
          <t>food diaries, interview, 24-hour recall interview, food propensy questionnaire, portion size measurement aids, eating outside questionnaire</t>
        </r>
      </text>
    </comment>
    <comment ref="P107" authorId="0" shapeId="0">
      <text>
        <r>
          <rPr>
            <sz val="10"/>
            <color rgb="FF000000"/>
            <rFont val="Arial"/>
            <family val="2"/>
          </rPr>
          <t>Definition of time-dependent parameter changes</t>
        </r>
      </text>
    </comment>
    <comment ref="G108" authorId="0" shapeId="0">
      <text>
        <r>
          <rPr>
            <sz val="10"/>
            <color rgb="FF000000"/>
            <rFont val="Arial"/>
            <family val="2"/>
          </rPr>
          <t>consumption occasion, mean of consumption, quantified and described as eaten, recipes for self-made</t>
        </r>
      </text>
    </comment>
    <comment ref="L108" authorId="0" shapeId="0">
      <text>
        <r>
          <rPr>
            <sz val="10"/>
            <color rgb="FF000000"/>
            <rFont val="Arial"/>
            <family val="2"/>
          </rPr>
          <t>The laboratory accreditation to ISO/IEC 17025.</t>
        </r>
      </text>
    </comment>
    <comment ref="M108" authorId="0" shapeId="0">
      <text>
        <r>
          <rPr>
            <sz val="10"/>
            <color rgb="FF000000"/>
            <rFont val="Arial"/>
            <family val="2"/>
          </rPr>
          <t>Laboratory code (National laboratory code if available) or Laboratory name</t>
        </r>
      </text>
    </comment>
    <comment ref="N108" authorId="0" shapeId="0">
      <text>
        <r>
          <rPr>
            <sz val="10"/>
            <color rgb="FF000000"/>
            <rFont val="Arial"/>
            <family val="2"/>
          </rPr>
          <t>Country where the laboratory is placed. (ISO 3166-1-alpha-2).</t>
        </r>
      </text>
    </comment>
    <comment ref="G109" authorId="0" shapeId="0">
      <text>
        <r>
          <rPr>
            <sz val="10"/>
            <color rgb="FF000000"/>
            <rFont val="Arial"/>
            <family val="2"/>
          </rPr>
          <t>use foodex2 facets</t>
        </r>
      </text>
    </comment>
    <comment ref="G110" authorId="0" shapeId="0">
      <text>
        <r>
          <rPr>
            <sz val="10"/>
            <color rgb="FF000000"/>
            <rFont val="Arial"/>
            <family val="2"/>
          </rPr>
          <t>The laboratory accreditation to ISO/IEC 17025.</t>
        </r>
      </text>
    </comment>
    <comment ref="G111" authorId="0" shapeId="0">
      <text>
        <r>
          <rPr>
            <sz val="10"/>
            <color rgb="FF000000"/>
            <rFont val="Arial"/>
            <family val="2"/>
          </rPr>
          <t>Laboratory code (National laboratory code if available) or Laboratory name</t>
        </r>
      </text>
    </comment>
    <comment ref="G112" authorId="0" shapeId="0">
      <text>
        <r>
          <rPr>
            <sz val="10"/>
            <color rgb="FF000000"/>
            <rFont val="Arial"/>
            <family val="2"/>
          </rPr>
          <t>Country where the laboratory is placed. (ISO 3166-1-alpha-2).</t>
        </r>
      </text>
    </comment>
    <comment ref="G113" authorId="0" shapeId="0">
      <text>
        <r>
          <rPr>
            <sz val="10"/>
            <color rgb="FF000000"/>
            <rFont val="Arial"/>
            <family val="2"/>
          </rPr>
          <t>A name given to the assay</t>
        </r>
      </text>
    </comment>
    <comment ref="G114" authorId="0" shapeId="0">
      <text>
        <r>
          <rPr>
            <sz val="10"/>
            <color rgb="FF000000"/>
            <rFont val="Arial"/>
            <family val="2"/>
          </rPr>
          <t>General description of the assay. Corresponds to the Protocol REF in ISA</t>
        </r>
      </text>
    </comment>
    <comment ref="G115" authorId="0" shapeId="0">
      <text>
        <r>
          <rPr>
            <sz val="10"/>
            <color rgb="FF000000"/>
            <rFont val="Arial"/>
            <family val="2"/>
          </rPr>
          <t>Percentage of moisture in the original sample</t>
        </r>
      </text>
    </comment>
    <comment ref="G116" authorId="0" shapeId="0">
      <text>
        <r>
          <rPr>
            <sz val="10"/>
            <color rgb="FF000000"/>
            <rFont val="Arial"/>
            <family val="2"/>
          </rPr>
          <t>Percentage of fat in the original sample</t>
        </r>
      </text>
    </comment>
    <comment ref="G117" authorId="0" shapeId="0">
      <text>
        <r>
          <rPr>
            <sz val="10"/>
            <color rgb="FF000000"/>
            <rFont val="Arial"/>
            <family val="2"/>
          </rPr>
          <t>Limit of detection reported in the unit specified by the variable “Hazard unit”.</t>
        </r>
      </text>
    </comment>
    <comment ref="G118" authorId="0" shapeId="0">
      <text>
        <r>
          <rPr>
            <sz val="10"/>
            <color rgb="FF000000"/>
            <rFont val="Arial"/>
            <family val="2"/>
          </rPr>
          <t>Limit of quantification reported in the unit specified by the variable “Hazard unit”</t>
        </r>
      </text>
    </comment>
    <comment ref="G119" authorId="0" shapeId="0">
      <text>
        <r>
          <rPr>
            <sz val="10"/>
            <color rgb="FF000000"/>
            <rFont val="Arial"/>
            <family val="2"/>
          </rPr>
          <t>percentage of measures equal to LOQ and/or LOD</t>
        </r>
      </text>
    </comment>
    <comment ref="G120" authorId="0" shapeId="0">
      <text>
        <r>
          <rPr>
            <sz val="10"/>
            <color rgb="FF000000"/>
            <rFont val="Arial"/>
            <family val="2"/>
          </rPr>
          <t>Range of result of the analytical measure reported in the unit specified by the variable “Hazard unit”</t>
        </r>
      </text>
    </comment>
    <comment ref="G121" authorId="0" shapeId="0">
      <text>
        <r>
          <rPr>
            <sz val="10"/>
            <color rgb="FF000000"/>
            <rFont val="Arial"/>
            <family val="2"/>
          </rPr>
          <t>Indicate the expanded uncertainty (usually 95% confidence interval) value associated with the measurement expressed in the unit reported in the field “Hazard unit”.</t>
        </r>
      </text>
    </comment>
    <comment ref="G122" authorId="0" shapeId="0">
      <text>
        <r>
          <rPr>
            <sz val="10"/>
            <color rgb="FF000000"/>
            <rFont val="Arial"/>
            <family val="2"/>
          </rPr>
          <t>An unambiguous and sequential ID given to the parameter. To be compatible with SBML, only letters from A to Z, numbers and "_" are acepted for ID creation.</t>
        </r>
      </text>
    </comment>
    <comment ref="M122" authorId="0" shapeId="0">
      <text>
        <r>
          <rPr>
            <sz val="10"/>
            <color rgb="FF000000"/>
            <rFont val="Arial"/>
            <family val="2"/>
          </rPr>
          <t>Statistical values calculated to describe the performance of the model fitting procedure</t>
        </r>
      </text>
    </comment>
    <comment ref="P122" authorId="0" shapeId="0">
      <text>
        <r>
          <rPr>
            <sz val="10"/>
            <color rgb="FF000000"/>
            <rFont val="Arial"/>
            <family val="2"/>
          </rPr>
          <t>A name given to the model equation</t>
        </r>
      </text>
    </comment>
    <comment ref="Q122" authorId="0" shapeId="0">
      <text>
        <r>
          <rPr>
            <sz val="10"/>
            <color rgb="FF000000"/>
            <rFont val="Arial"/>
            <family val="2"/>
          </rPr>
          <t>Information on that helps to categorize model equations</t>
        </r>
      </text>
    </comment>
    <comment ref="R122" authorId="0" shapeId="0">
      <text>
        <r>
          <rPr>
            <sz val="10"/>
            <color rgb="FF000000"/>
            <rFont val="Arial"/>
            <family val="2"/>
          </rPr>
          <t xml:space="preserve">Procedure used to fit the data to the model equation </t>
        </r>
      </text>
    </comment>
    <comment ref="S122" authorId="0" shapeId="0">
      <text>
        <r>
          <rPr>
            <sz val="10"/>
            <color rgb="FF000000"/>
            <rFont val="Arial"/>
            <family val="2"/>
          </rPr>
          <t>The pointer to the file that holds the software code (e.g. R-script)</t>
        </r>
      </text>
    </comment>
    <comment ref="G123" authorId="0" shapeId="0">
      <text>
        <r>
          <rPr>
            <sz val="10"/>
            <color rgb="FF000000"/>
            <rFont val="Arial"/>
            <family val="2"/>
          </rPr>
          <t>General classification of the parameter (e.g. Input, Constant, Output...)</t>
        </r>
      </text>
    </comment>
    <comment ref="G124" authorId="0" shapeId="0">
      <text>
        <r>
          <rPr>
            <sz val="10"/>
            <color rgb="FF000000"/>
            <rFont val="Arial"/>
            <family val="2"/>
          </rPr>
          <t>A name given to the parameter</t>
        </r>
      </text>
    </comment>
    <comment ref="G125" authorId="0" shapeId="0">
      <text>
        <r>
          <rPr>
            <sz val="10"/>
            <color rgb="FF000000"/>
            <rFont val="Arial"/>
            <family val="2"/>
          </rPr>
          <t>General description of the parameter</t>
        </r>
      </text>
    </comment>
    <comment ref="G126" authorId="0" shapeId="0">
      <text>
        <r>
          <rPr>
            <sz val="10"/>
            <color rgb="FF000000"/>
            <rFont val="Arial"/>
            <family val="2"/>
          </rPr>
          <t>Unit of the parameter</t>
        </r>
      </text>
    </comment>
    <comment ref="G127" authorId="0" shapeId="0">
      <text>
        <r>
          <rPr>
            <sz val="10"/>
            <color rgb="FF000000"/>
            <rFont val="Arial"/>
            <family val="2"/>
          </rPr>
          <t>General classification of the parameter unit</t>
        </r>
      </text>
    </comment>
    <comment ref="G128" authorId="0" shapeId="0">
      <text>
        <r>
          <rPr>
            <sz val="10"/>
            <color rgb="FF000000"/>
            <rFont val="Arial"/>
            <family val="2"/>
          </rPr>
          <t>Information on the data format of the parameter, e.g. if it is a categorial variable, int, double, array of size x,y,z</t>
        </r>
      </text>
    </comment>
    <comment ref="G129" authorId="0" shapeId="0">
      <text>
        <r>
          <rPr>
            <sz val="10"/>
            <color rgb="FF000000"/>
            <rFont val="Arial"/>
            <family val="2"/>
          </rPr>
          <t>Information on the type of knowledge used to define the parameter value</t>
        </r>
      </text>
    </comment>
    <comment ref="G130" authorId="0" shapeId="0">
      <text>
        <r>
          <rPr>
            <sz val="10"/>
            <color rgb="FF000000"/>
            <rFont val="Arial"/>
            <family val="2"/>
          </rPr>
          <t>Scope of the parameter, e.g. if it refers to an animal, a batch of animals, a batch of products, a carcass, a carcass skin etc</t>
        </r>
      </text>
    </comment>
    <comment ref="G131" authorId="0" shapeId="0">
      <text>
        <r>
          <rPr>
            <sz val="10"/>
            <color rgb="FF000000"/>
            <rFont val="Arial"/>
            <family val="2"/>
          </rPr>
          <t xml:space="preserve">Information on the distribution describing the parameter (e.g. variability, uncertainty, point estimate...) </t>
        </r>
      </text>
    </comment>
    <comment ref="K131"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32" authorId="0" shapeId="0">
      <text>
        <r>
          <rPr>
            <sz val="10"/>
            <color rgb="FF000000"/>
            <rFont val="Arial"/>
            <family val="2"/>
          </rPr>
          <t>An unambiguous and sequential ID given to the parameter. To be compatible with SBML, only letters from A to Z, numbers and "_" are acepted for ID creation.</t>
        </r>
      </text>
    </comment>
    <comment ref="M132" authorId="0" shapeId="0">
      <text>
        <r>
          <rPr>
            <sz val="10"/>
            <color rgb="FF000000"/>
            <rFont val="Arial"/>
            <family val="2"/>
          </rPr>
          <t>General classification of the parameter (e.g. Input, Constant, Output...)</t>
        </r>
      </text>
    </comment>
    <comment ref="N132" authorId="0" shapeId="0">
      <text>
        <r>
          <rPr>
            <sz val="10"/>
            <color rgb="FF000000"/>
            <rFont val="Arial"/>
            <family val="2"/>
          </rPr>
          <t>A name given to the parameter</t>
        </r>
      </text>
    </comment>
    <comment ref="O132" authorId="0" shapeId="0">
      <text>
        <r>
          <rPr>
            <sz val="10"/>
            <color rgb="FF000000"/>
            <rFont val="Arial"/>
            <family val="2"/>
          </rPr>
          <t>General description of the parameter</t>
        </r>
      </text>
    </comment>
    <comment ref="P132" authorId="0" shapeId="0">
      <text>
        <r>
          <rPr>
            <sz val="10"/>
            <color rgb="FF000000"/>
            <rFont val="Arial"/>
            <family val="2"/>
          </rPr>
          <t>The type of the parameter</t>
        </r>
      </text>
    </comment>
    <comment ref="Q132" authorId="0" shapeId="0">
      <text>
        <r>
          <rPr>
            <sz val="10"/>
            <color rgb="FF000000"/>
            <rFont val="Arial"/>
            <family val="2"/>
          </rPr>
          <t>General classification of the parameter unit</t>
        </r>
      </text>
    </comment>
    <comment ref="R132" authorId="0" shapeId="0">
      <text>
        <r>
          <rPr>
            <sz val="10"/>
            <color rgb="FF000000"/>
            <rFont val="Arial"/>
            <family val="2"/>
          </rPr>
          <t>Information on the data format of the parameter, e.g. if it is a categorial variable, int, double, array of size x,y,z</t>
        </r>
      </text>
    </comment>
    <comment ref="S132" authorId="0" shapeId="0">
      <text>
        <r>
          <rPr>
            <sz val="10"/>
            <color rgb="FF000000"/>
            <rFont val="Arial"/>
            <family val="2"/>
          </rPr>
          <t>Information on the type of knowledge used to define the parameter value</t>
        </r>
      </text>
    </comment>
    <comment ref="T132" authorId="0" shapeId="0">
      <text>
        <r>
          <rPr>
            <sz val="10"/>
            <color rgb="FF000000"/>
            <rFont val="Arial"/>
            <family val="2"/>
          </rPr>
          <t>Scope of the parameter, e.g. if it refers to an animal, a batch of animals, a batch of products, a carcass, a carcass skin etc</t>
        </r>
      </text>
    </comment>
    <comment ref="U132"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family val="2"/>
          </rPr>
          <t>Numerical values of the maximum limit of the parameter that determine the range of applicability for which the model applies</t>
        </r>
      </text>
    </comment>
    <comment ref="Z132" authorId="0" shapeId="0">
      <text>
        <r>
          <rPr>
            <sz val="10"/>
            <color rgb="FF000000"/>
            <rFont val="Arial"/>
            <family val="2"/>
          </rPr>
          <t>Numerical values of the minimum limit of the parameter that determine the range of applicability for which the model applies</t>
        </r>
      </text>
    </comment>
    <comment ref="AA132" authorId="0" shapeId="0">
      <text>
        <r>
          <rPr>
            <sz val="10"/>
            <color rgb="FF000000"/>
            <rFont val="Arial"/>
            <family val="2"/>
          </rPr>
          <t>Error of the parameter value</t>
        </r>
      </text>
    </comment>
    <comment ref="G134"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family val="2"/>
          </rPr>
          <t>Numerical value of the maximum limit of the parameter that determine the range of applicability for which the model applies</t>
        </r>
      </text>
    </comment>
    <comment ref="G138" authorId="0" shapeId="0">
      <text>
        <r>
          <rPr>
            <sz val="10"/>
            <color rgb="FF000000"/>
            <rFont val="Arial"/>
            <family val="2"/>
          </rPr>
          <t>Numerical value of the minimum limit of the parameter that determine the range of applicability for which the model applies</t>
        </r>
      </text>
    </comment>
    <comment ref="G139" authorId="0" shapeId="0">
      <text>
        <r>
          <rPr>
            <sz val="10"/>
            <color rgb="FF000000"/>
            <rFont val="Arial"/>
            <family val="2"/>
          </rPr>
          <t>Error of the parameter value</t>
        </r>
      </text>
    </comment>
    <comment ref="G140" authorId="0" shapeId="0">
      <text>
        <r>
          <rPr>
            <sz val="10"/>
            <color rgb="FF000000"/>
            <rFont val="Arial"/>
            <family val="2"/>
          </rPr>
          <t>Statistical values calculated to describe the performance of the model fitting procedure</t>
        </r>
      </text>
    </comment>
    <comment ref="G142" authorId="0" shapeId="0">
      <text>
        <r>
          <rPr>
            <sz val="10"/>
            <color rgb="FF000000"/>
            <rFont val="Arial"/>
            <family val="2"/>
          </rPr>
          <t>A name given to the model equation</t>
        </r>
      </text>
    </comment>
    <comment ref="G143" authorId="0" shapeId="0">
      <text>
        <r>
          <rPr>
            <sz val="10"/>
            <color rgb="FF000000"/>
            <rFont val="Arial"/>
            <family val="2"/>
          </rPr>
          <t>Information on that helps to categorize model equations</t>
        </r>
      </text>
    </comment>
    <comment ref="G147" authorId="0" shapeId="0">
      <text>
        <r>
          <rPr>
            <sz val="10"/>
            <color rgb="FF000000"/>
            <rFont val="Arial"/>
            <family val="2"/>
          </rPr>
          <t xml:space="preserve">Procedure used to fit the data to the model equation </t>
        </r>
      </text>
    </comment>
    <comment ref="G148" authorId="0" shapeId="0">
      <text>
        <r>
          <rPr>
            <sz val="10"/>
            <color rgb="FF000000"/>
            <rFont val="Arial"/>
            <family val="2"/>
          </rPr>
          <t>The pointer to the file that holds the software code (e.g. R-script)</t>
        </r>
      </text>
    </comment>
    <comment ref="E150" authorId="0" shapeId="0">
      <text>
        <r>
          <rPr>
            <sz val="10"/>
            <color rgb="FF000000"/>
            <rFont val="Arial"/>
            <family val="2"/>
          </rPr>
          <t xml:space="preserve">Procedure used to fit the data to the model equation </t>
        </r>
      </text>
    </comment>
    <comment ref="G151" authorId="0" shapeId="0">
      <text>
        <r>
          <rPr>
            <sz val="10"/>
            <color rgb="FF000000"/>
            <rFont val="Arial"/>
            <family val="2"/>
          </rPr>
          <t>describe the mathematical method to replace left-censored data: recommandation of WHO (2013), distribution or ohters</t>
        </r>
      </text>
    </comment>
    <comment ref="G152" authorId="0" shapeId="0">
      <text>
        <r>
          <rPr>
            <sz val="10"/>
            <color rgb="FF000000"/>
            <rFont val="Arial"/>
            <family val="2"/>
          </rPr>
          <t>describe the range of of the level of contamination after left censored data treatment</t>
        </r>
      </text>
    </comment>
    <comment ref="G154" authorId="0" shapeId="0">
      <text>
        <r>
          <rPr>
            <sz val="10"/>
            <color rgb="FF000000"/>
            <rFont val="Arial"/>
            <family val="2"/>
          </rPr>
          <t>describe the different scenari of exposure assessment</t>
        </r>
      </text>
    </comment>
    <comment ref="G155" authorId="0" shapeId="0">
      <text>
        <r>
          <rPr>
            <sz val="10"/>
            <color rgb="FF000000"/>
            <rFont val="Arial"/>
            <family val="2"/>
          </rPr>
          <t>Analysis to estimate uncertainty</t>
        </r>
      </text>
    </comment>
    <comment ref="E156" authorId="0" shapeId="0">
      <text>
        <r>
          <rPr>
            <sz val="10"/>
            <color rgb="FF000000"/>
            <rFont val="Arial"/>
            <family val="2"/>
          </rPr>
          <t>Definition of time-dependent parameter changes</t>
        </r>
      </text>
    </comment>
  </commentList>
</comments>
</file>

<file path=xl/comments9.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 xml:space="preserve">The person responsible for creating the model file in the present form or the person responsible for creating the model file in the present form </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Web address referencing the resource location</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L37" authorId="0" shapeId="0">
      <text>
        <r>
          <rPr>
            <sz val="10"/>
            <color rgb="FF000000"/>
            <rFont val="Arial"/>
            <family val="2"/>
          </rPr>
          <t>The product-matrix (animal, food product, matrix, lab media, etc.) for which the model applies</t>
        </r>
      </text>
    </comment>
    <comment ref="M37" authorId="0" shapeId="0">
      <text>
        <r>
          <rPr>
            <sz val="10"/>
            <color rgb="FF000000"/>
            <rFont val="Arial"/>
            <family val="2"/>
          </rPr>
          <t>Description of the product-matrix (animal, food product, matrix, lab media, etc.) for which the model applies</t>
        </r>
      </text>
    </comment>
    <comment ref="N37" authorId="0" shapeId="0">
      <text>
        <r>
          <rPr>
            <sz val="10"/>
            <color rgb="FF000000"/>
            <rFont val="Arial"/>
            <family val="2"/>
          </rPr>
          <t>Units of the product-matrix for which the model applies</t>
        </r>
      </text>
    </comment>
    <comment ref="O37" authorId="0" shapeId="0">
      <text>
        <r>
          <rPr>
            <sz val="10"/>
            <color rgb="FF000000"/>
            <rFont val="Arial"/>
            <family val="2"/>
          </rPr>
          <t>Type of production for the product/ matrix</t>
        </r>
      </text>
    </comment>
    <comment ref="P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family val="2"/>
          </rPr>
          <t>Used to characterise a product/matrix based on the treatment or processes applied to the product or any indexed ingredient.</t>
        </r>
      </text>
    </comment>
    <comment ref="R37" authorId="0" shapeId="0">
      <text>
        <r>
          <rPr>
            <sz val="10"/>
            <color rgb="FF000000"/>
            <rFont val="Arial"/>
            <family val="2"/>
          </rPr>
          <t>Country of origin of the food/product (ISO 3166-1-alpha-2 country code).</t>
        </r>
      </text>
    </comment>
    <comment ref="S37" authorId="0" shapeId="0">
      <text>
        <r>
          <rPr>
            <sz val="10"/>
            <color rgb="FF000000"/>
            <rFont val="Arial"/>
            <family val="2"/>
          </rPr>
          <t>Area of origin of the food/product (Nomenclature of territorial units for statistics – NUTS – coding system valid only for EEA and Switzerland).</t>
        </r>
      </text>
    </comment>
    <comment ref="T37" authorId="0" shapeId="0">
      <text>
        <r>
          <rPr>
            <sz val="10"/>
            <color rgb="FF000000"/>
            <rFont val="Arial"/>
            <family val="2"/>
          </rPr>
          <t>Fisheries or aquaculture area specifying the origin of the sample (FAO Fisheries areas).</t>
        </r>
      </text>
    </comment>
    <comment ref="U37" authorId="0" shapeId="0">
      <text>
        <r>
          <rPr>
            <sz val="10"/>
            <color rgb="FF000000"/>
            <rFont val="Arial"/>
            <family val="2"/>
          </rPr>
          <t>date of production of food/product</t>
        </r>
      </text>
    </comment>
    <comment ref="V37" authorId="0" shapeId="0">
      <text>
        <r>
          <rPr>
            <sz val="10"/>
            <color rgb="FF000000"/>
            <rFont val="Arial"/>
            <family val="2"/>
          </rPr>
          <t>date of expiry of food/product</t>
        </r>
      </text>
    </comment>
    <comment ref="W37" authorId="0" shapeId="0">
      <text>
        <r>
          <rPr>
            <sz val="10"/>
            <color rgb="FF000000"/>
            <rFont val="Arial"/>
            <family val="2"/>
          </rPr>
          <t>General classification of the hazard for which the model or data applies</t>
        </r>
      </text>
    </comment>
    <comment ref="X37" authorId="0" shapeId="0">
      <text>
        <r>
          <rPr>
            <sz val="10"/>
            <color rgb="FF000000"/>
            <rFont val="Arial"/>
            <family val="2"/>
          </rPr>
          <t>Name of the hazard for which the model or data applies</t>
        </r>
      </text>
    </comment>
    <comment ref="Y37" authorId="0" shapeId="0">
      <text>
        <r>
          <rPr>
            <sz val="10"/>
            <color rgb="FF000000"/>
            <rFont val="Arial"/>
            <family val="2"/>
          </rPr>
          <t>Description of the hazard for which the model or data applies</t>
        </r>
      </text>
    </comment>
    <comment ref="Z37" authorId="0" shapeId="0">
      <text>
        <r>
          <rPr>
            <sz val="10"/>
            <color rgb="FF000000"/>
            <rFont val="Arial"/>
            <family val="2"/>
          </rPr>
          <t>Unit of the hazard for which the model applies</t>
        </r>
      </text>
    </comment>
    <comment ref="AA37" authorId="0" shapeId="0">
      <text>
        <r>
          <rPr>
            <sz val="10"/>
            <color rgb="FF000000"/>
            <rFont val="Arial"/>
            <family val="2"/>
          </rPr>
          <t>morbidity, mortality, effect</t>
        </r>
      </text>
    </comment>
    <comment ref="AB37" authorId="0" shapeId="0">
      <text>
        <r>
          <rPr>
            <sz val="10"/>
            <color rgb="FF000000"/>
            <rFont val="Arial"/>
            <family val="2"/>
          </rPr>
          <t>source of contamination, origin</t>
        </r>
      </text>
    </comment>
    <comment ref="AC37" authorId="0" shapeId="0">
      <text>
        <r>
          <rPr>
            <sz val="10"/>
            <color rgb="FF000000"/>
            <rFont val="Arial"/>
            <family val="2"/>
          </rPr>
          <t>A dose or concentration that produces a predetermined change in response rate of an adverse effect (called the bench response or BMR) compared to background.</t>
        </r>
      </text>
    </comment>
    <comment ref="AD37" authorId="0" shapeId="0">
      <text>
        <r>
          <rPr>
            <sz val="10"/>
            <color rgb="FF000000"/>
            <rFont val="Arial"/>
            <family val="2"/>
          </rPr>
          <t>International regulations and permissible maximum residue levels in food and drinking water</t>
        </r>
      </text>
    </comment>
    <comment ref="AE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J37" authorId="0" shapeId="0">
      <text>
        <r>
          <rPr>
            <sz val="10"/>
            <color rgb="FF000000"/>
            <rFont val="Arial"/>
            <family val="2"/>
          </rPr>
          <t>Define if the parameter reported is an individual residue/analyte, a summed residue definition or part of a sum a summed residue definition.</t>
        </r>
      </text>
    </comment>
    <comment ref="AK37" authorId="0" shapeId="0">
      <text>
        <r>
          <rPr>
            <sz val="10"/>
            <color rgb="FF000000"/>
            <rFont val="Arial"/>
            <family val="2"/>
          </rPr>
          <t>Name of the population for which the model or data applies</t>
        </r>
      </text>
    </comment>
    <comment ref="AL37" authorId="0" shapeId="0">
      <text>
        <r>
          <rPr>
            <sz val="10"/>
            <color rgb="FF000000"/>
            <rFont val="Arial"/>
            <family val="2"/>
          </rPr>
          <t>population of individual that we are interested in describing and making statistical inferences about</t>
        </r>
      </text>
    </comment>
    <comment ref="AM37" authorId="0" shapeId="0">
      <text>
        <r>
          <rPr>
            <sz val="10"/>
            <color rgb="FF000000"/>
            <rFont val="Arial"/>
            <family val="2"/>
          </rPr>
          <t>Temporal information on the exposure duration</t>
        </r>
      </text>
    </comment>
    <comment ref="AN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family val="2"/>
          </rPr>
          <t>describe the range of age or group of age</t>
        </r>
      </text>
    </comment>
    <comment ref="AP37" authorId="0" shapeId="0">
      <text>
        <r>
          <rPr>
            <sz val="10"/>
            <color rgb="FF000000"/>
            <rFont val="Arial"/>
            <family val="2"/>
          </rPr>
          <t>describe the percentage of gender</t>
        </r>
      </text>
    </comment>
    <comment ref="AQ37" authorId="0" shapeId="0">
      <text>
        <r>
          <rPr>
            <sz val="10"/>
            <color rgb="FF000000"/>
            <rFont val="Arial"/>
            <family val="2"/>
          </rPr>
          <t>describe the range of BMI or class of BMI or BMI mean</t>
        </r>
      </text>
    </comment>
    <comment ref="AR37" authorId="0" shapeId="0">
      <text>
        <r>
          <rPr>
            <sz val="10"/>
            <color rgb="FF000000"/>
            <rFont val="Arial"/>
            <family val="2"/>
          </rPr>
          <t>sub-population with special diets (vegetarians, diabetics, group following special ethnic diets)</t>
        </r>
      </text>
    </comment>
    <comment ref="AS37" authorId="0" shapeId="0">
      <text>
        <r>
          <rPr>
            <sz val="10"/>
            <color rgb="FF000000"/>
            <rFont val="Arial"/>
            <family val="2"/>
          </rPr>
          <t>describe the consumption of different food items: frequency, portion size</t>
        </r>
      </text>
    </comment>
    <comment ref="AT37" authorId="0" shapeId="0">
      <text>
        <r>
          <rPr>
            <sz val="10"/>
            <color rgb="FF000000"/>
            <rFont val="Arial"/>
            <family val="2"/>
          </rPr>
          <t>Spatial information (area) on which the population group of the model or data applies</t>
        </r>
      </text>
    </comment>
    <comment ref="AU37" authorId="0" shapeId="0">
      <text>
        <r>
          <rPr>
            <sz val="10"/>
            <color rgb="FF000000"/>
            <rFont val="Arial"/>
            <family val="2"/>
          </rPr>
          <t>Country on which the population group of the model or data applies</t>
        </r>
      </text>
    </comment>
    <comment ref="AV37" authorId="0" shapeId="0">
      <text>
        <r>
          <rPr>
            <sz val="10"/>
            <color rgb="FF000000"/>
            <rFont val="Arial"/>
            <family val="2"/>
          </rPr>
          <t>distribution of surveyed people according to the season (influence consumption pattern)</t>
        </r>
      </text>
    </comment>
    <comment ref="AW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applies</t>
        </r>
      </text>
    </comment>
    <comment ref="G48" authorId="0" shapeId="0">
      <text>
        <r>
          <rPr>
            <sz val="10"/>
            <color rgb="FF000000"/>
            <rFont val="Arial"/>
            <family val="2"/>
          </rPr>
          <t>Name of the hazard for which the model applies</t>
        </r>
      </text>
    </comment>
    <comment ref="G49" authorId="0" shapeId="0">
      <text>
        <r>
          <rPr>
            <sz val="10"/>
            <color rgb="FF000000"/>
            <rFont val="Arial"/>
            <family val="2"/>
          </rPr>
          <t>Description of the hazard for which the model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G61" authorId="0" shapeId="0">
      <text>
        <r>
          <rPr>
            <sz val="10"/>
            <color rgb="FF000000"/>
            <rFont val="Arial"/>
            <family val="2"/>
          </rPr>
          <t>Name of the population for which the modelapplies</t>
        </r>
      </text>
    </comment>
    <comment ref="G62" authorId="0" shapeId="0">
      <text>
        <r>
          <rPr>
            <sz val="10"/>
            <color rgb="FF000000"/>
            <rFont val="Arial"/>
            <family val="2"/>
          </rPr>
          <t>population of individual that we are interested in describing and making statistical inferences about</t>
        </r>
      </text>
    </comment>
    <comment ref="G63" authorId="0" shapeId="0">
      <text>
        <r>
          <rPr>
            <sz val="10"/>
            <color rgb="FF000000"/>
            <rFont val="Arial"/>
            <family val="2"/>
          </rPr>
          <t>Temporal information on the exposure duration</t>
        </r>
      </text>
    </comment>
    <comment ref="G64"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family val="2"/>
          </rPr>
          <t>describe the range of age or group of age</t>
        </r>
      </text>
    </comment>
    <comment ref="G66" authorId="0" shapeId="0">
      <text>
        <r>
          <rPr>
            <sz val="10"/>
            <color rgb="FF000000"/>
            <rFont val="Arial"/>
            <family val="2"/>
          </rPr>
          <t>describe the percentage of gender</t>
        </r>
      </text>
    </comment>
    <comment ref="G67" authorId="0" shapeId="0">
      <text>
        <r>
          <rPr>
            <sz val="10"/>
            <color rgb="FF000000"/>
            <rFont val="Arial"/>
            <family val="2"/>
          </rPr>
          <t>describe the range of BMI or class of BMI or BMI mean</t>
        </r>
      </text>
    </comment>
    <comment ref="G68" authorId="0" shapeId="0">
      <text>
        <r>
          <rPr>
            <sz val="10"/>
            <color rgb="FF000000"/>
            <rFont val="Arial"/>
            <family val="2"/>
          </rPr>
          <t>sub-population with special diets (vegetarians, diabetics, group following special ethnic diets)</t>
        </r>
      </text>
    </comment>
    <comment ref="G69" authorId="0" shapeId="0">
      <text>
        <r>
          <rPr>
            <sz val="10"/>
            <color rgb="FF000000"/>
            <rFont val="Arial"/>
            <family val="2"/>
          </rPr>
          <t>describe the consumption of different food items: frequency, portion size</t>
        </r>
      </text>
    </comment>
    <comment ref="G70" authorId="0" shapeId="0">
      <text>
        <r>
          <rPr>
            <sz val="10"/>
            <color rgb="FF000000"/>
            <rFont val="Arial"/>
            <family val="2"/>
          </rPr>
          <t>Spatial information (area) on which the population group of the model applies</t>
        </r>
      </text>
    </comment>
    <comment ref="G71" authorId="0" shapeId="0">
      <text>
        <r>
          <rPr>
            <sz val="10"/>
            <color rgb="FF000000"/>
            <rFont val="Arial"/>
            <family val="2"/>
          </rPr>
          <t>Country on which the population group of the model applies</t>
        </r>
      </text>
    </comment>
    <comment ref="G72" authorId="0" shapeId="0">
      <text>
        <r>
          <rPr>
            <sz val="10"/>
            <color rgb="FF000000"/>
            <rFont val="Arial"/>
            <family val="2"/>
          </rPr>
          <t>distribution of surveyed people according to the season (influence consumption pattern)</t>
        </r>
      </text>
    </comment>
    <comment ref="G73" authorId="0" shapeId="0">
      <text>
        <r>
          <rPr>
            <sz val="10"/>
            <color rgb="FF000000"/>
            <rFont val="Arial"/>
            <family val="2"/>
          </rPr>
          <t>distribution of surveyed people according to the season (influence consumption pattern)</t>
        </r>
      </text>
    </comment>
    <comment ref="E74" authorId="0" shapeId="0">
      <text>
        <r>
          <rPr>
            <sz val="10"/>
            <color rgb="FF000000"/>
            <rFont val="Arial"/>
            <family val="2"/>
          </rPr>
          <t>General comments on the scope of the model</t>
        </r>
      </text>
    </comment>
    <comment ref="G75" authorId="0" shapeId="0">
      <text>
        <r>
          <rPr>
            <sz val="10"/>
            <color rgb="FF000000"/>
            <rFont val="Arial"/>
            <family val="2"/>
          </rPr>
          <t>Temporal information on which the model applies / An interval of time that is named or defined by its start and end dates (period of study)</t>
        </r>
      </text>
    </comment>
    <comment ref="G76" authorId="0" shapeId="0">
      <text>
        <r>
          <rPr>
            <sz val="10"/>
            <color rgb="FF000000"/>
            <rFont val="Arial"/>
            <family val="2"/>
          </rPr>
          <t>Spatial information (area) on which the model applies</t>
        </r>
      </text>
    </comment>
    <comment ref="G77" authorId="0" shapeId="0">
      <text>
        <r>
          <rPr>
            <sz val="10"/>
            <color rgb="FF000000"/>
            <rFont val="Arial"/>
            <family val="2"/>
          </rPr>
          <t>Country on which the model applies</t>
        </r>
      </text>
    </comment>
    <comment ref="G78" authorId="0" shapeId="0">
      <text>
        <r>
          <rPr>
            <sz val="10"/>
            <color rgb="FF000000"/>
            <rFont val="Arial"/>
            <family val="2"/>
          </rPr>
          <t>A user defined identifier for the study</t>
        </r>
      </text>
    </comment>
    <comment ref="G79" authorId="0" shapeId="0">
      <text>
        <r>
          <rPr>
            <sz val="10"/>
            <color rgb="FF000000"/>
            <rFont val="Arial"/>
            <family val="2"/>
          </rPr>
          <t>A title for the Study.</t>
        </r>
      </text>
    </comment>
    <comment ref="G80" authorId="0" shapeId="0">
      <text>
        <r>
          <rPr>
            <sz val="10"/>
            <color rgb="FF000000"/>
            <rFont val="Arial"/>
            <family val="2"/>
          </rPr>
          <t>A brief description of the study aims.</t>
        </r>
      </text>
    </comment>
    <comment ref="G81" authorId="0" shapeId="0">
      <text>
        <r>
          <rPr>
            <sz val="10"/>
            <color rgb="FF000000"/>
            <rFont val="Arial"/>
            <family val="2"/>
          </rPr>
          <t>The type of study design being employed</t>
        </r>
      </text>
    </comment>
    <comment ref="G82" authorId="0" shapeId="0">
      <text>
        <r>
          <rPr>
            <sz val="10"/>
            <color rgb="FF000000"/>
            <rFont val="Arial"/>
            <family val="2"/>
          </rPr>
          <t>The measurement being observed in this assay</t>
        </r>
      </text>
    </comment>
    <comment ref="G83" authorId="0" shapeId="0">
      <text>
        <r>
          <rPr>
            <sz val="10"/>
            <color rgb="FF000000"/>
            <rFont val="Arial"/>
            <family val="2"/>
          </rPr>
          <t>The technology being employed to observe this measurement</t>
        </r>
      </text>
    </comment>
    <comment ref="G84" authorId="0" shapeId="0">
      <text>
        <r>
          <rPr>
            <sz val="10"/>
            <color rgb="FF000000"/>
            <rFont val="Arial"/>
            <family val="2"/>
          </rPr>
          <t>The technology platform used</t>
        </r>
      </text>
    </comment>
    <comment ref="G85" authorId="0" shapeId="0">
      <text>
        <r>
          <rPr>
            <sz val="10"/>
            <color rgb="FF000000"/>
            <rFont val="Arial"/>
            <family val="2"/>
          </rPr>
          <t>Accreditation procedure for the analytical method used</t>
        </r>
      </text>
    </comment>
    <comment ref="G86" authorId="0" shapeId="0">
      <text>
        <r>
          <rPr>
            <sz val="10"/>
            <color rgb="FF000000"/>
            <rFont val="Arial"/>
            <family val="2"/>
          </rPr>
          <t>The name of the protocol, e.g.Extraction Protocol</t>
        </r>
      </text>
    </comment>
    <comment ref="G87" authorId="0" shapeId="0">
      <text>
        <r>
          <rPr>
            <sz val="10"/>
            <color rgb="FF000000"/>
            <rFont val="Arial"/>
            <family val="2"/>
          </rPr>
          <t>The type of the protocol, preferably coming from an Ontology, e.g. Extraction Protocol</t>
        </r>
      </text>
    </comment>
    <comment ref="G88" authorId="0" shapeId="0">
      <text>
        <r>
          <rPr>
            <sz val="10"/>
            <color rgb="FF000000"/>
            <rFont val="Arial"/>
            <family val="2"/>
          </rPr>
          <t>A description of the Protocol.</t>
        </r>
      </text>
    </comment>
    <comment ref="G89" authorId="0" shapeId="0">
      <text>
        <r>
          <rPr>
            <sz val="10"/>
            <color rgb="FF000000"/>
            <rFont val="Arial"/>
            <family val="2"/>
          </rPr>
          <t>A URI to link out to a publication, web page, etc. describing the protocol.</t>
        </r>
      </text>
    </comment>
    <comment ref="G90" authorId="0" shapeId="0">
      <text>
        <r>
          <rPr>
            <sz val="10"/>
            <color rgb="FF000000"/>
            <rFont val="Arial"/>
            <family val="2"/>
          </rPr>
          <t>The version of the protocol used, where applicable.</t>
        </r>
      </text>
    </comment>
    <comment ref="G91" authorId="0" shapeId="0">
      <text>
        <r>
          <rPr>
            <sz val="10"/>
            <color rgb="FF000000"/>
            <rFont val="Arial"/>
            <family val="2"/>
          </rPr>
          <t>The parameters used when executing this protocol.</t>
        </r>
      </text>
    </comment>
    <comment ref="G92" authorId="0" shapeId="0">
      <text>
        <r>
          <rPr>
            <sz val="10"/>
            <color rgb="FF000000"/>
            <rFont val="Arial"/>
            <family val="2"/>
          </rPr>
          <t>The components used when carrying out this protocol.</t>
        </r>
      </text>
    </comment>
    <comment ref="G94" authorId="0" shapeId="0">
      <text>
        <r>
          <rPr>
            <sz val="10"/>
            <color rgb="FF000000"/>
            <rFont val="Arial"/>
            <family val="2"/>
          </rPr>
          <t>An unambiguous ID given to the samples used in the assay</t>
        </r>
      </text>
    </comment>
    <comment ref="G95" authorId="0" shapeId="0">
      <text>
        <r>
          <rPr>
            <sz val="10"/>
            <color rgb="FF000000"/>
            <rFont val="Arial"/>
            <family val="2"/>
          </rPr>
          <t>Additional protocol for sample and sample collection. Corresponds to the Protocol REF in ISA</t>
        </r>
      </text>
    </comment>
    <comment ref="L95" authorId="0" shapeId="0">
      <text>
        <r>
          <rPr>
            <sz val="10"/>
            <color rgb="FF000000"/>
            <rFont val="Arial"/>
            <family val="2"/>
          </rPr>
          <t>An unambiguous ID given to the samples used in the assay</t>
        </r>
      </text>
    </comment>
    <comment ref="M95" authorId="0" shapeId="0">
      <text>
        <r>
          <rPr>
            <sz val="10"/>
            <color rgb="FF000000"/>
            <rFont val="Arial"/>
            <family val="2"/>
          </rPr>
          <t>Additional protocol for sample and sample collection. Corresponds to the Protocol REF in ISA</t>
        </r>
      </text>
    </comment>
    <comment ref="N95" authorId="0" shapeId="0">
      <text>
        <r>
          <rPr>
            <sz val="10"/>
            <color rgb="FF000000"/>
            <rFont val="Arial"/>
            <family val="2"/>
          </rPr>
          <t>Sampling strategy (ref. EUROSTAT - Typology of sampling strategy, version of July 2009)</t>
        </r>
      </text>
    </comment>
    <comment ref="O95" authorId="0" shapeId="0">
      <text>
        <r>
          <rPr>
            <sz val="10"/>
            <color rgb="FF000000"/>
            <rFont val="Arial"/>
            <family val="2"/>
          </rPr>
          <t>Indicate the type programme for which the samples have been collected.</t>
        </r>
      </text>
    </comment>
    <comment ref="P95" authorId="0" shapeId="0">
      <text>
        <r>
          <rPr>
            <sz val="10"/>
            <color rgb="FF000000"/>
            <rFont val="Arial"/>
            <family val="2"/>
          </rPr>
          <t>Sampling method used to take the sample</t>
        </r>
      </text>
    </comment>
    <comment ref="Q95" authorId="0" shapeId="0">
      <text>
        <r>
          <rPr>
            <sz val="10"/>
            <color rgb="FF000000"/>
            <rFont val="Arial"/>
            <family val="2"/>
          </rPr>
          <t>description of data collection technique: stratified or complex sampling (several stages)</t>
        </r>
      </text>
    </comment>
    <comment ref="R95" authorId="0" shapeId="0">
      <text>
        <r>
          <rPr>
            <sz val="10"/>
            <color rgb="FF000000"/>
            <rFont val="Arial"/>
            <family val="2"/>
          </rPr>
          <t>description of the method employed to compute sampling weight (nonresponse-adjusted weight)</t>
        </r>
      </text>
    </comment>
    <comment ref="S95" authorId="0" shapeId="0">
      <text>
        <r>
          <rPr>
            <sz val="10"/>
            <color rgb="FF000000"/>
            <rFont val="Arial"/>
            <family val="2"/>
          </rPr>
          <t>number of units, full participants, partial participants, eligibles, not eligible, unresolved (eligibility status not resolved)…</t>
        </r>
      </text>
    </comment>
    <comment ref="T95" authorId="0" shapeId="0">
      <text>
        <r>
          <rPr>
            <sz val="10"/>
            <color rgb="FF000000"/>
            <rFont val="Arial"/>
            <family val="2"/>
          </rPr>
          <t>Unit in which the lot size is expressed.</t>
        </r>
      </text>
    </comment>
    <comment ref="U95" authorId="0" shapeId="0">
      <text>
        <r>
          <rPr>
            <sz val="10"/>
            <color rgb="FF000000"/>
            <rFont val="Arial"/>
            <family val="2"/>
          </rPr>
          <t>Point in the food chain where the sample was taken. (Doc. ESTAT/F5/ES/155 “Data dictionary of activities of the establishments”).</t>
        </r>
      </text>
    </comment>
    <comment ref="G96" authorId="0" shapeId="0">
      <text>
        <r>
          <rPr>
            <sz val="10"/>
            <color rgb="FF000000"/>
            <rFont val="Arial"/>
            <family val="2"/>
          </rPr>
          <t>Sampling strategy (ref. EUROSTAT - Typology of sampling strategy, version of July 2009)</t>
        </r>
      </text>
    </comment>
    <comment ref="G97" authorId="0" shapeId="0">
      <text>
        <r>
          <rPr>
            <sz val="10"/>
            <color rgb="FF000000"/>
            <rFont val="Arial"/>
            <family val="2"/>
          </rPr>
          <t>Indicate the type programme for which the samples have been collected.</t>
        </r>
      </text>
    </comment>
    <comment ref="G98" authorId="0" shapeId="0">
      <text>
        <r>
          <rPr>
            <sz val="10"/>
            <color rgb="FF000000"/>
            <rFont val="Arial"/>
            <family val="2"/>
          </rPr>
          <t>Sampling method used to take the sample</t>
        </r>
      </text>
    </comment>
    <comment ref="G99" authorId="0" shapeId="0">
      <text>
        <r>
          <rPr>
            <sz val="10"/>
            <color rgb="FF000000"/>
            <rFont val="Arial"/>
            <family val="2"/>
          </rPr>
          <t>description of data collection technique: stratified or complex sampling (several stages)</t>
        </r>
      </text>
    </comment>
    <comment ref="G100" authorId="0" shapeId="0">
      <text>
        <r>
          <rPr>
            <sz val="10"/>
            <color rgb="FF000000"/>
            <rFont val="Arial"/>
            <family val="2"/>
          </rPr>
          <t>description of the method employed to compute sampling weight (nonresponse-adjusted weight)</t>
        </r>
      </text>
    </comment>
    <comment ref="G101" authorId="0" shapeId="0">
      <text>
        <r>
          <rPr>
            <sz val="10"/>
            <color rgb="FF000000"/>
            <rFont val="Arial"/>
            <family val="2"/>
          </rPr>
          <t>number of units, full participants, partial participants, eligibles, not eligible, unresolved (eligibility status not resolved)…</t>
        </r>
      </text>
    </comment>
    <comment ref="G102" authorId="0" shapeId="0">
      <text>
        <r>
          <rPr>
            <sz val="10"/>
            <color rgb="FF000000"/>
            <rFont val="Arial"/>
            <family val="2"/>
          </rPr>
          <t>Unit in which the lot size is expressed.</t>
        </r>
      </text>
    </comment>
    <comment ref="L102" authorId="0" shapeId="0">
      <text>
        <r>
          <rPr>
            <sz val="10"/>
            <color rgb="FF000000"/>
            <rFont val="Arial"/>
            <family val="2"/>
          </rPr>
          <t>The laboratory accreditation to ISO/IEC 17025.</t>
        </r>
      </text>
    </comment>
    <comment ref="M102" authorId="0" shapeId="0">
      <text>
        <r>
          <rPr>
            <sz val="10"/>
            <color rgb="FF000000"/>
            <rFont val="Arial"/>
            <family val="2"/>
          </rPr>
          <t>Laboratory code (National laboratory code if available) or Laboratory name</t>
        </r>
      </text>
    </comment>
    <comment ref="N102" authorId="0" shapeId="0">
      <text>
        <r>
          <rPr>
            <sz val="10"/>
            <color rgb="FF000000"/>
            <rFont val="Arial"/>
            <family val="2"/>
          </rPr>
          <t>Country where the laboratory is placed. (ISO 3166-1-alpha-2).</t>
        </r>
      </text>
    </comment>
    <comment ref="G103" authorId="0" shapeId="0">
      <text>
        <r>
          <rPr>
            <sz val="10"/>
            <color rgb="FF000000"/>
            <rFont val="Arial"/>
            <family val="2"/>
          </rPr>
          <t>Point in the food chain where the sample was taken. (Doc. ESTAT/F5/ES/155 “Data dictionary of activities of the establishments”).</t>
        </r>
      </text>
    </comment>
    <comment ref="G104" authorId="0" shapeId="0">
      <text>
        <r>
          <rPr>
            <sz val="10"/>
            <color rgb="FF000000"/>
            <rFont val="Arial"/>
            <family val="2"/>
          </rPr>
          <t>The laboratory accreditation to ISO/IEC 17025.</t>
        </r>
      </text>
    </comment>
    <comment ref="G105" authorId="0" shapeId="0">
      <text>
        <r>
          <rPr>
            <sz val="10"/>
            <color rgb="FF000000"/>
            <rFont val="Arial"/>
            <family val="2"/>
          </rPr>
          <t>Laboratory code (National laboratory code if available) or Laboratory name</t>
        </r>
      </text>
    </comment>
    <comment ref="G106" authorId="0" shapeId="0">
      <text>
        <r>
          <rPr>
            <sz val="10"/>
            <color rgb="FF000000"/>
            <rFont val="Arial"/>
            <family val="2"/>
          </rPr>
          <t>Country where the laboratory is placed. (ISO 3166-1-alpha-2).</t>
        </r>
      </text>
    </comment>
    <comment ref="G107" authorId="0" shapeId="0">
      <text>
        <r>
          <rPr>
            <sz val="10"/>
            <color rgb="FF000000"/>
            <rFont val="Arial"/>
            <family val="2"/>
          </rPr>
          <t>A name given to the assay</t>
        </r>
      </text>
    </comment>
    <comment ref="G108" authorId="0" shapeId="0">
      <text>
        <r>
          <rPr>
            <sz val="10"/>
            <color rgb="FF000000"/>
            <rFont val="Arial"/>
            <family val="2"/>
          </rPr>
          <t>General description of the assay. Corresponds to the Protocol REF in ISA</t>
        </r>
      </text>
    </comment>
    <comment ref="G109" authorId="0" shapeId="0">
      <text>
        <r>
          <rPr>
            <sz val="10"/>
            <color rgb="FF000000"/>
            <rFont val="Arial"/>
            <family val="2"/>
          </rPr>
          <t>Percentage of moisture in the original sample</t>
        </r>
      </text>
    </comment>
    <comment ref="G110" authorId="0" shapeId="0">
      <text>
        <r>
          <rPr>
            <sz val="10"/>
            <color rgb="FF000000"/>
            <rFont val="Arial"/>
            <family val="2"/>
          </rPr>
          <t>Percentage of fat in the original sample</t>
        </r>
      </text>
    </comment>
    <comment ref="G111" authorId="0" shapeId="0">
      <text>
        <r>
          <rPr>
            <sz val="10"/>
            <color rgb="FF000000"/>
            <rFont val="Arial"/>
            <family val="2"/>
          </rPr>
          <t>Limit of detection reported in the unit specified by the variable “Hazard unit”.</t>
        </r>
      </text>
    </comment>
    <comment ref="G112" authorId="0" shapeId="0">
      <text>
        <r>
          <rPr>
            <sz val="10"/>
            <color rgb="FF000000"/>
            <rFont val="Arial"/>
            <family val="2"/>
          </rPr>
          <t>Limit of quantification reported in the unit specified by the variable “Hazard unit”</t>
        </r>
      </text>
    </comment>
    <comment ref="G113" authorId="0" shapeId="0">
      <text>
        <r>
          <rPr>
            <sz val="10"/>
            <color rgb="FF000000"/>
            <rFont val="Arial"/>
            <family val="2"/>
          </rPr>
          <t>percentage of measures equal to LOQ and/or LOD</t>
        </r>
      </text>
    </comment>
    <comment ref="G114" authorId="0" shapeId="0">
      <text>
        <r>
          <rPr>
            <sz val="10"/>
            <color rgb="FF000000"/>
            <rFont val="Arial"/>
            <family val="2"/>
          </rPr>
          <t>Range of result of the analytical measure reported in the unit specified by the variable “Hazard unit”</t>
        </r>
      </text>
    </comment>
    <comment ref="G115" authorId="0" shapeId="0">
      <text>
        <r>
          <rPr>
            <sz val="10"/>
            <color rgb="FF000000"/>
            <rFont val="Arial"/>
            <family val="2"/>
          </rPr>
          <t>Indicate the expanded uncertainty (usually 95% confidence interval) value associated with the measurement expressed in the unit reported in the field “Hazard unit”.</t>
        </r>
      </text>
    </comment>
    <comment ref="G116" authorId="0" shapeId="0">
      <text>
        <r>
          <rPr>
            <sz val="10"/>
            <color rgb="FF000000"/>
            <rFont val="Arial"/>
            <family val="2"/>
          </rPr>
          <t>An unambiguous and sequential ID given to the parameter. To be compatible with SBML, only letters from A to Z, numbers and "_" are acepted for ID creation.</t>
        </r>
      </text>
    </comment>
    <comment ref="M116" authorId="0" shapeId="0">
      <text>
        <r>
          <rPr>
            <sz val="10"/>
            <color rgb="FF000000"/>
            <rFont val="Arial"/>
            <family val="2"/>
          </rPr>
          <t>Statistical values calculated to describe the performance of the model fitting procedure</t>
        </r>
      </text>
    </comment>
    <comment ref="P116" authorId="0" shapeId="0">
      <text>
        <r>
          <rPr>
            <sz val="10"/>
            <color rgb="FF000000"/>
            <rFont val="Arial"/>
            <family val="2"/>
          </rPr>
          <t>A name given to the model equation</t>
        </r>
      </text>
    </comment>
    <comment ref="Q116" authorId="0" shapeId="0">
      <text>
        <r>
          <rPr>
            <sz val="10"/>
            <color rgb="FF000000"/>
            <rFont val="Arial"/>
            <family val="2"/>
          </rPr>
          <t>Information on that helps to categorize model equations</t>
        </r>
      </text>
    </comment>
    <comment ref="R116" authorId="0" shapeId="0">
      <text>
        <r>
          <rPr>
            <sz val="10"/>
            <color rgb="FF000000"/>
            <rFont val="Arial"/>
            <family val="2"/>
          </rPr>
          <t xml:space="preserve">Procedure used to fit the data to the model equation </t>
        </r>
      </text>
    </comment>
    <comment ref="S116" authorId="0" shapeId="0">
      <text>
        <r>
          <rPr>
            <sz val="10"/>
            <color rgb="FF000000"/>
            <rFont val="Arial"/>
            <family val="2"/>
          </rPr>
          <t>The pointer to the file that holds the software code (e.g. R-script)</t>
        </r>
      </text>
    </comment>
    <comment ref="G117" authorId="0" shapeId="0">
      <text>
        <r>
          <rPr>
            <sz val="10"/>
            <color rgb="FF000000"/>
            <rFont val="Arial"/>
            <family val="2"/>
          </rPr>
          <t>General classification of the parameter (e.g. Input, Constant, Output...)</t>
        </r>
      </text>
    </comment>
    <comment ref="G118" authorId="0" shapeId="0">
      <text>
        <r>
          <rPr>
            <sz val="10"/>
            <color rgb="FF000000"/>
            <rFont val="Arial"/>
            <family val="2"/>
          </rPr>
          <t>A name given to the parameter</t>
        </r>
      </text>
    </comment>
    <comment ref="G119" authorId="0" shapeId="0">
      <text>
        <r>
          <rPr>
            <sz val="10"/>
            <color rgb="FF000000"/>
            <rFont val="Arial"/>
            <family val="2"/>
          </rPr>
          <t>General description of the parameter</t>
        </r>
      </text>
    </comment>
    <comment ref="G120" authorId="0" shapeId="0">
      <text>
        <r>
          <rPr>
            <sz val="10"/>
            <color rgb="FF000000"/>
            <rFont val="Arial"/>
            <family val="2"/>
          </rPr>
          <t>Unit of the parameter</t>
        </r>
      </text>
    </comment>
    <comment ref="G121" authorId="0" shapeId="0">
      <text>
        <r>
          <rPr>
            <sz val="10"/>
            <color rgb="FF000000"/>
            <rFont val="Arial"/>
            <family val="2"/>
          </rPr>
          <t>General classification of the parameter unit</t>
        </r>
      </text>
    </comment>
    <comment ref="G122" authorId="0" shapeId="0">
      <text>
        <r>
          <rPr>
            <sz val="10"/>
            <color rgb="FF000000"/>
            <rFont val="Arial"/>
            <family val="2"/>
          </rPr>
          <t>Information on the data format of the parameter, e.g. if it is a categorial variable, int, double, array of size x,y,z</t>
        </r>
      </text>
    </comment>
    <comment ref="G123" authorId="0" shapeId="0">
      <text>
        <r>
          <rPr>
            <sz val="10"/>
            <color rgb="FF000000"/>
            <rFont val="Arial"/>
            <family val="2"/>
          </rPr>
          <t>Information on the type of knowledge used to define the parameter value</t>
        </r>
      </text>
    </comment>
    <comment ref="G124" authorId="0" shapeId="0">
      <text>
        <r>
          <rPr>
            <sz val="10"/>
            <color rgb="FF000000"/>
            <rFont val="Arial"/>
            <family val="2"/>
          </rPr>
          <t>Scope of the parameter, e.g. if it refers to an animal, a batch of animals, a batch of products, a carcass, a carcass skin etc</t>
        </r>
      </text>
    </comment>
    <comment ref="G125" authorId="0" shapeId="0">
      <text>
        <r>
          <rPr>
            <sz val="10"/>
            <color rgb="FF000000"/>
            <rFont val="Arial"/>
            <family val="2"/>
          </rPr>
          <t xml:space="preserve">Information on the distribution describing the parameter (e.g. variability, uncertainty, point estimate...) </t>
        </r>
      </text>
    </comment>
    <comment ref="K125"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26" authorId="0" shapeId="0">
      <text>
        <r>
          <rPr>
            <sz val="10"/>
            <color rgb="FF000000"/>
            <rFont val="Arial"/>
            <family val="2"/>
          </rPr>
          <t>An unambiguous and sequential ID given to the parameter. To be compatible with SBML, only letters from A to Z, numbers and "_" are acepted for ID creation.</t>
        </r>
      </text>
    </comment>
    <comment ref="M126" authorId="0" shapeId="0">
      <text>
        <r>
          <rPr>
            <sz val="10"/>
            <color rgb="FF000000"/>
            <rFont val="Arial"/>
            <family val="2"/>
          </rPr>
          <t>General classification of the parameter (e.g. Input, Constant, Output...)</t>
        </r>
      </text>
    </comment>
    <comment ref="N126" authorId="0" shapeId="0">
      <text>
        <r>
          <rPr>
            <sz val="10"/>
            <color rgb="FF000000"/>
            <rFont val="Arial"/>
            <family val="2"/>
          </rPr>
          <t>A name given to the parameter</t>
        </r>
      </text>
    </comment>
    <comment ref="O126" authorId="0" shapeId="0">
      <text>
        <r>
          <rPr>
            <sz val="10"/>
            <color rgb="FF000000"/>
            <rFont val="Arial"/>
            <family val="2"/>
          </rPr>
          <t>General description of the parameter</t>
        </r>
      </text>
    </comment>
    <comment ref="P126" authorId="0" shapeId="0">
      <text>
        <r>
          <rPr>
            <sz val="10"/>
            <color rgb="FF000000"/>
            <rFont val="Arial"/>
            <family val="2"/>
          </rPr>
          <t>Unit of the parameter</t>
        </r>
      </text>
    </comment>
    <comment ref="Q126" authorId="0" shapeId="0">
      <text>
        <r>
          <rPr>
            <sz val="10"/>
            <color rgb="FF000000"/>
            <rFont val="Arial"/>
            <family val="2"/>
          </rPr>
          <t>General classification of the parameter unit</t>
        </r>
      </text>
    </comment>
    <comment ref="R126" authorId="0" shapeId="0">
      <text>
        <r>
          <rPr>
            <sz val="10"/>
            <color rgb="FF000000"/>
            <rFont val="Arial"/>
            <family val="2"/>
          </rPr>
          <t>Information on the data format of the parameter, e.g. if it is a categorial variable, int, double, array of size x,y,z</t>
        </r>
      </text>
    </comment>
    <comment ref="S126" authorId="0" shapeId="0">
      <text>
        <r>
          <rPr>
            <sz val="10"/>
            <color rgb="FF000000"/>
            <rFont val="Arial"/>
            <family val="2"/>
          </rPr>
          <t>Information on the type of knowledge used to define the parameter value</t>
        </r>
      </text>
    </comment>
    <comment ref="T126" authorId="0" shapeId="0">
      <text>
        <r>
          <rPr>
            <sz val="10"/>
            <color rgb="FF000000"/>
            <rFont val="Arial"/>
            <family val="2"/>
          </rPr>
          <t>Scope of the parameter, e.g. if it refers to an animal, a batch of animals, a batch of products, a carcass, a carcass skin etc</t>
        </r>
      </text>
    </comment>
    <comment ref="U126"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26"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26"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26"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26" authorId="0" shapeId="0">
      <text>
        <r>
          <rPr>
            <sz val="10"/>
            <color rgb="FF000000"/>
            <rFont val="Arial"/>
            <family val="2"/>
          </rPr>
          <t>Numerical values of the minimum limit of the parameter that determine the range of applicability for which the model applies</t>
        </r>
      </text>
    </comment>
    <comment ref="Z126" authorId="0" shapeId="0">
      <text>
        <r>
          <rPr>
            <sz val="10"/>
            <color rgb="FF000000"/>
            <rFont val="Arial"/>
            <family val="2"/>
          </rPr>
          <t>Numerical values of the minimum limit of the parameter that determine the range of applicability for which the model applies</t>
        </r>
      </text>
    </comment>
    <comment ref="AA126" authorId="0" shapeId="0">
      <text>
        <r>
          <rPr>
            <sz val="10"/>
            <color rgb="FF000000"/>
            <rFont val="Arial"/>
            <family val="2"/>
          </rPr>
          <t>Error of the parameter value</t>
        </r>
      </text>
    </comment>
    <comment ref="G128"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29"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30"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family val="2"/>
          </rPr>
          <t>Numerical value of the maximum limit of the parameter that determine the range of applicability for which the model applies</t>
        </r>
      </text>
    </comment>
    <comment ref="G132" authorId="0" shapeId="0">
      <text>
        <r>
          <rPr>
            <sz val="10"/>
            <color rgb="FF000000"/>
            <rFont val="Arial"/>
            <family val="2"/>
          </rPr>
          <t>Numerical value of the minimum limit of the parameter that determine the range of applicability for which the model applies</t>
        </r>
      </text>
    </comment>
    <comment ref="G133" authorId="0" shapeId="0">
      <text>
        <r>
          <rPr>
            <sz val="10"/>
            <color rgb="FF000000"/>
            <rFont val="Arial"/>
            <family val="2"/>
          </rPr>
          <t>Error of the parameter value</t>
        </r>
      </text>
    </comment>
    <comment ref="G134" authorId="0" shapeId="0">
      <text>
        <r>
          <rPr>
            <sz val="10"/>
            <color rgb="FF000000"/>
            <rFont val="Arial"/>
            <family val="2"/>
          </rPr>
          <t>Statistical values calculated to describe the performance of the model fitting procedure</t>
        </r>
      </text>
    </comment>
    <comment ref="G136" authorId="0" shapeId="0">
      <text>
        <r>
          <rPr>
            <sz val="10"/>
            <color rgb="FF000000"/>
            <rFont val="Arial"/>
            <family val="2"/>
          </rPr>
          <t>A name given to the model equation</t>
        </r>
      </text>
    </comment>
    <comment ref="G137" authorId="0" shapeId="0">
      <text>
        <r>
          <rPr>
            <sz val="10"/>
            <color rgb="FF000000"/>
            <rFont val="Arial"/>
            <family val="2"/>
          </rPr>
          <t>Information on that helps to categorize model equations</t>
        </r>
      </text>
    </comment>
    <comment ref="G141" authorId="0" shapeId="0">
      <text>
        <r>
          <rPr>
            <sz val="10"/>
            <color rgb="FF000000"/>
            <rFont val="Arial"/>
            <family val="2"/>
          </rPr>
          <t xml:space="preserve">Procedure used to fit the data to the model equation </t>
        </r>
      </text>
    </comment>
    <comment ref="G142" authorId="0" shapeId="0">
      <text>
        <r>
          <rPr>
            <sz val="10"/>
            <color rgb="FF000000"/>
            <rFont val="Arial"/>
            <family val="2"/>
          </rPr>
          <t>The pointer to the file that holds the software code (e.g. R-script)</t>
        </r>
      </text>
    </comment>
    <comment ref="E144" authorId="0" shapeId="0">
      <text>
        <r>
          <rPr>
            <sz val="10"/>
            <color rgb="FF000000"/>
            <rFont val="Arial"/>
            <family val="2"/>
          </rPr>
          <t xml:space="preserve">Procedure used to fit the data to the model equation </t>
        </r>
      </text>
    </comment>
  </commentList>
</comments>
</file>

<file path=xl/comments10.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 xml:space="preserve">The person responsible for creating the data file in the present form </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data</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data(e.g. URI)</t>
        </r>
      </text>
    </comment>
    <comment ref="E5" authorId="0" shapeId="0">
      <text>
        <r>
          <rPr>
            <sz val="10"/>
            <color rgb="FF000000"/>
            <rFont val="Arial"/>
            <family val="2"/>
          </rPr>
          <t>Person who generated the data set originally</t>
        </r>
      </text>
    </comment>
    <comment ref="E6" authorId="0" shapeId="0">
      <text>
        <r>
          <rPr>
            <sz val="10"/>
            <color rgb="FF000000"/>
            <rFont val="Arial"/>
            <family val="2"/>
          </rPr>
          <t xml:space="preserve">The person responsible for creating the data file in the present form </t>
        </r>
      </text>
    </comment>
    <comment ref="G9" authorId="0" shapeId="0">
      <text>
        <r>
          <rPr>
            <sz val="10"/>
            <color rgb="FF000000"/>
            <rFont val="Arial"/>
            <family val="2"/>
          </rPr>
          <t>Temporal information on the model creation date</t>
        </r>
      </text>
    </comment>
    <comment ref="E10" authorId="0" shapeId="0">
      <text>
        <r>
          <rPr>
            <sz val="10"/>
            <color rgb="FF000000"/>
            <rFont val="Arial"/>
            <family val="2"/>
          </rPr>
          <t>Availability of data</t>
        </r>
      </text>
    </comment>
    <comment ref="E11" authorId="0" shapeId="0">
      <text>
        <r>
          <rPr>
            <sz val="10"/>
            <color rgb="FF000000"/>
            <rFont val="Arial"/>
            <family val="2"/>
          </rPr>
          <t>Web address referencing the resource location (data for example)</t>
        </r>
      </text>
    </comment>
    <comment ref="E12" authorId="0" shapeId="0">
      <text>
        <r>
          <rPr>
            <sz val="10"/>
            <color rgb="FF000000"/>
            <rFont val="Arial"/>
            <family val="2"/>
          </rPr>
          <t>Form of  data (file extension)</t>
        </r>
      </text>
    </comment>
    <comment ref="G13" authorId="0" shapeId="0">
      <text>
        <r>
          <rPr>
            <sz val="10"/>
            <color rgb="FF000000"/>
            <rFont val="Arial"/>
            <family val="2"/>
          </rPr>
          <t>Indicates whether the publication serves as the reference description for the data</t>
        </r>
      </text>
    </comment>
    <comment ref="L13" authorId="0" shapeId="0">
      <text>
        <r>
          <rPr>
            <sz val="10"/>
            <color rgb="FF000000"/>
            <rFont val="Arial"/>
            <family val="2"/>
          </rPr>
          <t>Indicates whether the publication serves as the reference description for the data</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data has been described</t>
        </r>
      </text>
    </comment>
    <comment ref="S13" authorId="0" shapeId="0">
      <text>
        <r>
          <rPr>
            <sz val="10"/>
            <color rgb="FF000000"/>
            <rFont val="Arial"/>
            <family val="2"/>
          </rPr>
          <t>Abstract of the publication in which the data has been described</t>
        </r>
      </text>
    </comment>
    <comment ref="T13" authorId="0" shapeId="0">
      <text>
        <r>
          <rPr>
            <sz val="10"/>
            <color rgb="FF000000"/>
            <rFont val="Arial"/>
            <family val="2"/>
          </rPr>
          <t>Data on the details of the journal in which the data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data has been described</t>
        </r>
      </text>
    </comment>
    <comment ref="G20" authorId="0" shapeId="0">
      <text>
        <r>
          <rPr>
            <sz val="10"/>
            <color rgb="FF000000"/>
            <rFont val="Arial"/>
            <family val="2"/>
          </rPr>
          <t>Abstract of the publication in which the data has been described</t>
        </r>
      </text>
    </comment>
    <comment ref="G21" authorId="0" shapeId="0">
      <text>
        <r>
          <rPr>
            <sz val="10"/>
            <color rgb="FF000000"/>
            <rFont val="Arial"/>
            <family val="2"/>
          </rPr>
          <t>Data on the details of the journal in which the data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Objective of the data</t>
        </r>
      </text>
    </comment>
    <comment ref="E27" authorId="0" shapeId="0">
      <text>
        <r>
          <rPr>
            <sz val="10"/>
            <color rgb="FF000000"/>
            <rFont val="Arial"/>
            <family val="2"/>
          </rPr>
          <t xml:space="preserve">General description of the study, data </t>
        </r>
      </text>
    </comment>
    <comment ref="G28" authorId="0" shapeId="0">
      <text>
        <r>
          <rPr>
            <sz val="10"/>
            <color rgb="FF000000"/>
            <rFont val="Arial"/>
            <family val="2"/>
          </rPr>
          <t>The product-matrix (animal, food product, matrix, lab media, etc.) for which the data applies</t>
        </r>
      </text>
    </comment>
    <comment ref="G29" authorId="0" shapeId="0">
      <text>
        <r>
          <rPr>
            <sz val="10"/>
            <color rgb="FF000000"/>
            <rFont val="Arial"/>
            <family val="2"/>
          </rPr>
          <t>Description of the product-matrix (animal, food product, matrix, lab media, etc.) for which the data applies</t>
        </r>
      </text>
    </comment>
    <comment ref="L29" authorId="0" shapeId="0">
      <text>
        <r>
          <rPr>
            <sz val="10"/>
            <color rgb="FF000000"/>
            <rFont val="Arial"/>
            <family val="2"/>
          </rPr>
          <t>The product-matrix (animal, food product, matrix, lab media, etc.) for which the model applies</t>
        </r>
      </text>
    </comment>
    <comment ref="M29" authorId="0" shapeId="0">
      <text>
        <r>
          <rPr>
            <sz val="10"/>
            <color rgb="FF000000"/>
            <rFont val="Arial"/>
            <family val="2"/>
          </rPr>
          <t>Description of the product-matrix (animal, food product, matrix, lab media, etc.) for which the model applies</t>
        </r>
      </text>
    </comment>
    <comment ref="N29" authorId="0" shapeId="0">
      <text>
        <r>
          <rPr>
            <sz val="10"/>
            <color rgb="FF000000"/>
            <rFont val="Arial"/>
            <family val="2"/>
          </rPr>
          <t>Units of the product-matrix for which the model applies</t>
        </r>
      </text>
    </comment>
    <comment ref="O29" authorId="0" shapeId="0">
      <text>
        <r>
          <rPr>
            <sz val="10"/>
            <color rgb="FF000000"/>
            <rFont val="Arial"/>
            <family val="2"/>
          </rPr>
          <t>Type of production for the product/ matrix</t>
        </r>
      </text>
    </comment>
    <comment ref="P29"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29" authorId="0" shapeId="0">
      <text>
        <r>
          <rPr>
            <sz val="10"/>
            <color rgb="FF000000"/>
            <rFont val="Arial"/>
            <family val="2"/>
          </rPr>
          <t>Used to characterise a product/matrix based on the treatment or processes applied to the product or any indexed ingredient.</t>
        </r>
      </text>
    </comment>
    <comment ref="R29" authorId="0" shapeId="0">
      <text>
        <r>
          <rPr>
            <sz val="10"/>
            <color rgb="FF000000"/>
            <rFont val="Arial"/>
            <family val="2"/>
          </rPr>
          <t>Country of origin of the food/product (ISO 3166-1-alpha-2 country code).</t>
        </r>
      </text>
    </comment>
    <comment ref="S29" authorId="0" shapeId="0">
      <text>
        <r>
          <rPr>
            <sz val="10"/>
            <color rgb="FF000000"/>
            <rFont val="Arial"/>
            <family val="2"/>
          </rPr>
          <t>Area of origin of the food/product (Nomenclature of territorial units for statistics – NUTS – coding system valid only for EEA and Switzerland).</t>
        </r>
      </text>
    </comment>
    <comment ref="T29" authorId="0" shapeId="0">
      <text>
        <r>
          <rPr>
            <sz val="10"/>
            <color rgb="FF000000"/>
            <rFont val="Arial"/>
            <family val="2"/>
          </rPr>
          <t>Fisheries or aquaculture area specifying the origin of the sample (FAO Fisheries areas).</t>
        </r>
      </text>
    </comment>
    <comment ref="U29" authorId="0" shapeId="0">
      <text>
        <r>
          <rPr>
            <sz val="10"/>
            <color rgb="FF000000"/>
            <rFont val="Arial"/>
            <family val="2"/>
          </rPr>
          <t>date of production of food/product</t>
        </r>
      </text>
    </comment>
    <comment ref="V29" authorId="0" shapeId="0">
      <text>
        <r>
          <rPr>
            <sz val="10"/>
            <color rgb="FF000000"/>
            <rFont val="Arial"/>
            <family val="2"/>
          </rPr>
          <t>date of expiry of food/product</t>
        </r>
      </text>
    </comment>
    <comment ref="W29" authorId="0" shapeId="0">
      <text>
        <r>
          <rPr>
            <sz val="10"/>
            <color rgb="FF000000"/>
            <rFont val="Arial"/>
            <family val="2"/>
          </rPr>
          <t>General classification of the hazard for which the model or data applies</t>
        </r>
      </text>
    </comment>
    <comment ref="X29" authorId="0" shapeId="0">
      <text>
        <r>
          <rPr>
            <sz val="10"/>
            <color rgb="FF000000"/>
            <rFont val="Arial"/>
            <family val="2"/>
          </rPr>
          <t>Name of the hazard for which the model or data applies</t>
        </r>
      </text>
    </comment>
    <comment ref="Y29" authorId="0" shapeId="0">
      <text>
        <r>
          <rPr>
            <sz val="10"/>
            <color rgb="FF000000"/>
            <rFont val="Arial"/>
            <family val="2"/>
          </rPr>
          <t>Description of the hazard for which the model or data applies</t>
        </r>
      </text>
    </comment>
    <comment ref="Z29" authorId="0" shapeId="0">
      <text>
        <r>
          <rPr>
            <sz val="10"/>
            <color rgb="FF000000"/>
            <rFont val="Arial"/>
            <family val="2"/>
          </rPr>
          <t>Unit of the hazard for which the model applies</t>
        </r>
      </text>
    </comment>
    <comment ref="AA29" authorId="0" shapeId="0">
      <text>
        <r>
          <rPr>
            <sz val="10"/>
            <color rgb="FF000000"/>
            <rFont val="Arial"/>
            <family val="2"/>
          </rPr>
          <t>morbidity, mortality, effect</t>
        </r>
      </text>
    </comment>
    <comment ref="AB29" authorId="0" shapeId="0">
      <text>
        <r>
          <rPr>
            <sz val="10"/>
            <color rgb="FF000000"/>
            <rFont val="Arial"/>
            <family val="2"/>
          </rPr>
          <t>source of contamination, origin</t>
        </r>
      </text>
    </comment>
    <comment ref="AC29" authorId="0" shapeId="0">
      <text>
        <r>
          <rPr>
            <sz val="10"/>
            <color rgb="FF000000"/>
            <rFont val="Arial"/>
            <family val="2"/>
          </rPr>
          <t>A dose or concentration that produces a predetermined change in response rate of an adverse effect (called the bench response or BMR) compared to background.</t>
        </r>
      </text>
    </comment>
    <comment ref="AD29" authorId="0" shapeId="0">
      <text>
        <r>
          <rPr>
            <sz val="10"/>
            <color rgb="FF000000"/>
            <rFont val="Arial"/>
            <family val="2"/>
          </rPr>
          <t>International regulations and permissible maximum residue levels in food and drinking water</t>
        </r>
      </text>
    </comment>
    <comment ref="AE29"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29"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29"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H29"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2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J29" authorId="0" shapeId="0">
      <text>
        <r>
          <rPr>
            <sz val="10"/>
            <color rgb="FF000000"/>
            <rFont val="Arial"/>
            <family val="2"/>
          </rPr>
          <t>Define if the parameter reported is an individual residue/analyte, a summed residue definition or part of a sum a summed residue definition.</t>
        </r>
      </text>
    </comment>
    <comment ref="AK29" authorId="0" shapeId="0">
      <text>
        <r>
          <rPr>
            <sz val="10"/>
            <color rgb="FF000000"/>
            <rFont val="Arial"/>
            <family val="2"/>
          </rPr>
          <t>Name of the population for which the model or data applies</t>
        </r>
      </text>
    </comment>
    <comment ref="AL29" authorId="0" shapeId="0">
      <text>
        <r>
          <rPr>
            <sz val="10"/>
            <color rgb="FF000000"/>
            <rFont val="Arial"/>
            <family val="2"/>
          </rPr>
          <t>population of individual that we are interested in describing and making statistical inferences about</t>
        </r>
      </text>
    </comment>
    <comment ref="AM29" authorId="0" shapeId="0">
      <text>
        <r>
          <rPr>
            <sz val="10"/>
            <color rgb="FF000000"/>
            <rFont val="Arial"/>
            <family val="2"/>
          </rPr>
          <t>Temporal information on the exposure duration</t>
        </r>
      </text>
    </comment>
    <comment ref="AN29"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29" authorId="0" shapeId="0">
      <text>
        <r>
          <rPr>
            <sz val="10"/>
            <color rgb="FF000000"/>
            <rFont val="Arial"/>
            <family val="2"/>
          </rPr>
          <t>describe the range of age or group of age</t>
        </r>
      </text>
    </comment>
    <comment ref="AP29" authorId="0" shapeId="0">
      <text>
        <r>
          <rPr>
            <sz val="10"/>
            <color rgb="FF000000"/>
            <rFont val="Arial"/>
            <family val="2"/>
          </rPr>
          <t>describe the percentage of gender</t>
        </r>
      </text>
    </comment>
    <comment ref="AQ29" authorId="0" shapeId="0">
      <text>
        <r>
          <rPr>
            <sz val="10"/>
            <color rgb="FF000000"/>
            <rFont val="Arial"/>
            <family val="2"/>
          </rPr>
          <t>describe the range of BMI or class of BMI or BMI mean</t>
        </r>
      </text>
    </comment>
    <comment ref="AR29" authorId="0" shapeId="0">
      <text>
        <r>
          <rPr>
            <sz val="10"/>
            <color rgb="FF000000"/>
            <rFont val="Arial"/>
            <family val="2"/>
          </rPr>
          <t>sub-population with special diets (vegetarians, diabetics, group following special ethnic diets)</t>
        </r>
      </text>
    </comment>
    <comment ref="AS29" authorId="0" shapeId="0">
      <text>
        <r>
          <rPr>
            <sz val="10"/>
            <color rgb="FF000000"/>
            <rFont val="Arial"/>
            <family val="2"/>
          </rPr>
          <t>describe the consumption of different food items: frequency, portion size</t>
        </r>
      </text>
    </comment>
    <comment ref="AT29" authorId="0" shapeId="0">
      <text>
        <r>
          <rPr>
            <sz val="10"/>
            <color rgb="FF000000"/>
            <rFont val="Arial"/>
            <family val="2"/>
          </rPr>
          <t>Spatial information (area) on which the population group of the model or data applies</t>
        </r>
      </text>
    </comment>
    <comment ref="AU29" authorId="0" shapeId="0">
      <text>
        <r>
          <rPr>
            <sz val="10"/>
            <color rgb="FF000000"/>
            <rFont val="Arial"/>
            <family val="2"/>
          </rPr>
          <t>Country on which the population group of the model or data applies</t>
        </r>
      </text>
    </comment>
    <comment ref="AV29" authorId="0" shapeId="0">
      <text>
        <r>
          <rPr>
            <sz val="10"/>
            <color rgb="FF000000"/>
            <rFont val="Arial"/>
            <family val="2"/>
          </rPr>
          <t>distribution of surveyed people according to the season (influence consumption pattern)</t>
        </r>
      </text>
    </comment>
    <comment ref="AW29" authorId="0" shapeId="0">
      <text>
        <r>
          <rPr>
            <sz val="10"/>
            <color rgb="FF000000"/>
            <rFont val="Arial"/>
            <family val="2"/>
          </rPr>
          <t>distribution of surveyed people according to the season (influence consumption pattern)</t>
        </r>
      </text>
    </comment>
    <comment ref="G30" authorId="0" shapeId="0">
      <text>
        <r>
          <rPr>
            <sz val="10"/>
            <color rgb="FF000000"/>
            <rFont val="Arial"/>
            <family val="2"/>
          </rPr>
          <t>Units of the product-matrix for which the data applies</t>
        </r>
      </text>
    </comment>
    <comment ref="G31" authorId="0" shapeId="0">
      <text>
        <r>
          <rPr>
            <sz val="10"/>
            <color rgb="FF000000"/>
            <rFont val="Arial"/>
            <family val="2"/>
          </rPr>
          <t>Type of production for the product/ matrix</t>
        </r>
      </text>
    </comment>
    <comment ref="G32"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33" authorId="0" shapeId="0">
      <text>
        <r>
          <rPr>
            <sz val="10"/>
            <color rgb="FF000000"/>
            <rFont val="Arial"/>
            <family val="2"/>
          </rPr>
          <t>Used to characterise a product/matrix based on the treatment or processes applied to the product or any indexed ingredient.</t>
        </r>
      </text>
    </comment>
    <comment ref="G34" authorId="0" shapeId="0">
      <text>
        <r>
          <rPr>
            <sz val="10"/>
            <color rgb="FF000000"/>
            <rFont val="Arial"/>
            <family val="2"/>
          </rPr>
          <t>Country of origin of the food/product (ISO 3166-1-alpha-2 country code).</t>
        </r>
      </text>
    </comment>
    <comment ref="G35" authorId="0" shapeId="0">
      <text>
        <r>
          <rPr>
            <sz val="10"/>
            <color rgb="FF000000"/>
            <rFont val="Arial"/>
            <family val="2"/>
          </rPr>
          <t>Area of origin of the food/product (Nomenclature of territorial units for statistics – NUTS – coding system valid only for EEA and Switzerland).</t>
        </r>
      </text>
    </comment>
    <comment ref="G36" authorId="0" shapeId="0">
      <text>
        <r>
          <rPr>
            <sz val="10"/>
            <color rgb="FF000000"/>
            <rFont val="Arial"/>
            <family val="2"/>
          </rPr>
          <t>Fisheries or aquaculture area specifying the origin of the sample (FAO Fisheries areas).</t>
        </r>
      </text>
    </comment>
    <comment ref="G37" authorId="0" shapeId="0">
      <text>
        <r>
          <rPr>
            <sz val="10"/>
            <color rgb="FF000000"/>
            <rFont val="Arial"/>
            <family val="2"/>
          </rPr>
          <t>date of production of food/product</t>
        </r>
      </text>
    </comment>
    <comment ref="G38" authorId="0" shapeId="0">
      <text>
        <r>
          <rPr>
            <sz val="10"/>
            <color rgb="FF000000"/>
            <rFont val="Arial"/>
            <family val="2"/>
          </rPr>
          <t>date of expiry of food/product</t>
        </r>
      </text>
    </comment>
    <comment ref="G39" authorId="0" shapeId="0">
      <text>
        <r>
          <rPr>
            <sz val="10"/>
            <color rgb="FF000000"/>
            <rFont val="Arial"/>
            <family val="2"/>
          </rPr>
          <t>General classification of the hazard for which the data applies</t>
        </r>
      </text>
    </comment>
    <comment ref="G40" authorId="0" shapeId="0">
      <text>
        <r>
          <rPr>
            <sz val="10"/>
            <color rgb="FF000000"/>
            <rFont val="Arial"/>
            <family val="2"/>
          </rPr>
          <t>Name of the hazard for which the data applies</t>
        </r>
      </text>
    </comment>
    <comment ref="G41" authorId="0" shapeId="0">
      <text>
        <r>
          <rPr>
            <sz val="10"/>
            <color rgb="FF000000"/>
            <rFont val="Arial"/>
            <family val="2"/>
          </rPr>
          <t>Description of the hazard for which the data applies</t>
        </r>
      </text>
    </comment>
    <comment ref="G42" authorId="0" shapeId="0">
      <text>
        <r>
          <rPr>
            <sz val="10"/>
            <color rgb="FF000000"/>
            <rFont val="Arial"/>
            <family val="2"/>
          </rPr>
          <t>Unit of the hazard for which the data applies</t>
        </r>
      </text>
    </comment>
    <comment ref="G43" authorId="0" shapeId="0">
      <text>
        <r>
          <rPr>
            <sz val="10"/>
            <color rgb="FF000000"/>
            <rFont val="Arial"/>
            <family val="2"/>
          </rPr>
          <t>morbidity, mortality, effect</t>
        </r>
      </text>
    </comment>
    <comment ref="G44" authorId="0" shapeId="0">
      <text>
        <r>
          <rPr>
            <sz val="10"/>
            <color rgb="FF000000"/>
            <rFont val="Arial"/>
            <family val="2"/>
          </rPr>
          <t>source of contamination, origin</t>
        </r>
      </text>
    </comment>
    <comment ref="G45" authorId="0" shapeId="0">
      <text>
        <r>
          <rPr>
            <sz val="10"/>
            <color rgb="FF000000"/>
            <rFont val="Arial"/>
            <family val="2"/>
          </rPr>
          <t>A dose or concentration that produces a predetermined change in response rate of an adverse effect (called the bench response or BMR) compared to background.</t>
        </r>
      </text>
    </comment>
    <comment ref="G46" authorId="0" shapeId="0">
      <text>
        <r>
          <rPr>
            <sz val="10"/>
            <color rgb="FF000000"/>
            <rFont val="Arial"/>
            <family val="2"/>
          </rPr>
          <t>International regulations and permissible maximum residue levels in food and drinking water</t>
        </r>
      </text>
    </comment>
    <comment ref="G4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8"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9"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0"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1"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52" authorId="0" shapeId="0">
      <text>
        <r>
          <rPr>
            <sz val="10"/>
            <color rgb="FF000000"/>
            <rFont val="Arial"/>
            <family val="2"/>
          </rPr>
          <t>Define if the parameter reported is an individual residue/analyte, a summed residue definition or part of a sum a summed residue definition.</t>
        </r>
      </text>
    </comment>
    <comment ref="G53" authorId="0" shapeId="0">
      <text>
        <r>
          <rPr>
            <sz val="10"/>
            <color rgb="FF000000"/>
            <rFont val="Arial"/>
            <family val="2"/>
          </rPr>
          <t>Name of the population for which the data applies</t>
        </r>
      </text>
    </comment>
    <comment ref="G54" authorId="0" shapeId="0">
      <text>
        <r>
          <rPr>
            <sz val="10"/>
            <color rgb="FF000000"/>
            <rFont val="Arial"/>
            <family val="2"/>
          </rPr>
          <t>population of individual that we are interested in describing and making statistical inferences about</t>
        </r>
      </text>
    </comment>
    <comment ref="G55" authorId="0" shapeId="0">
      <text>
        <r>
          <rPr>
            <sz val="10"/>
            <color rgb="FF000000"/>
            <rFont val="Arial"/>
            <family val="2"/>
          </rPr>
          <t>Temporal information on the exposure duration</t>
        </r>
      </text>
    </comment>
    <comment ref="G56"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7" authorId="0" shapeId="0">
      <text>
        <r>
          <rPr>
            <sz val="10"/>
            <color rgb="FF000000"/>
            <rFont val="Arial"/>
            <family val="2"/>
          </rPr>
          <t>describe the range of age or group of age</t>
        </r>
      </text>
    </comment>
    <comment ref="G58" authorId="0" shapeId="0">
      <text>
        <r>
          <rPr>
            <sz val="10"/>
            <color rgb="FF000000"/>
            <rFont val="Arial"/>
            <family val="2"/>
          </rPr>
          <t>describe the percentage of gender</t>
        </r>
      </text>
    </comment>
    <comment ref="G59" authorId="0" shapeId="0">
      <text>
        <r>
          <rPr>
            <sz val="10"/>
            <color rgb="FF000000"/>
            <rFont val="Arial"/>
            <family val="2"/>
          </rPr>
          <t>describe the range of BMI or class of BMI or BMI mean</t>
        </r>
      </text>
    </comment>
    <comment ref="G60" authorId="0" shapeId="0">
      <text>
        <r>
          <rPr>
            <sz val="10"/>
            <color rgb="FF000000"/>
            <rFont val="Arial"/>
            <family val="2"/>
          </rPr>
          <t>sub-population with special diets (vegetarians, diabetics, group following special ethnic diets)</t>
        </r>
      </text>
    </comment>
    <comment ref="G61" authorId="0" shapeId="0">
      <text>
        <r>
          <rPr>
            <sz val="10"/>
            <color rgb="FF000000"/>
            <rFont val="Arial"/>
            <family val="2"/>
          </rPr>
          <t>describe the consumption of different food items: frequency, portion size</t>
        </r>
      </text>
    </comment>
    <comment ref="G62" authorId="0" shapeId="0">
      <text>
        <r>
          <rPr>
            <sz val="10"/>
            <color rgb="FF000000"/>
            <rFont val="Arial"/>
            <family val="2"/>
          </rPr>
          <t>Spatial information (area) on which the population group of the  data applies</t>
        </r>
      </text>
    </comment>
    <comment ref="G63" authorId="0" shapeId="0">
      <text>
        <r>
          <rPr>
            <sz val="10"/>
            <color rgb="FF000000"/>
            <rFont val="Arial"/>
            <family val="2"/>
          </rPr>
          <t>Country on which the population group of the  data applies</t>
        </r>
      </text>
    </comment>
    <comment ref="G64" authorId="0" shapeId="0">
      <text>
        <r>
          <rPr>
            <sz val="10"/>
            <color rgb="FF000000"/>
            <rFont val="Arial"/>
            <family val="2"/>
          </rPr>
          <t>distribution of surveyed people according to the season (influence consumption pattern)</t>
        </r>
      </text>
    </comment>
    <comment ref="G65" authorId="0" shapeId="0">
      <text>
        <r>
          <rPr>
            <sz val="10"/>
            <color rgb="FF000000"/>
            <rFont val="Arial"/>
            <family val="2"/>
          </rPr>
          <t>distribution of surveyed people according to the season (influence consumption pattern)</t>
        </r>
      </text>
    </comment>
    <comment ref="E66" authorId="0" shapeId="0">
      <text>
        <r>
          <rPr>
            <sz val="10"/>
            <color rgb="FF000000"/>
            <rFont val="Arial"/>
            <family val="2"/>
          </rPr>
          <t xml:space="preserve">General comments on the scope of the data </t>
        </r>
      </text>
    </comment>
    <comment ref="G67" authorId="0" shapeId="0">
      <text>
        <r>
          <rPr>
            <sz val="10"/>
            <color rgb="FF000000"/>
            <rFont val="Arial"/>
            <family val="2"/>
          </rPr>
          <t>Temporal information on which the data applies / An interval of time that is named or defined by its start and end dates (period of study)</t>
        </r>
      </text>
    </comment>
    <comment ref="G68" authorId="0" shapeId="0">
      <text>
        <r>
          <rPr>
            <sz val="10"/>
            <color rgb="FF000000"/>
            <rFont val="Arial"/>
            <family val="2"/>
          </rPr>
          <t>Spatial information (area) on which the data applies</t>
        </r>
      </text>
    </comment>
    <comment ref="G69" authorId="0" shapeId="0">
      <text>
        <r>
          <rPr>
            <sz val="10"/>
            <color rgb="FF000000"/>
            <rFont val="Arial"/>
            <family val="2"/>
          </rPr>
          <t>Country on which the data applies</t>
        </r>
      </text>
    </comment>
    <comment ref="G70" authorId="0" shapeId="0">
      <text>
        <r>
          <rPr>
            <sz val="10"/>
            <color rgb="FF000000"/>
            <rFont val="Arial"/>
            <family val="2"/>
          </rPr>
          <t>A user defined identifier for the study</t>
        </r>
      </text>
    </comment>
    <comment ref="G71" authorId="0" shapeId="0">
      <text>
        <r>
          <rPr>
            <sz val="10"/>
            <color rgb="FF000000"/>
            <rFont val="Arial"/>
            <family val="2"/>
          </rPr>
          <t>A title for the Study.</t>
        </r>
      </text>
    </comment>
    <comment ref="G72" authorId="0" shapeId="0">
      <text>
        <r>
          <rPr>
            <sz val="10"/>
            <color rgb="FF000000"/>
            <rFont val="Arial"/>
            <family val="2"/>
          </rPr>
          <t>A brief description of the study aims.</t>
        </r>
      </text>
    </comment>
    <comment ref="G73" authorId="0" shapeId="0">
      <text>
        <r>
          <rPr>
            <sz val="10"/>
            <color rgb="FF000000"/>
            <rFont val="Arial"/>
            <family val="2"/>
          </rPr>
          <t>The type of study design being employed</t>
        </r>
      </text>
    </comment>
    <comment ref="G74" authorId="0" shapeId="0">
      <text>
        <r>
          <rPr>
            <sz val="10"/>
            <color rgb="FF000000"/>
            <rFont val="Arial"/>
            <family val="2"/>
          </rPr>
          <t>The measurement being observed in this assay</t>
        </r>
      </text>
    </comment>
    <comment ref="G75" authorId="0" shapeId="0">
      <text>
        <r>
          <rPr>
            <sz val="10"/>
            <color rgb="FF000000"/>
            <rFont val="Arial"/>
            <family val="2"/>
          </rPr>
          <t>The technology being employed to observe this measurement</t>
        </r>
      </text>
    </comment>
    <comment ref="G76" authorId="0" shapeId="0">
      <text>
        <r>
          <rPr>
            <sz val="10"/>
            <color rgb="FF000000"/>
            <rFont val="Arial"/>
            <family val="2"/>
          </rPr>
          <t>The technology platform used</t>
        </r>
      </text>
    </comment>
    <comment ref="G77" authorId="0" shapeId="0">
      <text>
        <r>
          <rPr>
            <sz val="10"/>
            <color rgb="FF000000"/>
            <rFont val="Arial"/>
            <family val="2"/>
          </rPr>
          <t>Accreditation procedure for the analytical method used</t>
        </r>
      </text>
    </comment>
    <comment ref="G78" authorId="0" shapeId="0">
      <text>
        <r>
          <rPr>
            <sz val="10"/>
            <color rgb="FF000000"/>
            <rFont val="Arial"/>
            <family val="2"/>
          </rPr>
          <t>The name of the protocol, e.g.Extraction Protocol</t>
        </r>
      </text>
    </comment>
    <comment ref="G79" authorId="0" shapeId="0">
      <text>
        <r>
          <rPr>
            <sz val="10"/>
            <color rgb="FF000000"/>
            <rFont val="Arial"/>
            <family val="2"/>
          </rPr>
          <t>The type of the protocol, preferably coming from an Ontology, e.g. Extraction Protocol</t>
        </r>
      </text>
    </comment>
    <comment ref="G80" authorId="0" shapeId="0">
      <text>
        <r>
          <rPr>
            <sz val="10"/>
            <color rgb="FF000000"/>
            <rFont val="Arial"/>
            <family val="2"/>
          </rPr>
          <t>A description of the Protocol.</t>
        </r>
      </text>
    </comment>
    <comment ref="G81" authorId="0" shapeId="0">
      <text>
        <r>
          <rPr>
            <sz val="10"/>
            <color rgb="FF000000"/>
            <rFont val="Arial"/>
            <family val="2"/>
          </rPr>
          <t>A URI to link out to a publication, web page, etc. describing the protocol.</t>
        </r>
      </text>
    </comment>
    <comment ref="G82" authorId="0" shapeId="0">
      <text>
        <r>
          <rPr>
            <sz val="10"/>
            <color rgb="FF000000"/>
            <rFont val="Arial"/>
            <family val="2"/>
          </rPr>
          <t>The version of the protocol used, where applicable.</t>
        </r>
      </text>
    </comment>
    <comment ref="G83" authorId="0" shapeId="0">
      <text>
        <r>
          <rPr>
            <sz val="10"/>
            <color rgb="FF000000"/>
            <rFont val="Arial"/>
            <family val="2"/>
          </rPr>
          <t>The parameters used when executing this protocol.</t>
        </r>
      </text>
    </comment>
    <comment ref="G84" authorId="0" shapeId="0">
      <text>
        <r>
          <rPr>
            <sz val="10"/>
            <color rgb="FF000000"/>
            <rFont val="Arial"/>
            <family val="2"/>
          </rPr>
          <t>The components used when carrying out this protocol.</t>
        </r>
      </text>
    </comment>
    <comment ref="G86" authorId="0" shapeId="0">
      <text>
        <r>
          <rPr>
            <sz val="10"/>
            <color rgb="FF000000"/>
            <rFont val="Arial"/>
            <family val="2"/>
          </rPr>
          <t>An unambiguous ID given to the samples used in the assay</t>
        </r>
      </text>
    </comment>
    <comment ref="G87" authorId="0" shapeId="0">
      <text>
        <r>
          <rPr>
            <sz val="10"/>
            <color rgb="FF000000"/>
            <rFont val="Arial"/>
            <family val="2"/>
          </rPr>
          <t>Additional protocol for sample and sample collection. Corresponds to the Protocol REF in ISA</t>
        </r>
      </text>
    </comment>
    <comment ref="L87" authorId="0" shapeId="0">
      <text>
        <r>
          <rPr>
            <sz val="10"/>
            <color rgb="FF000000"/>
            <rFont val="Arial"/>
            <family val="2"/>
          </rPr>
          <t>An unambiguous ID given to the samples used in the assay</t>
        </r>
      </text>
    </comment>
    <comment ref="M87" authorId="0" shapeId="0">
      <text>
        <r>
          <rPr>
            <sz val="10"/>
            <color rgb="FF000000"/>
            <rFont val="Arial"/>
            <family val="2"/>
          </rPr>
          <t>Additional protocol for sample and sample collection. Corresponds to the Protocol REF in ISA</t>
        </r>
      </text>
    </comment>
    <comment ref="N87" authorId="0" shapeId="0">
      <text>
        <r>
          <rPr>
            <sz val="10"/>
            <color rgb="FF000000"/>
            <rFont val="Arial"/>
            <family val="2"/>
          </rPr>
          <t>Sampling strategy (ref. EUROSTAT - Typology of sampling strategy, version of July 2009)</t>
        </r>
      </text>
    </comment>
    <comment ref="O87" authorId="0" shapeId="0">
      <text>
        <r>
          <rPr>
            <sz val="10"/>
            <color rgb="FF000000"/>
            <rFont val="Arial"/>
            <family val="2"/>
          </rPr>
          <t>Indicate the type programme for which the samples have been collected.</t>
        </r>
      </text>
    </comment>
    <comment ref="P87" authorId="0" shapeId="0">
      <text>
        <r>
          <rPr>
            <sz val="10"/>
            <color rgb="FF000000"/>
            <rFont val="Arial"/>
            <family val="2"/>
          </rPr>
          <t>Sampling method used to take the sample</t>
        </r>
      </text>
    </comment>
    <comment ref="Q87" authorId="0" shapeId="0">
      <text>
        <r>
          <rPr>
            <sz val="10"/>
            <color rgb="FF000000"/>
            <rFont val="Arial"/>
            <family val="2"/>
          </rPr>
          <t>description of data collection technique: stratified or complex sampling (several stages)</t>
        </r>
      </text>
    </comment>
    <comment ref="R87" authorId="0" shapeId="0">
      <text>
        <r>
          <rPr>
            <sz val="10"/>
            <color rgb="FF000000"/>
            <rFont val="Arial"/>
            <family val="2"/>
          </rPr>
          <t>description of the method employed to compute sampling weight (nonresponse-adjusted weight)</t>
        </r>
      </text>
    </comment>
    <comment ref="S87" authorId="0" shapeId="0">
      <text>
        <r>
          <rPr>
            <sz val="10"/>
            <color rgb="FF000000"/>
            <rFont val="Arial"/>
            <family val="2"/>
          </rPr>
          <t>number of units, full participants, partial participants, eligibles, not eligible, unresolved (eligibility status not resolved)…</t>
        </r>
      </text>
    </comment>
    <comment ref="T87" authorId="0" shapeId="0">
      <text>
        <r>
          <rPr>
            <sz val="10"/>
            <color rgb="FF000000"/>
            <rFont val="Arial"/>
            <family val="2"/>
          </rPr>
          <t>Unit in which the lot size is expressed.</t>
        </r>
      </text>
    </comment>
    <comment ref="U87" authorId="0" shapeId="0">
      <text>
        <r>
          <rPr>
            <sz val="10"/>
            <color rgb="FF000000"/>
            <rFont val="Arial"/>
            <family val="2"/>
          </rPr>
          <t>Point in the food chain where the sample was taken. (Doc. ESTAT/F5/ES/155 “Data dictionary of activities of the establishments”).</t>
        </r>
      </text>
    </comment>
    <comment ref="G88" authorId="0" shapeId="0">
      <text>
        <r>
          <rPr>
            <sz val="10"/>
            <color rgb="FF000000"/>
            <rFont val="Arial"/>
            <family val="2"/>
          </rPr>
          <t>Sampling strategy (ref. EUROSTAT - Typology of sampling strategy, version of July 2009)</t>
        </r>
      </text>
    </comment>
    <comment ref="G89" authorId="0" shapeId="0">
      <text>
        <r>
          <rPr>
            <sz val="10"/>
            <color rgb="FF000000"/>
            <rFont val="Arial"/>
            <family val="2"/>
          </rPr>
          <t>Indicate the type programme for which the samples have been collected.</t>
        </r>
      </text>
    </comment>
    <comment ref="G90" authorId="0" shapeId="0">
      <text>
        <r>
          <rPr>
            <sz val="10"/>
            <color rgb="FF000000"/>
            <rFont val="Arial"/>
            <family val="2"/>
          </rPr>
          <t>Sampling method used to take the sample</t>
        </r>
      </text>
    </comment>
    <comment ref="G91" authorId="0" shapeId="0">
      <text>
        <r>
          <rPr>
            <sz val="10"/>
            <color rgb="FF000000"/>
            <rFont val="Arial"/>
            <family val="2"/>
          </rPr>
          <t>description of data collection technique: stratified or complex sampling (several stages)</t>
        </r>
      </text>
    </comment>
    <comment ref="G92" authorId="0" shapeId="0">
      <text>
        <r>
          <rPr>
            <sz val="10"/>
            <color rgb="FF000000"/>
            <rFont val="Arial"/>
            <family val="2"/>
          </rPr>
          <t>description of the method employed to compute sampling weight (nonresponse-adjusted weight)</t>
        </r>
      </text>
    </comment>
    <comment ref="G93" authorId="0" shapeId="0">
      <text>
        <r>
          <rPr>
            <sz val="10"/>
            <color rgb="FF000000"/>
            <rFont val="Arial"/>
            <family val="2"/>
          </rPr>
          <t>number of units, full participants, partial participants, eligibles, not eligible, unresolved (eligibility status not resolved)…</t>
        </r>
      </text>
    </comment>
    <comment ref="L93" authorId="0" shapeId="0">
      <text>
        <r>
          <rPr>
            <sz val="10"/>
            <color rgb="FF000000"/>
            <rFont val="Arial"/>
            <family val="2"/>
          </rPr>
          <t>food diaries, interview, 24-hour recall interview, food propensy questionnaire, portion size measurement aids, eating outside questionnaire</t>
        </r>
      </text>
    </comment>
    <comment ref="P93" authorId="0" shapeId="0">
      <text>
        <r>
          <rPr>
            <sz val="10"/>
            <color rgb="FF000000"/>
            <rFont val="Arial"/>
            <family val="2"/>
          </rPr>
          <t>consumption occasion, mean of consumption, quantified and described as eaten, recipes for self-made</t>
        </r>
      </text>
    </comment>
    <comment ref="Q93" authorId="0" shapeId="0">
      <text>
        <r>
          <rPr>
            <sz val="10"/>
            <color rgb="FF000000"/>
            <rFont val="Arial"/>
            <family val="2"/>
          </rPr>
          <t>use foodex2 facets</t>
        </r>
      </text>
    </comment>
    <comment ref="G94" authorId="0" shapeId="0">
      <text>
        <r>
          <rPr>
            <sz val="10"/>
            <color rgb="FF000000"/>
            <rFont val="Arial"/>
            <family val="2"/>
          </rPr>
          <t>Unit in which the lot size is expressed.</t>
        </r>
      </text>
    </comment>
    <comment ref="G95" authorId="0" shapeId="0">
      <text>
        <r>
          <rPr>
            <sz val="10"/>
            <color rgb="FF000000"/>
            <rFont val="Arial"/>
            <family val="2"/>
          </rPr>
          <t>Point in the food chain where the sample was taken. (Doc. ESTAT/F5/ES/155 “Data dictionary of activities of the establishments”).</t>
        </r>
      </text>
    </comment>
    <comment ref="G96" authorId="0" shapeId="0">
      <text>
        <r>
          <rPr>
            <sz val="10"/>
            <color rgb="FF000000"/>
            <rFont val="Arial"/>
            <family val="2"/>
          </rPr>
          <t>food diaries, interview, 24-hour recall interview, food propensy questionnaire, portion size measurement aids, eating outside questionnaire</t>
        </r>
      </text>
    </comment>
    <comment ref="G100" authorId="0" shapeId="0">
      <text>
        <r>
          <rPr>
            <sz val="10"/>
            <color rgb="FF000000"/>
            <rFont val="Arial"/>
            <family val="2"/>
          </rPr>
          <t>consumption occasion, mean of consumption, quantified and described as eaten, recipes for self-made</t>
        </r>
      </text>
    </comment>
    <comment ref="L100" authorId="0" shapeId="0">
      <text>
        <r>
          <rPr>
            <sz val="10"/>
            <color rgb="FF000000"/>
            <rFont val="Arial"/>
            <family val="2"/>
          </rPr>
          <t>The laboratory accreditation to ISO/IEC 17025.</t>
        </r>
      </text>
    </comment>
    <comment ref="M100" authorId="0" shapeId="0">
      <text>
        <r>
          <rPr>
            <sz val="10"/>
            <color rgb="FF000000"/>
            <rFont val="Arial"/>
            <family val="2"/>
          </rPr>
          <t>Laboratory code (National laboratory code if available) or Laboratory name</t>
        </r>
      </text>
    </comment>
    <comment ref="N100" authorId="0" shapeId="0">
      <text>
        <r>
          <rPr>
            <sz val="10"/>
            <color rgb="FF000000"/>
            <rFont val="Arial"/>
            <family val="2"/>
          </rPr>
          <t>Country where the laboratory is placed. (ISO 3166-1-alpha-2).</t>
        </r>
      </text>
    </comment>
    <comment ref="G101" authorId="0" shapeId="0">
      <text>
        <r>
          <rPr>
            <sz val="10"/>
            <color rgb="FF000000"/>
            <rFont val="Arial"/>
            <family val="2"/>
          </rPr>
          <t>use foodex2 facets</t>
        </r>
      </text>
    </comment>
    <comment ref="G102" authorId="0" shapeId="0">
      <text>
        <r>
          <rPr>
            <sz val="10"/>
            <color rgb="FF000000"/>
            <rFont val="Arial"/>
            <family val="2"/>
          </rPr>
          <t>The laboratory accreditation to ISO/IEC 17025.</t>
        </r>
      </text>
    </comment>
    <comment ref="G103" authorId="0" shapeId="0">
      <text>
        <r>
          <rPr>
            <sz val="10"/>
            <color rgb="FF000000"/>
            <rFont val="Arial"/>
            <family val="2"/>
          </rPr>
          <t>Laboratory code (National laboratory code if available) or Laboratory name</t>
        </r>
      </text>
    </comment>
    <comment ref="G104" authorId="0" shapeId="0">
      <text>
        <r>
          <rPr>
            <sz val="10"/>
            <color rgb="FF000000"/>
            <rFont val="Arial"/>
            <family val="2"/>
          </rPr>
          <t>Country where the laboratory is placed. (ISO 3166-1-alpha-2).</t>
        </r>
      </text>
    </comment>
    <comment ref="G105" authorId="0" shapeId="0">
      <text>
        <r>
          <rPr>
            <sz val="10"/>
            <color rgb="FF000000"/>
            <rFont val="Arial"/>
            <family val="2"/>
          </rPr>
          <t>A name given to the assay</t>
        </r>
      </text>
    </comment>
    <comment ref="G106" authorId="0" shapeId="0">
      <text>
        <r>
          <rPr>
            <sz val="10"/>
            <color rgb="FF000000"/>
            <rFont val="Arial"/>
            <family val="2"/>
          </rPr>
          <t>General description of the assay. Corresponds to the Protocol REF in ISA</t>
        </r>
      </text>
    </comment>
    <comment ref="G107" authorId="0" shapeId="0">
      <text>
        <r>
          <rPr>
            <sz val="10"/>
            <color rgb="FF000000"/>
            <rFont val="Arial"/>
            <family val="2"/>
          </rPr>
          <t>Percentage of moisture in the original sample</t>
        </r>
      </text>
    </comment>
    <comment ref="G108" authorId="0" shapeId="0">
      <text>
        <r>
          <rPr>
            <sz val="10"/>
            <color rgb="FF000000"/>
            <rFont val="Arial"/>
            <family val="2"/>
          </rPr>
          <t>Percentage of fat in the original sample</t>
        </r>
      </text>
    </comment>
    <comment ref="G109" authorId="0" shapeId="0">
      <text>
        <r>
          <rPr>
            <sz val="10"/>
            <color rgb="FF000000"/>
            <rFont val="Arial"/>
            <family val="2"/>
          </rPr>
          <t>Limit of detection reported in the unit specified by the variable “Hazard unit”.</t>
        </r>
      </text>
    </comment>
    <comment ref="G110" authorId="0" shapeId="0">
      <text>
        <r>
          <rPr>
            <sz val="10"/>
            <color rgb="FF000000"/>
            <rFont val="Arial"/>
            <family val="2"/>
          </rPr>
          <t>Limit of quantification reported in the unit specified by the variable “Hazard unit”</t>
        </r>
      </text>
    </comment>
    <comment ref="G111" authorId="0" shapeId="0">
      <text>
        <r>
          <rPr>
            <sz val="10"/>
            <color rgb="FF000000"/>
            <rFont val="Arial"/>
            <family val="2"/>
          </rPr>
          <t>percentage of measures equal to LOQ and/or LOD</t>
        </r>
      </text>
    </comment>
    <comment ref="G112" authorId="0" shapeId="0">
      <text>
        <r>
          <rPr>
            <sz val="10"/>
            <color rgb="FF000000"/>
            <rFont val="Arial"/>
            <family val="2"/>
          </rPr>
          <t>Range of result of the analytical measure reported in the unit specified by the variable “Hazard unit”</t>
        </r>
      </text>
    </comment>
    <comment ref="G113" authorId="0" shapeId="0">
      <text>
        <r>
          <rPr>
            <sz val="10"/>
            <color rgb="FF000000"/>
            <rFont val="Arial"/>
            <family val="2"/>
          </rPr>
          <t>Indicate the expanded uncertainty (usually 95% confidence interval) value associated with the measurement expressed in the unit reported in the field “Hazard unit”.</t>
        </r>
      </text>
    </comment>
    <comment ref="G114" authorId="0" shapeId="0">
      <text>
        <r>
          <rPr>
            <sz val="10"/>
            <color rgb="FF000000"/>
            <rFont val="Arial"/>
            <family val="2"/>
          </rPr>
          <t>An unambiguous and sequential ID given to the parameter. To be compatible with SBML, only letters from A to Z, numbers and "_" are acepted for ID creation.</t>
        </r>
      </text>
    </comment>
    <comment ref="K114"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14" authorId="0" shapeId="0">
      <text>
        <r>
          <rPr>
            <sz val="10"/>
            <color rgb="FF000000"/>
            <rFont val="Arial"/>
            <family val="2"/>
          </rPr>
          <t>An unambiguous and sequential ID given to the parameter. To be compatible with SBML, only letters from A to Z, numbers and "_" are acepted for ID creation.</t>
        </r>
      </text>
    </comment>
    <comment ref="M114" authorId="0" shapeId="0">
      <text>
        <r>
          <rPr>
            <sz val="10"/>
            <color rgb="FF000000"/>
            <rFont val="Arial"/>
            <family val="2"/>
          </rPr>
          <t>General classification of the parameter (e.g. Input, Constant, Output...)</t>
        </r>
      </text>
    </comment>
    <comment ref="N114" authorId="0" shapeId="0">
      <text>
        <r>
          <rPr>
            <sz val="10"/>
            <color rgb="FF000000"/>
            <rFont val="Arial"/>
            <family val="2"/>
          </rPr>
          <t>A name given to the parameter</t>
        </r>
      </text>
    </comment>
    <comment ref="O114" authorId="0" shapeId="0">
      <text>
        <r>
          <rPr>
            <sz val="10"/>
            <color rgb="FF000000"/>
            <rFont val="Arial"/>
            <family val="2"/>
          </rPr>
          <t>General description of the parameter</t>
        </r>
      </text>
    </comment>
    <comment ref="P114" authorId="0" shapeId="0">
      <text>
        <r>
          <rPr>
            <sz val="10"/>
            <color rgb="FF000000"/>
            <rFont val="Arial"/>
            <family val="2"/>
          </rPr>
          <t>Unit of the parameter</t>
        </r>
      </text>
    </comment>
    <comment ref="Q114" authorId="0" shapeId="0">
      <text>
        <r>
          <rPr>
            <sz val="10"/>
            <color rgb="FF000000"/>
            <rFont val="Arial"/>
            <family val="2"/>
          </rPr>
          <t>General classification of the parameter unit</t>
        </r>
      </text>
    </comment>
    <comment ref="R114" authorId="0" shapeId="0">
      <text>
        <r>
          <rPr>
            <sz val="10"/>
            <color rgb="FF000000"/>
            <rFont val="Arial"/>
            <family val="2"/>
          </rPr>
          <t>Information on the data format of the parameter, e.g. if it is a categorial variable, int, double, array of size x,y,z</t>
        </r>
      </text>
    </comment>
    <comment ref="S114" authorId="0" shapeId="0">
      <text>
        <r>
          <rPr>
            <sz val="10"/>
            <color rgb="FF000000"/>
            <rFont val="Arial"/>
            <family val="2"/>
          </rPr>
          <t>Information on the type of knowledge used to define the parameter value</t>
        </r>
      </text>
    </comment>
    <comment ref="T114" authorId="0" shapeId="0">
      <text>
        <r>
          <rPr>
            <sz val="10"/>
            <color rgb="FF000000"/>
            <rFont val="Arial"/>
            <family val="2"/>
          </rPr>
          <t>Scope of the parameter, e.g. if it refers to an animal, a batch of animals, a batch of products, a carcass, a carcass skin etc</t>
        </r>
      </text>
    </comment>
    <comment ref="U114"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4"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14"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14"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AA114" authorId="0" shapeId="0">
      <text>
        <r>
          <rPr>
            <sz val="10"/>
            <color rgb="FF000000"/>
            <rFont val="Arial"/>
            <family val="2"/>
          </rPr>
          <t>Error of the parameter value</t>
        </r>
      </text>
    </comment>
    <comment ref="G115" authorId="0" shapeId="0">
      <text>
        <r>
          <rPr>
            <sz val="10"/>
            <color rgb="FF000000"/>
            <rFont val="Arial"/>
            <family val="2"/>
          </rPr>
          <t>General classification of the parameter (e.g. Input, Constant, Output...)</t>
        </r>
      </text>
    </comment>
    <comment ref="G116" authorId="0" shapeId="0">
      <text>
        <r>
          <rPr>
            <sz val="10"/>
            <color rgb="FF000000"/>
            <rFont val="Arial"/>
            <family val="2"/>
          </rPr>
          <t>A name given to the parameter</t>
        </r>
      </text>
    </comment>
    <comment ref="G117" authorId="0" shapeId="0">
      <text>
        <r>
          <rPr>
            <sz val="10"/>
            <color rgb="FF000000"/>
            <rFont val="Arial"/>
            <family val="2"/>
          </rPr>
          <t>General description of the parameter</t>
        </r>
      </text>
    </comment>
    <comment ref="G118" authorId="0" shapeId="0">
      <text>
        <r>
          <rPr>
            <sz val="10"/>
            <color rgb="FF000000"/>
            <rFont val="Arial"/>
            <family val="2"/>
          </rPr>
          <t>Unit of the parameter</t>
        </r>
      </text>
    </comment>
    <comment ref="G119" authorId="0" shapeId="0">
      <text>
        <r>
          <rPr>
            <sz val="10"/>
            <color rgb="FF000000"/>
            <rFont val="Arial"/>
            <family val="2"/>
          </rPr>
          <t>General classification of the parameter unit</t>
        </r>
      </text>
    </comment>
    <comment ref="G120" authorId="0" shapeId="0">
      <text>
        <r>
          <rPr>
            <sz val="10"/>
            <color rgb="FF000000"/>
            <rFont val="Arial"/>
            <family val="2"/>
          </rPr>
          <t>Information on the data format of the parameter, e.g. if it is a categorial variable, int, double, array of size x,y,z</t>
        </r>
      </text>
    </comment>
    <comment ref="G121" authorId="0" shapeId="0">
      <text>
        <r>
          <rPr>
            <sz val="10"/>
            <color rgb="FF000000"/>
            <rFont val="Arial"/>
            <family val="2"/>
          </rPr>
          <t>Information on the type of knowledge used to define the parameter value</t>
        </r>
      </text>
    </comment>
    <comment ref="G122" authorId="0" shapeId="0">
      <text>
        <r>
          <rPr>
            <sz val="10"/>
            <color rgb="FF000000"/>
            <rFont val="Arial"/>
            <family val="2"/>
          </rPr>
          <t>Scope of the parameter, e.g. if it refers to an animal, a batch of animals, a batch of products, a carcass, a carcass skin etc</t>
        </r>
      </text>
    </comment>
    <comment ref="G123" authorId="0" shapeId="0">
      <text>
        <r>
          <rPr>
            <sz val="10"/>
            <color rgb="FF000000"/>
            <rFont val="Arial"/>
            <family val="2"/>
          </rPr>
          <t xml:space="preserve">Information on the distribution describing the parameter (e.g. variability, uncertainty, point estimate...) </t>
        </r>
      </text>
    </comment>
    <comment ref="G126"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27"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28"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family val="2"/>
          </rPr>
          <t>Error of the parameter value</t>
        </r>
      </text>
    </comment>
  </commentList>
</comments>
</file>

<file path=xl/comments11.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 xml:space="preserve">The person responsible for creating the model file in the present form or the person responsible for creating the model file in the present form </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Web address referencing the resource location</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 xml:space="preserve">Objective of the model </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L37" authorId="0" shapeId="0">
      <text>
        <r>
          <rPr>
            <sz val="10"/>
            <color rgb="FF000000"/>
            <rFont val="Arial"/>
            <family val="2"/>
          </rPr>
          <t>The product-matrix (animal, food product, matrix, lab media, etc.) for which the model applies</t>
        </r>
      </text>
    </comment>
    <comment ref="M37" authorId="0" shapeId="0">
      <text>
        <r>
          <rPr>
            <sz val="10"/>
            <color rgb="FF000000"/>
            <rFont val="Arial"/>
            <family val="2"/>
          </rPr>
          <t>Description of the product-matrix (animal, food product, matrix, lab media, etc.) for which the model applies</t>
        </r>
      </text>
    </comment>
    <comment ref="N37" authorId="0" shapeId="0">
      <text>
        <r>
          <rPr>
            <sz val="10"/>
            <color rgb="FF000000"/>
            <rFont val="Arial"/>
            <family val="2"/>
          </rPr>
          <t>Units of the product-matrix for which the model applies</t>
        </r>
      </text>
    </comment>
    <comment ref="O37" authorId="0" shapeId="0">
      <text>
        <r>
          <rPr>
            <sz val="10"/>
            <color rgb="FF000000"/>
            <rFont val="Arial"/>
            <family val="2"/>
          </rPr>
          <t>Type of production for the product/ matrix</t>
        </r>
      </text>
    </comment>
    <comment ref="P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family val="2"/>
          </rPr>
          <t>Used to characterise a product/matrix based on the treatment or processes applied to the product or any indexed ingredient.</t>
        </r>
      </text>
    </comment>
    <comment ref="R37" authorId="0" shapeId="0">
      <text>
        <r>
          <rPr>
            <sz val="10"/>
            <color rgb="FF000000"/>
            <rFont val="Arial"/>
            <family val="2"/>
          </rPr>
          <t>Country of origin of the food/product (ISO 3166-1-alpha-2 country code).</t>
        </r>
      </text>
    </comment>
    <comment ref="S37" authorId="0" shapeId="0">
      <text>
        <r>
          <rPr>
            <sz val="10"/>
            <color rgb="FF000000"/>
            <rFont val="Arial"/>
            <family val="2"/>
          </rPr>
          <t>Area of origin of the food/product (Nomenclature of territorial units for statistics – NUTS – coding system valid only for EEA and Switzerland).</t>
        </r>
      </text>
    </comment>
    <comment ref="T37" authorId="0" shapeId="0">
      <text>
        <r>
          <rPr>
            <sz val="10"/>
            <color rgb="FF000000"/>
            <rFont val="Arial"/>
            <family val="2"/>
          </rPr>
          <t>Fisheries or aquaculture area specifying the origin of the sample (FAO Fisheries areas).</t>
        </r>
      </text>
    </comment>
    <comment ref="U37" authorId="0" shapeId="0">
      <text>
        <r>
          <rPr>
            <sz val="10"/>
            <color rgb="FF000000"/>
            <rFont val="Arial"/>
            <family val="2"/>
          </rPr>
          <t>date of production of food/product</t>
        </r>
      </text>
    </comment>
    <comment ref="V37" authorId="0" shapeId="0">
      <text>
        <r>
          <rPr>
            <sz val="10"/>
            <color rgb="FF000000"/>
            <rFont val="Arial"/>
            <family val="2"/>
          </rPr>
          <t>date of expiry of food/product</t>
        </r>
      </text>
    </comment>
    <comment ref="W37" authorId="0" shapeId="0">
      <text>
        <r>
          <rPr>
            <sz val="10"/>
            <color rgb="FF000000"/>
            <rFont val="Arial"/>
            <family val="2"/>
          </rPr>
          <t>Name of the population for which the model or data applies</t>
        </r>
      </text>
    </comment>
    <comment ref="X37" authorId="0" shapeId="0">
      <text>
        <r>
          <rPr>
            <sz val="10"/>
            <color rgb="FF000000"/>
            <rFont val="Arial"/>
            <family val="2"/>
          </rPr>
          <t>population of individual that we are interested in describing and making statistical inferences about</t>
        </r>
      </text>
    </comment>
    <comment ref="Y37" authorId="0" shapeId="0">
      <text>
        <r>
          <rPr>
            <sz val="10"/>
            <color rgb="FF000000"/>
            <rFont val="Arial"/>
            <family val="2"/>
          </rPr>
          <t>Temporal information on the exposure duration</t>
        </r>
      </text>
    </comment>
    <comment ref="Z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A37" authorId="0" shapeId="0">
      <text>
        <r>
          <rPr>
            <sz val="10"/>
            <color rgb="FF000000"/>
            <rFont val="Arial"/>
            <family val="2"/>
          </rPr>
          <t>describe the range of age or group of age</t>
        </r>
      </text>
    </comment>
    <comment ref="AB37" authorId="0" shapeId="0">
      <text>
        <r>
          <rPr>
            <sz val="10"/>
            <color rgb="FF000000"/>
            <rFont val="Arial"/>
            <family val="2"/>
          </rPr>
          <t>describe the percentage of gender</t>
        </r>
      </text>
    </comment>
    <comment ref="AC37" authorId="0" shapeId="0">
      <text>
        <r>
          <rPr>
            <sz val="10"/>
            <color rgb="FF000000"/>
            <rFont val="Arial"/>
            <family val="2"/>
          </rPr>
          <t>describe the range of BMI or class of BMI or BMI mean</t>
        </r>
      </text>
    </comment>
    <comment ref="AD37" authorId="0" shapeId="0">
      <text>
        <r>
          <rPr>
            <sz val="10"/>
            <color rgb="FF000000"/>
            <rFont val="Arial"/>
            <family val="2"/>
          </rPr>
          <t>sub-population with special diets (vegetarians, diabetics, group following special ethnic diets)</t>
        </r>
      </text>
    </comment>
    <comment ref="AE37" authorId="0" shapeId="0">
      <text>
        <r>
          <rPr>
            <sz val="10"/>
            <color rgb="FF000000"/>
            <rFont val="Arial"/>
            <family val="2"/>
          </rPr>
          <t>describe the consumption of different food items: frequency, portion size</t>
        </r>
      </text>
    </comment>
    <comment ref="AF37" authorId="0" shapeId="0">
      <text>
        <r>
          <rPr>
            <sz val="10"/>
            <color rgb="FF000000"/>
            <rFont val="Arial"/>
            <family val="2"/>
          </rPr>
          <t>Spatial information (area) on which the population group of the model or data applies</t>
        </r>
      </text>
    </comment>
    <comment ref="AG37" authorId="0" shapeId="0">
      <text>
        <r>
          <rPr>
            <sz val="10"/>
            <color rgb="FF000000"/>
            <rFont val="Arial"/>
            <family val="2"/>
          </rPr>
          <t>Country on which the population group of the model or data applies</t>
        </r>
      </text>
    </comment>
    <comment ref="AH37" authorId="0" shapeId="0">
      <text>
        <r>
          <rPr>
            <sz val="10"/>
            <color rgb="FF000000"/>
            <rFont val="Arial"/>
            <family val="2"/>
          </rPr>
          <t>distribution of surveyed people according to the season (influence consumption pattern)</t>
        </r>
      </text>
    </comment>
    <comment ref="AI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Name of the population for which the model applies</t>
        </r>
      </text>
    </comment>
    <comment ref="G48" authorId="0" shapeId="0">
      <text>
        <r>
          <rPr>
            <sz val="10"/>
            <color rgb="FF000000"/>
            <rFont val="Arial"/>
            <family val="2"/>
          </rPr>
          <t>population of individual that we are interested in describing and making statistical inferences about</t>
        </r>
      </text>
    </comment>
    <comment ref="G49" authorId="0" shapeId="0">
      <text>
        <r>
          <rPr>
            <sz val="10"/>
            <color rgb="FF000000"/>
            <rFont val="Arial"/>
            <family val="2"/>
          </rPr>
          <t>Temporal information on the exposure duration</t>
        </r>
      </text>
    </comment>
    <comment ref="G50"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1" authorId="0" shapeId="0">
      <text>
        <r>
          <rPr>
            <sz val="10"/>
            <color rgb="FF000000"/>
            <rFont val="Arial"/>
            <family val="2"/>
          </rPr>
          <t>describe the range of age or group of age</t>
        </r>
      </text>
    </comment>
    <comment ref="G52" authorId="0" shapeId="0">
      <text>
        <r>
          <rPr>
            <sz val="10"/>
            <color rgb="FF000000"/>
            <rFont val="Arial"/>
            <family val="2"/>
          </rPr>
          <t>describe the percentage of gender</t>
        </r>
      </text>
    </comment>
    <comment ref="G53" authorId="0" shapeId="0">
      <text>
        <r>
          <rPr>
            <sz val="10"/>
            <color rgb="FF000000"/>
            <rFont val="Arial"/>
            <family val="2"/>
          </rPr>
          <t>describe the range of BMI or class of BMI or BMI mean</t>
        </r>
      </text>
    </comment>
    <comment ref="G54" authorId="0" shapeId="0">
      <text>
        <r>
          <rPr>
            <sz val="10"/>
            <color rgb="FF000000"/>
            <rFont val="Arial"/>
            <family val="2"/>
          </rPr>
          <t>sub-population with special diets (vegetarians, diabetics, group following special ethnic diets)</t>
        </r>
      </text>
    </comment>
    <comment ref="G55" authorId="0" shapeId="0">
      <text>
        <r>
          <rPr>
            <sz val="10"/>
            <color rgb="FF000000"/>
            <rFont val="Arial"/>
            <family val="2"/>
          </rPr>
          <t>describe the consumption of different food items: frequency, portion size</t>
        </r>
      </text>
    </comment>
    <comment ref="G56" authorId="0" shapeId="0">
      <text>
        <r>
          <rPr>
            <sz val="10"/>
            <color rgb="FF000000"/>
            <rFont val="Arial"/>
            <family val="2"/>
          </rPr>
          <t>Spatial information (area) on which the population group of the model applies</t>
        </r>
      </text>
    </comment>
    <comment ref="G57" authorId="0" shapeId="0">
      <text>
        <r>
          <rPr>
            <sz val="10"/>
            <color rgb="FF000000"/>
            <rFont val="Arial"/>
            <family val="2"/>
          </rPr>
          <t>Country on which the population group of the model applies</t>
        </r>
      </text>
    </comment>
    <comment ref="G58" authorId="0" shapeId="0">
      <text>
        <r>
          <rPr>
            <sz val="10"/>
            <color rgb="FF000000"/>
            <rFont val="Arial"/>
            <family val="2"/>
          </rPr>
          <t>distribution of surveyed people according to the season (influence consumption pattern)</t>
        </r>
      </text>
    </comment>
    <comment ref="G59" authorId="0" shapeId="0">
      <text>
        <r>
          <rPr>
            <sz val="10"/>
            <color rgb="FF000000"/>
            <rFont val="Arial"/>
            <family val="2"/>
          </rPr>
          <t>distribution of surveyed people according to the season (influence consumption pattern)</t>
        </r>
      </text>
    </comment>
    <comment ref="E60" authorId="0" shapeId="0">
      <text>
        <r>
          <rPr>
            <sz val="10"/>
            <color rgb="FF000000"/>
            <rFont val="Arial"/>
            <family val="2"/>
          </rPr>
          <t>General comments on the scope of the model</t>
        </r>
      </text>
    </comment>
    <comment ref="G61" authorId="0" shapeId="0">
      <text>
        <r>
          <rPr>
            <sz val="10"/>
            <color rgb="FF000000"/>
            <rFont val="Arial"/>
            <family val="2"/>
          </rPr>
          <t>Temporal information on which the model applies / An interval of time that is named or defined by its start and end dates (period of study)</t>
        </r>
      </text>
    </comment>
    <comment ref="G62" authorId="0" shapeId="0">
      <text>
        <r>
          <rPr>
            <sz val="10"/>
            <color rgb="FF000000"/>
            <rFont val="Arial"/>
            <family val="2"/>
          </rPr>
          <t>Spatial information (area) on which the model applies</t>
        </r>
      </text>
    </comment>
    <comment ref="G63" authorId="0" shapeId="0">
      <text>
        <r>
          <rPr>
            <sz val="10"/>
            <color rgb="FF000000"/>
            <rFont val="Arial"/>
            <family val="2"/>
          </rPr>
          <t>Country on which the model  applies</t>
        </r>
      </text>
    </comment>
    <comment ref="G64" authorId="0" shapeId="0">
      <text>
        <r>
          <rPr>
            <sz val="10"/>
            <color rgb="FF000000"/>
            <rFont val="Arial"/>
            <family val="2"/>
          </rPr>
          <t>A user defined identifier for the study</t>
        </r>
      </text>
    </comment>
    <comment ref="G65" authorId="0" shapeId="0">
      <text>
        <r>
          <rPr>
            <sz val="10"/>
            <color rgb="FF000000"/>
            <rFont val="Arial"/>
            <family val="2"/>
          </rPr>
          <t>A title for the Study.</t>
        </r>
      </text>
    </comment>
    <comment ref="G66" authorId="0" shapeId="0">
      <text>
        <r>
          <rPr>
            <sz val="10"/>
            <color rgb="FF000000"/>
            <rFont val="Arial"/>
            <family val="2"/>
          </rPr>
          <t>A brief description of the study aims.</t>
        </r>
      </text>
    </comment>
    <comment ref="G67" authorId="0" shapeId="0">
      <text>
        <r>
          <rPr>
            <sz val="10"/>
            <color rgb="FF000000"/>
            <rFont val="Arial"/>
            <family val="2"/>
          </rPr>
          <t>The type of study design being employed</t>
        </r>
      </text>
    </comment>
    <comment ref="G68" authorId="0" shapeId="0">
      <text>
        <r>
          <rPr>
            <sz val="10"/>
            <color rgb="FF000000"/>
            <rFont val="Arial"/>
            <family val="2"/>
          </rPr>
          <t>The measurement being observed in this assay</t>
        </r>
      </text>
    </comment>
    <comment ref="G69" authorId="0" shapeId="0">
      <text>
        <r>
          <rPr>
            <sz val="10"/>
            <color rgb="FF000000"/>
            <rFont val="Arial"/>
            <family val="2"/>
          </rPr>
          <t>The technology being employed to observe this measurement</t>
        </r>
      </text>
    </comment>
    <comment ref="G70" authorId="0" shapeId="0">
      <text>
        <r>
          <rPr>
            <sz val="10"/>
            <color rgb="FF000000"/>
            <rFont val="Arial"/>
            <family val="2"/>
          </rPr>
          <t>The technology platform used</t>
        </r>
      </text>
    </comment>
    <comment ref="G71" authorId="0" shapeId="0">
      <text>
        <r>
          <rPr>
            <sz val="10"/>
            <color rgb="FF000000"/>
            <rFont val="Arial"/>
            <family val="2"/>
          </rPr>
          <t>Accreditation procedure for the analytical method used</t>
        </r>
      </text>
    </comment>
    <comment ref="G72" authorId="0" shapeId="0">
      <text>
        <r>
          <rPr>
            <sz val="10"/>
            <color rgb="FF000000"/>
            <rFont val="Arial"/>
            <family val="2"/>
          </rPr>
          <t>The name of the protocol, e.g.Extraction Protocol</t>
        </r>
      </text>
    </comment>
    <comment ref="G73" authorId="0" shapeId="0">
      <text>
        <r>
          <rPr>
            <sz val="10"/>
            <color rgb="FF000000"/>
            <rFont val="Arial"/>
            <family val="2"/>
          </rPr>
          <t>The type of the protocol, preferably coming from an Ontology, e.g. Extraction Protocol</t>
        </r>
      </text>
    </comment>
    <comment ref="G74" authorId="0" shapeId="0">
      <text>
        <r>
          <rPr>
            <sz val="10"/>
            <color rgb="FF000000"/>
            <rFont val="Arial"/>
            <family val="2"/>
          </rPr>
          <t>A description of the Protocol.</t>
        </r>
      </text>
    </comment>
    <comment ref="G75" authorId="0" shapeId="0">
      <text>
        <r>
          <rPr>
            <sz val="10"/>
            <color rgb="FF000000"/>
            <rFont val="Arial"/>
            <family val="2"/>
          </rPr>
          <t>A URI to link out to a publication, web page, etc. describing the protocol.</t>
        </r>
      </text>
    </comment>
    <comment ref="G76" authorId="0" shapeId="0">
      <text>
        <r>
          <rPr>
            <sz val="10"/>
            <color rgb="FF000000"/>
            <rFont val="Arial"/>
            <family val="2"/>
          </rPr>
          <t>The version of the protocol used, where applicable.</t>
        </r>
      </text>
    </comment>
    <comment ref="G77" authorId="0" shapeId="0">
      <text>
        <r>
          <rPr>
            <sz val="10"/>
            <color rgb="FF000000"/>
            <rFont val="Arial"/>
            <family val="2"/>
          </rPr>
          <t>The parameters used when executing this protocol.</t>
        </r>
      </text>
    </comment>
    <comment ref="G78" authorId="0" shapeId="0">
      <text>
        <r>
          <rPr>
            <sz val="10"/>
            <color rgb="FF000000"/>
            <rFont val="Arial"/>
            <family val="2"/>
          </rPr>
          <t>The components used when carrying out this protocol.</t>
        </r>
      </text>
    </comment>
    <comment ref="G80" authorId="0" shapeId="0">
      <text>
        <r>
          <rPr>
            <sz val="10"/>
            <color rgb="FF000000"/>
            <rFont val="Arial"/>
            <family val="2"/>
          </rPr>
          <t>An unambiguous ID given to the samples used in the assay</t>
        </r>
      </text>
    </comment>
    <comment ref="G81" authorId="0" shapeId="0">
      <text>
        <r>
          <rPr>
            <sz val="10"/>
            <color rgb="FF000000"/>
            <rFont val="Arial"/>
            <family val="2"/>
          </rPr>
          <t>Additional protocol for sample and sample collection. Corresponds to the Protocol REF in ISA</t>
        </r>
      </text>
    </comment>
    <comment ref="L81" authorId="0" shapeId="0">
      <text>
        <r>
          <rPr>
            <sz val="10"/>
            <color rgb="FF000000"/>
            <rFont val="Arial"/>
            <family val="2"/>
          </rPr>
          <t>An unambiguous ID given to the samples used in the assay</t>
        </r>
      </text>
    </comment>
    <comment ref="M81" authorId="0" shapeId="0">
      <text>
        <r>
          <rPr>
            <sz val="10"/>
            <color rgb="FF000000"/>
            <rFont val="Arial"/>
            <family val="2"/>
          </rPr>
          <t>Additional protocol for sample and sample collection. Corresponds to the Protocol REF in ISA</t>
        </r>
      </text>
    </comment>
    <comment ref="N81" authorId="0" shapeId="0">
      <text>
        <r>
          <rPr>
            <sz val="10"/>
            <color rgb="FF000000"/>
            <rFont val="Arial"/>
            <family val="2"/>
          </rPr>
          <t>Sampling strategy (ref. EUROSTAT - Typology of sampling strategy, version of July 2009)</t>
        </r>
      </text>
    </comment>
    <comment ref="O81" authorId="0" shapeId="0">
      <text>
        <r>
          <rPr>
            <sz val="10"/>
            <color rgb="FF000000"/>
            <rFont val="Arial"/>
            <family val="2"/>
          </rPr>
          <t>Indicate the type programme for which the samples have been collected.</t>
        </r>
      </text>
    </comment>
    <comment ref="P81" authorId="0" shapeId="0">
      <text>
        <r>
          <rPr>
            <sz val="10"/>
            <color rgb="FF000000"/>
            <rFont val="Arial"/>
            <family val="2"/>
          </rPr>
          <t>Sampling method used to take the sample</t>
        </r>
      </text>
    </comment>
    <comment ref="Q81" authorId="0" shapeId="0">
      <text>
        <r>
          <rPr>
            <sz val="10"/>
            <color rgb="FF000000"/>
            <rFont val="Arial"/>
            <family val="2"/>
          </rPr>
          <t>description of data collection technique: stratified or complex sampling (several stages)</t>
        </r>
      </text>
    </comment>
    <comment ref="R81" authorId="0" shapeId="0">
      <text>
        <r>
          <rPr>
            <sz val="10"/>
            <color rgb="FF000000"/>
            <rFont val="Arial"/>
            <family val="2"/>
          </rPr>
          <t>description of the method employed to compute sampling weight (nonresponse-adjusted weight)</t>
        </r>
      </text>
    </comment>
    <comment ref="S81" authorId="0" shapeId="0">
      <text>
        <r>
          <rPr>
            <sz val="10"/>
            <color rgb="FF000000"/>
            <rFont val="Arial"/>
            <family val="2"/>
          </rPr>
          <t>number of units, full participants, partial participants, eligibles, not eligible, unresolved (eligibility status not resolved)…</t>
        </r>
      </text>
    </comment>
    <comment ref="T81" authorId="0" shapeId="0">
      <text>
        <r>
          <rPr>
            <sz val="10"/>
            <color rgb="FF000000"/>
            <rFont val="Arial"/>
            <family val="2"/>
          </rPr>
          <t>Unit in which the lot size is expressed.</t>
        </r>
      </text>
    </comment>
    <comment ref="U81" authorId="0" shapeId="0">
      <text>
        <r>
          <rPr>
            <sz val="10"/>
            <color rgb="FF000000"/>
            <rFont val="Arial"/>
            <family val="2"/>
          </rPr>
          <t>Point in the food chain where the sample was taken. (Doc. ESTAT/F5/ES/155 “Data dictionary of activities of the establishments”).</t>
        </r>
      </text>
    </comment>
    <comment ref="G82" authorId="0" shapeId="0">
      <text>
        <r>
          <rPr>
            <sz val="10"/>
            <color rgb="FF000000"/>
            <rFont val="Arial"/>
            <family val="2"/>
          </rPr>
          <t>Sampling strategy (ref. EUROSTAT - Typology of sampling strategy, version of July 2009)</t>
        </r>
      </text>
    </comment>
    <comment ref="G83" authorId="0" shapeId="0">
      <text>
        <r>
          <rPr>
            <sz val="10"/>
            <color rgb="FF000000"/>
            <rFont val="Arial"/>
            <family val="2"/>
          </rPr>
          <t>Indicate the type programme for which the samples have been collected.</t>
        </r>
      </text>
    </comment>
    <comment ref="G84" authorId="0" shapeId="0">
      <text>
        <r>
          <rPr>
            <sz val="10"/>
            <color rgb="FF000000"/>
            <rFont val="Arial"/>
            <family val="2"/>
          </rPr>
          <t>Sampling method used to take the sample</t>
        </r>
      </text>
    </comment>
    <comment ref="G85" authorId="0" shapeId="0">
      <text>
        <r>
          <rPr>
            <sz val="10"/>
            <color rgb="FF000000"/>
            <rFont val="Arial"/>
            <family val="2"/>
          </rPr>
          <t>description of data collection technique: stratified or complex sampling (several stages)</t>
        </r>
      </text>
    </comment>
    <comment ref="G86" authorId="0" shapeId="0">
      <text>
        <r>
          <rPr>
            <sz val="10"/>
            <color rgb="FF000000"/>
            <rFont val="Arial"/>
            <family val="2"/>
          </rPr>
          <t>description of the method employed to compute sampling weight (nonresponse-adjusted weight)</t>
        </r>
      </text>
    </comment>
    <comment ref="G87" authorId="0" shapeId="0">
      <text>
        <r>
          <rPr>
            <sz val="10"/>
            <color rgb="FF000000"/>
            <rFont val="Arial"/>
            <family val="2"/>
          </rPr>
          <t>number of units, full participants, partial participants, eligibles, not eligible, unresolved (eligibility status not resolved)…</t>
        </r>
      </text>
    </comment>
    <comment ref="L87" authorId="0" shapeId="0">
      <text>
        <r>
          <rPr>
            <sz val="10"/>
            <color rgb="FF000000"/>
            <rFont val="Arial"/>
            <family val="2"/>
          </rPr>
          <t>food diaries, interview, 24-hour recall interview, food propensy questionnaire, portion size measurement aids, eating outside questionnaire</t>
        </r>
      </text>
    </comment>
    <comment ref="P87" authorId="0" shapeId="0">
      <text>
        <r>
          <rPr>
            <sz val="10"/>
            <color rgb="FF000000"/>
            <rFont val="Arial"/>
            <family val="2"/>
          </rPr>
          <t>consumption occasion, mean of consumption, quantified and described as eaten, recipes for self-made</t>
        </r>
      </text>
    </comment>
    <comment ref="Q87" authorId="0" shapeId="0">
      <text>
        <r>
          <rPr>
            <sz val="10"/>
            <color rgb="FF000000"/>
            <rFont val="Arial"/>
            <family val="2"/>
          </rPr>
          <t>use foodex2 facets</t>
        </r>
      </text>
    </comment>
    <comment ref="G88" authorId="0" shapeId="0">
      <text>
        <r>
          <rPr>
            <sz val="10"/>
            <color rgb="FF000000"/>
            <rFont val="Arial"/>
            <family val="2"/>
          </rPr>
          <t>Unit in which the lot size is expressed.</t>
        </r>
      </text>
    </comment>
    <comment ref="G89" authorId="0" shapeId="0">
      <text>
        <r>
          <rPr>
            <sz val="10"/>
            <color rgb="FF000000"/>
            <rFont val="Arial"/>
            <family val="2"/>
          </rPr>
          <t>Point in the food chain where the sample was taken. (Doc. ESTAT/F5/ES/155 “Data dictionary of activities of the establishments”).</t>
        </r>
      </text>
    </comment>
    <comment ref="G90" authorId="0" shapeId="0">
      <text>
        <r>
          <rPr>
            <sz val="10"/>
            <color rgb="FF000000"/>
            <rFont val="Arial"/>
            <family val="2"/>
          </rPr>
          <t>food diaries, interview, 24-hour recall interview, food propensy questionnaire, portion size measurement aids, eating outside questionnaire</t>
        </r>
      </text>
    </comment>
    <comment ref="P93" authorId="0" shapeId="0">
      <text>
        <r>
          <rPr>
            <sz val="10"/>
            <color rgb="FF000000"/>
            <rFont val="Arial"/>
            <family val="2"/>
          </rPr>
          <t>Definition of time-dependent parameter changes</t>
        </r>
      </text>
    </comment>
    <comment ref="G94" authorId="0" shapeId="0">
      <text>
        <r>
          <rPr>
            <sz val="10"/>
            <color rgb="FF000000"/>
            <rFont val="Arial"/>
            <family val="2"/>
          </rPr>
          <t>consumption occasion, mean of consumption, quantified and described as eaten, recipes for self-made</t>
        </r>
      </text>
    </comment>
    <comment ref="L94" authorId="0" shapeId="0">
      <text>
        <r>
          <rPr>
            <sz val="10"/>
            <color rgb="FF000000"/>
            <rFont val="Arial"/>
            <family val="2"/>
          </rPr>
          <t>The laboratory accreditation to ISO/IEC 17025.</t>
        </r>
      </text>
    </comment>
    <comment ref="M94" authorId="0" shapeId="0">
      <text>
        <r>
          <rPr>
            <sz val="10"/>
            <color rgb="FF000000"/>
            <rFont val="Arial"/>
            <family val="2"/>
          </rPr>
          <t>Laboratory code (National laboratory code if available) or Laboratory name</t>
        </r>
      </text>
    </comment>
    <comment ref="N94" authorId="0" shapeId="0">
      <text>
        <r>
          <rPr>
            <sz val="10"/>
            <color rgb="FF000000"/>
            <rFont val="Arial"/>
            <family val="2"/>
          </rPr>
          <t>Country where the laboratory is placed. (ISO 3166-1-alpha-2).</t>
        </r>
      </text>
    </comment>
    <comment ref="G95" authorId="0" shapeId="0">
      <text>
        <r>
          <rPr>
            <sz val="10"/>
            <color rgb="FF000000"/>
            <rFont val="Arial"/>
            <family val="2"/>
          </rPr>
          <t>use foodex2 facets</t>
        </r>
      </text>
    </comment>
    <comment ref="G96" authorId="0" shapeId="0">
      <text>
        <r>
          <rPr>
            <sz val="10"/>
            <color rgb="FF000000"/>
            <rFont val="Arial"/>
            <family val="2"/>
          </rPr>
          <t>The laboratory accreditation to ISO/IEC 17025.</t>
        </r>
      </text>
    </comment>
    <comment ref="G97" authorId="0" shapeId="0">
      <text>
        <r>
          <rPr>
            <sz val="10"/>
            <color rgb="FF000000"/>
            <rFont val="Arial"/>
            <family val="2"/>
          </rPr>
          <t>Laboratory code (National laboratory code if available) or Laboratory name</t>
        </r>
      </text>
    </comment>
    <comment ref="G98" authorId="0" shapeId="0">
      <text>
        <r>
          <rPr>
            <sz val="10"/>
            <color rgb="FF000000"/>
            <rFont val="Arial"/>
            <family val="2"/>
          </rPr>
          <t>Country where the laboratory is placed. (ISO 3166-1-alpha-2).</t>
        </r>
      </text>
    </comment>
    <comment ref="G99" authorId="0" shapeId="0">
      <text>
        <r>
          <rPr>
            <sz val="10"/>
            <color rgb="FF000000"/>
            <rFont val="Arial"/>
            <family val="2"/>
          </rPr>
          <t>A name given to the assay</t>
        </r>
      </text>
    </comment>
    <comment ref="G100" authorId="0" shapeId="0">
      <text>
        <r>
          <rPr>
            <sz val="10"/>
            <color rgb="FF000000"/>
            <rFont val="Arial"/>
            <family val="2"/>
          </rPr>
          <t>General description of the assay. Corresponds to the Protocol REF in ISA</t>
        </r>
      </text>
    </comment>
    <comment ref="G101" authorId="0" shapeId="0">
      <text>
        <r>
          <rPr>
            <sz val="10"/>
            <color rgb="FF000000"/>
            <rFont val="Arial"/>
            <family val="2"/>
          </rPr>
          <t>Percentage of moisture in the original sample</t>
        </r>
      </text>
    </comment>
    <comment ref="G102" authorId="0" shapeId="0">
      <text>
        <r>
          <rPr>
            <sz val="10"/>
            <color rgb="FF000000"/>
            <rFont val="Arial"/>
            <family val="2"/>
          </rPr>
          <t>Percentage of fat in the original sample</t>
        </r>
      </text>
    </comment>
    <comment ref="G103" authorId="0" shapeId="0">
      <text>
        <r>
          <rPr>
            <sz val="10"/>
            <color rgb="FF000000"/>
            <rFont val="Arial"/>
            <family val="2"/>
          </rPr>
          <t>Limit of detection reported in the unit specified by the variable “Hazard unit”.</t>
        </r>
      </text>
    </comment>
    <comment ref="G104" authorId="0" shapeId="0">
      <text>
        <r>
          <rPr>
            <sz val="10"/>
            <color rgb="FF000000"/>
            <rFont val="Arial"/>
            <family val="2"/>
          </rPr>
          <t>Limit of quantification reported in the unit specified by the variable “Hazard unit”</t>
        </r>
      </text>
    </comment>
    <comment ref="G105" authorId="0" shapeId="0">
      <text>
        <r>
          <rPr>
            <sz val="10"/>
            <color rgb="FF000000"/>
            <rFont val="Arial"/>
            <family val="2"/>
          </rPr>
          <t>percentage of measures equal to LOQ and/or LOD</t>
        </r>
      </text>
    </comment>
    <comment ref="G106" authorId="0" shapeId="0">
      <text>
        <r>
          <rPr>
            <sz val="10"/>
            <color rgb="FF000000"/>
            <rFont val="Arial"/>
            <family val="2"/>
          </rPr>
          <t>Range of result of the analytical measure reported in the unit specified by the variable “Hazard unit”</t>
        </r>
      </text>
    </comment>
    <comment ref="G107" authorId="0" shapeId="0">
      <text>
        <r>
          <rPr>
            <sz val="10"/>
            <color rgb="FF000000"/>
            <rFont val="Arial"/>
            <family val="2"/>
          </rPr>
          <t>Indicate the expanded uncertainty (usually 95% confidence interval) value associated with the measurement expressed in the unit reported in the field “Hazard unit”.</t>
        </r>
      </text>
    </comment>
    <comment ref="G108" authorId="0" shapeId="0">
      <text>
        <r>
          <rPr>
            <sz val="10"/>
            <color rgb="FF000000"/>
            <rFont val="Arial"/>
            <family val="2"/>
          </rPr>
          <t>An unambiguous and sequential ID given to the parameter. To be compatible with SBML, only letters from A to Z, numbers and "_" are acepted for ID creation.</t>
        </r>
      </text>
    </comment>
    <comment ref="M108" authorId="0" shapeId="0">
      <text>
        <r>
          <rPr>
            <sz val="10"/>
            <color rgb="FF000000"/>
            <rFont val="Arial"/>
            <family val="2"/>
          </rPr>
          <t>Statistical values calculated to describe the performance of the model fitting procedure</t>
        </r>
      </text>
    </comment>
    <comment ref="P108" authorId="0" shapeId="0">
      <text>
        <r>
          <rPr>
            <sz val="10"/>
            <color rgb="FF000000"/>
            <rFont val="Arial"/>
            <family val="2"/>
          </rPr>
          <t>A name given to the model equation</t>
        </r>
      </text>
    </comment>
    <comment ref="Q108" authorId="0" shapeId="0">
      <text>
        <r>
          <rPr>
            <sz val="10"/>
            <color rgb="FF000000"/>
            <rFont val="Arial"/>
            <family val="2"/>
          </rPr>
          <t>Information on that helps to categorize model equations</t>
        </r>
      </text>
    </comment>
    <comment ref="R108" authorId="0" shapeId="0">
      <text>
        <r>
          <rPr>
            <sz val="10"/>
            <color rgb="FF000000"/>
            <rFont val="Arial"/>
            <family val="2"/>
          </rPr>
          <t xml:space="preserve">Procedure used to fit the data to the model equation </t>
        </r>
      </text>
    </comment>
    <comment ref="S108" authorId="0" shapeId="0">
      <text>
        <r>
          <rPr>
            <sz val="10"/>
            <color rgb="FF000000"/>
            <rFont val="Arial"/>
            <family val="2"/>
          </rPr>
          <t>The pointer to the file that holds the software code (e.g. R-script)</t>
        </r>
      </text>
    </comment>
    <comment ref="G109" authorId="0" shapeId="0">
      <text>
        <r>
          <rPr>
            <sz val="10"/>
            <color rgb="FF000000"/>
            <rFont val="Arial"/>
            <family val="2"/>
          </rPr>
          <t>General classification of the parameter (e.g. Input, Constant, Output...)</t>
        </r>
      </text>
    </comment>
    <comment ref="G110" authorId="0" shapeId="0">
      <text>
        <r>
          <rPr>
            <sz val="10"/>
            <color rgb="FF000000"/>
            <rFont val="Arial"/>
            <family val="2"/>
          </rPr>
          <t>A name given to the parameter</t>
        </r>
      </text>
    </comment>
    <comment ref="G111" authorId="0" shapeId="0">
      <text>
        <r>
          <rPr>
            <sz val="10"/>
            <color rgb="FF000000"/>
            <rFont val="Arial"/>
            <family val="2"/>
          </rPr>
          <t>General description of the parameter</t>
        </r>
      </text>
    </comment>
    <comment ref="G112" authorId="0" shapeId="0">
      <text>
        <r>
          <rPr>
            <sz val="10"/>
            <color rgb="FF000000"/>
            <rFont val="Arial"/>
            <family val="2"/>
          </rPr>
          <t>Unit of the parameter</t>
        </r>
      </text>
    </comment>
    <comment ref="G113" authorId="0" shapeId="0">
      <text>
        <r>
          <rPr>
            <sz val="10"/>
            <color rgb="FF000000"/>
            <rFont val="Arial"/>
            <family val="2"/>
          </rPr>
          <t>General classification of the parameter unit</t>
        </r>
      </text>
    </comment>
    <comment ref="G114" authorId="0" shapeId="0">
      <text>
        <r>
          <rPr>
            <sz val="10"/>
            <color rgb="FF000000"/>
            <rFont val="Arial"/>
            <family val="2"/>
          </rPr>
          <t>Information on the data format of the parameter, e.g. if it is a categorial variable, int, double, array of size x,y,z</t>
        </r>
      </text>
    </comment>
    <comment ref="G115" authorId="0" shapeId="0">
      <text>
        <r>
          <rPr>
            <sz val="10"/>
            <color rgb="FF000000"/>
            <rFont val="Arial"/>
            <family val="2"/>
          </rPr>
          <t>Information on the type of knowledge used to define the parameter value</t>
        </r>
      </text>
    </comment>
    <comment ref="G116" authorId="0" shapeId="0">
      <text>
        <r>
          <rPr>
            <sz val="10"/>
            <color rgb="FF000000"/>
            <rFont val="Arial"/>
            <family val="2"/>
          </rPr>
          <t>Scope of the parameter, e.g. if it refers to an animal, a batch of animals, a batch of products, a carcass, a carcass skin etc</t>
        </r>
      </text>
    </comment>
    <comment ref="G117" authorId="0" shapeId="0">
      <text>
        <r>
          <rPr>
            <sz val="10"/>
            <color rgb="FF000000"/>
            <rFont val="Arial"/>
            <family val="2"/>
          </rPr>
          <t xml:space="preserve">Information on the distribution describing the parameter (e.g. variability, uncertainty, point estimate...) </t>
        </r>
      </text>
    </comment>
    <comment ref="K117"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18" authorId="0" shapeId="0">
      <text>
        <r>
          <rPr>
            <sz val="10"/>
            <color rgb="FF000000"/>
            <rFont val="Arial"/>
            <family val="2"/>
          </rPr>
          <t>An unambiguous and sequential ID given to the parameter. To be compatible with SBML, only letters from A to Z, numbers and "_" are acepted for ID creation.</t>
        </r>
      </text>
    </comment>
    <comment ref="M118" authorId="0" shapeId="0">
      <text>
        <r>
          <rPr>
            <sz val="10"/>
            <color rgb="FF000000"/>
            <rFont val="Arial"/>
            <family val="2"/>
          </rPr>
          <t>General classification of the parameter (e.g. Input, Constant, Output...)</t>
        </r>
      </text>
    </comment>
    <comment ref="N118" authorId="0" shapeId="0">
      <text>
        <r>
          <rPr>
            <sz val="10"/>
            <color rgb="FF000000"/>
            <rFont val="Arial"/>
            <family val="2"/>
          </rPr>
          <t>A name given to the parameter</t>
        </r>
      </text>
    </comment>
    <comment ref="O118" authorId="0" shapeId="0">
      <text>
        <r>
          <rPr>
            <sz val="10"/>
            <color rgb="FF000000"/>
            <rFont val="Arial"/>
            <family val="2"/>
          </rPr>
          <t>General description of the parameter</t>
        </r>
      </text>
    </comment>
    <comment ref="P118" authorId="0" shapeId="0">
      <text>
        <r>
          <rPr>
            <sz val="10"/>
            <color rgb="FF000000"/>
            <rFont val="Arial"/>
            <family val="2"/>
          </rPr>
          <t>Unit of the parameter</t>
        </r>
      </text>
    </comment>
    <comment ref="Q118" authorId="0" shapeId="0">
      <text>
        <r>
          <rPr>
            <sz val="10"/>
            <color rgb="FF000000"/>
            <rFont val="Arial"/>
            <family val="2"/>
          </rPr>
          <t>General classification of the parameter unit</t>
        </r>
      </text>
    </comment>
    <comment ref="R118" authorId="0" shapeId="0">
      <text>
        <r>
          <rPr>
            <sz val="10"/>
            <color rgb="FF000000"/>
            <rFont val="Arial"/>
            <family val="2"/>
          </rPr>
          <t>Information on the data format of the parameter, e.g. if it is a categorial variable, int, double, array of size x,y,z</t>
        </r>
      </text>
    </comment>
    <comment ref="S118" authorId="0" shapeId="0">
      <text>
        <r>
          <rPr>
            <sz val="10"/>
            <color rgb="FF000000"/>
            <rFont val="Arial"/>
            <family val="2"/>
          </rPr>
          <t>Information on the type of knowledge used to define the parameter value</t>
        </r>
      </text>
    </comment>
    <comment ref="T118" authorId="0" shapeId="0">
      <text>
        <r>
          <rPr>
            <sz val="10"/>
            <color rgb="FF000000"/>
            <rFont val="Arial"/>
            <family val="2"/>
          </rPr>
          <t>Scope of the parameter, e.g. if it refers to an animal, a batch of animals, a batch of products, a carcass, a carcass skin etc</t>
        </r>
      </text>
    </comment>
    <comment ref="U118"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8"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18"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18"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18" authorId="0" shapeId="0">
      <text>
        <r>
          <rPr>
            <sz val="10"/>
            <color rgb="FF000000"/>
            <rFont val="Arial"/>
            <family val="2"/>
          </rPr>
          <t>Numerical values of the maximum limit of the parameter that determine the range of applicability for which the model applies</t>
        </r>
      </text>
    </comment>
    <comment ref="Z118" authorId="0" shapeId="0">
      <text>
        <r>
          <rPr>
            <sz val="10"/>
            <color rgb="FF000000"/>
            <rFont val="Arial"/>
            <family val="2"/>
          </rPr>
          <t>Numerical values of the minimum limit of the parameter that determine the range of applicability for which the model applies</t>
        </r>
      </text>
    </comment>
    <comment ref="AA118" authorId="0" shapeId="0">
      <text>
        <r>
          <rPr>
            <sz val="10"/>
            <color rgb="FF000000"/>
            <rFont val="Arial"/>
            <family val="2"/>
          </rPr>
          <t>Error of the parameter value</t>
        </r>
      </text>
    </comment>
    <comment ref="G120"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21"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22"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23" authorId="0" shapeId="0">
      <text>
        <r>
          <rPr>
            <sz val="10"/>
            <color rgb="FF000000"/>
            <rFont val="Arial"/>
            <family val="2"/>
          </rPr>
          <t>Numerical values of the maximum and minimum limits of the parameter that determine the range of applicability for which the model applies</t>
        </r>
      </text>
    </comment>
    <comment ref="G125" authorId="0" shapeId="0">
      <text>
        <r>
          <rPr>
            <sz val="10"/>
            <color rgb="FF000000"/>
            <rFont val="Arial"/>
            <family val="2"/>
          </rPr>
          <t>Error of the parameter value</t>
        </r>
      </text>
    </comment>
    <comment ref="G126" authorId="0" shapeId="0">
      <text>
        <r>
          <rPr>
            <sz val="10"/>
            <color rgb="FF000000"/>
            <rFont val="Arial"/>
            <family val="2"/>
          </rPr>
          <t>Statistical values calculated to describe the performance of the model fitting procedure</t>
        </r>
      </text>
    </comment>
    <comment ref="G128" authorId="0" shapeId="0">
      <text>
        <r>
          <rPr>
            <sz val="10"/>
            <color rgb="FF000000"/>
            <rFont val="Arial"/>
            <family val="2"/>
          </rPr>
          <t>A name given to the model equation</t>
        </r>
      </text>
    </comment>
    <comment ref="G129" authorId="0" shapeId="0">
      <text>
        <r>
          <rPr>
            <sz val="10"/>
            <color rgb="FF000000"/>
            <rFont val="Arial"/>
            <family val="2"/>
          </rPr>
          <t>Information on that helps to categorize model equations</t>
        </r>
      </text>
    </comment>
    <comment ref="G133" authorId="0" shapeId="0">
      <text>
        <r>
          <rPr>
            <sz val="10"/>
            <color rgb="FF000000"/>
            <rFont val="Arial"/>
            <family val="2"/>
          </rPr>
          <t xml:space="preserve">Procedure used to fit the data to the model equation </t>
        </r>
      </text>
    </comment>
    <comment ref="G134" authorId="0" shapeId="0">
      <text>
        <r>
          <rPr>
            <sz val="10"/>
            <color rgb="FF000000"/>
            <rFont val="Arial"/>
            <family val="2"/>
          </rPr>
          <t>The pointer to the file that holds the software code (e.g. R-script)</t>
        </r>
      </text>
    </comment>
    <comment ref="E136" authorId="0" shapeId="0">
      <text>
        <r>
          <rPr>
            <sz val="10"/>
            <color rgb="FF000000"/>
            <rFont val="Arial"/>
            <family val="2"/>
          </rPr>
          <t xml:space="preserve">Procedure used to fit the data to the model equation </t>
        </r>
      </text>
    </comment>
    <comment ref="E137" authorId="0" shapeId="0">
      <text>
        <r>
          <rPr>
            <sz val="10"/>
            <color rgb="FF000000"/>
            <rFont val="Arial"/>
            <family val="2"/>
          </rPr>
          <t>Definition of time-dependent parameter changes</t>
        </r>
      </text>
    </comment>
  </commentList>
</comments>
</file>

<file path=xl/comments12.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 xml:space="preserve">The person responsible for creating the model file in the present form or the person responsible for creating the model file in the present form </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Web address referencing the resource location</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study, model</t>
        </r>
      </text>
    </comment>
    <comment ref="G36" authorId="0" shapeId="0">
      <text>
        <r>
          <rPr>
            <sz val="10"/>
            <color rgb="FF000000"/>
            <rFont val="Arial"/>
            <family val="2"/>
          </rPr>
          <t>General classification of the hazard for which the model applies</t>
        </r>
      </text>
    </comment>
    <comment ref="G37" authorId="0" shapeId="0">
      <text>
        <r>
          <rPr>
            <sz val="10"/>
            <color rgb="FF000000"/>
            <rFont val="Arial"/>
            <family val="2"/>
          </rPr>
          <t>Name of the hazard for which the model applies</t>
        </r>
      </text>
    </comment>
    <comment ref="L37" authorId="0" shapeId="0">
      <text>
        <r>
          <rPr>
            <sz val="10"/>
            <color rgb="FF000000"/>
            <rFont val="Arial"/>
            <family val="2"/>
          </rPr>
          <t>General classification of the hazard for which the model or data applies</t>
        </r>
      </text>
    </comment>
    <comment ref="M37" authorId="0" shapeId="0">
      <text>
        <r>
          <rPr>
            <sz val="10"/>
            <color rgb="FF000000"/>
            <rFont val="Arial"/>
            <family val="2"/>
          </rPr>
          <t>Name of the hazard for which the model or data applies</t>
        </r>
      </text>
    </comment>
    <comment ref="N37" authorId="0" shapeId="0">
      <text>
        <r>
          <rPr>
            <sz val="10"/>
            <color rgb="FF000000"/>
            <rFont val="Arial"/>
            <family val="2"/>
          </rPr>
          <t>Description of the hazard for which the model or data applies</t>
        </r>
      </text>
    </comment>
    <comment ref="O37" authorId="0" shapeId="0">
      <text>
        <r>
          <rPr>
            <sz val="10"/>
            <color rgb="FF000000"/>
            <rFont val="Arial"/>
            <family val="2"/>
          </rPr>
          <t>Unit of the hazard for which the model applies</t>
        </r>
      </text>
    </comment>
    <comment ref="P37" authorId="0" shapeId="0">
      <text>
        <r>
          <rPr>
            <sz val="10"/>
            <color rgb="FF000000"/>
            <rFont val="Arial"/>
            <family val="2"/>
          </rPr>
          <t>morbidity, mortality, effect</t>
        </r>
      </text>
    </comment>
    <comment ref="Q37" authorId="0" shapeId="0">
      <text>
        <r>
          <rPr>
            <sz val="10"/>
            <color rgb="FF000000"/>
            <rFont val="Arial"/>
            <family val="2"/>
          </rPr>
          <t>source of contamination, origin</t>
        </r>
      </text>
    </comment>
    <comment ref="R37" authorId="0" shapeId="0">
      <text>
        <r>
          <rPr>
            <sz val="10"/>
            <color rgb="FF000000"/>
            <rFont val="Arial"/>
            <family val="2"/>
          </rPr>
          <t>A dose or concentration that produces a predetermined change in response rate of an adverse effect (called the bench response or BMR) compared to background.</t>
        </r>
      </text>
    </comment>
    <comment ref="S37" authorId="0" shapeId="0">
      <text>
        <r>
          <rPr>
            <sz val="10"/>
            <color rgb="FF000000"/>
            <rFont val="Arial"/>
            <family val="2"/>
          </rPr>
          <t>International regulations and permissible maximum residue levels in food and drinking water</t>
        </r>
      </text>
    </comment>
    <comment ref="T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Y37" authorId="0" shapeId="0">
      <text>
        <r>
          <rPr>
            <sz val="10"/>
            <color rgb="FF000000"/>
            <rFont val="Arial"/>
            <family val="2"/>
          </rPr>
          <t>Define if the parameter reported is an individual residue/analyte, a summed residue definition or part of a sum a summed residue definition.</t>
        </r>
      </text>
    </comment>
    <comment ref="Z37" authorId="0" shapeId="0">
      <text>
        <r>
          <rPr>
            <sz val="10"/>
            <color rgb="FF000000"/>
            <rFont val="Arial"/>
            <family val="2"/>
          </rPr>
          <t>Name of the population for which the model or data applies</t>
        </r>
      </text>
    </comment>
    <comment ref="AA37" authorId="0" shapeId="0">
      <text>
        <r>
          <rPr>
            <sz val="10"/>
            <color rgb="FF000000"/>
            <rFont val="Arial"/>
            <family val="2"/>
          </rPr>
          <t>population of individual that we are interested in describing and making statistical inferences about</t>
        </r>
      </text>
    </comment>
    <comment ref="AB37" authorId="0" shapeId="0">
      <text>
        <r>
          <rPr>
            <sz val="10"/>
            <color rgb="FF000000"/>
            <rFont val="Arial"/>
            <family val="2"/>
          </rPr>
          <t>Temporal information on the exposure duration</t>
        </r>
      </text>
    </comment>
    <comment ref="AC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family val="2"/>
          </rPr>
          <t>describe the range of age or group of age</t>
        </r>
      </text>
    </comment>
    <comment ref="AE37" authorId="0" shapeId="0">
      <text>
        <r>
          <rPr>
            <sz val="10"/>
            <color rgb="FF000000"/>
            <rFont val="Arial"/>
            <family val="2"/>
          </rPr>
          <t>describe the percentage of gender</t>
        </r>
      </text>
    </comment>
    <comment ref="AF37" authorId="0" shapeId="0">
      <text>
        <r>
          <rPr>
            <sz val="10"/>
            <color rgb="FF000000"/>
            <rFont val="Arial"/>
            <family val="2"/>
          </rPr>
          <t>describe the range of BMI or class of BMI or BMI mean</t>
        </r>
      </text>
    </comment>
    <comment ref="AG37" authorId="0" shapeId="0">
      <text>
        <r>
          <rPr>
            <sz val="10"/>
            <color rgb="FF000000"/>
            <rFont val="Arial"/>
            <family val="2"/>
          </rPr>
          <t>sub-population with special diets (vegetarians, diabetics, group following special ethnic diets)</t>
        </r>
      </text>
    </comment>
    <comment ref="AH37" authorId="0" shapeId="0">
      <text>
        <r>
          <rPr>
            <sz val="10"/>
            <color rgb="FF000000"/>
            <rFont val="Arial"/>
            <family val="2"/>
          </rPr>
          <t>describe the consumption of different food items: frequency, portion size</t>
        </r>
      </text>
    </comment>
    <comment ref="AI37" authorId="0" shapeId="0">
      <text>
        <r>
          <rPr>
            <sz val="10"/>
            <color rgb="FF000000"/>
            <rFont val="Arial"/>
            <family val="2"/>
          </rPr>
          <t>Spatial information (area) on which the population group of the model or data applies</t>
        </r>
      </text>
    </comment>
    <comment ref="AJ37" authorId="0" shapeId="0">
      <text>
        <r>
          <rPr>
            <sz val="10"/>
            <color rgb="FF000000"/>
            <rFont val="Arial"/>
            <family val="2"/>
          </rPr>
          <t>Country on which the population group of the model or data applies</t>
        </r>
      </text>
    </comment>
    <comment ref="AK37" authorId="0" shapeId="0">
      <text>
        <r>
          <rPr>
            <sz val="10"/>
            <color rgb="FF000000"/>
            <rFont val="Arial"/>
            <family val="2"/>
          </rPr>
          <t>distribution of surveyed people according to the season (influence consumption pattern)</t>
        </r>
      </text>
    </comment>
    <comment ref="AL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Description of the hazard for which the model applies</t>
        </r>
      </text>
    </comment>
    <comment ref="G39" authorId="0" shapeId="0">
      <text>
        <r>
          <rPr>
            <sz val="10"/>
            <color rgb="FF000000"/>
            <rFont val="Arial"/>
            <family val="2"/>
          </rPr>
          <t>Unit of the hazard for which the model applies</t>
        </r>
      </text>
    </comment>
    <comment ref="G40" authorId="0" shapeId="0">
      <text>
        <r>
          <rPr>
            <sz val="10"/>
            <color rgb="FF000000"/>
            <rFont val="Arial"/>
            <family val="2"/>
          </rPr>
          <t>morbidity, mortality, effect</t>
        </r>
      </text>
    </comment>
    <comment ref="G41" authorId="0" shapeId="0">
      <text>
        <r>
          <rPr>
            <sz val="10"/>
            <color rgb="FF000000"/>
            <rFont val="Arial"/>
            <family val="2"/>
          </rPr>
          <t>source of contamination, origin</t>
        </r>
      </text>
    </comment>
    <comment ref="G42" authorId="0" shapeId="0">
      <text>
        <r>
          <rPr>
            <sz val="10"/>
            <color rgb="FF000000"/>
            <rFont val="Arial"/>
            <family val="2"/>
          </rPr>
          <t>A dose or concentration that produces a predetermined change in response rate of an adverse effect (called the bench response or BMR) compared to background.</t>
        </r>
      </text>
    </comment>
    <comment ref="G43" authorId="0" shapeId="0">
      <text>
        <r>
          <rPr>
            <sz val="10"/>
            <color rgb="FF000000"/>
            <rFont val="Arial"/>
            <family val="2"/>
          </rPr>
          <t>International regulations and permissible maximum residue levels in food and drinking water</t>
        </r>
      </text>
    </comment>
    <comment ref="G44"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49" authorId="0" shapeId="0">
      <text>
        <r>
          <rPr>
            <sz val="10"/>
            <color rgb="FF000000"/>
            <rFont val="Arial"/>
            <family val="2"/>
          </rPr>
          <t>Define if the parameter reported is an individual residue/analyte, a summed residue definition or part of a sum a summed residue definition.</t>
        </r>
      </text>
    </comment>
    <comment ref="G50" authorId="0" shapeId="0">
      <text>
        <r>
          <rPr>
            <sz val="10"/>
            <color rgb="FF000000"/>
            <rFont val="Arial"/>
            <family val="2"/>
          </rPr>
          <t>Name of the population for which the model or data applies</t>
        </r>
      </text>
    </comment>
    <comment ref="G51" authorId="0" shapeId="0">
      <text>
        <r>
          <rPr>
            <sz val="10"/>
            <color rgb="FF000000"/>
            <rFont val="Arial"/>
            <family val="2"/>
          </rPr>
          <t>population of individual that we are interested in describing and making statistical inferences about</t>
        </r>
      </text>
    </comment>
    <comment ref="G52" authorId="0" shapeId="0">
      <text>
        <r>
          <rPr>
            <sz val="10"/>
            <color rgb="FF000000"/>
            <rFont val="Arial"/>
            <family val="2"/>
          </rPr>
          <t>Temporal information on the exposure duration</t>
        </r>
      </text>
    </comment>
    <comment ref="G53"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family val="2"/>
          </rPr>
          <t>describe the range of age or group of age</t>
        </r>
      </text>
    </comment>
    <comment ref="G55" authorId="0" shapeId="0">
      <text>
        <r>
          <rPr>
            <sz val="10"/>
            <color rgb="FF000000"/>
            <rFont val="Arial"/>
            <family val="2"/>
          </rPr>
          <t>describe the percentage of gender</t>
        </r>
      </text>
    </comment>
    <comment ref="G56" authorId="0" shapeId="0">
      <text>
        <r>
          <rPr>
            <sz val="10"/>
            <color rgb="FF000000"/>
            <rFont val="Arial"/>
            <family val="2"/>
          </rPr>
          <t>describe the range of BMI or class of BMI or BMI mean</t>
        </r>
      </text>
    </comment>
    <comment ref="G57" authorId="0" shapeId="0">
      <text>
        <r>
          <rPr>
            <sz val="10"/>
            <color rgb="FF000000"/>
            <rFont val="Arial"/>
            <family val="2"/>
          </rPr>
          <t>sub-population with special diets (vegetarians, diabetics, group following special ethnic diets)</t>
        </r>
      </text>
    </comment>
    <comment ref="G58" authorId="0" shapeId="0">
      <text>
        <r>
          <rPr>
            <sz val="10"/>
            <color rgb="FF000000"/>
            <rFont val="Arial"/>
            <family val="2"/>
          </rPr>
          <t>describe the consumption of different food items: frequency, portion size</t>
        </r>
      </text>
    </comment>
    <comment ref="G59" authorId="0" shapeId="0">
      <text>
        <r>
          <rPr>
            <sz val="10"/>
            <color rgb="FF000000"/>
            <rFont val="Arial"/>
            <family val="2"/>
          </rPr>
          <t>Spatial information (area) on which the population group of the model or data applies</t>
        </r>
      </text>
    </comment>
    <comment ref="G60" authorId="0" shapeId="0">
      <text>
        <r>
          <rPr>
            <sz val="10"/>
            <color rgb="FF000000"/>
            <rFont val="Arial"/>
            <family val="2"/>
          </rPr>
          <t>Country on which the population group of the model or data applies</t>
        </r>
      </text>
    </comment>
    <comment ref="G61" authorId="0" shapeId="0">
      <text>
        <r>
          <rPr>
            <sz val="10"/>
            <color rgb="FF000000"/>
            <rFont val="Arial"/>
            <family val="2"/>
          </rPr>
          <t>distribution of surveyed people according to the season (influence consumption pattern)</t>
        </r>
      </text>
    </comment>
    <comment ref="G62" authorId="0" shapeId="0">
      <text>
        <r>
          <rPr>
            <sz val="10"/>
            <color rgb="FF000000"/>
            <rFont val="Arial"/>
            <family val="2"/>
          </rPr>
          <t>distribution of surveyed people according to the season (influence consumption pattern)</t>
        </r>
      </text>
    </comment>
    <comment ref="E63" authorId="0" shapeId="0">
      <text>
        <r>
          <rPr>
            <sz val="10"/>
            <color rgb="FF000000"/>
            <rFont val="Arial"/>
            <family val="2"/>
          </rPr>
          <t>General comments on the scope of the model</t>
        </r>
      </text>
    </comment>
    <comment ref="G64" authorId="0" shapeId="0">
      <text>
        <r>
          <rPr>
            <sz val="10"/>
            <color rgb="FF000000"/>
            <rFont val="Arial"/>
            <family val="2"/>
          </rPr>
          <t>Temporal information on which the model applies / An interval of time that is named or defined by its start and end dates (period of study)</t>
        </r>
      </text>
    </comment>
    <comment ref="G65" authorId="0" shapeId="0">
      <text>
        <r>
          <rPr>
            <sz val="10"/>
            <color rgb="FF000000"/>
            <rFont val="Arial"/>
            <family val="2"/>
          </rPr>
          <t>Spatial information (area) on which the model applies</t>
        </r>
      </text>
    </comment>
    <comment ref="G66" authorId="0" shapeId="0">
      <text>
        <r>
          <rPr>
            <sz val="10"/>
            <color rgb="FF000000"/>
            <rFont val="Arial"/>
            <family val="2"/>
          </rPr>
          <t>Country on which the model applies</t>
        </r>
      </text>
    </comment>
    <comment ref="G67" authorId="0" shapeId="0">
      <text>
        <r>
          <rPr>
            <sz val="10"/>
            <color rgb="FF000000"/>
            <rFont val="Arial"/>
            <family val="2"/>
          </rPr>
          <t>A user defined identifier for the study</t>
        </r>
      </text>
    </comment>
    <comment ref="G68" authorId="0" shapeId="0">
      <text>
        <r>
          <rPr>
            <sz val="10"/>
            <color rgb="FF000000"/>
            <rFont val="Arial"/>
            <family val="2"/>
          </rPr>
          <t>A title for the Study.</t>
        </r>
      </text>
    </comment>
    <comment ref="G69" authorId="0" shapeId="0">
      <text>
        <r>
          <rPr>
            <sz val="10"/>
            <color rgb="FF000000"/>
            <rFont val="Arial"/>
            <family val="2"/>
          </rPr>
          <t>A brief description of the study aims.</t>
        </r>
      </text>
    </comment>
    <comment ref="G70" authorId="0" shapeId="0">
      <text>
        <r>
          <rPr>
            <sz val="10"/>
            <color rgb="FF000000"/>
            <rFont val="Arial"/>
            <family val="2"/>
          </rPr>
          <t>The type of study design being employed</t>
        </r>
      </text>
    </comment>
    <comment ref="G71" authorId="0" shapeId="0">
      <text>
        <r>
          <rPr>
            <sz val="10"/>
            <color rgb="FF000000"/>
            <rFont val="Arial"/>
            <family val="2"/>
          </rPr>
          <t>The measurement being observed in this assay</t>
        </r>
      </text>
    </comment>
    <comment ref="G72" authorId="0" shapeId="0">
      <text>
        <r>
          <rPr>
            <sz val="10"/>
            <color rgb="FF000000"/>
            <rFont val="Arial"/>
            <family val="2"/>
          </rPr>
          <t>The technology being employed to observe this measurement</t>
        </r>
      </text>
    </comment>
    <comment ref="G73" authorId="0" shapeId="0">
      <text>
        <r>
          <rPr>
            <sz val="10"/>
            <color rgb="FF000000"/>
            <rFont val="Arial"/>
            <family val="2"/>
          </rPr>
          <t>The technology platform used</t>
        </r>
      </text>
    </comment>
    <comment ref="G74" authorId="0" shapeId="0">
      <text>
        <r>
          <rPr>
            <sz val="10"/>
            <color rgb="FF000000"/>
            <rFont val="Arial"/>
            <family val="2"/>
          </rPr>
          <t>Accreditation procedure for the analytical method used</t>
        </r>
      </text>
    </comment>
    <comment ref="G75" authorId="0" shapeId="0">
      <text>
        <r>
          <rPr>
            <sz val="10"/>
            <color rgb="FF000000"/>
            <rFont val="Arial"/>
            <family val="2"/>
          </rPr>
          <t>The name of the protocol, e.g.Extraction Protocol</t>
        </r>
      </text>
    </comment>
    <comment ref="G76" authorId="0" shapeId="0">
      <text>
        <r>
          <rPr>
            <sz val="10"/>
            <color rgb="FF000000"/>
            <rFont val="Arial"/>
            <family val="2"/>
          </rPr>
          <t>The type of the protocol, preferably coming from an Ontology, e.g. Extraction Protocol</t>
        </r>
      </text>
    </comment>
    <comment ref="G77" authorId="0" shapeId="0">
      <text>
        <r>
          <rPr>
            <sz val="10"/>
            <color rgb="FF000000"/>
            <rFont val="Arial"/>
            <family val="2"/>
          </rPr>
          <t>A description of the Protocol.</t>
        </r>
      </text>
    </comment>
    <comment ref="G78" authorId="0" shapeId="0">
      <text>
        <r>
          <rPr>
            <sz val="10"/>
            <color rgb="FF000000"/>
            <rFont val="Arial"/>
            <family val="2"/>
          </rPr>
          <t>A URI to link out to a publication, web page, etc. describing the protocol.</t>
        </r>
      </text>
    </comment>
    <comment ref="G79" authorId="0" shapeId="0">
      <text>
        <r>
          <rPr>
            <sz val="10"/>
            <color rgb="FF000000"/>
            <rFont val="Arial"/>
            <family val="2"/>
          </rPr>
          <t>The version of the protocol used, where applicable.</t>
        </r>
      </text>
    </comment>
    <comment ref="G80" authorId="0" shapeId="0">
      <text>
        <r>
          <rPr>
            <sz val="10"/>
            <color rgb="FF000000"/>
            <rFont val="Arial"/>
            <family val="2"/>
          </rPr>
          <t>The parameters used when executing this protocol.</t>
        </r>
      </text>
    </comment>
    <comment ref="G81" authorId="0" shapeId="0">
      <text>
        <r>
          <rPr>
            <sz val="10"/>
            <color rgb="FF000000"/>
            <rFont val="Arial"/>
            <family val="2"/>
          </rPr>
          <t>The components used when carrying out this protocol.</t>
        </r>
      </text>
    </comment>
    <comment ref="G83" authorId="0" shapeId="0">
      <text>
        <r>
          <rPr>
            <sz val="10"/>
            <color rgb="FF000000"/>
            <rFont val="Arial"/>
            <family val="2"/>
          </rPr>
          <t>An unambiguous ID given to the samples used in the assay</t>
        </r>
      </text>
    </comment>
    <comment ref="G84" authorId="0" shapeId="0">
      <text>
        <r>
          <rPr>
            <sz val="10"/>
            <color rgb="FF000000"/>
            <rFont val="Arial"/>
            <family val="2"/>
          </rPr>
          <t>Additional protocol for sample and sample collection. Corresponds to the Protocol REF in ISA</t>
        </r>
      </text>
    </comment>
    <comment ref="L84" authorId="0" shapeId="0">
      <text>
        <r>
          <rPr>
            <sz val="10"/>
            <color rgb="FF000000"/>
            <rFont val="Arial"/>
            <family val="2"/>
          </rPr>
          <t>An unambiguous ID given to the samples used in the assay</t>
        </r>
      </text>
    </comment>
    <comment ref="M84" authorId="0" shapeId="0">
      <text>
        <r>
          <rPr>
            <sz val="10"/>
            <color rgb="FF000000"/>
            <rFont val="Arial"/>
            <family val="2"/>
          </rPr>
          <t>Additional protocol for sample and sample collection. Corresponds to the Protocol REF in ISA</t>
        </r>
      </text>
    </comment>
    <comment ref="N84" authorId="0" shapeId="0">
      <text>
        <r>
          <rPr>
            <sz val="10"/>
            <color rgb="FF000000"/>
            <rFont val="Arial"/>
            <family val="2"/>
          </rPr>
          <t>Sampling strategy (ref. EUROSTAT - Typology of sampling strategy, version of July 2009)</t>
        </r>
      </text>
    </comment>
    <comment ref="O84" authorId="0" shapeId="0">
      <text>
        <r>
          <rPr>
            <sz val="10"/>
            <color rgb="FF000000"/>
            <rFont val="Arial"/>
            <family val="2"/>
          </rPr>
          <t>Indicate the type programme for which the samples have been collected.</t>
        </r>
      </text>
    </comment>
    <comment ref="P84" authorId="0" shapeId="0">
      <text>
        <r>
          <rPr>
            <sz val="10"/>
            <color rgb="FF000000"/>
            <rFont val="Arial"/>
            <family val="2"/>
          </rPr>
          <t>Sampling method used to take the sample</t>
        </r>
      </text>
    </comment>
    <comment ref="Q84" authorId="0" shapeId="0">
      <text>
        <r>
          <rPr>
            <sz val="10"/>
            <color rgb="FF000000"/>
            <rFont val="Arial"/>
            <family val="2"/>
          </rPr>
          <t>description of data collection technique: stratified or complex sampling (several stages)</t>
        </r>
      </text>
    </comment>
    <comment ref="R84" authorId="0" shapeId="0">
      <text>
        <r>
          <rPr>
            <sz val="10"/>
            <color rgb="FF000000"/>
            <rFont val="Arial"/>
            <family val="2"/>
          </rPr>
          <t>description of the method employed to compute sampling weight (nonresponse-adjusted weight)</t>
        </r>
      </text>
    </comment>
    <comment ref="S84" authorId="0" shapeId="0">
      <text>
        <r>
          <rPr>
            <sz val="10"/>
            <color rgb="FF000000"/>
            <rFont val="Arial"/>
            <family val="2"/>
          </rPr>
          <t>number of units, full participants, partial participants, eligibles, not eligible, unresolved (eligibility status not resolved)…</t>
        </r>
      </text>
    </comment>
    <comment ref="T84" authorId="0" shapeId="0">
      <text>
        <r>
          <rPr>
            <sz val="10"/>
            <color rgb="FF000000"/>
            <rFont val="Arial"/>
            <family val="2"/>
          </rPr>
          <t>Unit in which the lot size is expressed.</t>
        </r>
      </text>
    </comment>
    <comment ref="U84" authorId="0" shapeId="0">
      <text>
        <r>
          <rPr>
            <sz val="10"/>
            <color rgb="FF000000"/>
            <rFont val="Arial"/>
            <family val="2"/>
          </rPr>
          <t>Point in the food chain where the sample was taken. (Doc. ESTAT/F5/ES/155 “Data dictionary of activities of the establishments”).</t>
        </r>
      </text>
    </comment>
    <comment ref="G85" authorId="0" shapeId="0">
      <text>
        <r>
          <rPr>
            <sz val="10"/>
            <color rgb="FF000000"/>
            <rFont val="Arial"/>
            <family val="2"/>
          </rPr>
          <t>Sampling strategy (ref. EUROSTAT - Typology of sampling strategy, version of July 2009)</t>
        </r>
      </text>
    </comment>
    <comment ref="G86" authorId="0" shapeId="0">
      <text>
        <r>
          <rPr>
            <sz val="10"/>
            <color rgb="FF000000"/>
            <rFont val="Arial"/>
            <family val="2"/>
          </rPr>
          <t>Indicate the type programme for which the samples have been collected.</t>
        </r>
      </text>
    </comment>
    <comment ref="G87" authorId="0" shapeId="0">
      <text>
        <r>
          <rPr>
            <sz val="10"/>
            <color rgb="FF000000"/>
            <rFont val="Arial"/>
            <family val="2"/>
          </rPr>
          <t>Sampling method used to take the sample</t>
        </r>
      </text>
    </comment>
    <comment ref="G88" authorId="0" shapeId="0">
      <text>
        <r>
          <rPr>
            <sz val="10"/>
            <color rgb="FF000000"/>
            <rFont val="Arial"/>
            <family val="2"/>
          </rPr>
          <t>description of data collection technique: stratified or complex sampling (several stages)</t>
        </r>
      </text>
    </comment>
    <comment ref="G89" authorId="0" shapeId="0">
      <text>
        <r>
          <rPr>
            <sz val="10"/>
            <color rgb="FF000000"/>
            <rFont val="Arial"/>
            <family val="2"/>
          </rPr>
          <t>description of the method employed to compute sampling weight (nonresponse-adjusted weight)</t>
        </r>
      </text>
    </comment>
    <comment ref="G90" authorId="0" shapeId="0">
      <text>
        <r>
          <rPr>
            <sz val="10"/>
            <color rgb="FF000000"/>
            <rFont val="Arial"/>
            <family val="2"/>
          </rPr>
          <t>number of units, full participants, partial participants, eligibles, not eligible, unresolved (eligibility status not resolved)…</t>
        </r>
      </text>
    </comment>
    <comment ref="P90" authorId="0" shapeId="0">
      <text>
        <r>
          <rPr>
            <sz val="10"/>
            <color rgb="FF000000"/>
            <rFont val="Arial"/>
            <family val="2"/>
          </rPr>
          <t>Definition of time-dependent parameter changes</t>
        </r>
      </text>
    </comment>
    <comment ref="G91" authorId="0" shapeId="0">
      <text>
        <r>
          <rPr>
            <sz val="10"/>
            <color rgb="FF000000"/>
            <rFont val="Arial"/>
            <family val="2"/>
          </rPr>
          <t>Unit in which the lot size is expressed.</t>
        </r>
      </text>
    </comment>
    <comment ref="L91" authorId="0" shapeId="0">
      <text>
        <r>
          <rPr>
            <sz val="10"/>
            <color rgb="FF000000"/>
            <rFont val="Arial"/>
            <family val="2"/>
          </rPr>
          <t>The laboratory accreditation to ISO/IEC 17025.</t>
        </r>
      </text>
    </comment>
    <comment ref="M91" authorId="0" shapeId="0">
      <text>
        <r>
          <rPr>
            <sz val="10"/>
            <color rgb="FF000000"/>
            <rFont val="Arial"/>
            <family val="2"/>
          </rPr>
          <t>Laboratory code (National laboratory code if available) or Laboratory name</t>
        </r>
      </text>
    </comment>
    <comment ref="N91" authorId="0" shapeId="0">
      <text>
        <r>
          <rPr>
            <sz val="10"/>
            <color rgb="FF000000"/>
            <rFont val="Arial"/>
            <family val="2"/>
          </rPr>
          <t>Country where the laboratory is placed. (ISO 3166-1-alpha-2).</t>
        </r>
      </text>
    </comment>
    <comment ref="G92" authorId="0" shapeId="0">
      <text>
        <r>
          <rPr>
            <sz val="10"/>
            <color rgb="FF000000"/>
            <rFont val="Arial"/>
            <family val="2"/>
          </rPr>
          <t>Point in the food chain where the sample was taken. (Doc. ESTAT/F5/ES/155 “Data dictionary of activities of the establishments”).</t>
        </r>
      </text>
    </comment>
    <comment ref="G93" authorId="0" shapeId="0">
      <text>
        <r>
          <rPr>
            <sz val="10"/>
            <color rgb="FF000000"/>
            <rFont val="Arial"/>
            <family val="2"/>
          </rPr>
          <t>The laboratory accreditation to ISO/IEC 17025.</t>
        </r>
      </text>
    </comment>
    <comment ref="G94" authorId="0" shapeId="0">
      <text>
        <r>
          <rPr>
            <sz val="10"/>
            <color rgb="FF000000"/>
            <rFont val="Arial"/>
            <family val="2"/>
          </rPr>
          <t>Laboratory code (National laboratory code if available) or Laboratory name</t>
        </r>
      </text>
    </comment>
    <comment ref="G95" authorId="0" shapeId="0">
      <text>
        <r>
          <rPr>
            <sz val="10"/>
            <color rgb="FF000000"/>
            <rFont val="Arial"/>
            <family val="2"/>
          </rPr>
          <t>Country where the laboratory is placed. (ISO 3166-1-alpha-2).</t>
        </r>
      </text>
    </comment>
    <comment ref="G96" authorId="0" shapeId="0">
      <text>
        <r>
          <rPr>
            <sz val="10"/>
            <color rgb="FF000000"/>
            <rFont val="Arial"/>
            <family val="2"/>
          </rPr>
          <t>A name given to the assay</t>
        </r>
      </text>
    </comment>
    <comment ref="G97" authorId="0" shapeId="0">
      <text>
        <r>
          <rPr>
            <sz val="10"/>
            <color rgb="FF000000"/>
            <rFont val="Arial"/>
            <family val="2"/>
          </rPr>
          <t>General description of the assay. Corresponds to the Protocol REF in ISA</t>
        </r>
      </text>
    </comment>
    <comment ref="G98" authorId="0" shapeId="0">
      <text>
        <r>
          <rPr>
            <sz val="10"/>
            <color rgb="FF000000"/>
            <rFont val="Arial"/>
            <family val="2"/>
          </rPr>
          <t>Percentage of moisture in the original sample</t>
        </r>
      </text>
    </comment>
    <comment ref="G99" authorId="0" shapeId="0">
      <text>
        <r>
          <rPr>
            <sz val="10"/>
            <color rgb="FF000000"/>
            <rFont val="Arial"/>
            <family val="2"/>
          </rPr>
          <t>Percentage of fat in the original sample</t>
        </r>
      </text>
    </comment>
    <comment ref="G100" authorId="0" shapeId="0">
      <text>
        <r>
          <rPr>
            <sz val="10"/>
            <color rgb="FF000000"/>
            <rFont val="Arial"/>
            <family val="2"/>
          </rPr>
          <t>Limit of detection reported in the unit specified by the variable “Hazard unit”.</t>
        </r>
      </text>
    </comment>
    <comment ref="G101" authorId="0" shapeId="0">
      <text>
        <r>
          <rPr>
            <sz val="10"/>
            <color rgb="FF000000"/>
            <rFont val="Arial"/>
            <family val="2"/>
          </rPr>
          <t>Limit of quantification reported in the unit specified by the variable “Hazard unit”</t>
        </r>
      </text>
    </comment>
    <comment ref="G102" authorId="0" shapeId="0">
      <text>
        <r>
          <rPr>
            <sz val="10"/>
            <color rgb="FF000000"/>
            <rFont val="Arial"/>
            <family val="2"/>
          </rPr>
          <t>percentage of measures equal to LOQ and/or LOD</t>
        </r>
      </text>
    </comment>
    <comment ref="G103" authorId="0" shapeId="0">
      <text>
        <r>
          <rPr>
            <sz val="10"/>
            <color rgb="FF000000"/>
            <rFont val="Arial"/>
            <family val="2"/>
          </rPr>
          <t>Range of result of the analytical measure reported in the unit specified by the variable “Hazard unit”</t>
        </r>
      </text>
    </comment>
    <comment ref="G104" authorId="0" shapeId="0">
      <text>
        <r>
          <rPr>
            <sz val="10"/>
            <color rgb="FF000000"/>
            <rFont val="Arial"/>
            <family val="2"/>
          </rPr>
          <t>Indicate the expanded uncertainty (usually 95% confidence interval) value associated with the measurement expressed in the unit reported in the field “Hazard unit”.</t>
        </r>
      </text>
    </comment>
    <comment ref="G105" authorId="0" shapeId="0">
      <text>
        <r>
          <rPr>
            <sz val="10"/>
            <color rgb="FF000000"/>
            <rFont val="Arial"/>
            <family val="2"/>
          </rPr>
          <t>An unambiguous and sequential ID given to the parameter. To be compatible with SBML, only letters from A to Z, numbers and "_" are acepted for ID creation.</t>
        </r>
      </text>
    </comment>
    <comment ref="M105" authorId="0" shapeId="0">
      <text>
        <r>
          <rPr>
            <sz val="10"/>
            <color rgb="FF000000"/>
            <rFont val="Arial"/>
            <family val="2"/>
          </rPr>
          <t>Statistical values calculated to describe the performance of the model fitting procedure</t>
        </r>
      </text>
    </comment>
    <comment ref="P105" authorId="0" shapeId="0">
      <text>
        <r>
          <rPr>
            <sz val="10"/>
            <color rgb="FF000000"/>
            <rFont val="Arial"/>
            <family val="2"/>
          </rPr>
          <t>A name given to the model equation</t>
        </r>
      </text>
    </comment>
    <comment ref="Q105" authorId="0" shapeId="0">
      <text>
        <r>
          <rPr>
            <sz val="10"/>
            <color rgb="FF000000"/>
            <rFont val="Arial"/>
            <family val="2"/>
          </rPr>
          <t>Information on that helps to categorize model equations</t>
        </r>
      </text>
    </comment>
    <comment ref="R105" authorId="0" shapeId="0">
      <text>
        <r>
          <rPr>
            <sz val="10"/>
            <color rgb="FF000000"/>
            <rFont val="Arial"/>
            <family val="2"/>
          </rPr>
          <t xml:space="preserve">Procedure used to fit the data to the model equation </t>
        </r>
      </text>
    </comment>
    <comment ref="S105" authorId="0" shapeId="0">
      <text>
        <r>
          <rPr>
            <sz val="10"/>
            <color rgb="FF000000"/>
            <rFont val="Arial"/>
            <family val="2"/>
          </rPr>
          <t>The pointer to the file that holds the software code (e.g. R-script)</t>
        </r>
      </text>
    </comment>
    <comment ref="G106" authorId="0" shapeId="0">
      <text>
        <r>
          <rPr>
            <sz val="10"/>
            <color rgb="FF000000"/>
            <rFont val="Arial"/>
            <family val="2"/>
          </rPr>
          <t>General classification of the parameter (e.g. Input, Constant, Output...)</t>
        </r>
      </text>
    </comment>
    <comment ref="G107" authorId="0" shapeId="0">
      <text>
        <r>
          <rPr>
            <sz val="10"/>
            <color rgb="FF000000"/>
            <rFont val="Arial"/>
            <family val="2"/>
          </rPr>
          <t>A name given to the parameter</t>
        </r>
      </text>
    </comment>
    <comment ref="G108" authorId="0" shapeId="0">
      <text>
        <r>
          <rPr>
            <sz val="10"/>
            <color rgb="FF000000"/>
            <rFont val="Arial"/>
            <family val="2"/>
          </rPr>
          <t>General description of the parameter</t>
        </r>
      </text>
    </comment>
    <comment ref="G109" authorId="0" shapeId="0">
      <text>
        <r>
          <rPr>
            <sz val="10"/>
            <color rgb="FF000000"/>
            <rFont val="Arial"/>
            <family val="2"/>
          </rPr>
          <t>Unit of the parameter</t>
        </r>
      </text>
    </comment>
    <comment ref="G110" authorId="0" shapeId="0">
      <text>
        <r>
          <rPr>
            <sz val="10"/>
            <color rgb="FF000000"/>
            <rFont val="Arial"/>
            <family val="2"/>
          </rPr>
          <t>General classification of the parameter unit</t>
        </r>
      </text>
    </comment>
    <comment ref="G111" authorId="0" shapeId="0">
      <text>
        <r>
          <rPr>
            <sz val="10"/>
            <color rgb="FF000000"/>
            <rFont val="Arial"/>
            <family val="2"/>
          </rPr>
          <t>Information on the data format of the parameter, e.g. if it is a categorial variable, int, double, array of size x,y,z</t>
        </r>
      </text>
    </comment>
    <comment ref="G112" authorId="0" shapeId="0">
      <text>
        <r>
          <rPr>
            <sz val="10"/>
            <color rgb="FF000000"/>
            <rFont val="Arial"/>
            <family val="2"/>
          </rPr>
          <t>Information on the type of knowledge used to define the parameter value</t>
        </r>
      </text>
    </comment>
    <comment ref="G113" authorId="0" shapeId="0">
      <text>
        <r>
          <rPr>
            <sz val="10"/>
            <color rgb="FF000000"/>
            <rFont val="Arial"/>
            <family val="2"/>
          </rPr>
          <t>Scope of the parameter, e.g. if it refers to an animal, a batch of animals, a batch of products, a carcass, a carcass skin etc</t>
        </r>
      </text>
    </comment>
    <comment ref="G114" authorId="0" shapeId="0">
      <text>
        <r>
          <rPr>
            <sz val="10"/>
            <color rgb="FF000000"/>
            <rFont val="Arial"/>
            <family val="2"/>
          </rPr>
          <t xml:space="preserve">Information on the distribution describing the parameter (e.g. variability, uncertainty, point estimate...) </t>
        </r>
      </text>
    </comment>
    <comment ref="K114"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15" authorId="0" shapeId="0">
      <text>
        <r>
          <rPr>
            <sz val="10"/>
            <color rgb="FF000000"/>
            <rFont val="Arial"/>
            <family val="2"/>
          </rPr>
          <t>An unambiguous and sequential ID given to the parameter. To be compatible with SBML, only letters from A to Z, numbers and "_" are acepted for ID creation.</t>
        </r>
      </text>
    </comment>
    <comment ref="M115" authorId="0" shapeId="0">
      <text>
        <r>
          <rPr>
            <sz val="10"/>
            <color rgb="FF000000"/>
            <rFont val="Arial"/>
            <family val="2"/>
          </rPr>
          <t>General classification of the parameter (e.g. Input, Constant, Output...)</t>
        </r>
      </text>
    </comment>
    <comment ref="N115" authorId="0" shapeId="0">
      <text>
        <r>
          <rPr>
            <sz val="10"/>
            <color rgb="FF000000"/>
            <rFont val="Arial"/>
            <family val="2"/>
          </rPr>
          <t>A name given to the parameter</t>
        </r>
      </text>
    </comment>
    <comment ref="O115" authorId="0" shapeId="0">
      <text>
        <r>
          <rPr>
            <sz val="10"/>
            <color rgb="FF000000"/>
            <rFont val="Arial"/>
            <family val="2"/>
          </rPr>
          <t>General description of the parameter</t>
        </r>
      </text>
    </comment>
    <comment ref="P115" authorId="0" shapeId="0">
      <text>
        <r>
          <rPr>
            <sz val="10"/>
            <color rgb="FF000000"/>
            <rFont val="Arial"/>
            <family val="2"/>
          </rPr>
          <t>Unit of the parameter</t>
        </r>
      </text>
    </comment>
    <comment ref="Q115" authorId="0" shapeId="0">
      <text>
        <r>
          <rPr>
            <sz val="10"/>
            <color rgb="FF000000"/>
            <rFont val="Arial"/>
            <family val="2"/>
          </rPr>
          <t>General classification of the parameter unit</t>
        </r>
      </text>
    </comment>
    <comment ref="R115" authorId="0" shapeId="0">
      <text>
        <r>
          <rPr>
            <sz val="10"/>
            <color rgb="FF000000"/>
            <rFont val="Arial"/>
            <family val="2"/>
          </rPr>
          <t>Information on the data format of the parameter, e.g. if it is a categorial variable, int, double, array of size x,y,z</t>
        </r>
      </text>
    </comment>
    <comment ref="S115" authorId="0" shapeId="0">
      <text>
        <r>
          <rPr>
            <sz val="10"/>
            <color rgb="FF000000"/>
            <rFont val="Arial"/>
            <family val="2"/>
          </rPr>
          <t>Information on the type of knowledge used to define the parameter value</t>
        </r>
      </text>
    </comment>
    <comment ref="T115" authorId="0" shapeId="0">
      <text>
        <r>
          <rPr>
            <sz val="10"/>
            <color rgb="FF000000"/>
            <rFont val="Arial"/>
            <family val="2"/>
          </rPr>
          <t>Scope of the parameter, e.g. if it refers to an animal, a batch of animals, a batch of products, a carcass, a carcass skin etc</t>
        </r>
      </text>
    </comment>
    <comment ref="U115"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family val="2"/>
          </rPr>
          <t>Information on the source, where the value of the parameter has been extracted from - if available. The format should use that used in other "Reference" metadata. Preferably DOI.</t>
        </r>
      </text>
    </comment>
    <comment ref="X115"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family val="2"/>
          </rPr>
          <t>Numerical values of the maximum limit of the parameter that determine the range of applicability for which the model applies</t>
        </r>
      </text>
    </comment>
    <comment ref="Z115" authorId="0" shapeId="0">
      <text>
        <r>
          <rPr>
            <sz val="10"/>
            <color rgb="FF000000"/>
            <rFont val="Arial"/>
            <family val="2"/>
          </rPr>
          <t>Numerical values of the  minimum limit of the parameter that determine the range of applicability for which the model applies</t>
        </r>
      </text>
    </comment>
    <comment ref="AA115" authorId="0" shapeId="0">
      <text>
        <r>
          <rPr>
            <sz val="10"/>
            <color rgb="FF000000"/>
            <rFont val="Arial"/>
            <family val="2"/>
          </rPr>
          <t>Error of the parameter value</t>
        </r>
      </text>
    </comment>
    <comment ref="G117"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family val="2"/>
          </rPr>
          <t>Numerical values of the maximum and minimum limits of the parameter that determine the range of applicability for which the model applies</t>
        </r>
      </text>
    </comment>
    <comment ref="G122" authorId="0" shapeId="0">
      <text>
        <r>
          <rPr>
            <sz val="10"/>
            <color rgb="FF000000"/>
            <rFont val="Arial"/>
            <family val="2"/>
          </rPr>
          <t>Error of the parameter value</t>
        </r>
      </text>
    </comment>
    <comment ref="G123" authorId="0" shapeId="0">
      <text>
        <r>
          <rPr>
            <sz val="10"/>
            <color rgb="FF000000"/>
            <rFont val="Arial"/>
            <family val="2"/>
          </rPr>
          <t>Statistical values calculated to describe the performance of the model fitting procedure</t>
        </r>
      </text>
    </comment>
    <comment ref="G125" authorId="0" shapeId="0">
      <text>
        <r>
          <rPr>
            <sz val="10"/>
            <color rgb="FF000000"/>
            <rFont val="Arial"/>
            <family val="2"/>
          </rPr>
          <t>A name given to the model equation</t>
        </r>
      </text>
    </comment>
    <comment ref="G126" authorId="0" shapeId="0">
      <text>
        <r>
          <rPr>
            <sz val="10"/>
            <color rgb="FF000000"/>
            <rFont val="Arial"/>
            <family val="2"/>
          </rPr>
          <t>Information on that helps to categorize model equations</t>
        </r>
      </text>
    </comment>
    <comment ref="G130" authorId="0" shapeId="0">
      <text>
        <r>
          <rPr>
            <sz val="10"/>
            <color rgb="FF000000"/>
            <rFont val="Arial"/>
            <family val="2"/>
          </rPr>
          <t xml:space="preserve">Procedure used to fit the data to the model equation </t>
        </r>
      </text>
    </comment>
    <comment ref="G131" authorId="0" shapeId="0">
      <text>
        <r>
          <rPr>
            <sz val="10"/>
            <color rgb="FF000000"/>
            <rFont val="Arial"/>
            <family val="2"/>
          </rPr>
          <t>The pointer to the file that holds the software code (e.g. R-script)</t>
        </r>
      </text>
    </comment>
    <comment ref="E133" authorId="0" shapeId="0">
      <text>
        <r>
          <rPr>
            <sz val="10"/>
            <color rgb="FF000000"/>
            <rFont val="Arial"/>
            <family val="2"/>
          </rPr>
          <t xml:space="preserve">Procedure used to fit the data to the model equation </t>
        </r>
      </text>
    </comment>
    <comment ref="G134" authorId="0" shapeId="0">
      <text>
        <r>
          <rPr>
            <sz val="10"/>
            <color rgb="FF000000"/>
            <rFont val="Arial"/>
            <family val="2"/>
          </rPr>
          <t>describe the mathematical method to replace left-censored data: recommandation of WHO (2013), distribution or ohters</t>
        </r>
      </text>
    </comment>
    <comment ref="G135" authorId="0" shapeId="0">
      <text>
        <r>
          <rPr>
            <sz val="10"/>
            <color rgb="FF000000"/>
            <rFont val="Arial"/>
            <family val="2"/>
          </rPr>
          <t>describe the range of of the level of contamination after left censored data treatment</t>
        </r>
      </text>
    </comment>
    <comment ref="G137" authorId="0" shapeId="0">
      <text>
        <r>
          <rPr>
            <sz val="10"/>
            <color rgb="FF000000"/>
            <rFont val="Arial"/>
            <family val="2"/>
          </rPr>
          <t>describe the different scenari of exposure assessment</t>
        </r>
      </text>
    </comment>
    <comment ref="G138" authorId="0" shapeId="0">
      <text>
        <r>
          <rPr>
            <sz val="10"/>
            <color rgb="FF000000"/>
            <rFont val="Arial"/>
            <family val="2"/>
          </rPr>
          <t>Analysis to estimate uncertainty</t>
        </r>
      </text>
    </comment>
    <comment ref="E139" authorId="0" shapeId="0">
      <text>
        <r>
          <rPr>
            <sz val="10"/>
            <color rgb="FF000000"/>
            <rFont val="Arial"/>
            <family val="2"/>
          </rPr>
          <t>Definition of time-dependent parameter changes</t>
        </r>
      </text>
    </comment>
  </commentList>
</comments>
</file>

<file path=xl/sharedStrings.xml><?xml version="1.0" encoding="utf-8"?>
<sst xmlns="http://schemas.openxmlformats.org/spreadsheetml/2006/main" count="1282" uniqueCount="163">
  <si>
    <t>Data</t>
  </si>
  <si>
    <t>Honorific</t>
  </si>
  <si>
    <t>Name</t>
  </si>
  <si>
    <t>Given name</t>
  </si>
  <si>
    <t>Additional name</t>
  </si>
  <si>
    <t>Family name</t>
  </si>
  <si>
    <t>Organization</t>
  </si>
  <si>
    <t>Telephone</t>
  </si>
  <si>
    <t>Email</t>
  </si>
  <si>
    <t>Country</t>
  </si>
  <si>
    <t>city</t>
  </si>
  <si>
    <t>ZIP code</t>
  </si>
  <si>
    <t>Post office box</t>
  </si>
  <si>
    <t>Street address</t>
  </si>
  <si>
    <t xml:space="preserve">Extended address </t>
  </si>
  <si>
    <t xml:space="preserve">Region </t>
  </si>
  <si>
    <t>0:1</t>
  </si>
  <si>
    <t>SSE</t>
  </si>
  <si>
    <t>MSE</t>
  </si>
  <si>
    <t>RMSE</t>
  </si>
  <si>
    <t>Rsquare</t>
  </si>
  <si>
    <t>AIC</t>
  </si>
  <si>
    <t>BIC</t>
  </si>
  <si>
    <t>Add more Parameters</t>
  </si>
  <si>
    <t>Input</t>
  </si>
  <si>
    <t>Add</t>
  </si>
  <si>
    <t>County</t>
  </si>
  <si>
    <t>R-script</t>
  </si>
  <si>
    <t>Generic Model</t>
  </si>
  <si>
    <t>Dose-response Model</t>
  </si>
  <si>
    <t>Exposure Model</t>
  </si>
  <si>
    <t>QRA Models</t>
  </si>
  <si>
    <t>Health metrics Models</t>
  </si>
  <si>
    <t>Process Model</t>
  </si>
  <si>
    <t>Toxicological reference value Models</t>
  </si>
  <si>
    <t>Other Empirical Models</t>
  </si>
  <si>
    <t>Predictive Model</t>
  </si>
  <si>
    <t>Consumption Model</t>
  </si>
  <si>
    <t>Risk Characterization Model</t>
  </si>
  <si>
    <t>dropdown list</t>
  </si>
  <si>
    <t>result</t>
  </si>
  <si>
    <t>[]</t>
  </si>
  <si>
    <t>MRSE</t>
  </si>
  <si>
    <t>´</t>
  </si>
  <si>
    <t>Predictive model</t>
  </si>
  <si>
    <t>Marcel Fuhrmann</t>
  </si>
  <si>
    <t>Process model</t>
  </si>
  <si>
    <t>R</t>
  </si>
  <si>
    <t>R 3</t>
  </si>
  <si>
    <t>English</t>
  </si>
  <si>
    <t>Double</t>
  </si>
  <si>
    <t>meanPortion</t>
  </si>
  <si>
    <t>muCret</t>
  </si>
  <si>
    <t>sigmaCret</t>
  </si>
  <si>
    <t>Pprev</t>
  </si>
  <si>
    <t>niter</t>
  </si>
  <si>
    <t>upperPortion</t>
  </si>
  <si>
    <t>stdPortion</t>
  </si>
  <si>
    <t>dose</t>
  </si>
  <si>
    <t>dosemean</t>
  </si>
  <si>
    <t>Output</t>
  </si>
  <si>
    <t>Integer</t>
  </si>
  <si>
    <t>Vector[number]</t>
  </si>
  <si>
    <t>Mean(s) of concentration</t>
  </si>
  <si>
    <t>Probability of Prevalence</t>
  </si>
  <si>
    <t>Doses</t>
  </si>
  <si>
    <t>Mean of doses</t>
  </si>
  <si>
    <t>abscissaMeat2Kitchenware</t>
  </si>
  <si>
    <t>ordinateMeat2Kitchenware</t>
  </si>
  <si>
    <t>abscissaKitchenware2Meat</t>
  </si>
  <si>
    <t>ordinateKitchenware2Meat</t>
  </si>
  <si>
    <t>abscissaMeat2Hands</t>
  </si>
  <si>
    <t>ordinateMeat2Hands</t>
  </si>
  <si>
    <t>abscissaHands2Meat</t>
  </si>
  <si>
    <t>ordinateHands2Meat</t>
  </si>
  <si>
    <t>probHands</t>
  </si>
  <si>
    <t>probEnv</t>
  </si>
  <si>
    <t>abscissa of empiric probability for transfer rate of meat to kitchenware</t>
  </si>
  <si>
    <t>ordinate of empiric probability for transfer rate of meat to kitchenware</t>
  </si>
  <si>
    <t>abscissa of empiric probability for transfer rate of kitchenware to meat</t>
  </si>
  <si>
    <t>ordinate of empiric probability for transfer rate of kitchenware to meat</t>
  </si>
  <si>
    <t>abscissa of empiric probability for transfer rate of meat to hands</t>
  </si>
  <si>
    <t>ordinate of empiric probability for transfer rate of meat to hands</t>
  </si>
  <si>
    <t>abscissa of empiric probability for transfer rate of hands to meat</t>
  </si>
  <si>
    <t>ordinate of empiric probability for transfer rate of hands to meat</t>
  </si>
  <si>
    <t>general probability of contaminated by hands</t>
  </si>
  <si>
    <t>general probability of contaminated by environment</t>
  </si>
  <si>
    <t>c(0,0.002,0.004,0.009,0.011,0.012,0.014,0.016,0.019,0.023)</t>
  </si>
  <si>
    <t>c(0,0.18,0.27,0.45,0.54,0.64,0.73,0.82,0.91,1)</t>
  </si>
  <si>
    <t>c(0,5,6.7,7.7,9.1,10.5,14.3,20,33.3)</t>
  </si>
  <si>
    <t>c(0.18,0.27,0.45,0.54,0.64,0.73,0.82,0.91,1)</t>
  </si>
  <si>
    <t>c(0,0.2,0.3,0.6,0.9,1,1.2,1.6,2.5,2.6,3.6,7.8)</t>
  </si>
  <si>
    <t>c(0,0.09,0.18,0.27,0.36,0.45,0.54,0.64,0.73,0.82,0.91,1)</t>
  </si>
  <si>
    <t>c(0,0.4,0.8,1.8,1.9,9.5)</t>
  </si>
  <si>
    <t>c(0,0.2,0.4,0.6,0.61,1)</t>
  </si>
  <si>
    <t>PUBLISHED SCIENTIFIC STUDIES</t>
  </si>
  <si>
    <t>CPM2008Calistri</t>
  </si>
  <si>
    <t>Calistri, Giovanni</t>
  </si>
  <si>
    <t>Other (Non-Commercial)</t>
  </si>
  <si>
    <t>Open access</t>
  </si>
  <si>
    <t>https://www.sciencedirect.com/science/article/pii/S0168160508004820</t>
  </si>
  <si>
    <t>Yes</t>
  </si>
  <si>
    <t>Journal Article</t>
  </si>
  <si>
    <t>doi:10.1016/j.ijfoodmicro.2008.08.021</t>
  </si>
  <si>
    <t>Paolo Calistri, Armando Giovannini</t>
  </si>
  <si>
    <t>Quantitative risk assessment of human campylobacteriosis related to the consumption of chicken meat in two Italian regions</t>
  </si>
  <si>
    <t>Campylobacteriosis is the most frequently reported zoonotic disease in humans within the European Union.
The consumption of contaminated chicken meat is considered one of the main sources of human infection.
Although there are no official data on the incidence of Campylobacter infection in Italy, the available studies
suggest that this infection is a major problem also in Italy. The authors developed a simulation model to
quantitatively estimate the expected annual number of human cases of campylobacteriosis in the Italian
regions of Abruzzo and Molise, due to the cross-contamination during the handling of Campylobacter jejuni
contaminated chicken meat in domestic kitchen. The authors considered two different models for the dose–
response relationship, given their crucial effects on the model's outputs. The expected percentage of human
population, experiencing Campylobacter gastroenteritis episodes every year in Abruzzo e Molise regions,
varied between 0.8% and 1.8%, according to the dose–response model.</t>
  </si>
  <si>
    <t>International Journal of Food Microbiology 128 (2008) 274–287</t>
  </si>
  <si>
    <t>Published</t>
  </si>
  <si>
    <t>Uncurated</t>
  </si>
  <si>
    <t>The objective of the model is to estimate the doses after consumption of a meal with salad prepared together with fresh chicken breast fillet.</t>
  </si>
  <si>
    <t>The model descibes the consumer phase module, which predicts the effects of food preparation by the consumer on the survival and transfer of Campylobacter. The input of the model is the distribution of Campylobacters on chicken breast fillets purchased at retail, as predicted in the preceding part of the food chain model. It is assumed that human exposure occurs after cross-contamination to a salad prepared at home. The doses and the mean of doses and the prevalence of exposure to Campylobacters are estimated.</t>
  </si>
  <si>
    <t>Poultry — chicken, geese, duck, turkey and Guinea fowl — ostrich, pigeon Meat</t>
  </si>
  <si>
    <t>The final product is a salad prepared together with fresh chicken breast fillet</t>
  </si>
  <si>
    <t>g</t>
  </si>
  <si>
    <t>Microorganisms</t>
  </si>
  <si>
    <t>Campylobacter jejuni</t>
  </si>
  <si>
    <t>CFU/g</t>
  </si>
  <si>
    <t>Campylobacteriosis</t>
  </si>
  <si>
    <t>Dr.</t>
  </si>
  <si>
    <t>Fuhrmann</t>
  </si>
  <si>
    <t>M.</t>
  </si>
  <si>
    <t>marcel.fuhrmann@bfr.bund.de</t>
  </si>
  <si>
    <t>Number of Monte Carlo iterations</t>
  </si>
  <si>
    <t>Dimensionless Quantity</t>
  </si>
  <si>
    <t>Means of the normal mixture model components</t>
  </si>
  <si>
    <t>log10(CFU/g)</t>
  </si>
  <si>
    <t>Number Content (count/mass)</t>
  </si>
  <si>
    <t>Standard deviation(s) of the concentration</t>
  </si>
  <si>
    <t>Standard deviations of the normal mixture model components</t>
  </si>
  <si>
    <t>Prevalence of Cabylobacter at retail</t>
  </si>
  <si>
    <t>[Probability]</t>
  </si>
  <si>
    <t>Mean of the portion size</t>
  </si>
  <si>
    <t>Mean of the log-normal distribution for the portion size [g]</t>
  </si>
  <si>
    <t>Mass</t>
  </si>
  <si>
    <t>Maximal possible portion size</t>
  </si>
  <si>
    <t>Maximum value of the normal distribution for the portion size [g]</t>
  </si>
  <si>
    <t>Mass,</t>
  </si>
  <si>
    <t>Standard deviation of the portion size</t>
  </si>
  <si>
    <t>Standard deviation of the log-normal distribution for the portion size [g]</t>
  </si>
  <si>
    <t>Others</t>
  </si>
  <si>
    <t>Number</t>
  </si>
  <si>
    <t>Article</t>
  </si>
  <si>
    <t>Product</t>
  </si>
  <si>
    <t>Assumption</t>
  </si>
  <si>
    <t>Other</t>
  </si>
  <si>
    <t>Log-Normal 2</t>
  </si>
  <si>
    <t>Variability between meat samples</t>
  </si>
  <si>
    <t>Point estimate</t>
  </si>
  <si>
    <t>Variability between portion sizes</t>
  </si>
  <si>
    <t xml:space="preserve"> Variability between portion sizes</t>
  </si>
  <si>
    <t>Variability in doses</t>
  </si>
  <si>
    <t>uncertainty of transfer probability</t>
  </si>
  <si>
    <t>Empirical distribution</t>
  </si>
  <si>
    <t>10.1111/j.1539-6924.2010.01481.x</t>
  </si>
  <si>
    <t>Nauta, Maarten, &amp; Christensen, Bjarke</t>
  </si>
  <si>
    <t>The Impact of Consumer Phase Models in Microbial Risk Analysis</t>
  </si>
  <si>
    <t xml:space="preserve">In quantitative microbiological risk assessment (QMRA), the consumer phase model (CPM) describes the part of the food chain between purchase of the food product at retail and exposure. Construction of a CPM is complicated by the large variation in consumer food handling practices and a limited availability of data. Therefore, several subjective (simplifying) assumptions have to be made when a CPM is constructed, but with a single CPM their impact on the QMRA results is unclear. We therefore compared the performance of eight published CPMs for Campylobacter in broiler meat in an example of a QMRA, where all the CPMs were analyzed using one single input distribution of concentrations at retail, and the same dose‐response relationship. It was found that, between CPMs, there may be a considerable difference in the estimated probability of illness per serving. However, the estimated relative risk reductions are less different for scenarios modeling the implementation of control measures. For control measures affecting the Campylobacter prevalence, the relative risk is proportional irrespective of the CPM used. However, for control measures affecting the concentration the CPMs show some difference in the estimated relative risk. This difference is largest for scenarios where the aim is to remove the highly contaminated portion from human exposure. Given these results, we conclude that for many purposes it is not necessary to develop a new detailed CPM for each new QMRA. However, more observational data on consumer food handling practices and their impact on microbial transfer and survival are needed to generalize this conclusion. </t>
  </si>
  <si>
    <t>Risk Analysis, Vol 31, Issue 2</t>
  </si>
  <si>
    <t>https://onlinelibrary.wiley.com/doi/abs/10.1111/j.1539-6924.2010.01481.x</t>
  </si>
  <si>
    <t>Consumer phase model for transfer of Campylobacter during preparation of ready-to-eat chicken salad</t>
  </si>
  <si>
    <t>human consumer, adult</t>
  </si>
  <si>
    <t>Calistri consumer phase model for transfer of Campylobacter during preparation of ready-to-eat chicken salad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</si>
</sst>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quot;.&quot;mm&quot;.&quot;dd"/>
    <numFmt numFmtId="165" formatCode="yyyy/mm/dd"/>
  </numFmts>
  <fonts count="16" x14ac:knownFonts="1">
    <font>
      <sz val="10"/>
      <color rgb="FF000000"/>
      <name val="Arial"/>
    </font>
    <font>
      <b/>
      <sz val="10"/>
      <name val="Arial"/>
      <family val="2"/>
    </font>
    <font>
      <b/>
      <sz val="11"/>
      <name val="Arial"/>
      <family val="2"/>
    </font>
    <font>
      <b/>
      <sz val="11"/>
      <color rgb="FF000000"/>
      <name val="Arial"/>
      <family val="2"/>
    </font>
    <font>
      <sz val="10"/>
      <name val="Arial"/>
      <family val="2"/>
    </font>
    <font>
      <sz val="10"/>
      <color rgb="FF000000"/>
      <name val="Arial"/>
      <family val="2"/>
    </font>
    <font>
      <sz val="10"/>
      <color rgb="FF000000"/>
      <name val="Arial"/>
      <family val="2"/>
    </font>
    <font>
      <sz val="11"/>
      <name val="Arial"/>
      <family val="2"/>
    </font>
    <font>
      <sz val="10"/>
      <name val="Arial"/>
      <family val="2"/>
    </font>
    <font>
      <sz val="11"/>
      <name val="Arial"/>
      <family val="2"/>
    </font>
    <font>
      <sz val="11"/>
      <color rgb="FFF7981D"/>
      <name val="Arial"/>
      <family val="2"/>
    </font>
    <font>
      <sz val="11"/>
      <color rgb="FF7E3794"/>
      <name val="Arial"/>
      <family val="2"/>
    </font>
    <font>
      <b/>
      <sz val="11"/>
      <name val="Arial"/>
      <family val="2"/>
    </font>
    <font>
      <sz val="10"/>
      <color rgb="FFFF0000"/>
      <name val="Arial"/>
      <family val="2"/>
    </font>
    <font>
      <u/>
      <sz val="10"/>
      <color rgb="FF0000FF"/>
      <name val="Arial"/>
      <family val="2"/>
    </font>
    <font>
      <sz val="10"/>
      <name val="Arial"/>
      <family val="2"/>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1">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horizontal="center" vertical="center" textRotation="90"/>
    </xf>
    <xf numFmtId="0" fontId="5" fillId="0" borderId="0" xfId="0" applyFont="1" applyAlignment="1">
      <alignment horizontal="center" vertical="center"/>
    </xf>
    <xf numFmtId="0" fontId="4" fillId="0" borderId="0" xfId="0" applyFont="1" applyAlignment="1">
      <alignment horizontal="center"/>
    </xf>
    <xf numFmtId="0" fontId="6" fillId="2" borderId="1" xfId="0" applyFont="1" applyFill="1" applyBorder="1" applyAlignment="1">
      <alignment horizontal="center"/>
    </xf>
    <xf numFmtId="0" fontId="6" fillId="2" borderId="1" xfId="0" applyFont="1" applyFill="1" applyBorder="1" applyAlignment="1">
      <alignment horizont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6" fillId="3" borderId="0" xfId="0" applyFont="1" applyFill="1" applyAlignment="1">
      <alignment horizontal="center"/>
    </xf>
    <xf numFmtId="164" fontId="6" fillId="2" borderId="1" xfId="0" applyNumberFormat="1" applyFont="1" applyFill="1" applyBorder="1" applyAlignment="1">
      <alignment horizontal="center"/>
    </xf>
    <xf numFmtId="0" fontId="6" fillId="2" borderId="1" xfId="0" applyFont="1" applyFill="1" applyBorder="1" applyAlignment="1">
      <alignment horizontal="center"/>
    </xf>
    <xf numFmtId="0" fontId="7"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vertical="center"/>
    </xf>
    <xf numFmtId="0" fontId="4" fillId="2" borderId="1" xfId="0" applyFont="1" applyFill="1" applyBorder="1" applyAlignment="1">
      <alignment horizontal="center"/>
    </xf>
    <xf numFmtId="0" fontId="4" fillId="4" borderId="0" xfId="0" applyFont="1" applyFill="1" applyAlignment="1">
      <alignment horizontal="center" vertical="center"/>
    </xf>
    <xf numFmtId="165" fontId="6" fillId="2" borderId="1" xfId="0" applyNumberFormat="1" applyFont="1" applyFill="1" applyBorder="1" applyAlignment="1">
      <alignment horizontal="center"/>
    </xf>
    <xf numFmtId="0" fontId="7" fillId="0" borderId="0" xfId="0" applyFont="1"/>
    <xf numFmtId="0" fontId="8" fillId="0" borderId="0" xfId="0" applyFont="1" applyAlignment="1">
      <alignment horizontal="center"/>
    </xf>
    <xf numFmtId="0" fontId="8" fillId="0" borderId="2" xfId="0" applyFont="1" applyBorder="1" applyAlignment="1">
      <alignment horizontal="center"/>
    </xf>
    <xf numFmtId="0" fontId="8" fillId="0" borderId="0" xfId="0" applyFont="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49" fontId="8" fillId="0" borderId="3" xfId="0" applyNumberFormat="1" applyFont="1" applyBorder="1" applyAlignment="1">
      <alignment horizontal="center"/>
    </xf>
    <xf numFmtId="0" fontId="8" fillId="0" borderId="4" xfId="0" applyFont="1" applyBorder="1" applyAlignment="1">
      <alignment horizontal="center"/>
    </xf>
    <xf numFmtId="3" fontId="8" fillId="2" borderId="5" xfId="0" applyNumberFormat="1"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0" borderId="4" xfId="0" applyFont="1" applyBorder="1" applyAlignment="1">
      <alignment horizontal="center"/>
    </xf>
    <xf numFmtId="0" fontId="8" fillId="2" borderId="1" xfId="0" applyFont="1" applyFill="1" applyBorder="1" applyAlignment="1">
      <alignment horizontal="center"/>
    </xf>
    <xf numFmtId="0" fontId="4" fillId="4" borderId="0" xfId="0" applyFont="1" applyFill="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6" fillId="3" borderId="0" xfId="0" applyFont="1" applyFill="1" applyAlignment="1">
      <alignment horizontal="center"/>
    </xf>
    <xf numFmtId="0" fontId="8" fillId="2" borderId="6" xfId="0" applyFont="1" applyFill="1" applyBorder="1" applyAlignment="1">
      <alignment horizontal="center"/>
    </xf>
    <xf numFmtId="0" fontId="8" fillId="2" borderId="5" xfId="0" applyFont="1" applyFill="1" applyBorder="1" applyAlignment="1">
      <alignment horizontal="center"/>
    </xf>
    <xf numFmtId="0" fontId="4" fillId="3" borderId="0" xfId="0" applyFont="1" applyFill="1" applyAlignment="1">
      <alignment horizontal="center" vertical="center"/>
    </xf>
    <xf numFmtId="0" fontId="2" fillId="0" borderId="0" xfId="0" applyFont="1" applyAlignment="1">
      <alignment horizontal="center"/>
    </xf>
    <xf numFmtId="49" fontId="2" fillId="0" borderId="0" xfId="0" applyNumberFormat="1" applyFont="1" applyAlignment="1">
      <alignment horizontal="center" vertical="center"/>
    </xf>
    <xf numFmtId="0" fontId="4" fillId="2" borderId="0" xfId="0" applyFont="1" applyFill="1" applyAlignment="1">
      <alignment horizontal="center"/>
    </xf>
    <xf numFmtId="0" fontId="4" fillId="0" borderId="0" xfId="0" applyFont="1" applyAlignment="1"/>
    <xf numFmtId="0" fontId="8" fillId="2" borderId="1" xfId="0" applyFont="1" applyFill="1" applyBorder="1" applyAlignment="1">
      <alignment horizontal="center"/>
    </xf>
    <xf numFmtId="0" fontId="8" fillId="0" borderId="0" xfId="0" applyFont="1" applyAlignment="1">
      <alignment horizontal="center"/>
    </xf>
    <xf numFmtId="0" fontId="8" fillId="2" borderId="1" xfId="0" applyFont="1" applyFill="1" applyBorder="1" applyAlignment="1">
      <alignment horizontal="center"/>
    </xf>
    <xf numFmtId="0" fontId="4" fillId="0" borderId="0" xfId="0" applyFont="1" applyAlignment="1">
      <alignment horizontal="center" vertical="center"/>
    </xf>
    <xf numFmtId="49" fontId="4" fillId="0" borderId="0" xfId="0" applyNumberFormat="1" applyFont="1" applyAlignment="1">
      <alignment horizontal="center" vertical="center"/>
    </xf>
    <xf numFmtId="0" fontId="8" fillId="0" borderId="0" xfId="0" applyFont="1" applyAlignment="1"/>
    <xf numFmtId="0" fontId="8" fillId="0" borderId="0" xfId="0" applyFont="1" applyAlignment="1"/>
    <xf numFmtId="0" fontId="7" fillId="0" borderId="0" xfId="0" applyFont="1" applyAlignment="1"/>
    <xf numFmtId="0" fontId="9" fillId="0" borderId="0" xfId="0" applyFont="1" applyAlignment="1"/>
    <xf numFmtId="0" fontId="10" fillId="0" borderId="0" xfId="0" applyFont="1" applyAlignment="1"/>
    <xf numFmtId="0" fontId="9" fillId="0" borderId="0" xfId="0" applyFont="1" applyAlignment="1"/>
    <xf numFmtId="0" fontId="9" fillId="0" borderId="2" xfId="0" applyFont="1" applyBorder="1" applyAlignment="1"/>
    <xf numFmtId="0" fontId="11" fillId="0" borderId="0" xfId="0" applyFont="1"/>
    <xf numFmtId="0" fontId="9" fillId="0" borderId="2" xfId="0" applyFont="1" applyBorder="1" applyAlignment="1"/>
    <xf numFmtId="0" fontId="2" fillId="0" borderId="0" xfId="0" applyFont="1"/>
    <xf numFmtId="0" fontId="4" fillId="2" borderId="0" xfId="0" applyFont="1" applyFill="1" applyAlignment="1">
      <alignment horizontal="center"/>
    </xf>
    <xf numFmtId="0" fontId="8" fillId="2" borderId="1" xfId="0" applyFont="1" applyFill="1" applyBorder="1" applyAlignment="1"/>
    <xf numFmtId="0" fontId="8" fillId="2" borderId="7" xfId="0" applyFont="1" applyFill="1" applyBorder="1" applyAlignment="1"/>
    <xf numFmtId="0" fontId="8" fillId="2" borderId="7" xfId="0" applyFont="1" applyFill="1" applyBorder="1" applyAlignment="1"/>
    <xf numFmtId="0" fontId="8" fillId="2" borderId="1" xfId="0" applyFont="1" applyFill="1" applyBorder="1" applyAlignment="1"/>
    <xf numFmtId="0" fontId="8" fillId="2" borderId="6" xfId="0" applyFont="1" applyFill="1" applyBorder="1" applyAlignment="1"/>
    <xf numFmtId="0" fontId="8" fillId="2" borderId="5" xfId="0" applyFont="1" applyFill="1" applyBorder="1" applyAlignment="1"/>
    <xf numFmtId="0" fontId="8" fillId="0" borderId="8" xfId="0" applyFont="1" applyBorder="1" applyAlignment="1">
      <alignment horizontal="center"/>
    </xf>
    <xf numFmtId="0" fontId="8" fillId="0" borderId="2" xfId="0" applyFont="1" applyBorder="1" applyAlignment="1"/>
    <xf numFmtId="0" fontId="8" fillId="0" borderId="3" xfId="0" applyFont="1" applyBorder="1" applyAlignment="1"/>
    <xf numFmtId="0" fontId="12" fillId="0" borderId="0" xfId="0" applyFont="1" applyAlignment="1">
      <alignment horizontal="center"/>
    </xf>
    <xf numFmtId="0" fontId="8" fillId="0" borderId="0" xfId="0" applyFont="1" applyAlignment="1">
      <alignment horizontal="center"/>
    </xf>
    <xf numFmtId="165" fontId="4" fillId="0" borderId="1" xfId="0" applyNumberFormat="1" applyFont="1" applyBorder="1" applyAlignment="1">
      <alignment horizontal="center"/>
    </xf>
    <xf numFmtId="165" fontId="4" fillId="0" borderId="0" xfId="0" applyNumberFormat="1" applyFont="1" applyAlignment="1">
      <alignment horizontal="center"/>
    </xf>
    <xf numFmtId="0" fontId="13" fillId="0" borderId="0" xfId="0" applyFont="1" applyAlignment="1">
      <alignment horizontal="center" vertical="center"/>
    </xf>
    <xf numFmtId="0" fontId="8" fillId="2" borderId="1" xfId="0" applyFont="1" applyFill="1" applyBorder="1" applyAlignment="1">
      <alignment horizontal="center"/>
    </xf>
    <xf numFmtId="0" fontId="8" fillId="2" borderId="6" xfId="0" applyFont="1" applyFill="1" applyBorder="1" applyAlignment="1">
      <alignment horizontal="center"/>
    </xf>
    <xf numFmtId="0" fontId="0" fillId="0" borderId="1" xfId="0" applyFont="1" applyBorder="1" applyAlignment="1">
      <alignment horizontal="center" vertical="center" wrapText="1"/>
    </xf>
    <xf numFmtId="0" fontId="4" fillId="0" borderId="0" xfId="0" applyFont="1" applyAlignment="1">
      <alignment horizontal="center" vertical="center" textRotation="90"/>
    </xf>
    <xf numFmtId="0" fontId="12" fillId="0" borderId="2" xfId="0" applyFont="1" applyBorder="1" applyAlignment="1">
      <alignment horizontal="center"/>
    </xf>
    <xf numFmtId="0" fontId="8" fillId="3" borderId="5" xfId="0" applyFont="1" applyFill="1" applyBorder="1" applyAlignment="1">
      <alignment horizontal="center"/>
    </xf>
    <xf numFmtId="0" fontId="14" fillId="0" borderId="0" xfId="0" applyFont="1"/>
    <xf numFmtId="164" fontId="0" fillId="2" borderId="1" xfId="0" applyNumberFormat="1" applyFont="1" applyFill="1" applyBorder="1" applyAlignment="1">
      <alignment horizontal="center"/>
    </xf>
    <xf numFmtId="0" fontId="0" fillId="2" borderId="1" xfId="0" applyFont="1" applyFill="1" applyBorder="1" applyAlignment="1">
      <alignment horizontal="center"/>
    </xf>
    <xf numFmtId="0" fontId="0" fillId="3" borderId="0" xfId="0" applyFont="1" applyFill="1" applyAlignment="1">
      <alignment horizontal="center"/>
    </xf>
    <xf numFmtId="0" fontId="4" fillId="2" borderId="6" xfId="0" applyFont="1" applyFill="1" applyBorder="1" applyAlignment="1">
      <alignment horizontal="center"/>
    </xf>
    <xf numFmtId="0" fontId="4" fillId="2" borderId="5" xfId="0" applyFont="1" applyFill="1" applyBorder="1" applyAlignment="1">
      <alignment horizontal="center"/>
    </xf>
    <xf numFmtId="0" fontId="4" fillId="0" borderId="0" xfId="0" applyFont="1" applyAlignment="1">
      <alignment horizontal="center"/>
    </xf>
    <xf numFmtId="0" fontId="5" fillId="2" borderId="1" xfId="0" applyFont="1" applyFill="1" applyBorder="1" applyAlignment="1">
      <alignment horizontal="center"/>
    </xf>
    <xf numFmtId="0" fontId="4" fillId="2" borderId="1" xfId="0" applyFont="1" applyFill="1" applyBorder="1" applyAlignment="1">
      <alignment horizontal="center" vertical="center" wrapText="1"/>
    </xf>
    <xf numFmtId="165" fontId="5" fillId="2" borderId="1" xfId="0" applyNumberFormat="1" applyFont="1" applyFill="1" applyBorder="1" applyAlignment="1">
      <alignment horizontal="center"/>
    </xf>
    <xf numFmtId="0" fontId="15" fillId="0" borderId="0" xfId="0" applyFont="1" applyAlignment="1">
      <alignment horizontal="center"/>
    </xf>
    <xf numFmtId="0" fontId="5" fillId="3" borderId="0" xfId="0" applyFont="1" applyFill="1" applyAlignment="1">
      <alignment horizontal="center"/>
    </xf>
    <xf numFmtId="164" fontId="5" fillId="2" borderId="1" xfId="0" applyNumberFormat="1" applyFont="1" applyFill="1" applyBorder="1" applyAlignment="1">
      <alignment horizontal="center"/>
    </xf>
    <xf numFmtId="0" fontId="4" fillId="0" borderId="0" xfId="0" applyFont="1" applyAlignment="1">
      <alignment horizontal="center" vertical="center" textRotation="90"/>
    </xf>
    <xf numFmtId="0" fontId="0" fillId="0" borderId="0" xfId="0" applyFont="1" applyAlignment="1"/>
    <xf numFmtId="0" fontId="4" fillId="0" borderId="0" xfId="0" applyFont="1" applyAlignment="1">
      <alignment horizontal="center" vertical="center"/>
    </xf>
    <xf numFmtId="0" fontId="8" fillId="0" borderId="0" xfId="0" applyFont="1" applyAlignment="1">
      <alignment horizontal="center"/>
    </xf>
    <xf numFmtId="0" fontId="4" fillId="0" borderId="0" xfId="0" applyFont="1" applyAlignment="1">
      <alignment horizontal="center"/>
    </xf>
    <xf numFmtId="49" fontId="4" fillId="0" borderId="0" xfId="0" applyNumberFormat="1" applyFont="1" applyAlignment="1">
      <alignment horizontal="center" vertical="center" textRotation="90"/>
    </xf>
  </cellXfs>
  <cellStyles count="1">
    <cellStyle name="Normal" xfId="0" builtinId="0"/>
  </cellStyles>
  <dxfs count="29">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28"/>
      <tableStyleElement type="firstRowStripe" dxfId="27"/>
      <tableStyleElement type="secondRowStripe" dxfId="2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fuhrmanm/Documents/Projects/ModelRepository/nauta_efsa_opinion/CPM/lindqvist/lindqvist_meta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ic Metadata Schema"/>
      <sheetName val="Dose-response Model"/>
      <sheetName val="Parameter unit"/>
      <sheetName val="Exposure Model"/>
      <sheetName val="Process Model"/>
      <sheetName val="Predictive Model"/>
      <sheetName val="Toxicological reference value M"/>
      <sheetName val="QRA Models"/>
      <sheetName val="Risk Charact Model"/>
      <sheetName val="Other Empirical Model"/>
      <sheetName val="(Data)"/>
      <sheetName val="Consumption Model"/>
      <sheetName val="Health metrics Models"/>
      <sheetName val="Method of production"/>
      <sheetName val="Hazard type"/>
      <sheetName val="Area of origin"/>
      <sheetName val="Packaging"/>
      <sheetName val="Parameter distribution"/>
      <sheetName val="Fisheries area"/>
      <sheetName val="Hazard name"/>
      <sheetName val="Product treatment"/>
      <sheetName val="Format"/>
      <sheetName val="Source"/>
      <sheetName val="Publication Status"/>
      <sheetName val="Publication Type"/>
      <sheetName val="Software"/>
      <sheetName val="Model Class"/>
      <sheetName val="Language"/>
      <sheetName val="Basic Process"/>
      <sheetName val="Status"/>
      <sheetName val="Language written in"/>
      <sheetName val="Product-matrix name"/>
      <sheetName val="Model Sub-Class"/>
      <sheetName val="Hazard ind-sum"/>
      <sheetName val="type of exposure"/>
      <sheetName val="Fitting procedure"/>
      <sheetName val="Parameter unit category"/>
      <sheetName val="Model equation class - distribu"/>
      <sheetName val="Parameter source"/>
      <sheetName val="Parameter classification"/>
      <sheetName val="Parameter subject"/>
      <sheetName val="Parameter type"/>
      <sheetName val="Parameter data type"/>
      <sheetName val="Laboratory accreditation"/>
      <sheetName val="Food descriptors"/>
      <sheetName val="Type of records"/>
      <sheetName val="Rights"/>
      <sheetName val="Population name"/>
      <sheetName val="Region"/>
      <sheetName val="Country"/>
      <sheetName val="Accreditation procedure for the"/>
      <sheetName val="Study Assay Technology Type"/>
      <sheetName val="Sampling strategy"/>
      <sheetName val="type of sampling program"/>
      <sheetName val="Sampling method"/>
      <sheetName val="Sampling point"/>
      <sheetName val="Methodological tool to collect "/>
      <sheetName val="Availability"/>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refreshError="1"/>
      <sheetData sheetId="27" refreshError="1"/>
      <sheetData sheetId="28" refreshError="1"/>
      <sheetData sheetId="29"/>
      <sheetData sheetId="30" refreshError="1"/>
      <sheetData sheetId="3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sheetData sheetId="41" refreshError="1"/>
      <sheetData sheetId="42" refreshError="1"/>
      <sheetData sheetId="43" refreshError="1"/>
      <sheetData sheetId="44" refreshError="1"/>
      <sheetData sheetId="45" refreshError="1"/>
      <sheetData sheetId="46"/>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sheetDataSet>
  </externalBook>
</externalLink>
</file>

<file path=xl/tables/table1.xml><?xml version="1.0" encoding="utf-8"?>
<table xmlns="http://schemas.openxmlformats.org/spreadsheetml/2006/main" id="1" name="Table_1" displayName="Table_1" ref="J7:J8" headerRowCount="0">
  <tableColumns count="1">
    <tableColumn id="1" name="Column1"/>
  </tableColumns>
  <tableStyleInfo name="Predictive Model-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1.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13" Type="http://schemas.openxmlformats.org/officeDocument/2006/relationships/hyperlink" Target="http://en.wikipedia.org/wiki/Chi-squared_distribution" TargetMode="External"/><Relationship Id="rId18" Type="http://schemas.openxmlformats.org/officeDocument/2006/relationships/hyperlink" Target="https://en.wikipedia.org/wiki/Exponentially_modified_Gaussian_distribution" TargetMode="External"/><Relationship Id="rId26" Type="http://schemas.openxmlformats.org/officeDocument/2006/relationships/hyperlink" Target="http://mathworld.wolfram.com/Half-NormalDistribution.html" TargetMode="External"/><Relationship Id="rId39" Type="http://schemas.openxmlformats.org/officeDocument/2006/relationships/hyperlink" Target="https://en.wikipedia.org/wiki/L%C3%A9vy_distribution" TargetMode="External"/><Relationship Id="rId21" Type="http://schemas.openxmlformats.org/officeDocument/2006/relationships/hyperlink" Target="http://en.wikipedia.org/wiki/Gamma_distribution" TargetMode="External"/><Relationship Id="rId34" Type="http://schemas.openxmlformats.org/officeDocument/2006/relationships/hyperlink" Target="https://reference.wolfram.com/language/ref/JohnsonDistribution.html" TargetMode="External"/><Relationship Id="rId42" Type="http://schemas.openxmlformats.org/officeDocument/2006/relationships/hyperlink" Target="http://en.wikipedia.org/wiki/Log-normal_distribution" TargetMode="External"/><Relationship Id="rId47" Type="http://schemas.openxmlformats.org/officeDocument/2006/relationships/hyperlink" Target="https://en.wikipedia.org/wiki/Mixture_distribution" TargetMode="External"/><Relationship Id="rId50" Type="http://schemas.openxmlformats.org/officeDocument/2006/relationships/hyperlink" Target="http://www.itl.nist.gov/div898/software/dataplot/refman2/auxillar/mutpdf.htm" TargetMode="External"/><Relationship Id="rId55" Type="http://schemas.openxmlformats.org/officeDocument/2006/relationships/hyperlink" Target="http://en.wikipedia.org/wiki/Normal_distribution" TargetMode="External"/><Relationship Id="rId63" Type="http://schemas.openxmlformats.org/officeDocument/2006/relationships/hyperlink" Target="https://cran.r-project.org/web/packages/gamlss.dist/gamlss.dist.pdf" TargetMode="External"/><Relationship Id="rId68" Type="http://schemas.openxmlformats.org/officeDocument/2006/relationships/hyperlink" Target="http://www.math.wm.edu/~leemis/chart/UDR/PDFs/Standardtriangular.pdf" TargetMode="External"/><Relationship Id="rId76" Type="http://schemas.openxmlformats.org/officeDocument/2006/relationships/hyperlink" Target="http://en.wikipedia.org/wiki/Weibull_distribution" TargetMode="External"/><Relationship Id="rId7" Type="http://schemas.openxmlformats.org/officeDocument/2006/relationships/hyperlink" Target="https://en.wikipedia.org/wiki/Binomial_distribution" TargetMode="External"/><Relationship Id="rId71" Type="http://schemas.openxmlformats.org/officeDocument/2006/relationships/hyperlink" Target="https://en.wikipedia.org/wiki/Truncated_normal_distribution" TargetMode="External"/><Relationship Id="rId2" Type="http://schemas.openxmlformats.org/officeDocument/2006/relationships/hyperlink" Target="http://doc.openturns.org/openturns-1.6/sphinx/user_manual/_generated/openturns.Arcsine.html" TargetMode="External"/><Relationship Id="rId16" Type="http://schemas.openxmlformats.org/officeDocument/2006/relationships/hyperlink" Target="http://en.wikipedia.org/wiki/Exponential_distribution" TargetMode="External"/><Relationship Id="rId29" Type="http://schemas.openxmlformats.org/officeDocument/2006/relationships/hyperlink" Target="http://en.wikipedia.org/wiki/Hypergeometric_distribution" TargetMode="External"/><Relationship Id="rId11" Type="http://schemas.openxmlformats.org/officeDocument/2006/relationships/hyperlink" Target="http://en.wikipedia.org/wiki/Cauchy_distribution" TargetMode="External"/><Relationship Id="rId24" Type="http://schemas.openxmlformats.org/officeDocument/2006/relationships/hyperlink" Target="https://en.wikipedia.org/wiki/Gumbel_distribution" TargetMode="External"/><Relationship Id="rId32" Type="http://schemas.openxmlformats.org/officeDocument/2006/relationships/hyperlink" Target="https://en.wikipedia.org/wiki/Inverse-Wishart_distribution" TargetMode="External"/><Relationship Id="rId37" Type="http://schemas.openxmlformats.org/officeDocument/2006/relationships/hyperlink" Target="http://www.itl.nist.gov/div898/software/dataplot/refman2/auxillar/kumcdf.htm" TargetMode="External"/><Relationship Id="rId40" Type="http://schemas.openxmlformats.org/officeDocument/2006/relationships/hyperlink" Target="https://en.wikipedia.org/wiki/Log-logistic_distribution" TargetMode="External"/><Relationship Id="rId45" Type="http://schemas.openxmlformats.org/officeDocument/2006/relationships/hyperlink" Target="https://en.wikipedia.org/wiki/Lomax_distribution" TargetMode="External"/><Relationship Id="rId53" Type="http://schemas.openxmlformats.org/officeDocument/2006/relationships/hyperlink" Target="https://en.wikipedia.org/wiki/Binomial_distribution" TargetMode="External"/><Relationship Id="rId58" Type="http://schemas.openxmlformats.org/officeDocument/2006/relationships/hyperlink" Target="https://en.wikipedia.org/wiki/Pareto_distribution" TargetMode="External"/><Relationship Id="rId66" Type="http://schemas.openxmlformats.org/officeDocument/2006/relationships/hyperlink" Target="https://en.wikipedia.org/wiki/Normal_distribution" TargetMode="External"/><Relationship Id="rId74" Type="http://schemas.openxmlformats.org/officeDocument/2006/relationships/hyperlink" Target="http://www.math.wm.edu/~leemis/chart/UDR/PDFs/Rectangular.pdf" TargetMode="External"/><Relationship Id="rId79" Type="http://schemas.openxmlformats.org/officeDocument/2006/relationships/hyperlink" Target="http://en.wikipedia.org/wiki/Wishart_distribution" TargetMode="External"/><Relationship Id="rId5" Type="http://schemas.openxmlformats.org/officeDocument/2006/relationships/hyperlink" Target="https://en.wikipedia.org/wiki/Beta-binomial_distribution" TargetMode="External"/><Relationship Id="rId61" Type="http://schemas.openxmlformats.org/officeDocument/2006/relationships/hyperlink" Target="https://en.wikipedia.org/wiki/Rayleigh_distribution" TargetMode="External"/><Relationship Id="rId82" Type="http://schemas.openxmlformats.org/officeDocument/2006/relationships/hyperlink" Target="http://www.math.wm.edu/~leemis/chart/UDR/PDFs/Zipf.pdf" TargetMode="External"/><Relationship Id="rId10" Type="http://schemas.openxmlformats.org/officeDocument/2006/relationships/hyperlink" Target="http://en.wikipedia.org/wiki/Categorical_distribution" TargetMode="External"/><Relationship Id="rId19" Type="http://schemas.openxmlformats.org/officeDocument/2006/relationships/hyperlink" Target="http://www.mathwave.com/help/easyfit/html/analyses/distributions/frechet.html" TargetMode="External"/><Relationship Id="rId31" Type="http://schemas.openxmlformats.org/officeDocument/2006/relationships/hyperlink" Target="https://en.wikipedia.org/wiki/Inverse_Gaussian_distribution" TargetMode="External"/><Relationship Id="rId44" Type="http://schemas.openxmlformats.org/officeDocument/2006/relationships/hyperlink" Target="https://en.wikipedia.org/wiki/Logit-normal_distribution" TargetMode="External"/><Relationship Id="rId52" Type="http://schemas.openxmlformats.org/officeDocument/2006/relationships/hyperlink" Target="http://cran.r-project.org/web/packages/VGAM/VGAM.pdf" TargetMode="External"/><Relationship Id="rId60" Type="http://schemas.openxmlformats.org/officeDocument/2006/relationships/hyperlink" Target="http://www.math.wm.edu/~leemis/chart/UDR/PDFs/Power.pdf" TargetMode="External"/><Relationship Id="rId65" Type="http://schemas.openxmlformats.org/officeDocument/2006/relationships/hyperlink" Target="http://www.math.uah.edu/stat/special/Logistic.html" TargetMode="External"/><Relationship Id="rId73" Type="http://schemas.openxmlformats.org/officeDocument/2006/relationships/hyperlink" Target="http://en.wikipedia.org/wiki/Uniform_distribution_(continuous)" TargetMode="External"/><Relationship Id="rId78" Type="http://schemas.openxmlformats.org/officeDocument/2006/relationships/hyperlink" Target="https://en.wikipedia.org/wiki/Wigner_semicircle_distribution" TargetMode="External"/><Relationship Id="rId81" Type="http://schemas.openxmlformats.org/officeDocument/2006/relationships/hyperlink" Target="http://en.wikipedia.org/wiki/Zero-inflated_model" TargetMode="External"/><Relationship Id="rId4" Type="http://schemas.openxmlformats.org/officeDocument/2006/relationships/hyperlink" Target="http://en.wikipedia.org/wiki/Beta_distribution" TargetMode="External"/><Relationship Id="rId9" Type="http://schemas.openxmlformats.org/officeDocument/2006/relationships/hyperlink" Target="http://nl.mathworks.com/help/stats/burr-type-xii-distribution.html" TargetMode="External"/><Relationship Id="rId14" Type="http://schemas.openxmlformats.org/officeDocument/2006/relationships/hyperlink" Target="https://en.wikipedia.org/wiki/Dagum_distribution" TargetMode="External"/><Relationship Id="rId22" Type="http://schemas.openxmlformats.org/officeDocument/2006/relationships/hyperlink" Target="http://en.wikipedia.org/wiki/Generalized_gamma_distribution" TargetMode="External"/><Relationship Id="rId27" Type="http://schemas.openxmlformats.org/officeDocument/2006/relationships/hyperlink" Target="http://nl.mathworks.com/help/stats/half-normal-distribution.html" TargetMode="External"/><Relationship Id="rId30" Type="http://schemas.openxmlformats.org/officeDocument/2006/relationships/hyperlink" Target="http://en.wikipedia.org/wiki/Inverse-gamma_distribution" TargetMode="External"/><Relationship Id="rId35" Type="http://schemas.openxmlformats.org/officeDocument/2006/relationships/hyperlink" Target="https://reference.wolfram.com/language/ref/JohnsonDistribution.html" TargetMode="External"/><Relationship Id="rId43" Type="http://schemas.openxmlformats.org/officeDocument/2006/relationships/hyperlink" Target="http://en.wikipedia.org/wiki/Logistic_distribution" TargetMode="External"/><Relationship Id="rId48" Type="http://schemas.openxmlformats.org/officeDocument/2006/relationships/hyperlink" Target="http://en.wikipedia.org/wiki/Multinomial_distribution" TargetMode="External"/><Relationship Id="rId56" Type="http://schemas.openxmlformats.org/officeDocument/2006/relationships/hyperlink" Target="http://en.wikipedia.org/wiki/Normal-inverse-gamma_distribution" TargetMode="External"/><Relationship Id="rId64" Type="http://schemas.openxmlformats.org/officeDocument/2006/relationships/hyperlink" Target="http://www.math.wm.edu/~leemis/chart/UDR/PDFs/Standardcauchy.pdf" TargetMode="External"/><Relationship Id="rId69" Type="http://schemas.openxmlformats.org/officeDocument/2006/relationships/hyperlink" Target="http://www.math.wm.edu/~leemis/chart/UDR/PDFs/Standarduniform.pdf" TargetMode="External"/><Relationship Id="rId77" Type="http://schemas.openxmlformats.org/officeDocument/2006/relationships/hyperlink" Target="http://www.math.wm.edu/~leemis/chart/UDR/PDFs/Discreteweibull.pdf" TargetMode="External"/><Relationship Id="rId8" Type="http://schemas.openxmlformats.org/officeDocument/2006/relationships/hyperlink" Target="https://en.wikipedia.org/wiki/Borel_distribution" TargetMode="External"/><Relationship Id="rId51" Type="http://schemas.openxmlformats.org/officeDocument/2006/relationships/hyperlink" Target="https://en.wikipedia.org/wiki/Nakagami_distribution" TargetMode="External"/><Relationship Id="rId72" Type="http://schemas.openxmlformats.org/officeDocument/2006/relationships/hyperlink" Target="http://www.math.wm.edu/~leemis/chart/UDR/PDFs/TSP.pdf" TargetMode="External"/><Relationship Id="rId80" Type="http://schemas.openxmlformats.org/officeDocument/2006/relationships/hyperlink" Target="https://artax.karlin.mff.cuni.cz/r-help/library/VGAM/html/yulesimon.html" TargetMode="External"/><Relationship Id="rId3" Type="http://schemas.openxmlformats.org/officeDocument/2006/relationships/hyperlink" Target="https://en.wikipedia.org/wiki/Bernoulli_distribution" TargetMode="External"/><Relationship Id="rId12" Type="http://schemas.openxmlformats.org/officeDocument/2006/relationships/hyperlink" Target="https://en.wikipedia.org/wiki/Chi_distribution" TargetMode="External"/><Relationship Id="rId17" Type="http://schemas.openxmlformats.org/officeDocument/2006/relationships/hyperlink" Target="http://www.itl.nist.gov/div898/handbook/eda/section3/eda3667.htm" TargetMode="External"/><Relationship Id="rId25" Type="http://schemas.openxmlformats.org/officeDocument/2006/relationships/hyperlink" Target="http://statperson.com/Journal/StatisticsAndMathematics/Article/Volume3Issue2/3_2_8.pdf" TargetMode="External"/><Relationship Id="rId33" Type="http://schemas.openxmlformats.org/officeDocument/2006/relationships/hyperlink" Target="https://reference.wolfram.com/language/ref/JohnsonDistribution.html" TargetMode="External"/><Relationship Id="rId38" Type="http://schemas.openxmlformats.org/officeDocument/2006/relationships/hyperlink" Target="https://en.wikipedia.org/wiki/Laplace_distribution" TargetMode="External"/><Relationship Id="rId46" Type="http://schemas.openxmlformats.org/officeDocument/2006/relationships/hyperlink" Target="http://www.math.wm.edu/~leemis/chart/UDR/PDFs/Makeham.pdf" TargetMode="External"/><Relationship Id="rId59" Type="http://schemas.openxmlformats.org/officeDocument/2006/relationships/hyperlink" Target="http://en.wikipedia.org/wiki/Poisson_distribution" TargetMode="External"/><Relationship Id="rId67" Type="http://schemas.openxmlformats.org/officeDocument/2006/relationships/hyperlink" Target="http://www.math.wm.edu/~leemis/chart/UDR/PDFs/Power.pdf" TargetMode="External"/><Relationship Id="rId20" Type="http://schemas.openxmlformats.org/officeDocument/2006/relationships/hyperlink" Target="http://www.mathwave.com/help/easyfit/html/analyses/distributions/frechet.html" TargetMode="External"/><Relationship Id="rId41" Type="http://schemas.openxmlformats.org/officeDocument/2006/relationships/hyperlink" Target="http://en.wikipedia.org/wiki/Log-normal_distribution" TargetMode="External"/><Relationship Id="rId54" Type="http://schemas.openxmlformats.org/officeDocument/2006/relationships/hyperlink" Target="http://www.math.wm.edu/~leemis/chart/UDR/PDFs/Noncentralchisquare.pdf" TargetMode="External"/><Relationship Id="rId62" Type="http://schemas.openxmlformats.org/officeDocument/2006/relationships/hyperlink" Target="http://nl.mathworks.com/help/stats/rician-distribution.html" TargetMode="External"/><Relationship Id="rId70" Type="http://schemas.openxmlformats.org/officeDocument/2006/relationships/hyperlink" Target="http://doc.openturns.org/openturns-1.6/sphinx/user_manual/_generated/openturns.Trapezoidal." TargetMode="External"/><Relationship Id="rId75" Type="http://schemas.openxmlformats.org/officeDocument/2006/relationships/hyperlink" Target="https://en.wikipedia.org/wiki/Von_Mises_distribution" TargetMode="External"/><Relationship Id="rId83" Type="http://schemas.openxmlformats.org/officeDocument/2006/relationships/hyperlink" Target="http://www.math.wm.edu/~leemis/chart/UDR/PDFs/Zipf.pdf" TargetMode="External"/><Relationship Id="rId1" Type="http://schemas.openxmlformats.org/officeDocument/2006/relationships/hyperlink" Target="https://en.wikipedia.org/wiki/Arcsine_distribution" TargetMode="External"/><Relationship Id="rId6" Type="http://schemas.openxmlformats.org/officeDocument/2006/relationships/hyperlink" Target="https://en.wikipedia.org/wiki/Beta_negative_binomial_distribution" TargetMode="External"/><Relationship Id="rId15" Type="http://schemas.openxmlformats.org/officeDocument/2006/relationships/hyperlink" Target="http://support.sas.com/resources/papers/proceedings09/250-2009.pdf" TargetMode="External"/><Relationship Id="rId23" Type="http://schemas.openxmlformats.org/officeDocument/2006/relationships/hyperlink" Target="https://en.wikipedia.org/wiki/Gompertz_distribution" TargetMode="External"/><Relationship Id="rId28" Type="http://schemas.openxmlformats.org/officeDocument/2006/relationships/hyperlink" Target="http://www.math.wm.edu/~leemis/chart/UDR/PDFs/Hyperbolicsecant.pdf" TargetMode="External"/><Relationship Id="rId36" Type="http://schemas.openxmlformats.org/officeDocument/2006/relationships/hyperlink" Target="https://reference.wolfram.com/language/ref/JohnsonDistribution.html" TargetMode="External"/><Relationship Id="rId49" Type="http://schemas.openxmlformats.org/officeDocument/2006/relationships/hyperlink" Target="http://en.wikipedia.org/wiki/Multivariate_normal_distribution" TargetMode="External"/><Relationship Id="rId57" Type="http://schemas.openxmlformats.org/officeDocument/2006/relationships/hyperlink" Target="http://en.wikipedia.org/wiki/Pareto_distribu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AV995"/>
  <sheetViews>
    <sheetView tabSelected="1" topLeftCell="B55" zoomScale="70" zoomScaleNormal="70" workbookViewId="0">
      <selection activeCell="I74" sqref="I74"/>
    </sheetView>
  </sheetViews>
  <sheetFormatPr defaultColWidth="14.453125" defaultRowHeight="15.75" customHeight="1" x14ac:dyDescent="0.25"/>
  <cols>
    <col min="1" max="1" width="13.26953125" customWidth="1"/>
    <col min="2" max="2" width="9.26953125" customWidth="1"/>
    <col min="3" max="3" width="7.453125" customWidth="1"/>
    <col min="4" max="4" width="23.81640625" customWidth="1"/>
    <col min="5" max="5" width="7.26953125" customWidth="1"/>
    <col min="6" max="6" width="39.453125" customWidth="1"/>
    <col min="7" max="7" width="6.1796875" customWidth="1"/>
    <col min="8" max="8" width="27" customWidth="1"/>
    <col min="9" max="9" width="22" customWidth="1"/>
    <col min="10" max="10" width="3.81640625" customWidth="1"/>
    <col min="11" max="11" width="14.54296875" customWidth="1"/>
    <col min="18" max="18" width="15.54296875" customWidth="1"/>
    <col min="19" max="19" width="24.453125" customWidth="1"/>
    <col min="24" max="24" width="30.26953125" customWidth="1"/>
    <col min="27" max="27" width="25" customWidth="1"/>
  </cols>
  <sheetData>
    <row r="1" spans="1:48" ht="14" x14ac:dyDescent="0.25">
      <c r="A1" t="str">
        <f ca="1">IFERROR(__xludf.DUMMYFUNCTION("QUERY(IMPORTRANGE(""https://docs.google.com/spreadsheets/d/1R5ofJAIqAywN97cnBY9R9kqj10AvQOs3Gq472n6iDyc/edit#gid=811823962"",""Generic Metadata Schema!A:r""),""select Col10, Col1, Col2, Col3, Col4, Col5, Col6, Col7"",1)"),"Filter for template")</f>
        <v>Filter for template</v>
      </c>
      <c r="B1" s="1" t="str">
        <f ca="1">IFERROR(__xludf.DUMMYFUNCTION("""COMPUTED_VALUE"""),"Top level")</f>
        <v>Top level</v>
      </c>
      <c r="C1" s="2" t="str">
        <f ca="1">IFERROR(__xludf.DUMMYFUNCTION("""COMPUTED_VALUE"""),"Cardinality of ""Top level""")</f>
        <v>Cardinality of "Top level"</v>
      </c>
      <c r="D1" s="2" t="str">
        <f ca="1">IFERROR(__xludf.DUMMYFUNCTION("""COMPUTED_VALUE"""),"Topic")</f>
        <v>Topic</v>
      </c>
      <c r="E1" s="2" t="str">
        <f ca="1">IFERROR(__xludf.DUMMYFUNCTION("""COMPUTED_VALUE"""),"Cardinality of ""Topic""")</f>
        <v>Cardinality of "Topic"</v>
      </c>
      <c r="F1" s="3" t="str">
        <f ca="1">IFERROR(__xludf.DUMMYFUNCTION("""COMPUTED_VALUE"""),"Detailed metadata concept")</f>
        <v>Detailed metadata concept</v>
      </c>
      <c r="G1" s="2" t="str">
        <f ca="1">IFERROR(__xludf.DUMMYFUNCTION("""COMPUTED_VALUE"""),"Cardinality of ""Detailed metadata concept""")</f>
        <v>Cardinality of "Detailed metadata concept"</v>
      </c>
      <c r="H1" s="3" t="str">
        <f ca="1">IFERROR(__xludf.DUMMYFUNCTION("""COMPUTED_VALUE"""),"Data type")</f>
        <v>Data type</v>
      </c>
      <c r="I1" s="2" t="s">
        <v>0</v>
      </c>
      <c r="J1" s="4"/>
      <c r="K1" s="97" t="str">
        <f ca="1">D6</f>
        <v>Creator</v>
      </c>
      <c r="L1" s="96"/>
      <c r="M1" s="96"/>
      <c r="N1" s="96"/>
      <c r="O1" s="96"/>
      <c r="P1" s="96"/>
      <c r="Q1" s="96"/>
      <c r="R1" s="96"/>
      <c r="S1" s="96"/>
      <c r="T1" s="96"/>
      <c r="U1" s="96"/>
      <c r="V1" s="96"/>
      <c r="W1" s="96"/>
      <c r="X1" s="96"/>
      <c r="Y1" s="96"/>
      <c r="Z1" s="4"/>
      <c r="AA1" s="97" t="str">
        <f ca="1">D5</f>
        <v>Author</v>
      </c>
      <c r="AB1" s="96"/>
      <c r="AC1" s="96"/>
      <c r="AD1" s="96"/>
      <c r="AE1" s="96"/>
      <c r="AF1" s="96"/>
      <c r="AG1" s="96"/>
      <c r="AH1" s="96"/>
      <c r="AI1" s="96"/>
      <c r="AJ1" s="96"/>
      <c r="AK1" s="96"/>
      <c r="AL1" s="96"/>
      <c r="AM1" s="96"/>
      <c r="AN1" s="96"/>
      <c r="AO1" s="96"/>
      <c r="AP1" s="4"/>
      <c r="AQ1" s="4"/>
      <c r="AR1" s="4"/>
      <c r="AS1" s="4"/>
      <c r="AT1" s="4"/>
      <c r="AU1" s="4"/>
      <c r="AV1" s="4"/>
    </row>
    <row r="2" spans="1:48" ht="12.5" x14ac:dyDescent="0.25">
      <c r="A2" s="5" t="str">
        <f ca="1">IFERROR(__xludf.DUMMYFUNCTION("""COMPUTED_VALUE"""),"Yes")</f>
        <v>Yes</v>
      </c>
      <c r="B2" s="95" t="str">
        <f ca="1">IFERROR(__xludf.DUMMYFUNCTION("""COMPUTED_VALUE"""),"General information")</f>
        <v>General information</v>
      </c>
      <c r="C2" s="97" t="str">
        <f ca="1">IFERROR(__xludf.DUMMYFUNCTION("""COMPUTED_VALUE"""),"1")</f>
        <v>1</v>
      </c>
      <c r="D2" s="5" t="str">
        <f ca="1">IFERROR(__xludf.DUMMYFUNCTION("""COMPUTED_VALUE"""),"Study / Data / Model name")</f>
        <v>Study / Data / Model name</v>
      </c>
      <c r="E2" s="97" t="str">
        <f ca="1">IFERROR(__xludf.DUMMYFUNCTION("""COMPUTED_VALUE"""),"1")</f>
        <v>1</v>
      </c>
      <c r="F2" s="96"/>
      <c r="G2" s="96"/>
      <c r="H2" s="7" t="str">
        <f ca="1">IFERROR(__xludf.DUMMYFUNCTION("""COMPUTED_VALUE"""),"String")</f>
        <v>String</v>
      </c>
      <c r="I2" s="83" t="s">
        <v>162</v>
      </c>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9</v>
      </c>
      <c r="AJ2" s="8" t="s">
        <v>10</v>
      </c>
      <c r="AK2" s="8" t="s">
        <v>11</v>
      </c>
      <c r="AL2" s="8" t="s">
        <v>12</v>
      </c>
      <c r="AM2" s="8" t="s">
        <v>13</v>
      </c>
      <c r="AN2" s="8" t="s">
        <v>14</v>
      </c>
      <c r="AO2" s="8" t="s">
        <v>15</v>
      </c>
      <c r="AP2" s="4"/>
      <c r="AQ2" s="4"/>
      <c r="AR2" s="4"/>
      <c r="AS2" s="4"/>
      <c r="AT2" s="4"/>
      <c r="AU2" s="4"/>
      <c r="AV2" s="4"/>
    </row>
    <row r="3" spans="1:48" ht="12.5" x14ac:dyDescent="0.25">
      <c r="A3" s="5" t="str">
        <f ca="1">IFERROR(__xludf.DUMMYFUNCTION("""COMPUTED_VALUE"""),"Yes")</f>
        <v>Yes</v>
      </c>
      <c r="B3" s="96"/>
      <c r="C3" s="96"/>
      <c r="D3" s="5" t="str">
        <f ca="1">IFERROR(__xludf.DUMMYFUNCTION("""COMPUTED_VALUE"""),"Source")</f>
        <v>Source</v>
      </c>
      <c r="E3" s="97" t="str">
        <f ca="1">IFERROR(__xludf.DUMMYFUNCTION("""COMPUTED_VALUE"""),"0:1")</f>
        <v>0:1</v>
      </c>
      <c r="F3" s="96"/>
      <c r="G3" s="96"/>
      <c r="H3" s="7" t="str">
        <f ca="1">IFERROR(__xludf.DUMMYFUNCTION("""COMPUTED_VALUE"""),"String")</f>
        <v>String</v>
      </c>
      <c r="I3" s="89" t="s">
        <v>95</v>
      </c>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x14ac:dyDescent="0.25">
      <c r="A4" s="5" t="str">
        <f ca="1">IFERROR(__xludf.DUMMYFUNCTION("""COMPUTED_VALUE"""),"Yes")</f>
        <v>Yes</v>
      </c>
      <c r="B4" s="96"/>
      <c r="C4" s="96"/>
      <c r="D4" s="5" t="str">
        <f ca="1">IFERROR(__xludf.DUMMYFUNCTION("""COMPUTED_VALUE"""),"Identifier")</f>
        <v>Identifier</v>
      </c>
      <c r="E4" s="97" t="str">
        <f ca="1">IFERROR(__xludf.DUMMYFUNCTION("""COMPUTED_VALUE"""),"1")</f>
        <v>1</v>
      </c>
      <c r="F4" s="96"/>
      <c r="G4" s="96"/>
      <c r="H4" s="7" t="str">
        <f ca="1">IFERROR(__xludf.DUMMYFUNCTION("""COMPUTED_VALUE"""),"String")</f>
        <v>String</v>
      </c>
      <c r="I4" s="84" t="s">
        <v>96</v>
      </c>
      <c r="J4" s="4"/>
      <c r="K4" s="11"/>
      <c r="L4" s="12"/>
      <c r="M4" s="11"/>
      <c r="N4" s="11"/>
      <c r="O4" s="11"/>
      <c r="P4" s="11"/>
      <c r="Q4" s="11"/>
      <c r="R4" s="12"/>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x14ac:dyDescent="0.25">
      <c r="A5" s="5" t="str">
        <f ca="1">IFERROR(__xludf.DUMMYFUNCTION("""COMPUTED_VALUE"""),"No")</f>
        <v>No</v>
      </c>
      <c r="B5" s="96"/>
      <c r="C5" s="96"/>
      <c r="D5" s="5" t="str">
        <f ca="1">IFERROR(__xludf.DUMMYFUNCTION("""COMPUTED_VALUE"""),"Author")</f>
        <v>Author</v>
      </c>
      <c r="E5" s="5" t="str">
        <f ca="1">IFERROR(__xludf.DUMMYFUNCTION("""COMPUTED_VALUE"""),"0:N")</f>
        <v>0:N</v>
      </c>
      <c r="F5" s="7" t="str">
        <f ca="1">IFERROR(__xludf.DUMMYFUNCTION("""COMPUTED_VALUE"""),"See vCard 4.0 standard ")</f>
        <v xml:space="preserve">See vCard 4.0 standard </v>
      </c>
      <c r="G5" s="5" t="str">
        <f ca="1">IFERROR(__xludf.DUMMYFUNCTION("""COMPUTED_VALUE"""),"0:N")</f>
        <v>0:N</v>
      </c>
      <c r="H5" s="7" t="str">
        <f ca="1">IFERROR(__xludf.DUMMYFUNCTION("""COMPUTED_VALUE"""),"vCard")</f>
        <v>vCard</v>
      </c>
      <c r="I5" s="85" t="s">
        <v>97</v>
      </c>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x14ac:dyDescent="0.25">
      <c r="A6" s="5" t="str">
        <f ca="1">IFERROR(__xludf.DUMMYFUNCTION("""COMPUTED_VALUE"""),"Yes")</f>
        <v>Yes</v>
      </c>
      <c r="B6" s="96"/>
      <c r="C6" s="96"/>
      <c r="D6" s="5" t="str">
        <f ca="1">IFERROR(__xludf.DUMMYFUNCTION("""COMPUTED_VALUE"""),"Creator")</f>
        <v>Creator</v>
      </c>
      <c r="E6" s="5" t="str">
        <f ca="1">IFERROR(__xludf.DUMMYFUNCTION("""COMPUTED_VALUE"""),"1:N")</f>
        <v>1:N</v>
      </c>
      <c r="F6" s="7" t="str">
        <f ca="1">IFERROR(__xludf.DUMMYFUNCTION("""COMPUTED_VALUE"""),"See vCard 4.0 standard ")</f>
        <v xml:space="preserve">See vCard 4.0 standard </v>
      </c>
      <c r="G6" s="5" t="str">
        <f ca="1">IFERROR(__xludf.DUMMYFUNCTION("""COMPUTED_VALUE"""),"1")</f>
        <v>1</v>
      </c>
      <c r="H6" s="7" t="str">
        <f ca="1">IFERROR(__xludf.DUMMYFUNCTION("""COMPUTED_VALUE"""),"vCard")</f>
        <v>vCard</v>
      </c>
      <c r="I6" s="85" t="s">
        <v>45</v>
      </c>
      <c r="J6" s="4"/>
      <c r="K6" s="12" t="s">
        <v>119</v>
      </c>
      <c r="L6" s="12" t="s">
        <v>120</v>
      </c>
      <c r="M6" s="12" t="s">
        <v>121</v>
      </c>
      <c r="N6" s="12"/>
      <c r="O6" s="12" t="s">
        <v>120</v>
      </c>
      <c r="P6" s="12"/>
      <c r="Q6" s="12"/>
      <c r="R6" s="12" t="s">
        <v>122</v>
      </c>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x14ac:dyDescent="0.25">
      <c r="A7" s="5" t="str">
        <f ca="1">IFERROR(__xludf.DUMMYFUNCTION("""COMPUTED_VALUE"""),"Yes")</f>
        <v>Yes</v>
      </c>
      <c r="B7" s="96"/>
      <c r="C7" s="96"/>
      <c r="D7" s="97" t="str">
        <f ca="1">IFERROR(__xludf.DUMMYFUNCTION("""COMPUTED_VALUE"""),"Date")</f>
        <v>Date</v>
      </c>
      <c r="E7" s="97" t="str">
        <f ca="1">IFERROR(__xludf.DUMMYFUNCTION("""COMPUTED_VALUE"""),"1:N")</f>
        <v>1:N</v>
      </c>
      <c r="F7" s="7" t="str">
        <f ca="1">IFERROR(__xludf.DUMMYFUNCTION("""COMPUTED_VALUE"""),"Creation date")</f>
        <v>Creation date</v>
      </c>
      <c r="G7" s="5" t="str">
        <f ca="1">IFERROR(__xludf.DUMMYFUNCTION("""COMPUTED_VALUE"""),"1")</f>
        <v>1</v>
      </c>
      <c r="H7" s="7" t="str">
        <f ca="1">IFERROR(__xludf.DUMMYFUNCTION("""COMPUTED_VALUE"""),"Date")</f>
        <v>Date</v>
      </c>
      <c r="I7" s="14">
        <v>44043</v>
      </c>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x14ac:dyDescent="0.25">
      <c r="A8" s="5" t="str">
        <f ca="1">IFERROR(__xludf.DUMMYFUNCTION("""COMPUTED_VALUE"""),"No")</f>
        <v>No</v>
      </c>
      <c r="B8" s="96"/>
      <c r="C8" s="96"/>
      <c r="D8" s="96"/>
      <c r="E8" s="96"/>
      <c r="F8" s="7" t="str">
        <f ca="1">IFERROR(__xludf.DUMMYFUNCTION("""COMPUTED_VALUE"""),"Last modified date")</f>
        <v>Last modified date</v>
      </c>
      <c r="G8" s="5" t="str">
        <f ca="1">IFERROR(__xludf.DUMMYFUNCTION("""COMPUTED_VALUE"""),"0:N")</f>
        <v>0:N</v>
      </c>
      <c r="H8" s="7" t="str">
        <f ca="1">IFERROR(__xludf.DUMMYFUNCTION("""COMPUTED_VALUE"""),"Date")</f>
        <v>Date</v>
      </c>
      <c r="I8" s="14">
        <v>44046</v>
      </c>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x14ac:dyDescent="0.25">
      <c r="A9" s="5" t="str">
        <f ca="1">IFERROR(__xludf.DUMMYFUNCTION("""COMPUTED_VALUE"""),"Yes")</f>
        <v>Yes</v>
      </c>
      <c r="B9" s="96"/>
      <c r="C9" s="96"/>
      <c r="D9" s="5" t="str">
        <f ca="1">IFERROR(__xludf.DUMMYFUNCTION("""COMPUTED_VALUE"""),"Rights")</f>
        <v>Rights</v>
      </c>
      <c r="E9" s="5" t="str">
        <f ca="1">IFERROR(__xludf.DUMMYFUNCTION("""COMPUTED_VALUE"""),"1")</f>
        <v>1</v>
      </c>
      <c r="F9" s="7" t="str">
        <f ca="1">IFERROR(__xludf.DUMMYFUNCTION("""COMPUTED_VALUE"""),"Rights")</f>
        <v>Rights</v>
      </c>
      <c r="G9" s="5" t="str">
        <f ca="1">IFERROR(__xludf.DUMMYFUNCTION("""COMPUTED_VALUE"""),"1")</f>
        <v>1</v>
      </c>
      <c r="H9" s="7" t="str">
        <f ca="1">IFERROR(__xludf.DUMMYFUNCTION("""COMPUTED_VALUE"""),"String")</f>
        <v>String</v>
      </c>
      <c r="I9" s="89" t="s">
        <v>98</v>
      </c>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x14ac:dyDescent="0.25">
      <c r="A10" s="5" t="str">
        <f ca="1">IFERROR(__xludf.DUMMYFUNCTION("""COMPUTED_VALUE"""),"No")</f>
        <v>No</v>
      </c>
      <c r="B10" s="96"/>
      <c r="C10" s="96"/>
      <c r="D10" s="5" t="str">
        <f ca="1">IFERROR(__xludf.DUMMYFUNCTION("""COMPUTED_VALUE"""),"Availability")</f>
        <v>Availability</v>
      </c>
      <c r="E10" s="97" t="str">
        <f ca="1">IFERROR(__xludf.DUMMYFUNCTION("""COMPUTED_VALUE"""),"0:1")</f>
        <v>0:1</v>
      </c>
      <c r="F10" s="96"/>
      <c r="G10" s="96"/>
      <c r="H10" s="7" t="str">
        <f ca="1">IFERROR(__xludf.DUMMYFUNCTION("""COMPUTED_VALUE"""),"String")</f>
        <v>String</v>
      </c>
      <c r="I10" s="89" t="s">
        <v>99</v>
      </c>
      <c r="J10" s="4"/>
      <c r="K10" s="8"/>
      <c r="L10" s="8"/>
      <c r="M10" s="4"/>
      <c r="N10" s="4"/>
      <c r="O10" s="4"/>
      <c r="P10" s="8"/>
      <c r="Q10" s="8"/>
      <c r="R10" s="8"/>
      <c r="S10" s="8"/>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x14ac:dyDescent="0.25">
      <c r="A11" s="5" t="str">
        <f ca="1">IFERROR(__xludf.DUMMYFUNCTION("""COMPUTED_VALUE"""),"No")</f>
        <v>No</v>
      </c>
      <c r="B11" s="96"/>
      <c r="C11" s="96"/>
      <c r="D11" s="5" t="str">
        <f ca="1">IFERROR(__xludf.DUMMYFUNCTION("""COMPUTED_VALUE"""),"URL")</f>
        <v>URL</v>
      </c>
      <c r="E11" s="97" t="str">
        <f ca="1">IFERROR(__xludf.DUMMYFUNCTION("""COMPUTED_VALUE"""),"0:1")</f>
        <v>0:1</v>
      </c>
      <c r="F11" s="96"/>
      <c r="G11" s="96"/>
      <c r="H11" s="7" t="str">
        <f ca="1">IFERROR(__xludf.DUMMYFUNCTION("""COMPUTED_VALUE"""),"String")</f>
        <v>String</v>
      </c>
      <c r="I11" s="15" t="s">
        <v>100</v>
      </c>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x14ac:dyDescent="0.25">
      <c r="A12" s="5" t="str">
        <f ca="1">IFERROR(__xludf.DUMMYFUNCTION("""COMPUTED_VALUE"""),"No")</f>
        <v>No</v>
      </c>
      <c r="B12" s="96"/>
      <c r="C12" s="96"/>
      <c r="D12" s="5" t="str">
        <f ca="1">IFERROR(__xludf.DUMMYFUNCTION("""COMPUTED_VALUE"""),"Format")</f>
        <v>Format</v>
      </c>
      <c r="E12" s="97" t="str">
        <f ca="1">IFERROR(__xludf.DUMMYFUNCTION("""COMPUTED_VALUE"""),"0:1")</f>
        <v>0:1</v>
      </c>
      <c r="F12" s="96"/>
      <c r="G12" s="96"/>
      <c r="H12" s="7" t="str">
        <f ca="1">IFERROR(__xludf.DUMMYFUNCTION("""COMPUTED_VALUE"""),"String")</f>
        <v>String</v>
      </c>
      <c r="I12" s="10"/>
      <c r="J12" s="4"/>
      <c r="K12" s="99" t="str">
        <f ca="1">D13</f>
        <v>References</v>
      </c>
      <c r="L12" s="96"/>
      <c r="M12" s="96"/>
      <c r="N12" s="96"/>
      <c r="O12" s="96"/>
      <c r="P12" s="96"/>
      <c r="Q12" s="96"/>
      <c r="R12" s="96"/>
      <c r="S12" s="96"/>
      <c r="T12" s="96"/>
      <c r="U12" s="96"/>
      <c r="V12" s="96"/>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4" x14ac:dyDescent="0.3">
      <c r="A13" s="5" t="str">
        <f ca="1">IFERROR(__xludf.DUMMYFUNCTION("""COMPUTED_VALUE"""),"Yes")</f>
        <v>Yes</v>
      </c>
      <c r="B13" s="96"/>
      <c r="C13" s="96"/>
      <c r="D13" s="97" t="str">
        <f ca="1">IFERROR(__xludf.DUMMYFUNCTION("""COMPUTED_VALUE"""),"References")</f>
        <v>References</v>
      </c>
      <c r="E13" s="97" t="str">
        <f ca="1">IFERROR(__xludf.DUMMYFUNCTION("""COMPUTED_VALUE"""),"1:N")</f>
        <v>1:N</v>
      </c>
      <c r="F13" s="7" t="str">
        <f ca="1">IFERROR(__xludf.DUMMYFUNCTION("""COMPUTED_VALUE"""),"Is_reference_description?")</f>
        <v>Is_reference_description?</v>
      </c>
      <c r="G13" s="5" t="str">
        <f ca="1">IFERROR(__xludf.DUMMYFUNCTION("""COMPUTED_VALUE"""),"1")</f>
        <v>1</v>
      </c>
      <c r="H13" s="7" t="str">
        <f ca="1">IFERROR(__xludf.DUMMYFUNCTION("""COMPUTED_VALUE"""),"Bolean")</f>
        <v>Bolean</v>
      </c>
      <c r="I13" s="85">
        <v>1</v>
      </c>
      <c r="J13" s="4"/>
      <c r="K13" s="16" t="str">
        <f ca="1">F13</f>
        <v>Is_reference_description?</v>
      </c>
      <c r="L13" s="16" t="str">
        <f ca="1">F14</f>
        <v>Publication type</v>
      </c>
      <c r="M13" s="17" t="str">
        <f ca="1">F15</f>
        <v>Publication year</v>
      </c>
      <c r="N13" s="17" t="str">
        <f ca="1">F16</f>
        <v>PubMed ID</v>
      </c>
      <c r="O13" s="16" t="str">
        <f ca="1">F17</f>
        <v>Publication DOI</v>
      </c>
      <c r="P13" s="17" t="str">
        <f ca="1">F18</f>
        <v>Publication Author List</v>
      </c>
      <c r="Q13" s="16" t="str">
        <f ca="1">F19</f>
        <v>Publication Title</v>
      </c>
      <c r="R13" s="17" t="str">
        <f ca="1">F20</f>
        <v>Publication Abstract</v>
      </c>
      <c r="S13" s="17" t="str">
        <f ca="1">F21</f>
        <v>Publication Journal / Vol / Issue etc</v>
      </c>
      <c r="T13" s="17" t="str">
        <f ca="1">F22</f>
        <v>Publication Status</v>
      </c>
      <c r="U13" s="17" t="str">
        <f ca="1">F23</f>
        <v>Publication website</v>
      </c>
      <c r="V13" s="7" t="str">
        <f ca="1">F24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x14ac:dyDescent="0.25">
      <c r="A14" s="5" t="str">
        <f ca="1">IFERROR(__xludf.DUMMYFUNCTION("""COMPUTED_VALUE"""),"Yes")</f>
        <v>Yes</v>
      </c>
      <c r="B14" s="96"/>
      <c r="C14" s="96"/>
      <c r="D14" s="96"/>
      <c r="E14" s="96"/>
      <c r="F14" s="18" t="str">
        <f ca="1">IFERROR(__xludf.DUMMYFUNCTION("""COMPUTED_VALUE"""),"Publication type")</f>
        <v>Publication type</v>
      </c>
      <c r="G14" s="5" t="str">
        <f ca="1">IFERROR(__xludf.DUMMYFUNCTION("""COMPUTED_VALUE"""),"0:1")</f>
        <v>0:1</v>
      </c>
      <c r="H14" s="7" t="str">
        <f ca="1">IFERROR(__xludf.DUMMYFUNCTION("""COMPUTED_VALUE"""),"RIS")</f>
        <v>RIS</v>
      </c>
      <c r="I14" s="13"/>
      <c r="J14" s="4"/>
      <c r="K14" s="4" t="str">
        <f ca="1">G13</f>
        <v>1</v>
      </c>
      <c r="L14" s="4" t="str">
        <f ca="1">G14</f>
        <v>0:1</v>
      </c>
      <c r="M14" s="4" t="str">
        <f ca="1">G15</f>
        <v>0:1</v>
      </c>
      <c r="N14" s="4" t="str">
        <f ca="1">G16</f>
        <v>0:1</v>
      </c>
      <c r="O14" s="4" t="str">
        <f ca="1">G17</f>
        <v>1</v>
      </c>
      <c r="P14" s="4" t="str">
        <f ca="1">G18</f>
        <v>0:1</v>
      </c>
      <c r="Q14" s="4" t="str">
        <f ca="1">G19</f>
        <v>1</v>
      </c>
      <c r="R14" s="4" t="str">
        <f ca="1">G20</f>
        <v>0:1</v>
      </c>
      <c r="S14" s="4" t="str">
        <f ca="1">G21</f>
        <v>0:1</v>
      </c>
      <c r="T14" s="8" t="str">
        <f ca="1">G22</f>
        <v>0:1</v>
      </c>
      <c r="U14" s="4" t="str">
        <f ca="1">G23</f>
        <v>0:1</v>
      </c>
      <c r="V14" s="4" t="str">
        <f ca="1">G24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409.5" x14ac:dyDescent="0.25">
      <c r="A15" s="5" t="str">
        <f ca="1">IFERROR(__xludf.DUMMYFUNCTION("""COMPUTED_VALUE"""),"No")</f>
        <v>No</v>
      </c>
      <c r="B15" s="96"/>
      <c r="C15" s="96"/>
      <c r="D15" s="96"/>
      <c r="E15" s="96"/>
      <c r="F15" s="7" t="str">
        <f ca="1">IFERROR(__xludf.DUMMYFUNCTION("""COMPUTED_VALUE"""),"Publication year")</f>
        <v>Publication year</v>
      </c>
      <c r="G15" s="5" t="str">
        <f ca="1">IFERROR(__xludf.DUMMYFUNCTION("""COMPUTED_VALUE"""),"0:1")</f>
        <v>0:1</v>
      </c>
      <c r="H15" s="7" t="str">
        <f ca="1">IFERROR(__xludf.DUMMYFUNCTION("""COMPUTED_VALUE"""),"RIS")</f>
        <v>RIS</v>
      </c>
      <c r="I15" s="13"/>
      <c r="J15" s="8"/>
      <c r="K15" s="12" t="s">
        <v>101</v>
      </c>
      <c r="L15" s="11" t="s">
        <v>102</v>
      </c>
      <c r="M15" s="14">
        <v>39688</v>
      </c>
      <c r="N15" s="11"/>
      <c r="O15" s="12" t="s">
        <v>103</v>
      </c>
      <c r="P15" s="12" t="s">
        <v>104</v>
      </c>
      <c r="Q15" s="12" t="s">
        <v>105</v>
      </c>
      <c r="R15" s="90" t="s">
        <v>106</v>
      </c>
      <c r="S15" s="12" t="s">
        <v>107</v>
      </c>
      <c r="T15" s="11" t="s">
        <v>108</v>
      </c>
      <c r="U15" s="11" t="s">
        <v>100</v>
      </c>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x14ac:dyDescent="0.25">
      <c r="A16" s="5" t="str">
        <f ca="1">IFERROR(__xludf.DUMMYFUNCTION("""COMPUTED_VALUE"""),"No")</f>
        <v>No</v>
      </c>
      <c r="B16" s="96"/>
      <c r="C16" s="96"/>
      <c r="D16" s="96"/>
      <c r="E16" s="96"/>
      <c r="F16" s="7" t="str">
        <f ca="1">IFERROR(__xludf.DUMMYFUNCTION("""COMPUTED_VALUE"""),"PubMed ID")</f>
        <v>PubMed ID</v>
      </c>
      <c r="G16" s="5" t="str">
        <f ca="1">IFERROR(__xludf.DUMMYFUNCTION("""COMPUTED_VALUE"""),"0:1")</f>
        <v>0:1</v>
      </c>
      <c r="H16" s="7" t="str">
        <f ca="1">IFERROR(__xludf.DUMMYFUNCTION("""COMPUTED_VALUE"""),"RIS")</f>
        <v>RIS</v>
      </c>
      <c r="I16" s="13"/>
      <c r="J16" s="4"/>
      <c r="K16" s="12" t="s">
        <v>101</v>
      </c>
      <c r="L16" s="12" t="s">
        <v>102</v>
      </c>
      <c r="M16" s="94">
        <v>40415</v>
      </c>
      <c r="N16" s="12">
        <v>20738819</v>
      </c>
      <c r="O16" s="12" t="s">
        <v>154</v>
      </c>
      <c r="P16" s="12" t="s">
        <v>155</v>
      </c>
      <c r="Q16" s="12" t="s">
        <v>156</v>
      </c>
      <c r="R16" s="12" t="s">
        <v>157</v>
      </c>
      <c r="S16" s="12" t="s">
        <v>158</v>
      </c>
      <c r="T16" s="12" t="s">
        <v>108</v>
      </c>
      <c r="U16" s="12" t="s">
        <v>159</v>
      </c>
      <c r="V16" s="12"/>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x14ac:dyDescent="0.25">
      <c r="A17" s="5" t="str">
        <f ca="1">IFERROR(__xludf.DUMMYFUNCTION("""COMPUTED_VALUE"""),"Yes")</f>
        <v>Yes</v>
      </c>
      <c r="B17" s="96"/>
      <c r="C17" s="96"/>
      <c r="D17" s="96"/>
      <c r="E17" s="96"/>
      <c r="F17" s="7" t="str">
        <f ca="1">IFERROR(__xludf.DUMMYFUNCTION("""COMPUTED_VALUE"""),"Publication DOI")</f>
        <v>Publication DOI</v>
      </c>
      <c r="G17" s="5" t="str">
        <f ca="1">IFERROR(__xludf.DUMMYFUNCTION("""COMPUTED_VALUE"""),"1")</f>
        <v>1</v>
      </c>
      <c r="H17" s="7" t="str">
        <f ca="1">IFERROR(__xludf.DUMMYFUNCTION("""COMPUTED_VALUE"""),"RIS")</f>
        <v>RIS</v>
      </c>
      <c r="I17" s="13"/>
      <c r="J17" s="4"/>
      <c r="K17" s="12"/>
      <c r="L17" s="11"/>
      <c r="M17" s="14"/>
      <c r="N17" s="11"/>
      <c r="O17" s="11"/>
      <c r="P17" s="11"/>
      <c r="Q17" s="11"/>
      <c r="R17" s="12"/>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x14ac:dyDescent="0.25">
      <c r="A18" s="5" t="str">
        <f ca="1">IFERROR(__xludf.DUMMYFUNCTION("""COMPUTED_VALUE"""),"No")</f>
        <v>No</v>
      </c>
      <c r="B18" s="96"/>
      <c r="C18" s="96"/>
      <c r="D18" s="96"/>
      <c r="E18" s="96"/>
      <c r="F18" s="7" t="str">
        <f ca="1">IFERROR(__xludf.DUMMYFUNCTION("""COMPUTED_VALUE"""),"Publication Author List")</f>
        <v>Publication Author List</v>
      </c>
      <c r="G18" s="5" t="str">
        <f ca="1">IFERROR(__xludf.DUMMYFUNCTION("""COMPUTED_VALUE"""),"0:1")</f>
        <v>0:1</v>
      </c>
      <c r="H18" s="7" t="str">
        <f ca="1">IFERROR(__xludf.DUMMYFUNCTION("""COMPUTED_VALUE"""),"RIS")</f>
        <v>RIS</v>
      </c>
      <c r="I18" s="13"/>
      <c r="J18" s="4"/>
      <c r="K18" s="12"/>
      <c r="L18" s="11"/>
      <c r="M18" s="14"/>
      <c r="N18" s="11"/>
      <c r="O18" s="11"/>
      <c r="P18" s="11"/>
      <c r="Q18" s="11"/>
      <c r="R18" s="12"/>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x14ac:dyDescent="0.25">
      <c r="A19" s="5" t="str">
        <f ca="1">IFERROR(__xludf.DUMMYFUNCTION("""COMPUTED_VALUE"""),"Yes")</f>
        <v>Yes</v>
      </c>
      <c r="B19" s="96"/>
      <c r="C19" s="96"/>
      <c r="D19" s="96"/>
      <c r="E19" s="96"/>
      <c r="F19" s="7" t="str">
        <f ca="1">IFERROR(__xludf.DUMMYFUNCTION("""COMPUTED_VALUE"""),"Publication Title")</f>
        <v>Publication Title</v>
      </c>
      <c r="G19" s="5" t="str">
        <f ca="1">IFERROR(__xludf.DUMMYFUNCTION("""COMPUTED_VALUE"""),"1")</f>
        <v>1</v>
      </c>
      <c r="H19" s="7" t="str">
        <f ca="1">IFERROR(__xludf.DUMMYFUNCTION("""COMPUTED_VALUE"""),"RIS")</f>
        <v>RIS</v>
      </c>
      <c r="I19" s="13"/>
      <c r="J19" s="8"/>
      <c r="K19" s="12"/>
      <c r="L19" s="11"/>
      <c r="M19" s="14"/>
      <c r="N19" s="11"/>
      <c r="O19" s="11"/>
      <c r="P19" s="11"/>
      <c r="Q19" s="11"/>
      <c r="R19" s="12"/>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x14ac:dyDescent="0.25">
      <c r="A20" s="5" t="str">
        <f ca="1">IFERROR(__xludf.DUMMYFUNCTION("""COMPUTED_VALUE"""),"No")</f>
        <v>No</v>
      </c>
      <c r="B20" s="96"/>
      <c r="C20" s="96"/>
      <c r="D20" s="96"/>
      <c r="E20" s="96"/>
      <c r="F20" s="7" t="str">
        <f ca="1">IFERROR(__xludf.DUMMYFUNCTION("""COMPUTED_VALUE"""),"Publication Abstract")</f>
        <v>Publication Abstract</v>
      </c>
      <c r="G20" s="5" t="str">
        <f ca="1">IFERROR(__xludf.DUMMYFUNCTION("""COMPUTED_VALUE"""),"0:1")</f>
        <v>0:1</v>
      </c>
      <c r="H20" s="7" t="str">
        <f ca="1">IFERROR(__xludf.DUMMYFUNCTION("""COMPUTED_VALUE"""),"RIS")</f>
        <v>RIS</v>
      </c>
      <c r="I20" s="13"/>
      <c r="J20" s="4"/>
      <c r="K20" s="4"/>
      <c r="L20" s="4"/>
      <c r="M20" s="4"/>
      <c r="N20" s="4"/>
      <c r="O20" s="4"/>
      <c r="P20" s="4"/>
      <c r="Q20" s="4"/>
      <c r="R20" s="88"/>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x14ac:dyDescent="0.25">
      <c r="A21" s="5" t="str">
        <f ca="1">IFERROR(__xludf.DUMMYFUNCTION("""COMPUTED_VALUE"""),"No")</f>
        <v>No</v>
      </c>
      <c r="B21" s="96"/>
      <c r="C21" s="96"/>
      <c r="D21" s="96"/>
      <c r="E21" s="96"/>
      <c r="F21" s="7" t="str">
        <f ca="1">IFERROR(__xludf.DUMMYFUNCTION("""COMPUTED_VALUE"""),"Publication Journal / Vol / Issue etc")</f>
        <v>Publication Journal / Vol / Issue etc</v>
      </c>
      <c r="G21" s="5" t="str">
        <f ca="1">IFERROR(__xludf.DUMMYFUNCTION("""COMPUTED_VALUE"""),"0:1")</f>
        <v>0:1</v>
      </c>
      <c r="H21" s="7" t="str">
        <f ca="1">IFERROR(__xludf.DUMMYFUNCTION("""COMPUTED_VALUE"""),"RIS")</f>
        <v>RIS</v>
      </c>
      <c r="I21" s="13"/>
      <c r="J21" s="4"/>
      <c r="K21" s="4"/>
      <c r="L21" s="4"/>
      <c r="M21" s="4"/>
      <c r="N21" s="4"/>
      <c r="O21" s="4"/>
      <c r="P21" s="4"/>
      <c r="Q21" s="4"/>
      <c r="R21" s="88"/>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x14ac:dyDescent="0.25">
      <c r="A22" s="5" t="str">
        <f ca="1">IFERROR(__xludf.DUMMYFUNCTION("""COMPUTED_VALUE"""),"No")</f>
        <v>No</v>
      </c>
      <c r="B22" s="96"/>
      <c r="C22" s="96"/>
      <c r="D22" s="96"/>
      <c r="E22" s="96"/>
      <c r="F22" s="7" t="str">
        <f ca="1">IFERROR(__xludf.DUMMYFUNCTION("""COMPUTED_VALUE"""),"Publication Status")</f>
        <v>Publication Status</v>
      </c>
      <c r="G22" s="5" t="str">
        <f ca="1">IFERROR(__xludf.DUMMYFUNCTION("""COMPUTED_VALUE"""),"0:1")</f>
        <v>0:1</v>
      </c>
      <c r="H22" s="7" t="str">
        <f ca="1">IFERROR(__xludf.DUMMYFUNCTION("""COMPUTED_VALUE"""),"RIS")</f>
        <v>RIS</v>
      </c>
      <c r="I22" s="13"/>
      <c r="J22" s="4"/>
      <c r="K22" s="4"/>
      <c r="L22" s="4"/>
      <c r="M22" s="4"/>
      <c r="N22" s="4"/>
      <c r="O22" s="4"/>
      <c r="P22" s="4"/>
      <c r="Q22" s="4"/>
      <c r="R22" s="88"/>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x14ac:dyDescent="0.25">
      <c r="A23" s="5" t="str">
        <f ca="1">IFERROR(__xludf.DUMMYFUNCTION("""COMPUTED_VALUE"""),"No")</f>
        <v>No</v>
      </c>
      <c r="B23" s="96"/>
      <c r="C23" s="96"/>
      <c r="D23" s="96"/>
      <c r="E23" s="96"/>
      <c r="F23" s="7" t="str">
        <f ca="1">IFERROR(__xludf.DUMMYFUNCTION("""COMPUTED_VALUE"""),"Publication website")</f>
        <v>Publication website</v>
      </c>
      <c r="G23" s="5" t="str">
        <f ca="1">IFERROR(__xludf.DUMMYFUNCTION("""COMPUTED_VALUE"""),"0:1")</f>
        <v>0:1</v>
      </c>
      <c r="H23" s="7" t="str">
        <f ca="1">IFERROR(__xludf.DUMMYFUNCTION("""COMPUTED_VALUE"""),"RIS")</f>
        <v>RIS</v>
      </c>
      <c r="I23" s="13"/>
      <c r="J23" s="4"/>
      <c r="K23" s="4"/>
      <c r="L23" s="4"/>
      <c r="M23" s="4"/>
      <c r="N23" s="4"/>
      <c r="O23" s="4"/>
      <c r="P23" s="4"/>
      <c r="Q23" s="4"/>
      <c r="R23" s="88"/>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x14ac:dyDescent="0.25">
      <c r="A24" s="5" t="str">
        <f ca="1">IFERROR(__xludf.DUMMYFUNCTION("""COMPUTED_VALUE"""),"No")</f>
        <v>No</v>
      </c>
      <c r="B24" s="96"/>
      <c r="C24" s="96"/>
      <c r="D24" s="96"/>
      <c r="E24" s="96"/>
      <c r="F24" s="7" t="str">
        <f ca="1">IFERROR(__xludf.DUMMYFUNCTION("""COMPUTED_VALUE"""),"Comment")</f>
        <v>Comment</v>
      </c>
      <c r="G24" s="5" t="str">
        <f ca="1">IFERROR(__xludf.DUMMYFUNCTION("""COMPUTED_VALUE"""),"0:1")</f>
        <v>0:1</v>
      </c>
      <c r="H24" s="7" t="str">
        <f ca="1">IFERROR(__xludf.DUMMYFUNCTION("""COMPUTED_VALUE"""),"RIS")</f>
        <v>RIS</v>
      </c>
      <c r="I24" s="13"/>
      <c r="J24" s="4"/>
      <c r="K24" s="4"/>
      <c r="L24" s="4"/>
      <c r="M24" s="4"/>
      <c r="N24" s="4"/>
      <c r="O24" s="4"/>
      <c r="P24" s="4"/>
      <c r="Q24" s="4"/>
      <c r="R24" s="88"/>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x14ac:dyDescent="0.25">
      <c r="A25" s="5" t="str">
        <f ca="1">IFERROR(__xludf.DUMMYFUNCTION("""COMPUTED_VALUE"""),"No")</f>
        <v>No</v>
      </c>
      <c r="B25" s="96"/>
      <c r="C25" s="96"/>
      <c r="D25" s="5" t="str">
        <f ca="1">IFERROR(__xludf.DUMMYFUNCTION("""COMPUTED_VALUE"""),"Language")</f>
        <v>Language</v>
      </c>
      <c r="E25" s="97" t="str">
        <f ca="1">IFERROR(__xludf.DUMMYFUNCTION("""COMPUTED_VALUE"""),"0:1")</f>
        <v>0:1</v>
      </c>
      <c r="F25" s="96"/>
      <c r="G25" s="96"/>
      <c r="H25" s="7" t="str">
        <f ca="1">IFERROR(__xludf.DUMMYFUNCTION("""COMPUTED_VALUE"""),"String")</f>
        <v>String</v>
      </c>
      <c r="I25" s="15" t="s">
        <v>49</v>
      </c>
      <c r="J25" s="4"/>
      <c r="K25" s="4"/>
      <c r="L25" s="4"/>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row>
    <row r="26" spans="1:48" ht="12.5" x14ac:dyDescent="0.25">
      <c r="A26" s="5" t="str">
        <f ca="1">IFERROR(__xludf.DUMMYFUNCTION("""COMPUTED_VALUE"""),"No")</f>
        <v>No</v>
      </c>
      <c r="B26" s="96"/>
      <c r="C26" s="96"/>
      <c r="D26" s="5" t="str">
        <f ca="1">IFERROR(__xludf.DUMMYFUNCTION("""COMPUTED_VALUE"""),"Software")</f>
        <v>Software</v>
      </c>
      <c r="E26" s="97" t="str">
        <f ca="1">IFERROR(__xludf.DUMMYFUNCTION("""COMPUTED_VALUE"""),"0:1")</f>
        <v>0:1</v>
      </c>
      <c r="F26" s="96"/>
      <c r="G26" s="96"/>
      <c r="H26" s="7" t="str">
        <f ca="1">IFERROR(__xludf.DUMMYFUNCTION("""COMPUTED_VALUE"""),"String")</f>
        <v>String</v>
      </c>
      <c r="I26" s="15" t="s">
        <v>47</v>
      </c>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x14ac:dyDescent="0.25">
      <c r="A27" s="5" t="str">
        <f ca="1">IFERROR(__xludf.DUMMYFUNCTION("""COMPUTED_VALUE"""),"No")</f>
        <v>No</v>
      </c>
      <c r="B27" s="96"/>
      <c r="C27" s="96"/>
      <c r="D27" s="5" t="str">
        <f ca="1">IFERROR(__xludf.DUMMYFUNCTION("""COMPUTED_VALUE"""),"Language written in")</f>
        <v>Language written in</v>
      </c>
      <c r="E27" s="97" t="str">
        <f ca="1">IFERROR(__xludf.DUMMYFUNCTION("""COMPUTED_VALUE"""),"0:1")</f>
        <v>0:1</v>
      </c>
      <c r="F27" s="96"/>
      <c r="G27" s="96"/>
      <c r="H27" s="7" t="str">
        <f ca="1">IFERROR(__xludf.DUMMYFUNCTION("""COMPUTED_VALUE"""),"String")</f>
        <v>String</v>
      </c>
      <c r="I27" s="15" t="s">
        <v>48</v>
      </c>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x14ac:dyDescent="0.25">
      <c r="A28" s="5" t="str">
        <f ca="1">IFERROR(__xludf.DUMMYFUNCTION("""COMPUTED_VALUE"""),"No")</f>
        <v>No</v>
      </c>
      <c r="B28" s="96"/>
      <c r="C28" s="96"/>
      <c r="D28" s="97" t="str">
        <f ca="1">IFERROR(__xludf.DUMMYFUNCTION("""COMPUTED_VALUE"""),"Model category")</f>
        <v>Model category</v>
      </c>
      <c r="E28" s="97" t="str">
        <f ca="1">IFERROR(__xludf.DUMMYFUNCTION("""COMPUTED_VALUE"""),"0:1")</f>
        <v>0:1</v>
      </c>
      <c r="F28" s="7" t="str">
        <f ca="1">IFERROR(__xludf.DUMMYFUNCTION("""COMPUTED_VALUE"""),"Model Class")</f>
        <v>Model Class</v>
      </c>
      <c r="G28" s="5" t="str">
        <f ca="1">IFERROR(__xludf.DUMMYFUNCTION("""COMPUTED_VALUE"""),"1")</f>
        <v>1</v>
      </c>
      <c r="H28" s="7" t="str">
        <f ca="1">IFERROR(__xludf.DUMMYFUNCTION("""COMPUTED_VALUE"""),"String")</f>
        <v>String</v>
      </c>
      <c r="I28" s="19" t="s">
        <v>46</v>
      </c>
      <c r="J28" s="4"/>
      <c r="K28" s="4"/>
      <c r="L28" s="4"/>
      <c r="M28" s="4"/>
      <c r="N28" s="4"/>
      <c r="O28" s="4"/>
      <c r="P28" s="4"/>
      <c r="Q28" s="4"/>
      <c r="R28" s="4"/>
      <c r="S28" s="4"/>
      <c r="T28" s="4"/>
      <c r="U28" s="4"/>
      <c r="V28" s="4"/>
      <c r="W28" s="4"/>
      <c r="X28" s="4"/>
      <c r="Y28" s="4"/>
      <c r="Z28" s="4"/>
    </row>
    <row r="29" spans="1:48" ht="12.5" x14ac:dyDescent="0.25">
      <c r="A29" s="5" t="str">
        <f ca="1">IFERROR(__xludf.DUMMYFUNCTION("""COMPUTED_VALUE"""),"No")</f>
        <v>No</v>
      </c>
      <c r="B29" s="96"/>
      <c r="C29" s="96"/>
      <c r="D29" s="96"/>
      <c r="E29" s="96"/>
      <c r="F29" s="7" t="str">
        <f ca="1">IFERROR(__xludf.DUMMYFUNCTION("""COMPUTED_VALUE"""),"Model Sub-Class")</f>
        <v>Model Sub-Class</v>
      </c>
      <c r="G29" s="5" t="str">
        <f ca="1">IFERROR(__xludf.DUMMYFUNCTION("""COMPUTED_VALUE"""),"0:N")</f>
        <v>0:N</v>
      </c>
      <c r="H29" s="7" t="str">
        <f ca="1">IFERROR(__xludf.DUMMYFUNCTION("""COMPUTED_VALUE"""),"String")</f>
        <v>String</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x14ac:dyDescent="0.25">
      <c r="A30" s="5" t="str">
        <f ca="1">IFERROR(__xludf.DUMMYFUNCTION("""COMPUTED_VALUE"""),"No")</f>
        <v>No</v>
      </c>
      <c r="B30" s="96"/>
      <c r="C30" s="96"/>
      <c r="D30" s="96"/>
      <c r="E30" s="96"/>
      <c r="F30" s="7" t="str">
        <f ca="1">IFERROR(__xludf.DUMMYFUNCTION("""COMPUTED_VALUE"""),"Model Class comment")</f>
        <v>Model Class comment</v>
      </c>
      <c r="G30" s="5" t="str">
        <f ca="1">IFERROR(__xludf.DUMMYFUNCTION("""COMPUTED_VALUE"""),"0:1")</f>
        <v>0:1</v>
      </c>
      <c r="H30" s="7" t="str">
        <f ca="1">IFERROR(__xludf.DUMMYFUNCTION("""COMPUTED_VALUE"""),"String")</f>
        <v>String</v>
      </c>
      <c r="I30" s="10"/>
      <c r="J30" s="4"/>
    </row>
    <row r="31" spans="1:48" ht="12.5" x14ac:dyDescent="0.25">
      <c r="A31" s="5" t="str">
        <f ca="1">IFERROR(__xludf.DUMMYFUNCTION("""COMPUTED_VALUE"""),"No")</f>
        <v>No</v>
      </c>
      <c r="B31" s="96"/>
      <c r="C31" s="96"/>
      <c r="D31" s="96"/>
      <c r="E31" s="96"/>
      <c r="F31" s="7" t="str">
        <f ca="1">IFERROR(__xludf.DUMMYFUNCTION("""COMPUTED_VALUE"""),"Basic process")</f>
        <v>Basic process</v>
      </c>
      <c r="G31" s="5" t="str">
        <f ca="1">IFERROR(__xludf.DUMMYFUNCTION("""COMPUTED_VALUE"""),"0:N")</f>
        <v>0:N</v>
      </c>
      <c r="H31" s="7" t="str">
        <f ca="1">IFERROR(__xludf.DUMMYFUNCTION("""COMPUTED_VALUE"""),"String")</f>
        <v>String</v>
      </c>
      <c r="I31" s="10"/>
      <c r="J31" s="4"/>
    </row>
    <row r="32" spans="1:48" ht="12.5" x14ac:dyDescent="0.25">
      <c r="A32" s="5" t="str">
        <f ca="1">IFERROR(__xludf.DUMMYFUNCTION("""COMPUTED_VALUE"""),"No")</f>
        <v>No</v>
      </c>
      <c r="B32" s="96"/>
      <c r="C32" s="96"/>
      <c r="D32" s="96"/>
      <c r="E32" s="96"/>
      <c r="F32" s="7"/>
      <c r="G32" s="5"/>
      <c r="H32" s="7"/>
      <c r="I32" s="15"/>
      <c r="J32" s="4"/>
    </row>
    <row r="33" spans="1:48" ht="12.5" x14ac:dyDescent="0.25">
      <c r="A33" s="5" t="str">
        <f ca="1">IFERROR(__xludf.DUMMYFUNCTION("""COMPUTED_VALUE"""),"No")</f>
        <v>No</v>
      </c>
      <c r="B33" s="96"/>
      <c r="C33" s="96"/>
      <c r="D33" s="5" t="str">
        <f ca="1">IFERROR(__xludf.DUMMYFUNCTION("""COMPUTED_VALUE"""),"Status")</f>
        <v>Status</v>
      </c>
      <c r="E33" s="97" t="str">
        <f ca="1">IFERROR(__xludf.DUMMYFUNCTION("""COMPUTED_VALUE"""),"0:1")</f>
        <v>0:1</v>
      </c>
      <c r="F33" s="96"/>
      <c r="G33" s="96"/>
      <c r="H33" s="7" t="str">
        <f ca="1">IFERROR(__xludf.DUMMYFUNCTION("""COMPUTED_VALUE"""),"String")</f>
        <v>String</v>
      </c>
      <c r="I33" s="89" t="s">
        <v>109</v>
      </c>
      <c r="J33" s="4"/>
      <c r="K33" s="4"/>
      <c r="L33" s="8"/>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x14ac:dyDescent="0.25">
      <c r="A34" s="5" t="str">
        <f ca="1">IFERROR(__xludf.DUMMYFUNCTION("""COMPUTED_VALUE"""),"No")</f>
        <v>No</v>
      </c>
      <c r="B34" s="96"/>
      <c r="C34" s="96"/>
      <c r="D34" s="5" t="str">
        <f ca="1">IFERROR(__xludf.DUMMYFUNCTION("""COMPUTED_VALUE"""),"Objective")</f>
        <v>Objective</v>
      </c>
      <c r="E34" s="97" t="str">
        <f ca="1">IFERROR(__xludf.DUMMYFUNCTION("""COMPUTED_VALUE"""),"0:1")</f>
        <v>0:1</v>
      </c>
      <c r="F34" s="96"/>
      <c r="G34" s="96"/>
      <c r="H34" s="7" t="str">
        <f ca="1">IFERROR(__xludf.DUMMYFUNCTION("""COMPUTED_VALUE"""),"String")</f>
        <v>String</v>
      </c>
      <c r="I34" s="89" t="s">
        <v>110</v>
      </c>
      <c r="J34" s="4"/>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row>
    <row r="35" spans="1:48" ht="12.5" x14ac:dyDescent="0.25">
      <c r="A35" s="5" t="str">
        <f ca="1">IFERROR(__xludf.DUMMYFUNCTION("""COMPUTED_VALUE"""),"No")</f>
        <v>No</v>
      </c>
      <c r="B35" s="96"/>
      <c r="C35" s="96"/>
      <c r="D35" s="5" t="str">
        <f ca="1">IFERROR(__xludf.DUMMYFUNCTION("""COMPUTED_VALUE"""),"Description")</f>
        <v>Description</v>
      </c>
      <c r="E35" s="97" t="str">
        <f ca="1">IFERROR(__xludf.DUMMYFUNCTION("""COMPUTED_VALUE"""),"0:1")</f>
        <v>0:1</v>
      </c>
      <c r="F35" s="96"/>
      <c r="G35" s="96"/>
      <c r="H35" s="7" t="str">
        <f ca="1">IFERROR(__xludf.DUMMYFUNCTION("""COMPUTED_VALUE"""),"String")</f>
        <v>String</v>
      </c>
      <c r="I35" s="89" t="s">
        <v>111</v>
      </c>
      <c r="J35" s="4"/>
      <c r="K35" s="4"/>
      <c r="L35" s="8"/>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x14ac:dyDescent="0.25">
      <c r="A36" s="5" t="str">
        <f ca="1">IFERROR(__xludf.DUMMYFUNCTION("""COMPUTED_VALUE"""),"Yes")</f>
        <v>Yes</v>
      </c>
      <c r="B36" s="95" t="str">
        <f ca="1">IFERROR(__xludf.DUMMYFUNCTION("""COMPUTED_VALUE"""),"Scope")</f>
        <v>Scope</v>
      </c>
      <c r="C36" s="95" t="str">
        <f ca="1">IFERROR(__xludf.DUMMYFUNCTION("""COMPUTED_VALUE"""),"1")</f>
        <v>1</v>
      </c>
      <c r="D36" s="97" t="str">
        <f ca="1">IFERROR(__xludf.DUMMYFUNCTION("""COMPUTED_VALUE"""),"Product / matrix")</f>
        <v>Product / matrix</v>
      </c>
      <c r="E36" s="97" t="str">
        <f ca="1">IFERROR(__xludf.DUMMYFUNCTION("""COMPUTED_VALUE"""),"0:N")</f>
        <v>0:N</v>
      </c>
      <c r="F36" s="5" t="str">
        <f ca="1">IFERROR(__xludf.DUMMYFUNCTION("""COMPUTED_VALUE"""),"Product/matrix name")</f>
        <v>Product/matrix name</v>
      </c>
      <c r="G36" s="5" t="str">
        <f ca="1">IFERROR(__xludf.DUMMYFUNCTION("""COMPUTED_VALUE"""),"1")</f>
        <v>1</v>
      </c>
      <c r="H36" s="7" t="str">
        <f ca="1">IFERROR(__xludf.DUMMYFUNCTION("""COMPUTED_VALUE"""),"String")</f>
        <v>String</v>
      </c>
      <c r="I36" s="13"/>
      <c r="J36" s="4"/>
      <c r="K36" s="99" t="str">
        <f ca="1">D36</f>
        <v>Product / matrix</v>
      </c>
      <c r="L36" s="96"/>
      <c r="M36" s="96"/>
      <c r="N36" s="96"/>
      <c r="O36" s="96"/>
      <c r="P36" s="96"/>
      <c r="Q36" s="96"/>
      <c r="R36" s="96"/>
      <c r="S36" s="96"/>
      <c r="T36" s="96"/>
      <c r="U36" s="96"/>
      <c r="V36" s="99" t="str">
        <f ca="1">D47</f>
        <v>Hazard</v>
      </c>
      <c r="W36" s="96"/>
      <c r="X36" s="96"/>
      <c r="Y36" s="96"/>
      <c r="Z36" s="96"/>
      <c r="AA36" s="96"/>
      <c r="AB36" s="96"/>
      <c r="AC36" s="96"/>
      <c r="AD36" s="96"/>
      <c r="AE36" s="96"/>
      <c r="AF36" s="96"/>
      <c r="AG36" s="96"/>
      <c r="AH36" s="96"/>
      <c r="AI36" s="96"/>
      <c r="AJ36" s="99" t="str">
        <f ca="1">D61</f>
        <v>Population Group</v>
      </c>
      <c r="AK36" s="96"/>
      <c r="AL36" s="96"/>
      <c r="AM36" s="96"/>
      <c r="AN36" s="96"/>
      <c r="AO36" s="96"/>
      <c r="AP36" s="96"/>
      <c r="AQ36" s="96"/>
      <c r="AR36" s="96"/>
      <c r="AS36" s="96"/>
      <c r="AT36" s="96"/>
      <c r="AU36" s="96"/>
      <c r="AV36" s="96"/>
    </row>
    <row r="37" spans="1:48" ht="12.5" x14ac:dyDescent="0.25">
      <c r="A37" s="5" t="str">
        <f ca="1">IFERROR(__xludf.DUMMYFUNCTION("""COMPUTED_VALUE"""),"Yes")</f>
        <v>Yes</v>
      </c>
      <c r="B37" s="96"/>
      <c r="C37" s="96"/>
      <c r="D37" s="96"/>
      <c r="E37" s="96"/>
      <c r="F37" s="20" t="str">
        <f ca="1">IFERROR(__xludf.DUMMYFUNCTION("""COMPUTED_VALUE"""),"Product/matrix description")</f>
        <v>Product/matrix description</v>
      </c>
      <c r="G37" s="5" t="str">
        <f ca="1">IFERROR(__xludf.DUMMYFUNCTION("""COMPUTED_VALUE"""),"0:1")</f>
        <v>0:1</v>
      </c>
      <c r="H37" s="7" t="str">
        <f ca="1">IFERROR(__xludf.DUMMYFUNCTION("""COMPUTED_VALUE"""),"String")</f>
        <v>String</v>
      </c>
      <c r="I37" s="13"/>
      <c r="J37" s="4"/>
      <c r="K37" s="5" t="str">
        <f ca="1">F36</f>
        <v>Product/matrix name</v>
      </c>
      <c r="L37" s="20" t="str">
        <f ca="1">F37</f>
        <v>Product/matrix description</v>
      </c>
      <c r="M37" s="5" t="str">
        <f ca="1">F38</f>
        <v>Product/matrix unit</v>
      </c>
      <c r="N37" s="7" t="str">
        <f ca="1">F39</f>
        <v>Method of production</v>
      </c>
      <c r="O37" s="7" t="str">
        <f ca="1">F40</f>
        <v>Packaging</v>
      </c>
      <c r="P37" s="7" t="str">
        <f ca="1">F41</f>
        <v>Product treatment</v>
      </c>
      <c r="Q37" s="7" t="str">
        <f ca="1">F42</f>
        <v>Country of origin</v>
      </c>
      <c r="R37" s="7" t="str">
        <f ca="1">F43</f>
        <v>Area of origin</v>
      </c>
      <c r="S37" s="7" t="str">
        <f ca="1">F44</f>
        <v>Fisheries area</v>
      </c>
      <c r="T37" s="7" t="str">
        <f ca="1">F45</f>
        <v>Date of production</v>
      </c>
      <c r="U37" s="7" t="str">
        <f ca="1">F46</f>
        <v>Date of expiry</v>
      </c>
      <c r="V37" s="7" t="str">
        <f ca="1">F47</f>
        <v>Hazard type</v>
      </c>
      <c r="W37" s="7" t="str">
        <f ca="1">F48</f>
        <v>Hazard name</v>
      </c>
      <c r="X37" s="7" t="str">
        <f ca="1">F49</f>
        <v>Hazard description</v>
      </c>
      <c r="Y37" s="5" t="str">
        <f ca="1">F50</f>
        <v>Hazard unit</v>
      </c>
      <c r="Z37" s="5" t="str">
        <f ca="1">F51</f>
        <v>Adverse effect</v>
      </c>
      <c r="AA37" s="5" t="str">
        <f ca="1">F52</f>
        <v>Source of contamination</v>
      </c>
      <c r="AB37" s="5" t="str">
        <f ca="1">F53</f>
        <v>Benchmark Dose (BMD)</v>
      </c>
      <c r="AC37" s="7" t="str">
        <f ca="1">F54</f>
        <v>Maximum Residue Limit (MRL)</v>
      </c>
      <c r="AD37" s="7" t="str">
        <f ca="1">F55</f>
        <v>No Observed Adverse Affect Level (NOAEL)</v>
      </c>
      <c r="AE37" s="7" t="str">
        <f ca="1">F56</f>
        <v>Lowest Observed Adverse Effect Level (LOAEL)</v>
      </c>
      <c r="AF37" s="7" t="str">
        <f ca="1">F57</f>
        <v>Acceptable Operator Exposure Level (AOEL)</v>
      </c>
      <c r="AG37" s="7" t="str">
        <f ca="1">F58</f>
        <v>Acute Reference Dose (ARfD)</v>
      </c>
      <c r="AH37" s="7" t="str">
        <f ca="1">F59</f>
        <v>Acceptable Daily Intake (ADI)</v>
      </c>
      <c r="AI37" s="7" t="str">
        <f ca="1">F60</f>
        <v>Hazard ind/sum</v>
      </c>
      <c r="AJ37" s="7" t="str">
        <f ca="1">F61</f>
        <v>Population name</v>
      </c>
      <c r="AK37" s="7" t="str">
        <f ca="1">F62</f>
        <v>Target population</v>
      </c>
      <c r="AL37" s="7" t="str">
        <f ca="1">F63</f>
        <v>Population Span (years)</v>
      </c>
      <c r="AM37" s="7" t="str">
        <f ca="1">F64</f>
        <v>Population description</v>
      </c>
      <c r="AN37" s="7" t="str">
        <f ca="1">F65</f>
        <v>Population age</v>
      </c>
      <c r="AO37" s="7" t="str">
        <f ca="1">F66</f>
        <v>Population gender</v>
      </c>
      <c r="AP37" s="7" t="str">
        <f ca="1">F67</f>
        <v>BMI</v>
      </c>
      <c r="AQ37" s="7" t="str">
        <f ca="1">F68</f>
        <v>Special diet groups</v>
      </c>
      <c r="AR37" s="7" t="str">
        <f ca="1">F69</f>
        <v>Pattern consumption</v>
      </c>
      <c r="AS37" s="7" t="str">
        <f ca="1">F70</f>
        <v>Region</v>
      </c>
      <c r="AT37" s="7" t="str">
        <f ca="1">F71</f>
        <v>Country</v>
      </c>
      <c r="AU37" s="7" t="str">
        <f ca="1">F72</f>
        <v>Risk and population factors</v>
      </c>
      <c r="AV37" s="7" t="str">
        <f ca="1">F73</f>
        <v>Season</v>
      </c>
    </row>
    <row r="38" spans="1:48" ht="12.5" x14ac:dyDescent="0.25">
      <c r="A38" s="5" t="str">
        <f ca="1">IFERROR(__xludf.DUMMYFUNCTION("""COMPUTED_VALUE"""),"Yes")</f>
        <v>Yes</v>
      </c>
      <c r="B38" s="96"/>
      <c r="C38" s="96"/>
      <c r="D38" s="96"/>
      <c r="E38" s="96"/>
      <c r="F38" s="5" t="str">
        <f ca="1">IFERROR(__xludf.DUMMYFUNCTION("""COMPUTED_VALUE"""),"Product/matrix unit")</f>
        <v>Product/matrix unit</v>
      </c>
      <c r="G38" s="5" t="str">
        <f ca="1">IFERROR(__xludf.DUMMYFUNCTION("""COMPUTED_VALUE"""),"1")</f>
        <v>1</v>
      </c>
      <c r="H38" s="7" t="str">
        <f ca="1">IFERROR(__xludf.DUMMYFUNCTION("""COMPUTED_VALUE"""),"String")</f>
        <v>String</v>
      </c>
      <c r="I38" s="13"/>
      <c r="J38" s="4"/>
      <c r="K38" s="8" t="str">
        <f ca="1">G36</f>
        <v>1</v>
      </c>
      <c r="L38" s="8" t="str">
        <f ca="1">G37</f>
        <v>0:1</v>
      </c>
      <c r="M38" s="8" t="str">
        <f ca="1">G38</f>
        <v>1</v>
      </c>
      <c r="N38" s="8" t="str">
        <f ca="1">G39</f>
        <v>0:N</v>
      </c>
      <c r="O38" s="8" t="str">
        <f ca="1">G40</f>
        <v>0:N</v>
      </c>
      <c r="P38" s="8" t="str">
        <f ca="1">G41</f>
        <v>0:N</v>
      </c>
      <c r="Q38" s="8" t="str">
        <f ca="1">G42</f>
        <v>0:1</v>
      </c>
      <c r="R38" s="8" t="str">
        <f ca="1">G43</f>
        <v>0:1</v>
      </c>
      <c r="S38" s="8" t="str">
        <f ca="1">G44</f>
        <v>0:1</v>
      </c>
      <c r="T38" s="8" t="str">
        <f ca="1">G45</f>
        <v>0:1</v>
      </c>
      <c r="U38" s="8" t="str">
        <f ca="1">G46</f>
        <v>0:1</v>
      </c>
      <c r="V38" s="8" t="str">
        <f ca="1">G47</f>
        <v>0:1</v>
      </c>
      <c r="W38" s="8" t="str">
        <f ca="1">G48</f>
        <v>1</v>
      </c>
      <c r="X38" s="8" t="str">
        <f ca="1">G49</f>
        <v>0:1</v>
      </c>
      <c r="Y38" s="8" t="str">
        <f ca="1">G50</f>
        <v>0:1</v>
      </c>
      <c r="Z38" s="8" t="str">
        <f ca="1">G51</f>
        <v>0:1</v>
      </c>
      <c r="AA38" s="8" t="str">
        <f ca="1">G52</f>
        <v>0:1</v>
      </c>
      <c r="AB38" s="8" t="str">
        <f ca="1">G53</f>
        <v>0:1</v>
      </c>
      <c r="AC38" s="8" t="str">
        <f ca="1">G54</f>
        <v>0:1</v>
      </c>
      <c r="AD38" s="8" t="str">
        <f ca="1">G55</f>
        <v>0:1</v>
      </c>
      <c r="AE38" s="8" t="str">
        <f ca="1">G56</f>
        <v>0:1</v>
      </c>
      <c r="AF38" s="8" t="str">
        <f ca="1">G57</f>
        <v>0:1</v>
      </c>
      <c r="AG38" s="8" t="str">
        <f ca="1">G58</f>
        <v>0:1</v>
      </c>
      <c r="AH38" s="8" t="str">
        <f ca="1">G59</f>
        <v>0:1</v>
      </c>
      <c r="AI38" s="8" t="str">
        <f ca="1">G60</f>
        <v>0:1</v>
      </c>
      <c r="AJ38" s="8" t="str">
        <f ca="1">G61</f>
        <v>1</v>
      </c>
      <c r="AK38" s="8" t="str">
        <f ca="1">G62</f>
        <v>0:1</v>
      </c>
      <c r="AL38" s="8" t="str">
        <f ca="1">G63</f>
        <v>0:N</v>
      </c>
      <c r="AM38" s="8" t="str">
        <f ca="1">G64</f>
        <v>0:N</v>
      </c>
      <c r="AN38" s="8" t="str">
        <f ca="1">G65</f>
        <v>0:N</v>
      </c>
      <c r="AO38" s="8" t="str">
        <f ca="1">G66</f>
        <v>0:1</v>
      </c>
      <c r="AP38" s="8" t="str">
        <f ca="1">G67</f>
        <v>0:N</v>
      </c>
      <c r="AQ38" s="8" t="str">
        <f ca="1">G68</f>
        <v>0:N</v>
      </c>
      <c r="AR38" s="8" t="str">
        <f ca="1">G69</f>
        <v>0:N</v>
      </c>
      <c r="AS38" s="8" t="str">
        <f ca="1">G70</f>
        <v>0:N</v>
      </c>
      <c r="AT38" s="8" t="str">
        <f ca="1">G71</f>
        <v>0:N</v>
      </c>
      <c r="AU38" s="8" t="str">
        <f ca="1">G72</f>
        <v>0:N</v>
      </c>
      <c r="AV38" s="8" t="str">
        <f ca="1">G73</f>
        <v>0:N</v>
      </c>
    </row>
    <row r="39" spans="1:48" ht="12.5" x14ac:dyDescent="0.25">
      <c r="A39" s="5" t="str">
        <f ca="1">IFERROR(__xludf.DUMMYFUNCTION("""COMPUTED_VALUE"""),"No")</f>
        <v>No</v>
      </c>
      <c r="B39" s="96"/>
      <c r="C39" s="96"/>
      <c r="D39" s="96"/>
      <c r="E39" s="96"/>
      <c r="F39" s="7" t="str">
        <f ca="1">IFERROR(__xludf.DUMMYFUNCTION("""COMPUTED_VALUE"""),"Method of production")</f>
        <v>Method of production</v>
      </c>
      <c r="G39" s="5" t="str">
        <f ca="1">IFERROR(__xludf.DUMMYFUNCTION("""COMPUTED_VALUE"""),"0:N")</f>
        <v>0:N</v>
      </c>
      <c r="H39" s="7" t="str">
        <f ca="1">IFERROR(__xludf.DUMMYFUNCTION("""COMPUTED_VALUE"""),"String")</f>
        <v>String</v>
      </c>
      <c r="I39" s="13"/>
      <c r="J39" s="4"/>
      <c r="K39" s="89" t="s">
        <v>112</v>
      </c>
      <c r="L39" s="89" t="s">
        <v>113</v>
      </c>
      <c r="M39" s="89" t="s">
        <v>114</v>
      </c>
      <c r="N39" s="89"/>
      <c r="O39" s="89"/>
      <c r="P39" s="89"/>
      <c r="Q39" s="89"/>
      <c r="R39" s="89"/>
      <c r="S39" s="89"/>
      <c r="T39" s="91"/>
      <c r="U39" s="91"/>
      <c r="V39" s="89" t="s">
        <v>115</v>
      </c>
      <c r="W39" s="89" t="s">
        <v>116</v>
      </c>
      <c r="X39" s="89"/>
      <c r="Y39" s="89" t="s">
        <v>117</v>
      </c>
      <c r="Z39" s="84" t="s">
        <v>118</v>
      </c>
      <c r="AA39" s="89"/>
      <c r="AB39" s="10"/>
      <c r="AC39" s="10"/>
      <c r="AD39" s="10"/>
      <c r="AE39" s="10"/>
      <c r="AF39" s="10"/>
      <c r="AG39" s="10"/>
      <c r="AH39" s="10"/>
      <c r="AI39" s="15"/>
      <c r="AJ39" s="10" t="s">
        <v>161</v>
      </c>
      <c r="AK39" s="10"/>
      <c r="AL39" s="10"/>
      <c r="AM39" s="10"/>
      <c r="AN39" s="10"/>
      <c r="AO39" s="10"/>
      <c r="AP39" s="10"/>
      <c r="AQ39" s="10"/>
      <c r="AR39" s="10"/>
      <c r="AS39" s="10"/>
      <c r="AT39" s="10"/>
      <c r="AU39" s="10"/>
      <c r="AV39" s="10"/>
    </row>
    <row r="40" spans="1:48" ht="12.5" x14ac:dyDescent="0.25">
      <c r="A40" s="5" t="str">
        <f ca="1">IFERROR(__xludf.DUMMYFUNCTION("""COMPUTED_VALUE"""),"No")</f>
        <v>No</v>
      </c>
      <c r="B40" s="96"/>
      <c r="C40" s="96"/>
      <c r="D40" s="96"/>
      <c r="E40" s="96"/>
      <c r="F40" s="7" t="str">
        <f ca="1">IFERROR(__xludf.DUMMYFUNCTION("""COMPUTED_VALUE"""),"Packaging")</f>
        <v>Packaging</v>
      </c>
      <c r="G40" s="5" t="str">
        <f ca="1">IFERROR(__xludf.DUMMYFUNCTION("""COMPUTED_VALUE"""),"0:N")</f>
        <v>0:N</v>
      </c>
      <c r="H40" s="7" t="str">
        <f ca="1">IFERROR(__xludf.DUMMYFUNCTION("""COMPUTED_VALUE"""),"String")</f>
        <v>String</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x14ac:dyDescent="0.25">
      <c r="A41" s="5" t="str">
        <f ca="1">IFERROR(__xludf.DUMMYFUNCTION("""COMPUTED_VALUE"""),"No")</f>
        <v>No</v>
      </c>
      <c r="B41" s="96"/>
      <c r="C41" s="96"/>
      <c r="D41" s="96"/>
      <c r="E41" s="96"/>
      <c r="F41" s="7" t="str">
        <f ca="1">IFERROR(__xludf.DUMMYFUNCTION("""COMPUTED_VALUE"""),"Product treatment")</f>
        <v>Product treatment</v>
      </c>
      <c r="G41" s="5" t="str">
        <f ca="1">IFERROR(__xludf.DUMMYFUNCTION("""COMPUTED_VALUE"""),"0:N")</f>
        <v>0:N</v>
      </c>
      <c r="H41" s="7" t="str">
        <f ca="1">IFERROR(__xludf.DUMMYFUNCTION("""COMPUTED_VALUE"""),"String")</f>
        <v>String</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x14ac:dyDescent="0.25">
      <c r="A42" s="5" t="str">
        <f ca="1">IFERROR(__xludf.DUMMYFUNCTION("""COMPUTED_VALUE"""),"No")</f>
        <v>No</v>
      </c>
      <c r="B42" s="96"/>
      <c r="C42" s="96"/>
      <c r="D42" s="96"/>
      <c r="E42" s="96"/>
      <c r="F42" s="7" t="str">
        <f ca="1">IFERROR(__xludf.DUMMYFUNCTION("""COMPUTED_VALUE"""),"Country of origin")</f>
        <v>Country of origin</v>
      </c>
      <c r="G42" s="5" t="str">
        <f ca="1">IFERROR(__xludf.DUMMYFUNCTION("""COMPUTED_VALUE"""),"0:1")</f>
        <v>0:1</v>
      </c>
      <c r="H42" s="7" t="str">
        <f ca="1">IFERROR(__xludf.DUMMYFUNCTION("""COMPUTED_VALUE"""),"String")</f>
        <v>String</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x14ac:dyDescent="0.25">
      <c r="A43" s="5" t="str">
        <f ca="1">IFERROR(__xludf.DUMMYFUNCTION("""COMPUTED_VALUE"""),"No")</f>
        <v>No</v>
      </c>
      <c r="B43" s="96"/>
      <c r="C43" s="96"/>
      <c r="D43" s="96"/>
      <c r="E43" s="96"/>
      <c r="F43" s="7" t="str">
        <f ca="1">IFERROR(__xludf.DUMMYFUNCTION("""COMPUTED_VALUE"""),"Area of origin")</f>
        <v>Area of origin</v>
      </c>
      <c r="G43" s="5" t="str">
        <f ca="1">IFERROR(__xludf.DUMMYFUNCTION("""COMPUTED_VALUE"""),"0:1")</f>
        <v>0:1</v>
      </c>
      <c r="H43" s="7" t="str">
        <f ca="1">IFERROR(__xludf.DUMMYFUNCTION("""COMPUTED_VALUE"""),"String")</f>
        <v>String</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x14ac:dyDescent="0.25">
      <c r="A44" s="5" t="str">
        <f ca="1">IFERROR(__xludf.DUMMYFUNCTION("""COMPUTED_VALUE"""),"No")</f>
        <v>No</v>
      </c>
      <c r="B44" s="96"/>
      <c r="C44" s="96"/>
      <c r="D44" s="96"/>
      <c r="E44" s="96"/>
      <c r="F44" s="7" t="str">
        <f ca="1">IFERROR(__xludf.DUMMYFUNCTION("""COMPUTED_VALUE"""),"Fisheries area")</f>
        <v>Fisheries area</v>
      </c>
      <c r="G44" s="5" t="str">
        <f ca="1">IFERROR(__xludf.DUMMYFUNCTION("""COMPUTED_VALUE"""),"0:1")</f>
        <v>0:1</v>
      </c>
      <c r="H44" s="7" t="str">
        <f ca="1">IFERROR(__xludf.DUMMYFUNCTION("""COMPUTED_VALUE"""),"String")</f>
        <v>String</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x14ac:dyDescent="0.25">
      <c r="A45" s="5" t="str">
        <f ca="1">IFERROR(__xludf.DUMMYFUNCTION("""COMPUTED_VALUE"""),"No")</f>
        <v>No</v>
      </c>
      <c r="B45" s="96"/>
      <c r="C45" s="96"/>
      <c r="D45" s="96"/>
      <c r="E45" s="96"/>
      <c r="F45" s="7" t="str">
        <f ca="1">IFERROR(__xludf.DUMMYFUNCTION("""COMPUTED_VALUE"""),"Date of production")</f>
        <v>Date of production</v>
      </c>
      <c r="G45" s="5" t="str">
        <f ca="1">IFERROR(__xludf.DUMMYFUNCTION("""COMPUTED_VALUE"""),"0:1")</f>
        <v>0:1</v>
      </c>
      <c r="H45" s="7" t="str">
        <f ca="1">IFERROR(__xludf.DUMMYFUNCTION("""COMPUTED_VALUE"""),"Date")</f>
        <v>Date</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x14ac:dyDescent="0.25">
      <c r="A46" s="5" t="str">
        <f ca="1">IFERROR(__xludf.DUMMYFUNCTION("""COMPUTED_VALUE"""),"No")</f>
        <v>No</v>
      </c>
      <c r="B46" s="96"/>
      <c r="C46" s="96"/>
      <c r="D46" s="96"/>
      <c r="E46" s="96"/>
      <c r="F46" s="7" t="str">
        <f ca="1">IFERROR(__xludf.DUMMYFUNCTION("""COMPUTED_VALUE"""),"Date of expiry")</f>
        <v>Date of expiry</v>
      </c>
      <c r="G46" s="5" t="str">
        <f ca="1">IFERROR(__xludf.DUMMYFUNCTION("""COMPUTED_VALUE"""),"0:1")</f>
        <v>0:1</v>
      </c>
      <c r="H46" s="7" t="str">
        <f ca="1">IFERROR(__xludf.DUMMYFUNCTION("""COMPUTED_VALUE"""),"Date")</f>
        <v>Date</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x14ac:dyDescent="0.25">
      <c r="A47" s="5" t="str">
        <f ca="1">IFERROR(__xludf.DUMMYFUNCTION("""COMPUTED_VALUE"""),"No")</f>
        <v>No</v>
      </c>
      <c r="B47" s="96"/>
      <c r="C47" s="96"/>
      <c r="D47" s="97" t="str">
        <f ca="1">IFERROR(__xludf.DUMMYFUNCTION("""COMPUTED_VALUE"""),"Hazard")</f>
        <v>Hazard</v>
      </c>
      <c r="E47" s="97" t="str">
        <f ca="1">IFERROR(__xludf.DUMMYFUNCTION("""COMPUTED_VALUE"""),"0:N")</f>
        <v>0:N</v>
      </c>
      <c r="F47" s="7" t="str">
        <f ca="1">IFERROR(__xludf.DUMMYFUNCTION("""COMPUTED_VALUE"""),"Hazard type")</f>
        <v>Hazard type</v>
      </c>
      <c r="G47" s="5" t="str">
        <f ca="1">IFERROR(__xludf.DUMMYFUNCTION("""COMPUTED_VALUE"""),"0:1")</f>
        <v>0:1</v>
      </c>
      <c r="H47" s="7" t="str">
        <f ca="1">IFERROR(__xludf.DUMMYFUNCTION("""COMPUTED_VALUE"""),"String")</f>
        <v>String</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x14ac:dyDescent="0.25">
      <c r="A48" s="5" t="str">
        <f ca="1">IFERROR(__xludf.DUMMYFUNCTION("""COMPUTED_VALUE"""),"Yes")</f>
        <v>Yes</v>
      </c>
      <c r="B48" s="96"/>
      <c r="C48" s="96"/>
      <c r="D48" s="96"/>
      <c r="E48" s="96"/>
      <c r="F48" s="7" t="str">
        <f ca="1">IFERROR(__xludf.DUMMYFUNCTION("""COMPUTED_VALUE"""),"Hazard name")</f>
        <v>Hazard name</v>
      </c>
      <c r="G48" s="5" t="str">
        <f ca="1">IFERROR(__xludf.DUMMYFUNCTION("""COMPUTED_VALUE"""),"1")</f>
        <v>1</v>
      </c>
      <c r="H48" s="7" t="str">
        <f ca="1">IFERROR(__xludf.DUMMYFUNCTION("""COMPUTED_VALUE"""),"String")</f>
        <v>String</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x14ac:dyDescent="0.25">
      <c r="A49" s="5" t="str">
        <f ca="1">IFERROR(__xludf.DUMMYFUNCTION("""COMPUTED_VALUE"""),"No")</f>
        <v>No</v>
      </c>
      <c r="B49" s="96"/>
      <c r="C49" s="96"/>
      <c r="D49" s="96"/>
      <c r="E49" s="96"/>
      <c r="F49" s="7" t="str">
        <f ca="1">IFERROR(__xludf.DUMMYFUNCTION("""COMPUTED_VALUE"""),"Hazard description")</f>
        <v>Hazard description</v>
      </c>
      <c r="G49" s="5" t="str">
        <f ca="1">IFERROR(__xludf.DUMMYFUNCTION("""COMPUTED_VALUE"""),"0:1")</f>
        <v>0:1</v>
      </c>
      <c r="H49" s="7" t="str">
        <f ca="1">IFERROR(__xludf.DUMMYFUNCTION("""COMPUTED_VALUE"""),"String")</f>
        <v>String</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x14ac:dyDescent="0.25">
      <c r="A50" s="5" t="str">
        <f ca="1">IFERROR(__xludf.DUMMYFUNCTION("""COMPUTED_VALUE"""),"No")</f>
        <v>No</v>
      </c>
      <c r="B50" s="96"/>
      <c r="C50" s="96"/>
      <c r="D50" s="96"/>
      <c r="E50" s="96"/>
      <c r="F50" s="5" t="str">
        <f ca="1">IFERROR(__xludf.DUMMYFUNCTION("""COMPUTED_VALUE"""),"Hazard unit")</f>
        <v>Hazard unit</v>
      </c>
      <c r="G50" s="5" t="str">
        <f ca="1">IFERROR(__xludf.DUMMYFUNCTION("""COMPUTED_VALUE"""),"0:1")</f>
        <v>0:1</v>
      </c>
      <c r="H50" s="7" t="str">
        <f ca="1">IFERROR(__xludf.DUMMYFUNCTION("""COMPUTED_VALUE"""),"String")</f>
        <v>String</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x14ac:dyDescent="0.25">
      <c r="A51" s="5" t="str">
        <f ca="1">IFERROR(__xludf.DUMMYFUNCTION("""COMPUTED_VALUE"""),"No")</f>
        <v>No</v>
      </c>
      <c r="B51" s="96"/>
      <c r="C51" s="96"/>
      <c r="D51" s="96"/>
      <c r="E51" s="96"/>
      <c r="F51" s="5" t="str">
        <f ca="1">IFERROR(__xludf.DUMMYFUNCTION("""COMPUTED_VALUE"""),"Adverse effect")</f>
        <v>Adverse effect</v>
      </c>
      <c r="G51" s="5" t="str">
        <f ca="1">IFERROR(__xludf.DUMMYFUNCTION("""COMPUTED_VALUE"""),"0:1")</f>
        <v>0:1</v>
      </c>
      <c r="H51" s="7" t="str">
        <f ca="1">IFERROR(__xludf.DUMMYFUNCTION("""COMPUTED_VALUE"""),"String")</f>
        <v>String</v>
      </c>
      <c r="I51" s="13"/>
      <c r="J51" s="4"/>
      <c r="K51" s="4"/>
      <c r="L51" s="8"/>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x14ac:dyDescent="0.25">
      <c r="A52" s="5" t="str">
        <f ca="1">IFERROR(__xludf.DUMMYFUNCTION("""COMPUTED_VALUE"""),"No")</f>
        <v>No</v>
      </c>
      <c r="B52" s="96"/>
      <c r="C52" s="96"/>
      <c r="D52" s="96"/>
      <c r="E52" s="96"/>
      <c r="F52" s="5" t="str">
        <f ca="1">IFERROR(__xludf.DUMMYFUNCTION("""COMPUTED_VALUE"""),"Source of contamination")</f>
        <v>Source of contamination</v>
      </c>
      <c r="G52" s="5" t="str">
        <f ca="1">IFERROR(__xludf.DUMMYFUNCTION("""COMPUTED_VALUE"""),"0:1")</f>
        <v>0:1</v>
      </c>
      <c r="H52" s="7" t="str">
        <f ca="1">IFERROR(__xludf.DUMMYFUNCTION("""COMPUTED_VALUE"""),"String")</f>
        <v>String</v>
      </c>
      <c r="I52" s="13"/>
      <c r="J52" s="4"/>
      <c r="K52" s="4"/>
      <c r="L52" s="8"/>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x14ac:dyDescent="0.25">
      <c r="A53" s="5" t="str">
        <f ca="1">IFERROR(__xludf.DUMMYFUNCTION("""COMPUTED_VALUE"""),"No")</f>
        <v>No</v>
      </c>
      <c r="B53" s="96"/>
      <c r="C53" s="96"/>
      <c r="D53" s="96"/>
      <c r="E53" s="96"/>
      <c r="F53" s="5" t="str">
        <f ca="1">IFERROR(__xludf.DUMMYFUNCTION("""COMPUTED_VALUE"""),"Benchmark Dose (BMD)")</f>
        <v>Benchmark Dose (BMD)</v>
      </c>
      <c r="G53" s="5" t="str">
        <f ca="1">IFERROR(__xludf.DUMMYFUNCTION("""COMPUTED_VALUE"""),"0:1")</f>
        <v>0:1</v>
      </c>
      <c r="H53" s="7" t="str">
        <f ca="1">IFERROR(__xludf.DUMMYFUNCTION("""COMPUTED_VALUE"""),"String")</f>
        <v>String</v>
      </c>
      <c r="I53" s="13"/>
      <c r="J53" s="4"/>
      <c r="K53" s="4"/>
      <c r="L53" s="8"/>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x14ac:dyDescent="0.25">
      <c r="A54" s="5" t="str">
        <f ca="1">IFERROR(__xludf.DUMMYFUNCTION("""COMPUTED_VALUE"""),"No")</f>
        <v>No</v>
      </c>
      <c r="B54" s="96"/>
      <c r="C54" s="96"/>
      <c r="D54" s="96"/>
      <c r="E54" s="96"/>
      <c r="F54" s="7" t="str">
        <f ca="1">IFERROR(__xludf.DUMMYFUNCTION("""COMPUTED_VALUE"""),"Maximum Residue Limit (MRL)")</f>
        <v>Maximum Residue Limit (MRL)</v>
      </c>
      <c r="G54" s="5" t="str">
        <f ca="1">IFERROR(__xludf.DUMMYFUNCTION("""COMPUTED_VALUE"""),"0:1")</f>
        <v>0:1</v>
      </c>
      <c r="H54" s="7" t="str">
        <f ca="1">IFERROR(__xludf.DUMMYFUNCTION("""COMPUTED_VALUE"""),"String")</f>
        <v>String</v>
      </c>
      <c r="I54" s="13"/>
      <c r="J54" s="4"/>
      <c r="K54" s="4"/>
      <c r="L54" s="8"/>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x14ac:dyDescent="0.25">
      <c r="A55" s="5" t="str">
        <f ca="1">IFERROR(__xludf.DUMMYFUNCTION("""COMPUTED_VALUE"""),"No")</f>
        <v>No</v>
      </c>
      <c r="B55" s="96"/>
      <c r="C55" s="96"/>
      <c r="D55" s="96"/>
      <c r="E55" s="96"/>
      <c r="F55" s="7" t="str">
        <f ca="1">IFERROR(__xludf.DUMMYFUNCTION("""COMPUTED_VALUE"""),"No Observed Adverse Affect Level (NOAEL)")</f>
        <v>No Observed Adverse Affect Level (NOAEL)</v>
      </c>
      <c r="G55" s="5" t="str">
        <f ca="1">IFERROR(__xludf.DUMMYFUNCTION("""COMPUTED_VALUE"""),"0:1")</f>
        <v>0:1</v>
      </c>
      <c r="H55" s="7" t="str">
        <f ca="1">IFERROR(__xludf.DUMMYFUNCTION("""COMPUTED_VALUE"""),"String")</f>
        <v>String</v>
      </c>
      <c r="I55" s="13"/>
      <c r="J55" s="4"/>
      <c r="K55" s="4"/>
      <c r="L55" s="8"/>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x14ac:dyDescent="0.25">
      <c r="A56" s="5" t="str">
        <f ca="1">IFERROR(__xludf.DUMMYFUNCTION("""COMPUTED_VALUE"""),"No")</f>
        <v>No</v>
      </c>
      <c r="B56" s="96"/>
      <c r="C56" s="96"/>
      <c r="D56" s="96"/>
      <c r="E56" s="96"/>
      <c r="F56" s="7" t="str">
        <f ca="1">IFERROR(__xludf.DUMMYFUNCTION("""COMPUTED_VALUE"""),"Lowest Observed Adverse Effect Level (LOAEL)")</f>
        <v>Lowest Observed Adverse Effect Level (LOAEL)</v>
      </c>
      <c r="G56" s="5" t="str">
        <f ca="1">IFERROR(__xludf.DUMMYFUNCTION("""COMPUTED_VALUE"""),"0:1")</f>
        <v>0:1</v>
      </c>
      <c r="H56" s="7" t="str">
        <f ca="1">IFERROR(__xludf.DUMMYFUNCTION("""COMPUTED_VALUE"""),"String")</f>
        <v>String</v>
      </c>
      <c r="I56" s="13"/>
      <c r="J56" s="4"/>
      <c r="K56" s="4"/>
      <c r="L56" s="8"/>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x14ac:dyDescent="0.25">
      <c r="A57" s="5" t="str">
        <f ca="1">IFERROR(__xludf.DUMMYFUNCTION("""COMPUTED_VALUE"""),"No")</f>
        <v>No</v>
      </c>
      <c r="B57" s="96"/>
      <c r="C57" s="96"/>
      <c r="D57" s="96"/>
      <c r="E57" s="96"/>
      <c r="F57" s="7" t="str">
        <f ca="1">IFERROR(__xludf.DUMMYFUNCTION("""COMPUTED_VALUE"""),"Acceptable Operator Exposure Level (AOEL)")</f>
        <v>Acceptable Operator Exposure Level (AOEL)</v>
      </c>
      <c r="G57" s="5" t="str">
        <f ca="1">IFERROR(__xludf.DUMMYFUNCTION("""COMPUTED_VALUE"""),"0:1")</f>
        <v>0:1</v>
      </c>
      <c r="H57" s="7" t="str">
        <f ca="1">IFERROR(__xludf.DUMMYFUNCTION("""COMPUTED_VALUE"""),"String")</f>
        <v>String</v>
      </c>
      <c r="I57" s="13"/>
      <c r="J57" s="4"/>
      <c r="K57" s="4"/>
      <c r="L57" s="8"/>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x14ac:dyDescent="0.25">
      <c r="A58" s="5" t="str">
        <f ca="1">IFERROR(__xludf.DUMMYFUNCTION("""COMPUTED_VALUE"""),"No")</f>
        <v>No</v>
      </c>
      <c r="B58" s="96"/>
      <c r="C58" s="96"/>
      <c r="D58" s="96"/>
      <c r="E58" s="96"/>
      <c r="F58" s="7" t="str">
        <f ca="1">IFERROR(__xludf.DUMMYFUNCTION("""COMPUTED_VALUE"""),"Acute Reference Dose (ARfD)")</f>
        <v>Acute Reference Dose (ARfD)</v>
      </c>
      <c r="G58" s="5" t="str">
        <f ca="1">IFERROR(__xludf.DUMMYFUNCTION("""COMPUTED_VALUE"""),"0:1")</f>
        <v>0:1</v>
      </c>
      <c r="H58" s="7" t="str">
        <f ca="1">IFERROR(__xludf.DUMMYFUNCTION("""COMPUTED_VALUE"""),"String")</f>
        <v>String</v>
      </c>
      <c r="I58" s="13"/>
      <c r="J58" s="4"/>
      <c r="K58" s="4"/>
      <c r="L58" s="8"/>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x14ac:dyDescent="0.25">
      <c r="A59" s="5" t="str">
        <f ca="1">IFERROR(__xludf.DUMMYFUNCTION("""COMPUTED_VALUE"""),"No")</f>
        <v>No</v>
      </c>
      <c r="B59" s="96"/>
      <c r="C59" s="96"/>
      <c r="D59" s="96"/>
      <c r="E59" s="96"/>
      <c r="F59" s="7" t="str">
        <f ca="1">IFERROR(__xludf.DUMMYFUNCTION("""COMPUTED_VALUE"""),"Acceptable Daily Intake (ADI)")</f>
        <v>Acceptable Daily Intake (ADI)</v>
      </c>
      <c r="G59" s="5" t="str">
        <f ca="1">IFERROR(__xludf.DUMMYFUNCTION("""COMPUTED_VALUE"""),"0:1")</f>
        <v>0:1</v>
      </c>
      <c r="H59" s="7" t="str">
        <f ca="1">IFERROR(__xludf.DUMMYFUNCTION("""COMPUTED_VALUE"""),"String")</f>
        <v>String</v>
      </c>
      <c r="I59" s="13"/>
      <c r="J59" s="4"/>
      <c r="K59" s="4"/>
      <c r="L59" s="8"/>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x14ac:dyDescent="0.25">
      <c r="A60" s="5" t="str">
        <f ca="1">IFERROR(__xludf.DUMMYFUNCTION("""COMPUTED_VALUE"""),"No")</f>
        <v>No</v>
      </c>
      <c r="B60" s="96"/>
      <c r="C60" s="96"/>
      <c r="D60" s="96"/>
      <c r="E60" s="96"/>
      <c r="F60" s="7" t="str">
        <f ca="1">IFERROR(__xludf.DUMMYFUNCTION("""COMPUTED_VALUE"""),"Hazard ind/sum")</f>
        <v>Hazard ind/sum</v>
      </c>
      <c r="G60" s="5" t="str">
        <f ca="1">IFERROR(__xludf.DUMMYFUNCTION("""COMPUTED_VALUE"""),"0:1")</f>
        <v>0:1</v>
      </c>
      <c r="H60" s="7" t="str">
        <f ca="1">IFERROR(__xludf.DUMMYFUNCTION("""COMPUTED_VALUE"""),"String")</f>
        <v>String</v>
      </c>
      <c r="I60" s="13"/>
      <c r="J60" s="4"/>
      <c r="K60" s="4"/>
      <c r="L60" s="8"/>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x14ac:dyDescent="0.25">
      <c r="A61" s="5" t="str">
        <f ca="1">IFERROR(__xludf.DUMMYFUNCTION("""COMPUTED_VALUE"""),"No")</f>
        <v>No</v>
      </c>
      <c r="B61" s="96"/>
      <c r="C61" s="96"/>
      <c r="D61" s="97" t="str">
        <f ca="1">IFERROR(__xludf.DUMMYFUNCTION("""COMPUTED_VALUE"""),"Population Group")</f>
        <v>Population Group</v>
      </c>
      <c r="E61" s="97" t="str">
        <f ca="1">IFERROR(__xludf.DUMMYFUNCTION("""COMPUTED_VALUE"""),"0:N")</f>
        <v>0:N</v>
      </c>
      <c r="F61" s="7" t="str">
        <f ca="1">IFERROR(__xludf.DUMMYFUNCTION("""COMPUTED_VALUE"""),"Population name")</f>
        <v>Population name</v>
      </c>
      <c r="G61" s="5" t="str">
        <f ca="1">IFERROR(__xludf.DUMMYFUNCTION("""COMPUTED_VALUE"""),"1")</f>
        <v>1</v>
      </c>
      <c r="H61" s="7" t="str">
        <f ca="1">IFERROR(__xludf.DUMMYFUNCTION("""COMPUTED_VALUE"""),"String")</f>
        <v>String</v>
      </c>
      <c r="I61" s="13"/>
      <c r="J61" s="4"/>
      <c r="K61" s="4"/>
      <c r="L61" s="8"/>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x14ac:dyDescent="0.25">
      <c r="A62" s="5" t="str">
        <f ca="1">IFERROR(__xludf.DUMMYFUNCTION("""COMPUTED_VALUE"""),"No")</f>
        <v>No</v>
      </c>
      <c r="B62" s="96"/>
      <c r="C62" s="96"/>
      <c r="D62" s="96"/>
      <c r="E62" s="96"/>
      <c r="F62" s="7" t="str">
        <f ca="1">IFERROR(__xludf.DUMMYFUNCTION("""COMPUTED_VALUE"""),"Target population")</f>
        <v>Target population</v>
      </c>
      <c r="G62" s="5" t="str">
        <f ca="1">IFERROR(__xludf.DUMMYFUNCTION("""COMPUTED_VALUE"""),"0:1")</f>
        <v>0:1</v>
      </c>
      <c r="H62" s="7" t="str">
        <f ca="1">IFERROR(__xludf.DUMMYFUNCTION("""COMPUTED_VALUE"""),"String")</f>
        <v>String</v>
      </c>
      <c r="I62" s="13"/>
      <c r="J62" s="4"/>
      <c r="K62" s="4"/>
      <c r="L62" s="8"/>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x14ac:dyDescent="0.25">
      <c r="A63" s="5" t="str">
        <f ca="1">IFERROR(__xludf.DUMMYFUNCTION("""COMPUTED_VALUE"""),"No")</f>
        <v>No</v>
      </c>
      <c r="B63" s="96"/>
      <c r="C63" s="96"/>
      <c r="D63" s="96"/>
      <c r="E63" s="96"/>
      <c r="F63" s="7" t="str">
        <f ca="1">IFERROR(__xludf.DUMMYFUNCTION("""COMPUTED_VALUE"""),"Population Span (years)")</f>
        <v>Population Span (years)</v>
      </c>
      <c r="G63" s="5" t="str">
        <f ca="1">IFERROR(__xludf.DUMMYFUNCTION("""COMPUTED_VALUE"""),"0:N")</f>
        <v>0:N</v>
      </c>
      <c r="H63" s="7" t="str">
        <f ca="1">IFERROR(__xludf.DUMMYFUNCTION("""COMPUTED_VALUE"""),"String")</f>
        <v>String</v>
      </c>
      <c r="I63" s="13"/>
      <c r="J63" s="4"/>
      <c r="K63" s="4"/>
      <c r="L63" s="8"/>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x14ac:dyDescent="0.25">
      <c r="A64" s="5" t="str">
        <f ca="1">IFERROR(__xludf.DUMMYFUNCTION("""COMPUTED_VALUE"""),"No")</f>
        <v>No</v>
      </c>
      <c r="B64" s="96"/>
      <c r="C64" s="96"/>
      <c r="D64" s="96"/>
      <c r="E64" s="96"/>
      <c r="F64" s="7" t="str">
        <f ca="1">IFERROR(__xludf.DUMMYFUNCTION("""COMPUTED_VALUE"""),"Population description")</f>
        <v>Population description</v>
      </c>
      <c r="G64" s="5" t="str">
        <f ca="1">IFERROR(__xludf.DUMMYFUNCTION("""COMPUTED_VALUE"""),"0:N")</f>
        <v>0:N</v>
      </c>
      <c r="H64" s="7" t="str">
        <f ca="1">IFERROR(__xludf.DUMMYFUNCTION("""COMPUTED_VALUE"""),"String")</f>
        <v>String</v>
      </c>
      <c r="I64" s="13"/>
      <c r="J64" s="4"/>
      <c r="K64" s="4"/>
      <c r="L64" s="8"/>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x14ac:dyDescent="0.25">
      <c r="A65" s="5" t="str">
        <f ca="1">IFERROR(__xludf.DUMMYFUNCTION("""COMPUTED_VALUE"""),"No")</f>
        <v>No</v>
      </c>
      <c r="B65" s="96"/>
      <c r="C65" s="96"/>
      <c r="D65" s="96"/>
      <c r="E65" s="96"/>
      <c r="F65" s="7" t="str">
        <f ca="1">IFERROR(__xludf.DUMMYFUNCTION("""COMPUTED_VALUE"""),"Population age")</f>
        <v>Population age</v>
      </c>
      <c r="G65" s="5" t="str">
        <f ca="1">IFERROR(__xludf.DUMMYFUNCTION("""COMPUTED_VALUE"""),"0:N")</f>
        <v>0:N</v>
      </c>
      <c r="H65" s="7" t="str">
        <f ca="1">IFERROR(__xludf.DUMMYFUNCTION("""COMPUTED_VALUE"""),"String")</f>
        <v>String</v>
      </c>
      <c r="I65" s="13"/>
      <c r="J65" s="4"/>
      <c r="K65" s="4"/>
      <c r="L65" s="8"/>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x14ac:dyDescent="0.25">
      <c r="A66" s="5" t="str">
        <f ca="1">IFERROR(__xludf.DUMMYFUNCTION("""COMPUTED_VALUE"""),"No")</f>
        <v>No</v>
      </c>
      <c r="B66" s="96"/>
      <c r="C66" s="96"/>
      <c r="D66" s="96"/>
      <c r="E66" s="96"/>
      <c r="F66" s="7" t="str">
        <f ca="1">IFERROR(__xludf.DUMMYFUNCTION("""COMPUTED_VALUE"""),"Population gender")</f>
        <v>Population gender</v>
      </c>
      <c r="G66" s="5" t="str">
        <f ca="1">IFERROR(__xludf.DUMMYFUNCTION("""COMPUTED_VALUE"""),"0:1")</f>
        <v>0:1</v>
      </c>
      <c r="H66" s="7" t="str">
        <f ca="1">IFERROR(__xludf.DUMMYFUNCTION("""COMPUTED_VALUE"""),"String")</f>
        <v>String</v>
      </c>
      <c r="I66" s="13"/>
      <c r="J66" s="4"/>
      <c r="K66" s="4"/>
      <c r="L66" s="8"/>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x14ac:dyDescent="0.25">
      <c r="A67" s="5" t="str">
        <f ca="1">IFERROR(__xludf.DUMMYFUNCTION("""COMPUTED_VALUE"""),"No")</f>
        <v>No</v>
      </c>
      <c r="B67" s="96"/>
      <c r="C67" s="96"/>
      <c r="D67" s="96"/>
      <c r="E67" s="96"/>
      <c r="F67" s="7" t="str">
        <f ca="1">IFERROR(__xludf.DUMMYFUNCTION("""COMPUTED_VALUE"""),"BMI")</f>
        <v>BMI</v>
      </c>
      <c r="G67" s="5" t="str">
        <f ca="1">IFERROR(__xludf.DUMMYFUNCTION("""COMPUTED_VALUE"""),"0:N")</f>
        <v>0:N</v>
      </c>
      <c r="H67" s="7" t="str">
        <f ca="1">IFERROR(__xludf.DUMMYFUNCTION("""COMPUTED_VALUE"""),"String")</f>
        <v>String</v>
      </c>
      <c r="I67" s="13"/>
      <c r="J67" s="4"/>
      <c r="K67" s="4"/>
      <c r="L67" s="8"/>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x14ac:dyDescent="0.25">
      <c r="A68" s="5" t="str">
        <f ca="1">IFERROR(__xludf.DUMMYFUNCTION("""COMPUTED_VALUE"""),"No")</f>
        <v>No</v>
      </c>
      <c r="B68" s="96"/>
      <c r="C68" s="96"/>
      <c r="D68" s="96"/>
      <c r="E68" s="96"/>
      <c r="F68" s="7" t="str">
        <f ca="1">IFERROR(__xludf.DUMMYFUNCTION("""COMPUTED_VALUE"""),"Special diet groups")</f>
        <v>Special diet groups</v>
      </c>
      <c r="G68" s="5" t="str">
        <f ca="1">IFERROR(__xludf.DUMMYFUNCTION("""COMPUTED_VALUE"""),"0:N")</f>
        <v>0:N</v>
      </c>
      <c r="H68" s="7" t="str">
        <f ca="1">IFERROR(__xludf.DUMMYFUNCTION("""COMPUTED_VALUE"""),"String")</f>
        <v>String</v>
      </c>
      <c r="I68" s="13"/>
      <c r="J68" s="4"/>
      <c r="K68" s="4"/>
      <c r="L68" s="8"/>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x14ac:dyDescent="0.25">
      <c r="A69" s="5" t="str">
        <f ca="1">IFERROR(__xludf.DUMMYFUNCTION("""COMPUTED_VALUE"""),"No")</f>
        <v>No</v>
      </c>
      <c r="B69" s="96"/>
      <c r="C69" s="96"/>
      <c r="D69" s="96"/>
      <c r="E69" s="96"/>
      <c r="F69" s="7" t="str">
        <f ca="1">IFERROR(__xludf.DUMMYFUNCTION("""COMPUTED_VALUE"""),"Pattern consumption")</f>
        <v>Pattern consumption</v>
      </c>
      <c r="G69" s="5" t="str">
        <f ca="1">IFERROR(__xludf.DUMMYFUNCTION("""COMPUTED_VALUE"""),"0:N")</f>
        <v>0:N</v>
      </c>
      <c r="H69" s="7" t="str">
        <f ca="1">IFERROR(__xludf.DUMMYFUNCTION("""COMPUTED_VALUE"""),"String")</f>
        <v>String</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x14ac:dyDescent="0.25">
      <c r="A70" s="5" t="str">
        <f ca="1">IFERROR(__xludf.DUMMYFUNCTION("""COMPUTED_VALUE"""),"No")</f>
        <v>No</v>
      </c>
      <c r="B70" s="96"/>
      <c r="C70" s="96"/>
      <c r="D70" s="96"/>
      <c r="E70" s="96"/>
      <c r="F70" s="7" t="str">
        <f ca="1">IFERROR(__xludf.DUMMYFUNCTION("""COMPUTED_VALUE"""),"Region")</f>
        <v>Region</v>
      </c>
      <c r="G70" s="5" t="str">
        <f ca="1">IFERROR(__xludf.DUMMYFUNCTION("""COMPUTED_VALUE"""),"0:N")</f>
        <v>0:N</v>
      </c>
      <c r="H70" s="7" t="str">
        <f ca="1">IFERROR(__xludf.DUMMYFUNCTION("""COMPUTED_VALUE"""),"String")</f>
        <v>String</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x14ac:dyDescent="0.25">
      <c r="A71" s="5" t="str">
        <f ca="1">IFERROR(__xludf.DUMMYFUNCTION("""COMPUTED_VALUE"""),"No")</f>
        <v>No</v>
      </c>
      <c r="B71" s="96"/>
      <c r="C71" s="96"/>
      <c r="D71" s="96"/>
      <c r="E71" s="96"/>
      <c r="F71" s="7" t="str">
        <f ca="1">IFERROR(__xludf.DUMMYFUNCTION("""COMPUTED_VALUE"""),"Country")</f>
        <v>Country</v>
      </c>
      <c r="G71" s="5" t="str">
        <f ca="1">IFERROR(__xludf.DUMMYFUNCTION("""COMPUTED_VALUE"""),"0:N")</f>
        <v>0:N</v>
      </c>
      <c r="H71" s="7" t="str">
        <f ca="1">IFERROR(__xludf.DUMMYFUNCTION("""COMPUTED_VALUE"""),"String")</f>
        <v>String</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x14ac:dyDescent="0.25">
      <c r="A72" s="5" t="str">
        <f ca="1">IFERROR(__xludf.DUMMYFUNCTION("""COMPUTED_VALUE"""),"No")</f>
        <v>No</v>
      </c>
      <c r="B72" s="96"/>
      <c r="C72" s="96"/>
      <c r="D72" s="96"/>
      <c r="E72" s="96"/>
      <c r="F72" s="7" t="str">
        <f ca="1">IFERROR(__xludf.DUMMYFUNCTION("""COMPUTED_VALUE"""),"Risk and population factors")</f>
        <v>Risk and population factors</v>
      </c>
      <c r="G72" s="5" t="str">
        <f ca="1">IFERROR(__xludf.DUMMYFUNCTION("""COMPUTED_VALUE"""),"0:N")</f>
        <v>0:N</v>
      </c>
      <c r="H72" s="7" t="str">
        <f ca="1">IFERROR(__xludf.DUMMYFUNCTION("""COMPUTED_VALUE"""),"String")</f>
        <v>String</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x14ac:dyDescent="0.25">
      <c r="A73" s="5" t="str">
        <f ca="1">IFERROR(__xludf.DUMMYFUNCTION("""COMPUTED_VALUE"""),"No")</f>
        <v>No</v>
      </c>
      <c r="B73" s="96"/>
      <c r="C73" s="96"/>
      <c r="D73" s="96"/>
      <c r="E73" s="96"/>
      <c r="F73" s="7" t="str">
        <f ca="1">IFERROR(__xludf.DUMMYFUNCTION("""COMPUTED_VALUE"""),"Season")</f>
        <v>Season</v>
      </c>
      <c r="G73" s="5" t="str">
        <f ca="1">IFERROR(__xludf.DUMMYFUNCTION("""COMPUTED_VALUE"""),"0:N")</f>
        <v>0:N</v>
      </c>
      <c r="H73" s="7" t="str">
        <f ca="1">IFERROR(__xludf.DUMMYFUNCTION("""COMPUTED_VALUE"""),"String")</f>
        <v>String</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x14ac:dyDescent="0.25">
      <c r="A74" s="5" t="str">
        <f ca="1">IFERROR(__xludf.DUMMYFUNCTION("""COMPUTED_VALUE"""),"No")</f>
        <v>No</v>
      </c>
      <c r="B74" s="96"/>
      <c r="C74" s="96"/>
      <c r="D74" s="5" t="str">
        <f ca="1">IFERROR(__xludf.DUMMYFUNCTION("""COMPUTED_VALUE"""),"General comment")</f>
        <v>General comment</v>
      </c>
      <c r="E74" s="97" t="str">
        <f ca="1">IFERROR(__xludf.DUMMYFUNCTION("""COMPUTED_VALUE"""),"0:1")</f>
        <v>0:1</v>
      </c>
      <c r="F74" s="96"/>
      <c r="G74" s="96"/>
      <c r="H74" s="7" t="str">
        <f ca="1">IFERROR(__xludf.DUMMYFUNCTION("""COMPUTED_VALUE"""),"String")</f>
        <v>String</v>
      </c>
      <c r="I74" s="89" t="s">
        <v>160</v>
      </c>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x14ac:dyDescent="0.25">
      <c r="A75" s="5" t="str">
        <f ca="1">IFERROR(__xludf.DUMMYFUNCTION("""COMPUTED_VALUE"""),"No")</f>
        <v>No</v>
      </c>
      <c r="B75" s="96"/>
      <c r="C75" s="96"/>
      <c r="D75" s="5" t="str">
        <f ca="1">IFERROR(__xludf.DUMMYFUNCTION("""COMPUTED_VALUE"""),"Temporal information")</f>
        <v>Temporal information</v>
      </c>
      <c r="E75" s="5" t="str">
        <f ca="1">IFERROR(__xludf.DUMMYFUNCTION("""COMPUTED_VALUE"""),"0:1")</f>
        <v>0:1</v>
      </c>
      <c r="F75" s="5" t="str">
        <f ca="1">IFERROR(__xludf.DUMMYFUNCTION("""COMPUTED_VALUE"""),"Time")</f>
        <v>Time</v>
      </c>
      <c r="G75" s="5" t="str">
        <f ca="1">IFERROR(__xludf.DUMMYFUNCTION("""COMPUTED_VALUE"""),"1")</f>
        <v>1</v>
      </c>
      <c r="H75" s="7" t="str">
        <f ca="1">IFERROR(__xludf.DUMMYFUNCTION("""COMPUTED_VALUE"""),"String")</f>
        <v>String</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x14ac:dyDescent="0.25">
      <c r="A76" s="5" t="str">
        <f ca="1">IFERROR(__xludf.DUMMYFUNCTION("""COMPUTED_VALUE"""),"No")</f>
        <v>No</v>
      </c>
      <c r="B76" s="96"/>
      <c r="C76" s="96"/>
      <c r="D76" s="97" t="str">
        <f ca="1">IFERROR(__xludf.DUMMYFUNCTION("""COMPUTED_VALUE"""),"Spatial information")</f>
        <v>Spatial information</v>
      </c>
      <c r="E76" s="97" t="str">
        <f ca="1">IFERROR(__xludf.DUMMYFUNCTION("""COMPUTED_VALUE"""),"0:1")</f>
        <v>0:1</v>
      </c>
      <c r="F76" s="5" t="str">
        <f ca="1">IFERROR(__xludf.DUMMYFUNCTION("""COMPUTED_VALUE"""),"Region")</f>
        <v>Region</v>
      </c>
      <c r="G76" s="5" t="str">
        <f ca="1">IFERROR(__xludf.DUMMYFUNCTION("""COMPUTED_VALUE"""),"0:N")</f>
        <v>0:N</v>
      </c>
      <c r="H76" s="7" t="str">
        <f ca="1">IFERROR(__xludf.DUMMYFUNCTION("""COMPUTED_VALUE"""),"String")</f>
        <v>String</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x14ac:dyDescent="0.25">
      <c r="A77" s="5" t="str">
        <f ca="1">IFERROR(__xludf.DUMMYFUNCTION("""COMPUTED_VALUE"""),"No")</f>
        <v>No</v>
      </c>
      <c r="B77" s="96"/>
      <c r="C77" s="96"/>
      <c r="D77" s="96"/>
      <c r="E77" s="96"/>
      <c r="F77" s="5" t="str">
        <f ca="1">IFERROR(__xludf.DUMMYFUNCTION("""COMPUTED_VALUE"""),"Country")</f>
        <v>Country</v>
      </c>
      <c r="G77" s="5" t="str">
        <f ca="1">IFERROR(__xludf.DUMMYFUNCTION("""COMPUTED_VALUE"""),"0:N")</f>
        <v>0:N</v>
      </c>
      <c r="H77" s="7" t="str">
        <f ca="1">IFERROR(__xludf.DUMMYFUNCTION("""COMPUTED_VALUE"""),"String")</f>
        <v>String</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x14ac:dyDescent="0.25">
      <c r="A78" s="5" t="str">
        <f ca="1">IFERROR(__xludf.DUMMYFUNCTION("""COMPUTED_VALUE"""),"No")</f>
        <v>No</v>
      </c>
      <c r="B78" s="95" t="str">
        <f ca="1">IFERROR(__xludf.DUMMYFUNCTION("""COMPUTED_VALUE"""),"Data_background")</f>
        <v>Data_background</v>
      </c>
      <c r="C78" s="95" t="str">
        <f ca="1">IFERROR(__xludf.DUMMYFUNCTION("""COMPUTED_VALUE"""),"0:1")</f>
        <v>0:1</v>
      </c>
      <c r="D78" s="97" t="str">
        <f ca="1">IFERROR(__xludf.DUMMYFUNCTION("""COMPUTED_VALUE"""),"Study")</f>
        <v>Study</v>
      </c>
      <c r="E78" s="97" t="str">
        <f ca="1">IFERROR(__xludf.DUMMYFUNCTION("""COMPUTED_VALUE"""),"1")</f>
        <v>1</v>
      </c>
      <c r="F78" s="7" t="str">
        <f ca="1">IFERROR(__xludf.DUMMYFUNCTION("""COMPUTED_VALUE"""),"Study Identifier")</f>
        <v>Study Identifier</v>
      </c>
      <c r="G78" s="5" t="str">
        <f ca="1">IFERROR(__xludf.DUMMYFUNCTION("""COMPUTED_VALUE"""),"0:1")</f>
        <v>0:1</v>
      </c>
      <c r="H78" s="7" t="str">
        <f ca="1">IFERROR(__xludf.DUMMYFUNCTION("""COMPUTED_VALUE"""),"String")</f>
        <v>String</v>
      </c>
      <c r="I78" s="1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x14ac:dyDescent="0.25">
      <c r="A79" s="5" t="str">
        <f ca="1">IFERROR(__xludf.DUMMYFUNCTION("""COMPUTED_VALUE"""),"No")</f>
        <v>No</v>
      </c>
      <c r="B79" s="96"/>
      <c r="C79" s="96"/>
      <c r="D79" s="96"/>
      <c r="E79" s="96"/>
      <c r="F79" s="7" t="str">
        <f ca="1">IFERROR(__xludf.DUMMYFUNCTION("""COMPUTED_VALUE"""),"Study Title")</f>
        <v>Study Title</v>
      </c>
      <c r="G79" s="5" t="str">
        <f ca="1">IFERROR(__xludf.DUMMYFUNCTION("""COMPUTED_VALUE"""),"1")</f>
        <v>1</v>
      </c>
      <c r="H79" s="7" t="str">
        <f ca="1">IFERROR(__xludf.DUMMYFUNCTION("""COMPUTED_VALUE"""),"String")</f>
        <v>String</v>
      </c>
      <c r="I79" s="1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x14ac:dyDescent="0.25">
      <c r="A80" s="5" t="str">
        <f ca="1">IFERROR(__xludf.DUMMYFUNCTION("""COMPUTED_VALUE"""),"No")</f>
        <v>No</v>
      </c>
      <c r="B80" s="96"/>
      <c r="C80" s="96"/>
      <c r="D80" s="96"/>
      <c r="E80" s="96"/>
      <c r="F80" s="7" t="str">
        <f ca="1">IFERROR(__xludf.DUMMYFUNCTION("""COMPUTED_VALUE"""),"Study Description")</f>
        <v>Study Description</v>
      </c>
      <c r="G80" s="5" t="str">
        <f ca="1">IFERROR(__xludf.DUMMYFUNCTION("""COMPUTED_VALUE"""),"0:1")</f>
        <v>0:1</v>
      </c>
      <c r="H80" s="7" t="str">
        <f ca="1">IFERROR(__xludf.DUMMYFUNCTION("""COMPUTED_VALUE"""),"String")</f>
        <v>String</v>
      </c>
      <c r="I80" s="1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x14ac:dyDescent="0.25">
      <c r="A81" s="5" t="str">
        <f ca="1">IFERROR(__xludf.DUMMYFUNCTION("""COMPUTED_VALUE"""),"No")</f>
        <v>No</v>
      </c>
      <c r="B81" s="96"/>
      <c r="C81" s="96"/>
      <c r="D81" s="96"/>
      <c r="E81" s="96"/>
      <c r="F81" s="7" t="str">
        <f ca="1">IFERROR(__xludf.DUMMYFUNCTION("""COMPUTED_VALUE"""),"Study Design Type")</f>
        <v>Study Design Type</v>
      </c>
      <c r="G81" s="5" t="str">
        <f ca="1">IFERROR(__xludf.DUMMYFUNCTION("""COMPUTED_VALUE"""),"0:1")</f>
        <v>0:1</v>
      </c>
      <c r="H81" s="7" t="str">
        <f ca="1">IFERROR(__xludf.DUMMYFUNCTION("""COMPUTED_VALUE"""),"String")</f>
        <v>String</v>
      </c>
      <c r="I81" s="10"/>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x14ac:dyDescent="0.25">
      <c r="A82" s="5" t="str">
        <f ca="1">IFERROR(__xludf.DUMMYFUNCTION("""COMPUTED_VALUE"""),"No")</f>
        <v>No</v>
      </c>
      <c r="B82" s="96"/>
      <c r="C82" s="96"/>
      <c r="D82" s="96"/>
      <c r="E82" s="96"/>
      <c r="F82" s="7" t="str">
        <f ca="1">IFERROR(__xludf.DUMMYFUNCTION("""COMPUTED_VALUE"""),"Study Assay Measurement Type")</f>
        <v>Study Assay Measurement Type</v>
      </c>
      <c r="G82" s="5" t="str">
        <f ca="1">IFERROR(__xludf.DUMMYFUNCTION("""COMPUTED_VALUE"""),"0:1")</f>
        <v>0:1</v>
      </c>
      <c r="H82" s="7" t="str">
        <f ca="1">IFERROR(__xludf.DUMMYFUNCTION("""COMPUTED_VALUE"""),"String")</f>
        <v>String</v>
      </c>
      <c r="I82" s="10"/>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x14ac:dyDescent="0.25">
      <c r="A83" s="5" t="str">
        <f ca="1">IFERROR(__xludf.DUMMYFUNCTION("""COMPUTED_VALUE"""),"No")</f>
        <v>No</v>
      </c>
      <c r="B83" s="96"/>
      <c r="C83" s="96"/>
      <c r="D83" s="96"/>
      <c r="E83" s="96"/>
      <c r="F83" s="7" t="str">
        <f ca="1">IFERROR(__xludf.DUMMYFUNCTION("""COMPUTED_VALUE"""),"Study Assay Technology Type")</f>
        <v>Study Assay Technology Type</v>
      </c>
      <c r="G83" s="5" t="str">
        <f ca="1">IFERROR(__xludf.DUMMYFUNCTION("""COMPUTED_VALUE"""),"0:1")</f>
        <v>0:1</v>
      </c>
      <c r="H83" s="7" t="str">
        <f ca="1">IFERROR(__xludf.DUMMYFUNCTION("""COMPUTED_VALUE"""),"String")</f>
        <v>String</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x14ac:dyDescent="0.25">
      <c r="A84" s="5" t="str">
        <f ca="1">IFERROR(__xludf.DUMMYFUNCTION("""COMPUTED_VALUE"""),"No")</f>
        <v>No</v>
      </c>
      <c r="B84" s="96"/>
      <c r="C84" s="96"/>
      <c r="D84" s="96"/>
      <c r="E84" s="96"/>
      <c r="F84" s="7" t="str">
        <f ca="1">IFERROR(__xludf.DUMMYFUNCTION("""COMPUTED_VALUE"""),"Study Assay Technology Platform")</f>
        <v>Study Assay Technology Platform</v>
      </c>
      <c r="G84" s="5" t="str">
        <f ca="1">IFERROR(__xludf.DUMMYFUNCTION("""COMPUTED_VALUE"""),"0:1")</f>
        <v>0:1</v>
      </c>
      <c r="H84" s="7" t="str">
        <f ca="1">IFERROR(__xludf.DUMMYFUNCTION("""COMPUTED_VALUE"""),"String")</f>
        <v>String</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x14ac:dyDescent="0.25">
      <c r="A85" s="5" t="str">
        <f ca="1">IFERROR(__xludf.DUMMYFUNCTION("""COMPUTED_VALUE"""),"No")</f>
        <v>No</v>
      </c>
      <c r="B85" s="96"/>
      <c r="C85" s="96"/>
      <c r="D85" s="96"/>
      <c r="E85" s="96"/>
      <c r="F85" s="7" t="str">
        <f ca="1">IFERROR(__xludf.DUMMYFUNCTION("""COMPUTED_VALUE"""),"Accreditation procedure for the assay technology")</f>
        <v>Accreditation procedure for the assay technology</v>
      </c>
      <c r="G85" s="5" t="str">
        <f ca="1">IFERROR(__xludf.DUMMYFUNCTION("""COMPUTED_VALUE"""),"0:1")</f>
        <v>0:1</v>
      </c>
      <c r="H85" s="7" t="str">
        <f ca="1">IFERROR(__xludf.DUMMYFUNCTION("""COMPUTED_VALUE"""),"String")</f>
        <v>String</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x14ac:dyDescent="0.25">
      <c r="A86" s="5" t="str">
        <f ca="1">IFERROR(__xludf.DUMMYFUNCTION("""COMPUTED_VALUE"""),"No")</f>
        <v>No</v>
      </c>
      <c r="B86" s="96"/>
      <c r="C86" s="96"/>
      <c r="D86" s="96"/>
      <c r="E86" s="96"/>
      <c r="F86" s="7" t="str">
        <f ca="1">IFERROR(__xludf.DUMMYFUNCTION("""COMPUTED_VALUE"""),"Study Protocol Name")</f>
        <v>Study Protocol Name</v>
      </c>
      <c r="G86" s="5" t="str">
        <f ca="1">IFERROR(__xludf.DUMMYFUNCTION("""COMPUTED_VALUE"""),"0:1")</f>
        <v>0:1</v>
      </c>
      <c r="H86" s="7" t="str">
        <f ca="1">IFERROR(__xludf.DUMMYFUNCTION("""COMPUTED_VALUE"""),"String")</f>
        <v>String</v>
      </c>
      <c r="I86" s="10"/>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x14ac:dyDescent="0.25">
      <c r="A87" s="5" t="str">
        <f ca="1">IFERROR(__xludf.DUMMYFUNCTION("""COMPUTED_VALUE"""),"No")</f>
        <v>No</v>
      </c>
      <c r="B87" s="96"/>
      <c r="C87" s="96"/>
      <c r="D87" s="96"/>
      <c r="E87" s="96"/>
      <c r="F87" s="7" t="str">
        <f ca="1">IFERROR(__xludf.DUMMYFUNCTION("""COMPUTED_VALUE"""),"Study Protocol Type")</f>
        <v>Study Protocol Type</v>
      </c>
      <c r="G87" s="5" t="str">
        <f ca="1">IFERROR(__xludf.DUMMYFUNCTION("""COMPUTED_VALUE"""),"0:1")</f>
        <v>0:1</v>
      </c>
      <c r="H87" s="7" t="str">
        <f ca="1">IFERROR(__xludf.DUMMYFUNCTION("""COMPUTED_VALUE"""),"String")</f>
        <v>String</v>
      </c>
      <c r="I87" s="10"/>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x14ac:dyDescent="0.25">
      <c r="A88" s="5" t="str">
        <f ca="1">IFERROR(__xludf.DUMMYFUNCTION("""COMPUTED_VALUE"""),"No")</f>
        <v>No</v>
      </c>
      <c r="B88" s="96"/>
      <c r="C88" s="96"/>
      <c r="D88" s="96"/>
      <c r="E88" s="96"/>
      <c r="F88" s="7" t="str">
        <f ca="1">IFERROR(__xludf.DUMMYFUNCTION("""COMPUTED_VALUE"""),"Study Protocol Description")</f>
        <v>Study Protocol Description</v>
      </c>
      <c r="G88" s="5" t="str">
        <f ca="1">IFERROR(__xludf.DUMMYFUNCTION("""COMPUTED_VALUE"""),"0:1")</f>
        <v>0:1</v>
      </c>
      <c r="H88" s="7" t="str">
        <f ca="1">IFERROR(__xludf.DUMMYFUNCTION("""COMPUTED_VALUE"""),"String")</f>
        <v>String</v>
      </c>
      <c r="I88" s="10"/>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x14ac:dyDescent="0.25">
      <c r="A89" s="5" t="str">
        <f ca="1">IFERROR(__xludf.DUMMYFUNCTION("""COMPUTED_VALUE"""),"No")</f>
        <v>No</v>
      </c>
      <c r="B89" s="96"/>
      <c r="C89" s="96"/>
      <c r="D89" s="96"/>
      <c r="E89" s="96"/>
      <c r="F89" s="7" t="str">
        <f ca="1">IFERROR(__xludf.DUMMYFUNCTION("""COMPUTED_VALUE"""),"Study Protocol URI")</f>
        <v>Study Protocol URI</v>
      </c>
      <c r="G89" s="5" t="str">
        <f ca="1">IFERROR(__xludf.DUMMYFUNCTION("""COMPUTED_VALUE"""),"0:1")</f>
        <v>0:1</v>
      </c>
      <c r="H89" s="7" t="str">
        <f ca="1">IFERROR(__xludf.DUMMYFUNCTION("""COMPUTED_VALUE"""),"String")</f>
        <v>String</v>
      </c>
      <c r="I89" s="10"/>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x14ac:dyDescent="0.25">
      <c r="A90" s="5" t="str">
        <f ca="1">IFERROR(__xludf.DUMMYFUNCTION("""COMPUTED_VALUE"""),"No")</f>
        <v>No</v>
      </c>
      <c r="B90" s="96"/>
      <c r="C90" s="96"/>
      <c r="D90" s="96"/>
      <c r="E90" s="96"/>
      <c r="F90" s="7" t="str">
        <f ca="1">IFERROR(__xludf.DUMMYFUNCTION("""COMPUTED_VALUE"""),"Study Protocol Version")</f>
        <v>Study Protocol Version</v>
      </c>
      <c r="G90" s="5" t="str">
        <f ca="1">IFERROR(__xludf.DUMMYFUNCTION("""COMPUTED_VALUE"""),"0:1")</f>
        <v>0:1</v>
      </c>
      <c r="H90" s="7" t="str">
        <f ca="1">IFERROR(__xludf.DUMMYFUNCTION("""COMPUTED_VALUE"""),"String")</f>
        <v>String</v>
      </c>
      <c r="I90" s="10"/>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x14ac:dyDescent="0.25">
      <c r="A91" s="5" t="str">
        <f ca="1">IFERROR(__xludf.DUMMYFUNCTION("""COMPUTED_VALUE"""),"No")</f>
        <v>No</v>
      </c>
      <c r="B91" s="96"/>
      <c r="C91" s="96"/>
      <c r="D91" s="96"/>
      <c r="E91" s="96"/>
      <c r="F91" s="7" t="str">
        <f ca="1">IFERROR(__xludf.DUMMYFUNCTION("""COMPUTED_VALUE"""),"Study Protocol Parameters Name")</f>
        <v>Study Protocol Parameters Name</v>
      </c>
      <c r="G91" s="5" t="str">
        <f ca="1">IFERROR(__xludf.DUMMYFUNCTION("""COMPUTED_VALUE"""),"0:1")</f>
        <v>0:1</v>
      </c>
      <c r="H91" s="7" t="str">
        <f ca="1">IFERROR(__xludf.DUMMYFUNCTION("""COMPUTED_VALUE"""),"String")</f>
        <v>String</v>
      </c>
      <c r="I91" s="10"/>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x14ac:dyDescent="0.25">
      <c r="A92" s="5" t="str">
        <f ca="1">IFERROR(__xludf.DUMMYFUNCTION("""COMPUTED_VALUE"""),"No")</f>
        <v>No</v>
      </c>
      <c r="B92" s="96"/>
      <c r="C92" s="96"/>
      <c r="D92" s="96"/>
      <c r="E92" s="96"/>
      <c r="F92" s="7" t="str">
        <f ca="1">IFERROR(__xludf.DUMMYFUNCTION("""COMPUTED_VALUE"""),"Study Protocol Components Name")</f>
        <v>Study Protocol Components Name</v>
      </c>
      <c r="G92" s="5" t="str">
        <f ca="1">IFERROR(__xludf.DUMMYFUNCTION("""COMPUTED_VALUE"""),"0:1")</f>
        <v>0:1</v>
      </c>
      <c r="H92" s="7" t="str">
        <f ca="1">IFERROR(__xludf.DUMMYFUNCTION("""COMPUTED_VALUE"""),"String")</f>
        <v>String</v>
      </c>
      <c r="I92" s="10"/>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x14ac:dyDescent="0.25">
      <c r="A93" s="5" t="str">
        <f ca="1">IFERROR(__xludf.DUMMYFUNCTION("""COMPUTED_VALUE"""),"No")</f>
        <v>No</v>
      </c>
      <c r="B93" s="96"/>
      <c r="C93" s="96"/>
      <c r="D93" s="96"/>
      <c r="E93" s="96"/>
      <c r="F93" s="7" t="str">
        <f ca="1">IFERROR(__xludf.DUMMYFUNCTION("""COMPUTED_VALUE"""),"Study Protocol Components Type")</f>
        <v>Study Protocol Components Type</v>
      </c>
      <c r="G93" s="5" t="str">
        <f ca="1">IFERROR(__xludf.DUMMYFUNCTION("""COMPUTED_VALUE"""),"0:1")</f>
        <v>0:1</v>
      </c>
      <c r="H93" s="7" t="str">
        <f ca="1">IFERROR(__xludf.DUMMYFUNCTION("""COMPUTED_VALUE"""),"String")</f>
        <v>String</v>
      </c>
      <c r="I93" s="10"/>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x14ac:dyDescent="0.25">
      <c r="A94" s="5" t="str">
        <f ca="1">IFERROR(__xludf.DUMMYFUNCTION("""COMPUTED_VALUE"""),"No")</f>
        <v>No</v>
      </c>
      <c r="B94" s="96"/>
      <c r="C94" s="96"/>
      <c r="D94" s="97" t="str">
        <f ca="1">IFERROR(__xludf.DUMMYFUNCTION("""COMPUTED_VALUE"""),"Study Sample")</f>
        <v>Study Sample</v>
      </c>
      <c r="E94" s="97" t="str">
        <f ca="1">IFERROR(__xludf.DUMMYFUNCTION("""COMPUTED_VALUE"""),"0:N")</f>
        <v>0:N</v>
      </c>
      <c r="F94" s="7" t="str">
        <f ca="1">IFERROR(__xludf.DUMMYFUNCTION("""COMPUTED_VALUE"""),"Sample Name (ID)")</f>
        <v>Sample Name (ID)</v>
      </c>
      <c r="G94" s="5" t="str">
        <f ca="1">IFERROR(__xludf.DUMMYFUNCTION("""COMPUTED_VALUE"""),"1")</f>
        <v>1</v>
      </c>
      <c r="H94" s="7" t="str">
        <f ca="1">IFERROR(__xludf.DUMMYFUNCTION("""COMPUTED_VALUE"""),"String")</f>
        <v>String</v>
      </c>
      <c r="I94" s="13"/>
      <c r="J94" s="4"/>
      <c r="K94" s="4"/>
      <c r="L94" s="99" t="str">
        <f ca="1">D94</f>
        <v>Study Sample</v>
      </c>
      <c r="M94" s="96"/>
      <c r="N94" s="96"/>
      <c r="O94" s="96"/>
      <c r="P94" s="96"/>
      <c r="Q94" s="96"/>
      <c r="R94" s="96"/>
      <c r="S94" s="96"/>
      <c r="T94" s="96"/>
      <c r="U94" s="96"/>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x14ac:dyDescent="0.25">
      <c r="A95" s="5" t="str">
        <f ca="1">IFERROR(__xludf.DUMMYFUNCTION("""COMPUTED_VALUE"""),"No")</f>
        <v>No</v>
      </c>
      <c r="B95" s="96"/>
      <c r="C95" s="96"/>
      <c r="D95" s="96"/>
      <c r="E95" s="96"/>
      <c r="F95" s="7" t="str">
        <f ca="1">IFERROR(__xludf.DUMMYFUNCTION("""COMPUTED_VALUE"""),"Protocol of sample collection")</f>
        <v>Protocol of sample collection</v>
      </c>
      <c r="G95" s="5" t="str">
        <f ca="1">IFERROR(__xludf.DUMMYFUNCTION("""COMPUTED_VALUE"""),"1")</f>
        <v>1</v>
      </c>
      <c r="H95" s="7" t="str">
        <f ca="1">IFERROR(__xludf.DUMMYFUNCTION("""COMPUTED_VALUE"""),"String")</f>
        <v>String</v>
      </c>
      <c r="I95" s="13"/>
      <c r="J95" s="4"/>
      <c r="K95" s="4"/>
      <c r="L95" s="7" t="str">
        <f ca="1">F94</f>
        <v>Sample Name (ID)</v>
      </c>
      <c r="M95" s="7" t="str">
        <f ca="1">F95</f>
        <v>Protocol of sample collection</v>
      </c>
      <c r="N95" s="7" t="str">
        <f ca="1">F96</f>
        <v>Sampling strategy</v>
      </c>
      <c r="O95" s="7" t="str">
        <f ca="1">F97</f>
        <v>Type of sampling program</v>
      </c>
      <c r="P95" s="7" t="str">
        <f ca="1">F98</f>
        <v>Sampling method</v>
      </c>
      <c r="Q95" s="7" t="str">
        <f ca="1">F99</f>
        <v>Sampling plan</v>
      </c>
      <c r="R95" s="7" t="str">
        <f ca="1">F100</f>
        <v>Sampling weight</v>
      </c>
      <c r="S95" s="7" t="str">
        <f ca="1">F101</f>
        <v>Sampling size</v>
      </c>
      <c r="T95" s="7" t="str">
        <f ca="1">F102</f>
        <v>Lot size unit</v>
      </c>
      <c r="U95" s="7" t="str">
        <f ca="1">F103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x14ac:dyDescent="0.25">
      <c r="A96" s="5" t="str">
        <f ca="1">IFERROR(__xludf.DUMMYFUNCTION("""COMPUTED_VALUE"""),"No")</f>
        <v>No</v>
      </c>
      <c r="B96" s="96"/>
      <c r="C96" s="96"/>
      <c r="D96" s="96"/>
      <c r="E96" s="96"/>
      <c r="F96" s="7" t="str">
        <f ca="1">IFERROR(__xludf.DUMMYFUNCTION("""COMPUTED_VALUE"""),"Sampling strategy")</f>
        <v>Sampling strategy</v>
      </c>
      <c r="G96" s="5" t="str">
        <f ca="1">IFERROR(__xludf.DUMMYFUNCTION("""COMPUTED_VALUE"""),"0:1")</f>
        <v>0:1</v>
      </c>
      <c r="H96" s="7" t="str">
        <f ca="1">IFERROR(__xludf.DUMMYFUNCTION("""COMPUTED_VALUE"""),"String")</f>
        <v>String</v>
      </c>
      <c r="I96" s="13"/>
      <c r="J96" s="4"/>
      <c r="K96" s="4"/>
      <c r="L96" s="4" t="str">
        <f ca="1">G94</f>
        <v>1</v>
      </c>
      <c r="M96" s="4" t="str">
        <f ca="1">G95</f>
        <v>1</v>
      </c>
      <c r="N96" s="4" t="str">
        <f ca="1">G96</f>
        <v>0:1</v>
      </c>
      <c r="O96" s="4" t="str">
        <f ca="1">G97</f>
        <v>0:1</v>
      </c>
      <c r="P96" s="4" t="str">
        <f ca="1">G98</f>
        <v>0:1</v>
      </c>
      <c r="Q96" s="4" t="str">
        <f ca="1">G99</f>
        <v>1</v>
      </c>
      <c r="R96" s="4" t="str">
        <f ca="1">G100</f>
        <v>1</v>
      </c>
      <c r="S96" s="4" t="str">
        <f ca="1">G101</f>
        <v>1</v>
      </c>
      <c r="T96" s="4" t="str">
        <f ca="1">G102</f>
        <v>0:1</v>
      </c>
      <c r="U96" s="4" t="str">
        <f ca="1">G103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x14ac:dyDescent="0.25">
      <c r="A97" s="5" t="str">
        <f ca="1">IFERROR(__xludf.DUMMYFUNCTION("""COMPUTED_VALUE"""),"No")</f>
        <v>No</v>
      </c>
      <c r="B97" s="96"/>
      <c r="C97" s="96"/>
      <c r="D97" s="96"/>
      <c r="E97" s="96"/>
      <c r="F97" s="7" t="str">
        <f ca="1">IFERROR(__xludf.DUMMYFUNCTION("""COMPUTED_VALUE"""),"Type of sampling program")</f>
        <v>Type of sampling program</v>
      </c>
      <c r="G97" s="5" t="str">
        <f ca="1">IFERROR(__xludf.DUMMYFUNCTION("""COMPUTED_VALUE"""),"0:1")</f>
        <v>0:1</v>
      </c>
      <c r="H97" s="7" t="str">
        <f ca="1">IFERROR(__xludf.DUMMYFUNCTION("""COMPUTED_VALUE"""),"String")</f>
        <v>String</v>
      </c>
      <c r="I97" s="13"/>
      <c r="J97" s="4"/>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x14ac:dyDescent="0.25">
      <c r="A98" s="5" t="str">
        <f ca="1">IFERROR(__xludf.DUMMYFUNCTION("""COMPUTED_VALUE"""),"No")</f>
        <v>No</v>
      </c>
      <c r="B98" s="96"/>
      <c r="C98" s="96"/>
      <c r="D98" s="96"/>
      <c r="E98" s="96"/>
      <c r="F98" s="7" t="str">
        <f ca="1">IFERROR(__xludf.DUMMYFUNCTION("""COMPUTED_VALUE"""),"Sampling method")</f>
        <v>Sampling method</v>
      </c>
      <c r="G98" s="5" t="str">
        <f ca="1">IFERROR(__xludf.DUMMYFUNCTION("""COMPUTED_VALUE"""),"0:1")</f>
        <v>0:1</v>
      </c>
      <c r="H98" s="7" t="str">
        <f ca="1">IFERROR(__xludf.DUMMYFUNCTION("""COMPUTED_VALUE"""),"String")</f>
        <v>String</v>
      </c>
      <c r="I98" s="13"/>
      <c r="J98" s="4"/>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x14ac:dyDescent="0.25">
      <c r="A99" s="5" t="str">
        <f ca="1">IFERROR(__xludf.DUMMYFUNCTION("""COMPUTED_VALUE"""),"No")</f>
        <v>No</v>
      </c>
      <c r="B99" s="96"/>
      <c r="C99" s="96"/>
      <c r="D99" s="96"/>
      <c r="E99" s="96"/>
      <c r="F99" s="7" t="str">
        <f ca="1">IFERROR(__xludf.DUMMYFUNCTION("""COMPUTED_VALUE"""),"Sampling plan")</f>
        <v>Sampling plan</v>
      </c>
      <c r="G99" s="5" t="str">
        <f ca="1">IFERROR(__xludf.DUMMYFUNCTION("""COMPUTED_VALUE"""),"1")</f>
        <v>1</v>
      </c>
      <c r="H99" s="7" t="str">
        <f ca="1">IFERROR(__xludf.DUMMYFUNCTION("""COMPUTED_VALUE"""),"String")</f>
        <v>String</v>
      </c>
      <c r="I99" s="13"/>
      <c r="J99" s="4"/>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x14ac:dyDescent="0.25">
      <c r="A100" s="5" t="str">
        <f ca="1">IFERROR(__xludf.DUMMYFUNCTION("""COMPUTED_VALUE"""),"No")</f>
        <v>No</v>
      </c>
      <c r="B100" s="96"/>
      <c r="C100" s="96"/>
      <c r="D100" s="96"/>
      <c r="E100" s="96"/>
      <c r="F100" s="7" t="str">
        <f ca="1">IFERROR(__xludf.DUMMYFUNCTION("""COMPUTED_VALUE"""),"Sampling weight")</f>
        <v>Sampling weight</v>
      </c>
      <c r="G100" s="5" t="str">
        <f ca="1">IFERROR(__xludf.DUMMYFUNCTION("""COMPUTED_VALUE"""),"1")</f>
        <v>1</v>
      </c>
      <c r="H100" s="7" t="str">
        <f ca="1">IFERROR(__xludf.DUMMYFUNCTION("""COMPUTED_VALUE"""),"String")</f>
        <v>String</v>
      </c>
      <c r="I100" s="13"/>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x14ac:dyDescent="0.25">
      <c r="A101" s="5" t="str">
        <f ca="1">IFERROR(__xludf.DUMMYFUNCTION("""COMPUTED_VALUE"""),"No")</f>
        <v>No</v>
      </c>
      <c r="B101" s="96"/>
      <c r="C101" s="96"/>
      <c r="D101" s="96"/>
      <c r="E101" s="96"/>
      <c r="F101" s="7" t="str">
        <f ca="1">IFERROR(__xludf.DUMMYFUNCTION("""COMPUTED_VALUE"""),"Sampling size")</f>
        <v>Sampling size</v>
      </c>
      <c r="G101" s="5" t="str">
        <f ca="1">IFERROR(__xludf.DUMMYFUNCTION("""COMPUTED_VALUE"""),"1")</f>
        <v>1</v>
      </c>
      <c r="H101" s="7" t="str">
        <f ca="1">IFERROR(__xludf.DUMMYFUNCTION("""COMPUTED_VALUE"""),"String")</f>
        <v>String</v>
      </c>
      <c r="I101" s="13"/>
      <c r="J101" s="4"/>
      <c r="K101" s="4"/>
      <c r="L101" s="99" t="str">
        <f ca="1">D104</f>
        <v>Dietary assessment method</v>
      </c>
      <c r="M101" s="96"/>
      <c r="N101" s="96"/>
      <c r="O101" s="96"/>
      <c r="P101" s="96"/>
      <c r="Q101" s="96"/>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x14ac:dyDescent="0.25">
      <c r="A102" s="5" t="str">
        <f ca="1">IFERROR(__xludf.DUMMYFUNCTION("""COMPUTED_VALUE"""),"No")</f>
        <v>No</v>
      </c>
      <c r="B102" s="96"/>
      <c r="C102" s="96"/>
      <c r="D102" s="96"/>
      <c r="E102" s="96"/>
      <c r="F102" s="7" t="str">
        <f ca="1">IFERROR(__xludf.DUMMYFUNCTION("""COMPUTED_VALUE"""),"Lot size unit")</f>
        <v>Lot size unit</v>
      </c>
      <c r="G102" s="5" t="str">
        <f ca="1">IFERROR(__xludf.DUMMYFUNCTION("""COMPUTED_VALUE"""),"0:1")</f>
        <v>0:1</v>
      </c>
      <c r="H102" s="7" t="str">
        <f ca="1">IFERROR(__xludf.DUMMYFUNCTION("""COMPUTED_VALUE"""),"String")</f>
        <v>String</v>
      </c>
      <c r="I102" s="13"/>
      <c r="J102" s="4"/>
      <c r="K102" s="4"/>
      <c r="L102" s="7" t="str">
        <f ca="1">F104</f>
        <v>Methodological tool to collect data</v>
      </c>
      <c r="M102" s="7" t="str">
        <f ca="1">F105</f>
        <v>Number of non-consecutive one-day</v>
      </c>
      <c r="N102" s="7" t="str">
        <f ca="1">F106</f>
        <v>Dietary software tool</v>
      </c>
      <c r="O102" s="7" t="str">
        <f ca="1">F107</f>
        <v>Number of food items</v>
      </c>
      <c r="P102" s="7" t="str">
        <f ca="1">F108</f>
        <v>Type of records</v>
      </c>
      <c r="Q102" s="7" t="str">
        <f ca="1">F109</f>
        <v>Food descriptors</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x14ac:dyDescent="0.25">
      <c r="A103" s="5" t="str">
        <f ca="1">IFERROR(__xludf.DUMMYFUNCTION("""COMPUTED_VALUE"""),"No")</f>
        <v>No</v>
      </c>
      <c r="B103" s="96"/>
      <c r="C103" s="96"/>
      <c r="D103" s="96"/>
      <c r="E103" s="96"/>
      <c r="F103" s="7" t="str">
        <f ca="1">IFERROR(__xludf.DUMMYFUNCTION("""COMPUTED_VALUE"""),"Sampling point")</f>
        <v>Sampling point</v>
      </c>
      <c r="G103" s="5" t="str">
        <f ca="1">IFERROR(__xludf.DUMMYFUNCTION("""COMPUTED_VALUE"""),"0:1")</f>
        <v>0:1</v>
      </c>
      <c r="H103" s="7" t="str">
        <f ca="1">IFERROR(__xludf.DUMMYFUNCTION("""COMPUTED_VALUE"""),"String")</f>
        <v>String</v>
      </c>
      <c r="I103" s="13"/>
      <c r="J103" s="4"/>
      <c r="K103" s="4"/>
      <c r="L103" s="4" t="str">
        <f ca="1">G104</f>
        <v>1</v>
      </c>
      <c r="M103" s="4" t="str">
        <f ca="1">G105</f>
        <v>1</v>
      </c>
      <c r="N103" s="4" t="str">
        <f ca="1">G106</f>
        <v>0:1</v>
      </c>
      <c r="O103" s="4" t="str">
        <f ca="1">G107</f>
        <v>1:N</v>
      </c>
      <c r="P103" s="4" t="str">
        <f ca="1">G108</f>
        <v>1:N</v>
      </c>
      <c r="Q103" s="4" t="str">
        <f ca="1">G109</f>
        <v>1:N</v>
      </c>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x14ac:dyDescent="0.25">
      <c r="A104" s="5" t="str">
        <f ca="1">IFERROR(__xludf.DUMMYFUNCTION("""COMPUTED_VALUE"""),"No")</f>
        <v>No</v>
      </c>
      <c r="B104" s="96"/>
      <c r="C104" s="96"/>
      <c r="D104" s="97" t="str">
        <f ca="1">IFERROR(__xludf.DUMMYFUNCTION("""COMPUTED_VALUE"""),"Dietary assessment method")</f>
        <v>Dietary assessment method</v>
      </c>
      <c r="E104" s="97" t="str">
        <f ca="1">IFERROR(__xludf.DUMMYFUNCTION("""COMPUTED_VALUE"""),"0:N")</f>
        <v>0:N</v>
      </c>
      <c r="F104" s="7" t="str">
        <f ca="1">IFERROR(__xludf.DUMMYFUNCTION("""COMPUTED_VALUE"""),"Methodological tool to collect data")</f>
        <v>Methodological tool to collect data</v>
      </c>
      <c r="G104" s="5" t="str">
        <f ca="1">IFERROR(__xludf.DUMMYFUNCTION("""COMPUTED_VALUE"""),"1")</f>
        <v>1</v>
      </c>
      <c r="H104" s="7" t="str">
        <f ca="1">IFERROR(__xludf.DUMMYFUNCTION("""COMPUTED_VALUE"""),"String")</f>
        <v>String</v>
      </c>
      <c r="I104" s="13"/>
      <c r="J104" s="4"/>
      <c r="K104" s="4"/>
      <c r="L104" s="15"/>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x14ac:dyDescent="0.25">
      <c r="A105" s="5" t="str">
        <f ca="1">IFERROR(__xludf.DUMMYFUNCTION("""COMPUTED_VALUE"""),"No")</f>
        <v>No</v>
      </c>
      <c r="B105" s="96"/>
      <c r="C105" s="96"/>
      <c r="D105" s="96"/>
      <c r="E105" s="96"/>
      <c r="F105" s="7" t="str">
        <f ca="1">IFERROR(__xludf.DUMMYFUNCTION("""COMPUTED_VALUE"""),"Number of non-consecutive one-day")</f>
        <v>Number of non-consecutive one-day</v>
      </c>
      <c r="G105" s="5" t="str">
        <f ca="1">IFERROR(__xludf.DUMMYFUNCTION("""COMPUTED_VALUE"""),"1")</f>
        <v>1</v>
      </c>
      <c r="H105" s="7" t="str">
        <f ca="1">IFERROR(__xludf.DUMMYFUNCTION("""COMPUTED_VALUE"""),"String")</f>
        <v>String</v>
      </c>
      <c r="I105" s="13"/>
      <c r="J105" s="4"/>
      <c r="K105" s="4"/>
      <c r="L105" s="15"/>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x14ac:dyDescent="0.25">
      <c r="A106" s="5" t="str">
        <f ca="1">IFERROR(__xludf.DUMMYFUNCTION("""COMPUTED_VALUE"""),"No")</f>
        <v>No</v>
      </c>
      <c r="B106" s="96"/>
      <c r="C106" s="96"/>
      <c r="D106" s="96"/>
      <c r="E106" s="96"/>
      <c r="F106" s="7" t="str">
        <f ca="1">IFERROR(__xludf.DUMMYFUNCTION("""COMPUTED_VALUE"""),"Dietary software tool")</f>
        <v>Dietary software tool</v>
      </c>
      <c r="G106" s="5" t="str">
        <f ca="1">IFERROR(__xludf.DUMMYFUNCTION("""COMPUTED_VALUE"""),"0:1")</f>
        <v>0:1</v>
      </c>
      <c r="H106" s="7" t="str">
        <f ca="1">IFERROR(__xludf.DUMMYFUNCTION("""COMPUTED_VALUE"""),"String")</f>
        <v>String</v>
      </c>
      <c r="I106" s="13"/>
      <c r="J106" s="4"/>
      <c r="K106" s="4"/>
      <c r="L106" s="15"/>
      <c r="M106" s="10"/>
      <c r="N106" s="10"/>
      <c r="O106" s="10"/>
      <c r="P106" s="10"/>
      <c r="Q106" s="10"/>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x14ac:dyDescent="0.25">
      <c r="A107" s="5" t="str">
        <f ca="1">IFERROR(__xludf.DUMMYFUNCTION("""COMPUTED_VALUE"""),"No")</f>
        <v>No</v>
      </c>
      <c r="B107" s="96"/>
      <c r="C107" s="96"/>
      <c r="D107" s="96"/>
      <c r="E107" s="96"/>
      <c r="F107" s="7" t="str">
        <f ca="1">IFERROR(__xludf.DUMMYFUNCTION("""COMPUTED_VALUE"""),"Number of food items")</f>
        <v>Number of food items</v>
      </c>
      <c r="G107" s="5" t="str">
        <f ca="1">IFERROR(__xludf.DUMMYFUNCTION("""COMPUTED_VALUE"""),"1:N")</f>
        <v>1:N</v>
      </c>
      <c r="H107" s="7" t="str">
        <f ca="1">IFERROR(__xludf.DUMMYFUNCTION("""COMPUTED_VALUE"""),"String")</f>
        <v>String</v>
      </c>
      <c r="I107" s="13"/>
      <c r="J107" s="4"/>
      <c r="K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x14ac:dyDescent="0.25">
      <c r="A108" s="5" t="str">
        <f ca="1">IFERROR(__xludf.DUMMYFUNCTION("""COMPUTED_VALUE"""),"No")</f>
        <v>No</v>
      </c>
      <c r="B108" s="96"/>
      <c r="C108" s="96"/>
      <c r="D108" s="96"/>
      <c r="E108" s="96"/>
      <c r="F108" s="7" t="str">
        <f ca="1">IFERROR(__xludf.DUMMYFUNCTION("""COMPUTED_VALUE"""),"Type of records")</f>
        <v>Type of records</v>
      </c>
      <c r="G108" s="5" t="str">
        <f ca="1">IFERROR(__xludf.DUMMYFUNCTION("""COMPUTED_VALUE"""),"1:N")</f>
        <v>1:N</v>
      </c>
      <c r="H108" s="7" t="str">
        <f ca="1">IFERROR(__xludf.DUMMYFUNCTION("""COMPUTED_VALUE"""),"String")</f>
        <v>String</v>
      </c>
      <c r="I108" s="13"/>
      <c r="J108" s="4"/>
      <c r="K108" s="4"/>
      <c r="L108" s="99" t="str">
        <f ca="1">D110</f>
        <v>Laboratory</v>
      </c>
      <c r="M108" s="96"/>
      <c r="N108" s="96"/>
      <c r="P108" s="5" t="str">
        <f ca="1">D156</f>
        <v>Events</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x14ac:dyDescent="0.25">
      <c r="A109" s="5" t="str">
        <f ca="1">IFERROR(__xludf.DUMMYFUNCTION("""COMPUTED_VALUE"""),"No")</f>
        <v>No</v>
      </c>
      <c r="B109" s="96"/>
      <c r="C109" s="96"/>
      <c r="D109" s="96"/>
      <c r="E109" s="96"/>
      <c r="F109" s="7" t="str">
        <f ca="1">IFERROR(__xludf.DUMMYFUNCTION("""COMPUTED_VALUE"""),"Food descriptors")</f>
        <v>Food descriptors</v>
      </c>
      <c r="G109" s="5" t="str">
        <f ca="1">IFERROR(__xludf.DUMMYFUNCTION("""COMPUTED_VALUE"""),"1:N")</f>
        <v>1:N</v>
      </c>
      <c r="H109" s="7" t="str">
        <f ca="1">IFERROR(__xludf.DUMMYFUNCTION("""COMPUTED_VALUE"""),"String")</f>
        <v>String</v>
      </c>
      <c r="I109" s="13"/>
      <c r="J109" s="4"/>
      <c r="K109" s="4"/>
      <c r="L109" s="7" t="str">
        <f ca="1">F110</f>
        <v>Laboratory accreditation</v>
      </c>
      <c r="M109" s="7" t="str">
        <f ca="1">F111</f>
        <v>Laboratory Name</v>
      </c>
      <c r="N109" s="7" t="str">
        <f ca="1">F112</f>
        <v>Laboratory country</v>
      </c>
      <c r="P109" s="4" t="str">
        <f ca="1">E156</f>
        <v>0:N</v>
      </c>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x14ac:dyDescent="0.25">
      <c r="A110" s="5" t="str">
        <f ca="1">IFERROR(__xludf.DUMMYFUNCTION("""COMPUTED_VALUE"""),"No")</f>
        <v>No</v>
      </c>
      <c r="B110" s="96"/>
      <c r="C110" s="96"/>
      <c r="D110" s="97" t="str">
        <f ca="1">IFERROR(__xludf.DUMMYFUNCTION("""COMPUTED_VALUE"""),"Laboratory")</f>
        <v>Laboratory</v>
      </c>
      <c r="E110" s="97" t="str">
        <f ca="1">IFERROR(__xludf.DUMMYFUNCTION("""COMPUTED_VALUE"""),"0:N")</f>
        <v>0:N</v>
      </c>
      <c r="F110" s="7" t="str">
        <f ca="1">IFERROR(__xludf.DUMMYFUNCTION("""COMPUTED_VALUE"""),"Laboratory accreditation")</f>
        <v>Laboratory accreditation</v>
      </c>
      <c r="G110" s="5" t="str">
        <f ca="1">IFERROR(__xludf.DUMMYFUNCTION("""COMPUTED_VALUE"""),"1:N")</f>
        <v>1:N</v>
      </c>
      <c r="H110" s="7" t="str">
        <f ca="1">IFERROR(__xludf.DUMMYFUNCTION("""COMPUTED_VALUE"""),"String")</f>
        <v>String</v>
      </c>
      <c r="I110" s="13"/>
      <c r="J110" s="4"/>
      <c r="K110" s="4"/>
      <c r="L110" s="4" t="str">
        <f ca="1">G110</f>
        <v>1:N</v>
      </c>
      <c r="M110" s="4" t="str">
        <f ca="1">G111</f>
        <v>0:1</v>
      </c>
      <c r="N110" s="4" t="str">
        <f ca="1">G112</f>
        <v>0:1</v>
      </c>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x14ac:dyDescent="0.25">
      <c r="A111" s="5" t="str">
        <f ca="1">IFERROR(__xludf.DUMMYFUNCTION("""COMPUTED_VALUE"""),"No")</f>
        <v>No</v>
      </c>
      <c r="B111" s="96"/>
      <c r="C111" s="96"/>
      <c r="D111" s="96"/>
      <c r="E111" s="96"/>
      <c r="F111" s="7" t="str">
        <f ca="1">IFERROR(__xludf.DUMMYFUNCTION("""COMPUTED_VALUE"""),"Laboratory Name")</f>
        <v>Laboratory Name</v>
      </c>
      <c r="G111" s="5" t="str">
        <f ca="1">IFERROR(__xludf.DUMMYFUNCTION("""COMPUTED_VALUE"""),"0:1")</f>
        <v>0:1</v>
      </c>
      <c r="H111" s="7" t="str">
        <f ca="1">IFERROR(__xludf.DUMMYFUNCTION("""COMPUTED_VALUE"""),"String")</f>
        <v>String</v>
      </c>
      <c r="I111" s="13"/>
      <c r="J111" s="4"/>
      <c r="K111" s="4"/>
      <c r="L111" s="10"/>
      <c r="M111" s="10"/>
      <c r="N111" s="10"/>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x14ac:dyDescent="0.25">
      <c r="A112" s="5" t="str">
        <f ca="1">IFERROR(__xludf.DUMMYFUNCTION("""COMPUTED_VALUE"""),"No")</f>
        <v>No</v>
      </c>
      <c r="B112" s="96"/>
      <c r="C112" s="96"/>
      <c r="D112" s="96"/>
      <c r="E112" s="96"/>
      <c r="F112" s="7" t="str">
        <f ca="1">IFERROR(__xludf.DUMMYFUNCTION("""COMPUTED_VALUE"""),"Laboratory country")</f>
        <v>Laboratory country</v>
      </c>
      <c r="G112" s="5" t="str">
        <f ca="1">IFERROR(__xludf.DUMMYFUNCTION("""COMPUTED_VALUE"""),"0:1")</f>
        <v>0:1</v>
      </c>
      <c r="H112" s="7" t="str">
        <f ca="1">IFERROR(__xludf.DUMMYFUNCTION("""COMPUTED_VALUE"""),"String")</f>
        <v>String</v>
      </c>
      <c r="I112" s="13"/>
      <c r="J112" s="4"/>
      <c r="K112" s="4"/>
      <c r="L112" s="10"/>
      <c r="M112" s="10"/>
      <c r="N112" s="10"/>
      <c r="O112" s="4"/>
      <c r="P112" s="11"/>
      <c r="Q112" s="4"/>
      <c r="R112" s="4"/>
    </row>
    <row r="113" spans="1:48" ht="12.5" x14ac:dyDescent="0.25">
      <c r="A113" s="5" t="str">
        <f ca="1">IFERROR(__xludf.DUMMYFUNCTION("""COMPUTED_VALUE"""),"No")</f>
        <v>No</v>
      </c>
      <c r="B113" s="96"/>
      <c r="C113" s="96"/>
      <c r="D113" s="97" t="str">
        <f ca="1">IFERROR(__xludf.DUMMYFUNCTION("""COMPUTED_VALUE"""),"Assay")</f>
        <v>Assay</v>
      </c>
      <c r="E113" s="97" t="str">
        <f ca="1">IFERROR(__xludf.DUMMYFUNCTION("""COMPUTED_VALUE"""),"0:N")</f>
        <v>0:N</v>
      </c>
      <c r="F113" s="7" t="str">
        <f ca="1">IFERROR(__xludf.DUMMYFUNCTION("""COMPUTED_VALUE"""),"Assay Name")</f>
        <v>Assay Name</v>
      </c>
      <c r="G113" s="5" t="str">
        <f ca="1">IFERROR(__xludf.DUMMYFUNCTION("""COMPUTED_VALUE"""),"1")</f>
        <v>1</v>
      </c>
      <c r="H113" s="7" t="str">
        <f ca="1">IFERROR(__xludf.DUMMYFUNCTION("""COMPUTED_VALUE"""),"String")</f>
        <v>String</v>
      </c>
      <c r="I113" s="13"/>
      <c r="J113" s="4"/>
      <c r="K113" s="4"/>
      <c r="L113" s="10"/>
      <c r="M113" s="10"/>
      <c r="N113" s="10"/>
      <c r="P113" s="11"/>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x14ac:dyDescent="0.25">
      <c r="A114" s="5" t="str">
        <f ca="1">IFERROR(__xludf.DUMMYFUNCTION("""COMPUTED_VALUE"""),"No")</f>
        <v>No</v>
      </c>
      <c r="B114" s="96"/>
      <c r="C114" s="96"/>
      <c r="D114" s="96"/>
      <c r="E114" s="96"/>
      <c r="F114" s="7" t="str">
        <f ca="1">IFERROR(__xludf.DUMMYFUNCTION("""COMPUTED_VALUE"""),"Assay description")</f>
        <v>Assay description</v>
      </c>
      <c r="G114" s="5" t="str">
        <f ca="1">IFERROR(__xludf.DUMMYFUNCTION("""COMPUTED_VALUE"""),"0:1")</f>
        <v>0:1</v>
      </c>
      <c r="H114" s="7" t="str">
        <f ca="1">IFERROR(__xludf.DUMMYFUNCTION("""COMPUTED_VALUE"""),"String")</f>
        <v>String</v>
      </c>
      <c r="I114" s="13"/>
      <c r="J114" s="4"/>
      <c r="K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x14ac:dyDescent="0.25">
      <c r="A115" s="5" t="str">
        <f ca="1">IFERROR(__xludf.DUMMYFUNCTION("""COMPUTED_VALUE"""),"No")</f>
        <v>No</v>
      </c>
      <c r="B115" s="96"/>
      <c r="C115" s="96"/>
      <c r="D115" s="96"/>
      <c r="E115" s="96"/>
      <c r="F115" s="7" t="str">
        <f ca="1">IFERROR(__xludf.DUMMYFUNCTION("""COMPUTED_VALUE"""),"Percentage of moisture")</f>
        <v>Percentage of moisture</v>
      </c>
      <c r="G115" s="5" t="str">
        <f ca="1">IFERROR(__xludf.DUMMYFUNCTION("""COMPUTED_VALUE"""),"0:1")</f>
        <v>0:1</v>
      </c>
      <c r="H115" s="7" t="str">
        <f ca="1">IFERROR(__xludf.DUMMYFUNCTION("""COMPUTED_VALUE"""),"String")</f>
        <v>String</v>
      </c>
      <c r="I115" s="13"/>
      <c r="J115" s="4"/>
      <c r="K115" s="4"/>
      <c r="L115" s="99" t="str">
        <f ca="1">D113</f>
        <v>Assay</v>
      </c>
      <c r="M115" s="96"/>
      <c r="N115" s="96"/>
      <c r="O115" s="96"/>
      <c r="P115" s="96"/>
      <c r="Q115" s="96"/>
      <c r="R115" s="96"/>
      <c r="S115" s="96"/>
      <c r="T115" s="96"/>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row>
    <row r="116" spans="1:48" ht="14" x14ac:dyDescent="0.3">
      <c r="A116" s="5" t="str">
        <f ca="1">IFERROR(__xludf.DUMMYFUNCTION("""COMPUTED_VALUE"""),"No")</f>
        <v>No</v>
      </c>
      <c r="B116" s="96"/>
      <c r="C116" s="96"/>
      <c r="D116" s="96"/>
      <c r="E116" s="96"/>
      <c r="F116" s="7" t="str">
        <f ca="1">IFERROR(__xludf.DUMMYFUNCTION("""COMPUTED_VALUE"""),"Percentage of fat")</f>
        <v>Percentage of fat</v>
      </c>
      <c r="G116" s="5" t="str">
        <f ca="1">IFERROR(__xludf.DUMMYFUNCTION("""COMPUTED_VALUE"""),"0:1")</f>
        <v>0:1</v>
      </c>
      <c r="H116" s="7" t="str">
        <f ca="1">IFERROR(__xludf.DUMMYFUNCTION("""COMPUTED_VALUE"""),"String")</f>
        <v>String</v>
      </c>
      <c r="I116" s="13"/>
      <c r="J116" s="4"/>
      <c r="K116" s="4"/>
      <c r="L116" s="22" t="str">
        <f ca="1">F113</f>
        <v>Assay Name</v>
      </c>
      <c r="M116" s="22" t="str">
        <f ca="1">F114</f>
        <v>Assay description</v>
      </c>
      <c r="N116" s="22" t="str">
        <f ca="1">F115</f>
        <v>Percentage of moisture</v>
      </c>
      <c r="O116" s="18" t="str">
        <f ca="1">F116</f>
        <v>Percentage of fat</v>
      </c>
      <c r="P116" s="18" t="str">
        <f ca="1">F117</f>
        <v>Limit of detection</v>
      </c>
      <c r="Q116" s="18" t="str">
        <f ca="1">F118</f>
        <v>Limit of quantification</v>
      </c>
      <c r="R116" s="18" t="str">
        <f ca="1">F119</f>
        <v>Left-censored data</v>
      </c>
      <c r="S116" s="7" t="str">
        <f ca="1">F120</f>
        <v>Range of contamination</v>
      </c>
      <c r="T116" s="22" t="str">
        <f ca="1">F121</f>
        <v>Uncertainty value</v>
      </c>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x14ac:dyDescent="0.25">
      <c r="A117" s="5" t="str">
        <f ca="1">IFERROR(__xludf.DUMMYFUNCTION("""COMPUTED_VALUE"""),"No")</f>
        <v>No</v>
      </c>
      <c r="B117" s="96"/>
      <c r="C117" s="96"/>
      <c r="D117" s="96"/>
      <c r="E117" s="96"/>
      <c r="F117" s="7" t="str">
        <f ca="1">IFERROR(__xludf.DUMMYFUNCTION("""COMPUTED_VALUE"""),"Limit of detection")</f>
        <v>Limit of detection</v>
      </c>
      <c r="G117" s="5" t="str">
        <f ca="1">IFERROR(__xludf.DUMMYFUNCTION("""COMPUTED_VALUE"""),"0:1")</f>
        <v>0:1</v>
      </c>
      <c r="H117" s="7" t="str">
        <f ca="1">IFERROR(__xludf.DUMMYFUNCTION("""COMPUTED_VALUE"""),"String")</f>
        <v>String</v>
      </c>
      <c r="I117" s="13"/>
      <c r="J117" s="4"/>
      <c r="K117" s="4"/>
      <c r="L117" s="4" t="str">
        <f ca="1">G113</f>
        <v>1</v>
      </c>
      <c r="M117" s="4" t="str">
        <f ca="1">G114</f>
        <v>0:1</v>
      </c>
      <c r="N117" s="4" t="str">
        <f ca="1">G115</f>
        <v>0:1</v>
      </c>
      <c r="O117" s="4" t="str">
        <f ca="1">G116</f>
        <v>0:1</v>
      </c>
      <c r="P117" s="4" t="str">
        <f ca="1">G117</f>
        <v>0:1</v>
      </c>
      <c r="Q117" s="4" t="str">
        <f ca="1">G118</f>
        <v>0:1</v>
      </c>
      <c r="R117" s="4" t="str">
        <f ca="1">G119</f>
        <v>0:1</v>
      </c>
      <c r="S117" s="4" t="str">
        <f ca="1">G120</f>
        <v>0:1</v>
      </c>
      <c r="T117" s="4" t="str">
        <f ca="1">G121</f>
        <v>0:1</v>
      </c>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x14ac:dyDescent="0.25">
      <c r="A118" s="5" t="str">
        <f ca="1">IFERROR(__xludf.DUMMYFUNCTION("""COMPUTED_VALUE"""),"No")</f>
        <v>No</v>
      </c>
      <c r="B118" s="96"/>
      <c r="C118" s="96"/>
      <c r="D118" s="96"/>
      <c r="E118" s="96"/>
      <c r="F118" s="7" t="str">
        <f ca="1">IFERROR(__xludf.DUMMYFUNCTION("""COMPUTED_VALUE"""),"Limit of quantification")</f>
        <v>Limit of quantification</v>
      </c>
      <c r="G118" s="5" t="str">
        <f ca="1">IFERROR(__xludf.DUMMYFUNCTION("""COMPUTED_VALUE"""),"0:1")</f>
        <v>0:1</v>
      </c>
      <c r="H118" s="7" t="str">
        <f ca="1">IFERROR(__xludf.DUMMYFUNCTION("""COMPUTED_VALUE"""),"String")</f>
        <v>String</v>
      </c>
      <c r="I118" s="13"/>
      <c r="J118" s="4"/>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x14ac:dyDescent="0.25">
      <c r="A119" s="5" t="str">
        <f ca="1">IFERROR(__xludf.DUMMYFUNCTION("""COMPUTED_VALUE"""),"No")</f>
        <v>No</v>
      </c>
      <c r="B119" s="96"/>
      <c r="C119" s="96"/>
      <c r="D119" s="96"/>
      <c r="E119" s="96"/>
      <c r="F119" s="7" t="str">
        <f ca="1">IFERROR(__xludf.DUMMYFUNCTION("""COMPUTED_VALUE"""),"Left-censored data")</f>
        <v>Left-censored data</v>
      </c>
      <c r="G119" s="5" t="str">
        <f ca="1">IFERROR(__xludf.DUMMYFUNCTION("""COMPUTED_VALUE"""),"0:1")</f>
        <v>0:1</v>
      </c>
      <c r="H119" s="7" t="str">
        <f ca="1">IFERROR(__xludf.DUMMYFUNCTION("""COMPUTED_VALUE"""),"String")</f>
        <v>String</v>
      </c>
      <c r="I119" s="13"/>
      <c r="J119" s="4"/>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x14ac:dyDescent="0.25">
      <c r="A120" s="5" t="str">
        <f ca="1">IFERROR(__xludf.DUMMYFUNCTION("""COMPUTED_VALUE"""),"No")</f>
        <v>No</v>
      </c>
      <c r="B120" s="96"/>
      <c r="C120" s="96"/>
      <c r="D120" s="96"/>
      <c r="E120" s="96"/>
      <c r="F120" s="7" t="str">
        <f ca="1">IFERROR(__xludf.DUMMYFUNCTION("""COMPUTED_VALUE"""),"Range of contamination")</f>
        <v>Range of contamination</v>
      </c>
      <c r="G120" s="5" t="str">
        <f ca="1">IFERROR(__xludf.DUMMYFUNCTION("""COMPUTED_VALUE"""),"0:1")</f>
        <v>0:1</v>
      </c>
      <c r="H120" s="7" t="str">
        <f ca="1">IFERROR(__xludf.DUMMYFUNCTION("""COMPUTED_VALUE"""),"String")</f>
        <v>String</v>
      </c>
      <c r="I120" s="13"/>
      <c r="J120" s="4"/>
      <c r="K120" s="4"/>
      <c r="L120" s="10"/>
      <c r="M120" s="10"/>
      <c r="N120" s="10"/>
      <c r="O120" s="10"/>
      <c r="P120" s="10"/>
      <c r="Q120" s="10"/>
      <c r="R120" s="10"/>
      <c r="S120" s="10"/>
      <c r="T120" s="10"/>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x14ac:dyDescent="0.25">
      <c r="A121" s="5" t="str">
        <f ca="1">IFERROR(__xludf.DUMMYFUNCTION("""COMPUTED_VALUE"""),"No")</f>
        <v>No</v>
      </c>
      <c r="B121" s="96"/>
      <c r="C121" s="96"/>
      <c r="D121" s="96"/>
      <c r="E121" s="96"/>
      <c r="F121" s="7" t="str">
        <f ca="1">IFERROR(__xludf.DUMMYFUNCTION("""COMPUTED_VALUE"""),"Uncertainty value")</f>
        <v>Uncertainty value</v>
      </c>
      <c r="G121" s="5" t="str">
        <f ca="1">IFERROR(__xludf.DUMMYFUNCTION("""COMPUTED_VALUE"""),"0:1")</f>
        <v>0:1</v>
      </c>
      <c r="H121" s="7" t="str">
        <f ca="1">IFERROR(__xludf.DUMMYFUNCTION("""COMPUTED_VALUE"""),"String")</f>
        <v>String</v>
      </c>
      <c r="I121" s="13"/>
      <c r="J121" s="4"/>
      <c r="K121" s="4"/>
      <c r="L121" s="23"/>
      <c r="M121" s="98" t="str">
        <f ca="1">D140</f>
        <v>Quality measures</v>
      </c>
      <c r="N121" s="96"/>
      <c r="O121" s="23"/>
      <c r="P121" s="98" t="str">
        <f ca="1">D142</f>
        <v>Model equation</v>
      </c>
      <c r="Q121" s="96"/>
      <c r="R121" s="96"/>
      <c r="S121" s="96"/>
      <c r="T121" s="96"/>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row>
    <row r="122" spans="1:48" ht="12.5" x14ac:dyDescent="0.25">
      <c r="A122" s="5" t="str">
        <f ca="1">IFERROR(__xludf.DUMMYFUNCTION("""COMPUTED_VALUE"""),"Yes")</f>
        <v>Yes</v>
      </c>
      <c r="B122" s="95" t="str">
        <f ca="1">IFERROR(__xludf.DUMMYFUNCTION("""COMPUTED_VALUE"""),"Model math / Data definition")</f>
        <v>Model math / Data definition</v>
      </c>
      <c r="C122" s="95" t="str">
        <f ca="1">IFERROR(__xludf.DUMMYFUNCTION("""COMPUTED_VALUE"""),"1")</f>
        <v>1</v>
      </c>
      <c r="D122" s="97" t="str">
        <f ca="1">IFERROR(__xludf.DUMMYFUNCTION("""COMPUTED_VALUE"""),"Parameter / Factor / Input / Output / ""Data column""")</f>
        <v>Parameter / Factor / Input / Output / "Data column"</v>
      </c>
      <c r="E122" s="97" t="str">
        <f ca="1">IFERROR(__xludf.DUMMYFUNCTION("""COMPUTED_VALUE"""),"1:N")</f>
        <v>1:N</v>
      </c>
      <c r="F122" s="7" t="str">
        <f ca="1">IFERROR(__xludf.DUMMYFUNCTION("""COMPUTED_VALUE"""),"Parameter ID")</f>
        <v>Parameter ID</v>
      </c>
      <c r="G122" s="5" t="str">
        <f ca="1">IFERROR(__xludf.DUMMYFUNCTION("""COMPUTED_VALUE"""),"1")</f>
        <v>1</v>
      </c>
      <c r="H122" s="7" t="str">
        <f ca="1">IFERROR(__xludf.DUMMYFUNCTION("""COMPUTED_VALUE"""),"String")</f>
        <v>String</v>
      </c>
      <c r="I122" s="13"/>
      <c r="J122" s="4"/>
      <c r="K122" s="5"/>
      <c r="L122" s="24"/>
      <c r="M122" s="25" t="str">
        <f ca="1">F140</f>
        <v>SSE / MSE / RMSE / Rsquared / AIC / BIC</v>
      </c>
      <c r="N122" s="23" t="str">
        <f ca="1">F141</f>
        <v>Sensitivity analysis</v>
      </c>
      <c r="O122" s="24"/>
      <c r="P122" s="23" t="str">
        <f ca="1">F142</f>
        <v>Model equation name</v>
      </c>
      <c r="Q122" s="23" t="str">
        <f ca="1">F143</f>
        <v>Model equation class/distribution</v>
      </c>
      <c r="R122" s="23" t="str">
        <f ca="1">F147</f>
        <v>Model equation reference</v>
      </c>
      <c r="S122" s="23" t="str">
        <f ca="1">F148</f>
        <v>Model equation / Script</v>
      </c>
      <c r="T122" s="26" t="str">
        <f ca="1">F149</f>
        <v>Hypothesis of the model</v>
      </c>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row>
    <row r="123" spans="1:48" ht="12.5" x14ac:dyDescent="0.25">
      <c r="A123" s="5" t="str">
        <f ca="1">IFERROR(__xludf.DUMMYFUNCTION("""COMPUTED_VALUE"""),"Yes")</f>
        <v>Yes</v>
      </c>
      <c r="B123" s="96"/>
      <c r="C123" s="96"/>
      <c r="D123" s="96"/>
      <c r="E123" s="96"/>
      <c r="F123" s="7" t="str">
        <f ca="1">IFERROR(__xludf.DUMMYFUNCTION("""COMPUTED_VALUE"""),"Parameter classification")</f>
        <v>Parameter classification</v>
      </c>
      <c r="G123" s="5" t="str">
        <f ca="1">IFERROR(__xludf.DUMMYFUNCTION("""COMPUTED_VALUE"""),"1")</f>
        <v>1</v>
      </c>
      <c r="H123" s="7" t="str">
        <f ca="1">IFERROR(__xludf.DUMMYFUNCTION("""COMPUTED_VALUE"""),"String")</f>
        <v>String</v>
      </c>
      <c r="I123" s="13"/>
      <c r="J123" s="4"/>
      <c r="K123" s="5"/>
      <c r="L123" s="23"/>
      <c r="M123" s="27" t="str">
        <f ca="1">G140</f>
        <v>0:N</v>
      </c>
      <c r="N123" s="27" t="str">
        <f ca="1">G141</f>
        <v>0:N</v>
      </c>
      <c r="O123" s="23"/>
      <c r="P123" s="27" t="str">
        <f ca="1">G142</f>
        <v>1</v>
      </c>
      <c r="Q123" s="27" t="str">
        <f ca="1">G143</f>
        <v>0:1</v>
      </c>
      <c r="R123" s="27" t="str">
        <f ca="1">G147</f>
        <v>0:N</v>
      </c>
      <c r="S123" s="27" t="str">
        <f ca="1">G148</f>
        <v>1</v>
      </c>
      <c r="T123" s="28" t="str">
        <f ca="1">G149</f>
        <v>0:N</v>
      </c>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row>
    <row r="124" spans="1:48" ht="12.5" x14ac:dyDescent="0.25">
      <c r="A124" s="5" t="str">
        <f ca="1">IFERROR(__xludf.DUMMYFUNCTION("""COMPUTED_VALUE"""),"Yes")</f>
        <v>Yes</v>
      </c>
      <c r="B124" s="96"/>
      <c r="C124" s="96"/>
      <c r="D124" s="96"/>
      <c r="E124" s="96"/>
      <c r="F124" s="7" t="str">
        <f ca="1">IFERROR(__xludf.DUMMYFUNCTION("""COMPUTED_VALUE"""),"Parameter name")</f>
        <v>Parameter name</v>
      </c>
      <c r="G124" s="5" t="str">
        <f ca="1">IFERROR(__xludf.DUMMYFUNCTION("""COMPUTED_VALUE"""),"1")</f>
        <v>1</v>
      </c>
      <c r="H124" s="7" t="str">
        <f ca="1">IFERROR(__xludf.DUMMYFUNCTION("""COMPUTED_VALUE"""),"String")</f>
        <v>String</v>
      </c>
      <c r="I124" s="13"/>
      <c r="J124" s="4"/>
      <c r="K124" s="5"/>
      <c r="L124" s="29" t="s">
        <v>17</v>
      </c>
      <c r="M124" s="30"/>
      <c r="N124" s="31"/>
      <c r="O124" s="29"/>
      <c r="P124" s="31"/>
      <c r="Q124" s="12"/>
      <c r="R124" s="31"/>
      <c r="S124" s="31"/>
      <c r="T124" s="31"/>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row>
    <row r="125" spans="1:48" ht="12.5" x14ac:dyDescent="0.25">
      <c r="A125" s="5" t="str">
        <f ca="1">IFERROR(__xludf.DUMMYFUNCTION("""COMPUTED_VALUE"""),"No")</f>
        <v>No</v>
      </c>
      <c r="B125" s="96"/>
      <c r="C125" s="96"/>
      <c r="D125" s="96"/>
      <c r="E125" s="96"/>
      <c r="F125" s="7" t="str">
        <f ca="1">IFERROR(__xludf.DUMMYFUNCTION("""COMPUTED_VALUE"""),"Parameter description")</f>
        <v>Parameter description</v>
      </c>
      <c r="G125" s="5" t="str">
        <f ca="1">IFERROR(__xludf.DUMMYFUNCTION("""COMPUTED_VALUE"""),"0:1")</f>
        <v>0:1</v>
      </c>
      <c r="H125" s="7" t="str">
        <f ca="1">IFERROR(__xludf.DUMMYFUNCTION("""COMPUTED_VALUE"""),"String")</f>
        <v>String</v>
      </c>
      <c r="I125" s="13"/>
      <c r="J125" s="4"/>
      <c r="K125" s="5"/>
      <c r="L125" s="29" t="s">
        <v>18</v>
      </c>
      <c r="M125" s="32"/>
      <c r="N125" s="31"/>
      <c r="O125" s="29"/>
      <c r="P125" s="31"/>
      <c r="Q125" s="12"/>
      <c r="R125" s="31"/>
      <c r="S125" s="31"/>
      <c r="T125" s="31"/>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row>
    <row r="126" spans="1:48" ht="12.5" x14ac:dyDescent="0.25">
      <c r="A126" s="5" t="str">
        <f ca="1">IFERROR(__xludf.DUMMYFUNCTION("""COMPUTED_VALUE"""),"Yes")</f>
        <v>Yes</v>
      </c>
      <c r="B126" s="96"/>
      <c r="C126" s="96"/>
      <c r="D126" s="96"/>
      <c r="E126" s="96"/>
      <c r="F126" s="7" t="str">
        <f ca="1">IFERROR(__xludf.DUMMYFUNCTION("""COMPUTED_VALUE"""),"Parameter unit")</f>
        <v>Parameter unit</v>
      </c>
      <c r="G126" s="5" t="str">
        <f ca="1">IFERROR(__xludf.DUMMYFUNCTION("""COMPUTED_VALUE"""),"1")</f>
        <v>1</v>
      </c>
      <c r="H126" s="7" t="str">
        <f ca="1">IFERROR(__xludf.DUMMYFUNCTION("""COMPUTED_VALUE"""),"String")</f>
        <v>String</v>
      </c>
      <c r="I126" s="13"/>
      <c r="J126" s="4"/>
      <c r="K126" s="5"/>
      <c r="L126" s="33" t="s">
        <v>19</v>
      </c>
      <c r="M126" s="31"/>
      <c r="N126" s="31"/>
      <c r="O126" s="29"/>
      <c r="P126" s="31"/>
      <c r="Q126" s="12"/>
      <c r="R126" s="31"/>
      <c r="S126" s="31"/>
      <c r="T126" s="31"/>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8" ht="12.5" x14ac:dyDescent="0.25">
      <c r="A127" s="5" t="str">
        <f ca="1">IFERROR(__xludf.DUMMYFUNCTION("""COMPUTED_VALUE"""),"No")</f>
        <v>No</v>
      </c>
      <c r="B127" s="96"/>
      <c r="C127" s="96"/>
      <c r="D127" s="96"/>
      <c r="E127" s="96"/>
      <c r="F127" s="7" t="str">
        <f ca="1">IFERROR(__xludf.DUMMYFUNCTION("""COMPUTED_VALUE"""),"Parameter unit category")</f>
        <v>Parameter unit category</v>
      </c>
      <c r="G127" s="5" t="str">
        <f ca="1">IFERROR(__xludf.DUMMYFUNCTION("""COMPUTED_VALUE"""),"0:1")</f>
        <v>0:1</v>
      </c>
      <c r="H127" s="7" t="str">
        <f ca="1">IFERROR(__xludf.DUMMYFUNCTION("""COMPUTED_VALUE"""),"String")</f>
        <v>String</v>
      </c>
      <c r="I127" s="13"/>
      <c r="J127" s="4"/>
      <c r="K127" s="5"/>
      <c r="L127" s="29" t="s">
        <v>20</v>
      </c>
      <c r="M127" s="31"/>
      <c r="N127" s="31"/>
      <c r="O127" s="29"/>
      <c r="P127" s="31"/>
      <c r="Q127" s="12"/>
      <c r="R127" s="31"/>
      <c r="S127" s="31"/>
      <c r="T127" s="31"/>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row>
    <row r="128" spans="1:48" ht="12.5" x14ac:dyDescent="0.25">
      <c r="A128" s="5" t="str">
        <f ca="1">IFERROR(__xludf.DUMMYFUNCTION("""COMPUTED_VALUE"""),"Yes")</f>
        <v>Yes</v>
      </c>
      <c r="B128" s="96"/>
      <c r="C128" s="96"/>
      <c r="D128" s="96"/>
      <c r="E128" s="96"/>
      <c r="F128" s="7" t="str">
        <f ca="1">IFERROR(__xludf.DUMMYFUNCTION("""COMPUTED_VALUE"""),"Parameter data type")</f>
        <v>Parameter data type</v>
      </c>
      <c r="G128" s="5" t="str">
        <f ca="1">IFERROR(__xludf.DUMMYFUNCTION("""COMPUTED_VALUE"""),"1")</f>
        <v>1</v>
      </c>
      <c r="H128" s="7" t="str">
        <f ca="1">IFERROR(__xludf.DUMMYFUNCTION("""COMPUTED_VALUE"""),"String")</f>
        <v>String</v>
      </c>
      <c r="I128" s="13"/>
      <c r="J128" s="4"/>
      <c r="K128" s="5"/>
      <c r="L128" s="29" t="s">
        <v>21</v>
      </c>
      <c r="M128" s="31"/>
      <c r="N128" s="31"/>
      <c r="O128" s="29"/>
      <c r="P128" s="31"/>
      <c r="Q128" s="12"/>
      <c r="R128" s="31"/>
      <c r="S128" s="31"/>
      <c r="T128" s="31"/>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row>
    <row r="129" spans="1:48" ht="12.5" x14ac:dyDescent="0.25">
      <c r="A129" s="5" t="str">
        <f ca="1">IFERROR(__xludf.DUMMYFUNCTION("""COMPUTED_VALUE"""),"Yes")</f>
        <v>Yes</v>
      </c>
      <c r="B129" s="96"/>
      <c r="C129" s="96"/>
      <c r="D129" s="96"/>
      <c r="E129" s="96"/>
      <c r="F129" s="7" t="str">
        <f ca="1">IFERROR(__xludf.DUMMYFUNCTION("""COMPUTED_VALUE"""),"Parameter source")</f>
        <v>Parameter source</v>
      </c>
      <c r="G129" s="5" t="str">
        <f ca="1">IFERROR(__xludf.DUMMYFUNCTION("""COMPUTED_VALUE"""),"0:1")</f>
        <v>0:1</v>
      </c>
      <c r="H129" s="7" t="str">
        <f ca="1">IFERROR(__xludf.DUMMYFUNCTION("""COMPUTED_VALUE"""),"String")</f>
        <v>String</v>
      </c>
      <c r="I129" s="13"/>
      <c r="J129" s="4"/>
      <c r="K129" s="5"/>
      <c r="L129" s="8" t="s">
        <v>22</v>
      </c>
      <c r="M129" s="34"/>
      <c r="N129" s="31"/>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row>
    <row r="130" spans="1:48" ht="12.5" x14ac:dyDescent="0.25">
      <c r="A130" s="5" t="str">
        <f ca="1">IFERROR(__xludf.DUMMYFUNCTION("""COMPUTED_VALUE"""),"Yes")</f>
        <v>Yes</v>
      </c>
      <c r="B130" s="96"/>
      <c r="C130" s="96"/>
      <c r="D130" s="96"/>
      <c r="E130" s="96"/>
      <c r="F130" s="7" t="str">
        <f ca="1">IFERROR(__xludf.DUMMYFUNCTION("""COMPUTED_VALUE"""),"Parameter subject")</f>
        <v>Parameter subject</v>
      </c>
      <c r="G130" s="5" t="str">
        <f ca="1">IFERROR(__xludf.DUMMYFUNCTION("""COMPUTED_VALUE"""),"0:1")</f>
        <v>0:1</v>
      </c>
      <c r="H130" s="7" t="str">
        <f ca="1">IFERROR(__xludf.DUMMYFUNCTION("""COMPUTED_VALUE"""),"String")</f>
        <v>String</v>
      </c>
      <c r="I130" s="13"/>
      <c r="J130" s="4"/>
      <c r="K130" s="35" t="s">
        <v>23</v>
      </c>
      <c r="L130" s="98" t="str">
        <f ca="1">D122</f>
        <v>Parameter / Factor / Input / Output / "Data column"</v>
      </c>
      <c r="M130" s="96"/>
      <c r="N130" s="96"/>
      <c r="O130" s="96"/>
      <c r="P130" s="96"/>
      <c r="Q130" s="96"/>
      <c r="R130" s="96"/>
      <c r="S130" s="96"/>
      <c r="T130" s="96"/>
      <c r="U130" s="96"/>
      <c r="V130" s="96"/>
      <c r="W130" s="96"/>
      <c r="X130" s="96"/>
      <c r="Y130" s="96"/>
      <c r="Z130" s="96"/>
      <c r="AA130" s="96"/>
      <c r="AB130" s="96"/>
      <c r="AC130" s="23"/>
      <c r="AD130" s="23"/>
      <c r="AE130" s="23"/>
      <c r="AF130" s="23"/>
      <c r="AG130" s="23"/>
      <c r="AH130" s="23"/>
      <c r="AI130" s="23"/>
      <c r="AJ130" s="23"/>
      <c r="AK130" s="23"/>
      <c r="AL130" s="23"/>
      <c r="AM130" s="23"/>
      <c r="AN130" s="23"/>
      <c r="AO130" s="23"/>
      <c r="AP130" s="23"/>
      <c r="AQ130" s="23"/>
      <c r="AR130" s="23"/>
      <c r="AS130" s="23"/>
      <c r="AT130" s="23"/>
      <c r="AU130" s="23"/>
      <c r="AV130" s="23"/>
    </row>
    <row r="131" spans="1:48" ht="12.5" x14ac:dyDescent="0.25">
      <c r="A131" s="5" t="str">
        <f ca="1">IFERROR(__xludf.DUMMYFUNCTION("""COMPUTED_VALUE"""),"Yes")</f>
        <v>Yes</v>
      </c>
      <c r="B131" s="96"/>
      <c r="C131" s="96"/>
      <c r="D131" s="96"/>
      <c r="E131" s="96"/>
      <c r="F131" s="7" t="str">
        <f ca="1">IFERROR(__xludf.DUMMYFUNCTION("""COMPUTED_VALUE"""),"Parameter distribution")</f>
        <v>Parameter distribution</v>
      </c>
      <c r="G131" s="5" t="str">
        <f ca="1">IFERROR(__xludf.DUMMYFUNCTION("""COMPUTED_VALUE"""),"0:1")</f>
        <v>0:1</v>
      </c>
      <c r="H131" s="7" t="str">
        <f ca="1">IFERROR(__xludf.DUMMYFUNCTION("""COMPUTED_VALUE"""),"String")</f>
        <v>String</v>
      </c>
      <c r="I131" s="13"/>
      <c r="J131" s="4"/>
      <c r="K131" s="5"/>
      <c r="L131" s="23" t="str">
        <f ca="1">F122</f>
        <v>Parameter ID</v>
      </c>
      <c r="M131" s="23" t="str">
        <f ca="1">F123</f>
        <v>Parameter classification</v>
      </c>
      <c r="N131" s="23" t="str">
        <f ca="1">F124</f>
        <v>Parameter name</v>
      </c>
      <c r="O131" s="23" t="str">
        <f ca="1">F125</f>
        <v>Parameter description</v>
      </c>
      <c r="P131" s="23" t="str">
        <f ca="1">F126</f>
        <v>Parameter unit</v>
      </c>
      <c r="Q131" s="23" t="str">
        <f ca="1">F127</f>
        <v>Parameter unit category</v>
      </c>
      <c r="R131" s="23" t="str">
        <f ca="1">F128</f>
        <v>Parameter data type</v>
      </c>
      <c r="S131" s="23" t="str">
        <f ca="1">F129</f>
        <v>Parameter source</v>
      </c>
      <c r="T131" s="23" t="str">
        <f ca="1">F130</f>
        <v>Parameter subject</v>
      </c>
      <c r="U131" s="23" t="str">
        <f ca="1">F131</f>
        <v>Parameter distribution</v>
      </c>
      <c r="V131" s="23" t="str">
        <f ca="1">F134</f>
        <v>Parameter value</v>
      </c>
      <c r="W131" s="23" t="str">
        <f ca="1">F135</f>
        <v>Parameter Reference</v>
      </c>
      <c r="X131" s="23" t="str">
        <f ca="1">F136</f>
        <v>Parameter variability subject</v>
      </c>
      <c r="Y131" s="23" t="str">
        <f ca="1">F137</f>
        <v>Parameter value max</v>
      </c>
      <c r="Z131" s="23" t="str">
        <f ca="1">F138</f>
        <v>Parameter value min</v>
      </c>
      <c r="AA131" s="23" t="str">
        <f ca="1">F139</f>
        <v>Parameter error</v>
      </c>
      <c r="AB131" s="23"/>
      <c r="AC131" s="23"/>
      <c r="AD131" s="23"/>
      <c r="AE131" s="23"/>
      <c r="AF131" s="23"/>
      <c r="AG131" s="23"/>
      <c r="AH131" s="23"/>
      <c r="AI131" s="23"/>
      <c r="AJ131" s="23"/>
      <c r="AK131" s="23"/>
      <c r="AL131" s="23"/>
      <c r="AM131" s="23"/>
      <c r="AN131" s="23"/>
      <c r="AO131" s="23"/>
      <c r="AP131" s="23"/>
      <c r="AQ131" s="23"/>
      <c r="AR131" s="23"/>
      <c r="AS131" s="23"/>
      <c r="AT131" s="23"/>
      <c r="AU131" s="23"/>
    </row>
    <row r="132" spans="1:48" ht="12.5" x14ac:dyDescent="0.25">
      <c r="A132" s="5" t="str">
        <f ca="1">IFERROR(__xludf.DUMMYFUNCTION("""COMPUTED_VALUE"""),"Yes")</f>
        <v>Yes</v>
      </c>
      <c r="B132" s="96"/>
      <c r="C132" s="96"/>
      <c r="D132" s="96"/>
      <c r="E132" s="96"/>
      <c r="F132" s="7"/>
      <c r="G132" s="5"/>
      <c r="H132" s="7"/>
      <c r="I132" s="13"/>
      <c r="J132" s="4"/>
      <c r="K132" s="5"/>
      <c r="L132" s="27" t="str">
        <f ca="1">G122</f>
        <v>1</v>
      </c>
      <c r="M132" s="27" t="str">
        <f ca="1">G123</f>
        <v>1</v>
      </c>
      <c r="N132" s="27" t="str">
        <f ca="1">G124</f>
        <v>1</v>
      </c>
      <c r="O132" s="27" t="str">
        <f ca="1">G125</f>
        <v>0:1</v>
      </c>
      <c r="P132" s="27" t="str">
        <f ca="1">G126</f>
        <v>1</v>
      </c>
      <c r="Q132" s="27" t="str">
        <f ca="1">G127</f>
        <v>0:1</v>
      </c>
      <c r="R132" s="27" t="str">
        <f ca="1">G128</f>
        <v>1</v>
      </c>
      <c r="S132" s="27" t="str">
        <f ca="1">G129</f>
        <v>0:1</v>
      </c>
      <c r="T132" s="27" t="str">
        <f ca="1">G130</f>
        <v>0:1</v>
      </c>
      <c r="U132" s="27" t="str">
        <f ca="1">G131</f>
        <v>0:1</v>
      </c>
      <c r="V132" s="27" t="str">
        <f ca="1">G134</f>
        <v>0:1</v>
      </c>
      <c r="W132" s="27" t="str">
        <f ca="1">G135</f>
        <v>0:1</v>
      </c>
      <c r="X132" s="27" t="str">
        <f ca="1">G136</f>
        <v>0:1</v>
      </c>
      <c r="Y132" s="27" t="str">
        <f ca="1">G137</f>
        <v>0:1</v>
      </c>
      <c r="Z132" s="27" t="str">
        <f ca="1">G138</f>
        <v>0:1</v>
      </c>
      <c r="AA132" s="27" t="str">
        <f ca="1">G139</f>
        <v>0:1</v>
      </c>
      <c r="AB132" s="23"/>
      <c r="AC132" s="23"/>
      <c r="AD132" s="23"/>
      <c r="AE132" s="23"/>
      <c r="AF132" s="23"/>
      <c r="AG132" s="23"/>
      <c r="AH132" s="23"/>
      <c r="AI132" s="23"/>
      <c r="AJ132" s="23"/>
      <c r="AK132" s="23"/>
      <c r="AL132" s="23"/>
      <c r="AM132" s="23"/>
      <c r="AN132" s="23"/>
      <c r="AO132" s="23"/>
      <c r="AP132" s="23"/>
      <c r="AQ132" s="23"/>
      <c r="AR132" s="23"/>
      <c r="AS132" s="23"/>
      <c r="AT132" s="23"/>
      <c r="AU132" s="23"/>
    </row>
    <row r="133" spans="1:48" ht="12.5" x14ac:dyDescent="0.25">
      <c r="A133" s="5" t="str">
        <f ca="1">IFERROR(__xludf.DUMMYFUNCTION("""COMPUTED_VALUE"""),"No")</f>
        <v>No</v>
      </c>
      <c r="B133" s="96"/>
      <c r="C133" s="96"/>
      <c r="D133" s="96"/>
      <c r="E133" s="96"/>
      <c r="F133" s="7"/>
      <c r="G133" s="5"/>
      <c r="H133" s="7"/>
      <c r="I133" s="13"/>
      <c r="J133" s="4"/>
      <c r="K133" s="5"/>
      <c r="L133" s="86" t="s">
        <v>55</v>
      </c>
      <c r="M133" s="36" t="s">
        <v>24</v>
      </c>
      <c r="N133" s="87" t="s">
        <v>123</v>
      </c>
      <c r="O133" s="87" t="s">
        <v>123</v>
      </c>
      <c r="P133" s="92" t="s">
        <v>41</v>
      </c>
      <c r="Q133" s="93" t="s">
        <v>124</v>
      </c>
      <c r="R133" s="40" t="s">
        <v>61</v>
      </c>
      <c r="S133" s="87" t="s">
        <v>142</v>
      </c>
      <c r="T133" s="87"/>
      <c r="U133" s="87"/>
      <c r="V133" s="40">
        <v>100000</v>
      </c>
      <c r="W133" s="40"/>
      <c r="X133" s="87"/>
      <c r="Y133" s="40"/>
      <c r="Z133" s="40"/>
      <c r="AA133" s="40"/>
      <c r="AB133" s="23"/>
      <c r="AC133" s="23"/>
      <c r="AD133" s="23"/>
      <c r="AE133" s="23"/>
      <c r="AF133" s="23"/>
      <c r="AG133" s="23"/>
      <c r="AH133" s="23"/>
      <c r="AI133" s="23"/>
      <c r="AJ133" s="23"/>
      <c r="AK133" s="23"/>
      <c r="AL133" s="23"/>
      <c r="AM133" s="23"/>
      <c r="AN133" s="23"/>
      <c r="AO133" s="23"/>
      <c r="AP133" s="23"/>
      <c r="AQ133" s="23"/>
      <c r="AR133" s="23"/>
      <c r="AS133" s="23"/>
      <c r="AT133" s="23"/>
      <c r="AU133" s="23"/>
    </row>
    <row r="134" spans="1:48" ht="12.5" x14ac:dyDescent="0.25">
      <c r="A134" s="5" t="str">
        <f ca="1">IFERROR(__xludf.DUMMYFUNCTION("""COMPUTED_VALUE"""),"No")</f>
        <v>No</v>
      </c>
      <c r="B134" s="96"/>
      <c r="C134" s="96"/>
      <c r="D134" s="96"/>
      <c r="E134" s="96"/>
      <c r="F134" s="23" t="str">
        <f ca="1">IFERROR(__xludf.DUMMYFUNCTION("""COMPUTED_VALUE"""),"Parameter value")</f>
        <v>Parameter value</v>
      </c>
      <c r="G134" s="5" t="str">
        <f ca="1">IFERROR(__xludf.DUMMYFUNCTION("""COMPUTED_VALUE"""),"0:1")</f>
        <v>0:1</v>
      </c>
      <c r="H134" s="7" t="str">
        <f ca="1">IFERROR(__xludf.DUMMYFUNCTION("""COMPUTED_VALUE"""),"String")</f>
        <v>String</v>
      </c>
      <c r="I134" s="13"/>
      <c r="J134" s="4"/>
      <c r="K134" s="5"/>
      <c r="L134" s="86" t="s">
        <v>52</v>
      </c>
      <c r="M134" s="40" t="s">
        <v>24</v>
      </c>
      <c r="N134" s="87" t="s">
        <v>63</v>
      </c>
      <c r="O134" s="87" t="s">
        <v>125</v>
      </c>
      <c r="P134" s="92" t="s">
        <v>126</v>
      </c>
      <c r="Q134" s="93" t="s">
        <v>127</v>
      </c>
      <c r="R134" s="40" t="s">
        <v>50</v>
      </c>
      <c r="S134" s="87" t="s">
        <v>0</v>
      </c>
      <c r="T134" s="87" t="s">
        <v>143</v>
      </c>
      <c r="U134" s="87"/>
      <c r="V134" s="40">
        <v>1.5</v>
      </c>
      <c r="W134" s="40"/>
      <c r="X134" s="87" t="s">
        <v>147</v>
      </c>
      <c r="Y134" s="40"/>
      <c r="Z134" s="40"/>
      <c r="AA134" s="40"/>
      <c r="AB134" s="23"/>
      <c r="AC134" s="23"/>
      <c r="AD134" s="23"/>
      <c r="AE134" s="23"/>
      <c r="AF134" s="23"/>
      <c r="AG134" s="23"/>
      <c r="AH134" s="23"/>
      <c r="AI134" s="23"/>
      <c r="AJ134" s="23"/>
      <c r="AK134" s="23"/>
      <c r="AL134" s="23"/>
      <c r="AM134" s="23"/>
      <c r="AN134" s="23"/>
      <c r="AO134" s="23"/>
      <c r="AP134" s="23"/>
      <c r="AQ134" s="23"/>
      <c r="AR134" s="23"/>
      <c r="AS134" s="23"/>
      <c r="AT134" s="23"/>
      <c r="AU134" s="23"/>
    </row>
    <row r="135" spans="1:48" ht="12.5" x14ac:dyDescent="0.25">
      <c r="A135" s="5" t="str">
        <f ca="1">IFERROR(__xludf.DUMMYFUNCTION("""COMPUTED_VALUE"""),"No")</f>
        <v>No</v>
      </c>
      <c r="B135" s="96"/>
      <c r="C135" s="96"/>
      <c r="D135" s="96"/>
      <c r="E135" s="96"/>
      <c r="F135" s="7" t="str">
        <f ca="1">IFERROR(__xludf.DUMMYFUNCTION("""COMPUTED_VALUE"""),"Parameter Reference")</f>
        <v>Parameter Reference</v>
      </c>
      <c r="G135" s="5" t="str">
        <f ca="1">IFERROR(__xludf.DUMMYFUNCTION("""COMPUTED_VALUE"""),"0:1")</f>
        <v>0:1</v>
      </c>
      <c r="H135" s="7"/>
      <c r="I135" s="13"/>
      <c r="J135" s="4"/>
      <c r="K135" s="5"/>
      <c r="L135" s="86" t="s">
        <v>53</v>
      </c>
      <c r="M135" s="40" t="s">
        <v>24</v>
      </c>
      <c r="N135" s="87" t="s">
        <v>128</v>
      </c>
      <c r="O135" s="87" t="s">
        <v>129</v>
      </c>
      <c r="P135" s="92" t="s">
        <v>126</v>
      </c>
      <c r="Q135" s="93" t="s">
        <v>127</v>
      </c>
      <c r="R135" s="40" t="s">
        <v>50</v>
      </c>
      <c r="S135" s="87" t="s">
        <v>0</v>
      </c>
      <c r="T135" s="87" t="s">
        <v>143</v>
      </c>
      <c r="U135" s="87"/>
      <c r="V135" s="40">
        <v>0.2</v>
      </c>
      <c r="W135" s="40"/>
      <c r="X135" s="87" t="s">
        <v>147</v>
      </c>
      <c r="Y135" s="40"/>
      <c r="Z135" s="40"/>
      <c r="AA135" s="40"/>
      <c r="AB135" s="23"/>
      <c r="AC135" s="23"/>
      <c r="AD135" s="23"/>
      <c r="AE135" s="23"/>
      <c r="AF135" s="23"/>
      <c r="AG135" s="23"/>
      <c r="AH135" s="23"/>
      <c r="AI135" s="23"/>
      <c r="AJ135" s="23"/>
      <c r="AK135" s="23"/>
      <c r="AL135" s="23"/>
      <c r="AM135" s="23"/>
      <c r="AN135" s="23"/>
      <c r="AO135" s="23"/>
      <c r="AP135" s="23"/>
      <c r="AQ135" s="23"/>
      <c r="AR135" s="23"/>
      <c r="AS135" s="23"/>
      <c r="AT135" s="23"/>
      <c r="AU135" s="23"/>
    </row>
    <row r="136" spans="1:48" ht="12.5" x14ac:dyDescent="0.25">
      <c r="A136" s="5" t="str">
        <f ca="1">IFERROR(__xludf.DUMMYFUNCTION("""COMPUTED_VALUE"""),"No")</f>
        <v>No</v>
      </c>
      <c r="B136" s="96"/>
      <c r="C136" s="96"/>
      <c r="D136" s="96"/>
      <c r="E136" s="96"/>
      <c r="F136" s="7" t="str">
        <f ca="1">IFERROR(__xludf.DUMMYFUNCTION("""COMPUTED_VALUE"""),"Parameter variability subject")</f>
        <v>Parameter variability subject</v>
      </c>
      <c r="G136" s="5" t="str">
        <f ca="1">IFERROR(__xludf.DUMMYFUNCTION("""COMPUTED_VALUE"""),"0:1")</f>
        <v>0:1</v>
      </c>
      <c r="H136" s="7"/>
      <c r="I136" s="13"/>
      <c r="J136" s="4"/>
      <c r="K136" s="5"/>
      <c r="L136" s="86" t="s">
        <v>54</v>
      </c>
      <c r="M136" s="40" t="s">
        <v>24</v>
      </c>
      <c r="N136" s="87" t="s">
        <v>64</v>
      </c>
      <c r="O136" s="87" t="s">
        <v>130</v>
      </c>
      <c r="P136" s="92" t="s">
        <v>131</v>
      </c>
      <c r="Q136" s="85" t="s">
        <v>124</v>
      </c>
      <c r="R136" s="40" t="s">
        <v>50</v>
      </c>
      <c r="S136" s="87" t="s">
        <v>0</v>
      </c>
      <c r="T136" s="87" t="s">
        <v>143</v>
      </c>
      <c r="U136" s="87"/>
      <c r="V136" s="40">
        <v>0.25</v>
      </c>
      <c r="W136" s="40"/>
      <c r="X136" s="87" t="s">
        <v>148</v>
      </c>
      <c r="Y136" s="40"/>
      <c r="Z136" s="40"/>
      <c r="AA136" s="40"/>
      <c r="AB136" s="23"/>
      <c r="AC136" s="23"/>
      <c r="AD136" s="23"/>
      <c r="AE136" s="23"/>
      <c r="AF136" s="23"/>
      <c r="AG136" s="23"/>
      <c r="AH136" s="23"/>
      <c r="AI136" s="23"/>
      <c r="AJ136" s="23"/>
      <c r="AK136" s="23"/>
      <c r="AL136" s="23"/>
      <c r="AM136" s="23"/>
      <c r="AN136" s="23"/>
      <c r="AO136" s="23"/>
      <c r="AP136" s="23"/>
      <c r="AQ136" s="23"/>
      <c r="AR136" s="23"/>
      <c r="AS136" s="23"/>
      <c r="AT136" s="23"/>
      <c r="AU136" s="23"/>
    </row>
    <row r="137" spans="1:48" ht="12.5" x14ac:dyDescent="0.25">
      <c r="A137" s="5" t="str">
        <f ca="1">IFERROR(__xludf.DUMMYFUNCTION("""COMPUTED_VALUE"""),"No")</f>
        <v>No</v>
      </c>
      <c r="B137" s="96"/>
      <c r="C137" s="96"/>
      <c r="D137" s="96"/>
      <c r="E137" s="96"/>
      <c r="F137" s="7" t="str">
        <f ca="1">IFERROR(__xludf.DUMMYFUNCTION("""COMPUTED_VALUE"""),"Parameter value max")</f>
        <v>Parameter value max</v>
      </c>
      <c r="G137" s="5" t="str">
        <f ca="1">IFERROR(__xludf.DUMMYFUNCTION("""COMPUTED_VALUE"""),"0:1")</f>
        <v>0:1</v>
      </c>
      <c r="H137" s="7" t="str">
        <f ca="1">IFERROR(__xludf.DUMMYFUNCTION("""COMPUTED_VALUE"""),"String")</f>
        <v>String</v>
      </c>
      <c r="I137" s="13"/>
      <c r="J137" s="4"/>
      <c r="K137" s="5"/>
      <c r="L137" s="86" t="s">
        <v>51</v>
      </c>
      <c r="M137" s="40" t="s">
        <v>24</v>
      </c>
      <c r="N137" s="87" t="s">
        <v>132</v>
      </c>
      <c r="O137" s="87" t="s">
        <v>133</v>
      </c>
      <c r="P137" s="92" t="s">
        <v>114</v>
      </c>
      <c r="Q137" s="85" t="s">
        <v>134</v>
      </c>
      <c r="R137" s="40" t="s">
        <v>50</v>
      </c>
      <c r="S137" s="87" t="s">
        <v>144</v>
      </c>
      <c r="T137" s="87" t="s">
        <v>145</v>
      </c>
      <c r="U137" s="87" t="s">
        <v>146</v>
      </c>
      <c r="V137" s="40">
        <v>189</v>
      </c>
      <c r="W137" s="40"/>
      <c r="X137" s="87" t="s">
        <v>149</v>
      </c>
      <c r="Y137" s="40"/>
      <c r="Z137" s="40"/>
      <c r="AA137" s="40"/>
      <c r="AB137" s="23"/>
      <c r="AC137" s="23"/>
      <c r="AD137" s="23"/>
      <c r="AE137" s="23"/>
      <c r="AF137" s="23"/>
      <c r="AG137" s="23"/>
      <c r="AH137" s="23"/>
      <c r="AI137" s="23"/>
      <c r="AJ137" s="23"/>
      <c r="AK137" s="23"/>
      <c r="AL137" s="23"/>
      <c r="AM137" s="23"/>
      <c r="AN137" s="23"/>
      <c r="AO137" s="23"/>
      <c r="AP137" s="23"/>
      <c r="AQ137" s="23"/>
      <c r="AR137" s="23"/>
      <c r="AS137" s="23"/>
      <c r="AT137" s="23"/>
      <c r="AU137" s="23"/>
    </row>
    <row r="138" spans="1:48" ht="12.5" x14ac:dyDescent="0.25">
      <c r="A138" s="5" t="str">
        <f ca="1">IFERROR(__xludf.DUMMYFUNCTION("""COMPUTED_VALUE"""),"No")</f>
        <v>No</v>
      </c>
      <c r="B138" s="96"/>
      <c r="C138" s="96"/>
      <c r="D138" s="96"/>
      <c r="E138" s="96"/>
      <c r="F138" t="str">
        <f ca="1">IFERROR(__xludf.DUMMYFUNCTION("""COMPUTED_VALUE"""),"Parameter value min")</f>
        <v>Parameter value min</v>
      </c>
      <c r="G138" s="5" t="str">
        <f ca="1">IFERROR(__xludf.DUMMYFUNCTION("""COMPUTED_VALUE"""),"0:1")</f>
        <v>0:1</v>
      </c>
      <c r="I138" s="13"/>
      <c r="J138" s="4"/>
      <c r="K138" s="5"/>
      <c r="L138" s="86" t="s">
        <v>56</v>
      </c>
      <c r="M138" s="40" t="s">
        <v>24</v>
      </c>
      <c r="N138" s="87" t="s">
        <v>135</v>
      </c>
      <c r="O138" s="87" t="s">
        <v>136</v>
      </c>
      <c r="P138" s="92" t="s">
        <v>114</v>
      </c>
      <c r="Q138" s="93" t="s">
        <v>137</v>
      </c>
      <c r="R138" s="40" t="s">
        <v>50</v>
      </c>
      <c r="S138" s="87" t="s">
        <v>144</v>
      </c>
      <c r="T138" s="87" t="s">
        <v>145</v>
      </c>
      <c r="U138" s="87" t="s">
        <v>146</v>
      </c>
      <c r="V138" s="40">
        <v>1000</v>
      </c>
      <c r="W138" s="40"/>
      <c r="X138" s="87" t="s">
        <v>149</v>
      </c>
      <c r="Y138" s="40"/>
      <c r="Z138" s="40"/>
      <c r="AA138" s="40"/>
      <c r="AB138" s="23"/>
      <c r="AC138" s="23"/>
      <c r="AD138" s="23"/>
      <c r="AE138" s="23"/>
      <c r="AF138" s="23"/>
      <c r="AG138" s="23"/>
      <c r="AH138" s="23"/>
      <c r="AI138" s="23"/>
      <c r="AJ138" s="23"/>
      <c r="AK138" s="23"/>
      <c r="AL138" s="23"/>
      <c r="AM138" s="23"/>
      <c r="AN138" s="23"/>
      <c r="AO138" s="23"/>
      <c r="AP138" s="23"/>
      <c r="AQ138" s="23"/>
      <c r="AR138" s="23"/>
      <c r="AS138" s="23"/>
      <c r="AT138" s="23"/>
      <c r="AU138" s="23"/>
    </row>
    <row r="139" spans="1:48" ht="12.5" x14ac:dyDescent="0.25">
      <c r="A139" s="5" t="str">
        <f ca="1">IFERROR(__xludf.DUMMYFUNCTION("""COMPUTED_VALUE"""),"No")</f>
        <v>No</v>
      </c>
      <c r="B139" s="96"/>
      <c r="C139" s="96"/>
      <c r="D139" s="96"/>
      <c r="E139" s="96"/>
      <c r="F139" s="7" t="str">
        <f ca="1">IFERROR(__xludf.DUMMYFUNCTION("""COMPUTED_VALUE"""),"Parameter error")</f>
        <v>Parameter error</v>
      </c>
      <c r="G139" s="5" t="str">
        <f ca="1">IFERROR(__xludf.DUMMYFUNCTION("""COMPUTED_VALUE"""),"0:1")</f>
        <v>0:1</v>
      </c>
      <c r="H139" s="7"/>
      <c r="I139" s="13"/>
      <c r="J139" s="4"/>
      <c r="K139" s="5"/>
      <c r="L139" s="86" t="s">
        <v>57</v>
      </c>
      <c r="M139" s="40" t="s">
        <v>24</v>
      </c>
      <c r="N139" s="87" t="s">
        <v>138</v>
      </c>
      <c r="O139" s="87" t="s">
        <v>139</v>
      </c>
      <c r="P139" s="92" t="s">
        <v>114</v>
      </c>
      <c r="Q139" s="85" t="s">
        <v>134</v>
      </c>
      <c r="R139" s="40" t="s">
        <v>50</v>
      </c>
      <c r="S139" s="87" t="s">
        <v>144</v>
      </c>
      <c r="T139" s="87" t="s">
        <v>145</v>
      </c>
      <c r="U139" s="87" t="s">
        <v>146</v>
      </c>
      <c r="V139" s="40">
        <v>126.9</v>
      </c>
      <c r="W139" s="40"/>
      <c r="X139" s="87" t="s">
        <v>150</v>
      </c>
      <c r="Y139" s="40"/>
      <c r="Z139" s="40"/>
      <c r="AA139" s="40"/>
      <c r="AB139" s="23"/>
      <c r="AC139" s="23"/>
      <c r="AD139" s="23"/>
      <c r="AE139" s="23"/>
      <c r="AF139" s="23"/>
      <c r="AG139" s="23"/>
      <c r="AH139" s="23"/>
      <c r="AI139" s="23"/>
      <c r="AJ139" s="23"/>
      <c r="AK139" s="23"/>
      <c r="AL139" s="23"/>
      <c r="AM139" s="23"/>
      <c r="AN139" s="23"/>
      <c r="AO139" s="23"/>
      <c r="AP139" s="23"/>
      <c r="AQ139" s="23"/>
      <c r="AR139" s="23"/>
      <c r="AS139" s="23"/>
      <c r="AT139" s="23"/>
      <c r="AU139" s="23"/>
    </row>
    <row r="140" spans="1:48" ht="12.5" x14ac:dyDescent="0.25">
      <c r="A140" s="5" t="str">
        <f ca="1">IFERROR(__xludf.DUMMYFUNCTION("""COMPUTED_VALUE"""),"No")</f>
        <v>No</v>
      </c>
      <c r="B140" s="96"/>
      <c r="C140" s="96"/>
      <c r="D140" s="97" t="str">
        <f ca="1">IFERROR(__xludf.DUMMYFUNCTION("""COMPUTED_VALUE"""),"Quality measures")</f>
        <v>Quality measures</v>
      </c>
      <c r="E140" s="97" t="str">
        <f ca="1">IFERROR(__xludf.DUMMYFUNCTION("""COMPUTED_VALUE"""),"0:N")</f>
        <v>0:N</v>
      </c>
      <c r="F140" s="7" t="str">
        <f ca="1">IFERROR(__xludf.DUMMYFUNCTION("""COMPUTED_VALUE"""),"SSE / MSE / RMSE / Rsquared / AIC / BIC")</f>
        <v>SSE / MSE / RMSE / Rsquared / AIC / BIC</v>
      </c>
      <c r="G140" s="5" t="str">
        <f ca="1">IFERROR(__xludf.DUMMYFUNCTION("""COMPUTED_VALUE"""),"0:N")</f>
        <v>0:N</v>
      </c>
      <c r="H140" s="7" t="str">
        <f ca="1">IFERROR(__xludf.DUMMYFUNCTION("""COMPUTED_VALUE"""),"String")</f>
        <v>String</v>
      </c>
      <c r="I140" s="13"/>
      <c r="J140" s="4"/>
      <c r="K140" s="5"/>
      <c r="L140" s="86" t="s">
        <v>58</v>
      </c>
      <c r="M140" s="40" t="s">
        <v>60</v>
      </c>
      <c r="N140" s="87" t="s">
        <v>65</v>
      </c>
      <c r="O140" s="87"/>
      <c r="P140" s="92" t="s">
        <v>140</v>
      </c>
      <c r="Q140" s="85" t="s">
        <v>141</v>
      </c>
      <c r="R140" s="40" t="s">
        <v>62</v>
      </c>
      <c r="S140" s="87"/>
      <c r="T140" s="87"/>
      <c r="U140" s="87"/>
      <c r="V140" s="40"/>
      <c r="W140" s="40"/>
      <c r="X140" s="87" t="s">
        <v>151</v>
      </c>
      <c r="Y140" s="40"/>
      <c r="Z140" s="40"/>
      <c r="AA140" s="40"/>
      <c r="AB140" s="23"/>
      <c r="AC140" s="23"/>
      <c r="AD140" s="23"/>
      <c r="AE140" s="23"/>
      <c r="AF140" s="23"/>
      <c r="AG140" s="23"/>
      <c r="AH140" s="23"/>
      <c r="AI140" s="23"/>
      <c r="AJ140" s="23"/>
      <c r="AK140" s="23"/>
      <c r="AL140" s="23"/>
      <c r="AM140" s="23"/>
      <c r="AN140" s="23"/>
      <c r="AO140" s="23"/>
      <c r="AP140" s="23"/>
      <c r="AQ140" s="23"/>
      <c r="AR140" s="23"/>
      <c r="AS140" s="23"/>
      <c r="AT140" s="23"/>
      <c r="AU140" s="23"/>
    </row>
    <row r="141" spans="1:48" ht="12.5" x14ac:dyDescent="0.25">
      <c r="A141" s="5" t="str">
        <f ca="1">IFERROR(__xludf.DUMMYFUNCTION("""COMPUTED_VALUE"""),"No")</f>
        <v>No</v>
      </c>
      <c r="B141" s="96"/>
      <c r="C141" s="96"/>
      <c r="D141" s="96"/>
      <c r="E141" s="96"/>
      <c r="F141" s="7" t="str">
        <f ca="1">IFERROR(__xludf.DUMMYFUNCTION("""COMPUTED_VALUE"""),"Sensitivity analysis")</f>
        <v>Sensitivity analysis</v>
      </c>
      <c r="G141" s="5" t="str">
        <f ca="1">IFERROR(__xludf.DUMMYFUNCTION("""COMPUTED_VALUE"""),"0:N")</f>
        <v>0:N</v>
      </c>
      <c r="H141" s="7" t="str">
        <f ca="1">IFERROR(__xludf.DUMMYFUNCTION("""COMPUTED_VALUE"""),"String")</f>
        <v>String</v>
      </c>
      <c r="I141" s="13"/>
      <c r="J141" s="4"/>
      <c r="K141" s="5"/>
      <c r="L141" s="86" t="s">
        <v>59</v>
      </c>
      <c r="M141" s="40" t="s">
        <v>60</v>
      </c>
      <c r="N141" s="87" t="s">
        <v>66</v>
      </c>
      <c r="O141" s="87"/>
      <c r="P141" s="92" t="s">
        <v>140</v>
      </c>
      <c r="Q141" s="85" t="s">
        <v>141</v>
      </c>
      <c r="R141" s="40" t="s">
        <v>50</v>
      </c>
      <c r="S141" s="87"/>
      <c r="T141" s="87"/>
      <c r="U141" s="87"/>
      <c r="V141" s="40"/>
      <c r="W141" s="40"/>
      <c r="X141" s="87" t="s">
        <v>148</v>
      </c>
      <c r="Y141" s="40"/>
      <c r="Z141" s="40"/>
      <c r="AA141" s="40"/>
      <c r="AB141" s="23"/>
      <c r="AC141" s="23"/>
      <c r="AD141" s="23"/>
      <c r="AE141" s="23"/>
      <c r="AF141" s="23"/>
      <c r="AG141" s="23"/>
      <c r="AH141" s="23"/>
      <c r="AI141" s="23"/>
      <c r="AJ141" s="23"/>
      <c r="AK141" s="23"/>
      <c r="AL141" s="23"/>
      <c r="AM141" s="23"/>
      <c r="AN141" s="23"/>
      <c r="AO141" s="23"/>
      <c r="AP141" s="23"/>
      <c r="AQ141" s="23"/>
      <c r="AR141" s="23"/>
      <c r="AS141" s="23"/>
      <c r="AT141" s="23"/>
      <c r="AU141" s="23"/>
    </row>
    <row r="142" spans="1:48" ht="12.5" x14ac:dyDescent="0.25">
      <c r="A142" s="5" t="str">
        <f ca="1">IFERROR(__xludf.DUMMYFUNCTION("""COMPUTED_VALUE"""),"No")</f>
        <v>No</v>
      </c>
      <c r="B142" s="96"/>
      <c r="C142" s="96"/>
      <c r="D142" s="97" t="str">
        <f ca="1">IFERROR(__xludf.DUMMYFUNCTION("""COMPUTED_VALUE"""),"Model equation")</f>
        <v>Model equation</v>
      </c>
      <c r="E142" s="97" t="str">
        <f ca="1">IFERROR(__xludf.DUMMYFUNCTION("""COMPUTED_VALUE"""),"0:N")</f>
        <v>0:N</v>
      </c>
      <c r="F142" s="7" t="str">
        <f ca="1">IFERROR(__xludf.DUMMYFUNCTION("""COMPUTED_VALUE"""),"Model equation name")</f>
        <v>Model equation name</v>
      </c>
      <c r="G142" s="5" t="str">
        <f ca="1">IFERROR(__xludf.DUMMYFUNCTION("""COMPUTED_VALUE"""),"1")</f>
        <v>1</v>
      </c>
      <c r="H142" s="7" t="str">
        <f ca="1">IFERROR(__xludf.DUMMYFUNCTION("""COMPUTED_VALUE"""),"String")</f>
        <v>String</v>
      </c>
      <c r="I142" s="13"/>
      <c r="J142" s="4"/>
      <c r="K142" s="5"/>
      <c r="L142" s="86" t="s">
        <v>67</v>
      </c>
      <c r="M142" s="40" t="s">
        <v>24</v>
      </c>
      <c r="N142" s="87" t="s">
        <v>77</v>
      </c>
      <c r="O142" s="87" t="s">
        <v>77</v>
      </c>
      <c r="P142" s="92" t="s">
        <v>131</v>
      </c>
      <c r="Q142" s="93" t="s">
        <v>124</v>
      </c>
      <c r="R142" s="40" t="s">
        <v>62</v>
      </c>
      <c r="S142" s="87" t="s">
        <v>0</v>
      </c>
      <c r="T142" s="87" t="s">
        <v>143</v>
      </c>
      <c r="U142" s="37" t="s">
        <v>153</v>
      </c>
      <c r="V142" s="40" t="s">
        <v>87</v>
      </c>
      <c r="W142" s="37"/>
      <c r="X142" s="87" t="s">
        <v>152</v>
      </c>
      <c r="Y142" s="37"/>
      <c r="Z142" s="37"/>
      <c r="AA142" s="37"/>
      <c r="AB142" s="23"/>
      <c r="AC142" s="23"/>
      <c r="AD142" s="23"/>
      <c r="AE142" s="23"/>
      <c r="AF142" s="23"/>
      <c r="AG142" s="23"/>
      <c r="AH142" s="23"/>
      <c r="AI142" s="23"/>
      <c r="AJ142" s="23"/>
      <c r="AK142" s="23"/>
      <c r="AL142" s="23"/>
      <c r="AM142" s="23"/>
      <c r="AN142" s="23"/>
      <c r="AO142" s="23"/>
      <c r="AP142" s="23"/>
      <c r="AQ142" s="23"/>
      <c r="AR142" s="23"/>
      <c r="AS142" s="23"/>
      <c r="AT142" s="23"/>
      <c r="AU142" s="23"/>
    </row>
    <row r="143" spans="1:48" ht="12.5" x14ac:dyDescent="0.25">
      <c r="A143" s="5" t="str">
        <f ca="1">IFERROR(__xludf.DUMMYFUNCTION("""COMPUTED_VALUE"""),"No")</f>
        <v>No</v>
      </c>
      <c r="B143" s="96"/>
      <c r="C143" s="96"/>
      <c r="D143" s="96"/>
      <c r="E143" s="96"/>
      <c r="F143" s="7" t="str">
        <f ca="1">IFERROR(__xludf.DUMMYFUNCTION("""COMPUTED_VALUE"""),"Model equation class/distribution")</f>
        <v>Model equation class/distribution</v>
      </c>
      <c r="G143" s="5" t="str">
        <f ca="1">IFERROR(__xludf.DUMMYFUNCTION("""COMPUTED_VALUE"""),"0:1")</f>
        <v>0:1</v>
      </c>
      <c r="H143" s="7" t="str">
        <f ca="1">IFERROR(__xludf.DUMMYFUNCTION("""COMPUTED_VALUE"""),"String")</f>
        <v>String</v>
      </c>
      <c r="I143" s="13"/>
      <c r="J143" s="4"/>
      <c r="K143" s="5"/>
      <c r="L143" s="86" t="s">
        <v>68</v>
      </c>
      <c r="M143" s="40" t="s">
        <v>24</v>
      </c>
      <c r="N143" s="87" t="s">
        <v>78</v>
      </c>
      <c r="O143" s="87" t="s">
        <v>78</v>
      </c>
      <c r="P143" s="92" t="s">
        <v>131</v>
      </c>
      <c r="Q143" s="93" t="s">
        <v>124</v>
      </c>
      <c r="R143" s="40" t="s">
        <v>62</v>
      </c>
      <c r="S143" s="87" t="s">
        <v>0</v>
      </c>
      <c r="T143" s="87" t="s">
        <v>143</v>
      </c>
      <c r="U143" s="40" t="s">
        <v>153</v>
      </c>
      <c r="V143" s="40" t="s">
        <v>88</v>
      </c>
      <c r="W143" s="37"/>
      <c r="X143" s="87" t="s">
        <v>152</v>
      </c>
      <c r="Y143" s="37"/>
      <c r="Z143" s="37"/>
      <c r="AA143" s="37"/>
      <c r="AB143" s="23"/>
      <c r="AC143" s="23"/>
      <c r="AD143" s="23"/>
      <c r="AE143" s="23"/>
      <c r="AF143" s="23"/>
      <c r="AG143" s="23"/>
      <c r="AH143" s="23"/>
      <c r="AI143" s="23"/>
      <c r="AJ143" s="23"/>
      <c r="AK143" s="23"/>
      <c r="AL143" s="23"/>
      <c r="AM143" s="23"/>
      <c r="AN143" s="23"/>
      <c r="AO143" s="23"/>
      <c r="AP143" s="23"/>
      <c r="AQ143" s="23"/>
      <c r="AR143" s="23"/>
      <c r="AS143" s="23"/>
      <c r="AT143" s="23"/>
      <c r="AU143" s="23"/>
    </row>
    <row r="144" spans="1:48" ht="12.5" x14ac:dyDescent="0.25">
      <c r="A144" s="5" t="str">
        <f ca="1">IFERROR(__xludf.DUMMYFUNCTION("""COMPUTED_VALUE"""),"No")</f>
        <v>No</v>
      </c>
      <c r="B144" s="96"/>
      <c r="C144" s="96"/>
      <c r="D144" s="96"/>
      <c r="E144" s="96"/>
      <c r="F144" s="7"/>
      <c r="G144" s="5"/>
      <c r="H144" s="7"/>
      <c r="I144" s="13"/>
      <c r="J144" s="4"/>
      <c r="K144" s="5"/>
      <c r="L144" s="86" t="s">
        <v>69</v>
      </c>
      <c r="M144" s="40" t="s">
        <v>24</v>
      </c>
      <c r="N144" s="87" t="s">
        <v>79</v>
      </c>
      <c r="O144" s="87" t="s">
        <v>79</v>
      </c>
      <c r="P144" s="92" t="s">
        <v>131</v>
      </c>
      <c r="Q144" s="93" t="s">
        <v>124</v>
      </c>
      <c r="R144" s="40" t="s">
        <v>62</v>
      </c>
      <c r="S144" s="87" t="s">
        <v>0</v>
      </c>
      <c r="T144" s="87" t="s">
        <v>143</v>
      </c>
      <c r="U144" s="40" t="s">
        <v>153</v>
      </c>
      <c r="V144" s="87" t="s">
        <v>89</v>
      </c>
      <c r="W144" s="37"/>
      <c r="X144" s="87" t="s">
        <v>152</v>
      </c>
      <c r="Y144" s="37"/>
      <c r="Z144" s="37"/>
      <c r="AA144" s="37"/>
      <c r="AB144" s="23"/>
      <c r="AC144" s="23"/>
      <c r="AD144" s="23"/>
      <c r="AE144" s="23"/>
      <c r="AF144" s="23"/>
      <c r="AG144" s="23"/>
      <c r="AH144" s="23"/>
      <c r="AI144" s="23"/>
      <c r="AJ144" s="23"/>
      <c r="AK144" s="23"/>
      <c r="AL144" s="23"/>
      <c r="AM144" s="23"/>
      <c r="AN144" s="23"/>
      <c r="AO144" s="23"/>
      <c r="AP144" s="23"/>
      <c r="AQ144" s="23"/>
      <c r="AR144" s="23"/>
      <c r="AS144" s="23"/>
      <c r="AT144" s="23"/>
      <c r="AU144" s="23"/>
    </row>
    <row r="145" spans="1:47" ht="12.5" x14ac:dyDescent="0.25">
      <c r="A145" s="5" t="str">
        <f ca="1">IFERROR(__xludf.DUMMYFUNCTION("""COMPUTED_VALUE"""),"No")</f>
        <v>No</v>
      </c>
      <c r="B145" s="96"/>
      <c r="C145" s="96"/>
      <c r="D145" s="96"/>
      <c r="E145" s="96"/>
      <c r="F145" s="7"/>
      <c r="G145" s="5"/>
      <c r="H145" s="7"/>
      <c r="I145" s="13"/>
      <c r="J145" s="4"/>
      <c r="K145" s="4"/>
      <c r="L145" s="86" t="s">
        <v>70</v>
      </c>
      <c r="M145" s="40" t="s">
        <v>24</v>
      </c>
      <c r="N145" s="87" t="s">
        <v>80</v>
      </c>
      <c r="O145" s="87" t="s">
        <v>80</v>
      </c>
      <c r="P145" s="92" t="s">
        <v>131</v>
      </c>
      <c r="Q145" s="93" t="s">
        <v>124</v>
      </c>
      <c r="R145" s="40" t="s">
        <v>62</v>
      </c>
      <c r="S145" s="87" t="s">
        <v>0</v>
      </c>
      <c r="T145" s="87" t="s">
        <v>143</v>
      </c>
      <c r="U145" s="40" t="s">
        <v>153</v>
      </c>
      <c r="V145" s="40" t="s">
        <v>90</v>
      </c>
      <c r="W145" s="37"/>
      <c r="X145" s="87" t="s">
        <v>152</v>
      </c>
      <c r="Y145" s="37"/>
      <c r="Z145" s="37"/>
      <c r="AA145" s="37"/>
      <c r="AB145" s="23"/>
      <c r="AC145" s="23"/>
      <c r="AD145" s="23"/>
      <c r="AE145" s="23"/>
      <c r="AF145" s="23"/>
      <c r="AG145" s="23"/>
      <c r="AH145" s="23"/>
      <c r="AI145" s="23"/>
      <c r="AJ145" s="23"/>
      <c r="AK145" s="23"/>
      <c r="AL145" s="23"/>
      <c r="AM145" s="23"/>
      <c r="AN145" s="23"/>
      <c r="AO145" s="23"/>
      <c r="AP145" s="23"/>
      <c r="AQ145" s="23"/>
      <c r="AR145" s="23"/>
      <c r="AS145" s="23"/>
      <c r="AT145" s="23"/>
      <c r="AU145" s="23"/>
    </row>
    <row r="146" spans="1:47" ht="12.5" x14ac:dyDescent="0.25">
      <c r="A146" s="5" t="str">
        <f ca="1">IFERROR(__xludf.DUMMYFUNCTION("""COMPUTED_VALUE"""),"No")</f>
        <v>No</v>
      </c>
      <c r="B146" s="96"/>
      <c r="C146" s="96"/>
      <c r="D146" s="96"/>
      <c r="E146" s="96"/>
      <c r="F146" s="7"/>
      <c r="G146" s="5"/>
      <c r="H146" s="7"/>
      <c r="I146" s="13"/>
      <c r="J146" s="4"/>
      <c r="K146" s="4"/>
      <c r="L146" s="77" t="s">
        <v>71</v>
      </c>
      <c r="M146" s="40" t="s">
        <v>24</v>
      </c>
      <c r="N146" s="87" t="s">
        <v>81</v>
      </c>
      <c r="O146" s="87" t="s">
        <v>81</v>
      </c>
      <c r="P146" s="92" t="s">
        <v>131</v>
      </c>
      <c r="Q146" s="93" t="s">
        <v>124</v>
      </c>
      <c r="R146" s="40" t="s">
        <v>62</v>
      </c>
      <c r="S146" s="87" t="s">
        <v>0</v>
      </c>
      <c r="T146" s="87" t="s">
        <v>143</v>
      </c>
      <c r="U146" s="40" t="s">
        <v>153</v>
      </c>
      <c r="V146" s="40" t="s">
        <v>91</v>
      </c>
      <c r="W146" s="37"/>
      <c r="X146" s="87" t="s">
        <v>152</v>
      </c>
      <c r="Y146" s="37"/>
      <c r="Z146" s="37"/>
      <c r="AA146" s="37"/>
      <c r="AB146" s="23"/>
      <c r="AC146" s="23"/>
      <c r="AD146" s="23"/>
      <c r="AE146" s="23"/>
      <c r="AF146" s="23"/>
      <c r="AG146" s="23"/>
      <c r="AH146" s="23"/>
      <c r="AI146" s="23"/>
      <c r="AJ146" s="23"/>
      <c r="AK146" s="23"/>
      <c r="AL146" s="23"/>
      <c r="AM146" s="23"/>
      <c r="AN146" s="23"/>
      <c r="AO146" s="23"/>
      <c r="AP146" s="23"/>
      <c r="AQ146" s="23"/>
      <c r="AR146" s="23"/>
      <c r="AS146" s="23"/>
      <c r="AT146" s="23"/>
      <c r="AU146" s="23"/>
    </row>
    <row r="147" spans="1:47" ht="12.5" x14ac:dyDescent="0.25">
      <c r="A147" s="5" t="str">
        <f ca="1">IFERROR(__xludf.DUMMYFUNCTION("""COMPUTED_VALUE"""),"No")</f>
        <v>No</v>
      </c>
      <c r="B147" s="96"/>
      <c r="C147" s="96"/>
      <c r="D147" s="96"/>
      <c r="E147" s="96"/>
      <c r="F147" s="7" t="str">
        <f ca="1">IFERROR(__xludf.DUMMYFUNCTION("""COMPUTED_VALUE"""),"Model equation reference")</f>
        <v>Model equation reference</v>
      </c>
      <c r="G147" s="5" t="str">
        <f ca="1">IFERROR(__xludf.DUMMYFUNCTION("""COMPUTED_VALUE"""),"0:N")</f>
        <v>0:N</v>
      </c>
      <c r="H147" s="7" t="str">
        <f ca="1">IFERROR(__xludf.DUMMYFUNCTION("""COMPUTED_VALUE"""),"RIS")</f>
        <v>RIS</v>
      </c>
      <c r="I147" s="13"/>
      <c r="J147" s="4"/>
      <c r="K147" s="4"/>
      <c r="L147" s="77" t="s">
        <v>72</v>
      </c>
      <c r="M147" s="40" t="s">
        <v>24</v>
      </c>
      <c r="N147" s="87" t="s">
        <v>82</v>
      </c>
      <c r="O147" s="87" t="s">
        <v>82</v>
      </c>
      <c r="P147" s="92" t="s">
        <v>131</v>
      </c>
      <c r="Q147" s="93" t="s">
        <v>124</v>
      </c>
      <c r="R147" s="40" t="s">
        <v>62</v>
      </c>
      <c r="S147" s="87" t="s">
        <v>0</v>
      </c>
      <c r="T147" s="87" t="s">
        <v>143</v>
      </c>
      <c r="U147" s="40" t="s">
        <v>153</v>
      </c>
      <c r="V147" s="87" t="s">
        <v>92</v>
      </c>
      <c r="W147" s="37"/>
      <c r="X147" s="87" t="s">
        <v>152</v>
      </c>
      <c r="Y147" s="37"/>
      <c r="Z147" s="37"/>
      <c r="AA147" s="37"/>
      <c r="AB147" s="23"/>
      <c r="AC147" s="23"/>
      <c r="AD147" s="23"/>
      <c r="AE147" s="23"/>
      <c r="AF147" s="23"/>
      <c r="AG147" s="23"/>
      <c r="AH147" s="23"/>
      <c r="AI147" s="23"/>
      <c r="AJ147" s="23"/>
      <c r="AK147" s="23"/>
      <c r="AL147" s="23"/>
      <c r="AM147" s="23"/>
      <c r="AN147" s="23"/>
      <c r="AO147" s="23"/>
      <c r="AP147" s="23"/>
      <c r="AQ147" s="23"/>
      <c r="AR147" s="23"/>
      <c r="AS147" s="23"/>
      <c r="AT147" s="23"/>
      <c r="AU147" s="23"/>
    </row>
    <row r="148" spans="1:47" ht="12.5" x14ac:dyDescent="0.25">
      <c r="A148" s="5" t="str">
        <f ca="1">IFERROR(__xludf.DUMMYFUNCTION("""COMPUTED_VALUE"""),"No")</f>
        <v>No</v>
      </c>
      <c r="B148" s="96"/>
      <c r="C148" s="96"/>
      <c r="D148" s="96"/>
      <c r="E148" s="96"/>
      <c r="F148" s="7" t="str">
        <f ca="1">IFERROR(__xludf.DUMMYFUNCTION("""COMPUTED_VALUE"""),"Model equation / Script")</f>
        <v>Model equation / Script</v>
      </c>
      <c r="G148" s="5" t="str">
        <f ca="1">IFERROR(__xludf.DUMMYFUNCTION("""COMPUTED_VALUE"""),"1")</f>
        <v>1</v>
      </c>
      <c r="H148" s="7" t="str">
        <f ca="1">IFERROR(__xludf.DUMMYFUNCTION("""COMPUTED_VALUE"""),"String")</f>
        <v>String</v>
      </c>
      <c r="I148" s="13"/>
      <c r="J148" s="4"/>
      <c r="K148" s="4"/>
      <c r="L148" s="86" t="s">
        <v>73</v>
      </c>
      <c r="M148" s="40" t="s">
        <v>24</v>
      </c>
      <c r="N148" s="87" t="s">
        <v>83</v>
      </c>
      <c r="O148" s="87" t="s">
        <v>83</v>
      </c>
      <c r="P148" s="92" t="s">
        <v>131</v>
      </c>
      <c r="Q148" s="93" t="s">
        <v>124</v>
      </c>
      <c r="R148" s="40" t="s">
        <v>62</v>
      </c>
      <c r="S148" s="87" t="s">
        <v>0</v>
      </c>
      <c r="T148" s="87" t="s">
        <v>143</v>
      </c>
      <c r="U148" s="40" t="s">
        <v>153</v>
      </c>
      <c r="V148" s="87" t="s">
        <v>93</v>
      </c>
      <c r="W148" s="37"/>
      <c r="X148" s="87" t="s">
        <v>152</v>
      </c>
      <c r="Y148" s="37"/>
      <c r="Z148" s="37"/>
      <c r="AA148" s="37"/>
      <c r="AB148" s="23"/>
      <c r="AC148" s="23"/>
      <c r="AD148" s="23"/>
      <c r="AE148" s="23"/>
      <c r="AF148" s="23"/>
      <c r="AG148" s="23"/>
      <c r="AH148" s="23"/>
      <c r="AI148" s="23"/>
      <c r="AJ148" s="23"/>
      <c r="AK148" s="23"/>
      <c r="AL148" s="23"/>
      <c r="AM148" s="23"/>
      <c r="AN148" s="23"/>
      <c r="AO148" s="23"/>
      <c r="AP148" s="23"/>
      <c r="AQ148" s="23"/>
      <c r="AR148" s="23"/>
      <c r="AS148" s="23"/>
      <c r="AT148" s="23"/>
      <c r="AU148" s="23"/>
    </row>
    <row r="149" spans="1:47" ht="12.5" x14ac:dyDescent="0.25">
      <c r="A149" s="5" t="str">
        <f ca="1">IFERROR(__xludf.DUMMYFUNCTION("""COMPUTED_VALUE"""),"No")</f>
        <v>No</v>
      </c>
      <c r="B149" s="96"/>
      <c r="C149" s="96"/>
      <c r="D149" s="96"/>
      <c r="E149" s="96"/>
      <c r="F149" s="7" t="str">
        <f ca="1">IFERROR(__xludf.DUMMYFUNCTION("""COMPUTED_VALUE"""),"Hypothesis of the model")</f>
        <v>Hypothesis of the model</v>
      </c>
      <c r="G149" s="5" t="str">
        <f ca="1">IFERROR(__xludf.DUMMYFUNCTION("""COMPUTED_VALUE"""),"0:N")</f>
        <v>0:N</v>
      </c>
      <c r="H149" s="7" t="str">
        <f ca="1">IFERROR(__xludf.DUMMYFUNCTION("""COMPUTED_VALUE"""),"String")</f>
        <v>String</v>
      </c>
      <c r="I149" s="13"/>
      <c r="J149" s="4"/>
      <c r="K149" s="4"/>
      <c r="L149" s="77" t="s">
        <v>74</v>
      </c>
      <c r="M149" s="40" t="s">
        <v>24</v>
      </c>
      <c r="N149" s="87" t="s">
        <v>84</v>
      </c>
      <c r="O149" s="87" t="s">
        <v>84</v>
      </c>
      <c r="P149" s="92" t="s">
        <v>131</v>
      </c>
      <c r="Q149" s="93" t="s">
        <v>124</v>
      </c>
      <c r="R149" s="40" t="s">
        <v>62</v>
      </c>
      <c r="S149" s="87" t="s">
        <v>0</v>
      </c>
      <c r="T149" s="87" t="s">
        <v>143</v>
      </c>
      <c r="U149" s="40" t="s">
        <v>153</v>
      </c>
      <c r="V149" s="40" t="s">
        <v>94</v>
      </c>
      <c r="W149" s="37"/>
      <c r="X149" s="87" t="s">
        <v>152</v>
      </c>
      <c r="Y149" s="37"/>
      <c r="Z149" s="37"/>
      <c r="AA149" s="37"/>
      <c r="AB149" s="23"/>
      <c r="AC149" s="23"/>
      <c r="AD149" s="23"/>
      <c r="AE149" s="23"/>
      <c r="AF149" s="23"/>
      <c r="AG149" s="23"/>
      <c r="AH149" s="23"/>
      <c r="AI149" s="23"/>
      <c r="AJ149" s="23"/>
      <c r="AK149" s="23"/>
      <c r="AL149" s="23"/>
      <c r="AM149" s="23"/>
      <c r="AN149" s="23"/>
      <c r="AO149" s="23"/>
      <c r="AP149" s="23"/>
      <c r="AQ149" s="23"/>
      <c r="AR149" s="23"/>
      <c r="AS149" s="23"/>
      <c r="AT149" s="23"/>
      <c r="AU149" s="23"/>
    </row>
    <row r="150" spans="1:47" ht="16.5" customHeight="1" x14ac:dyDescent="0.25">
      <c r="A150" s="5" t="str">
        <f ca="1">IFERROR(__xludf.DUMMYFUNCTION("""COMPUTED_VALUE"""),"No")</f>
        <v>No</v>
      </c>
      <c r="B150" s="96"/>
      <c r="C150" s="96"/>
      <c r="D150" s="5" t="str">
        <f ca="1">IFERROR(__xludf.DUMMYFUNCTION("""COMPUTED_VALUE"""),"Fitting procedure")</f>
        <v>Fitting procedure</v>
      </c>
      <c r="E150" s="97" t="str">
        <f ca="1">IFERROR(__xludf.DUMMYFUNCTION("""COMPUTED_VALUE"""),"0:1")</f>
        <v>0:1</v>
      </c>
      <c r="F150" s="96"/>
      <c r="G150" s="96"/>
      <c r="H150" s="7" t="str">
        <f ca="1">IFERROR(__xludf.DUMMYFUNCTION("""COMPUTED_VALUE"""),"String
")</f>
        <v xml:space="preserve">String
</v>
      </c>
      <c r="I150" s="10"/>
      <c r="J150" s="4"/>
      <c r="K150" s="4"/>
      <c r="L150" s="86" t="s">
        <v>75</v>
      </c>
      <c r="M150" s="40" t="s">
        <v>24</v>
      </c>
      <c r="N150" s="87" t="s">
        <v>85</v>
      </c>
      <c r="O150" s="87" t="s">
        <v>85</v>
      </c>
      <c r="P150" s="92" t="s">
        <v>131</v>
      </c>
      <c r="Q150" s="93" t="s">
        <v>124</v>
      </c>
      <c r="R150" s="40" t="s">
        <v>50</v>
      </c>
      <c r="S150" s="87" t="s">
        <v>142</v>
      </c>
      <c r="T150" s="87" t="s">
        <v>143</v>
      </c>
      <c r="U150" s="37"/>
      <c r="V150" s="40">
        <v>0.25917000000000001</v>
      </c>
      <c r="W150" s="37"/>
      <c r="X150" s="87" t="s">
        <v>152</v>
      </c>
      <c r="Y150" s="37"/>
      <c r="Z150" s="37"/>
      <c r="AA150" s="37"/>
      <c r="AB150" s="23"/>
      <c r="AC150" s="23"/>
      <c r="AD150" s="23"/>
      <c r="AE150" s="23"/>
      <c r="AF150" s="23"/>
      <c r="AG150" s="23"/>
      <c r="AH150" s="23"/>
      <c r="AI150" s="23"/>
      <c r="AJ150" s="23"/>
      <c r="AK150" s="23"/>
      <c r="AL150" s="23"/>
      <c r="AM150" s="23"/>
      <c r="AN150" s="23"/>
      <c r="AO150" s="23"/>
      <c r="AP150" s="23"/>
      <c r="AQ150" s="23"/>
      <c r="AR150" s="23"/>
      <c r="AS150" s="23"/>
      <c r="AT150" s="23"/>
      <c r="AU150" s="23"/>
    </row>
    <row r="151" spans="1:47" ht="12.5" x14ac:dyDescent="0.25">
      <c r="A151" s="5" t="str">
        <f ca="1">IFERROR(__xludf.DUMMYFUNCTION("""COMPUTED_VALUE"""),"No")</f>
        <v>No</v>
      </c>
      <c r="B151" s="96"/>
      <c r="C151" s="96"/>
      <c r="D151" s="97" t="str">
        <f ca="1">IFERROR(__xludf.DUMMYFUNCTION("""COMPUTED_VALUE"""),"Exposure")</f>
        <v>Exposure</v>
      </c>
      <c r="E151" s="97" t="str">
        <f ca="1">IFERROR(__xludf.DUMMYFUNCTION("""COMPUTED_VALUE"""),"0:1")</f>
        <v>0:1</v>
      </c>
      <c r="F151" s="7" t="str">
        <f ca="1">IFERROR(__xludf.DUMMYFUNCTION("""COMPUTED_VALUE"""),"Methodological treatment of left-censored data")</f>
        <v>Methodological treatment of left-censored data</v>
      </c>
      <c r="G151" s="5" t="str">
        <f ca="1">IFERROR(__xludf.DUMMYFUNCTION("""COMPUTED_VALUE"""),"0:N")</f>
        <v>0:N</v>
      </c>
      <c r="H151" s="7" t="str">
        <f ca="1">IFERROR(__xludf.DUMMYFUNCTION("""COMPUTED_VALUE"""),"String")</f>
        <v>String</v>
      </c>
      <c r="I151" s="10"/>
      <c r="J151" s="4"/>
      <c r="K151" s="4"/>
      <c r="L151" s="86" t="s">
        <v>76</v>
      </c>
      <c r="M151" s="40" t="s">
        <v>24</v>
      </c>
      <c r="N151" s="87" t="s">
        <v>86</v>
      </c>
      <c r="O151" s="87" t="s">
        <v>86</v>
      </c>
      <c r="P151" s="92" t="s">
        <v>131</v>
      </c>
      <c r="Q151" s="93" t="s">
        <v>124</v>
      </c>
      <c r="R151" s="40" t="s">
        <v>50</v>
      </c>
      <c r="S151" s="87" t="s">
        <v>142</v>
      </c>
      <c r="T151" s="87" t="s">
        <v>143</v>
      </c>
      <c r="U151" s="37"/>
      <c r="V151" s="40">
        <v>0.14208000000000001</v>
      </c>
      <c r="W151" s="37"/>
      <c r="X151" s="87" t="s">
        <v>152</v>
      </c>
      <c r="Y151" s="37"/>
      <c r="Z151" s="37"/>
      <c r="AA151" s="37"/>
      <c r="AB151" s="23"/>
      <c r="AC151" s="23"/>
      <c r="AD151" s="23"/>
      <c r="AE151" s="23"/>
      <c r="AF151" s="23"/>
      <c r="AG151" s="23"/>
      <c r="AH151" s="23"/>
      <c r="AI151" s="23"/>
      <c r="AJ151" s="23"/>
      <c r="AK151" s="23"/>
      <c r="AL151" s="23"/>
      <c r="AM151" s="23"/>
      <c r="AN151" s="23"/>
      <c r="AO151" s="23"/>
      <c r="AP151" s="23"/>
      <c r="AQ151" s="23"/>
      <c r="AR151" s="23"/>
      <c r="AS151" s="23"/>
      <c r="AT151" s="23"/>
      <c r="AU151" s="23"/>
    </row>
    <row r="152" spans="1:47" ht="12.5" x14ac:dyDescent="0.25">
      <c r="A152" s="5" t="str">
        <f ca="1">IFERROR(__xludf.DUMMYFUNCTION("""COMPUTED_VALUE"""),"No")</f>
        <v>No</v>
      </c>
      <c r="B152" s="96"/>
      <c r="C152" s="96"/>
      <c r="D152" s="96"/>
      <c r="E152" s="96"/>
      <c r="F152" s="7" t="str">
        <f ca="1">IFERROR(__xludf.DUMMYFUNCTION("""COMPUTED_VALUE"""),"Level of contamination after left-censored data treatment")</f>
        <v>Level of contamination after left-censored data treatment</v>
      </c>
      <c r="G152" s="5" t="str">
        <f ca="1">IFERROR(__xludf.DUMMYFUNCTION("""COMPUTED_VALUE"""),"0:N")</f>
        <v>0:N</v>
      </c>
      <c r="H152" s="7" t="str">
        <f ca="1">IFERROR(__xludf.DUMMYFUNCTION("""COMPUTED_VALUE"""),"String")</f>
        <v>String</v>
      </c>
      <c r="I152" s="10"/>
      <c r="J152" s="4"/>
      <c r="K152" s="4"/>
      <c r="L152" s="77"/>
      <c r="M152" s="40"/>
      <c r="N152" s="87"/>
      <c r="O152" s="37"/>
      <c r="P152" s="36"/>
      <c r="Q152" s="38"/>
      <c r="R152" s="40"/>
      <c r="S152" s="37"/>
      <c r="T152" s="37"/>
      <c r="U152" s="37"/>
      <c r="V152" s="40"/>
      <c r="W152" s="37"/>
      <c r="X152" s="37"/>
      <c r="Y152" s="37"/>
      <c r="Z152" s="37"/>
      <c r="AA152" s="37"/>
      <c r="AB152" s="23"/>
      <c r="AC152" s="23"/>
      <c r="AD152" s="23"/>
      <c r="AE152" s="23"/>
      <c r="AF152" s="23"/>
      <c r="AG152" s="23"/>
      <c r="AH152" s="23"/>
      <c r="AI152" s="23"/>
      <c r="AJ152" s="23"/>
      <c r="AK152" s="23"/>
      <c r="AL152" s="23"/>
      <c r="AM152" s="23"/>
      <c r="AN152" s="23"/>
      <c r="AO152" s="23"/>
      <c r="AP152" s="23"/>
      <c r="AQ152" s="23"/>
      <c r="AR152" s="23"/>
      <c r="AS152" s="23"/>
      <c r="AT152" s="23"/>
      <c r="AU152" s="23"/>
    </row>
    <row r="153" spans="1:47" ht="12.5" x14ac:dyDescent="0.25">
      <c r="A153" s="5" t="str">
        <f ca="1">IFERROR(__xludf.DUMMYFUNCTION("""COMPUTED_VALUE"""),"No")</f>
        <v>No</v>
      </c>
      <c r="B153" s="96"/>
      <c r="C153" s="96"/>
      <c r="D153" s="96"/>
      <c r="E153" s="96"/>
      <c r="F153" s="7" t="str">
        <f ca="1">IFERROR(__xludf.DUMMYFUNCTION("""COMPUTED_VALUE"""),"Type of exposure")</f>
        <v>Type of exposure</v>
      </c>
      <c r="G153" s="5" t="str">
        <f ca="1">IFERROR(__xludf.DUMMYFUNCTION("""COMPUTED_VALUE"""),"1")</f>
        <v>1</v>
      </c>
      <c r="H153" s="7" t="str">
        <f ca="1">IFERROR(__xludf.DUMMYFUNCTION("""COMPUTED_VALUE"""),"String")</f>
        <v>String</v>
      </c>
      <c r="I153" s="10"/>
      <c r="J153" s="4"/>
      <c r="K153" s="4"/>
      <c r="L153" s="77"/>
      <c r="M153" s="40"/>
      <c r="N153" s="87"/>
      <c r="O153" s="37"/>
      <c r="P153" s="36"/>
      <c r="Q153" s="38"/>
      <c r="R153" s="40"/>
      <c r="S153" s="37"/>
      <c r="T153" s="37"/>
      <c r="U153" s="37"/>
      <c r="V153" s="37"/>
      <c r="W153" s="37"/>
      <c r="X153" s="37"/>
      <c r="Y153" s="37"/>
      <c r="Z153" s="37"/>
      <c r="AA153" s="37"/>
      <c r="AB153" s="23"/>
      <c r="AC153" s="23"/>
      <c r="AD153" s="23"/>
      <c r="AE153" s="23"/>
      <c r="AF153" s="23"/>
      <c r="AG153" s="23"/>
      <c r="AH153" s="23"/>
      <c r="AI153" s="23"/>
      <c r="AJ153" s="23"/>
      <c r="AK153" s="23"/>
      <c r="AL153" s="23"/>
      <c r="AM153" s="23"/>
      <c r="AN153" s="23"/>
      <c r="AO153" s="23"/>
      <c r="AP153" s="23"/>
      <c r="AQ153" s="23"/>
      <c r="AR153" s="23"/>
      <c r="AS153" s="23"/>
      <c r="AT153" s="23"/>
      <c r="AU153" s="23"/>
    </row>
    <row r="154" spans="1:47" ht="12.5" x14ac:dyDescent="0.25">
      <c r="A154" s="5" t="str">
        <f ca="1">IFERROR(__xludf.DUMMYFUNCTION("""COMPUTED_VALUE"""),"No")</f>
        <v>No</v>
      </c>
      <c r="B154" s="96"/>
      <c r="C154" s="96"/>
      <c r="D154" s="96"/>
      <c r="E154" s="96"/>
      <c r="F154" s="7" t="str">
        <f ca="1">IFERROR(__xludf.DUMMYFUNCTION("""COMPUTED_VALUE"""),"Scenario")</f>
        <v>Scenario</v>
      </c>
      <c r="G154" s="5" t="str">
        <f ca="1">IFERROR(__xludf.DUMMYFUNCTION("""COMPUTED_VALUE"""),"0:N")</f>
        <v>0:N</v>
      </c>
      <c r="H154" s="7" t="str">
        <f ca="1">IFERROR(__xludf.DUMMYFUNCTION("""COMPUTED_VALUE"""),"String")</f>
        <v>String</v>
      </c>
      <c r="I154" s="10"/>
      <c r="J154" s="4"/>
      <c r="K154" s="4"/>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row>
    <row r="155" spans="1:47" ht="12.5" x14ac:dyDescent="0.25">
      <c r="A155" s="5" t="str">
        <f ca="1">IFERROR(__xludf.DUMMYFUNCTION("""COMPUTED_VALUE"""),"No")</f>
        <v>No</v>
      </c>
      <c r="B155" s="96"/>
      <c r="C155" s="96"/>
      <c r="D155" s="96"/>
      <c r="E155" s="96"/>
      <c r="F155" s="7" t="str">
        <f ca="1">IFERROR(__xludf.DUMMYFUNCTION("""COMPUTED_VALUE"""),"Uncertainty estimation")</f>
        <v>Uncertainty estimation</v>
      </c>
      <c r="G155" s="5" t="str">
        <f ca="1">IFERROR(__xludf.DUMMYFUNCTION("""COMPUTED_VALUE"""),"0:1")</f>
        <v>0:1</v>
      </c>
      <c r="H155" s="7" t="str">
        <f ca="1">IFERROR(__xludf.DUMMYFUNCTION("""COMPUTED_VALUE"""),"String")</f>
        <v>String</v>
      </c>
      <c r="I155" s="10"/>
      <c r="J155" s="4"/>
      <c r="K155" s="4"/>
      <c r="L155" s="4"/>
      <c r="M155" s="4"/>
      <c r="N155" s="4"/>
      <c r="O155" s="4"/>
      <c r="P155" s="4"/>
      <c r="Q155" s="4"/>
      <c r="R155" s="4"/>
      <c r="S155" s="4"/>
      <c r="T155" s="4"/>
      <c r="U155" s="4"/>
      <c r="V155" s="4"/>
      <c r="W155" s="4"/>
      <c r="X155" s="4"/>
      <c r="Y155" s="4"/>
      <c r="Z155" s="4"/>
      <c r="AA155" s="4"/>
      <c r="AB155" s="23"/>
      <c r="AC155" s="23"/>
      <c r="AD155" s="23"/>
      <c r="AE155" s="23"/>
      <c r="AF155" s="23"/>
      <c r="AG155" s="23"/>
      <c r="AH155" s="23"/>
      <c r="AI155" s="23"/>
      <c r="AJ155" s="4"/>
      <c r="AK155" s="4"/>
      <c r="AL155" s="4"/>
      <c r="AM155" s="4"/>
      <c r="AN155" s="4"/>
      <c r="AO155" s="4"/>
      <c r="AP155" s="4"/>
      <c r="AQ155" s="4"/>
      <c r="AR155" s="4"/>
      <c r="AS155" s="4"/>
      <c r="AT155" s="4"/>
      <c r="AU155" s="4"/>
    </row>
    <row r="156" spans="1:47" ht="12.5" x14ac:dyDescent="0.25">
      <c r="A156" s="5" t="str">
        <f ca="1">IFERROR(__xludf.DUMMYFUNCTION("""COMPUTED_VALUE"""),"No")</f>
        <v>No</v>
      </c>
      <c r="B156" s="96"/>
      <c r="C156" s="96"/>
      <c r="D156" s="5" t="str">
        <f ca="1">IFERROR(__xludf.DUMMYFUNCTION("""COMPUTED_VALUE"""),"Events")</f>
        <v>Events</v>
      </c>
      <c r="E156" s="97" t="str">
        <f ca="1">IFERROR(__xludf.DUMMYFUNCTION("""COMPUTED_VALUE"""),"0:N")</f>
        <v>0:N</v>
      </c>
      <c r="F156" s="96"/>
      <c r="G156" s="96"/>
      <c r="H156" s="7" t="str">
        <f ca="1">IFERROR(__xludf.DUMMYFUNCTION("""COMPUTED_VALUE"""),"String")</f>
        <v>String</v>
      </c>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x14ac:dyDescent="0.25">
      <c r="A157" s="5"/>
      <c r="B157" s="5"/>
      <c r="C157" s="5"/>
      <c r="D157" s="5"/>
      <c r="E157" s="5"/>
      <c r="F157" s="7"/>
      <c r="G157" s="5"/>
      <c r="H157" s="7"/>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x14ac:dyDescent="0.25">
      <c r="A158" s="5"/>
      <c r="B158" s="5"/>
      <c r="C158" s="5"/>
      <c r="D158" s="5"/>
      <c r="E158" s="5"/>
      <c r="F158" s="7"/>
      <c r="G158" s="5"/>
      <c r="H158" s="7"/>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x14ac:dyDescent="0.25">
      <c r="A159" s="5"/>
      <c r="B159" s="5"/>
      <c r="C159" s="5"/>
      <c r="D159" s="5"/>
      <c r="E159" s="5"/>
      <c r="F159" s="7"/>
      <c r="G159" s="5"/>
      <c r="H159" s="7"/>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x14ac:dyDescent="0.25">
      <c r="A160" s="5"/>
      <c r="B160" s="5"/>
      <c r="C160" s="5"/>
      <c r="D160" s="5"/>
      <c r="E160" s="5"/>
      <c r="F160" s="7"/>
      <c r="G160" s="5"/>
      <c r="H160" s="7"/>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x14ac:dyDescent="0.25">
      <c r="A161" s="5"/>
      <c r="B161" s="5"/>
      <c r="C161" s="5"/>
      <c r="D161" s="5"/>
      <c r="E161" s="5"/>
      <c r="F161" s="7"/>
      <c r="G161" s="5"/>
      <c r="H161" s="7"/>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x14ac:dyDescent="0.25">
      <c r="A162" s="5"/>
      <c r="B162" s="5"/>
      <c r="C162" s="5"/>
      <c r="D162" s="5"/>
      <c r="E162" s="5"/>
      <c r="F162" s="7"/>
      <c r="G162" s="5"/>
      <c r="H162" s="7"/>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x14ac:dyDescent="0.25">
      <c r="A163" s="5"/>
      <c r="B163" s="5"/>
      <c r="C163" s="5"/>
      <c r="D163" s="5"/>
      <c r="E163" s="5"/>
      <c r="F163" s="7"/>
      <c r="G163" s="5"/>
      <c r="H163" s="7"/>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x14ac:dyDescent="0.25">
      <c r="A164" s="5"/>
      <c r="B164" s="5"/>
      <c r="C164" s="5"/>
      <c r="D164" s="5"/>
      <c r="E164" s="5"/>
      <c r="F164" s="7"/>
      <c r="G164" s="5"/>
      <c r="H164" s="7"/>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x14ac:dyDescent="0.25">
      <c r="A165" s="5"/>
      <c r="B165" s="5"/>
      <c r="C165" s="5"/>
      <c r="D165" s="5"/>
      <c r="E165" s="5"/>
      <c r="F165" s="7"/>
      <c r="G165" s="5"/>
      <c r="H165" s="7"/>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x14ac:dyDescent="0.25">
      <c r="A166" s="5"/>
      <c r="B166" s="5"/>
      <c r="C166" s="5"/>
      <c r="D166" s="5"/>
      <c r="E166" s="5"/>
      <c r="F166" s="7"/>
      <c r="G166" s="5"/>
      <c r="H166" s="7"/>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x14ac:dyDescent="0.25">
      <c r="A167" s="5"/>
      <c r="B167" s="5"/>
      <c r="C167" s="5"/>
      <c r="D167" s="5"/>
      <c r="E167" s="5"/>
      <c r="F167" s="7"/>
      <c r="G167" s="5"/>
      <c r="H167" s="7"/>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x14ac:dyDescent="0.25">
      <c r="A168" s="5"/>
      <c r="B168" s="5"/>
      <c r="C168" s="5"/>
      <c r="D168" s="5"/>
      <c r="E168" s="5"/>
      <c r="F168" s="7"/>
      <c r="G168" s="5"/>
      <c r="H168" s="7"/>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x14ac:dyDescent="0.25">
      <c r="A169" s="5"/>
      <c r="B169" s="5"/>
      <c r="C169" s="5"/>
      <c r="D169" s="5"/>
      <c r="E169" s="5"/>
      <c r="F169" s="7"/>
      <c r="G169" s="5"/>
      <c r="H169" s="7"/>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x14ac:dyDescent="0.25">
      <c r="A170" s="5"/>
      <c r="B170" s="5"/>
      <c r="C170" s="5"/>
      <c r="D170" s="5"/>
      <c r="E170" s="5"/>
      <c r="F170" s="7"/>
      <c r="G170" s="5"/>
      <c r="H170" s="7"/>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x14ac:dyDescent="0.25">
      <c r="A171" s="5"/>
      <c r="B171" s="5"/>
      <c r="C171" s="5"/>
      <c r="D171" s="5"/>
      <c r="E171" s="5"/>
      <c r="F171" s="7"/>
      <c r="G171" s="5"/>
      <c r="H171" s="7"/>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x14ac:dyDescent="0.25">
      <c r="A172" s="5"/>
      <c r="B172" s="5"/>
      <c r="C172" s="5"/>
      <c r="D172" s="5"/>
      <c r="E172" s="5"/>
      <c r="F172" s="7"/>
      <c r="G172" s="5"/>
      <c r="H172" s="7"/>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x14ac:dyDescent="0.25">
      <c r="A173" s="5"/>
      <c r="B173" s="5"/>
      <c r="C173" s="5"/>
      <c r="D173" s="5"/>
      <c r="E173" s="5"/>
      <c r="F173" s="7"/>
      <c r="G173" s="5"/>
      <c r="H173" s="7"/>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x14ac:dyDescent="0.25">
      <c r="A174" s="5"/>
      <c r="B174" s="5"/>
      <c r="C174" s="5"/>
      <c r="D174" s="5"/>
      <c r="E174" s="5"/>
      <c r="F174" s="7"/>
      <c r="G174" s="5"/>
      <c r="H174" s="7"/>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x14ac:dyDescent="0.25">
      <c r="A175" s="5"/>
      <c r="B175" s="5"/>
      <c r="C175" s="5"/>
      <c r="D175" s="5"/>
      <c r="E175" s="5"/>
      <c r="F175" s="7"/>
      <c r="G175" s="5"/>
      <c r="H175" s="7"/>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x14ac:dyDescent="0.25">
      <c r="A176" s="5"/>
      <c r="B176" s="5"/>
      <c r="C176" s="5"/>
      <c r="D176" s="5"/>
      <c r="E176" s="5"/>
      <c r="F176" s="7"/>
      <c r="G176" s="5"/>
      <c r="H176" s="7"/>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x14ac:dyDescent="0.25">
      <c r="A177" s="5"/>
      <c r="B177" s="5"/>
      <c r="C177" s="5"/>
      <c r="D177" s="5"/>
      <c r="E177" s="5"/>
      <c r="F177" s="7"/>
      <c r="G177" s="5"/>
      <c r="H177" s="7"/>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x14ac:dyDescent="0.25">
      <c r="A178" s="5"/>
      <c r="B178" s="5"/>
      <c r="C178" s="5"/>
      <c r="D178" s="5"/>
      <c r="E178" s="5"/>
      <c r="F178" s="7"/>
      <c r="G178" s="5"/>
      <c r="H178" s="7"/>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x14ac:dyDescent="0.25">
      <c r="A179" s="5"/>
      <c r="B179" s="5"/>
      <c r="C179" s="5"/>
      <c r="D179" s="5"/>
      <c r="E179" s="5"/>
      <c r="F179" s="7"/>
      <c r="G179" s="5"/>
      <c r="H179" s="7"/>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x14ac:dyDescent="0.25">
      <c r="A180" s="5"/>
      <c r="B180" s="5"/>
      <c r="C180" s="5"/>
      <c r="D180" s="5"/>
      <c r="E180" s="5"/>
      <c r="F180" s="7"/>
      <c r="G180" s="5"/>
      <c r="H180" s="7"/>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x14ac:dyDescent="0.25">
      <c r="A181" s="5"/>
      <c r="B181" s="5"/>
      <c r="C181" s="5"/>
      <c r="D181" s="5"/>
      <c r="E181" s="5"/>
      <c r="F181" s="7"/>
      <c r="G181" s="5"/>
      <c r="H181" s="7"/>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x14ac:dyDescent="0.25">
      <c r="A182" s="5"/>
      <c r="B182" s="5"/>
      <c r="C182" s="5"/>
      <c r="D182" s="5"/>
      <c r="E182" s="5"/>
      <c r="F182" s="7"/>
      <c r="G182" s="5"/>
      <c r="H182" s="7"/>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x14ac:dyDescent="0.25">
      <c r="A183" s="5"/>
      <c r="B183" s="5"/>
      <c r="C183" s="5"/>
      <c r="D183" s="5"/>
      <c r="E183" s="5"/>
      <c r="F183" s="7"/>
      <c r="G183" s="5"/>
      <c r="H183" s="7"/>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x14ac:dyDescent="0.25">
      <c r="A184" s="5"/>
      <c r="B184" s="5"/>
      <c r="C184" s="5"/>
      <c r="D184" s="5"/>
      <c r="E184" s="5"/>
      <c r="F184" s="7"/>
      <c r="G184" s="5"/>
      <c r="H184" s="7"/>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x14ac:dyDescent="0.25">
      <c r="A185" s="5"/>
      <c r="B185" s="5"/>
      <c r="C185" s="5"/>
      <c r="D185" s="5"/>
      <c r="E185" s="5"/>
      <c r="F185" s="7"/>
      <c r="G185" s="5"/>
      <c r="H185" s="7"/>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x14ac:dyDescent="0.25">
      <c r="A186" s="5"/>
      <c r="B186" s="5"/>
      <c r="C186" s="5"/>
      <c r="D186" s="5"/>
      <c r="E186" s="5"/>
      <c r="F186" s="7"/>
      <c r="G186" s="5"/>
      <c r="H186" s="7"/>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x14ac:dyDescent="0.25">
      <c r="A187" s="5"/>
      <c r="B187" s="5"/>
      <c r="C187" s="5"/>
      <c r="D187" s="5"/>
      <c r="E187" s="5"/>
      <c r="F187" s="7"/>
      <c r="G187" s="5"/>
      <c r="H187" s="7"/>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x14ac:dyDescent="0.25">
      <c r="A188" s="5"/>
      <c r="B188" s="5"/>
      <c r="C188" s="5"/>
      <c r="D188" s="5"/>
      <c r="E188" s="5"/>
      <c r="F188" s="7"/>
      <c r="G188" s="5"/>
      <c r="H188" s="7"/>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x14ac:dyDescent="0.25">
      <c r="A189" s="5"/>
      <c r="B189" s="5"/>
      <c r="C189" s="5"/>
      <c r="D189" s="5"/>
      <c r="E189" s="5"/>
      <c r="F189" s="7"/>
      <c r="G189" s="5"/>
      <c r="H189" s="7"/>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x14ac:dyDescent="0.25">
      <c r="A190" s="5"/>
      <c r="B190" s="5"/>
      <c r="C190" s="5"/>
      <c r="D190" s="5"/>
      <c r="E190" s="5"/>
      <c r="F190" s="7"/>
      <c r="G190" s="5"/>
      <c r="H190" s="7"/>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x14ac:dyDescent="0.25">
      <c r="A191" s="5"/>
      <c r="B191" s="5"/>
      <c r="C191" s="5"/>
      <c r="D191" s="5"/>
      <c r="E191" s="5"/>
      <c r="F191" s="7"/>
      <c r="G191" s="5"/>
      <c r="H191" s="7"/>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x14ac:dyDescent="0.25">
      <c r="A192" s="5"/>
      <c r="B192" s="5"/>
      <c r="C192" s="5"/>
      <c r="D192" s="5"/>
      <c r="E192" s="5"/>
      <c r="F192" s="7"/>
      <c r="G192" s="5"/>
      <c r="H192" s="7"/>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x14ac:dyDescent="0.25">
      <c r="A193" s="5"/>
      <c r="B193" s="5"/>
      <c r="C193" s="5"/>
      <c r="D193" s="5"/>
      <c r="E193" s="5"/>
      <c r="F193" s="7"/>
      <c r="G193" s="5"/>
      <c r="H193" s="7"/>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x14ac:dyDescent="0.25">
      <c r="A194" s="5"/>
      <c r="B194" s="5"/>
      <c r="C194" s="5"/>
      <c r="D194" s="5"/>
      <c r="E194" s="5"/>
      <c r="F194" s="7"/>
      <c r="G194" s="5"/>
      <c r="H194" s="7"/>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x14ac:dyDescent="0.25">
      <c r="A195" s="5"/>
      <c r="B195" s="5"/>
      <c r="C195" s="5"/>
      <c r="D195" s="5"/>
      <c r="E195" s="5"/>
      <c r="F195" s="7"/>
      <c r="G195" s="5"/>
      <c r="H195" s="7"/>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x14ac:dyDescent="0.25">
      <c r="A196" s="5"/>
      <c r="B196" s="5"/>
      <c r="C196" s="5"/>
      <c r="D196" s="5"/>
      <c r="E196" s="5"/>
      <c r="F196" s="7"/>
      <c r="G196" s="5"/>
      <c r="H196" s="7"/>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x14ac:dyDescent="0.25">
      <c r="A197" s="5"/>
      <c r="B197" s="5"/>
      <c r="C197" s="5"/>
      <c r="D197" s="5"/>
      <c r="E197" s="5"/>
      <c r="F197" s="7"/>
      <c r="G197" s="5"/>
      <c r="H197" s="7"/>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x14ac:dyDescent="0.25">
      <c r="A198" s="5"/>
      <c r="B198" s="5"/>
      <c r="C198" s="5"/>
      <c r="D198" s="5"/>
      <c r="E198" s="5"/>
      <c r="F198" s="7"/>
      <c r="G198" s="5"/>
      <c r="H198" s="7"/>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x14ac:dyDescent="0.25">
      <c r="A199" s="5"/>
      <c r="B199" s="5"/>
      <c r="C199" s="5"/>
      <c r="D199" s="5"/>
      <c r="E199" s="5"/>
      <c r="F199" s="7"/>
      <c r="G199" s="5"/>
      <c r="H199" s="7"/>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x14ac:dyDescent="0.25">
      <c r="A200" s="5"/>
      <c r="B200" s="5"/>
      <c r="C200" s="5"/>
      <c r="D200" s="5"/>
      <c r="E200" s="5"/>
      <c r="F200" s="7"/>
      <c r="G200" s="5"/>
      <c r="H200" s="7"/>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x14ac:dyDescent="0.25">
      <c r="A201" s="5"/>
      <c r="B201" s="5"/>
      <c r="C201" s="5"/>
      <c r="D201" s="5"/>
      <c r="E201" s="5"/>
      <c r="F201" s="7"/>
      <c r="G201" s="5"/>
      <c r="H201" s="7"/>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x14ac:dyDescent="0.25">
      <c r="A202" s="5"/>
      <c r="B202" s="5"/>
      <c r="C202" s="5"/>
      <c r="D202" s="5"/>
      <c r="E202" s="5"/>
      <c r="F202" s="7"/>
      <c r="G202" s="5"/>
      <c r="H202" s="7"/>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x14ac:dyDescent="0.25">
      <c r="A203" s="5"/>
      <c r="B203" s="5"/>
      <c r="C203" s="5"/>
      <c r="D203" s="5"/>
      <c r="E203" s="5"/>
      <c r="F203" s="7"/>
      <c r="G203" s="5"/>
      <c r="H203" s="7"/>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x14ac:dyDescent="0.25">
      <c r="A204" s="5"/>
      <c r="B204" s="5"/>
      <c r="C204" s="5"/>
      <c r="D204" s="5"/>
      <c r="E204" s="5"/>
      <c r="F204" s="7"/>
      <c r="G204" s="5"/>
      <c r="H204" s="7"/>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x14ac:dyDescent="0.25">
      <c r="A205" s="5"/>
      <c r="B205" s="5"/>
      <c r="C205" s="5"/>
      <c r="D205" s="5"/>
      <c r="E205" s="5"/>
      <c r="F205" s="7"/>
      <c r="G205" s="5"/>
      <c r="H205" s="7"/>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x14ac:dyDescent="0.25">
      <c r="A206" s="5"/>
      <c r="B206" s="5"/>
      <c r="C206" s="5"/>
      <c r="D206" s="5"/>
      <c r="E206" s="5"/>
      <c r="F206" s="7"/>
      <c r="G206" s="5"/>
      <c r="H206" s="7"/>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x14ac:dyDescent="0.25">
      <c r="A207" s="5"/>
      <c r="B207" s="5"/>
      <c r="C207" s="5"/>
      <c r="D207" s="5"/>
      <c r="E207" s="5"/>
      <c r="F207" s="7"/>
      <c r="G207" s="5"/>
      <c r="H207" s="7"/>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x14ac:dyDescent="0.25">
      <c r="A208" s="5"/>
      <c r="B208" s="5"/>
      <c r="C208" s="5"/>
      <c r="D208" s="5"/>
      <c r="E208" s="5"/>
      <c r="F208" s="7"/>
      <c r="G208" s="5"/>
      <c r="H208" s="7"/>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x14ac:dyDescent="0.25">
      <c r="A209" s="5"/>
      <c r="B209" s="5"/>
      <c r="C209" s="5"/>
      <c r="D209" s="5"/>
      <c r="E209" s="5"/>
      <c r="F209" s="7"/>
      <c r="G209" s="5"/>
      <c r="H209" s="7"/>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x14ac:dyDescent="0.25">
      <c r="A210" s="5"/>
      <c r="B210" s="5"/>
      <c r="C210" s="5"/>
      <c r="D210" s="5"/>
      <c r="E210" s="5"/>
      <c r="F210" s="7"/>
      <c r="G210" s="5"/>
      <c r="H210" s="7"/>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x14ac:dyDescent="0.25">
      <c r="A211" s="5"/>
      <c r="B211" s="5"/>
      <c r="C211" s="5"/>
      <c r="D211" s="5"/>
      <c r="E211" s="5"/>
      <c r="F211" s="7"/>
      <c r="G211" s="5"/>
      <c r="H211" s="7"/>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x14ac:dyDescent="0.25">
      <c r="A212" s="5"/>
      <c r="B212" s="5"/>
      <c r="C212" s="5"/>
      <c r="D212" s="5"/>
      <c r="E212" s="5"/>
      <c r="F212" s="7"/>
      <c r="G212" s="5"/>
      <c r="H212" s="7"/>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x14ac:dyDescent="0.25">
      <c r="A213" s="5"/>
      <c r="B213" s="5"/>
      <c r="C213" s="5"/>
      <c r="D213" s="5"/>
      <c r="E213" s="5"/>
      <c r="F213" s="7"/>
      <c r="G213" s="5"/>
      <c r="H213" s="7"/>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x14ac:dyDescent="0.25">
      <c r="A214" s="5"/>
      <c r="B214" s="5"/>
      <c r="C214" s="5"/>
      <c r="D214" s="5"/>
      <c r="E214" s="5"/>
      <c r="F214" s="7"/>
      <c r="G214" s="5"/>
      <c r="H214" s="7"/>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x14ac:dyDescent="0.25">
      <c r="A215" s="5"/>
      <c r="B215" s="5"/>
      <c r="C215" s="5"/>
      <c r="D215" s="5"/>
      <c r="E215" s="5"/>
      <c r="F215" s="7"/>
      <c r="G215" s="5"/>
      <c r="H215" s="7"/>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x14ac:dyDescent="0.25">
      <c r="A216" s="5"/>
      <c r="B216" s="5"/>
      <c r="C216" s="5"/>
      <c r="D216" s="5"/>
      <c r="E216" s="5"/>
      <c r="F216" s="7"/>
      <c r="G216" s="5"/>
      <c r="H216" s="7"/>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x14ac:dyDescent="0.25">
      <c r="A217" s="5"/>
      <c r="B217" s="5"/>
      <c r="C217" s="5"/>
      <c r="D217" s="5"/>
      <c r="E217" s="5"/>
      <c r="F217" s="7"/>
      <c r="G217" s="5"/>
      <c r="H217" s="7"/>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x14ac:dyDescent="0.25">
      <c r="A218" s="5"/>
      <c r="B218" s="5"/>
      <c r="C218" s="5"/>
      <c r="D218" s="5"/>
      <c r="E218" s="5"/>
      <c r="F218" s="7"/>
      <c r="G218" s="5"/>
      <c r="H218" s="7"/>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x14ac:dyDescent="0.25">
      <c r="A219" s="5"/>
      <c r="B219" s="5"/>
      <c r="C219" s="5"/>
      <c r="D219" s="5"/>
      <c r="E219" s="5"/>
      <c r="F219" s="7"/>
      <c r="G219" s="5"/>
      <c r="H219" s="7"/>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x14ac:dyDescent="0.25">
      <c r="A220" s="5"/>
      <c r="B220" s="5"/>
      <c r="C220" s="5"/>
      <c r="D220" s="5"/>
      <c r="E220" s="5"/>
      <c r="F220" s="7"/>
      <c r="G220" s="5"/>
      <c r="H220" s="7"/>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x14ac:dyDescent="0.25">
      <c r="A221" s="5"/>
      <c r="B221" s="5"/>
      <c r="C221" s="5"/>
      <c r="D221" s="5"/>
      <c r="E221" s="5"/>
      <c r="F221" s="7"/>
      <c r="G221" s="5"/>
      <c r="H221" s="7"/>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x14ac:dyDescent="0.25">
      <c r="A222" s="5"/>
      <c r="B222" s="5"/>
      <c r="C222" s="5"/>
      <c r="D222" s="5"/>
      <c r="E222" s="5"/>
      <c r="F222" s="7"/>
      <c r="G222" s="5"/>
      <c r="H222" s="7"/>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x14ac:dyDescent="0.25">
      <c r="A223" s="5"/>
      <c r="B223" s="5"/>
      <c r="C223" s="5"/>
      <c r="D223" s="5"/>
      <c r="E223" s="5"/>
      <c r="F223" s="7"/>
      <c r="G223" s="5"/>
      <c r="H223" s="7"/>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x14ac:dyDescent="0.25">
      <c r="A224" s="5"/>
      <c r="B224" s="5"/>
      <c r="C224" s="5"/>
      <c r="D224" s="5"/>
      <c r="E224" s="5"/>
      <c r="F224" s="7"/>
      <c r="G224" s="5"/>
      <c r="H224" s="7"/>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x14ac:dyDescent="0.25">
      <c r="A225" s="5"/>
      <c r="B225" s="5"/>
      <c r="C225" s="5"/>
      <c r="D225" s="5"/>
      <c r="E225" s="5"/>
      <c r="F225" s="7"/>
      <c r="G225" s="5"/>
      <c r="H225" s="7"/>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x14ac:dyDescent="0.25">
      <c r="A226" s="5"/>
      <c r="B226" s="5"/>
      <c r="C226" s="5"/>
      <c r="D226" s="5"/>
      <c r="E226" s="5"/>
      <c r="F226" s="7"/>
      <c r="G226" s="5"/>
      <c r="H226" s="7"/>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x14ac:dyDescent="0.25">
      <c r="A227" s="5"/>
      <c r="B227" s="5"/>
      <c r="C227" s="5"/>
      <c r="D227" s="5"/>
      <c r="E227" s="5"/>
      <c r="F227" s="7"/>
      <c r="G227" s="5"/>
      <c r="H227" s="7"/>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x14ac:dyDescent="0.25">
      <c r="A228" s="5"/>
      <c r="B228" s="5"/>
      <c r="C228" s="5"/>
      <c r="D228" s="5"/>
      <c r="E228" s="5"/>
      <c r="F228" s="7"/>
      <c r="G228" s="5"/>
      <c r="H228" s="7"/>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x14ac:dyDescent="0.25">
      <c r="A229" s="5"/>
      <c r="B229" s="5"/>
      <c r="C229" s="5"/>
      <c r="D229" s="5"/>
      <c r="E229" s="5"/>
      <c r="F229" s="7"/>
      <c r="G229" s="5"/>
      <c r="H229" s="7"/>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x14ac:dyDescent="0.25">
      <c r="A230" s="5"/>
      <c r="B230" s="5"/>
      <c r="C230" s="5"/>
      <c r="D230" s="5"/>
      <c r="E230" s="5"/>
      <c r="F230" s="7"/>
      <c r="G230" s="5"/>
      <c r="H230" s="7"/>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x14ac:dyDescent="0.25">
      <c r="A231" s="5"/>
      <c r="B231" s="5"/>
      <c r="C231" s="5"/>
      <c r="D231" s="5"/>
      <c r="E231" s="5"/>
      <c r="F231" s="7"/>
      <c r="G231" s="5"/>
      <c r="H231" s="7"/>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x14ac:dyDescent="0.25">
      <c r="A232" s="5"/>
      <c r="B232" s="5"/>
      <c r="C232" s="5"/>
      <c r="D232" s="5"/>
      <c r="E232" s="5"/>
      <c r="F232" s="7"/>
      <c r="G232" s="5"/>
      <c r="H232" s="7"/>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x14ac:dyDescent="0.25">
      <c r="A233" s="5"/>
      <c r="B233" s="5"/>
      <c r="C233" s="5"/>
      <c r="D233" s="5"/>
      <c r="E233" s="5"/>
      <c r="F233" s="7"/>
      <c r="G233" s="5"/>
      <c r="H233" s="7"/>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x14ac:dyDescent="0.25">
      <c r="A234" s="5"/>
      <c r="B234" s="5"/>
      <c r="C234" s="5"/>
      <c r="D234" s="5"/>
      <c r="E234" s="5"/>
      <c r="F234" s="7"/>
      <c r="G234" s="5"/>
      <c r="H234" s="7"/>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x14ac:dyDescent="0.25">
      <c r="A235" s="5"/>
      <c r="B235" s="5"/>
      <c r="C235" s="5"/>
      <c r="D235" s="5"/>
      <c r="E235" s="5"/>
      <c r="F235" s="7"/>
      <c r="G235" s="5"/>
      <c r="H235" s="7"/>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x14ac:dyDescent="0.25">
      <c r="A236" s="5"/>
      <c r="B236" s="5"/>
      <c r="C236" s="5"/>
      <c r="D236" s="5"/>
      <c r="E236" s="5"/>
      <c r="F236" s="7"/>
      <c r="G236" s="5"/>
      <c r="H236" s="7"/>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x14ac:dyDescent="0.25">
      <c r="A237" s="5"/>
      <c r="B237" s="5"/>
      <c r="C237" s="5"/>
      <c r="D237" s="5"/>
      <c r="E237" s="5"/>
      <c r="F237" s="7"/>
      <c r="G237" s="5"/>
      <c r="H237" s="7"/>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x14ac:dyDescent="0.25">
      <c r="A238" s="5"/>
      <c r="B238" s="5"/>
      <c r="C238" s="5"/>
      <c r="D238" s="5"/>
      <c r="E238" s="5"/>
      <c r="F238" s="7"/>
      <c r="G238" s="5"/>
      <c r="H238" s="7"/>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x14ac:dyDescent="0.25">
      <c r="A239" s="5"/>
      <c r="B239" s="5"/>
      <c r="C239" s="5"/>
      <c r="D239" s="5"/>
      <c r="E239" s="5"/>
      <c r="F239" s="7"/>
      <c r="G239" s="5"/>
      <c r="H239" s="7"/>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x14ac:dyDescent="0.25">
      <c r="A240" s="5"/>
      <c r="B240" s="5"/>
      <c r="C240" s="5"/>
      <c r="D240" s="5"/>
      <c r="E240" s="5"/>
      <c r="F240" s="7"/>
      <c r="G240" s="5"/>
      <c r="H240" s="7"/>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x14ac:dyDescent="0.25">
      <c r="A241" s="5"/>
      <c r="B241" s="5"/>
      <c r="C241" s="5"/>
      <c r="D241" s="5"/>
      <c r="E241" s="5"/>
      <c r="F241" s="7"/>
      <c r="G241" s="5"/>
      <c r="H241" s="7"/>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x14ac:dyDescent="0.25">
      <c r="A242" s="5"/>
      <c r="B242" s="5"/>
      <c r="C242" s="5"/>
      <c r="D242" s="5"/>
      <c r="E242" s="5"/>
      <c r="F242" s="7"/>
      <c r="G242" s="5"/>
      <c r="H242" s="7"/>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x14ac:dyDescent="0.25">
      <c r="A243" s="5"/>
      <c r="B243" s="5"/>
      <c r="C243" s="5"/>
      <c r="D243" s="5"/>
      <c r="E243" s="5"/>
      <c r="F243" s="7"/>
      <c r="G243" s="5"/>
      <c r="H243" s="7"/>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x14ac:dyDescent="0.25">
      <c r="A244" s="5"/>
      <c r="B244" s="5"/>
      <c r="C244" s="5"/>
      <c r="D244" s="5"/>
      <c r="E244" s="5"/>
      <c r="F244" s="7"/>
      <c r="G244" s="5"/>
      <c r="H244" s="7"/>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x14ac:dyDescent="0.25">
      <c r="A245" s="5"/>
      <c r="B245" s="5"/>
      <c r="C245" s="5"/>
      <c r="D245" s="5"/>
      <c r="E245" s="5"/>
      <c r="F245" s="7"/>
      <c r="G245" s="5"/>
      <c r="H245" s="7"/>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x14ac:dyDescent="0.25">
      <c r="A246" s="5"/>
      <c r="B246" s="5"/>
      <c r="C246" s="5"/>
      <c r="D246" s="5"/>
      <c r="E246" s="5"/>
      <c r="F246" s="7"/>
      <c r="G246" s="5"/>
      <c r="H246" s="7"/>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x14ac:dyDescent="0.25">
      <c r="A247" s="5"/>
      <c r="B247" s="5"/>
      <c r="C247" s="5"/>
      <c r="D247" s="5"/>
      <c r="E247" s="5"/>
      <c r="F247" s="7"/>
      <c r="G247" s="5"/>
      <c r="H247" s="7"/>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x14ac:dyDescent="0.25">
      <c r="A248" s="5"/>
      <c r="B248" s="5"/>
      <c r="C248" s="5"/>
      <c r="D248" s="5"/>
      <c r="E248" s="5"/>
      <c r="F248" s="7"/>
      <c r="G248" s="5"/>
      <c r="H248" s="7"/>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x14ac:dyDescent="0.25">
      <c r="A249" s="5"/>
      <c r="B249" s="5"/>
      <c r="C249" s="5"/>
      <c r="D249" s="5"/>
      <c r="E249" s="5"/>
      <c r="F249" s="7"/>
      <c r="G249" s="5"/>
      <c r="H249" s="7"/>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x14ac:dyDescent="0.25">
      <c r="A250" s="5"/>
      <c r="B250" s="5"/>
      <c r="C250" s="5"/>
      <c r="D250" s="5"/>
      <c r="E250" s="5"/>
      <c r="F250" s="7"/>
      <c r="G250" s="5"/>
      <c r="H250" s="7"/>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x14ac:dyDescent="0.25">
      <c r="A251" s="5"/>
      <c r="B251" s="5"/>
      <c r="C251" s="5"/>
      <c r="D251" s="5"/>
      <c r="E251" s="5"/>
      <c r="F251" s="7"/>
      <c r="G251" s="5"/>
      <c r="H251" s="7"/>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x14ac:dyDescent="0.25">
      <c r="A252" s="5"/>
      <c r="B252" s="5"/>
      <c r="C252" s="5"/>
      <c r="D252" s="5"/>
      <c r="E252" s="5"/>
      <c r="F252" s="7"/>
      <c r="G252" s="5"/>
      <c r="H252" s="7"/>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x14ac:dyDescent="0.25">
      <c r="A253" s="5"/>
      <c r="B253" s="5"/>
      <c r="C253" s="5"/>
      <c r="D253" s="5"/>
      <c r="E253" s="5"/>
      <c r="F253" s="7"/>
      <c r="G253" s="5"/>
      <c r="H253" s="7"/>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x14ac:dyDescent="0.25">
      <c r="A254" s="5"/>
      <c r="B254" s="5"/>
      <c r="C254" s="5"/>
      <c r="D254" s="5"/>
      <c r="E254" s="5"/>
      <c r="F254" s="7"/>
      <c r="G254" s="5"/>
      <c r="H254" s="7"/>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x14ac:dyDescent="0.25">
      <c r="A255" s="5"/>
      <c r="B255" s="5"/>
      <c r="C255" s="5"/>
      <c r="D255" s="5"/>
      <c r="E255" s="5"/>
      <c r="F255" s="7"/>
      <c r="G255" s="5"/>
      <c r="H255" s="7"/>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x14ac:dyDescent="0.25">
      <c r="A256" s="5"/>
      <c r="B256" s="5"/>
      <c r="C256" s="5"/>
      <c r="D256" s="5"/>
      <c r="E256" s="5"/>
      <c r="F256" s="7"/>
      <c r="G256" s="5"/>
      <c r="H256" s="7"/>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x14ac:dyDescent="0.25">
      <c r="A257" s="5"/>
      <c r="B257" s="5"/>
      <c r="C257" s="5"/>
      <c r="D257" s="5"/>
      <c r="E257" s="5"/>
      <c r="F257" s="7"/>
      <c r="G257" s="5"/>
      <c r="H257" s="7"/>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x14ac:dyDescent="0.25">
      <c r="A258" s="5"/>
      <c r="B258" s="5"/>
      <c r="C258" s="5"/>
      <c r="D258" s="5"/>
      <c r="E258" s="5"/>
      <c r="F258" s="7"/>
      <c r="G258" s="5"/>
      <c r="H258" s="7"/>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x14ac:dyDescent="0.25">
      <c r="A259" s="5"/>
      <c r="B259" s="5"/>
      <c r="C259" s="5"/>
      <c r="D259" s="5"/>
      <c r="E259" s="5"/>
      <c r="F259" s="7"/>
      <c r="G259" s="5"/>
      <c r="H259" s="7"/>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row r="260" spans="1:47" ht="12.5" x14ac:dyDescent="0.25">
      <c r="A260" s="5"/>
      <c r="B260" s="5"/>
      <c r="C260" s="5"/>
      <c r="D260" s="5"/>
      <c r="E260" s="5"/>
      <c r="F260" s="7"/>
      <c r="G260" s="5"/>
      <c r="H260" s="7"/>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row>
    <row r="261" spans="1:47" ht="12.5" x14ac:dyDescent="0.25">
      <c r="A261" s="5"/>
      <c r="B261" s="5"/>
      <c r="C261" s="5"/>
      <c r="D261" s="5"/>
      <c r="E261" s="5"/>
      <c r="F261" s="7"/>
      <c r="G261" s="5"/>
      <c r="H261" s="7"/>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row>
    <row r="262" spans="1:47" ht="12.5" x14ac:dyDescent="0.25">
      <c r="A262" s="5"/>
      <c r="B262" s="5"/>
      <c r="C262" s="5"/>
      <c r="D262" s="5"/>
      <c r="E262" s="5"/>
      <c r="F262" s="7"/>
      <c r="G262" s="5"/>
      <c r="H262" s="7"/>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row>
    <row r="263" spans="1:47" ht="12.5" x14ac:dyDescent="0.25">
      <c r="A263" s="5"/>
      <c r="B263" s="5"/>
      <c r="C263" s="5"/>
      <c r="D263" s="5"/>
      <c r="E263" s="5"/>
      <c r="F263" s="7"/>
      <c r="G263" s="5"/>
      <c r="H263" s="7"/>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row>
    <row r="264" spans="1:47" ht="12.5" x14ac:dyDescent="0.25">
      <c r="A264" s="5"/>
      <c r="B264" s="5"/>
      <c r="C264" s="5"/>
      <c r="D264" s="5"/>
      <c r="E264" s="5"/>
      <c r="F264" s="7"/>
      <c r="G264" s="5"/>
      <c r="H264" s="7"/>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row>
    <row r="265" spans="1:47" ht="12.5" x14ac:dyDescent="0.25">
      <c r="A265" s="5"/>
      <c r="B265" s="5"/>
      <c r="C265" s="5"/>
      <c r="D265" s="5"/>
      <c r="E265" s="5"/>
      <c r="F265" s="7"/>
      <c r="G265" s="5"/>
      <c r="H265" s="7"/>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row>
    <row r="266" spans="1:47" ht="12.5" x14ac:dyDescent="0.25">
      <c r="A266" s="5"/>
      <c r="B266" s="5"/>
      <c r="C266" s="5"/>
      <c r="D266" s="5"/>
      <c r="E266" s="5"/>
      <c r="F266" s="7"/>
      <c r="G266" s="5"/>
      <c r="H266" s="7"/>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row>
    <row r="267" spans="1:47" ht="12.5" x14ac:dyDescent="0.25">
      <c r="A267" s="5"/>
      <c r="B267" s="5"/>
      <c r="C267" s="5"/>
      <c r="D267" s="5"/>
      <c r="E267" s="5"/>
      <c r="F267" s="7"/>
      <c r="G267" s="5"/>
      <c r="H267" s="7"/>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row>
    <row r="268" spans="1:47" ht="12.5" x14ac:dyDescent="0.25">
      <c r="A268" s="5"/>
      <c r="B268" s="5"/>
      <c r="C268" s="5"/>
      <c r="D268" s="5"/>
      <c r="E268" s="5"/>
      <c r="F268" s="7"/>
      <c r="G268" s="5"/>
      <c r="H268" s="7"/>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row>
    <row r="269" spans="1:47" ht="12.5" x14ac:dyDescent="0.25">
      <c r="A269" s="5"/>
      <c r="B269" s="5"/>
      <c r="C269" s="5"/>
      <c r="D269" s="5"/>
      <c r="E269" s="5"/>
      <c r="F269" s="7"/>
      <c r="G269" s="5"/>
      <c r="H269" s="7"/>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row>
    <row r="270" spans="1:47" ht="12.5" x14ac:dyDescent="0.25">
      <c r="A270" s="5"/>
      <c r="B270" s="5"/>
      <c r="C270" s="5"/>
      <c r="D270" s="5"/>
      <c r="E270" s="5"/>
      <c r="F270" s="7"/>
      <c r="G270" s="5"/>
      <c r="H270" s="7"/>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row>
    <row r="271" spans="1:47" ht="12.5" x14ac:dyDescent="0.25">
      <c r="A271" s="5"/>
      <c r="B271" s="5"/>
      <c r="C271" s="5"/>
      <c r="D271" s="5"/>
      <c r="E271" s="5"/>
      <c r="F271" s="7"/>
      <c r="G271" s="5"/>
      <c r="H271" s="7"/>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row>
    <row r="272" spans="1:47" ht="12.5" x14ac:dyDescent="0.25">
      <c r="A272" s="5"/>
      <c r="B272" s="5"/>
      <c r="C272" s="5"/>
      <c r="D272" s="5"/>
      <c r="E272" s="5"/>
      <c r="F272" s="7"/>
      <c r="G272" s="5"/>
      <c r="H272" s="7"/>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row>
    <row r="273" spans="1:47" ht="12.5" x14ac:dyDescent="0.25">
      <c r="A273" s="5"/>
      <c r="B273" s="5"/>
      <c r="C273" s="5"/>
      <c r="D273" s="5"/>
      <c r="E273" s="5"/>
      <c r="F273" s="7"/>
      <c r="G273" s="5"/>
      <c r="H273" s="7"/>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row>
    <row r="274" spans="1:47" ht="12.5" x14ac:dyDescent="0.25">
      <c r="A274" s="5"/>
      <c r="B274" s="5"/>
      <c r="C274" s="5"/>
      <c r="D274" s="5"/>
      <c r="E274" s="5"/>
      <c r="F274" s="7"/>
      <c r="G274" s="5"/>
      <c r="H274" s="7"/>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row>
    <row r="275" spans="1:47" ht="12.5" x14ac:dyDescent="0.25">
      <c r="A275" s="5"/>
      <c r="B275" s="5"/>
      <c r="C275" s="5"/>
      <c r="D275" s="5"/>
      <c r="E275" s="5"/>
      <c r="F275" s="7"/>
      <c r="G275" s="5"/>
      <c r="H275" s="7"/>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row>
    <row r="276" spans="1:47" ht="12.5" x14ac:dyDescent="0.25">
      <c r="A276" s="5"/>
      <c r="B276" s="5"/>
      <c r="C276" s="5"/>
      <c r="D276" s="5"/>
      <c r="E276" s="5"/>
      <c r="F276" s="7"/>
      <c r="G276" s="5"/>
      <c r="H276" s="7"/>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row>
    <row r="277" spans="1:47" ht="12.5" x14ac:dyDescent="0.25">
      <c r="A277" s="5"/>
      <c r="B277" s="5"/>
      <c r="C277" s="5"/>
      <c r="D277" s="5"/>
      <c r="E277" s="5"/>
      <c r="F277" s="7"/>
      <c r="G277" s="5"/>
      <c r="H277" s="7"/>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row>
    <row r="278" spans="1:47" ht="12.5" x14ac:dyDescent="0.25">
      <c r="A278" s="5"/>
      <c r="B278" s="5"/>
      <c r="C278" s="5"/>
      <c r="D278" s="5"/>
      <c r="E278" s="5"/>
      <c r="F278" s="7"/>
      <c r="G278" s="5"/>
      <c r="H278" s="7"/>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row>
    <row r="279" spans="1:47" ht="12.5" x14ac:dyDescent="0.25">
      <c r="A279" s="5"/>
      <c r="B279" s="5"/>
      <c r="C279" s="5"/>
      <c r="D279" s="5"/>
      <c r="E279" s="5"/>
      <c r="F279" s="7"/>
      <c r="G279" s="5"/>
      <c r="H279" s="7"/>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row>
    <row r="280" spans="1:47" ht="12.5" x14ac:dyDescent="0.25">
      <c r="A280" s="5"/>
      <c r="B280" s="5"/>
      <c r="C280" s="5"/>
      <c r="D280" s="5"/>
      <c r="E280" s="5"/>
      <c r="F280" s="7"/>
      <c r="G280" s="5"/>
      <c r="H280" s="7"/>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row>
    <row r="281" spans="1:47" ht="12.5" x14ac:dyDescent="0.25">
      <c r="A281" s="5"/>
      <c r="B281" s="5"/>
      <c r="C281" s="5"/>
      <c r="D281" s="5"/>
      <c r="E281" s="5"/>
      <c r="F281" s="7"/>
      <c r="G281" s="5"/>
      <c r="H281" s="7"/>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row>
    <row r="282" spans="1:47" ht="12.5" x14ac:dyDescent="0.25">
      <c r="A282" s="5"/>
      <c r="B282" s="5"/>
      <c r="C282" s="5"/>
      <c r="D282" s="5"/>
      <c r="E282" s="5"/>
      <c r="F282" s="7"/>
      <c r="G282" s="5"/>
      <c r="H282" s="7"/>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row>
    <row r="283" spans="1:47" ht="12.5" x14ac:dyDescent="0.25">
      <c r="A283" s="5"/>
      <c r="B283" s="5"/>
      <c r="C283" s="5"/>
      <c r="D283" s="5"/>
      <c r="E283" s="5"/>
      <c r="F283" s="7"/>
      <c r="G283" s="5"/>
      <c r="H283" s="7"/>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row>
    <row r="284" spans="1:47" ht="12.5" x14ac:dyDescent="0.25">
      <c r="A284" s="5"/>
      <c r="B284" s="5"/>
      <c r="C284" s="5"/>
      <c r="D284" s="5"/>
      <c r="E284" s="5"/>
      <c r="F284" s="7"/>
      <c r="G284" s="5"/>
      <c r="H284" s="7"/>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row>
    <row r="285" spans="1:47" ht="12.5" x14ac:dyDescent="0.25">
      <c r="A285" s="5"/>
      <c r="B285" s="5"/>
      <c r="C285" s="5"/>
      <c r="D285" s="5"/>
      <c r="E285" s="5"/>
      <c r="F285" s="7"/>
      <c r="G285" s="5"/>
      <c r="H285" s="7"/>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row>
    <row r="286" spans="1:47" ht="12.5" x14ac:dyDescent="0.25">
      <c r="A286" s="5"/>
      <c r="B286" s="5"/>
      <c r="C286" s="5"/>
      <c r="D286" s="5"/>
      <c r="E286" s="5"/>
      <c r="F286" s="7"/>
      <c r="G286" s="5"/>
      <c r="H286" s="7"/>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row>
    <row r="287" spans="1:47" ht="12.5" x14ac:dyDescent="0.25">
      <c r="A287" s="5"/>
      <c r="B287" s="5"/>
      <c r="C287" s="5"/>
      <c r="D287" s="5"/>
      <c r="E287" s="5"/>
      <c r="F287" s="7"/>
      <c r="G287" s="5"/>
      <c r="H287" s="7"/>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row>
    <row r="288" spans="1:47" ht="12.5" x14ac:dyDescent="0.25">
      <c r="A288" s="5"/>
      <c r="B288" s="5"/>
      <c r="C288" s="5"/>
      <c r="D288" s="5"/>
      <c r="E288" s="5"/>
      <c r="F288" s="7"/>
      <c r="G288" s="5"/>
      <c r="H288" s="7"/>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row>
    <row r="289" spans="1:47" ht="12.5" x14ac:dyDescent="0.25">
      <c r="A289" s="5"/>
      <c r="B289" s="5"/>
      <c r="C289" s="5"/>
      <c r="D289" s="5"/>
      <c r="E289" s="5"/>
      <c r="F289" s="7"/>
      <c r="G289" s="5"/>
      <c r="H289" s="7"/>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row>
    <row r="290" spans="1:47" ht="12.5" x14ac:dyDescent="0.25">
      <c r="A290" s="5"/>
      <c r="B290" s="5"/>
      <c r="C290" s="5"/>
      <c r="D290" s="5"/>
      <c r="E290" s="5"/>
      <c r="F290" s="7"/>
      <c r="G290" s="5"/>
      <c r="H290" s="7"/>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row>
    <row r="291" spans="1:47" ht="12.5" x14ac:dyDescent="0.25">
      <c r="A291" s="5"/>
      <c r="B291" s="5"/>
      <c r="C291" s="5"/>
      <c r="D291" s="5"/>
      <c r="E291" s="5"/>
      <c r="F291" s="7"/>
      <c r="G291" s="5"/>
      <c r="H291" s="7"/>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row>
    <row r="292" spans="1:47" ht="12.5" x14ac:dyDescent="0.25">
      <c r="A292" s="5"/>
      <c r="B292" s="5"/>
      <c r="C292" s="5"/>
      <c r="D292" s="5"/>
      <c r="E292" s="5"/>
      <c r="F292" s="7"/>
      <c r="G292" s="5"/>
      <c r="H292" s="7"/>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row>
    <row r="293" spans="1:47" ht="12.5" x14ac:dyDescent="0.25">
      <c r="A293" s="5"/>
      <c r="B293" s="5"/>
      <c r="C293" s="5"/>
      <c r="D293" s="5"/>
      <c r="E293" s="5"/>
      <c r="F293" s="7"/>
      <c r="G293" s="5"/>
      <c r="H293" s="7"/>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row>
    <row r="294" spans="1:47" ht="12.5" x14ac:dyDescent="0.25">
      <c r="A294" s="5"/>
      <c r="B294" s="5"/>
      <c r="C294" s="5"/>
      <c r="D294" s="5"/>
      <c r="E294" s="5"/>
      <c r="F294" s="7"/>
      <c r="G294" s="5"/>
      <c r="H294" s="7"/>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row>
    <row r="295" spans="1:47" ht="12.5" x14ac:dyDescent="0.25">
      <c r="A295" s="5"/>
      <c r="B295" s="5"/>
      <c r="C295" s="5"/>
      <c r="D295" s="5"/>
      <c r="E295" s="5"/>
      <c r="F295" s="7"/>
      <c r="G295" s="5"/>
      <c r="H295" s="7"/>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row>
    <row r="296" spans="1:47" ht="12.5" x14ac:dyDescent="0.25">
      <c r="A296" s="5"/>
      <c r="B296" s="5"/>
      <c r="C296" s="5"/>
      <c r="D296" s="5"/>
      <c r="E296" s="5"/>
      <c r="F296" s="7"/>
      <c r="G296" s="5"/>
      <c r="H296" s="7"/>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row>
    <row r="297" spans="1:47" ht="12.5" x14ac:dyDescent="0.25">
      <c r="A297" s="5"/>
      <c r="B297" s="5"/>
      <c r="C297" s="5"/>
      <c r="D297" s="5"/>
      <c r="E297" s="5"/>
      <c r="F297" s="7"/>
      <c r="G297" s="5"/>
      <c r="H297" s="7"/>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row>
    <row r="298" spans="1:47" ht="12.5" x14ac:dyDescent="0.25">
      <c r="A298" s="5"/>
      <c r="B298" s="5"/>
      <c r="C298" s="5"/>
      <c r="D298" s="5"/>
      <c r="E298" s="5"/>
      <c r="F298" s="7"/>
      <c r="G298" s="5"/>
      <c r="H298" s="7"/>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row>
    <row r="299" spans="1:47" ht="12.5" x14ac:dyDescent="0.25">
      <c r="A299" s="5"/>
      <c r="B299" s="5"/>
      <c r="C299" s="5"/>
      <c r="D299" s="5"/>
      <c r="E299" s="5"/>
      <c r="F299" s="7"/>
      <c r="G299" s="5"/>
      <c r="H299" s="7"/>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row>
    <row r="300" spans="1:47" ht="12.5" x14ac:dyDescent="0.25">
      <c r="A300" s="5"/>
      <c r="B300" s="5"/>
      <c r="C300" s="5"/>
      <c r="D300" s="5"/>
      <c r="E300" s="5"/>
      <c r="F300" s="7"/>
      <c r="G300" s="5"/>
      <c r="H300" s="7"/>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row>
    <row r="301" spans="1:47" ht="12.5" x14ac:dyDescent="0.25">
      <c r="A301" s="5"/>
      <c r="B301" s="5"/>
      <c r="C301" s="5"/>
      <c r="D301" s="5"/>
      <c r="E301" s="5"/>
      <c r="F301" s="7"/>
      <c r="G301" s="5"/>
      <c r="H301" s="7"/>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row>
    <row r="302" spans="1:47" ht="12.5" x14ac:dyDescent="0.25">
      <c r="A302" s="5"/>
      <c r="B302" s="5"/>
      <c r="C302" s="5"/>
      <c r="D302" s="5"/>
      <c r="E302" s="5"/>
      <c r="F302" s="7"/>
      <c r="G302" s="5"/>
      <c r="H302" s="7"/>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row>
    <row r="303" spans="1:47" ht="12.5" x14ac:dyDescent="0.25">
      <c r="A303" s="5"/>
      <c r="B303" s="5"/>
      <c r="C303" s="5"/>
      <c r="D303" s="5"/>
      <c r="E303" s="5"/>
      <c r="F303" s="7"/>
      <c r="G303" s="5"/>
      <c r="H303" s="7"/>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row>
    <row r="304" spans="1:47" ht="12.5" x14ac:dyDescent="0.25">
      <c r="A304" s="5"/>
      <c r="B304" s="5"/>
      <c r="C304" s="5"/>
      <c r="D304" s="5"/>
      <c r="E304" s="5"/>
      <c r="F304" s="7"/>
      <c r="G304" s="5"/>
      <c r="H304" s="7"/>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row>
    <row r="305" spans="1:47" ht="12.5" x14ac:dyDescent="0.25">
      <c r="A305" s="5"/>
      <c r="B305" s="5"/>
      <c r="C305" s="5"/>
      <c r="D305" s="5"/>
      <c r="E305" s="5"/>
      <c r="F305" s="7"/>
      <c r="G305" s="5"/>
      <c r="H305" s="7"/>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row>
    <row r="306" spans="1:47" ht="12.5" x14ac:dyDescent="0.25">
      <c r="A306" s="5"/>
      <c r="B306" s="5"/>
      <c r="C306" s="5"/>
      <c r="D306" s="5"/>
      <c r="E306" s="5"/>
      <c r="F306" s="7"/>
      <c r="G306" s="5"/>
      <c r="H306" s="7"/>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row>
    <row r="307" spans="1:47" ht="12.5" x14ac:dyDescent="0.25">
      <c r="A307" s="5"/>
      <c r="B307" s="5"/>
      <c r="C307" s="5"/>
      <c r="D307" s="5"/>
      <c r="E307" s="5"/>
      <c r="F307" s="7"/>
      <c r="G307" s="5"/>
      <c r="H307" s="7"/>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row>
    <row r="308" spans="1:47" ht="12.5" x14ac:dyDescent="0.25">
      <c r="A308" s="5"/>
      <c r="B308" s="5"/>
      <c r="C308" s="5"/>
      <c r="D308" s="5"/>
      <c r="E308" s="5"/>
      <c r="F308" s="7"/>
      <c r="G308" s="5"/>
      <c r="H308" s="7"/>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row>
    <row r="309" spans="1:47" ht="12.5" x14ac:dyDescent="0.25">
      <c r="A309" s="5"/>
      <c r="B309" s="5"/>
      <c r="C309" s="5"/>
      <c r="D309" s="5"/>
      <c r="E309" s="5"/>
      <c r="F309" s="7"/>
      <c r="G309" s="5"/>
      <c r="H309" s="7"/>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row>
    <row r="310" spans="1:47" ht="12.5" x14ac:dyDescent="0.25">
      <c r="A310" s="5"/>
      <c r="B310" s="5"/>
      <c r="C310" s="5"/>
      <c r="D310" s="5"/>
      <c r="E310" s="5"/>
      <c r="F310" s="7"/>
      <c r="G310" s="5"/>
      <c r="H310" s="7"/>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row>
    <row r="311" spans="1:47" ht="12.5" x14ac:dyDescent="0.25">
      <c r="A311" s="5"/>
      <c r="B311" s="5"/>
      <c r="C311" s="5"/>
      <c r="D311" s="5"/>
      <c r="E311" s="5"/>
      <c r="F311" s="7"/>
      <c r="G311" s="5"/>
      <c r="H311" s="7"/>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row>
    <row r="312" spans="1:47" ht="12.5" x14ac:dyDescent="0.25">
      <c r="A312" s="5"/>
      <c r="B312" s="5"/>
      <c r="C312" s="5"/>
      <c r="D312" s="5"/>
      <c r="E312" s="5"/>
      <c r="F312" s="7"/>
      <c r="G312" s="5"/>
      <c r="H312" s="7"/>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row>
    <row r="313" spans="1:47" ht="12.5" x14ac:dyDescent="0.25">
      <c r="A313" s="5"/>
      <c r="B313" s="5"/>
      <c r="C313" s="5"/>
      <c r="D313" s="5"/>
      <c r="E313" s="5"/>
      <c r="F313" s="7"/>
      <c r="G313" s="5"/>
      <c r="H313" s="7"/>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row>
    <row r="314" spans="1:47" ht="12.5" x14ac:dyDescent="0.25">
      <c r="A314" s="5"/>
      <c r="B314" s="5"/>
      <c r="C314" s="5"/>
      <c r="D314" s="5"/>
      <c r="E314" s="5"/>
      <c r="F314" s="7"/>
      <c r="G314" s="5"/>
      <c r="H314" s="7"/>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row>
    <row r="315" spans="1:47" ht="12.5" x14ac:dyDescent="0.25">
      <c r="A315" s="5"/>
      <c r="B315" s="5"/>
      <c r="C315" s="5"/>
      <c r="D315" s="5"/>
      <c r="E315" s="5"/>
      <c r="F315" s="7"/>
      <c r="G315" s="5"/>
      <c r="H315" s="7"/>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row>
    <row r="316" spans="1:47" ht="12.5" x14ac:dyDescent="0.25">
      <c r="A316" s="5"/>
      <c r="B316" s="5"/>
      <c r="C316" s="5"/>
      <c r="D316" s="5"/>
      <c r="E316" s="5"/>
      <c r="F316" s="7"/>
      <c r="G316" s="5"/>
      <c r="H316" s="7"/>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row>
    <row r="317" spans="1:47" ht="12.5" x14ac:dyDescent="0.25">
      <c r="A317" s="5"/>
      <c r="B317" s="5"/>
      <c r="C317" s="5"/>
      <c r="D317" s="5"/>
      <c r="E317" s="5"/>
      <c r="F317" s="7"/>
      <c r="G317" s="5"/>
      <c r="H317" s="7"/>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row>
    <row r="318" spans="1:47" ht="12.5" x14ac:dyDescent="0.25">
      <c r="A318" s="5"/>
      <c r="B318" s="5"/>
      <c r="C318" s="5"/>
      <c r="D318" s="5"/>
      <c r="E318" s="5"/>
      <c r="F318" s="7"/>
      <c r="G318" s="5"/>
      <c r="H318" s="7"/>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row>
    <row r="319" spans="1:47" ht="12.5" x14ac:dyDescent="0.25">
      <c r="A319" s="5"/>
      <c r="B319" s="5"/>
      <c r="C319" s="5"/>
      <c r="D319" s="5"/>
      <c r="E319" s="5"/>
      <c r="F319" s="7"/>
      <c r="G319" s="5"/>
      <c r="H319" s="7"/>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row>
    <row r="320" spans="1:47" ht="12.5" x14ac:dyDescent="0.25">
      <c r="A320" s="5"/>
      <c r="B320" s="5"/>
      <c r="C320" s="5"/>
      <c r="D320" s="5"/>
      <c r="E320" s="5"/>
      <c r="F320" s="7"/>
      <c r="G320" s="5"/>
      <c r="H320" s="7"/>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row>
    <row r="321" spans="1:47" ht="12.5" x14ac:dyDescent="0.25">
      <c r="A321" s="5"/>
      <c r="B321" s="5"/>
      <c r="C321" s="5"/>
      <c r="D321" s="5"/>
      <c r="E321" s="5"/>
      <c r="F321" s="7"/>
      <c r="G321" s="5"/>
      <c r="H321" s="7"/>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row>
    <row r="322" spans="1:47" ht="12.5" x14ac:dyDescent="0.25">
      <c r="A322" s="5"/>
      <c r="B322" s="5"/>
      <c r="C322" s="5"/>
      <c r="D322" s="5"/>
      <c r="E322" s="5"/>
      <c r="F322" s="7"/>
      <c r="G322" s="5"/>
      <c r="H322" s="7"/>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row>
    <row r="323" spans="1:47" ht="12.5" x14ac:dyDescent="0.25">
      <c r="A323" s="5"/>
      <c r="B323" s="5"/>
      <c r="C323" s="5"/>
      <c r="D323" s="5"/>
      <c r="E323" s="5"/>
      <c r="F323" s="7"/>
      <c r="G323" s="5"/>
      <c r="H323" s="7"/>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row>
    <row r="324" spans="1:47" ht="12.5" x14ac:dyDescent="0.25">
      <c r="A324" s="5"/>
      <c r="B324" s="5"/>
      <c r="C324" s="5"/>
      <c r="D324" s="5"/>
      <c r="E324" s="5"/>
      <c r="F324" s="7"/>
      <c r="G324" s="5"/>
      <c r="H324" s="7"/>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row>
    <row r="325" spans="1:47" ht="12.5" x14ac:dyDescent="0.25">
      <c r="A325" s="5"/>
      <c r="B325" s="5"/>
      <c r="C325" s="5"/>
      <c r="D325" s="5"/>
      <c r="E325" s="5"/>
      <c r="F325" s="7"/>
      <c r="G325" s="5"/>
      <c r="H325" s="7"/>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row>
    <row r="326" spans="1:47" ht="12.5" x14ac:dyDescent="0.25">
      <c r="A326" s="5"/>
      <c r="B326" s="5"/>
      <c r="C326" s="5"/>
      <c r="D326" s="5"/>
      <c r="E326" s="5"/>
      <c r="F326" s="7"/>
      <c r="G326" s="5"/>
      <c r="H326" s="7"/>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row>
    <row r="327" spans="1:47" ht="12.5" x14ac:dyDescent="0.25">
      <c r="A327" s="5"/>
      <c r="B327" s="5"/>
      <c r="C327" s="5"/>
      <c r="D327" s="5"/>
      <c r="E327" s="5"/>
      <c r="F327" s="7"/>
      <c r="G327" s="5"/>
      <c r="H327" s="7"/>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row>
    <row r="328" spans="1:47" ht="12.5" x14ac:dyDescent="0.25">
      <c r="A328" s="5"/>
      <c r="B328" s="5"/>
      <c r="C328" s="5"/>
      <c r="D328" s="5"/>
      <c r="E328" s="5"/>
      <c r="F328" s="7"/>
      <c r="G328" s="5"/>
      <c r="H328" s="7"/>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row>
    <row r="329" spans="1:47" ht="12.5" x14ac:dyDescent="0.25">
      <c r="A329" s="5"/>
      <c r="B329" s="5"/>
      <c r="C329" s="5"/>
      <c r="D329" s="5"/>
      <c r="E329" s="5"/>
      <c r="F329" s="7"/>
      <c r="G329" s="5"/>
      <c r="H329" s="7"/>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row>
    <row r="330" spans="1:47" ht="12.5" x14ac:dyDescent="0.25">
      <c r="A330" s="5"/>
      <c r="B330" s="5"/>
      <c r="C330" s="5"/>
      <c r="D330" s="5"/>
      <c r="E330" s="5"/>
      <c r="F330" s="7"/>
      <c r="G330" s="5"/>
      <c r="H330" s="7"/>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row>
    <row r="331" spans="1:47" ht="12.5" x14ac:dyDescent="0.25">
      <c r="A331" s="5"/>
      <c r="B331" s="5"/>
      <c r="C331" s="5"/>
      <c r="D331" s="5"/>
      <c r="E331" s="5"/>
      <c r="F331" s="7"/>
      <c r="G331" s="5"/>
      <c r="H331" s="7"/>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row>
    <row r="332" spans="1:47" ht="12.5" x14ac:dyDescent="0.25">
      <c r="A332" s="5"/>
      <c r="B332" s="5"/>
      <c r="C332" s="5"/>
      <c r="D332" s="5"/>
      <c r="E332" s="5"/>
      <c r="F332" s="7"/>
      <c r="G332" s="5"/>
      <c r="H332" s="7"/>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row>
    <row r="333" spans="1:47" ht="12.5" x14ac:dyDescent="0.25">
      <c r="A333" s="5"/>
      <c r="B333" s="5"/>
      <c r="C333" s="5"/>
      <c r="D333" s="5"/>
      <c r="E333" s="5"/>
      <c r="F333" s="7"/>
      <c r="G333" s="5"/>
      <c r="H333" s="7"/>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row>
    <row r="334" spans="1:47" ht="12.5" x14ac:dyDescent="0.25">
      <c r="A334" s="5"/>
      <c r="B334" s="5"/>
      <c r="C334" s="5"/>
      <c r="D334" s="5"/>
      <c r="E334" s="5"/>
      <c r="F334" s="7"/>
      <c r="G334" s="5"/>
      <c r="H334" s="7"/>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row>
    <row r="335" spans="1:47" ht="12.5" x14ac:dyDescent="0.25">
      <c r="A335" s="5"/>
      <c r="B335" s="5"/>
      <c r="C335" s="5"/>
      <c r="D335" s="5"/>
      <c r="E335" s="5"/>
      <c r="F335" s="7"/>
      <c r="G335" s="5"/>
      <c r="H335" s="7"/>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row>
    <row r="336" spans="1:47" ht="12.5" x14ac:dyDescent="0.25">
      <c r="A336" s="5"/>
      <c r="B336" s="5"/>
      <c r="C336" s="5"/>
      <c r="D336" s="5"/>
      <c r="E336" s="5"/>
      <c r="F336" s="7"/>
      <c r="G336" s="5"/>
      <c r="H336" s="7"/>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row>
    <row r="337" spans="1:47" ht="12.5" x14ac:dyDescent="0.25">
      <c r="A337" s="5"/>
      <c r="B337" s="5"/>
      <c r="C337" s="5"/>
      <c r="D337" s="5"/>
      <c r="E337" s="5"/>
      <c r="F337" s="7"/>
      <c r="G337" s="5"/>
      <c r="H337" s="7"/>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row>
    <row r="338" spans="1:47" ht="12.5" x14ac:dyDescent="0.25">
      <c r="A338" s="5"/>
      <c r="B338" s="5"/>
      <c r="C338" s="5"/>
      <c r="D338" s="5"/>
      <c r="E338" s="5"/>
      <c r="F338" s="7"/>
      <c r="G338" s="5"/>
      <c r="H338" s="7"/>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row>
    <row r="339" spans="1:47" ht="12.5" x14ac:dyDescent="0.25">
      <c r="A339" s="5"/>
      <c r="B339" s="5"/>
      <c r="C339" s="5"/>
      <c r="D339" s="5"/>
      <c r="E339" s="5"/>
      <c r="F339" s="7"/>
      <c r="G339" s="5"/>
      <c r="H339" s="7"/>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row>
    <row r="340" spans="1:47" ht="12.5" x14ac:dyDescent="0.25">
      <c r="A340" s="5"/>
      <c r="B340" s="5"/>
      <c r="C340" s="5"/>
      <c r="D340" s="5"/>
      <c r="E340" s="5"/>
      <c r="F340" s="7"/>
      <c r="G340" s="5"/>
      <c r="H340" s="7"/>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row>
    <row r="341" spans="1:47" ht="12.5" x14ac:dyDescent="0.25">
      <c r="A341" s="5"/>
      <c r="B341" s="5"/>
      <c r="C341" s="5"/>
      <c r="D341" s="5"/>
      <c r="E341" s="5"/>
      <c r="F341" s="7"/>
      <c r="G341" s="5"/>
      <c r="H341" s="7"/>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row>
    <row r="342" spans="1:47" ht="12.5" x14ac:dyDescent="0.25">
      <c r="A342" s="5"/>
      <c r="B342" s="5"/>
      <c r="C342" s="5"/>
      <c r="D342" s="5"/>
      <c r="E342" s="5"/>
      <c r="F342" s="7"/>
      <c r="G342" s="5"/>
      <c r="H342" s="7"/>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row>
    <row r="343" spans="1:47" ht="12.5" x14ac:dyDescent="0.25">
      <c r="A343" s="5"/>
      <c r="B343" s="5"/>
      <c r="C343" s="5"/>
      <c r="D343" s="5"/>
      <c r="E343" s="5"/>
      <c r="F343" s="7"/>
      <c r="G343" s="5"/>
      <c r="H343" s="7"/>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row>
    <row r="344" spans="1:47" ht="12.5" x14ac:dyDescent="0.25">
      <c r="A344" s="5"/>
      <c r="B344" s="5"/>
      <c r="C344" s="5"/>
      <c r="D344" s="5"/>
      <c r="E344" s="5"/>
      <c r="F344" s="7"/>
      <c r="G344" s="5"/>
      <c r="H344" s="7"/>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row>
    <row r="345" spans="1:47" ht="12.5" x14ac:dyDescent="0.25">
      <c r="A345" s="5"/>
      <c r="B345" s="5"/>
      <c r="C345" s="5"/>
      <c r="D345" s="5"/>
      <c r="E345" s="5"/>
      <c r="F345" s="7"/>
      <c r="G345" s="5"/>
      <c r="H345" s="7"/>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row>
    <row r="346" spans="1:47" ht="12.5" x14ac:dyDescent="0.25">
      <c r="A346" s="5"/>
      <c r="B346" s="5"/>
      <c r="C346" s="5"/>
      <c r="D346" s="5"/>
      <c r="E346" s="5"/>
      <c r="F346" s="7"/>
      <c r="G346" s="5"/>
      <c r="H346" s="7"/>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row>
    <row r="347" spans="1:47" ht="12.5" x14ac:dyDescent="0.25">
      <c r="A347" s="5"/>
      <c r="B347" s="5"/>
      <c r="C347" s="5"/>
      <c r="D347" s="5"/>
      <c r="E347" s="5"/>
      <c r="F347" s="7"/>
      <c r="G347" s="5"/>
      <c r="H347" s="7"/>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row>
    <row r="348" spans="1:47" ht="12.5" x14ac:dyDescent="0.25">
      <c r="A348" s="5"/>
      <c r="B348" s="5"/>
      <c r="C348" s="5"/>
      <c r="D348" s="5"/>
      <c r="E348" s="5"/>
      <c r="F348" s="7"/>
      <c r="G348" s="5"/>
      <c r="H348" s="7"/>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row>
    <row r="349" spans="1:47" ht="12.5" x14ac:dyDescent="0.25">
      <c r="A349" s="5"/>
      <c r="B349" s="5"/>
      <c r="C349" s="5"/>
      <c r="D349" s="5"/>
      <c r="E349" s="5"/>
      <c r="F349" s="7"/>
      <c r="G349" s="5"/>
      <c r="H349" s="7"/>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row>
    <row r="350" spans="1:47" ht="12.5" x14ac:dyDescent="0.25">
      <c r="A350" s="5"/>
      <c r="B350" s="5"/>
      <c r="C350" s="5"/>
      <c r="D350" s="5"/>
      <c r="E350" s="5"/>
      <c r="F350" s="7"/>
      <c r="G350" s="5"/>
      <c r="H350" s="7"/>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row>
    <row r="351" spans="1:47" ht="12.5" x14ac:dyDescent="0.25">
      <c r="A351" s="5"/>
      <c r="B351" s="5"/>
      <c r="C351" s="5"/>
      <c r="D351" s="5"/>
      <c r="E351" s="5"/>
      <c r="F351" s="7"/>
      <c r="G351" s="5"/>
      <c r="H351" s="7"/>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row>
    <row r="352" spans="1:47" ht="12.5" x14ac:dyDescent="0.25">
      <c r="A352" s="5"/>
      <c r="B352" s="5"/>
      <c r="C352" s="5"/>
      <c r="D352" s="5"/>
      <c r="E352" s="5"/>
      <c r="F352" s="7"/>
      <c r="G352" s="5"/>
      <c r="H352" s="7"/>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row>
    <row r="353" spans="1:47" ht="12.5" x14ac:dyDescent="0.25">
      <c r="A353" s="5"/>
      <c r="B353" s="5"/>
      <c r="C353" s="5"/>
      <c r="D353" s="5"/>
      <c r="E353" s="5"/>
      <c r="F353" s="7"/>
      <c r="G353" s="5"/>
      <c r="H353" s="7"/>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row>
    <row r="354" spans="1:47" ht="12.5" x14ac:dyDescent="0.25">
      <c r="A354" s="5"/>
      <c r="B354" s="5"/>
      <c r="C354" s="5"/>
      <c r="D354" s="5"/>
      <c r="E354" s="5"/>
      <c r="F354" s="7"/>
      <c r="G354" s="5"/>
      <c r="H354" s="7"/>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row>
    <row r="355" spans="1:47" ht="12.5" x14ac:dyDescent="0.25">
      <c r="A355" s="5"/>
      <c r="B355" s="5"/>
      <c r="C355" s="5"/>
      <c r="D355" s="5"/>
      <c r="E355" s="5"/>
      <c r="F355" s="7"/>
      <c r="G355" s="5"/>
      <c r="H355" s="7"/>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row>
    <row r="356" spans="1:47" ht="12.5" x14ac:dyDescent="0.25">
      <c r="A356" s="5"/>
      <c r="B356" s="5"/>
      <c r="C356" s="5"/>
      <c r="D356" s="5"/>
      <c r="E356" s="5"/>
      <c r="F356" s="7"/>
      <c r="G356" s="5"/>
      <c r="H356" s="7"/>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row>
    <row r="357" spans="1:47" ht="12.5" x14ac:dyDescent="0.25">
      <c r="A357" s="5"/>
      <c r="B357" s="5"/>
      <c r="C357" s="5"/>
      <c r="D357" s="5"/>
      <c r="E357" s="5"/>
      <c r="F357" s="7"/>
      <c r="G357" s="5"/>
      <c r="H357" s="7"/>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row>
    <row r="358" spans="1:47" ht="12.5" x14ac:dyDescent="0.25">
      <c r="A358" s="5"/>
      <c r="B358" s="5"/>
      <c r="C358" s="5"/>
      <c r="D358" s="5"/>
      <c r="E358" s="5"/>
      <c r="F358" s="7"/>
      <c r="G358" s="5"/>
      <c r="H358" s="7"/>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row>
    <row r="359" spans="1:47" ht="12.5" x14ac:dyDescent="0.25">
      <c r="A359" s="5"/>
      <c r="B359" s="5"/>
      <c r="C359" s="5"/>
      <c r="D359" s="5"/>
      <c r="E359" s="5"/>
      <c r="F359" s="7"/>
      <c r="G359" s="5"/>
      <c r="H359" s="7"/>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row>
    <row r="360" spans="1:47" ht="12.5" x14ac:dyDescent="0.25">
      <c r="A360" s="5"/>
      <c r="B360" s="5"/>
      <c r="C360" s="5"/>
      <c r="D360" s="5"/>
      <c r="E360" s="5"/>
      <c r="F360" s="7"/>
      <c r="G360" s="5"/>
      <c r="H360" s="7"/>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row>
    <row r="361" spans="1:47" ht="12.5" x14ac:dyDescent="0.25">
      <c r="A361" s="5"/>
      <c r="B361" s="5"/>
      <c r="C361" s="5"/>
      <c r="D361" s="5"/>
      <c r="E361" s="5"/>
      <c r="F361" s="7"/>
      <c r="G361" s="5"/>
      <c r="H361" s="7"/>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row>
    <row r="362" spans="1:47" ht="12.5" x14ac:dyDescent="0.25">
      <c r="A362" s="5"/>
      <c r="B362" s="5"/>
      <c r="C362" s="5"/>
      <c r="D362" s="5"/>
      <c r="E362" s="5"/>
      <c r="F362" s="7"/>
      <c r="G362" s="5"/>
      <c r="H362" s="7"/>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row>
    <row r="363" spans="1:47" ht="12.5" x14ac:dyDescent="0.25">
      <c r="A363" s="5"/>
      <c r="B363" s="5"/>
      <c r="C363" s="5"/>
      <c r="D363" s="5"/>
      <c r="E363" s="5"/>
      <c r="F363" s="7"/>
      <c r="G363" s="5"/>
      <c r="H363" s="7"/>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row>
    <row r="364" spans="1:47" ht="12.5" x14ac:dyDescent="0.25">
      <c r="A364" s="5"/>
      <c r="B364" s="5"/>
      <c r="C364" s="5"/>
      <c r="D364" s="5"/>
      <c r="E364" s="5"/>
      <c r="F364" s="7"/>
      <c r="G364" s="5"/>
      <c r="H364" s="7"/>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row>
    <row r="365" spans="1:47" ht="12.5" x14ac:dyDescent="0.25">
      <c r="A365" s="5"/>
      <c r="B365" s="5"/>
      <c r="C365" s="5"/>
      <c r="D365" s="5"/>
      <c r="E365" s="5"/>
      <c r="F365" s="7"/>
      <c r="G365" s="5"/>
      <c r="H365" s="7"/>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row>
    <row r="366" spans="1:47" ht="12.5" x14ac:dyDescent="0.25">
      <c r="A366" s="5"/>
      <c r="B366" s="5"/>
      <c r="C366" s="5"/>
      <c r="D366" s="5"/>
      <c r="E366" s="5"/>
      <c r="F366" s="7"/>
      <c r="G366" s="5"/>
      <c r="H366" s="7"/>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row>
    <row r="367" spans="1:47" ht="12.5" x14ac:dyDescent="0.25">
      <c r="A367" s="5"/>
      <c r="B367" s="5"/>
      <c r="C367" s="5"/>
      <c r="D367" s="5"/>
      <c r="E367" s="5"/>
      <c r="F367" s="7"/>
      <c r="G367" s="5"/>
      <c r="H367" s="7"/>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row>
    <row r="368" spans="1:47" ht="12.5" x14ac:dyDescent="0.25">
      <c r="A368" s="5"/>
      <c r="B368" s="5"/>
      <c r="C368" s="5"/>
      <c r="D368" s="5"/>
      <c r="E368" s="5"/>
      <c r="F368" s="7"/>
      <c r="G368" s="5"/>
      <c r="H368" s="7"/>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row>
    <row r="369" spans="1:47" ht="12.5" x14ac:dyDescent="0.25">
      <c r="A369" s="5"/>
      <c r="B369" s="5"/>
      <c r="C369" s="5"/>
      <c r="D369" s="5"/>
      <c r="E369" s="5"/>
      <c r="F369" s="7"/>
      <c r="G369" s="5"/>
      <c r="H369" s="7"/>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row>
    <row r="370" spans="1:47" ht="12.5" x14ac:dyDescent="0.25">
      <c r="A370" s="5"/>
      <c r="B370" s="5"/>
      <c r="C370" s="5"/>
      <c r="D370" s="5"/>
      <c r="E370" s="5"/>
      <c r="F370" s="7"/>
      <c r="G370" s="5"/>
      <c r="H370" s="7"/>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row>
    <row r="371" spans="1:47" ht="12.5" x14ac:dyDescent="0.25">
      <c r="A371" s="5"/>
      <c r="B371" s="5"/>
      <c r="C371" s="5"/>
      <c r="D371" s="5"/>
      <c r="E371" s="5"/>
      <c r="F371" s="7"/>
      <c r="G371" s="5"/>
      <c r="H371" s="7"/>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row>
    <row r="372" spans="1:47" ht="12.5" x14ac:dyDescent="0.25">
      <c r="A372" s="5"/>
      <c r="B372" s="5"/>
      <c r="C372" s="5"/>
      <c r="D372" s="5"/>
      <c r="E372" s="5"/>
      <c r="F372" s="7"/>
      <c r="G372" s="5"/>
      <c r="H372" s="7"/>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row>
    <row r="373" spans="1:47" ht="12.5" x14ac:dyDescent="0.25">
      <c r="A373" s="5"/>
      <c r="B373" s="5"/>
      <c r="C373" s="5"/>
      <c r="D373" s="5"/>
      <c r="E373" s="5"/>
      <c r="F373" s="7"/>
      <c r="G373" s="5"/>
      <c r="H373" s="7"/>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row>
    <row r="374" spans="1:47" ht="12.5" x14ac:dyDescent="0.25">
      <c r="A374" s="5"/>
      <c r="B374" s="5"/>
      <c r="C374" s="5"/>
      <c r="D374" s="5"/>
      <c r="E374" s="5"/>
      <c r="F374" s="7"/>
      <c r="G374" s="5"/>
      <c r="H374" s="7"/>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row>
    <row r="375" spans="1:47" ht="12.5" x14ac:dyDescent="0.25">
      <c r="A375" s="5"/>
      <c r="B375" s="5"/>
      <c r="C375" s="5"/>
      <c r="D375" s="5"/>
      <c r="E375" s="5"/>
      <c r="F375" s="7"/>
      <c r="G375" s="5"/>
      <c r="H375" s="7"/>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row>
    <row r="376" spans="1:47" ht="12.5" x14ac:dyDescent="0.25">
      <c r="A376" s="5"/>
      <c r="B376" s="5"/>
      <c r="C376" s="5"/>
      <c r="D376" s="5"/>
      <c r="E376" s="5"/>
      <c r="F376" s="7"/>
      <c r="G376" s="5"/>
      <c r="H376" s="7"/>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row>
    <row r="377" spans="1:47" ht="12.5" x14ac:dyDescent="0.25">
      <c r="A377" s="5"/>
      <c r="B377" s="5"/>
      <c r="C377" s="5"/>
      <c r="D377" s="5"/>
      <c r="E377" s="5"/>
      <c r="F377" s="7"/>
      <c r="G377" s="5"/>
      <c r="H377" s="7"/>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row>
    <row r="378" spans="1:47" ht="12.5" x14ac:dyDescent="0.25">
      <c r="A378" s="5"/>
      <c r="B378" s="5"/>
      <c r="C378" s="5"/>
      <c r="D378" s="5"/>
      <c r="E378" s="5"/>
      <c r="F378" s="7"/>
      <c r="G378" s="5"/>
      <c r="H378" s="7"/>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row>
    <row r="379" spans="1:47" ht="12.5" x14ac:dyDescent="0.25">
      <c r="A379" s="5"/>
      <c r="B379" s="5"/>
      <c r="C379" s="5"/>
      <c r="D379" s="5"/>
      <c r="E379" s="5"/>
      <c r="F379" s="7"/>
      <c r="G379" s="5"/>
      <c r="H379" s="7"/>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row>
    <row r="380" spans="1:47" ht="12.5" x14ac:dyDescent="0.25">
      <c r="A380" s="5"/>
      <c r="B380" s="5"/>
      <c r="C380" s="5"/>
      <c r="D380" s="5"/>
      <c r="E380" s="5"/>
      <c r="F380" s="7"/>
      <c r="G380" s="5"/>
      <c r="H380" s="7"/>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row>
    <row r="381" spans="1:47" ht="12.5" x14ac:dyDescent="0.25">
      <c r="A381" s="5"/>
      <c r="B381" s="5"/>
      <c r="C381" s="5"/>
      <c r="D381" s="5"/>
      <c r="E381" s="5"/>
      <c r="F381" s="7"/>
      <c r="G381" s="5"/>
      <c r="H381" s="7"/>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row>
    <row r="382" spans="1:47" ht="12.5" x14ac:dyDescent="0.25">
      <c r="A382" s="5"/>
      <c r="B382" s="5"/>
      <c r="C382" s="5"/>
      <c r="D382" s="5"/>
      <c r="E382" s="5"/>
      <c r="F382" s="7"/>
      <c r="G382" s="5"/>
      <c r="H382" s="7"/>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row>
    <row r="383" spans="1:47" ht="12.5" x14ac:dyDescent="0.25">
      <c r="A383" s="5"/>
      <c r="B383" s="5"/>
      <c r="C383" s="5"/>
      <c r="D383" s="5"/>
      <c r="E383" s="5"/>
      <c r="F383" s="7"/>
      <c r="G383" s="5"/>
      <c r="H383" s="7"/>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row>
    <row r="384" spans="1:47" ht="12.5" x14ac:dyDescent="0.25">
      <c r="A384" s="5"/>
      <c r="B384" s="5"/>
      <c r="C384" s="5"/>
      <c r="D384" s="5"/>
      <c r="E384" s="5"/>
      <c r="F384" s="7"/>
      <c r="G384" s="5"/>
      <c r="H384" s="7"/>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row>
    <row r="385" spans="1:47" ht="12.5" x14ac:dyDescent="0.25">
      <c r="A385" s="5"/>
      <c r="B385" s="5"/>
      <c r="C385" s="5"/>
      <c r="D385" s="5"/>
      <c r="E385" s="5"/>
      <c r="F385" s="7"/>
      <c r="G385" s="5"/>
      <c r="H385" s="7"/>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row>
    <row r="386" spans="1:47" ht="12.5" x14ac:dyDescent="0.25">
      <c r="A386" s="5"/>
      <c r="B386" s="5"/>
      <c r="C386" s="5"/>
      <c r="D386" s="5"/>
      <c r="E386" s="5"/>
      <c r="F386" s="7"/>
      <c r="G386" s="5"/>
      <c r="H386" s="7"/>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row>
    <row r="387" spans="1:47" ht="12.5" x14ac:dyDescent="0.25">
      <c r="A387" s="5"/>
      <c r="B387" s="5"/>
      <c r="C387" s="5"/>
      <c r="D387" s="5"/>
      <c r="E387" s="5"/>
      <c r="F387" s="7"/>
      <c r="G387" s="5"/>
      <c r="H387" s="7"/>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row>
    <row r="388" spans="1:47" ht="12.5" x14ac:dyDescent="0.25">
      <c r="A388" s="5"/>
      <c r="B388" s="5"/>
      <c r="C388" s="5"/>
      <c r="D388" s="5"/>
      <c r="E388" s="5"/>
      <c r="F388" s="7"/>
      <c r="G388" s="5"/>
      <c r="H388" s="7"/>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row>
    <row r="389" spans="1:47" ht="12.5" x14ac:dyDescent="0.25">
      <c r="A389" s="5"/>
      <c r="B389" s="5"/>
      <c r="C389" s="5"/>
      <c r="D389" s="5"/>
      <c r="E389" s="5"/>
      <c r="F389" s="7"/>
      <c r="G389" s="5"/>
      <c r="H389" s="7"/>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row>
    <row r="390" spans="1:47" ht="12.5" x14ac:dyDescent="0.25">
      <c r="A390" s="5"/>
      <c r="B390" s="5"/>
      <c r="C390" s="5"/>
      <c r="D390" s="5"/>
      <c r="E390" s="5"/>
      <c r="F390" s="7"/>
      <c r="G390" s="5"/>
      <c r="H390" s="7"/>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row>
    <row r="391" spans="1:47" ht="12.5" x14ac:dyDescent="0.25">
      <c r="A391" s="5"/>
      <c r="B391" s="5"/>
      <c r="C391" s="5"/>
      <c r="D391" s="5"/>
      <c r="E391" s="5"/>
      <c r="F391" s="7"/>
      <c r="G391" s="5"/>
      <c r="H391" s="7"/>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row>
    <row r="392" spans="1:47" ht="12.5" x14ac:dyDescent="0.25">
      <c r="A392" s="5"/>
      <c r="B392" s="5"/>
      <c r="C392" s="5"/>
      <c r="D392" s="5"/>
      <c r="E392" s="5"/>
      <c r="F392" s="7"/>
      <c r="G392" s="5"/>
      <c r="H392" s="7"/>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row>
    <row r="393" spans="1:47" ht="12.5" x14ac:dyDescent="0.25">
      <c r="A393" s="5"/>
      <c r="B393" s="5"/>
      <c r="C393" s="5"/>
      <c r="D393" s="5"/>
      <c r="E393" s="5"/>
      <c r="F393" s="7"/>
      <c r="G393" s="5"/>
      <c r="H393" s="7"/>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row>
    <row r="394" spans="1:47" ht="12.5" x14ac:dyDescent="0.25">
      <c r="A394" s="5"/>
      <c r="B394" s="5"/>
      <c r="C394" s="5"/>
      <c r="D394" s="5"/>
      <c r="E394" s="5"/>
      <c r="F394" s="7"/>
      <c r="G394" s="5"/>
      <c r="H394" s="7"/>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row>
    <row r="395" spans="1:47" ht="12.5" x14ac:dyDescent="0.25">
      <c r="A395" s="5"/>
      <c r="B395" s="5"/>
      <c r="C395" s="5"/>
      <c r="D395" s="5"/>
      <c r="E395" s="5"/>
      <c r="F395" s="7"/>
      <c r="G395" s="5"/>
      <c r="H395" s="7"/>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row>
    <row r="396" spans="1:47" ht="12.5" x14ac:dyDescent="0.25">
      <c r="A396" s="5"/>
      <c r="B396" s="5"/>
      <c r="C396" s="5"/>
      <c r="D396" s="5"/>
      <c r="E396" s="5"/>
      <c r="F396" s="7"/>
      <c r="G396" s="5"/>
      <c r="H396" s="7"/>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row>
    <row r="397" spans="1:47" ht="12.5" x14ac:dyDescent="0.25">
      <c r="A397" s="5"/>
      <c r="B397" s="5"/>
      <c r="C397" s="5"/>
      <c r="D397" s="5"/>
      <c r="E397" s="5"/>
      <c r="F397" s="7"/>
      <c r="G397" s="5"/>
      <c r="H397" s="7"/>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row>
    <row r="398" spans="1:47" ht="12.5" x14ac:dyDescent="0.25">
      <c r="A398" s="5"/>
      <c r="B398" s="5"/>
      <c r="C398" s="5"/>
      <c r="D398" s="5"/>
      <c r="E398" s="5"/>
      <c r="F398" s="7"/>
      <c r="G398" s="5"/>
      <c r="H398" s="7"/>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row>
    <row r="399" spans="1:47" ht="12.5" x14ac:dyDescent="0.25">
      <c r="A399" s="5"/>
      <c r="B399" s="5"/>
      <c r="C399" s="5"/>
      <c r="D399" s="5"/>
      <c r="E399" s="5"/>
      <c r="F399" s="7"/>
      <c r="G399" s="5"/>
      <c r="H399" s="7"/>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row>
    <row r="400" spans="1:47" ht="12.5" x14ac:dyDescent="0.25">
      <c r="A400" s="5"/>
      <c r="B400" s="5"/>
      <c r="C400" s="5"/>
      <c r="D400" s="5"/>
      <c r="E400" s="5"/>
      <c r="F400" s="7"/>
      <c r="G400" s="5"/>
      <c r="H400" s="7"/>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row>
    <row r="401" spans="1:47" ht="12.5" x14ac:dyDescent="0.25">
      <c r="A401" s="5"/>
      <c r="B401" s="5"/>
      <c r="C401" s="5"/>
      <c r="D401" s="5"/>
      <c r="E401" s="5"/>
      <c r="F401" s="7"/>
      <c r="G401" s="5"/>
      <c r="H401" s="7"/>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row>
    <row r="402" spans="1:47" ht="12.5" x14ac:dyDescent="0.25">
      <c r="A402" s="5"/>
      <c r="B402" s="5"/>
      <c r="C402" s="5"/>
      <c r="D402" s="5"/>
      <c r="E402" s="5"/>
      <c r="F402" s="7"/>
      <c r="G402" s="5"/>
      <c r="H402" s="7"/>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row>
    <row r="403" spans="1:47" ht="12.5" x14ac:dyDescent="0.25">
      <c r="A403" s="5"/>
      <c r="B403" s="5"/>
      <c r="C403" s="5"/>
      <c r="D403" s="5"/>
      <c r="E403" s="5"/>
      <c r="F403" s="7"/>
      <c r="G403" s="5"/>
      <c r="H403" s="7"/>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row>
    <row r="404" spans="1:47" ht="12.5" x14ac:dyDescent="0.25">
      <c r="A404" s="5"/>
      <c r="B404" s="5"/>
      <c r="C404" s="5"/>
      <c r="D404" s="5"/>
      <c r="E404" s="5"/>
      <c r="F404" s="7"/>
      <c r="G404" s="5"/>
      <c r="H404" s="7"/>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row>
    <row r="405" spans="1:47" ht="12.5" x14ac:dyDescent="0.25">
      <c r="A405" s="5"/>
      <c r="B405" s="5"/>
      <c r="C405" s="5"/>
      <c r="D405" s="5"/>
      <c r="E405" s="5"/>
      <c r="F405" s="7"/>
      <c r="G405" s="5"/>
      <c r="H405" s="7"/>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row>
    <row r="406" spans="1:47" ht="12.5" x14ac:dyDescent="0.25">
      <c r="A406" s="5"/>
      <c r="B406" s="5"/>
      <c r="C406" s="5"/>
      <c r="D406" s="5"/>
      <c r="E406" s="5"/>
      <c r="F406" s="7"/>
      <c r="G406" s="5"/>
      <c r="H406" s="7"/>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row>
    <row r="407" spans="1:47" ht="12.5" x14ac:dyDescent="0.25">
      <c r="A407" s="5"/>
      <c r="B407" s="5"/>
      <c r="C407" s="5"/>
      <c r="D407" s="5"/>
      <c r="E407" s="5"/>
      <c r="F407" s="7"/>
      <c r="G407" s="5"/>
      <c r="H407" s="7"/>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row>
    <row r="408" spans="1:47" ht="12.5" x14ac:dyDescent="0.25">
      <c r="A408" s="5"/>
      <c r="B408" s="5"/>
      <c r="C408" s="5"/>
      <c r="D408" s="5"/>
      <c r="E408" s="5"/>
      <c r="F408" s="7"/>
      <c r="G408" s="5"/>
      <c r="H408" s="7"/>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row>
    <row r="409" spans="1:47" ht="12.5" x14ac:dyDescent="0.25">
      <c r="A409" s="5"/>
      <c r="B409" s="5"/>
      <c r="C409" s="5"/>
      <c r="D409" s="5"/>
      <c r="E409" s="5"/>
      <c r="F409" s="7"/>
      <c r="G409" s="5"/>
      <c r="H409" s="7"/>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row>
    <row r="410" spans="1:47" ht="12.5" x14ac:dyDescent="0.25">
      <c r="A410" s="5"/>
      <c r="B410" s="5"/>
      <c r="C410" s="5"/>
      <c r="D410" s="5"/>
      <c r="E410" s="5"/>
      <c r="F410" s="7"/>
      <c r="G410" s="5"/>
      <c r="H410" s="7"/>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row>
    <row r="411" spans="1:47" ht="12.5" x14ac:dyDescent="0.25">
      <c r="A411" s="5"/>
      <c r="B411" s="5"/>
      <c r="C411" s="5"/>
      <c r="D411" s="5"/>
      <c r="E411" s="5"/>
      <c r="F411" s="7"/>
      <c r="G411" s="5"/>
      <c r="H411" s="7"/>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row>
    <row r="412" spans="1:47" ht="12.5" x14ac:dyDescent="0.25">
      <c r="A412" s="5"/>
      <c r="B412" s="5"/>
      <c r="C412" s="5"/>
      <c r="D412" s="5"/>
      <c r="E412" s="5"/>
      <c r="F412" s="7"/>
      <c r="G412" s="5"/>
      <c r="H412" s="7"/>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row>
    <row r="413" spans="1:47" ht="12.5" x14ac:dyDescent="0.25">
      <c r="A413" s="5"/>
      <c r="B413" s="5"/>
      <c r="C413" s="5"/>
      <c r="D413" s="5"/>
      <c r="E413" s="5"/>
      <c r="F413" s="7"/>
      <c r="G413" s="5"/>
      <c r="H413" s="7"/>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row>
    <row r="414" spans="1:47" ht="12.5" x14ac:dyDescent="0.25">
      <c r="A414" s="5"/>
      <c r="B414" s="5"/>
      <c r="C414" s="5"/>
      <c r="D414" s="5"/>
      <c r="E414" s="5"/>
      <c r="F414" s="7"/>
      <c r="G414" s="5"/>
      <c r="H414" s="7"/>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row>
    <row r="415" spans="1:47" ht="12.5" x14ac:dyDescent="0.25">
      <c r="A415" s="5"/>
      <c r="B415" s="5"/>
      <c r="C415" s="5"/>
      <c r="D415" s="5"/>
      <c r="E415" s="5"/>
      <c r="F415" s="7"/>
      <c r="G415" s="5"/>
      <c r="H415" s="7"/>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row>
    <row r="416" spans="1:47" ht="12.5" x14ac:dyDescent="0.25">
      <c r="A416" s="5"/>
      <c r="B416" s="5"/>
      <c r="C416" s="5"/>
      <c r="D416" s="5"/>
      <c r="E416" s="5"/>
      <c r="F416" s="7"/>
      <c r="G416" s="5"/>
      <c r="H416" s="7"/>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row>
    <row r="417" spans="1:47" ht="12.5" x14ac:dyDescent="0.25">
      <c r="A417" s="5"/>
      <c r="B417" s="5"/>
      <c r="C417" s="5"/>
      <c r="D417" s="5"/>
      <c r="E417" s="5"/>
      <c r="F417" s="7"/>
      <c r="G417" s="5"/>
      <c r="H417" s="7"/>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row>
    <row r="418" spans="1:47" ht="12.5" x14ac:dyDescent="0.25">
      <c r="A418" s="5"/>
      <c r="B418" s="5"/>
      <c r="C418" s="5"/>
      <c r="D418" s="5"/>
      <c r="E418" s="5"/>
      <c r="F418" s="7"/>
      <c r="G418" s="5"/>
      <c r="H418" s="7"/>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row>
    <row r="419" spans="1:47" ht="12.5" x14ac:dyDescent="0.25">
      <c r="A419" s="5"/>
      <c r="B419" s="5"/>
      <c r="C419" s="5"/>
      <c r="D419" s="5"/>
      <c r="E419" s="5"/>
      <c r="F419" s="7"/>
      <c r="G419" s="5"/>
      <c r="H419" s="7"/>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row>
    <row r="420" spans="1:47" ht="12.5" x14ac:dyDescent="0.25">
      <c r="A420" s="5"/>
      <c r="B420" s="5"/>
      <c r="C420" s="5"/>
      <c r="D420" s="5"/>
      <c r="E420" s="5"/>
      <c r="F420" s="7"/>
      <c r="G420" s="5"/>
      <c r="H420" s="7"/>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row>
    <row r="421" spans="1:47" ht="12.5" x14ac:dyDescent="0.25">
      <c r="A421" s="5"/>
      <c r="B421" s="5"/>
      <c r="C421" s="5"/>
      <c r="D421" s="5"/>
      <c r="E421" s="5"/>
      <c r="F421" s="7"/>
      <c r="G421" s="5"/>
      <c r="H421" s="7"/>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row>
    <row r="422" spans="1:47" ht="12.5" x14ac:dyDescent="0.25">
      <c r="A422" s="5"/>
      <c r="B422" s="5"/>
      <c r="C422" s="5"/>
      <c r="D422" s="5"/>
      <c r="E422" s="5"/>
      <c r="F422" s="7"/>
      <c r="G422" s="5"/>
      <c r="H422" s="7"/>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row>
    <row r="423" spans="1:47" ht="12.5" x14ac:dyDescent="0.25">
      <c r="A423" s="5"/>
      <c r="B423" s="5"/>
      <c r="C423" s="5"/>
      <c r="D423" s="5"/>
      <c r="E423" s="5"/>
      <c r="F423" s="7"/>
      <c r="G423" s="5"/>
      <c r="H423" s="7"/>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row>
    <row r="424" spans="1:47" ht="12.5" x14ac:dyDescent="0.25">
      <c r="A424" s="5"/>
      <c r="B424" s="5"/>
      <c r="C424" s="5"/>
      <c r="D424" s="5"/>
      <c r="E424" s="5"/>
      <c r="F424" s="7"/>
      <c r="G424" s="5"/>
      <c r="H424" s="7"/>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row>
    <row r="425" spans="1:47" ht="12.5" x14ac:dyDescent="0.25">
      <c r="A425" s="5"/>
      <c r="B425" s="5"/>
      <c r="C425" s="5"/>
      <c r="D425" s="5"/>
      <c r="E425" s="5"/>
      <c r="F425" s="7"/>
      <c r="G425" s="5"/>
      <c r="H425" s="7"/>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row>
    <row r="426" spans="1:47" ht="12.5" x14ac:dyDescent="0.25">
      <c r="A426" s="5"/>
      <c r="B426" s="5"/>
      <c r="C426" s="5"/>
      <c r="D426" s="5"/>
      <c r="E426" s="5"/>
      <c r="F426" s="7"/>
      <c r="G426" s="5"/>
      <c r="H426" s="7"/>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row>
    <row r="427" spans="1:47" ht="12.5" x14ac:dyDescent="0.25">
      <c r="A427" s="5"/>
      <c r="B427" s="5"/>
      <c r="C427" s="5"/>
      <c r="D427" s="5"/>
      <c r="E427" s="5"/>
      <c r="F427" s="7"/>
      <c r="G427" s="5"/>
      <c r="H427" s="7"/>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row>
    <row r="428" spans="1:47" ht="12.5" x14ac:dyDescent="0.25">
      <c r="A428" s="5"/>
      <c r="B428" s="5"/>
      <c r="C428" s="5"/>
      <c r="D428" s="5"/>
      <c r="E428" s="5"/>
      <c r="F428" s="7"/>
      <c r="G428" s="5"/>
      <c r="H428" s="7"/>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row>
    <row r="429" spans="1:47" ht="12.5" x14ac:dyDescent="0.25">
      <c r="A429" s="5"/>
      <c r="B429" s="5"/>
      <c r="C429" s="5"/>
      <c r="D429" s="5"/>
      <c r="E429" s="5"/>
      <c r="F429" s="7"/>
      <c r="G429" s="5"/>
      <c r="H429" s="7"/>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row>
    <row r="430" spans="1:47" ht="12.5" x14ac:dyDescent="0.25">
      <c r="A430" s="5"/>
      <c r="B430" s="5"/>
      <c r="C430" s="5"/>
      <c r="D430" s="5"/>
      <c r="E430" s="5"/>
      <c r="F430" s="7"/>
      <c r="G430" s="5"/>
      <c r="H430" s="7"/>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row>
    <row r="431" spans="1:47" ht="12.5" x14ac:dyDescent="0.25">
      <c r="A431" s="5"/>
      <c r="B431" s="5"/>
      <c r="C431" s="5"/>
      <c r="D431" s="5"/>
      <c r="E431" s="5"/>
      <c r="F431" s="7"/>
      <c r="G431" s="5"/>
      <c r="H431" s="7"/>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row>
    <row r="432" spans="1:47" ht="12.5" x14ac:dyDescent="0.25">
      <c r="A432" s="5"/>
      <c r="B432" s="5"/>
      <c r="C432" s="5"/>
      <c r="D432" s="5"/>
      <c r="E432" s="5"/>
      <c r="F432" s="7"/>
      <c r="G432" s="5"/>
      <c r="H432" s="7"/>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row>
    <row r="433" spans="1:47" ht="12.5" x14ac:dyDescent="0.25">
      <c r="A433" s="5"/>
      <c r="B433" s="5"/>
      <c r="C433" s="5"/>
      <c r="D433" s="5"/>
      <c r="E433" s="5"/>
      <c r="F433" s="7"/>
      <c r="G433" s="5"/>
      <c r="H433" s="7"/>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row>
    <row r="434" spans="1:47" ht="12.5" x14ac:dyDescent="0.25">
      <c r="A434" s="5"/>
      <c r="B434" s="5"/>
      <c r="C434" s="5"/>
      <c r="D434" s="5"/>
      <c r="E434" s="5"/>
      <c r="F434" s="7"/>
      <c r="G434" s="5"/>
      <c r="H434" s="7"/>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row>
    <row r="435" spans="1:47" ht="12.5" x14ac:dyDescent="0.25">
      <c r="A435" s="5"/>
      <c r="B435" s="5"/>
      <c r="C435" s="5"/>
      <c r="D435" s="5"/>
      <c r="E435" s="5"/>
      <c r="F435" s="7"/>
      <c r="G435" s="5"/>
      <c r="H435" s="7"/>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row>
    <row r="436" spans="1:47" ht="12.5" x14ac:dyDescent="0.25">
      <c r="A436" s="5"/>
      <c r="B436" s="5"/>
      <c r="C436" s="5"/>
      <c r="D436" s="5"/>
      <c r="E436" s="5"/>
      <c r="F436" s="7"/>
      <c r="G436" s="5"/>
      <c r="H436" s="7"/>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row>
    <row r="437" spans="1:47" ht="12.5" x14ac:dyDescent="0.25">
      <c r="A437" s="5"/>
      <c r="B437" s="5"/>
      <c r="C437" s="5"/>
      <c r="D437" s="5"/>
      <c r="E437" s="5"/>
      <c r="F437" s="7"/>
      <c r="G437" s="5"/>
      <c r="H437" s="7"/>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row>
    <row r="438" spans="1:47" ht="12.5" x14ac:dyDescent="0.25">
      <c r="A438" s="5"/>
      <c r="B438" s="5"/>
      <c r="C438" s="5"/>
      <c r="D438" s="5"/>
      <c r="E438" s="5"/>
      <c r="F438" s="7"/>
      <c r="G438" s="5"/>
      <c r="H438" s="7"/>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row>
    <row r="439" spans="1:47" ht="12.5" x14ac:dyDescent="0.25">
      <c r="A439" s="5"/>
      <c r="B439" s="5"/>
      <c r="C439" s="5"/>
      <c r="D439" s="5"/>
      <c r="E439" s="5"/>
      <c r="F439" s="7"/>
      <c r="G439" s="5"/>
      <c r="H439" s="7"/>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row>
    <row r="440" spans="1:47" ht="12.5" x14ac:dyDescent="0.25">
      <c r="A440" s="5"/>
      <c r="B440" s="5"/>
      <c r="C440" s="5"/>
      <c r="D440" s="5"/>
      <c r="E440" s="5"/>
      <c r="F440" s="7"/>
      <c r="G440" s="5"/>
      <c r="H440" s="7"/>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row>
    <row r="441" spans="1:47" ht="12.5" x14ac:dyDescent="0.25">
      <c r="A441" s="5"/>
      <c r="B441" s="5"/>
      <c r="C441" s="5"/>
      <c r="D441" s="5"/>
      <c r="E441" s="5"/>
      <c r="F441" s="7"/>
      <c r="G441" s="5"/>
      <c r="H441" s="7"/>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row>
    <row r="442" spans="1:47" ht="12.5" x14ac:dyDescent="0.25">
      <c r="A442" s="5"/>
      <c r="B442" s="5"/>
      <c r="C442" s="5"/>
      <c r="D442" s="5"/>
      <c r="E442" s="5"/>
      <c r="F442" s="7"/>
      <c r="G442" s="5"/>
      <c r="H442" s="7"/>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row>
    <row r="443" spans="1:47" ht="12.5" x14ac:dyDescent="0.25">
      <c r="A443" s="5"/>
      <c r="B443" s="5"/>
      <c r="C443" s="5"/>
      <c r="D443" s="5"/>
      <c r="E443" s="5"/>
      <c r="F443" s="7"/>
      <c r="G443" s="5"/>
      <c r="H443" s="7"/>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row>
    <row r="444" spans="1:47" ht="12.5" x14ac:dyDescent="0.25">
      <c r="A444" s="5"/>
      <c r="B444" s="5"/>
      <c r="C444" s="5"/>
      <c r="D444" s="5"/>
      <c r="E444" s="5"/>
      <c r="F444" s="7"/>
      <c r="G444" s="5"/>
      <c r="H444" s="7"/>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row>
    <row r="445" spans="1:47" ht="12.5" x14ac:dyDescent="0.25">
      <c r="A445" s="5"/>
      <c r="B445" s="5"/>
      <c r="C445" s="5"/>
      <c r="D445" s="5"/>
      <c r="E445" s="5"/>
      <c r="F445" s="7"/>
      <c r="G445" s="5"/>
      <c r="H445" s="7"/>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row>
    <row r="446" spans="1:47" ht="12.5" x14ac:dyDescent="0.25">
      <c r="A446" s="5"/>
      <c r="B446" s="5"/>
      <c r="C446" s="5"/>
      <c r="D446" s="5"/>
      <c r="E446" s="5"/>
      <c r="F446" s="7"/>
      <c r="G446" s="5"/>
      <c r="H446" s="7"/>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row>
    <row r="447" spans="1:47" ht="12.5" x14ac:dyDescent="0.25">
      <c r="A447" s="5"/>
      <c r="B447" s="5"/>
      <c r="C447" s="5"/>
      <c r="D447" s="5"/>
      <c r="E447" s="5"/>
      <c r="F447" s="7"/>
      <c r="G447" s="5"/>
      <c r="H447" s="7"/>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row>
    <row r="448" spans="1:47" ht="12.5" x14ac:dyDescent="0.25">
      <c r="A448" s="5"/>
      <c r="B448" s="5"/>
      <c r="C448" s="5"/>
      <c r="D448" s="5"/>
      <c r="E448" s="5"/>
      <c r="F448" s="7"/>
      <c r="G448" s="5"/>
      <c r="H448" s="7"/>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row>
    <row r="449" spans="1:47" ht="12.5" x14ac:dyDescent="0.25">
      <c r="A449" s="5"/>
      <c r="B449" s="5"/>
      <c r="C449" s="5"/>
      <c r="D449" s="5"/>
      <c r="E449" s="5"/>
      <c r="F449" s="7"/>
      <c r="G449" s="5"/>
      <c r="H449" s="7"/>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row>
    <row r="450" spans="1:47" ht="12.5" x14ac:dyDescent="0.25">
      <c r="A450" s="5"/>
      <c r="B450" s="5"/>
      <c r="C450" s="5"/>
      <c r="D450" s="5"/>
      <c r="E450" s="5"/>
      <c r="F450" s="7"/>
      <c r="G450" s="5"/>
      <c r="H450" s="7"/>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row>
    <row r="451" spans="1:47" ht="12.5" x14ac:dyDescent="0.25">
      <c r="A451" s="5"/>
      <c r="B451" s="5"/>
      <c r="C451" s="5"/>
      <c r="D451" s="5"/>
      <c r="E451" s="5"/>
      <c r="F451" s="7"/>
      <c r="G451" s="5"/>
      <c r="H451" s="7"/>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row>
    <row r="452" spans="1:47" ht="12.5" x14ac:dyDescent="0.25">
      <c r="A452" s="5"/>
      <c r="B452" s="5"/>
      <c r="C452" s="5"/>
      <c r="D452" s="5"/>
      <c r="E452" s="5"/>
      <c r="F452" s="7"/>
      <c r="G452" s="5"/>
      <c r="H452" s="7"/>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row>
    <row r="453" spans="1:47" ht="12.5" x14ac:dyDescent="0.25">
      <c r="A453" s="5"/>
      <c r="B453" s="5"/>
      <c r="C453" s="5"/>
      <c r="D453" s="5"/>
      <c r="E453" s="5"/>
      <c r="F453" s="7"/>
      <c r="G453" s="5"/>
      <c r="H453" s="7"/>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row>
    <row r="454" spans="1:47" ht="12.5" x14ac:dyDescent="0.25">
      <c r="A454" s="5"/>
      <c r="B454" s="5"/>
      <c r="C454" s="5"/>
      <c r="D454" s="5"/>
      <c r="E454" s="5"/>
      <c r="F454" s="7"/>
      <c r="G454" s="5"/>
      <c r="H454" s="7"/>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row>
    <row r="455" spans="1:47" ht="12.5" x14ac:dyDescent="0.25">
      <c r="A455" s="5"/>
      <c r="B455" s="5"/>
      <c r="C455" s="5"/>
      <c r="D455" s="5"/>
      <c r="E455" s="5"/>
      <c r="F455" s="7"/>
      <c r="G455" s="5"/>
      <c r="H455" s="7"/>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row>
    <row r="456" spans="1:47" ht="12.5" x14ac:dyDescent="0.25">
      <c r="A456" s="5"/>
      <c r="B456" s="5"/>
      <c r="C456" s="5"/>
      <c r="D456" s="5"/>
      <c r="E456" s="5"/>
      <c r="F456" s="7"/>
      <c r="G456" s="5"/>
      <c r="H456" s="7"/>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row>
    <row r="457" spans="1:47" ht="12.5" x14ac:dyDescent="0.25">
      <c r="A457" s="5"/>
      <c r="B457" s="5"/>
      <c r="C457" s="5"/>
      <c r="D457" s="5"/>
      <c r="E457" s="5"/>
      <c r="F457" s="7"/>
      <c r="G457" s="5"/>
      <c r="H457" s="7"/>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row>
    <row r="458" spans="1:47" ht="12.5" x14ac:dyDescent="0.25">
      <c r="A458" s="5"/>
      <c r="B458" s="5"/>
      <c r="C458" s="5"/>
      <c r="D458" s="5"/>
      <c r="E458" s="5"/>
      <c r="F458" s="7"/>
      <c r="G458" s="5"/>
      <c r="H458" s="7"/>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row>
    <row r="459" spans="1:47" ht="12.5" x14ac:dyDescent="0.25">
      <c r="A459" s="5"/>
      <c r="B459" s="5"/>
      <c r="C459" s="5"/>
      <c r="D459" s="5"/>
      <c r="E459" s="5"/>
      <c r="F459" s="7"/>
      <c r="G459" s="5"/>
      <c r="H459" s="7"/>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row>
    <row r="460" spans="1:47" ht="12.5" x14ac:dyDescent="0.25">
      <c r="A460" s="5"/>
      <c r="B460" s="5"/>
      <c r="C460" s="5"/>
      <c r="D460" s="5"/>
      <c r="E460" s="5"/>
      <c r="F460" s="7"/>
      <c r="G460" s="5"/>
      <c r="H460" s="7"/>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row>
    <row r="461" spans="1:47" ht="12.5" x14ac:dyDescent="0.25">
      <c r="A461" s="5"/>
      <c r="B461" s="5"/>
      <c r="C461" s="5"/>
      <c r="D461" s="5"/>
      <c r="E461" s="5"/>
      <c r="F461" s="7"/>
      <c r="G461" s="5"/>
      <c r="H461" s="7"/>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row>
    <row r="462" spans="1:47" ht="12.5" x14ac:dyDescent="0.25">
      <c r="A462" s="5"/>
      <c r="B462" s="5"/>
      <c r="C462" s="5"/>
      <c r="D462" s="5"/>
      <c r="E462" s="5"/>
      <c r="F462" s="7"/>
      <c r="G462" s="5"/>
      <c r="H462" s="7"/>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row>
    <row r="463" spans="1:47" ht="12.5" x14ac:dyDescent="0.25">
      <c r="A463" s="5"/>
      <c r="B463" s="5"/>
      <c r="C463" s="5"/>
      <c r="D463" s="5"/>
      <c r="E463" s="5"/>
      <c r="F463" s="7"/>
      <c r="G463" s="5"/>
      <c r="H463" s="7"/>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row>
    <row r="464" spans="1:47" ht="12.5" x14ac:dyDescent="0.25">
      <c r="A464" s="5"/>
      <c r="B464" s="5"/>
      <c r="C464" s="5"/>
      <c r="D464" s="5"/>
      <c r="E464" s="5"/>
      <c r="F464" s="7"/>
      <c r="G464" s="5"/>
      <c r="H464" s="7"/>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row>
    <row r="465" spans="1:47" ht="12.5" x14ac:dyDescent="0.25">
      <c r="A465" s="5"/>
      <c r="B465" s="5"/>
      <c r="C465" s="5"/>
      <c r="D465" s="5"/>
      <c r="E465" s="5"/>
      <c r="F465" s="7"/>
      <c r="G465" s="5"/>
      <c r="H465" s="7"/>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row>
    <row r="466" spans="1:47" ht="12.5" x14ac:dyDescent="0.25">
      <c r="A466" s="5"/>
      <c r="B466" s="5"/>
      <c r="C466" s="5"/>
      <c r="D466" s="5"/>
      <c r="E466" s="5"/>
      <c r="F466" s="7"/>
      <c r="G466" s="5"/>
      <c r="H466" s="7"/>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row>
    <row r="467" spans="1:47" ht="12.5" x14ac:dyDescent="0.25">
      <c r="A467" s="5"/>
      <c r="B467" s="5"/>
      <c r="C467" s="5"/>
      <c r="D467" s="5"/>
      <c r="E467" s="5"/>
      <c r="F467" s="7"/>
      <c r="G467" s="5"/>
      <c r="H467" s="7"/>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row>
    <row r="468" spans="1:47" ht="12.5" x14ac:dyDescent="0.25">
      <c r="A468" s="5"/>
      <c r="B468" s="5"/>
      <c r="C468" s="5"/>
      <c r="D468" s="5"/>
      <c r="E468" s="5"/>
      <c r="F468" s="7"/>
      <c r="G468" s="5"/>
      <c r="H468" s="7"/>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row>
    <row r="469" spans="1:47" ht="12.5" x14ac:dyDescent="0.25">
      <c r="A469" s="5"/>
      <c r="B469" s="5"/>
      <c r="C469" s="5"/>
      <c r="D469" s="5"/>
      <c r="E469" s="5"/>
      <c r="F469" s="7"/>
      <c r="G469" s="5"/>
      <c r="H469" s="7"/>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row>
    <row r="470" spans="1:47" ht="12.5" x14ac:dyDescent="0.25">
      <c r="A470" s="5"/>
      <c r="B470" s="5"/>
      <c r="C470" s="5"/>
      <c r="D470" s="5"/>
      <c r="E470" s="5"/>
      <c r="F470" s="7"/>
      <c r="G470" s="5"/>
      <c r="H470" s="7"/>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row>
    <row r="471" spans="1:47" ht="12.5" x14ac:dyDescent="0.25">
      <c r="A471" s="5"/>
      <c r="B471" s="5"/>
      <c r="C471" s="5"/>
      <c r="D471" s="5"/>
      <c r="E471" s="5"/>
      <c r="F471" s="7"/>
      <c r="G471" s="5"/>
      <c r="H471" s="7"/>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row>
    <row r="472" spans="1:47" ht="12.5" x14ac:dyDescent="0.25">
      <c r="A472" s="5"/>
      <c r="B472" s="5"/>
      <c r="C472" s="5"/>
      <c r="D472" s="5"/>
      <c r="E472" s="5"/>
      <c r="F472" s="7"/>
      <c r="G472" s="5"/>
      <c r="H472" s="7"/>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row>
    <row r="473" spans="1:47" ht="12.5" x14ac:dyDescent="0.25">
      <c r="A473" s="5"/>
      <c r="B473" s="5"/>
      <c r="C473" s="5"/>
      <c r="D473" s="5"/>
      <c r="E473" s="5"/>
      <c r="F473" s="7"/>
      <c r="G473" s="5"/>
      <c r="H473" s="7"/>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row>
    <row r="474" spans="1:47" ht="12.5" x14ac:dyDescent="0.25">
      <c r="A474" s="5"/>
      <c r="B474" s="5"/>
      <c r="C474" s="5"/>
      <c r="D474" s="5"/>
      <c r="E474" s="5"/>
      <c r="F474" s="7"/>
      <c r="G474" s="5"/>
      <c r="H474" s="7"/>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row>
    <row r="475" spans="1:47" ht="12.5" x14ac:dyDescent="0.25">
      <c r="A475" s="5"/>
      <c r="B475" s="5"/>
      <c r="C475" s="5"/>
      <c r="D475" s="5"/>
      <c r="E475" s="5"/>
      <c r="F475" s="7"/>
      <c r="G475" s="5"/>
      <c r="H475" s="7"/>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row>
    <row r="476" spans="1:47" ht="12.5" x14ac:dyDescent="0.25">
      <c r="A476" s="5"/>
      <c r="B476" s="5"/>
      <c r="C476" s="5"/>
      <c r="D476" s="5"/>
      <c r="E476" s="5"/>
      <c r="F476" s="7"/>
      <c r="G476" s="5"/>
      <c r="H476" s="7"/>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row>
    <row r="477" spans="1:47" ht="12.5" x14ac:dyDescent="0.25">
      <c r="A477" s="5"/>
      <c r="B477" s="5"/>
      <c r="C477" s="5"/>
      <c r="D477" s="5"/>
      <c r="E477" s="5"/>
      <c r="F477" s="7"/>
      <c r="G477" s="5"/>
      <c r="H477" s="7"/>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row>
    <row r="478" spans="1:47" ht="12.5" x14ac:dyDescent="0.25">
      <c r="A478" s="5"/>
      <c r="B478" s="5"/>
      <c r="C478" s="5"/>
      <c r="D478" s="5"/>
      <c r="E478" s="5"/>
      <c r="F478" s="7"/>
      <c r="G478" s="5"/>
      <c r="H478" s="7"/>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row>
    <row r="479" spans="1:47" ht="12.5" x14ac:dyDescent="0.25">
      <c r="A479" s="5"/>
      <c r="B479" s="5"/>
      <c r="C479" s="5"/>
      <c r="D479" s="5"/>
      <c r="E479" s="5"/>
      <c r="F479" s="7"/>
      <c r="G479" s="5"/>
      <c r="H479" s="7"/>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row>
    <row r="480" spans="1:47" ht="12.5" x14ac:dyDescent="0.25">
      <c r="A480" s="5"/>
      <c r="B480" s="5"/>
      <c r="C480" s="5"/>
      <c r="D480" s="5"/>
      <c r="E480" s="5"/>
      <c r="F480" s="7"/>
      <c r="G480" s="5"/>
      <c r="H480" s="7"/>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row>
    <row r="481" spans="1:47" ht="12.5" x14ac:dyDescent="0.25">
      <c r="A481" s="5"/>
      <c r="B481" s="5"/>
      <c r="C481" s="5"/>
      <c r="D481" s="5"/>
      <c r="E481" s="5"/>
      <c r="F481" s="7"/>
      <c r="G481" s="5"/>
      <c r="H481" s="7"/>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row>
    <row r="482" spans="1:47" ht="12.5" x14ac:dyDescent="0.25">
      <c r="A482" s="5"/>
      <c r="B482" s="5"/>
      <c r="C482" s="5"/>
      <c r="D482" s="5"/>
      <c r="E482" s="5"/>
      <c r="F482" s="7"/>
      <c r="G482" s="5"/>
      <c r="H482" s="7"/>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row>
    <row r="483" spans="1:47" ht="12.5" x14ac:dyDescent="0.25">
      <c r="A483" s="5"/>
      <c r="B483" s="5"/>
      <c r="C483" s="5"/>
      <c r="D483" s="5"/>
      <c r="E483" s="5"/>
      <c r="F483" s="7"/>
      <c r="G483" s="5"/>
      <c r="H483" s="7"/>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row>
    <row r="484" spans="1:47" ht="12.5" x14ac:dyDescent="0.25">
      <c r="A484" s="5"/>
      <c r="B484" s="5"/>
      <c r="C484" s="5"/>
      <c r="D484" s="5"/>
      <c r="E484" s="5"/>
      <c r="F484" s="7"/>
      <c r="G484" s="5"/>
      <c r="H484" s="7"/>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row>
    <row r="485" spans="1:47" ht="12.5" x14ac:dyDescent="0.25">
      <c r="A485" s="5"/>
      <c r="B485" s="5"/>
      <c r="C485" s="5"/>
      <c r="D485" s="5"/>
      <c r="E485" s="5"/>
      <c r="F485" s="7"/>
      <c r="G485" s="5"/>
      <c r="H485" s="7"/>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row>
    <row r="486" spans="1:47" ht="12.5" x14ac:dyDescent="0.25">
      <c r="A486" s="5"/>
      <c r="B486" s="5"/>
      <c r="C486" s="5"/>
      <c r="D486" s="5"/>
      <c r="E486" s="5"/>
      <c r="F486" s="7"/>
      <c r="G486" s="5"/>
      <c r="H486" s="7"/>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row>
    <row r="487" spans="1:47" ht="12.5" x14ac:dyDescent="0.25">
      <c r="A487" s="5"/>
      <c r="B487" s="5"/>
      <c r="C487" s="5"/>
      <c r="D487" s="5"/>
      <c r="E487" s="5"/>
      <c r="F487" s="7"/>
      <c r="G487" s="5"/>
      <c r="H487" s="7"/>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row>
    <row r="488" spans="1:47" ht="12.5" x14ac:dyDescent="0.25">
      <c r="A488" s="5"/>
      <c r="B488" s="5"/>
      <c r="C488" s="5"/>
      <c r="D488" s="5"/>
      <c r="E488" s="5"/>
      <c r="F488" s="7"/>
      <c r="G488" s="5"/>
      <c r="H488" s="7"/>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row>
    <row r="489" spans="1:47" ht="12.5" x14ac:dyDescent="0.25">
      <c r="A489" s="5"/>
      <c r="B489" s="5"/>
      <c r="C489" s="5"/>
      <c r="D489" s="5"/>
      <c r="E489" s="5"/>
      <c r="F489" s="7"/>
      <c r="G489" s="5"/>
      <c r="H489" s="7"/>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row>
    <row r="490" spans="1:47" ht="12.5" x14ac:dyDescent="0.25">
      <c r="A490" s="5"/>
      <c r="B490" s="5"/>
      <c r="C490" s="5"/>
      <c r="D490" s="5"/>
      <c r="E490" s="5"/>
      <c r="F490" s="7"/>
      <c r="G490" s="5"/>
      <c r="H490" s="7"/>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row>
    <row r="491" spans="1:47" ht="12.5" x14ac:dyDescent="0.25">
      <c r="A491" s="5"/>
      <c r="B491" s="5"/>
      <c r="C491" s="5"/>
      <c r="D491" s="5"/>
      <c r="E491" s="5"/>
      <c r="F491" s="7"/>
      <c r="G491" s="5"/>
      <c r="H491" s="7"/>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row>
    <row r="492" spans="1:47" ht="12.5" x14ac:dyDescent="0.25">
      <c r="A492" s="5"/>
      <c r="B492" s="5"/>
      <c r="C492" s="5"/>
      <c r="D492" s="5"/>
      <c r="E492" s="5"/>
      <c r="F492" s="7"/>
      <c r="G492" s="5"/>
      <c r="H492" s="7"/>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row>
    <row r="493" spans="1:47" ht="12.5" x14ac:dyDescent="0.25">
      <c r="A493" s="5"/>
      <c r="B493" s="5"/>
      <c r="C493" s="5"/>
      <c r="D493" s="5"/>
      <c r="E493" s="5"/>
      <c r="F493" s="7"/>
      <c r="G493" s="5"/>
      <c r="H493" s="7"/>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row>
    <row r="494" spans="1:47" ht="12.5" x14ac:dyDescent="0.25">
      <c r="A494" s="5"/>
      <c r="B494" s="5"/>
      <c r="C494" s="5"/>
      <c r="D494" s="5"/>
      <c r="E494" s="5"/>
      <c r="F494" s="7"/>
      <c r="G494" s="5"/>
      <c r="H494" s="7"/>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row>
    <row r="495" spans="1:47" ht="12.5" x14ac:dyDescent="0.25">
      <c r="A495" s="5"/>
      <c r="B495" s="5"/>
      <c r="C495" s="5"/>
      <c r="D495" s="5"/>
      <c r="E495" s="5"/>
      <c r="F495" s="7"/>
      <c r="G495" s="5"/>
      <c r="H495" s="7"/>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row>
    <row r="496" spans="1:47" ht="12.5" x14ac:dyDescent="0.25">
      <c r="A496" s="5"/>
      <c r="B496" s="5"/>
      <c r="C496" s="5"/>
      <c r="D496" s="5"/>
      <c r="E496" s="5"/>
      <c r="F496" s="7"/>
      <c r="G496" s="5"/>
      <c r="H496" s="7"/>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row>
    <row r="497" spans="1:47" ht="12.5" x14ac:dyDescent="0.25">
      <c r="A497" s="5"/>
      <c r="B497" s="5"/>
      <c r="C497" s="5"/>
      <c r="D497" s="5"/>
      <c r="E497" s="5"/>
      <c r="F497" s="7"/>
      <c r="G497" s="5"/>
      <c r="H497" s="7"/>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row>
    <row r="498" spans="1:47" ht="12.5" x14ac:dyDescent="0.25">
      <c r="A498" s="5"/>
      <c r="B498" s="5"/>
      <c r="C498" s="5"/>
      <c r="D498" s="5"/>
      <c r="E498" s="5"/>
      <c r="F498" s="7"/>
      <c r="G498" s="5"/>
      <c r="H498" s="7"/>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row>
    <row r="499" spans="1:47" ht="12.5" x14ac:dyDescent="0.25">
      <c r="A499" s="5"/>
      <c r="B499" s="5"/>
      <c r="C499" s="5"/>
      <c r="D499" s="5"/>
      <c r="E499" s="5"/>
      <c r="F499" s="7"/>
      <c r="G499" s="5"/>
      <c r="H499" s="7"/>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row>
    <row r="500" spans="1:47" ht="12.5" x14ac:dyDescent="0.25">
      <c r="A500" s="5"/>
      <c r="B500" s="5"/>
      <c r="C500" s="5"/>
      <c r="D500" s="5"/>
      <c r="E500" s="5"/>
      <c r="F500" s="7"/>
      <c r="G500" s="5"/>
      <c r="H500" s="7"/>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row>
    <row r="501" spans="1:47" ht="12.5" x14ac:dyDescent="0.25">
      <c r="A501" s="5"/>
      <c r="B501" s="5"/>
      <c r="C501" s="5"/>
      <c r="D501" s="5"/>
      <c r="E501" s="5"/>
      <c r="F501" s="7"/>
      <c r="G501" s="5"/>
      <c r="H501" s="7"/>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row>
    <row r="502" spans="1:47" ht="12.5" x14ac:dyDescent="0.25">
      <c r="A502" s="5"/>
      <c r="B502" s="5"/>
      <c r="C502" s="5"/>
      <c r="D502" s="5"/>
      <c r="E502" s="5"/>
      <c r="F502" s="7"/>
      <c r="G502" s="5"/>
      <c r="H502" s="7"/>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row>
    <row r="503" spans="1:47" ht="12.5" x14ac:dyDescent="0.25">
      <c r="A503" s="5"/>
      <c r="B503" s="5"/>
      <c r="C503" s="5"/>
      <c r="D503" s="5"/>
      <c r="E503" s="5"/>
      <c r="F503" s="7"/>
      <c r="G503" s="5"/>
      <c r="H503" s="7"/>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row>
    <row r="504" spans="1:47" ht="12.5" x14ac:dyDescent="0.25">
      <c r="A504" s="5"/>
      <c r="B504" s="5"/>
      <c r="C504" s="5"/>
      <c r="D504" s="5"/>
      <c r="E504" s="5"/>
      <c r="F504" s="7"/>
      <c r="G504" s="5"/>
      <c r="H504" s="7"/>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row>
    <row r="505" spans="1:47" ht="12.5" x14ac:dyDescent="0.25">
      <c r="A505" s="5"/>
      <c r="B505" s="5"/>
      <c r="C505" s="5"/>
      <c r="D505" s="5"/>
      <c r="E505" s="5"/>
      <c r="F505" s="7"/>
      <c r="G505" s="5"/>
      <c r="H505" s="7"/>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row>
    <row r="506" spans="1:47" ht="12.5" x14ac:dyDescent="0.25">
      <c r="A506" s="5"/>
      <c r="B506" s="5"/>
      <c r="C506" s="5"/>
      <c r="D506" s="5"/>
      <c r="E506" s="5"/>
      <c r="F506" s="7"/>
      <c r="G506" s="5"/>
      <c r="H506" s="7"/>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row>
    <row r="507" spans="1:47" ht="12.5" x14ac:dyDescent="0.25">
      <c r="A507" s="5"/>
      <c r="B507" s="5"/>
      <c r="C507" s="5"/>
      <c r="D507" s="5"/>
      <c r="E507" s="5"/>
      <c r="F507" s="7"/>
      <c r="G507" s="5"/>
      <c r="H507" s="7"/>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row>
    <row r="508" spans="1:47" ht="12.5" x14ac:dyDescent="0.25">
      <c r="A508" s="5"/>
      <c r="B508" s="5"/>
      <c r="C508" s="5"/>
      <c r="D508" s="5"/>
      <c r="E508" s="5"/>
      <c r="F508" s="7"/>
      <c r="G508" s="5"/>
      <c r="H508" s="7"/>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row>
    <row r="509" spans="1:47" ht="12.5" x14ac:dyDescent="0.25">
      <c r="A509" s="5"/>
      <c r="B509" s="5"/>
      <c r="C509" s="5"/>
      <c r="D509" s="5"/>
      <c r="E509" s="5"/>
      <c r="F509" s="7"/>
      <c r="G509" s="5"/>
      <c r="H509" s="7"/>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row>
    <row r="510" spans="1:47" ht="12.5" x14ac:dyDescent="0.25">
      <c r="A510" s="5"/>
      <c r="B510" s="5"/>
      <c r="C510" s="5"/>
      <c r="D510" s="5"/>
      <c r="E510" s="5"/>
      <c r="F510" s="7"/>
      <c r="G510" s="5"/>
      <c r="H510" s="7"/>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row>
    <row r="511" spans="1:47" ht="12.5" x14ac:dyDescent="0.25">
      <c r="A511" s="5"/>
      <c r="B511" s="5"/>
      <c r="C511" s="5"/>
      <c r="D511" s="5"/>
      <c r="E511" s="5"/>
      <c r="F511" s="7"/>
      <c r="G511" s="5"/>
      <c r="H511" s="7"/>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row>
    <row r="512" spans="1:47" ht="12.5" x14ac:dyDescent="0.25">
      <c r="A512" s="5"/>
      <c r="B512" s="5"/>
      <c r="C512" s="5"/>
      <c r="D512" s="5"/>
      <c r="E512" s="5"/>
      <c r="F512" s="7"/>
      <c r="G512" s="5"/>
      <c r="H512" s="7"/>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row>
    <row r="513" spans="1:47" ht="12.5" x14ac:dyDescent="0.25">
      <c r="A513" s="5"/>
      <c r="B513" s="5"/>
      <c r="C513" s="5"/>
      <c r="D513" s="5"/>
      <c r="E513" s="5"/>
      <c r="F513" s="7"/>
      <c r="G513" s="5"/>
      <c r="H513" s="7"/>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row>
    <row r="514" spans="1:47" ht="12.5" x14ac:dyDescent="0.25">
      <c r="A514" s="5"/>
      <c r="B514" s="5"/>
      <c r="C514" s="5"/>
      <c r="D514" s="5"/>
      <c r="E514" s="5"/>
      <c r="F514" s="7"/>
      <c r="G514" s="5"/>
      <c r="H514" s="7"/>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row>
    <row r="515" spans="1:47" ht="12.5" x14ac:dyDescent="0.25">
      <c r="A515" s="5"/>
      <c r="B515" s="5"/>
      <c r="C515" s="5"/>
      <c r="D515" s="5"/>
      <c r="E515" s="5"/>
      <c r="F515" s="7"/>
      <c r="G515" s="5"/>
      <c r="H515" s="7"/>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row>
    <row r="516" spans="1:47" ht="12.5" x14ac:dyDescent="0.25">
      <c r="A516" s="5"/>
      <c r="B516" s="5"/>
      <c r="C516" s="5"/>
      <c r="D516" s="5"/>
      <c r="E516" s="5"/>
      <c r="F516" s="7"/>
      <c r="G516" s="5"/>
      <c r="H516" s="7"/>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row>
    <row r="517" spans="1:47" ht="12.5" x14ac:dyDescent="0.25">
      <c r="A517" s="5"/>
      <c r="B517" s="5"/>
      <c r="C517" s="5"/>
      <c r="D517" s="5"/>
      <c r="E517" s="5"/>
      <c r="F517" s="7"/>
      <c r="G517" s="5"/>
      <c r="H517" s="7"/>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row>
    <row r="518" spans="1:47" ht="12.5" x14ac:dyDescent="0.25">
      <c r="A518" s="5"/>
      <c r="B518" s="5"/>
      <c r="C518" s="5"/>
      <c r="D518" s="5"/>
      <c r="E518" s="5"/>
      <c r="F518" s="7"/>
      <c r="G518" s="5"/>
      <c r="H518" s="7"/>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row>
    <row r="519" spans="1:47" ht="12.5" x14ac:dyDescent="0.25">
      <c r="A519" s="5"/>
      <c r="B519" s="5"/>
      <c r="C519" s="5"/>
      <c r="D519" s="5"/>
      <c r="E519" s="5"/>
      <c r="F519" s="7"/>
      <c r="G519" s="5"/>
      <c r="H519" s="7"/>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row>
    <row r="520" spans="1:47" ht="12.5" x14ac:dyDescent="0.25">
      <c r="A520" s="5"/>
      <c r="B520" s="5"/>
      <c r="C520" s="5"/>
      <c r="D520" s="5"/>
      <c r="E520" s="5"/>
      <c r="F520" s="7"/>
      <c r="G520" s="5"/>
      <c r="H520" s="7"/>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row>
    <row r="521" spans="1:47" ht="12.5" x14ac:dyDescent="0.25">
      <c r="A521" s="5"/>
      <c r="B521" s="5"/>
      <c r="C521" s="5"/>
      <c r="D521" s="5"/>
      <c r="E521" s="5"/>
      <c r="F521" s="7"/>
      <c r="G521" s="5"/>
      <c r="H521" s="7"/>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row>
    <row r="522" spans="1:47" ht="12.5" x14ac:dyDescent="0.25">
      <c r="A522" s="5"/>
      <c r="B522" s="5"/>
      <c r="C522" s="5"/>
      <c r="D522" s="5"/>
      <c r="E522" s="5"/>
      <c r="F522" s="7"/>
      <c r="G522" s="5"/>
      <c r="H522" s="7"/>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row>
    <row r="523" spans="1:47" ht="12.5" x14ac:dyDescent="0.25">
      <c r="A523" s="5"/>
      <c r="B523" s="5"/>
      <c r="C523" s="5"/>
      <c r="D523" s="5"/>
      <c r="E523" s="5"/>
      <c r="F523" s="7"/>
      <c r="G523" s="5"/>
      <c r="H523" s="7"/>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row>
    <row r="524" spans="1:47" ht="12.5" x14ac:dyDescent="0.25">
      <c r="A524" s="5"/>
      <c r="B524" s="5"/>
      <c r="C524" s="5"/>
      <c r="D524" s="5"/>
      <c r="E524" s="5"/>
      <c r="F524" s="7"/>
      <c r="G524" s="5"/>
      <c r="H524" s="7"/>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row>
    <row r="525" spans="1:47" ht="12.5" x14ac:dyDescent="0.25">
      <c r="A525" s="5"/>
      <c r="B525" s="5"/>
      <c r="C525" s="5"/>
      <c r="D525" s="5"/>
      <c r="E525" s="5"/>
      <c r="F525" s="7"/>
      <c r="G525" s="5"/>
      <c r="H525" s="7"/>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row>
    <row r="526" spans="1:47" ht="12.5" x14ac:dyDescent="0.25">
      <c r="A526" s="5"/>
      <c r="B526" s="5"/>
      <c r="C526" s="5"/>
      <c r="D526" s="5"/>
      <c r="E526" s="5"/>
      <c r="F526" s="7"/>
      <c r="G526" s="5"/>
      <c r="H526" s="7"/>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row>
    <row r="527" spans="1:47" ht="12.5" x14ac:dyDescent="0.25">
      <c r="A527" s="5"/>
      <c r="B527" s="5"/>
      <c r="C527" s="5"/>
      <c r="D527" s="5"/>
      <c r="E527" s="5"/>
      <c r="F527" s="7"/>
      <c r="G527" s="5"/>
      <c r="H527" s="7"/>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row>
    <row r="528" spans="1:47" ht="12.5" x14ac:dyDescent="0.25">
      <c r="A528" s="5"/>
      <c r="B528" s="5"/>
      <c r="C528" s="5"/>
      <c r="D528" s="5"/>
      <c r="E528" s="5"/>
      <c r="F528" s="7"/>
      <c r="G528" s="5"/>
      <c r="H528" s="7"/>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row>
    <row r="529" spans="1:47" ht="12.5" x14ac:dyDescent="0.25">
      <c r="A529" s="5"/>
      <c r="B529" s="5"/>
      <c r="C529" s="5"/>
      <c r="D529" s="5"/>
      <c r="E529" s="5"/>
      <c r="F529" s="7"/>
      <c r="G529" s="5"/>
      <c r="H529" s="7"/>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row>
    <row r="530" spans="1:47" ht="12.5" x14ac:dyDescent="0.25">
      <c r="A530" s="5"/>
      <c r="B530" s="5"/>
      <c r="C530" s="5"/>
      <c r="D530" s="5"/>
      <c r="E530" s="5"/>
      <c r="F530" s="7"/>
      <c r="G530" s="5"/>
      <c r="H530" s="7"/>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row>
    <row r="531" spans="1:47" ht="12.5" x14ac:dyDescent="0.25">
      <c r="A531" s="5"/>
      <c r="B531" s="5"/>
      <c r="C531" s="5"/>
      <c r="D531" s="5"/>
      <c r="E531" s="5"/>
      <c r="F531" s="7"/>
      <c r="G531" s="5"/>
      <c r="H531" s="7"/>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row>
    <row r="532" spans="1:47" ht="12.5" x14ac:dyDescent="0.25">
      <c r="A532" s="5"/>
      <c r="B532" s="5"/>
      <c r="C532" s="5"/>
      <c r="D532" s="5"/>
      <c r="E532" s="5"/>
      <c r="F532" s="7"/>
      <c r="G532" s="5"/>
      <c r="H532" s="7"/>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row>
    <row r="533" spans="1:47" ht="12.5" x14ac:dyDescent="0.25">
      <c r="A533" s="5"/>
      <c r="B533" s="5"/>
      <c r="C533" s="5"/>
      <c r="D533" s="5"/>
      <c r="E533" s="5"/>
      <c r="F533" s="7"/>
      <c r="G533" s="5"/>
      <c r="H533" s="7"/>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row>
    <row r="534" spans="1:47" ht="12.5" x14ac:dyDescent="0.25">
      <c r="A534" s="5"/>
      <c r="B534" s="5"/>
      <c r="C534" s="5"/>
      <c r="D534" s="5"/>
      <c r="E534" s="5"/>
      <c r="F534" s="7"/>
      <c r="G534" s="5"/>
      <c r="H534" s="7"/>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row>
    <row r="535" spans="1:47" ht="12.5" x14ac:dyDescent="0.25">
      <c r="A535" s="5"/>
      <c r="B535" s="5"/>
      <c r="C535" s="5"/>
      <c r="D535" s="5"/>
      <c r="E535" s="5"/>
      <c r="F535" s="7"/>
      <c r="G535" s="5"/>
      <c r="H535" s="7"/>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row>
    <row r="536" spans="1:47" ht="12.5" x14ac:dyDescent="0.25">
      <c r="A536" s="5"/>
      <c r="B536" s="5"/>
      <c r="C536" s="5"/>
      <c r="D536" s="5"/>
      <c r="E536" s="5"/>
      <c r="F536" s="7"/>
      <c r="G536" s="5"/>
      <c r="H536" s="7"/>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row>
    <row r="537" spans="1:47" ht="12.5" x14ac:dyDescent="0.25">
      <c r="A537" s="5"/>
      <c r="B537" s="5"/>
      <c r="C537" s="5"/>
      <c r="D537" s="5"/>
      <c r="E537" s="5"/>
      <c r="F537" s="7"/>
      <c r="G537" s="5"/>
      <c r="H537" s="7"/>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row>
    <row r="538" spans="1:47" ht="12.5" x14ac:dyDescent="0.25">
      <c r="A538" s="5"/>
      <c r="B538" s="5"/>
      <c r="C538" s="5"/>
      <c r="D538" s="5"/>
      <c r="E538" s="5"/>
      <c r="F538" s="7"/>
      <c r="G538" s="5"/>
      <c r="H538" s="7"/>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row>
    <row r="539" spans="1:47" ht="12.5" x14ac:dyDescent="0.25">
      <c r="A539" s="5"/>
      <c r="B539" s="5"/>
      <c r="C539" s="5"/>
      <c r="D539" s="5"/>
      <c r="E539" s="5"/>
      <c r="F539" s="7"/>
      <c r="G539" s="5"/>
      <c r="H539" s="7"/>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row>
    <row r="540" spans="1:47" ht="12.5" x14ac:dyDescent="0.25">
      <c r="A540" s="5"/>
      <c r="B540" s="5"/>
      <c r="C540" s="5"/>
      <c r="D540" s="5"/>
      <c r="E540" s="5"/>
      <c r="F540" s="7"/>
      <c r="G540" s="5"/>
      <c r="H540" s="7"/>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row>
    <row r="541" spans="1:47" ht="12.5" x14ac:dyDescent="0.25">
      <c r="A541" s="5"/>
      <c r="B541" s="5"/>
      <c r="C541" s="5"/>
      <c r="D541" s="5"/>
      <c r="E541" s="5"/>
      <c r="F541" s="7"/>
      <c r="G541" s="5"/>
      <c r="H541" s="7"/>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row>
    <row r="542" spans="1:47" ht="12.5" x14ac:dyDescent="0.25">
      <c r="A542" s="5"/>
      <c r="B542" s="5"/>
      <c r="C542" s="5"/>
      <c r="D542" s="5"/>
      <c r="E542" s="5"/>
      <c r="F542" s="7"/>
      <c r="G542" s="5"/>
      <c r="H542" s="7"/>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row>
    <row r="543" spans="1:47" ht="12.5" x14ac:dyDescent="0.25">
      <c r="A543" s="5"/>
      <c r="B543" s="5"/>
      <c r="C543" s="5"/>
      <c r="D543" s="5"/>
      <c r="E543" s="5"/>
      <c r="F543" s="7"/>
      <c r="G543" s="5"/>
      <c r="H543" s="7"/>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row>
    <row r="544" spans="1:47" ht="12.5" x14ac:dyDescent="0.25">
      <c r="A544" s="5"/>
      <c r="B544" s="5"/>
      <c r="C544" s="5"/>
      <c r="D544" s="5"/>
      <c r="E544" s="5"/>
      <c r="F544" s="7"/>
      <c r="G544" s="5"/>
      <c r="H544" s="7"/>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row>
    <row r="545" spans="1:47" ht="12.5" x14ac:dyDescent="0.25">
      <c r="A545" s="5"/>
      <c r="B545" s="5"/>
      <c r="C545" s="5"/>
      <c r="D545" s="5"/>
      <c r="E545" s="5"/>
      <c r="F545" s="7"/>
      <c r="G545" s="5"/>
      <c r="H545" s="7"/>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row>
    <row r="546" spans="1:47" ht="12.5" x14ac:dyDescent="0.25">
      <c r="A546" s="5"/>
      <c r="B546" s="5"/>
      <c r="C546" s="5"/>
      <c r="D546" s="5"/>
      <c r="E546" s="5"/>
      <c r="F546" s="7"/>
      <c r="G546" s="5"/>
      <c r="H546" s="7"/>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row>
    <row r="547" spans="1:47" ht="12.5" x14ac:dyDescent="0.25">
      <c r="A547" s="5"/>
      <c r="B547" s="5"/>
      <c r="C547" s="5"/>
      <c r="D547" s="5"/>
      <c r="E547" s="5"/>
      <c r="F547" s="7"/>
      <c r="G547" s="5"/>
      <c r="H547" s="7"/>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row>
    <row r="548" spans="1:47" ht="12.5" x14ac:dyDescent="0.25">
      <c r="A548" s="5"/>
      <c r="B548" s="5"/>
      <c r="C548" s="5"/>
      <c r="D548" s="5"/>
      <c r="E548" s="5"/>
      <c r="F548" s="7"/>
      <c r="G548" s="5"/>
      <c r="H548" s="7"/>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row>
    <row r="549" spans="1:47" ht="12.5" x14ac:dyDescent="0.25">
      <c r="A549" s="5"/>
      <c r="B549" s="5"/>
      <c r="C549" s="5"/>
      <c r="D549" s="5"/>
      <c r="E549" s="5"/>
      <c r="F549" s="7"/>
      <c r="G549" s="5"/>
      <c r="H549" s="7"/>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row>
    <row r="550" spans="1:47" ht="12.5" x14ac:dyDescent="0.25">
      <c r="A550" s="5"/>
      <c r="B550" s="5"/>
      <c r="C550" s="5"/>
      <c r="D550" s="5"/>
      <c r="E550" s="5"/>
      <c r="F550" s="7"/>
      <c r="G550" s="5"/>
      <c r="H550" s="7"/>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row>
    <row r="551" spans="1:47" ht="12.5" x14ac:dyDescent="0.25">
      <c r="A551" s="5"/>
      <c r="B551" s="5"/>
      <c r="C551" s="5"/>
      <c r="D551" s="5"/>
      <c r="E551" s="5"/>
      <c r="F551" s="7"/>
      <c r="G551" s="5"/>
      <c r="H551" s="7"/>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row>
    <row r="552" spans="1:47" ht="12.5" x14ac:dyDescent="0.25">
      <c r="A552" s="5"/>
      <c r="B552" s="5"/>
      <c r="C552" s="5"/>
      <c r="D552" s="5"/>
      <c r="E552" s="5"/>
      <c r="F552" s="7"/>
      <c r="G552" s="5"/>
      <c r="H552" s="7"/>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row>
    <row r="553" spans="1:47" ht="12.5" x14ac:dyDescent="0.25">
      <c r="A553" s="5"/>
      <c r="B553" s="5"/>
      <c r="C553" s="5"/>
      <c r="D553" s="5"/>
      <c r="E553" s="5"/>
      <c r="F553" s="7"/>
      <c r="G553" s="5"/>
      <c r="H553" s="7"/>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row>
    <row r="554" spans="1:47" ht="12.5" x14ac:dyDescent="0.25">
      <c r="A554" s="5"/>
      <c r="B554" s="5"/>
      <c r="C554" s="5"/>
      <c r="D554" s="5"/>
      <c r="E554" s="5"/>
      <c r="F554" s="7"/>
      <c r="G554" s="5"/>
      <c r="H554" s="7"/>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row>
    <row r="555" spans="1:47" ht="12.5" x14ac:dyDescent="0.25">
      <c r="A555" s="5"/>
      <c r="B555" s="5"/>
      <c r="C555" s="5"/>
      <c r="D555" s="5"/>
      <c r="E555" s="5"/>
      <c r="F555" s="7"/>
      <c r="G555" s="5"/>
      <c r="H555" s="7"/>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row>
    <row r="556" spans="1:47" ht="12.5" x14ac:dyDescent="0.25">
      <c r="A556" s="5"/>
      <c r="B556" s="5"/>
      <c r="C556" s="5"/>
      <c r="D556" s="5"/>
      <c r="E556" s="5"/>
      <c r="F556" s="7"/>
      <c r="G556" s="5"/>
      <c r="H556" s="7"/>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row>
    <row r="557" spans="1:47" ht="12.5" x14ac:dyDescent="0.25">
      <c r="A557" s="5"/>
      <c r="B557" s="5"/>
      <c r="C557" s="5"/>
      <c r="D557" s="5"/>
      <c r="E557" s="5"/>
      <c r="F557" s="7"/>
      <c r="G557" s="5"/>
      <c r="H557" s="7"/>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row>
    <row r="558" spans="1:47" ht="12.5" x14ac:dyDescent="0.25">
      <c r="A558" s="5"/>
      <c r="B558" s="5"/>
      <c r="C558" s="5"/>
      <c r="D558" s="5"/>
      <c r="E558" s="5"/>
      <c r="F558" s="7"/>
      <c r="G558" s="5"/>
      <c r="H558" s="7"/>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row>
    <row r="559" spans="1:47" ht="12.5" x14ac:dyDescent="0.25">
      <c r="A559" s="5"/>
      <c r="B559" s="5"/>
      <c r="C559" s="5"/>
      <c r="D559" s="5"/>
      <c r="E559" s="5"/>
      <c r="F559" s="7"/>
      <c r="G559" s="5"/>
      <c r="H559" s="7"/>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row>
    <row r="560" spans="1:47" ht="12.5" x14ac:dyDescent="0.25">
      <c r="A560" s="5"/>
      <c r="B560" s="5"/>
      <c r="C560" s="5"/>
      <c r="D560" s="5"/>
      <c r="E560" s="5"/>
      <c r="F560" s="7"/>
      <c r="G560" s="5"/>
      <c r="H560" s="7"/>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row>
    <row r="561" spans="1:47" ht="12.5" x14ac:dyDescent="0.25">
      <c r="A561" s="5"/>
      <c r="B561" s="5"/>
      <c r="C561" s="5"/>
      <c r="D561" s="5"/>
      <c r="E561" s="5"/>
      <c r="F561" s="7"/>
      <c r="G561" s="5"/>
      <c r="H561" s="7"/>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row>
    <row r="562" spans="1:47" ht="12.5" x14ac:dyDescent="0.25">
      <c r="A562" s="5"/>
      <c r="B562" s="5"/>
      <c r="C562" s="5"/>
      <c r="D562" s="5"/>
      <c r="E562" s="5"/>
      <c r="F562" s="7"/>
      <c r="G562" s="5"/>
      <c r="H562" s="7"/>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row>
    <row r="563" spans="1:47" ht="12.5" x14ac:dyDescent="0.25">
      <c r="A563" s="5"/>
      <c r="B563" s="5"/>
      <c r="C563" s="5"/>
      <c r="D563" s="5"/>
      <c r="E563" s="5"/>
      <c r="F563" s="7"/>
      <c r="G563" s="5"/>
      <c r="H563" s="7"/>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row>
    <row r="564" spans="1:47" ht="12.5" x14ac:dyDescent="0.25">
      <c r="A564" s="5"/>
      <c r="B564" s="5"/>
      <c r="C564" s="5"/>
      <c r="D564" s="5"/>
      <c r="E564" s="5"/>
      <c r="F564" s="7"/>
      <c r="G564" s="5"/>
      <c r="H564" s="7"/>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row>
    <row r="565" spans="1:47" ht="12.5" x14ac:dyDescent="0.25">
      <c r="A565" s="5"/>
      <c r="B565" s="5"/>
      <c r="C565" s="5"/>
      <c r="D565" s="5"/>
      <c r="E565" s="5"/>
      <c r="F565" s="7"/>
      <c r="G565" s="5"/>
      <c r="H565" s="7"/>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row>
    <row r="566" spans="1:47" ht="12.5" x14ac:dyDescent="0.25">
      <c r="A566" s="5"/>
      <c r="B566" s="5"/>
      <c r="C566" s="5"/>
      <c r="D566" s="5"/>
      <c r="E566" s="5"/>
      <c r="F566" s="7"/>
      <c r="G566" s="5"/>
      <c r="H566" s="7"/>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row>
    <row r="567" spans="1:47" ht="12.5" x14ac:dyDescent="0.25">
      <c r="A567" s="5"/>
      <c r="B567" s="5"/>
      <c r="C567" s="5"/>
      <c r="D567" s="5"/>
      <c r="E567" s="5"/>
      <c r="F567" s="7"/>
      <c r="G567" s="5"/>
      <c r="H567" s="7"/>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row>
    <row r="568" spans="1:47" ht="12.5" x14ac:dyDescent="0.25">
      <c r="A568" s="5"/>
      <c r="B568" s="5"/>
      <c r="C568" s="5"/>
      <c r="D568" s="5"/>
      <c r="E568" s="5"/>
      <c r="F568" s="7"/>
      <c r="G568" s="5"/>
      <c r="H568" s="7"/>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row>
    <row r="569" spans="1:47" ht="12.5" x14ac:dyDescent="0.25">
      <c r="A569" s="5"/>
      <c r="B569" s="5"/>
      <c r="C569" s="5"/>
      <c r="D569" s="5"/>
      <c r="E569" s="5"/>
      <c r="F569" s="7"/>
      <c r="G569" s="5"/>
      <c r="H569" s="7"/>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row>
    <row r="570" spans="1:47" ht="12.5" x14ac:dyDescent="0.25">
      <c r="A570" s="5"/>
      <c r="B570" s="5"/>
      <c r="C570" s="5"/>
      <c r="D570" s="5"/>
      <c r="E570" s="5"/>
      <c r="F570" s="7"/>
      <c r="G570" s="5"/>
      <c r="H570" s="7"/>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row>
    <row r="571" spans="1:47" ht="12.5" x14ac:dyDescent="0.25">
      <c r="A571" s="5"/>
      <c r="B571" s="5"/>
      <c r="C571" s="5"/>
      <c r="D571" s="5"/>
      <c r="E571" s="5"/>
      <c r="F571" s="7"/>
      <c r="G571" s="5"/>
      <c r="H571" s="7"/>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row>
    <row r="572" spans="1:47" ht="12.5" x14ac:dyDescent="0.25">
      <c r="A572" s="5"/>
      <c r="B572" s="5"/>
      <c r="C572" s="5"/>
      <c r="D572" s="5"/>
      <c r="E572" s="5"/>
      <c r="F572" s="7"/>
      <c r="G572" s="5"/>
      <c r="H572" s="7"/>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row>
    <row r="573" spans="1:47" ht="12.5" x14ac:dyDescent="0.25">
      <c r="A573" s="5"/>
      <c r="B573" s="5"/>
      <c r="C573" s="5"/>
      <c r="D573" s="5"/>
      <c r="E573" s="5"/>
      <c r="F573" s="7"/>
      <c r="G573" s="5"/>
      <c r="H573" s="7"/>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row>
    <row r="574" spans="1:47" ht="12.5" x14ac:dyDescent="0.25">
      <c r="A574" s="5"/>
      <c r="B574" s="5"/>
      <c r="C574" s="5"/>
      <c r="D574" s="5"/>
      <c r="E574" s="5"/>
      <c r="F574" s="7"/>
      <c r="G574" s="5"/>
      <c r="H574" s="7"/>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row>
    <row r="575" spans="1:47" ht="12.5" x14ac:dyDescent="0.25">
      <c r="A575" s="5"/>
      <c r="B575" s="5"/>
      <c r="C575" s="5"/>
      <c r="D575" s="5"/>
      <c r="E575" s="5"/>
      <c r="F575" s="7"/>
      <c r="G575" s="5"/>
      <c r="H575" s="7"/>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row>
    <row r="576" spans="1:47" ht="12.5" x14ac:dyDescent="0.25">
      <c r="A576" s="5"/>
      <c r="B576" s="5"/>
      <c r="C576" s="5"/>
      <c r="D576" s="5"/>
      <c r="E576" s="5"/>
      <c r="F576" s="7"/>
      <c r="G576" s="5"/>
      <c r="H576" s="7"/>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row>
    <row r="577" spans="1:47" ht="12.5" x14ac:dyDescent="0.25">
      <c r="A577" s="5"/>
      <c r="B577" s="5"/>
      <c r="C577" s="5"/>
      <c r="D577" s="5"/>
      <c r="E577" s="5"/>
      <c r="F577" s="7"/>
      <c r="G577" s="5"/>
      <c r="H577" s="7"/>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row>
    <row r="578" spans="1:47" ht="12.5" x14ac:dyDescent="0.25">
      <c r="A578" s="5"/>
      <c r="B578" s="5"/>
      <c r="C578" s="5"/>
      <c r="D578" s="5"/>
      <c r="E578" s="5"/>
      <c r="F578" s="7"/>
      <c r="G578" s="5"/>
      <c r="H578" s="7"/>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row>
    <row r="579" spans="1:47" ht="12.5" x14ac:dyDescent="0.25">
      <c r="A579" s="5"/>
      <c r="B579" s="5"/>
      <c r="C579" s="5"/>
      <c r="D579" s="5"/>
      <c r="E579" s="5"/>
      <c r="F579" s="7"/>
      <c r="G579" s="5"/>
      <c r="H579" s="7"/>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row>
    <row r="580" spans="1:47" ht="12.5" x14ac:dyDescent="0.25">
      <c r="A580" s="5"/>
      <c r="B580" s="5"/>
      <c r="C580" s="5"/>
      <c r="D580" s="5"/>
      <c r="E580" s="5"/>
      <c r="F580" s="7"/>
      <c r="G580" s="5"/>
      <c r="H580" s="7"/>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row>
    <row r="581" spans="1:47" ht="12.5" x14ac:dyDescent="0.25">
      <c r="A581" s="5"/>
      <c r="B581" s="5"/>
      <c r="C581" s="5"/>
      <c r="D581" s="5"/>
      <c r="E581" s="5"/>
      <c r="F581" s="7"/>
      <c r="G581" s="5"/>
      <c r="H581" s="7"/>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row>
    <row r="582" spans="1:47" ht="12.5" x14ac:dyDescent="0.25">
      <c r="A582" s="5"/>
      <c r="B582" s="5"/>
      <c r="C582" s="5"/>
      <c r="D582" s="5"/>
      <c r="E582" s="5"/>
      <c r="F582" s="7"/>
      <c r="G582" s="5"/>
      <c r="H582" s="7"/>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row>
    <row r="583" spans="1:47" ht="12.5" x14ac:dyDescent="0.25">
      <c r="A583" s="5"/>
      <c r="B583" s="5"/>
      <c r="C583" s="5"/>
      <c r="D583" s="5"/>
      <c r="E583" s="5"/>
      <c r="F583" s="7"/>
      <c r="G583" s="5"/>
      <c r="H583" s="7"/>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row>
    <row r="584" spans="1:47" ht="12.5" x14ac:dyDescent="0.25">
      <c r="A584" s="5"/>
      <c r="B584" s="5"/>
      <c r="C584" s="5"/>
      <c r="D584" s="5"/>
      <c r="E584" s="5"/>
      <c r="F584" s="7"/>
      <c r="G584" s="5"/>
      <c r="H584" s="7"/>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row>
    <row r="585" spans="1:47" ht="12.5" x14ac:dyDescent="0.25">
      <c r="A585" s="5"/>
      <c r="B585" s="5"/>
      <c r="C585" s="5"/>
      <c r="D585" s="5"/>
      <c r="E585" s="5"/>
      <c r="F585" s="7"/>
      <c r="G585" s="5"/>
      <c r="H585" s="7"/>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row>
    <row r="586" spans="1:47" ht="12.5" x14ac:dyDescent="0.25">
      <c r="A586" s="5"/>
      <c r="B586" s="5"/>
      <c r="C586" s="5"/>
      <c r="D586" s="5"/>
      <c r="E586" s="5"/>
      <c r="F586" s="7"/>
      <c r="G586" s="5"/>
      <c r="H586" s="7"/>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row>
    <row r="587" spans="1:47" ht="12.5" x14ac:dyDescent="0.25">
      <c r="A587" s="5"/>
      <c r="B587" s="5"/>
      <c r="C587" s="5"/>
      <c r="D587" s="5"/>
      <c r="E587" s="5"/>
      <c r="F587" s="7"/>
      <c r="G587" s="5"/>
      <c r="H587" s="7"/>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row>
    <row r="588" spans="1:47" ht="12.5" x14ac:dyDescent="0.25">
      <c r="A588" s="5"/>
      <c r="B588" s="5"/>
      <c r="C588" s="5"/>
      <c r="D588" s="5"/>
      <c r="E588" s="5"/>
      <c r="F588" s="7"/>
      <c r="G588" s="5"/>
      <c r="H588" s="7"/>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row>
    <row r="589" spans="1:47" ht="12.5" x14ac:dyDescent="0.25">
      <c r="A589" s="5"/>
      <c r="B589" s="5"/>
      <c r="C589" s="5"/>
      <c r="D589" s="5"/>
      <c r="E589" s="5"/>
      <c r="F589" s="7"/>
      <c r="G589" s="5"/>
      <c r="H589" s="7"/>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row>
    <row r="590" spans="1:47" ht="12.5" x14ac:dyDescent="0.25">
      <c r="A590" s="5"/>
      <c r="B590" s="5"/>
      <c r="C590" s="5"/>
      <c r="D590" s="5"/>
      <c r="E590" s="5"/>
      <c r="F590" s="7"/>
      <c r="G590" s="5"/>
      <c r="H590" s="7"/>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row>
    <row r="591" spans="1:47" ht="12.5" x14ac:dyDescent="0.25">
      <c r="A591" s="5"/>
      <c r="B591" s="5"/>
      <c r="C591" s="5"/>
      <c r="D591" s="5"/>
      <c r="E591" s="5"/>
      <c r="F591" s="7"/>
      <c r="G591" s="5"/>
      <c r="H591" s="7"/>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row>
    <row r="592" spans="1:47" ht="12.5" x14ac:dyDescent="0.25">
      <c r="A592" s="5"/>
      <c r="B592" s="5"/>
      <c r="C592" s="5"/>
      <c r="D592" s="5"/>
      <c r="E592" s="5"/>
      <c r="F592" s="7"/>
      <c r="G592" s="5"/>
      <c r="H592" s="7"/>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row>
    <row r="593" spans="1:47" ht="12.5" x14ac:dyDescent="0.25">
      <c r="A593" s="5"/>
      <c r="B593" s="5"/>
      <c r="C593" s="5"/>
      <c r="D593" s="5"/>
      <c r="E593" s="5"/>
      <c r="F593" s="7"/>
      <c r="G593" s="5"/>
      <c r="H593" s="7"/>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row>
    <row r="594" spans="1:47" ht="12.5" x14ac:dyDescent="0.25">
      <c r="A594" s="5"/>
      <c r="B594" s="5"/>
      <c r="C594" s="5"/>
      <c r="D594" s="5"/>
      <c r="E594" s="5"/>
      <c r="F594" s="7"/>
      <c r="G594" s="5"/>
      <c r="H594" s="7"/>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row>
    <row r="595" spans="1:47" ht="12.5" x14ac:dyDescent="0.25">
      <c r="A595" s="5"/>
      <c r="B595" s="5"/>
      <c r="C595" s="5"/>
      <c r="D595" s="5"/>
      <c r="E595" s="5"/>
      <c r="F595" s="7"/>
      <c r="G595" s="5"/>
      <c r="H595" s="7"/>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row>
    <row r="596" spans="1:47" ht="12.5" x14ac:dyDescent="0.25">
      <c r="A596" s="5"/>
      <c r="B596" s="5"/>
      <c r="C596" s="5"/>
      <c r="D596" s="5"/>
      <c r="E596" s="5"/>
      <c r="F596" s="7"/>
      <c r="G596" s="5"/>
      <c r="H596" s="7"/>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row>
    <row r="597" spans="1:47" ht="12.5" x14ac:dyDescent="0.25">
      <c r="A597" s="5"/>
      <c r="B597" s="5"/>
      <c r="C597" s="5"/>
      <c r="D597" s="5"/>
      <c r="E597" s="5"/>
      <c r="F597" s="7"/>
      <c r="G597" s="5"/>
      <c r="H597" s="7"/>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row>
    <row r="598" spans="1:47" ht="12.5" x14ac:dyDescent="0.25">
      <c r="A598" s="5"/>
      <c r="B598" s="5"/>
      <c r="C598" s="5"/>
      <c r="D598" s="5"/>
      <c r="E598" s="5"/>
      <c r="F598" s="7"/>
      <c r="G598" s="5"/>
      <c r="H598" s="7"/>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row>
    <row r="599" spans="1:47" ht="12.5" x14ac:dyDescent="0.25">
      <c r="A599" s="5"/>
      <c r="B599" s="5"/>
      <c r="C599" s="5"/>
      <c r="D599" s="5"/>
      <c r="E599" s="5"/>
      <c r="F599" s="7"/>
      <c r="G599" s="5"/>
      <c r="H599" s="7"/>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row>
    <row r="600" spans="1:47" ht="12.5" x14ac:dyDescent="0.25">
      <c r="A600" s="5"/>
      <c r="B600" s="5"/>
      <c r="C600" s="5"/>
      <c r="D600" s="5"/>
      <c r="E600" s="5"/>
      <c r="F600" s="7"/>
      <c r="G600" s="5"/>
      <c r="H600" s="7"/>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row>
    <row r="601" spans="1:47" ht="12.5" x14ac:dyDescent="0.25">
      <c r="A601" s="5"/>
      <c r="B601" s="5"/>
      <c r="C601" s="5"/>
      <c r="D601" s="5"/>
      <c r="E601" s="5"/>
      <c r="F601" s="7"/>
      <c r="G601" s="5"/>
      <c r="H601" s="7"/>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row>
    <row r="602" spans="1:47" ht="12.5" x14ac:dyDescent="0.25">
      <c r="A602" s="5"/>
      <c r="B602" s="5"/>
      <c r="C602" s="5"/>
      <c r="D602" s="5"/>
      <c r="E602" s="5"/>
      <c r="F602" s="7"/>
      <c r="G602" s="5"/>
      <c r="H602" s="7"/>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row>
    <row r="603" spans="1:47" ht="12.5" x14ac:dyDescent="0.25">
      <c r="A603" s="5"/>
      <c r="B603" s="5"/>
      <c r="C603" s="5"/>
      <c r="D603" s="5"/>
      <c r="E603" s="5"/>
      <c r="F603" s="7"/>
      <c r="G603" s="5"/>
      <c r="H603" s="7"/>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row>
    <row r="604" spans="1:47" ht="12.5" x14ac:dyDescent="0.25">
      <c r="A604" s="5"/>
      <c r="B604" s="5"/>
      <c r="C604" s="5"/>
      <c r="D604" s="5"/>
      <c r="E604" s="5"/>
      <c r="F604" s="7"/>
      <c r="G604" s="5"/>
      <c r="H604" s="7"/>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row>
    <row r="605" spans="1:47" ht="12.5" x14ac:dyDescent="0.25">
      <c r="A605" s="5"/>
      <c r="B605" s="5"/>
      <c r="C605" s="5"/>
      <c r="D605" s="5"/>
      <c r="E605" s="5"/>
      <c r="F605" s="7"/>
      <c r="G605" s="5"/>
      <c r="H605" s="7"/>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row>
    <row r="606" spans="1:47" ht="12.5" x14ac:dyDescent="0.25">
      <c r="A606" s="5"/>
      <c r="B606" s="5"/>
      <c r="C606" s="5"/>
      <c r="D606" s="5"/>
      <c r="E606" s="5"/>
      <c r="F606" s="7"/>
      <c r="G606" s="5"/>
      <c r="H606" s="7"/>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row>
    <row r="607" spans="1:47" ht="12.5" x14ac:dyDescent="0.25">
      <c r="A607" s="5"/>
      <c r="B607" s="5"/>
      <c r="C607" s="5"/>
      <c r="D607" s="5"/>
      <c r="E607" s="5"/>
      <c r="F607" s="7"/>
      <c r="G607" s="5"/>
      <c r="H607" s="7"/>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row>
    <row r="608" spans="1:47" ht="12.5" x14ac:dyDescent="0.25">
      <c r="A608" s="5"/>
      <c r="B608" s="5"/>
      <c r="C608" s="5"/>
      <c r="D608" s="5"/>
      <c r="E608" s="5"/>
      <c r="F608" s="7"/>
      <c r="G608" s="5"/>
      <c r="H608" s="7"/>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row>
    <row r="609" spans="1:47" ht="12.5" x14ac:dyDescent="0.25">
      <c r="A609" s="5"/>
      <c r="B609" s="5"/>
      <c r="C609" s="5"/>
      <c r="D609" s="5"/>
      <c r="E609" s="5"/>
      <c r="F609" s="7"/>
      <c r="G609" s="5"/>
      <c r="H609" s="7"/>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row>
    <row r="610" spans="1:47" ht="12.5" x14ac:dyDescent="0.25">
      <c r="A610" s="5"/>
      <c r="B610" s="5"/>
      <c r="C610" s="5"/>
      <c r="D610" s="5"/>
      <c r="E610" s="5"/>
      <c r="F610" s="7"/>
      <c r="G610" s="5"/>
      <c r="H610" s="7"/>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row>
    <row r="611" spans="1:47" ht="12.5" x14ac:dyDescent="0.25">
      <c r="A611" s="5"/>
      <c r="B611" s="5"/>
      <c r="C611" s="5"/>
      <c r="D611" s="5"/>
      <c r="E611" s="5"/>
      <c r="F611" s="7"/>
      <c r="G611" s="5"/>
      <c r="H611" s="7"/>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row>
    <row r="612" spans="1:47" ht="12.5" x14ac:dyDescent="0.25">
      <c r="A612" s="5"/>
      <c r="B612" s="5"/>
      <c r="C612" s="5"/>
      <c r="D612" s="5"/>
      <c r="E612" s="5"/>
      <c r="F612" s="7"/>
      <c r="G612" s="5"/>
      <c r="H612" s="7"/>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row>
    <row r="613" spans="1:47" ht="12.5" x14ac:dyDescent="0.25">
      <c r="A613" s="5"/>
      <c r="B613" s="5"/>
      <c r="C613" s="5"/>
      <c r="D613" s="5"/>
      <c r="E613" s="5"/>
      <c r="F613" s="7"/>
      <c r="G613" s="5"/>
      <c r="H613" s="7"/>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row>
    <row r="614" spans="1:47" ht="12.5" x14ac:dyDescent="0.25">
      <c r="A614" s="5"/>
      <c r="B614" s="5"/>
      <c r="C614" s="5"/>
      <c r="D614" s="5"/>
      <c r="E614" s="5"/>
      <c r="F614" s="7"/>
      <c r="G614" s="5"/>
      <c r="H614" s="7"/>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row>
    <row r="615" spans="1:47" ht="12.5" x14ac:dyDescent="0.25">
      <c r="A615" s="5"/>
      <c r="B615" s="5"/>
      <c r="C615" s="5"/>
      <c r="D615" s="5"/>
      <c r="E615" s="5"/>
      <c r="F615" s="7"/>
      <c r="G615" s="5"/>
      <c r="H615" s="7"/>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row>
    <row r="616" spans="1:47" ht="12.5" x14ac:dyDescent="0.25">
      <c r="A616" s="5"/>
      <c r="B616" s="5"/>
      <c r="C616" s="5"/>
      <c r="D616" s="5"/>
      <c r="E616" s="5"/>
      <c r="F616" s="7"/>
      <c r="G616" s="5"/>
      <c r="H616" s="7"/>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row>
    <row r="617" spans="1:47" ht="12.5" x14ac:dyDescent="0.25">
      <c r="A617" s="5"/>
      <c r="B617" s="5"/>
      <c r="C617" s="5"/>
      <c r="D617" s="5"/>
      <c r="E617" s="5"/>
      <c r="F617" s="7"/>
      <c r="G617" s="5"/>
      <c r="H617" s="7"/>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row>
    <row r="618" spans="1:47" ht="12.5" x14ac:dyDescent="0.25">
      <c r="A618" s="5"/>
      <c r="B618" s="5"/>
      <c r="C618" s="5"/>
      <c r="D618" s="5"/>
      <c r="E618" s="5"/>
      <c r="F618" s="7"/>
      <c r="G618" s="5"/>
      <c r="H618" s="7"/>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row>
    <row r="619" spans="1:47" ht="12.5" x14ac:dyDescent="0.25">
      <c r="A619" s="5"/>
      <c r="B619" s="5"/>
      <c r="C619" s="5"/>
      <c r="D619" s="5"/>
      <c r="E619" s="5"/>
      <c r="F619" s="7"/>
      <c r="G619" s="5"/>
      <c r="H619" s="7"/>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row>
    <row r="620" spans="1:47" ht="12.5" x14ac:dyDescent="0.25">
      <c r="A620" s="5"/>
      <c r="B620" s="5"/>
      <c r="C620" s="5"/>
      <c r="D620" s="5"/>
      <c r="E620" s="5"/>
      <c r="F620" s="7"/>
      <c r="G620" s="5"/>
      <c r="H620" s="7"/>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row>
    <row r="621" spans="1:47" ht="12.5" x14ac:dyDescent="0.25">
      <c r="A621" s="5"/>
      <c r="B621" s="5"/>
      <c r="C621" s="5"/>
      <c r="D621" s="5"/>
      <c r="E621" s="5"/>
      <c r="F621" s="7"/>
      <c r="G621" s="5"/>
      <c r="H621" s="7"/>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row>
    <row r="622" spans="1:47" ht="12.5" x14ac:dyDescent="0.25">
      <c r="A622" s="5"/>
      <c r="B622" s="5"/>
      <c r="C622" s="5"/>
      <c r="D622" s="5"/>
      <c r="E622" s="5"/>
      <c r="F622" s="7"/>
      <c r="G622" s="5"/>
      <c r="H622" s="7"/>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row>
    <row r="623" spans="1:47" ht="12.5" x14ac:dyDescent="0.25">
      <c r="A623" s="5"/>
      <c r="B623" s="5"/>
      <c r="C623" s="5"/>
      <c r="D623" s="5"/>
      <c r="E623" s="5"/>
      <c r="F623" s="7"/>
      <c r="G623" s="5"/>
      <c r="H623" s="7"/>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row>
    <row r="624" spans="1:47" ht="12.5" x14ac:dyDescent="0.25">
      <c r="A624" s="5"/>
      <c r="B624" s="5"/>
      <c r="C624" s="5"/>
      <c r="D624" s="5"/>
      <c r="E624" s="5"/>
      <c r="F624" s="7"/>
      <c r="G624" s="5"/>
      <c r="H624" s="7"/>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row>
    <row r="625" spans="1:47" ht="12.5" x14ac:dyDescent="0.25">
      <c r="A625" s="5"/>
      <c r="B625" s="5"/>
      <c r="C625" s="5"/>
      <c r="D625" s="5"/>
      <c r="E625" s="5"/>
      <c r="F625" s="7"/>
      <c r="G625" s="5"/>
      <c r="H625" s="7"/>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row>
    <row r="626" spans="1:47" ht="12.5" x14ac:dyDescent="0.25">
      <c r="A626" s="5"/>
      <c r="B626" s="5"/>
      <c r="C626" s="5"/>
      <c r="D626" s="5"/>
      <c r="E626" s="5"/>
      <c r="F626" s="7"/>
      <c r="G626" s="5"/>
      <c r="H626" s="7"/>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row>
    <row r="627" spans="1:47" ht="12.5" x14ac:dyDescent="0.25">
      <c r="A627" s="5"/>
      <c r="B627" s="5"/>
      <c r="C627" s="5"/>
      <c r="D627" s="5"/>
      <c r="E627" s="5"/>
      <c r="F627" s="7"/>
      <c r="G627" s="5"/>
      <c r="H627" s="7"/>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row>
    <row r="628" spans="1:47" ht="12.5" x14ac:dyDescent="0.25">
      <c r="A628" s="5"/>
      <c r="B628" s="5"/>
      <c r="C628" s="5"/>
      <c r="D628" s="5"/>
      <c r="E628" s="5"/>
      <c r="F628" s="7"/>
      <c r="G628" s="5"/>
      <c r="H628" s="7"/>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row>
    <row r="629" spans="1:47" ht="12.5" x14ac:dyDescent="0.25">
      <c r="A629" s="5"/>
      <c r="B629" s="5"/>
      <c r="C629" s="5"/>
      <c r="D629" s="5"/>
      <c r="E629" s="5"/>
      <c r="F629" s="7"/>
      <c r="G629" s="5"/>
      <c r="H629" s="7"/>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row>
    <row r="630" spans="1:47" ht="12.5" x14ac:dyDescent="0.25">
      <c r="A630" s="5"/>
      <c r="B630" s="5"/>
      <c r="C630" s="5"/>
      <c r="D630" s="5"/>
      <c r="E630" s="5"/>
      <c r="F630" s="7"/>
      <c r="G630" s="5"/>
      <c r="H630" s="7"/>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row>
    <row r="631" spans="1:47" ht="12.5" x14ac:dyDescent="0.25">
      <c r="A631" s="5"/>
      <c r="B631" s="5"/>
      <c r="C631" s="5"/>
      <c r="D631" s="5"/>
      <c r="E631" s="5"/>
      <c r="F631" s="7"/>
      <c r="G631" s="5"/>
      <c r="H631" s="7"/>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row>
    <row r="632" spans="1:47" ht="12.5" x14ac:dyDescent="0.25">
      <c r="A632" s="5"/>
      <c r="B632" s="5"/>
      <c r="C632" s="5"/>
      <c r="D632" s="5"/>
      <c r="E632" s="5"/>
      <c r="F632" s="7"/>
      <c r="G632" s="5"/>
      <c r="H632" s="7"/>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row>
    <row r="633" spans="1:47" ht="12.5" x14ac:dyDescent="0.25">
      <c r="A633" s="5"/>
      <c r="B633" s="5"/>
      <c r="C633" s="5"/>
      <c r="D633" s="5"/>
      <c r="E633" s="5"/>
      <c r="F633" s="7"/>
      <c r="G633" s="5"/>
      <c r="H633" s="7"/>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row>
    <row r="634" spans="1:47" ht="12.5" x14ac:dyDescent="0.25">
      <c r="A634" s="5"/>
      <c r="B634" s="5"/>
      <c r="C634" s="5"/>
      <c r="D634" s="5"/>
      <c r="E634" s="5"/>
      <c r="F634" s="7"/>
      <c r="G634" s="5"/>
      <c r="H634" s="7"/>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row>
    <row r="635" spans="1:47" ht="12.5" x14ac:dyDescent="0.25">
      <c r="A635" s="5"/>
      <c r="B635" s="5"/>
      <c r="C635" s="5"/>
      <c r="D635" s="5"/>
      <c r="E635" s="5"/>
      <c r="F635" s="7"/>
      <c r="G635" s="5"/>
      <c r="H635" s="7"/>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row>
    <row r="636" spans="1:47" ht="12.5" x14ac:dyDescent="0.25">
      <c r="A636" s="5"/>
      <c r="B636" s="5"/>
      <c r="C636" s="5"/>
      <c r="D636" s="5"/>
      <c r="E636" s="5"/>
      <c r="F636" s="7"/>
      <c r="G636" s="5"/>
      <c r="H636" s="7"/>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row>
    <row r="637" spans="1:47" ht="12.5" x14ac:dyDescent="0.25">
      <c r="A637" s="5"/>
      <c r="B637" s="5"/>
      <c r="C637" s="5"/>
      <c r="D637" s="5"/>
      <c r="E637" s="5"/>
      <c r="F637" s="7"/>
      <c r="G637" s="5"/>
      <c r="H637" s="7"/>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row>
    <row r="638" spans="1:47" ht="12.5" x14ac:dyDescent="0.25">
      <c r="A638" s="5"/>
      <c r="B638" s="5"/>
      <c r="C638" s="5"/>
      <c r="D638" s="5"/>
      <c r="E638" s="5"/>
      <c r="F638" s="7"/>
      <c r="G638" s="5"/>
      <c r="H638" s="7"/>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row>
    <row r="639" spans="1:47" ht="12.5" x14ac:dyDescent="0.25">
      <c r="A639" s="5"/>
      <c r="B639" s="5"/>
      <c r="C639" s="5"/>
      <c r="D639" s="5"/>
      <c r="E639" s="5"/>
      <c r="F639" s="7"/>
      <c r="G639" s="5"/>
      <c r="H639" s="7"/>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row>
    <row r="640" spans="1:47" ht="12.5" x14ac:dyDescent="0.25">
      <c r="A640" s="5"/>
      <c r="B640" s="5"/>
      <c r="C640" s="5"/>
      <c r="D640" s="5"/>
      <c r="E640" s="5"/>
      <c r="F640" s="7"/>
      <c r="G640" s="5"/>
      <c r="H640" s="7"/>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row>
    <row r="641" spans="1:47" ht="12.5" x14ac:dyDescent="0.25">
      <c r="A641" s="5"/>
      <c r="B641" s="5"/>
      <c r="C641" s="5"/>
      <c r="D641" s="5"/>
      <c r="E641" s="5"/>
      <c r="F641" s="7"/>
      <c r="G641" s="5"/>
      <c r="H641" s="7"/>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row>
    <row r="642" spans="1:47" ht="12.5" x14ac:dyDescent="0.25">
      <c r="A642" s="5"/>
      <c r="B642" s="5"/>
      <c r="C642" s="5"/>
      <c r="D642" s="5"/>
      <c r="E642" s="5"/>
      <c r="F642" s="7"/>
      <c r="G642" s="5"/>
      <c r="H642" s="7"/>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row>
    <row r="643" spans="1:47" ht="12.5" x14ac:dyDescent="0.25">
      <c r="A643" s="5"/>
      <c r="B643" s="5"/>
      <c r="C643" s="5"/>
      <c r="D643" s="5"/>
      <c r="E643" s="5"/>
      <c r="F643" s="7"/>
      <c r="G643" s="5"/>
      <c r="H643" s="7"/>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row>
    <row r="644" spans="1:47" ht="12.5" x14ac:dyDescent="0.25">
      <c r="A644" s="5"/>
      <c r="B644" s="5"/>
      <c r="C644" s="5"/>
      <c r="D644" s="5"/>
      <c r="E644" s="5"/>
      <c r="F644" s="7"/>
      <c r="G644" s="5"/>
      <c r="H644" s="7"/>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row>
    <row r="645" spans="1:47" ht="12.5" x14ac:dyDescent="0.25">
      <c r="A645" s="5"/>
      <c r="B645" s="5"/>
      <c r="C645" s="5"/>
      <c r="D645" s="5"/>
      <c r="E645" s="5"/>
      <c r="F645" s="7"/>
      <c r="G645" s="5"/>
      <c r="H645" s="7"/>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row>
    <row r="646" spans="1:47" ht="12.5" x14ac:dyDescent="0.25">
      <c r="A646" s="5"/>
      <c r="B646" s="5"/>
      <c r="C646" s="5"/>
      <c r="D646" s="5"/>
      <c r="E646" s="5"/>
      <c r="F646" s="7"/>
      <c r="G646" s="5"/>
      <c r="H646" s="7"/>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row>
    <row r="647" spans="1:47" ht="12.5" x14ac:dyDescent="0.25">
      <c r="A647" s="5"/>
      <c r="B647" s="5"/>
      <c r="C647" s="5"/>
      <c r="D647" s="5"/>
      <c r="E647" s="5"/>
      <c r="F647" s="7"/>
      <c r="G647" s="5"/>
      <c r="H647" s="7"/>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row>
    <row r="648" spans="1:47" ht="12.5" x14ac:dyDescent="0.25">
      <c r="A648" s="5"/>
      <c r="B648" s="5"/>
      <c r="C648" s="5"/>
      <c r="D648" s="5"/>
      <c r="E648" s="5"/>
      <c r="F648" s="7"/>
      <c r="G648" s="5"/>
      <c r="H648" s="7"/>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row>
    <row r="649" spans="1:47" ht="12.5" x14ac:dyDescent="0.25">
      <c r="A649" s="5"/>
      <c r="B649" s="5"/>
      <c r="C649" s="5"/>
      <c r="D649" s="5"/>
      <c r="E649" s="5"/>
      <c r="F649" s="7"/>
      <c r="G649" s="5"/>
      <c r="H649" s="7"/>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row>
    <row r="650" spans="1:47" ht="12.5" x14ac:dyDescent="0.25">
      <c r="A650" s="5"/>
      <c r="B650" s="5"/>
      <c r="C650" s="5"/>
      <c r="D650" s="5"/>
      <c r="E650" s="5"/>
      <c r="F650" s="7"/>
      <c r="G650" s="5"/>
      <c r="H650" s="7"/>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row>
    <row r="651" spans="1:47" ht="12.5" x14ac:dyDescent="0.25">
      <c r="A651" s="5"/>
      <c r="B651" s="5"/>
      <c r="C651" s="5"/>
      <c r="D651" s="5"/>
      <c r="E651" s="5"/>
      <c r="F651" s="7"/>
      <c r="G651" s="5"/>
      <c r="H651" s="7"/>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row>
    <row r="652" spans="1:47" ht="12.5" x14ac:dyDescent="0.25">
      <c r="A652" s="5"/>
      <c r="B652" s="5"/>
      <c r="C652" s="5"/>
      <c r="D652" s="5"/>
      <c r="E652" s="5"/>
      <c r="F652" s="7"/>
      <c r="G652" s="5"/>
      <c r="H652" s="7"/>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row>
    <row r="653" spans="1:47" ht="12.5" x14ac:dyDescent="0.25">
      <c r="A653" s="5"/>
      <c r="B653" s="5"/>
      <c r="C653" s="5"/>
      <c r="D653" s="5"/>
      <c r="E653" s="5"/>
      <c r="F653" s="7"/>
      <c r="G653" s="5"/>
      <c r="H653" s="7"/>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row>
    <row r="654" spans="1:47" ht="12.5" x14ac:dyDescent="0.25">
      <c r="A654" s="5"/>
      <c r="B654" s="5"/>
      <c r="C654" s="5"/>
      <c r="D654" s="5"/>
      <c r="E654" s="5"/>
      <c r="F654" s="7"/>
      <c r="G654" s="5"/>
      <c r="H654" s="7"/>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row>
    <row r="655" spans="1:47" ht="12.5" x14ac:dyDescent="0.25">
      <c r="A655" s="5"/>
      <c r="B655" s="5"/>
      <c r="C655" s="5"/>
      <c r="D655" s="5"/>
      <c r="E655" s="5"/>
      <c r="F655" s="7"/>
      <c r="G655" s="5"/>
      <c r="H655" s="7"/>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row>
    <row r="656" spans="1:47" ht="12.5" x14ac:dyDescent="0.25">
      <c r="A656" s="5"/>
      <c r="B656" s="5"/>
      <c r="C656" s="5"/>
      <c r="D656" s="5"/>
      <c r="E656" s="5"/>
      <c r="F656" s="7"/>
      <c r="G656" s="5"/>
      <c r="H656" s="7"/>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row>
    <row r="657" spans="1:47" ht="12.5" x14ac:dyDescent="0.25">
      <c r="A657" s="5"/>
      <c r="B657" s="5"/>
      <c r="C657" s="5"/>
      <c r="D657" s="5"/>
      <c r="E657" s="5"/>
      <c r="F657" s="7"/>
      <c r="G657" s="5"/>
      <c r="H657" s="7"/>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row>
    <row r="658" spans="1:47" ht="12.5" x14ac:dyDescent="0.25">
      <c r="A658" s="5"/>
      <c r="B658" s="5"/>
      <c r="C658" s="5"/>
      <c r="D658" s="5"/>
      <c r="E658" s="5"/>
      <c r="F658" s="7"/>
      <c r="G658" s="5"/>
      <c r="H658" s="7"/>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row>
    <row r="659" spans="1:47" ht="12.5" x14ac:dyDescent="0.25">
      <c r="A659" s="5"/>
      <c r="B659" s="5"/>
      <c r="C659" s="5"/>
      <c r="D659" s="5"/>
      <c r="E659" s="5"/>
      <c r="F659" s="7"/>
      <c r="G659" s="5"/>
      <c r="H659" s="7"/>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row>
    <row r="660" spans="1:47" ht="12.5" x14ac:dyDescent="0.25">
      <c r="A660" s="5"/>
      <c r="B660" s="5"/>
      <c r="C660" s="5"/>
      <c r="D660" s="5"/>
      <c r="E660" s="5"/>
      <c r="F660" s="7"/>
      <c r="G660" s="5"/>
      <c r="H660" s="7"/>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row>
    <row r="661" spans="1:47" ht="12.5" x14ac:dyDescent="0.25">
      <c r="A661" s="5"/>
      <c r="B661" s="5"/>
      <c r="C661" s="5"/>
      <c r="D661" s="5"/>
      <c r="E661" s="5"/>
      <c r="F661" s="7"/>
      <c r="G661" s="5"/>
      <c r="H661" s="7"/>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row>
    <row r="662" spans="1:47" ht="12.5" x14ac:dyDescent="0.25">
      <c r="A662" s="5"/>
      <c r="B662" s="5"/>
      <c r="C662" s="5"/>
      <c r="D662" s="5"/>
      <c r="E662" s="5"/>
      <c r="F662" s="7"/>
      <c r="G662" s="5"/>
      <c r="H662" s="7"/>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row>
    <row r="663" spans="1:47" ht="12.5" x14ac:dyDescent="0.25">
      <c r="A663" s="5"/>
      <c r="B663" s="5"/>
      <c r="C663" s="5"/>
      <c r="D663" s="5"/>
      <c r="E663" s="5"/>
      <c r="F663" s="7"/>
      <c r="G663" s="5"/>
      <c r="H663" s="7"/>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row>
    <row r="664" spans="1:47" ht="12.5" x14ac:dyDescent="0.25">
      <c r="A664" s="5"/>
      <c r="B664" s="5"/>
      <c r="C664" s="5"/>
      <c r="D664" s="5"/>
      <c r="E664" s="5"/>
      <c r="F664" s="7"/>
      <c r="G664" s="5"/>
      <c r="H664" s="7"/>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row>
    <row r="665" spans="1:47" ht="12.5" x14ac:dyDescent="0.25">
      <c r="A665" s="5"/>
      <c r="B665" s="5"/>
      <c r="C665" s="5"/>
      <c r="D665" s="5"/>
      <c r="E665" s="5"/>
      <c r="F665" s="7"/>
      <c r="G665" s="5"/>
      <c r="H665" s="7"/>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row>
    <row r="666" spans="1:47" ht="12.5" x14ac:dyDescent="0.25">
      <c r="A666" s="5"/>
      <c r="B666" s="5"/>
      <c r="C666" s="5"/>
      <c r="D666" s="5"/>
      <c r="E666" s="5"/>
      <c r="F666" s="7"/>
      <c r="G666" s="5"/>
      <c r="H666" s="7"/>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row>
    <row r="667" spans="1:47" ht="12.5" x14ac:dyDescent="0.25">
      <c r="A667" s="5"/>
      <c r="B667" s="5"/>
      <c r="C667" s="5"/>
      <c r="D667" s="5"/>
      <c r="E667" s="5"/>
      <c r="F667" s="7"/>
      <c r="G667" s="5"/>
      <c r="H667" s="7"/>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row>
    <row r="668" spans="1:47" ht="12.5" x14ac:dyDescent="0.25">
      <c r="A668" s="5"/>
      <c r="B668" s="5"/>
      <c r="C668" s="5"/>
      <c r="D668" s="5"/>
      <c r="E668" s="5"/>
      <c r="F668" s="7"/>
      <c r="G668" s="5"/>
      <c r="H668" s="7"/>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row>
    <row r="669" spans="1:47" ht="12.5" x14ac:dyDescent="0.25">
      <c r="A669" s="5"/>
      <c r="B669" s="5"/>
      <c r="C669" s="5"/>
      <c r="D669" s="5"/>
      <c r="E669" s="5"/>
      <c r="F669" s="7"/>
      <c r="G669" s="5"/>
      <c r="H669" s="7"/>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row>
    <row r="670" spans="1:47" ht="12.5" x14ac:dyDescent="0.25">
      <c r="A670" s="5"/>
      <c r="B670" s="5"/>
      <c r="C670" s="5"/>
      <c r="D670" s="5"/>
      <c r="E670" s="5"/>
      <c r="F670" s="7"/>
      <c r="G670" s="5"/>
      <c r="H670" s="7"/>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row>
    <row r="671" spans="1:47" ht="12.5" x14ac:dyDescent="0.25">
      <c r="A671" s="5"/>
      <c r="B671" s="5"/>
      <c r="C671" s="5"/>
      <c r="D671" s="5"/>
      <c r="E671" s="5"/>
      <c r="F671" s="7"/>
      <c r="G671" s="5"/>
      <c r="H671" s="7"/>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row>
    <row r="672" spans="1:47" ht="12.5" x14ac:dyDescent="0.25">
      <c r="A672" s="5"/>
      <c r="B672" s="5"/>
      <c r="C672" s="5"/>
      <c r="D672" s="5"/>
      <c r="E672" s="5"/>
      <c r="F672" s="7"/>
      <c r="G672" s="5"/>
      <c r="H672" s="7"/>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row>
    <row r="673" spans="1:47" ht="12.5" x14ac:dyDescent="0.25">
      <c r="A673" s="5"/>
      <c r="B673" s="5"/>
      <c r="C673" s="5"/>
      <c r="D673" s="5"/>
      <c r="E673" s="5"/>
      <c r="F673" s="7"/>
      <c r="G673" s="5"/>
      <c r="H673" s="7"/>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row>
    <row r="674" spans="1:47" ht="12.5" x14ac:dyDescent="0.25">
      <c r="A674" s="5"/>
      <c r="B674" s="5"/>
      <c r="C674" s="5"/>
      <c r="D674" s="5"/>
      <c r="E674" s="5"/>
      <c r="F674" s="7"/>
      <c r="G674" s="5"/>
      <c r="H674" s="7"/>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row>
    <row r="675" spans="1:47" ht="12.5" x14ac:dyDescent="0.25">
      <c r="A675" s="5"/>
      <c r="B675" s="5"/>
      <c r="C675" s="5"/>
      <c r="D675" s="5"/>
      <c r="E675" s="5"/>
      <c r="F675" s="7"/>
      <c r="G675" s="5"/>
      <c r="H675" s="7"/>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row>
    <row r="676" spans="1:47" ht="12.5" x14ac:dyDescent="0.25">
      <c r="A676" s="5"/>
      <c r="B676" s="5"/>
      <c r="C676" s="5"/>
      <c r="D676" s="5"/>
      <c r="E676" s="5"/>
      <c r="F676" s="7"/>
      <c r="G676" s="5"/>
      <c r="H676" s="7"/>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row>
    <row r="677" spans="1:47" ht="12.5" x14ac:dyDescent="0.25">
      <c r="A677" s="5"/>
      <c r="B677" s="5"/>
      <c r="C677" s="5"/>
      <c r="D677" s="5"/>
      <c r="E677" s="5"/>
      <c r="F677" s="7"/>
      <c r="G677" s="5"/>
      <c r="H677" s="7"/>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row>
    <row r="678" spans="1:47" ht="12.5" x14ac:dyDescent="0.25">
      <c r="A678" s="5"/>
      <c r="B678" s="5"/>
      <c r="C678" s="5"/>
      <c r="D678" s="5"/>
      <c r="E678" s="5"/>
      <c r="F678" s="7"/>
      <c r="G678" s="5"/>
      <c r="H678" s="7"/>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row>
    <row r="679" spans="1:47" ht="12.5" x14ac:dyDescent="0.25">
      <c r="A679" s="5"/>
      <c r="B679" s="5"/>
      <c r="C679" s="5"/>
      <c r="D679" s="5"/>
      <c r="E679" s="5"/>
      <c r="F679" s="7"/>
      <c r="G679" s="5"/>
      <c r="H679" s="7"/>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row>
    <row r="680" spans="1:47" ht="12.5" x14ac:dyDescent="0.25">
      <c r="A680" s="5"/>
      <c r="B680" s="5"/>
      <c r="C680" s="5"/>
      <c r="D680" s="5"/>
      <c r="E680" s="5"/>
      <c r="F680" s="7"/>
      <c r="G680" s="5"/>
      <c r="H680" s="7"/>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row>
    <row r="681" spans="1:47" ht="12.5" x14ac:dyDescent="0.25">
      <c r="A681" s="5"/>
      <c r="B681" s="5"/>
      <c r="C681" s="5"/>
      <c r="D681" s="5"/>
      <c r="E681" s="5"/>
      <c r="F681" s="7"/>
      <c r="G681" s="5"/>
      <c r="H681" s="7"/>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row>
    <row r="682" spans="1:47" ht="12.5" x14ac:dyDescent="0.25">
      <c r="A682" s="5"/>
      <c r="B682" s="5"/>
      <c r="C682" s="5"/>
      <c r="D682" s="5"/>
      <c r="E682" s="5"/>
      <c r="F682" s="7"/>
      <c r="G682" s="5"/>
      <c r="H682" s="7"/>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row>
    <row r="683" spans="1:47" ht="12.5" x14ac:dyDescent="0.25">
      <c r="A683" s="5"/>
      <c r="B683" s="5"/>
      <c r="C683" s="5"/>
      <c r="D683" s="5"/>
      <c r="E683" s="5"/>
      <c r="F683" s="7"/>
      <c r="G683" s="5"/>
      <c r="H683" s="7"/>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row>
    <row r="684" spans="1:47" ht="12.5" x14ac:dyDescent="0.25">
      <c r="A684" s="5"/>
      <c r="B684" s="5"/>
      <c r="C684" s="5"/>
      <c r="D684" s="5"/>
      <c r="E684" s="5"/>
      <c r="F684" s="7"/>
      <c r="G684" s="5"/>
      <c r="H684" s="7"/>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row>
    <row r="685" spans="1:47" ht="12.5" x14ac:dyDescent="0.25">
      <c r="A685" s="5"/>
      <c r="B685" s="5"/>
      <c r="C685" s="5"/>
      <c r="D685" s="5"/>
      <c r="E685" s="5"/>
      <c r="F685" s="7"/>
      <c r="G685" s="5"/>
      <c r="H685" s="7"/>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row>
    <row r="686" spans="1:47" ht="12.5" x14ac:dyDescent="0.25">
      <c r="A686" s="5"/>
      <c r="B686" s="5"/>
      <c r="C686" s="5"/>
      <c r="D686" s="5"/>
      <c r="E686" s="5"/>
      <c r="F686" s="7"/>
      <c r="G686" s="5"/>
      <c r="H686" s="7"/>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row>
    <row r="687" spans="1:47" ht="12.5" x14ac:dyDescent="0.25">
      <c r="A687" s="5"/>
      <c r="B687" s="5"/>
      <c r="C687" s="5"/>
      <c r="D687" s="5"/>
      <c r="E687" s="5"/>
      <c r="F687" s="7"/>
      <c r="G687" s="5"/>
      <c r="H687" s="7"/>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row>
    <row r="688" spans="1:47" ht="12.5" x14ac:dyDescent="0.25">
      <c r="A688" s="5"/>
      <c r="B688" s="5"/>
      <c r="C688" s="5"/>
      <c r="D688" s="5"/>
      <c r="E688" s="5"/>
      <c r="F688" s="7"/>
      <c r="G688" s="5"/>
      <c r="H688" s="7"/>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row>
    <row r="689" spans="1:47" ht="12.5" x14ac:dyDescent="0.25">
      <c r="A689" s="5"/>
      <c r="B689" s="5"/>
      <c r="C689" s="5"/>
      <c r="D689" s="5"/>
      <c r="E689" s="5"/>
      <c r="F689" s="7"/>
      <c r="G689" s="5"/>
      <c r="H689" s="7"/>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row>
    <row r="690" spans="1:47" ht="12.5" x14ac:dyDescent="0.25">
      <c r="A690" s="5"/>
      <c r="B690" s="5"/>
      <c r="C690" s="5"/>
      <c r="D690" s="5"/>
      <c r="E690" s="5"/>
      <c r="F690" s="7"/>
      <c r="G690" s="5"/>
      <c r="H690" s="7"/>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row>
    <row r="691" spans="1:47" ht="12.5" x14ac:dyDescent="0.25">
      <c r="A691" s="5"/>
      <c r="B691" s="5"/>
      <c r="C691" s="5"/>
      <c r="D691" s="5"/>
      <c r="E691" s="5"/>
      <c r="F691" s="7"/>
      <c r="G691" s="5"/>
      <c r="H691" s="7"/>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row>
    <row r="692" spans="1:47" ht="12.5" x14ac:dyDescent="0.25">
      <c r="A692" s="5"/>
      <c r="B692" s="5"/>
      <c r="C692" s="5"/>
      <c r="D692" s="5"/>
      <c r="E692" s="5"/>
      <c r="F692" s="7"/>
      <c r="G692" s="5"/>
      <c r="H692" s="7"/>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row>
    <row r="693" spans="1:47" ht="12.5" x14ac:dyDescent="0.25">
      <c r="A693" s="5"/>
      <c r="B693" s="5"/>
      <c r="C693" s="5"/>
      <c r="D693" s="5"/>
      <c r="E693" s="5"/>
      <c r="F693" s="7"/>
      <c r="G693" s="5"/>
      <c r="H693" s="7"/>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row>
    <row r="694" spans="1:47" ht="12.5" x14ac:dyDescent="0.25">
      <c r="A694" s="5"/>
      <c r="B694" s="5"/>
      <c r="C694" s="5"/>
      <c r="D694" s="5"/>
      <c r="E694" s="5"/>
      <c r="F694" s="7"/>
      <c r="G694" s="5"/>
      <c r="H694" s="7"/>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row>
    <row r="695" spans="1:47" ht="12.5" x14ac:dyDescent="0.25">
      <c r="A695" s="5"/>
      <c r="B695" s="5"/>
      <c r="C695" s="5"/>
      <c r="D695" s="5"/>
      <c r="E695" s="5"/>
      <c r="F695" s="7"/>
      <c r="G695" s="5"/>
      <c r="H695" s="7"/>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row>
    <row r="696" spans="1:47" ht="12.5" x14ac:dyDescent="0.25">
      <c r="A696" s="5"/>
      <c r="B696" s="5"/>
      <c r="C696" s="5"/>
      <c r="D696" s="5"/>
      <c r="E696" s="5"/>
      <c r="F696" s="7"/>
      <c r="G696" s="5"/>
      <c r="H696" s="7"/>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row>
    <row r="697" spans="1:47" ht="12.5" x14ac:dyDescent="0.25">
      <c r="A697" s="5"/>
      <c r="B697" s="5"/>
      <c r="C697" s="5"/>
      <c r="D697" s="5"/>
      <c r="E697" s="5"/>
      <c r="F697" s="7"/>
      <c r="G697" s="5"/>
      <c r="H697" s="7"/>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row>
    <row r="698" spans="1:47" ht="12.5" x14ac:dyDescent="0.25">
      <c r="A698" s="5"/>
      <c r="B698" s="5"/>
      <c r="C698" s="5"/>
      <c r="D698" s="5"/>
      <c r="E698" s="5"/>
      <c r="F698" s="7"/>
      <c r="G698" s="5"/>
      <c r="H698" s="7"/>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row>
    <row r="699" spans="1:47" ht="12.5" x14ac:dyDescent="0.25">
      <c r="A699" s="5"/>
      <c r="B699" s="5"/>
      <c r="C699" s="5"/>
      <c r="D699" s="5"/>
      <c r="E699" s="5"/>
      <c r="F699" s="7"/>
      <c r="G699" s="5"/>
      <c r="H699" s="7"/>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row>
    <row r="700" spans="1:47" ht="12.5" x14ac:dyDescent="0.25">
      <c r="A700" s="5"/>
      <c r="B700" s="5"/>
      <c r="C700" s="5"/>
      <c r="D700" s="5"/>
      <c r="E700" s="5"/>
      <c r="F700" s="7"/>
      <c r="G700" s="5"/>
      <c r="H700" s="7"/>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row>
    <row r="701" spans="1:47" ht="12.5" x14ac:dyDescent="0.25">
      <c r="A701" s="5"/>
      <c r="B701" s="5"/>
      <c r="C701" s="5"/>
      <c r="D701" s="5"/>
      <c r="E701" s="5"/>
      <c r="F701" s="7"/>
      <c r="G701" s="5"/>
      <c r="H701" s="7"/>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row>
    <row r="702" spans="1:47" ht="12.5" x14ac:dyDescent="0.25">
      <c r="A702" s="5"/>
      <c r="B702" s="5"/>
      <c r="C702" s="5"/>
      <c r="D702" s="5"/>
      <c r="E702" s="5"/>
      <c r="F702" s="7"/>
      <c r="G702" s="5"/>
      <c r="H702" s="7"/>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row>
    <row r="703" spans="1:47" ht="12.5" x14ac:dyDescent="0.25">
      <c r="A703" s="5"/>
      <c r="B703" s="5"/>
      <c r="C703" s="5"/>
      <c r="D703" s="5"/>
      <c r="E703" s="5"/>
      <c r="F703" s="7"/>
      <c r="G703" s="5"/>
      <c r="H703" s="7"/>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row>
    <row r="704" spans="1:47" ht="12.5" x14ac:dyDescent="0.25">
      <c r="A704" s="5"/>
      <c r="B704" s="5"/>
      <c r="C704" s="5"/>
      <c r="D704" s="5"/>
      <c r="E704" s="5"/>
      <c r="F704" s="7"/>
      <c r="G704" s="5"/>
      <c r="H704" s="7"/>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row>
    <row r="705" spans="1:47" ht="12.5" x14ac:dyDescent="0.25">
      <c r="A705" s="5"/>
      <c r="B705" s="5"/>
      <c r="C705" s="5"/>
      <c r="D705" s="5"/>
      <c r="E705" s="5"/>
      <c r="F705" s="7"/>
      <c r="G705" s="5"/>
      <c r="H705" s="7"/>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row>
    <row r="706" spans="1:47" ht="12.5" x14ac:dyDescent="0.25">
      <c r="A706" s="5"/>
      <c r="B706" s="5"/>
      <c r="C706" s="5"/>
      <c r="D706" s="5"/>
      <c r="E706" s="5"/>
      <c r="F706" s="7"/>
      <c r="G706" s="5"/>
      <c r="H706" s="7"/>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row>
    <row r="707" spans="1:47" ht="12.5" x14ac:dyDescent="0.25">
      <c r="A707" s="5"/>
      <c r="B707" s="5"/>
      <c r="C707" s="5"/>
      <c r="D707" s="5"/>
      <c r="E707" s="5"/>
      <c r="F707" s="7"/>
      <c r="G707" s="5"/>
      <c r="H707" s="7"/>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row>
    <row r="708" spans="1:47" ht="12.5" x14ac:dyDescent="0.25">
      <c r="A708" s="5"/>
      <c r="B708" s="5"/>
      <c r="C708" s="5"/>
      <c r="D708" s="5"/>
      <c r="E708" s="5"/>
      <c r="F708" s="7"/>
      <c r="G708" s="5"/>
      <c r="H708" s="7"/>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row>
    <row r="709" spans="1:47" ht="12.5" x14ac:dyDescent="0.25">
      <c r="A709" s="5"/>
      <c r="B709" s="5"/>
      <c r="C709" s="5"/>
      <c r="D709" s="5"/>
      <c r="E709" s="5"/>
      <c r="F709" s="7"/>
      <c r="G709" s="5"/>
      <c r="H709" s="7"/>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row>
    <row r="710" spans="1:47" ht="12.5" x14ac:dyDescent="0.25">
      <c r="A710" s="5"/>
      <c r="B710" s="5"/>
      <c r="C710" s="5"/>
      <c r="D710" s="5"/>
      <c r="E710" s="5"/>
      <c r="F710" s="7"/>
      <c r="G710" s="5"/>
      <c r="H710" s="7"/>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row>
    <row r="711" spans="1:47" ht="12.5" x14ac:dyDescent="0.25">
      <c r="A711" s="5"/>
      <c r="B711" s="5"/>
      <c r="C711" s="5"/>
      <c r="D711" s="5"/>
      <c r="E711" s="5"/>
      <c r="F711" s="7"/>
      <c r="G711" s="5"/>
      <c r="H711" s="7"/>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row>
    <row r="712" spans="1:47" ht="12.5" x14ac:dyDescent="0.25">
      <c r="A712" s="5"/>
      <c r="B712" s="5"/>
      <c r="C712" s="5"/>
      <c r="D712" s="5"/>
      <c r="E712" s="5"/>
      <c r="F712" s="7"/>
      <c r="G712" s="5"/>
      <c r="H712" s="7"/>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row>
    <row r="713" spans="1:47" ht="12.5" x14ac:dyDescent="0.25">
      <c r="A713" s="5"/>
      <c r="B713" s="5"/>
      <c r="C713" s="5"/>
      <c r="D713" s="5"/>
      <c r="E713" s="5"/>
      <c r="F713" s="7"/>
      <c r="G713" s="5"/>
      <c r="H713" s="7"/>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row>
    <row r="714" spans="1:47" ht="12.5" x14ac:dyDescent="0.25">
      <c r="A714" s="5"/>
      <c r="B714" s="5"/>
      <c r="C714" s="5"/>
      <c r="D714" s="5"/>
      <c r="E714" s="5"/>
      <c r="F714" s="7"/>
      <c r="G714" s="5"/>
      <c r="H714" s="7"/>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row>
    <row r="715" spans="1:47" ht="12.5" x14ac:dyDescent="0.25">
      <c r="A715" s="5"/>
      <c r="B715" s="5"/>
      <c r="C715" s="5"/>
      <c r="D715" s="5"/>
      <c r="E715" s="5"/>
      <c r="F715" s="7"/>
      <c r="G715" s="5"/>
      <c r="H715" s="7"/>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row>
    <row r="716" spans="1:47" ht="12.5" x14ac:dyDescent="0.25">
      <c r="A716" s="5"/>
      <c r="B716" s="5"/>
      <c r="C716" s="5"/>
      <c r="D716" s="5"/>
      <c r="E716" s="5"/>
      <c r="F716" s="7"/>
      <c r="G716" s="5"/>
      <c r="H716" s="7"/>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row>
    <row r="717" spans="1:47" ht="12.5" x14ac:dyDescent="0.25">
      <c r="A717" s="5"/>
      <c r="B717" s="5"/>
      <c r="C717" s="5"/>
      <c r="D717" s="5"/>
      <c r="E717" s="5"/>
      <c r="F717" s="7"/>
      <c r="G717" s="5"/>
      <c r="H717" s="7"/>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row>
    <row r="718" spans="1:47" ht="12.5" x14ac:dyDescent="0.25">
      <c r="A718" s="5"/>
      <c r="B718" s="5"/>
      <c r="C718" s="5"/>
      <c r="D718" s="5"/>
      <c r="E718" s="5"/>
      <c r="F718" s="7"/>
      <c r="G718" s="5"/>
      <c r="H718" s="7"/>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row>
    <row r="719" spans="1:47" ht="12.5" x14ac:dyDescent="0.25">
      <c r="A719" s="5"/>
      <c r="B719" s="5"/>
      <c r="C719" s="5"/>
      <c r="D719" s="5"/>
      <c r="E719" s="5"/>
      <c r="F719" s="7"/>
      <c r="G719" s="5"/>
      <c r="H719" s="7"/>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row>
    <row r="720" spans="1:47" ht="12.5" x14ac:dyDescent="0.25">
      <c r="A720" s="5"/>
      <c r="B720" s="5"/>
      <c r="C720" s="5"/>
      <c r="D720" s="5"/>
      <c r="E720" s="5"/>
      <c r="F720" s="7"/>
      <c r="G720" s="5"/>
      <c r="H720" s="7"/>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row>
    <row r="721" spans="1:47" ht="12.5" x14ac:dyDescent="0.25">
      <c r="A721" s="5"/>
      <c r="B721" s="5"/>
      <c r="C721" s="5"/>
      <c r="D721" s="5"/>
      <c r="E721" s="5"/>
      <c r="F721" s="7"/>
      <c r="G721" s="5"/>
      <c r="H721" s="7"/>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row>
    <row r="722" spans="1:47" ht="12.5" x14ac:dyDescent="0.25">
      <c r="A722" s="5"/>
      <c r="B722" s="5"/>
      <c r="C722" s="5"/>
      <c r="D722" s="5"/>
      <c r="E722" s="5"/>
      <c r="F722" s="7"/>
      <c r="G722" s="5"/>
      <c r="H722" s="7"/>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row>
    <row r="723" spans="1:47" ht="12.5" x14ac:dyDescent="0.25">
      <c r="A723" s="5"/>
      <c r="B723" s="5"/>
      <c r="C723" s="5"/>
      <c r="D723" s="5"/>
      <c r="E723" s="5"/>
      <c r="F723" s="7"/>
      <c r="G723" s="5"/>
      <c r="H723" s="7"/>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row>
    <row r="724" spans="1:47" ht="12.5" x14ac:dyDescent="0.25">
      <c r="A724" s="5"/>
      <c r="B724" s="5"/>
      <c r="C724" s="5"/>
      <c r="D724" s="5"/>
      <c r="E724" s="5"/>
      <c r="F724" s="7"/>
      <c r="G724" s="5"/>
      <c r="H724" s="7"/>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row>
    <row r="725" spans="1:47" ht="12.5" x14ac:dyDescent="0.25">
      <c r="A725" s="5"/>
      <c r="B725" s="5"/>
      <c r="C725" s="5"/>
      <c r="D725" s="5"/>
      <c r="E725" s="5"/>
      <c r="F725" s="7"/>
      <c r="G725" s="5"/>
      <c r="H725" s="7"/>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row>
    <row r="726" spans="1:47" ht="12.5" x14ac:dyDescent="0.25">
      <c r="A726" s="5"/>
      <c r="B726" s="5"/>
      <c r="C726" s="5"/>
      <c r="D726" s="5"/>
      <c r="E726" s="5"/>
      <c r="F726" s="7"/>
      <c r="G726" s="5"/>
      <c r="H726" s="7"/>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row>
    <row r="727" spans="1:47" ht="12.5" x14ac:dyDescent="0.25">
      <c r="A727" s="5"/>
      <c r="B727" s="5"/>
      <c r="C727" s="5"/>
      <c r="D727" s="5"/>
      <c r="E727" s="5"/>
      <c r="F727" s="7"/>
      <c r="G727" s="5"/>
      <c r="H727" s="7"/>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row>
    <row r="728" spans="1:47" ht="12.5" x14ac:dyDescent="0.25">
      <c r="A728" s="5"/>
      <c r="B728" s="5"/>
      <c r="C728" s="5"/>
      <c r="D728" s="5"/>
      <c r="E728" s="5"/>
      <c r="F728" s="7"/>
      <c r="G728" s="5"/>
      <c r="H728" s="7"/>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row>
    <row r="729" spans="1:47" ht="12.5" x14ac:dyDescent="0.25">
      <c r="A729" s="5"/>
      <c r="B729" s="5"/>
      <c r="C729" s="5"/>
      <c r="D729" s="5"/>
      <c r="E729" s="5"/>
      <c r="F729" s="7"/>
      <c r="G729" s="5"/>
      <c r="H729" s="7"/>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row>
    <row r="730" spans="1:47" ht="12.5" x14ac:dyDescent="0.25">
      <c r="A730" s="5"/>
      <c r="B730" s="5"/>
      <c r="C730" s="5"/>
      <c r="D730" s="5"/>
      <c r="E730" s="5"/>
      <c r="F730" s="7"/>
      <c r="G730" s="5"/>
      <c r="H730" s="7"/>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row>
    <row r="731" spans="1:47" ht="12.5" x14ac:dyDescent="0.25">
      <c r="A731" s="5"/>
      <c r="B731" s="5"/>
      <c r="C731" s="5"/>
      <c r="D731" s="5"/>
      <c r="E731" s="5"/>
      <c r="F731" s="7"/>
      <c r="G731" s="5"/>
      <c r="H731" s="7"/>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row>
    <row r="732" spans="1:47" ht="12.5" x14ac:dyDescent="0.25">
      <c r="A732" s="5"/>
      <c r="B732" s="5"/>
      <c r="C732" s="5"/>
      <c r="D732" s="5"/>
      <c r="E732" s="5"/>
      <c r="F732" s="7"/>
      <c r="G732" s="5"/>
      <c r="H732" s="7"/>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row>
    <row r="733" spans="1:47" ht="12.5" x14ac:dyDescent="0.25">
      <c r="A733" s="5"/>
      <c r="B733" s="5"/>
      <c r="C733" s="5"/>
      <c r="D733" s="5"/>
      <c r="E733" s="5"/>
      <c r="F733" s="7"/>
      <c r="G733" s="5"/>
      <c r="H733" s="7"/>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row>
    <row r="734" spans="1:47" ht="12.5" x14ac:dyDescent="0.25">
      <c r="A734" s="5"/>
      <c r="B734" s="5"/>
      <c r="C734" s="5"/>
      <c r="D734" s="5"/>
      <c r="E734" s="5"/>
      <c r="F734" s="7"/>
      <c r="G734" s="5"/>
      <c r="H734" s="7"/>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row>
    <row r="735" spans="1:47" ht="12.5" x14ac:dyDescent="0.25">
      <c r="A735" s="5"/>
      <c r="B735" s="5"/>
      <c r="C735" s="5"/>
      <c r="D735" s="5"/>
      <c r="E735" s="5"/>
      <c r="F735" s="7"/>
      <c r="G735" s="5"/>
      <c r="H735" s="7"/>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row>
    <row r="736" spans="1:47" ht="12.5" x14ac:dyDescent="0.25">
      <c r="A736" s="5"/>
      <c r="B736" s="5"/>
      <c r="C736" s="5"/>
      <c r="D736" s="5"/>
      <c r="E736" s="5"/>
      <c r="F736" s="7"/>
      <c r="G736" s="5"/>
      <c r="H736" s="7"/>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row>
    <row r="737" spans="1:47" ht="12.5" x14ac:dyDescent="0.25">
      <c r="A737" s="5"/>
      <c r="B737" s="5"/>
      <c r="C737" s="5"/>
      <c r="D737" s="5"/>
      <c r="E737" s="5"/>
      <c r="F737" s="7"/>
      <c r="G737" s="5"/>
      <c r="H737" s="7"/>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row>
    <row r="738" spans="1:47" ht="12.5" x14ac:dyDescent="0.25">
      <c r="A738" s="5"/>
      <c r="B738" s="5"/>
      <c r="C738" s="5"/>
      <c r="D738" s="5"/>
      <c r="E738" s="5"/>
      <c r="F738" s="7"/>
      <c r="G738" s="5"/>
      <c r="H738" s="7"/>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row>
    <row r="739" spans="1:47" ht="12.5" x14ac:dyDescent="0.25">
      <c r="A739" s="5"/>
      <c r="B739" s="5"/>
      <c r="C739" s="5"/>
      <c r="D739" s="5"/>
      <c r="E739" s="5"/>
      <c r="F739" s="7"/>
      <c r="G739" s="5"/>
      <c r="H739" s="7"/>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row>
    <row r="740" spans="1:47" ht="12.5" x14ac:dyDescent="0.25">
      <c r="A740" s="5"/>
      <c r="B740" s="5"/>
      <c r="C740" s="5"/>
      <c r="D740" s="5"/>
      <c r="E740" s="5"/>
      <c r="F740" s="7"/>
      <c r="G740" s="5"/>
      <c r="H740" s="7"/>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row>
    <row r="741" spans="1:47" ht="12.5" x14ac:dyDescent="0.25">
      <c r="A741" s="5"/>
      <c r="B741" s="5"/>
      <c r="C741" s="5"/>
      <c r="D741" s="5"/>
      <c r="E741" s="5"/>
      <c r="F741" s="7"/>
      <c r="G741" s="5"/>
      <c r="H741" s="7"/>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row>
    <row r="742" spans="1:47" ht="12.5" x14ac:dyDescent="0.25">
      <c r="A742" s="5"/>
      <c r="B742" s="5"/>
      <c r="C742" s="5"/>
      <c r="D742" s="5"/>
      <c r="E742" s="5"/>
      <c r="F742" s="7"/>
      <c r="G742" s="5"/>
      <c r="H742" s="7"/>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row>
    <row r="743" spans="1:47" ht="12.5" x14ac:dyDescent="0.25">
      <c r="A743" s="5"/>
      <c r="B743" s="5"/>
      <c r="C743" s="5"/>
      <c r="D743" s="5"/>
      <c r="E743" s="5"/>
      <c r="F743" s="7"/>
      <c r="G743" s="5"/>
      <c r="H743" s="7"/>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row>
    <row r="744" spans="1:47" ht="12.5" x14ac:dyDescent="0.25">
      <c r="A744" s="5"/>
      <c r="B744" s="5"/>
      <c r="C744" s="5"/>
      <c r="D744" s="5"/>
      <c r="E744" s="5"/>
      <c r="F744" s="7"/>
      <c r="G744" s="5"/>
      <c r="H744" s="7"/>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row>
    <row r="745" spans="1:47" ht="12.5" x14ac:dyDescent="0.25">
      <c r="A745" s="5"/>
      <c r="B745" s="5"/>
      <c r="C745" s="5"/>
      <c r="D745" s="5"/>
      <c r="E745" s="5"/>
      <c r="F745" s="7"/>
      <c r="G745" s="5"/>
      <c r="H745" s="7"/>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row>
    <row r="746" spans="1:47" ht="12.5" x14ac:dyDescent="0.25">
      <c r="A746" s="5"/>
      <c r="B746" s="5"/>
      <c r="C746" s="5"/>
      <c r="D746" s="5"/>
      <c r="E746" s="5"/>
      <c r="F746" s="7"/>
      <c r="G746" s="5"/>
      <c r="H746" s="7"/>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row>
    <row r="747" spans="1:47" ht="12.5" x14ac:dyDescent="0.25">
      <c r="A747" s="5"/>
      <c r="B747" s="5"/>
      <c r="C747" s="5"/>
      <c r="D747" s="5"/>
      <c r="E747" s="5"/>
      <c r="F747" s="7"/>
      <c r="G747" s="5"/>
      <c r="H747" s="7"/>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row>
    <row r="748" spans="1:47" ht="12.5" x14ac:dyDescent="0.25">
      <c r="A748" s="5"/>
      <c r="B748" s="5"/>
      <c r="C748" s="5"/>
      <c r="D748" s="5"/>
      <c r="E748" s="5"/>
      <c r="F748" s="7"/>
      <c r="G748" s="5"/>
      <c r="H748" s="7"/>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row>
    <row r="749" spans="1:47" ht="12.5" x14ac:dyDescent="0.25">
      <c r="A749" s="5"/>
      <c r="B749" s="5"/>
      <c r="C749" s="5"/>
      <c r="D749" s="5"/>
      <c r="E749" s="5"/>
      <c r="F749" s="7"/>
      <c r="G749" s="5"/>
      <c r="H749" s="7"/>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row>
    <row r="750" spans="1:47" ht="12.5" x14ac:dyDescent="0.25">
      <c r="A750" s="5"/>
      <c r="B750" s="5"/>
      <c r="C750" s="5"/>
      <c r="D750" s="5"/>
      <c r="E750" s="5"/>
      <c r="F750" s="7"/>
      <c r="G750" s="5"/>
      <c r="H750" s="7"/>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row>
    <row r="751" spans="1:47" ht="12.5" x14ac:dyDescent="0.25">
      <c r="A751" s="5"/>
      <c r="B751" s="5"/>
      <c r="C751" s="5"/>
      <c r="D751" s="5"/>
      <c r="E751" s="5"/>
      <c r="F751" s="7"/>
      <c r="G751" s="5"/>
      <c r="H751" s="7"/>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row>
    <row r="752" spans="1:47" ht="12.5" x14ac:dyDescent="0.25">
      <c r="A752" s="5"/>
      <c r="B752" s="5"/>
      <c r="C752" s="5"/>
      <c r="D752" s="5"/>
      <c r="E752" s="5"/>
      <c r="F752" s="7"/>
      <c r="G752" s="5"/>
      <c r="H752" s="7"/>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row>
    <row r="753" spans="1:47" ht="12.5" x14ac:dyDescent="0.25">
      <c r="A753" s="5"/>
      <c r="B753" s="5"/>
      <c r="C753" s="5"/>
      <c r="D753" s="5"/>
      <c r="E753" s="5"/>
      <c r="F753" s="7"/>
      <c r="G753" s="5"/>
      <c r="H753" s="7"/>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row>
    <row r="754" spans="1:47" ht="12.5" x14ac:dyDescent="0.25">
      <c r="A754" s="5"/>
      <c r="B754" s="5"/>
      <c r="C754" s="5"/>
      <c r="D754" s="5"/>
      <c r="E754" s="5"/>
      <c r="F754" s="7"/>
      <c r="G754" s="5"/>
      <c r="H754" s="7"/>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row>
    <row r="755" spans="1:47" ht="12.5" x14ac:dyDescent="0.25">
      <c r="A755" s="5"/>
      <c r="B755" s="5"/>
      <c r="C755" s="5"/>
      <c r="D755" s="5"/>
      <c r="E755" s="5"/>
      <c r="F755" s="7"/>
      <c r="G755" s="5"/>
      <c r="H755" s="7"/>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row>
    <row r="756" spans="1:47" ht="12.5" x14ac:dyDescent="0.25">
      <c r="A756" s="5"/>
      <c r="B756" s="5"/>
      <c r="C756" s="5"/>
      <c r="D756" s="5"/>
      <c r="E756" s="5"/>
      <c r="F756" s="7"/>
      <c r="G756" s="5"/>
      <c r="H756" s="7"/>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row>
    <row r="757" spans="1:47" ht="12.5" x14ac:dyDescent="0.25">
      <c r="A757" s="5"/>
      <c r="B757" s="5"/>
      <c r="C757" s="5"/>
      <c r="D757" s="5"/>
      <c r="E757" s="5"/>
      <c r="F757" s="7"/>
      <c r="G757" s="5"/>
      <c r="H757" s="7"/>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row>
    <row r="758" spans="1:47" ht="12.5" x14ac:dyDescent="0.25">
      <c r="A758" s="5"/>
      <c r="B758" s="5"/>
      <c r="C758" s="5"/>
      <c r="D758" s="5"/>
      <c r="E758" s="5"/>
      <c r="F758" s="7"/>
      <c r="G758" s="5"/>
      <c r="H758" s="7"/>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row>
    <row r="759" spans="1:47" ht="12.5" x14ac:dyDescent="0.25">
      <c r="A759" s="5"/>
      <c r="B759" s="5"/>
      <c r="C759" s="5"/>
      <c r="D759" s="5"/>
      <c r="E759" s="5"/>
      <c r="F759" s="7"/>
      <c r="G759" s="5"/>
      <c r="H759" s="7"/>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row>
    <row r="760" spans="1:47" ht="12.5" x14ac:dyDescent="0.25">
      <c r="A760" s="5"/>
      <c r="B760" s="5"/>
      <c r="C760" s="5"/>
      <c r="D760" s="5"/>
      <c r="E760" s="5"/>
      <c r="F760" s="7"/>
      <c r="G760" s="5"/>
      <c r="H760" s="7"/>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row>
    <row r="761" spans="1:47" ht="12.5" x14ac:dyDescent="0.25">
      <c r="A761" s="5"/>
      <c r="B761" s="5"/>
      <c r="C761" s="5"/>
      <c r="D761" s="5"/>
      <c r="E761" s="5"/>
      <c r="F761" s="7"/>
      <c r="G761" s="5"/>
      <c r="H761" s="7"/>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row>
    <row r="762" spans="1:47" ht="12.5" x14ac:dyDescent="0.25">
      <c r="A762" s="5"/>
      <c r="B762" s="5"/>
      <c r="C762" s="5"/>
      <c r="D762" s="5"/>
      <c r="E762" s="5"/>
      <c r="F762" s="7"/>
      <c r="G762" s="5"/>
      <c r="H762" s="7"/>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row>
    <row r="763" spans="1:47" ht="12.5" x14ac:dyDescent="0.25">
      <c r="A763" s="5"/>
      <c r="B763" s="5"/>
      <c r="C763" s="5"/>
      <c r="D763" s="5"/>
      <c r="E763" s="5"/>
      <c r="F763" s="7"/>
      <c r="G763" s="5"/>
      <c r="H763" s="7"/>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row>
    <row r="764" spans="1:47" ht="12.5" x14ac:dyDescent="0.25">
      <c r="A764" s="5"/>
      <c r="B764" s="5"/>
      <c r="C764" s="5"/>
      <c r="D764" s="5"/>
      <c r="E764" s="5"/>
      <c r="F764" s="7"/>
      <c r="G764" s="5"/>
      <c r="H764" s="7"/>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row>
    <row r="765" spans="1:47" ht="12.5" x14ac:dyDescent="0.25">
      <c r="A765" s="5"/>
      <c r="B765" s="5"/>
      <c r="C765" s="5"/>
      <c r="D765" s="5"/>
      <c r="E765" s="5"/>
      <c r="F765" s="7"/>
      <c r="G765" s="5"/>
      <c r="H765" s="7"/>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row>
    <row r="766" spans="1:47" ht="12.5" x14ac:dyDescent="0.25">
      <c r="A766" s="5"/>
      <c r="B766" s="5"/>
      <c r="C766" s="5"/>
      <c r="D766" s="5"/>
      <c r="E766" s="5"/>
      <c r="F766" s="7"/>
      <c r="G766" s="5"/>
      <c r="H766" s="7"/>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row>
    <row r="767" spans="1:47" ht="12.5" x14ac:dyDescent="0.25">
      <c r="A767" s="5"/>
      <c r="B767" s="5"/>
      <c r="C767" s="5"/>
      <c r="D767" s="5"/>
      <c r="E767" s="5"/>
      <c r="F767" s="7"/>
      <c r="G767" s="5"/>
      <c r="H767" s="7"/>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row>
    <row r="768" spans="1:47" ht="12.5" x14ac:dyDescent="0.25">
      <c r="A768" s="5"/>
      <c r="B768" s="5"/>
      <c r="C768" s="5"/>
      <c r="D768" s="5"/>
      <c r="E768" s="5"/>
      <c r="F768" s="7"/>
      <c r="G768" s="5"/>
      <c r="H768" s="7"/>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row>
    <row r="769" spans="1:47" ht="12.5" x14ac:dyDescent="0.25">
      <c r="A769" s="5"/>
      <c r="B769" s="5"/>
      <c r="C769" s="5"/>
      <c r="D769" s="5"/>
      <c r="E769" s="5"/>
      <c r="F769" s="7"/>
      <c r="G769" s="5"/>
      <c r="H769" s="7"/>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row>
    <row r="770" spans="1:47" ht="12.5" x14ac:dyDescent="0.25">
      <c r="A770" s="5"/>
      <c r="B770" s="5"/>
      <c r="C770" s="5"/>
      <c r="D770" s="5"/>
      <c r="E770" s="5"/>
      <c r="F770" s="7"/>
      <c r="G770" s="5"/>
      <c r="H770" s="7"/>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row>
    <row r="771" spans="1:47" ht="12.5" x14ac:dyDescent="0.25">
      <c r="A771" s="5"/>
      <c r="B771" s="5"/>
      <c r="C771" s="5"/>
      <c r="D771" s="5"/>
      <c r="E771" s="5"/>
      <c r="F771" s="7"/>
      <c r="G771" s="5"/>
      <c r="H771" s="7"/>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row>
    <row r="772" spans="1:47" ht="12.5" x14ac:dyDescent="0.25">
      <c r="A772" s="5"/>
      <c r="B772" s="5"/>
      <c r="C772" s="5"/>
      <c r="D772" s="5"/>
      <c r="E772" s="5"/>
      <c r="F772" s="7"/>
      <c r="G772" s="5"/>
      <c r="H772" s="7"/>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row>
    <row r="773" spans="1:47" ht="12.5" x14ac:dyDescent="0.25">
      <c r="A773" s="5"/>
      <c r="B773" s="5"/>
      <c r="C773" s="5"/>
      <c r="D773" s="5"/>
      <c r="E773" s="5"/>
      <c r="F773" s="7"/>
      <c r="G773" s="5"/>
      <c r="H773" s="7"/>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row>
    <row r="774" spans="1:47" ht="12.5" x14ac:dyDescent="0.25">
      <c r="A774" s="5"/>
      <c r="B774" s="5"/>
      <c r="C774" s="5"/>
      <c r="D774" s="5"/>
      <c r="E774" s="5"/>
      <c r="F774" s="7"/>
      <c r="G774" s="5"/>
      <c r="H774" s="7"/>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row>
    <row r="775" spans="1:47" ht="12.5" x14ac:dyDescent="0.25">
      <c r="A775" s="5"/>
      <c r="B775" s="5"/>
      <c r="C775" s="5"/>
      <c r="D775" s="5"/>
      <c r="E775" s="5"/>
      <c r="F775" s="7"/>
      <c r="G775" s="5"/>
      <c r="H775" s="7"/>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row>
    <row r="776" spans="1:47" ht="12.5" x14ac:dyDescent="0.25">
      <c r="A776" s="5"/>
      <c r="B776" s="5"/>
      <c r="C776" s="5"/>
      <c r="D776" s="5"/>
      <c r="E776" s="5"/>
      <c r="F776" s="7"/>
      <c r="G776" s="5"/>
      <c r="H776" s="7"/>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row>
    <row r="777" spans="1:47" ht="12.5" x14ac:dyDescent="0.25">
      <c r="A777" s="5"/>
      <c r="B777" s="5"/>
      <c r="C777" s="5"/>
      <c r="D777" s="5"/>
      <c r="E777" s="5"/>
      <c r="F777" s="7"/>
      <c r="G777" s="5"/>
      <c r="H777" s="7"/>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row>
    <row r="778" spans="1:47" ht="12.5" x14ac:dyDescent="0.25">
      <c r="A778" s="5"/>
      <c r="B778" s="5"/>
      <c r="C778" s="5"/>
      <c r="D778" s="5"/>
      <c r="E778" s="5"/>
      <c r="F778" s="7"/>
      <c r="G778" s="5"/>
      <c r="H778" s="7"/>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row>
    <row r="779" spans="1:47" ht="12.5" x14ac:dyDescent="0.25">
      <c r="A779" s="5"/>
      <c r="B779" s="5"/>
      <c r="C779" s="5"/>
      <c r="D779" s="5"/>
      <c r="E779" s="5"/>
      <c r="F779" s="7"/>
      <c r="G779" s="5"/>
      <c r="H779" s="7"/>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row>
    <row r="780" spans="1:47" ht="12.5" x14ac:dyDescent="0.25">
      <c r="A780" s="5"/>
      <c r="B780" s="5"/>
      <c r="C780" s="5"/>
      <c r="D780" s="5"/>
      <c r="E780" s="5"/>
      <c r="F780" s="7"/>
      <c r="G780" s="5"/>
      <c r="H780" s="7"/>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row>
    <row r="781" spans="1:47" ht="12.5" x14ac:dyDescent="0.25">
      <c r="A781" s="5"/>
      <c r="B781" s="5"/>
      <c r="C781" s="5"/>
      <c r="D781" s="5"/>
      <c r="E781" s="5"/>
      <c r="F781" s="7"/>
      <c r="G781" s="5"/>
      <c r="H781" s="7"/>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row>
    <row r="782" spans="1:47" ht="12.5" x14ac:dyDescent="0.25">
      <c r="A782" s="5"/>
      <c r="B782" s="5"/>
      <c r="C782" s="5"/>
      <c r="D782" s="5"/>
      <c r="E782" s="5"/>
      <c r="F782" s="7"/>
      <c r="G782" s="5"/>
      <c r="H782" s="7"/>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row>
    <row r="783" spans="1:47" ht="12.5" x14ac:dyDescent="0.25">
      <c r="A783" s="5"/>
      <c r="B783" s="5"/>
      <c r="C783" s="5"/>
      <c r="D783" s="5"/>
      <c r="E783" s="5"/>
      <c r="F783" s="7"/>
      <c r="G783" s="5"/>
      <c r="H783" s="7"/>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row>
    <row r="784" spans="1:47" ht="12.5" x14ac:dyDescent="0.25">
      <c r="A784" s="5"/>
      <c r="B784" s="5"/>
      <c r="C784" s="5"/>
      <c r="D784" s="5"/>
      <c r="E784" s="5"/>
      <c r="F784" s="7"/>
      <c r="G784" s="5"/>
      <c r="H784" s="7"/>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row>
    <row r="785" spans="1:47" ht="12.5" x14ac:dyDescent="0.25">
      <c r="A785" s="5"/>
      <c r="B785" s="5"/>
      <c r="C785" s="5"/>
      <c r="D785" s="5"/>
      <c r="E785" s="5"/>
      <c r="F785" s="7"/>
      <c r="G785" s="5"/>
      <c r="H785" s="7"/>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row>
    <row r="786" spans="1:47" ht="12.5" x14ac:dyDescent="0.25">
      <c r="A786" s="5"/>
      <c r="B786" s="5"/>
      <c r="C786" s="5"/>
      <c r="D786" s="5"/>
      <c r="E786" s="5"/>
      <c r="F786" s="7"/>
      <c r="G786" s="5"/>
      <c r="H786" s="7"/>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row>
    <row r="787" spans="1:47" ht="12.5" x14ac:dyDescent="0.25">
      <c r="A787" s="5"/>
      <c r="B787" s="5"/>
      <c r="C787" s="5"/>
      <c r="D787" s="5"/>
      <c r="E787" s="5"/>
      <c r="F787" s="7"/>
      <c r="G787" s="5"/>
      <c r="H787" s="7"/>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row>
    <row r="788" spans="1:47" ht="12.5" x14ac:dyDescent="0.25">
      <c r="A788" s="5"/>
      <c r="B788" s="5"/>
      <c r="C788" s="5"/>
      <c r="D788" s="5"/>
      <c r="E788" s="5"/>
      <c r="F788" s="7"/>
      <c r="G788" s="5"/>
      <c r="H788" s="7"/>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row>
    <row r="789" spans="1:47" ht="12.5" x14ac:dyDescent="0.25">
      <c r="A789" s="5"/>
      <c r="B789" s="5"/>
      <c r="C789" s="5"/>
      <c r="D789" s="5"/>
      <c r="E789" s="5"/>
      <c r="F789" s="7"/>
      <c r="G789" s="5"/>
      <c r="H789" s="7"/>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row>
    <row r="790" spans="1:47" ht="12.5" x14ac:dyDescent="0.25">
      <c r="A790" s="5"/>
      <c r="B790" s="5"/>
      <c r="C790" s="5"/>
      <c r="D790" s="5"/>
      <c r="E790" s="5"/>
      <c r="F790" s="7"/>
      <c r="G790" s="5"/>
      <c r="H790" s="7"/>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row>
    <row r="791" spans="1:47" ht="12.5" x14ac:dyDescent="0.25">
      <c r="A791" s="5"/>
      <c r="B791" s="5"/>
      <c r="C791" s="5"/>
      <c r="D791" s="5"/>
      <c r="E791" s="5"/>
      <c r="F791" s="7"/>
      <c r="G791" s="5"/>
      <c r="H791" s="7"/>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row>
    <row r="792" spans="1:47" ht="12.5" x14ac:dyDescent="0.25">
      <c r="A792" s="5"/>
      <c r="B792" s="5"/>
      <c r="C792" s="5"/>
      <c r="D792" s="5"/>
      <c r="E792" s="5"/>
      <c r="F792" s="7"/>
      <c r="G792" s="5"/>
      <c r="H792" s="7"/>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row>
    <row r="793" spans="1:47" ht="12.5" x14ac:dyDescent="0.25">
      <c r="A793" s="5"/>
      <c r="B793" s="5"/>
      <c r="C793" s="5"/>
      <c r="D793" s="5"/>
      <c r="E793" s="5"/>
      <c r="F793" s="7"/>
      <c r="G793" s="5"/>
      <c r="H793" s="7"/>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row>
    <row r="794" spans="1:47" ht="12.5" x14ac:dyDescent="0.25">
      <c r="A794" s="5"/>
      <c r="B794" s="5"/>
      <c r="C794" s="5"/>
      <c r="D794" s="5"/>
      <c r="E794" s="5"/>
      <c r="F794" s="7"/>
      <c r="G794" s="5"/>
      <c r="H794" s="7"/>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row>
    <row r="795" spans="1:47" ht="12.5" x14ac:dyDescent="0.25">
      <c r="A795" s="5"/>
      <c r="B795" s="5"/>
      <c r="C795" s="5"/>
      <c r="D795" s="5"/>
      <c r="E795" s="5"/>
      <c r="F795" s="7"/>
      <c r="G795" s="5"/>
      <c r="H795" s="7"/>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row>
    <row r="796" spans="1:47" ht="12.5" x14ac:dyDescent="0.25">
      <c r="A796" s="5"/>
      <c r="B796" s="5"/>
      <c r="C796" s="5"/>
      <c r="D796" s="5"/>
      <c r="E796" s="5"/>
      <c r="F796" s="7"/>
      <c r="G796" s="5"/>
      <c r="H796" s="7"/>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row>
    <row r="797" spans="1:47" ht="12.5" x14ac:dyDescent="0.25">
      <c r="A797" s="5"/>
      <c r="B797" s="5"/>
      <c r="C797" s="5"/>
      <c r="D797" s="5"/>
      <c r="E797" s="5"/>
      <c r="F797" s="7"/>
      <c r="G797" s="5"/>
      <c r="H797" s="7"/>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row>
    <row r="798" spans="1:47" ht="12.5" x14ac:dyDescent="0.25">
      <c r="A798" s="5"/>
      <c r="B798" s="5"/>
      <c r="C798" s="5"/>
      <c r="D798" s="5"/>
      <c r="E798" s="5"/>
      <c r="F798" s="7"/>
      <c r="G798" s="5"/>
      <c r="H798" s="7"/>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row>
    <row r="799" spans="1:47" ht="12.5" x14ac:dyDescent="0.25">
      <c r="A799" s="5"/>
      <c r="B799" s="5"/>
      <c r="C799" s="5"/>
      <c r="D799" s="5"/>
      <c r="E799" s="5"/>
      <c r="F799" s="7"/>
      <c r="G799" s="5"/>
      <c r="H799" s="7"/>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row>
    <row r="800" spans="1:47" ht="12.5" x14ac:dyDescent="0.25">
      <c r="A800" s="5"/>
      <c r="B800" s="5"/>
      <c r="C800" s="5"/>
      <c r="D800" s="5"/>
      <c r="E800" s="5"/>
      <c r="F800" s="7"/>
      <c r="G800" s="5"/>
      <c r="H800" s="7"/>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row>
    <row r="801" spans="1:47" ht="12.5" x14ac:dyDescent="0.25">
      <c r="A801" s="5"/>
      <c r="B801" s="5"/>
      <c r="C801" s="5"/>
      <c r="D801" s="5"/>
      <c r="E801" s="5"/>
      <c r="F801" s="7"/>
      <c r="G801" s="5"/>
      <c r="H801" s="7"/>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row>
    <row r="802" spans="1:47" ht="12.5" x14ac:dyDescent="0.25">
      <c r="A802" s="5"/>
      <c r="B802" s="5"/>
      <c r="C802" s="5"/>
      <c r="D802" s="5"/>
      <c r="E802" s="5"/>
      <c r="F802" s="7"/>
      <c r="G802" s="5"/>
      <c r="H802" s="7"/>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row>
    <row r="803" spans="1:47" ht="12.5" x14ac:dyDescent="0.25">
      <c r="A803" s="5"/>
      <c r="B803" s="5"/>
      <c r="C803" s="5"/>
      <c r="D803" s="5"/>
      <c r="E803" s="5"/>
      <c r="F803" s="7"/>
      <c r="G803" s="5"/>
      <c r="H803" s="7"/>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row>
    <row r="804" spans="1:47" ht="12.5" x14ac:dyDescent="0.25">
      <c r="A804" s="5"/>
      <c r="B804" s="5"/>
      <c r="C804" s="5"/>
      <c r="D804" s="5"/>
      <c r="E804" s="5"/>
      <c r="F804" s="7"/>
      <c r="G804" s="5"/>
      <c r="H804" s="7"/>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row>
    <row r="805" spans="1:47" ht="12.5" x14ac:dyDescent="0.25">
      <c r="A805" s="5"/>
      <c r="B805" s="5"/>
      <c r="C805" s="5"/>
      <c r="D805" s="5"/>
      <c r="E805" s="5"/>
      <c r="F805" s="7"/>
      <c r="G805" s="5"/>
      <c r="H805" s="7"/>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row>
    <row r="806" spans="1:47" ht="12.5" x14ac:dyDescent="0.25">
      <c r="A806" s="5"/>
      <c r="B806" s="5"/>
      <c r="C806" s="5"/>
      <c r="D806" s="5"/>
      <c r="E806" s="5"/>
      <c r="F806" s="7"/>
      <c r="G806" s="5"/>
      <c r="H806" s="7"/>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row>
    <row r="807" spans="1:47" ht="12.5" x14ac:dyDescent="0.25">
      <c r="A807" s="5"/>
      <c r="B807" s="5"/>
      <c r="C807" s="5"/>
      <c r="D807" s="5"/>
      <c r="E807" s="5"/>
      <c r="F807" s="7"/>
      <c r="G807" s="5"/>
      <c r="H807" s="7"/>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row>
    <row r="808" spans="1:47" ht="12.5" x14ac:dyDescent="0.25">
      <c r="A808" s="5"/>
      <c r="B808" s="5"/>
      <c r="C808" s="5"/>
      <c r="D808" s="5"/>
      <c r="E808" s="5"/>
      <c r="F808" s="7"/>
      <c r="G808" s="5"/>
      <c r="H808" s="7"/>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row>
    <row r="809" spans="1:47" ht="12.5" x14ac:dyDescent="0.25">
      <c r="A809" s="5"/>
      <c r="B809" s="5"/>
      <c r="C809" s="5"/>
      <c r="D809" s="5"/>
      <c r="E809" s="5"/>
      <c r="F809" s="7"/>
      <c r="G809" s="5"/>
      <c r="H809" s="7"/>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row>
    <row r="810" spans="1:47" ht="12.5" x14ac:dyDescent="0.25">
      <c r="A810" s="5"/>
      <c r="B810" s="5"/>
      <c r="C810" s="5"/>
      <c r="D810" s="5"/>
      <c r="E810" s="5"/>
      <c r="F810" s="7"/>
      <c r="G810" s="5"/>
      <c r="H810" s="7"/>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row>
    <row r="811" spans="1:47" ht="12.5" x14ac:dyDescent="0.25">
      <c r="A811" s="5"/>
      <c r="B811" s="5"/>
      <c r="C811" s="5"/>
      <c r="D811" s="5"/>
      <c r="E811" s="5"/>
      <c r="F811" s="7"/>
      <c r="G811" s="5"/>
      <c r="H811" s="7"/>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row>
    <row r="812" spans="1:47" ht="12.5" x14ac:dyDescent="0.25">
      <c r="A812" s="5"/>
      <c r="B812" s="5"/>
      <c r="C812" s="5"/>
      <c r="D812" s="5"/>
      <c r="E812" s="5"/>
      <c r="F812" s="7"/>
      <c r="G812" s="5"/>
      <c r="H812" s="7"/>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row>
    <row r="813" spans="1:47" ht="12.5" x14ac:dyDescent="0.25">
      <c r="A813" s="5"/>
      <c r="B813" s="5"/>
      <c r="C813" s="5"/>
      <c r="D813" s="5"/>
      <c r="E813" s="5"/>
      <c r="F813" s="7"/>
      <c r="G813" s="5"/>
      <c r="H813" s="7"/>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row>
    <row r="814" spans="1:47" ht="12.5" x14ac:dyDescent="0.25">
      <c r="A814" s="5"/>
      <c r="B814" s="5"/>
      <c r="C814" s="5"/>
      <c r="D814" s="5"/>
      <c r="E814" s="5"/>
      <c r="F814" s="7"/>
      <c r="G814" s="5"/>
      <c r="H814" s="7"/>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row>
    <row r="815" spans="1:47" ht="12.5" x14ac:dyDescent="0.25">
      <c r="A815" s="5"/>
      <c r="B815" s="5"/>
      <c r="C815" s="5"/>
      <c r="D815" s="5"/>
      <c r="E815" s="5"/>
      <c r="F815" s="7"/>
      <c r="G815" s="5"/>
      <c r="H815" s="7"/>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row>
    <row r="816" spans="1:47" ht="12.5" x14ac:dyDescent="0.25">
      <c r="A816" s="5"/>
      <c r="B816" s="5"/>
      <c r="C816" s="5"/>
      <c r="D816" s="5"/>
      <c r="E816" s="5"/>
      <c r="F816" s="7"/>
      <c r="G816" s="5"/>
      <c r="H816" s="7"/>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row>
    <row r="817" spans="1:48" ht="12.5" x14ac:dyDescent="0.25">
      <c r="A817" s="5"/>
      <c r="B817" s="5"/>
      <c r="C817" s="5"/>
      <c r="D817" s="5"/>
      <c r="E817" s="5"/>
      <c r="F817" s="7"/>
      <c r="G817" s="5"/>
      <c r="H817" s="7"/>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row>
    <row r="818" spans="1:48" ht="12.5" x14ac:dyDescent="0.25">
      <c r="A818" s="5"/>
      <c r="B818" s="5"/>
      <c r="C818" s="5"/>
      <c r="D818" s="5"/>
      <c r="E818" s="5"/>
      <c r="F818" s="7"/>
      <c r="G818" s="5"/>
      <c r="H818" s="7"/>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row>
    <row r="819" spans="1:48" ht="12.5" x14ac:dyDescent="0.25">
      <c r="A819" s="5"/>
      <c r="B819" s="5"/>
      <c r="C819" s="5"/>
      <c r="D819" s="5"/>
      <c r="E819" s="5"/>
      <c r="F819" s="7"/>
      <c r="G819" s="5"/>
      <c r="H819" s="7"/>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row>
    <row r="820" spans="1:48" ht="12.5" x14ac:dyDescent="0.25">
      <c r="A820" s="5"/>
      <c r="B820" s="5"/>
      <c r="C820" s="5"/>
      <c r="D820" s="5"/>
      <c r="E820" s="5"/>
      <c r="F820" s="7"/>
      <c r="G820" s="5"/>
      <c r="H820" s="7"/>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row>
    <row r="821" spans="1:48" ht="12.5" x14ac:dyDescent="0.25">
      <c r="A821" s="5"/>
      <c r="B821" s="5"/>
      <c r="C821" s="5"/>
      <c r="D821" s="5"/>
      <c r="E821" s="5"/>
      <c r="F821" s="7"/>
      <c r="G821" s="5"/>
      <c r="H821" s="7"/>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row>
    <row r="822" spans="1:48" ht="12.5" x14ac:dyDescent="0.25">
      <c r="A822" s="5"/>
      <c r="B822" s="5"/>
      <c r="C822" s="5"/>
      <c r="D822" s="5"/>
      <c r="E822" s="5"/>
      <c r="F822" s="7"/>
      <c r="G822" s="5"/>
      <c r="H822" s="7"/>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row>
    <row r="823" spans="1:48" ht="12.5" x14ac:dyDescent="0.25">
      <c r="A823" s="5"/>
      <c r="B823" s="5"/>
      <c r="C823" s="5"/>
      <c r="D823" s="5"/>
      <c r="E823" s="5"/>
      <c r="F823" s="7"/>
      <c r="G823" s="5"/>
      <c r="H823" s="7"/>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row>
    <row r="824" spans="1:48" ht="12.5" x14ac:dyDescent="0.25">
      <c r="A824" s="5"/>
      <c r="B824" s="5"/>
      <c r="C824" s="5"/>
      <c r="D824" s="5"/>
      <c r="E824" s="5"/>
      <c r="F824" s="7"/>
      <c r="G824" s="5"/>
      <c r="H824" s="7"/>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row>
    <row r="825" spans="1:48" ht="12.5" x14ac:dyDescent="0.25">
      <c r="A825" s="5"/>
      <c r="B825" s="5"/>
      <c r="C825" s="5"/>
      <c r="D825" s="5"/>
      <c r="E825" s="5"/>
      <c r="F825" s="7"/>
      <c r="G825" s="5"/>
      <c r="H825" s="7"/>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row>
    <row r="826" spans="1:48" ht="12.5" x14ac:dyDescent="0.25">
      <c r="A826" s="5"/>
      <c r="B826" s="5"/>
      <c r="C826" s="5"/>
      <c r="D826" s="5"/>
      <c r="E826" s="5"/>
      <c r="F826" s="7"/>
      <c r="G826" s="5"/>
      <c r="H826" s="7"/>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row>
    <row r="827" spans="1:48" ht="12.5" x14ac:dyDescent="0.25">
      <c r="A827" s="5"/>
      <c r="B827" s="5"/>
      <c r="C827" s="5"/>
      <c r="D827" s="5"/>
      <c r="E827" s="5"/>
      <c r="F827" s="7"/>
      <c r="G827" s="5"/>
      <c r="H827" s="7"/>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row>
    <row r="828" spans="1:48" ht="12.5" x14ac:dyDescent="0.25">
      <c r="A828" s="5"/>
      <c r="B828" s="5"/>
      <c r="C828" s="5"/>
      <c r="D828" s="5"/>
      <c r="E828" s="5"/>
      <c r="F828" s="7"/>
      <c r="G828" s="5"/>
      <c r="H828" s="7"/>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row>
    <row r="829" spans="1:48" ht="12.5" x14ac:dyDescent="0.25">
      <c r="A829" s="5"/>
      <c r="B829" s="5"/>
      <c r="C829" s="5"/>
      <c r="D829" s="5"/>
      <c r="E829" s="5"/>
      <c r="F829" s="7"/>
      <c r="G829" s="5"/>
      <c r="H829" s="7"/>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row>
    <row r="830" spans="1:48" ht="12.5" x14ac:dyDescent="0.25">
      <c r="A830" s="5"/>
      <c r="B830" s="5"/>
      <c r="C830" s="5"/>
      <c r="D830" s="5"/>
      <c r="E830" s="5"/>
      <c r="F830" s="7"/>
      <c r="G830" s="5"/>
      <c r="H830" s="7"/>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row>
    <row r="831" spans="1:48" ht="12.5" x14ac:dyDescent="0.25">
      <c r="A831" s="5"/>
      <c r="B831" s="5"/>
      <c r="C831" s="5"/>
      <c r="D831" s="5"/>
      <c r="E831" s="5"/>
      <c r="F831" s="7"/>
      <c r="G831" s="5"/>
      <c r="H831" s="7"/>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row>
    <row r="832" spans="1:48" ht="12.5" x14ac:dyDescent="0.25">
      <c r="A832" s="5"/>
      <c r="B832" s="5"/>
      <c r="C832" s="5"/>
      <c r="D832" s="5"/>
      <c r="E832" s="5"/>
      <c r="F832" s="7"/>
      <c r="G832" s="5"/>
      <c r="H832" s="7"/>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row>
    <row r="833" spans="1:48" ht="12.5" x14ac:dyDescent="0.25">
      <c r="A833" s="5"/>
      <c r="B833" s="5"/>
      <c r="C833" s="5"/>
      <c r="D833" s="5"/>
      <c r="E833" s="5"/>
      <c r="F833" s="7"/>
      <c r="G833" s="5"/>
      <c r="H833" s="7"/>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row>
    <row r="834" spans="1:48" ht="12.5" x14ac:dyDescent="0.25">
      <c r="A834" s="5"/>
      <c r="B834" s="5"/>
      <c r="C834" s="5"/>
      <c r="D834" s="5"/>
      <c r="E834" s="5"/>
      <c r="F834" s="7"/>
      <c r="G834" s="5"/>
      <c r="H834" s="7"/>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row>
    <row r="835" spans="1:48" ht="12.5" x14ac:dyDescent="0.25">
      <c r="A835" s="5"/>
      <c r="B835" s="5"/>
      <c r="C835" s="5"/>
      <c r="D835" s="5"/>
      <c r="E835" s="5"/>
      <c r="F835" s="7"/>
      <c r="G835" s="5"/>
      <c r="H835" s="7"/>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row>
    <row r="836" spans="1:48" ht="12.5" x14ac:dyDescent="0.25">
      <c r="A836" s="5"/>
      <c r="B836" s="5"/>
      <c r="C836" s="5"/>
      <c r="D836" s="5"/>
      <c r="E836" s="5"/>
      <c r="F836" s="7"/>
      <c r="G836" s="5"/>
      <c r="H836" s="7"/>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row>
    <row r="837" spans="1:48" ht="12.5" x14ac:dyDescent="0.25">
      <c r="A837" s="5"/>
      <c r="B837" s="5"/>
      <c r="C837" s="5"/>
      <c r="D837" s="5"/>
      <c r="E837" s="5"/>
      <c r="F837" s="7"/>
      <c r="G837" s="5"/>
      <c r="H837" s="7"/>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row>
    <row r="838" spans="1:48" ht="12.5" x14ac:dyDescent="0.25">
      <c r="A838" s="5"/>
      <c r="B838" s="5"/>
      <c r="C838" s="5"/>
      <c r="D838" s="5"/>
      <c r="E838" s="5"/>
      <c r="F838" s="7"/>
      <c r="G838" s="5"/>
      <c r="H838" s="7"/>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row>
    <row r="839" spans="1:48" ht="12.5" x14ac:dyDescent="0.25">
      <c r="A839" s="5"/>
      <c r="B839" s="5"/>
      <c r="C839" s="5"/>
      <c r="D839" s="5"/>
      <c r="E839" s="5"/>
      <c r="F839" s="7"/>
      <c r="G839" s="5"/>
      <c r="H839" s="7"/>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row>
    <row r="840" spans="1:48" ht="12.5" x14ac:dyDescent="0.25">
      <c r="A840" s="5"/>
      <c r="B840" s="5"/>
      <c r="C840" s="5"/>
      <c r="D840" s="5"/>
      <c r="E840" s="5"/>
      <c r="F840" s="7"/>
      <c r="G840" s="5"/>
      <c r="H840" s="7"/>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row>
    <row r="841" spans="1:48" ht="12.5" x14ac:dyDescent="0.25">
      <c r="A841" s="5"/>
      <c r="B841" s="5"/>
      <c r="C841" s="5"/>
      <c r="D841" s="5"/>
      <c r="E841" s="5"/>
      <c r="F841" s="7"/>
      <c r="G841" s="5"/>
      <c r="H841" s="7"/>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row>
    <row r="842" spans="1:48" ht="12.5" x14ac:dyDescent="0.25">
      <c r="A842" s="5"/>
      <c r="B842" s="5"/>
      <c r="C842" s="5"/>
      <c r="D842" s="5"/>
      <c r="E842" s="5"/>
      <c r="F842" s="7"/>
      <c r="G842" s="5"/>
      <c r="H842" s="7"/>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row>
    <row r="843" spans="1:48" ht="12.5" x14ac:dyDescent="0.25">
      <c r="A843" s="5"/>
      <c r="B843" s="5"/>
      <c r="C843" s="5"/>
      <c r="D843" s="5"/>
      <c r="E843" s="5"/>
      <c r="F843" s="7"/>
      <c r="G843" s="5"/>
      <c r="H843" s="7"/>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row>
    <row r="844" spans="1:48" ht="12.5" x14ac:dyDescent="0.25">
      <c r="A844" s="5"/>
      <c r="B844" s="5"/>
      <c r="C844" s="5"/>
      <c r="D844" s="5"/>
      <c r="E844" s="5"/>
      <c r="F844" s="7"/>
      <c r="G844" s="5"/>
      <c r="H844" s="7"/>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row>
    <row r="845" spans="1:48" ht="12.5" x14ac:dyDescent="0.25">
      <c r="A845" s="5"/>
      <c r="B845" s="5"/>
      <c r="C845" s="5"/>
      <c r="D845" s="5"/>
      <c r="E845" s="5"/>
      <c r="F845" s="7"/>
      <c r="G845" s="5"/>
      <c r="H845" s="7"/>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row>
    <row r="846" spans="1:48" ht="12.5" x14ac:dyDescent="0.25">
      <c r="A846" s="5"/>
      <c r="B846" s="5"/>
      <c r="C846" s="5"/>
      <c r="D846" s="5"/>
      <c r="E846" s="5"/>
      <c r="F846" s="7"/>
      <c r="G846" s="5"/>
      <c r="H846" s="7"/>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row>
    <row r="847" spans="1:48" ht="12.5" x14ac:dyDescent="0.25">
      <c r="A847" s="5"/>
      <c r="B847" s="5"/>
      <c r="C847" s="5"/>
      <c r="D847" s="5"/>
      <c r="E847" s="5"/>
      <c r="F847" s="7"/>
      <c r="G847" s="5"/>
      <c r="H847" s="7"/>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row>
    <row r="848" spans="1:48" ht="12.5" x14ac:dyDescent="0.25">
      <c r="A848" s="5"/>
      <c r="B848" s="5"/>
      <c r="C848" s="5"/>
      <c r="D848" s="5"/>
      <c r="E848" s="5"/>
      <c r="F848" s="7"/>
      <c r="G848" s="5"/>
      <c r="H848" s="7"/>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row>
    <row r="849" spans="1:48" ht="12.5" x14ac:dyDescent="0.25">
      <c r="A849" s="5"/>
      <c r="B849" s="5"/>
      <c r="C849" s="5"/>
      <c r="D849" s="5"/>
      <c r="E849" s="5"/>
      <c r="F849" s="7"/>
      <c r="G849" s="5"/>
      <c r="H849" s="7"/>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row>
    <row r="850" spans="1:48" ht="12.5" x14ac:dyDescent="0.25">
      <c r="A850" s="5"/>
      <c r="B850" s="5"/>
      <c r="C850" s="5"/>
      <c r="D850" s="5"/>
      <c r="E850" s="5"/>
      <c r="F850" s="7"/>
      <c r="G850" s="5"/>
      <c r="H850" s="7"/>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row>
    <row r="851" spans="1:48" ht="12.5" x14ac:dyDescent="0.25">
      <c r="A851" s="5"/>
      <c r="B851" s="5"/>
      <c r="C851" s="5"/>
      <c r="D851" s="5"/>
      <c r="E851" s="5"/>
      <c r="F851" s="7"/>
      <c r="G851" s="5"/>
      <c r="H851" s="7"/>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row>
    <row r="852" spans="1:48" ht="12.5" x14ac:dyDescent="0.25">
      <c r="A852" s="5"/>
      <c r="B852" s="5"/>
      <c r="C852" s="5"/>
      <c r="D852" s="5"/>
      <c r="E852" s="5"/>
      <c r="F852" s="7"/>
      <c r="G852" s="5"/>
      <c r="H852" s="7"/>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row>
    <row r="853" spans="1:48" ht="12.5" x14ac:dyDescent="0.25">
      <c r="A853" s="5"/>
      <c r="B853" s="5"/>
      <c r="C853" s="5"/>
      <c r="D853" s="5"/>
      <c r="E853" s="5"/>
      <c r="F853" s="7"/>
      <c r="G853" s="5"/>
      <c r="H853" s="7"/>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row>
    <row r="854" spans="1:48" ht="12.5" x14ac:dyDescent="0.25">
      <c r="A854" s="5"/>
      <c r="B854" s="5"/>
      <c r="C854" s="5"/>
      <c r="D854" s="5"/>
      <c r="E854" s="5"/>
      <c r="F854" s="7"/>
      <c r="G854" s="5"/>
      <c r="H854" s="7"/>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row>
    <row r="855" spans="1:48" ht="12.5" x14ac:dyDescent="0.25">
      <c r="A855" s="5"/>
      <c r="B855" s="5"/>
      <c r="C855" s="5"/>
      <c r="D855" s="5"/>
      <c r="E855" s="5"/>
      <c r="F855" s="7"/>
      <c r="G855" s="5"/>
      <c r="H855" s="7"/>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row>
    <row r="856" spans="1:48" ht="12.5" x14ac:dyDescent="0.25">
      <c r="A856" s="5"/>
      <c r="B856" s="5"/>
      <c r="C856" s="5"/>
      <c r="D856" s="5"/>
      <c r="E856" s="5"/>
      <c r="F856" s="7"/>
      <c r="G856" s="5"/>
      <c r="H856" s="7"/>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row>
    <row r="857" spans="1:48" ht="12.5" x14ac:dyDescent="0.25">
      <c r="A857" s="5"/>
      <c r="B857" s="5"/>
      <c r="C857" s="5"/>
      <c r="D857" s="5"/>
      <c r="E857" s="5"/>
      <c r="F857" s="7"/>
      <c r="G857" s="5"/>
      <c r="H857" s="7"/>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row>
    <row r="858" spans="1:48" ht="12.5" x14ac:dyDescent="0.25">
      <c r="A858" s="5"/>
      <c r="B858" s="5"/>
      <c r="C858" s="5"/>
      <c r="D858" s="5"/>
      <c r="E858" s="5"/>
      <c r="F858" s="7"/>
      <c r="G858" s="5"/>
      <c r="H858" s="7"/>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row>
    <row r="859" spans="1:48" ht="12.5" x14ac:dyDescent="0.25">
      <c r="A859" s="5"/>
      <c r="B859" s="5"/>
      <c r="C859" s="5"/>
      <c r="D859" s="5"/>
      <c r="E859" s="5"/>
      <c r="F859" s="7"/>
      <c r="G859" s="5"/>
      <c r="H859" s="7"/>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row>
    <row r="860" spans="1:48" ht="12.5" x14ac:dyDescent="0.25">
      <c r="A860" s="5"/>
      <c r="B860" s="5"/>
      <c r="C860" s="5"/>
      <c r="D860" s="5"/>
      <c r="E860" s="5"/>
      <c r="F860" s="7"/>
      <c r="G860" s="5"/>
      <c r="H860" s="7"/>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row>
    <row r="861" spans="1:48" ht="12.5" x14ac:dyDescent="0.25">
      <c r="A861" s="5"/>
      <c r="B861" s="5"/>
      <c r="C861" s="5"/>
      <c r="D861" s="5"/>
      <c r="E861" s="5"/>
      <c r="F861" s="7"/>
      <c r="G861" s="5"/>
      <c r="H861" s="7"/>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row>
    <row r="862" spans="1:48" ht="12.5" x14ac:dyDescent="0.25">
      <c r="A862" s="5"/>
      <c r="B862" s="5"/>
      <c r="C862" s="5"/>
      <c r="D862" s="5"/>
      <c r="E862" s="5"/>
      <c r="F862" s="7"/>
      <c r="G862" s="5"/>
      <c r="H862" s="7"/>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row>
    <row r="863" spans="1:48" ht="12.5" x14ac:dyDescent="0.25">
      <c r="A863" s="5"/>
      <c r="B863" s="5"/>
      <c r="C863" s="5"/>
      <c r="D863" s="5"/>
      <c r="E863" s="5"/>
      <c r="F863" s="7"/>
      <c r="G863" s="5"/>
      <c r="H863" s="7"/>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row>
    <row r="864" spans="1:48" ht="12.5" x14ac:dyDescent="0.25">
      <c r="A864" s="5"/>
      <c r="B864" s="5"/>
      <c r="C864" s="5"/>
      <c r="D864" s="5"/>
      <c r="E864" s="5"/>
      <c r="F864" s="7"/>
      <c r="G864" s="5"/>
      <c r="H864" s="7"/>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row>
    <row r="865" spans="1:48" ht="12.5" x14ac:dyDescent="0.25">
      <c r="A865" s="5"/>
      <c r="B865" s="5"/>
      <c r="C865" s="5"/>
      <c r="D865" s="5"/>
      <c r="E865" s="5"/>
      <c r="F865" s="7"/>
      <c r="G865" s="5"/>
      <c r="H865" s="7"/>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row>
    <row r="866" spans="1:48" ht="12.5" x14ac:dyDescent="0.25">
      <c r="A866" s="5"/>
      <c r="B866" s="5"/>
      <c r="C866" s="5"/>
      <c r="D866" s="5"/>
      <c r="E866" s="5"/>
      <c r="F866" s="7"/>
      <c r="G866" s="5"/>
      <c r="H866" s="7"/>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row>
    <row r="867" spans="1:48" ht="12.5" x14ac:dyDescent="0.25">
      <c r="A867" s="5"/>
      <c r="B867" s="5"/>
      <c r="C867" s="5"/>
      <c r="D867" s="5"/>
      <c r="E867" s="5"/>
      <c r="F867" s="7"/>
      <c r="G867" s="5"/>
      <c r="H867" s="7"/>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row>
    <row r="868" spans="1:48" ht="12.5" x14ac:dyDescent="0.25">
      <c r="A868" s="5"/>
      <c r="B868" s="5"/>
      <c r="C868" s="5"/>
      <c r="D868" s="5"/>
      <c r="E868" s="5"/>
      <c r="F868" s="7"/>
      <c r="G868" s="5"/>
      <c r="H868" s="7"/>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row>
    <row r="869" spans="1:48" ht="12.5" x14ac:dyDescent="0.25">
      <c r="A869" s="5"/>
      <c r="B869" s="5"/>
      <c r="C869" s="5"/>
      <c r="D869" s="5"/>
      <c r="E869" s="5"/>
      <c r="F869" s="7"/>
      <c r="G869" s="5"/>
      <c r="H869" s="7"/>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row>
    <row r="870" spans="1:48" ht="12.5" x14ac:dyDescent="0.25">
      <c r="A870" s="5"/>
      <c r="B870" s="5"/>
      <c r="C870" s="5"/>
      <c r="D870" s="5"/>
      <c r="E870" s="5"/>
      <c r="F870" s="7"/>
      <c r="G870" s="5"/>
      <c r="H870" s="7"/>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row>
    <row r="871" spans="1:48" ht="12.5" x14ac:dyDescent="0.25">
      <c r="A871" s="5"/>
      <c r="B871" s="5"/>
      <c r="C871" s="5"/>
      <c r="D871" s="5"/>
      <c r="E871" s="5"/>
      <c r="F871" s="7"/>
      <c r="G871" s="5"/>
      <c r="H871" s="7"/>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row>
    <row r="872" spans="1:48" ht="12.5" x14ac:dyDescent="0.25">
      <c r="A872" s="5"/>
      <c r="B872" s="5"/>
      <c r="C872" s="5"/>
      <c r="D872" s="5"/>
      <c r="E872" s="5"/>
      <c r="F872" s="7"/>
      <c r="G872" s="5"/>
      <c r="H872" s="7"/>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row>
    <row r="873" spans="1:48" ht="12.5" x14ac:dyDescent="0.25">
      <c r="A873" s="5"/>
      <c r="B873" s="5"/>
      <c r="C873" s="5"/>
      <c r="D873" s="5"/>
      <c r="E873" s="5"/>
      <c r="F873" s="7"/>
      <c r="G873" s="5"/>
      <c r="H873" s="7"/>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row>
    <row r="874" spans="1:48" ht="12.5" x14ac:dyDescent="0.25">
      <c r="A874" s="5"/>
      <c r="B874" s="5"/>
      <c r="C874" s="5"/>
      <c r="D874" s="5"/>
      <c r="E874" s="5"/>
      <c r="F874" s="7"/>
      <c r="G874" s="5"/>
      <c r="H874" s="7"/>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row>
    <row r="875" spans="1:48" ht="12.5" x14ac:dyDescent="0.25">
      <c r="A875" s="5"/>
      <c r="B875" s="5"/>
      <c r="C875" s="5"/>
      <c r="D875" s="5"/>
      <c r="E875" s="5"/>
      <c r="F875" s="7"/>
      <c r="G875" s="5"/>
      <c r="H875" s="7"/>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row>
    <row r="876" spans="1:48" ht="12.5" x14ac:dyDescent="0.25">
      <c r="A876" s="5"/>
      <c r="B876" s="5"/>
      <c r="C876" s="5"/>
      <c r="D876" s="5"/>
      <c r="E876" s="5"/>
      <c r="F876" s="7"/>
      <c r="G876" s="5"/>
      <c r="H876" s="7"/>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row>
    <row r="877" spans="1:48" ht="12.5" x14ac:dyDescent="0.25">
      <c r="A877" s="5"/>
      <c r="B877" s="5"/>
      <c r="C877" s="5"/>
      <c r="D877" s="5"/>
      <c r="E877" s="5"/>
      <c r="F877" s="7"/>
      <c r="G877" s="5"/>
      <c r="H877" s="7"/>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row>
    <row r="878" spans="1:48" ht="12.5" x14ac:dyDescent="0.25">
      <c r="A878" s="5"/>
      <c r="B878" s="5"/>
      <c r="C878" s="5"/>
      <c r="D878" s="5"/>
      <c r="E878" s="5"/>
      <c r="F878" s="7"/>
      <c r="G878" s="5"/>
      <c r="H878" s="7"/>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row>
    <row r="879" spans="1:48" ht="12.5" x14ac:dyDescent="0.25">
      <c r="A879" s="5"/>
      <c r="B879" s="5"/>
      <c r="C879" s="5"/>
      <c r="D879" s="5"/>
      <c r="E879" s="5"/>
      <c r="F879" s="7"/>
      <c r="G879" s="5"/>
      <c r="H879" s="7"/>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row>
    <row r="880" spans="1:48" ht="12.5" x14ac:dyDescent="0.25">
      <c r="A880" s="5"/>
      <c r="B880" s="5"/>
      <c r="C880" s="5"/>
      <c r="D880" s="5"/>
      <c r="E880" s="5"/>
      <c r="F880" s="7"/>
      <c r="G880" s="5"/>
      <c r="H880" s="7"/>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row>
    <row r="881" spans="1:48" ht="12.5" x14ac:dyDescent="0.25">
      <c r="A881" s="5"/>
      <c r="B881" s="5"/>
      <c r="C881" s="5"/>
      <c r="D881" s="5"/>
      <c r="E881" s="5"/>
      <c r="F881" s="7"/>
      <c r="G881" s="5"/>
      <c r="H881" s="7"/>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row>
    <row r="882" spans="1:48" ht="12.5" x14ac:dyDescent="0.25">
      <c r="A882" s="5"/>
      <c r="B882" s="5"/>
      <c r="C882" s="5"/>
      <c r="D882" s="5"/>
      <c r="E882" s="5"/>
      <c r="F882" s="7"/>
      <c r="G882" s="5"/>
      <c r="H882" s="7"/>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row>
    <row r="883" spans="1:48" ht="12.5" x14ac:dyDescent="0.25">
      <c r="A883" s="5"/>
      <c r="B883" s="5"/>
      <c r="C883" s="5"/>
      <c r="D883" s="5"/>
      <c r="E883" s="5"/>
      <c r="F883" s="7"/>
      <c r="G883" s="5"/>
      <c r="H883" s="7"/>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row>
    <row r="884" spans="1:48" ht="12.5" x14ac:dyDescent="0.25">
      <c r="A884" s="5"/>
      <c r="B884" s="5"/>
      <c r="C884" s="5"/>
      <c r="D884" s="5"/>
      <c r="E884" s="5"/>
      <c r="F884" s="7"/>
      <c r="G884" s="5"/>
      <c r="H884" s="7"/>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row>
    <row r="885" spans="1:48" ht="12.5" x14ac:dyDescent="0.25">
      <c r="A885" s="5"/>
      <c r="B885" s="5"/>
      <c r="C885" s="5"/>
      <c r="D885" s="5"/>
      <c r="E885" s="5"/>
      <c r="F885" s="7"/>
      <c r="G885" s="5"/>
      <c r="H885" s="7"/>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row>
    <row r="886" spans="1:48" ht="12.5" x14ac:dyDescent="0.25">
      <c r="A886" s="5"/>
      <c r="B886" s="5"/>
      <c r="C886" s="5"/>
      <c r="D886" s="5"/>
      <c r="E886" s="5"/>
      <c r="F886" s="7"/>
      <c r="G886" s="5"/>
      <c r="H886" s="7"/>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row>
    <row r="887" spans="1:48" ht="12.5" x14ac:dyDescent="0.25">
      <c r="A887" s="5"/>
      <c r="B887" s="5"/>
      <c r="C887" s="5"/>
      <c r="D887" s="5"/>
      <c r="E887" s="5"/>
      <c r="F887" s="7"/>
      <c r="G887" s="5"/>
      <c r="H887" s="7"/>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row>
    <row r="888" spans="1:48" ht="12.5" x14ac:dyDescent="0.25">
      <c r="A888" s="5"/>
      <c r="B888" s="5"/>
      <c r="C888" s="5"/>
      <c r="D888" s="5"/>
      <c r="E888" s="5"/>
      <c r="F888" s="7"/>
      <c r="G888" s="5"/>
      <c r="H888" s="7"/>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row>
    <row r="889" spans="1:48" ht="12.5" x14ac:dyDescent="0.25">
      <c r="A889" s="5"/>
      <c r="B889" s="5"/>
      <c r="C889" s="5"/>
      <c r="D889" s="5"/>
      <c r="E889" s="5"/>
      <c r="F889" s="7"/>
      <c r="G889" s="5"/>
      <c r="H889" s="7"/>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row>
    <row r="890" spans="1:48" ht="12.5" x14ac:dyDescent="0.25">
      <c r="A890" s="5"/>
      <c r="B890" s="5"/>
      <c r="C890" s="5"/>
      <c r="D890" s="5"/>
      <c r="E890" s="5"/>
      <c r="F890" s="7"/>
      <c r="G890" s="5"/>
      <c r="H890" s="7"/>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row>
    <row r="891" spans="1:48" ht="12.5" x14ac:dyDescent="0.25">
      <c r="A891" s="5"/>
      <c r="B891" s="5"/>
      <c r="C891" s="5"/>
      <c r="D891" s="5"/>
      <c r="E891" s="5"/>
      <c r="F891" s="7"/>
      <c r="G891" s="5"/>
      <c r="H891" s="7"/>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row>
    <row r="892" spans="1:48" ht="12.5" x14ac:dyDescent="0.25">
      <c r="A892" s="5"/>
      <c r="B892" s="5"/>
      <c r="C892" s="5"/>
      <c r="D892" s="5"/>
      <c r="E892" s="5"/>
      <c r="F892" s="7"/>
      <c r="G892" s="5"/>
      <c r="H892" s="7"/>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row>
    <row r="893" spans="1:48" ht="12.5" x14ac:dyDescent="0.25">
      <c r="A893" s="5"/>
      <c r="B893" s="5"/>
      <c r="C893" s="5"/>
      <c r="D893" s="5"/>
      <c r="E893" s="5"/>
      <c r="F893" s="7"/>
      <c r="G893" s="5"/>
      <c r="H893" s="7"/>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row>
    <row r="894" spans="1:48" ht="12.5" x14ac:dyDescent="0.25">
      <c r="A894" s="5"/>
      <c r="B894" s="5"/>
      <c r="C894" s="5"/>
      <c r="D894" s="5"/>
      <c r="E894" s="5"/>
      <c r="F894" s="7"/>
      <c r="G894" s="5"/>
      <c r="H894" s="7"/>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row>
    <row r="895" spans="1:48" ht="12.5" x14ac:dyDescent="0.25">
      <c r="A895" s="5"/>
      <c r="B895" s="5"/>
      <c r="C895" s="5"/>
      <c r="D895" s="5"/>
      <c r="E895" s="5"/>
      <c r="F895" s="7"/>
      <c r="G895" s="5"/>
      <c r="H895" s="7"/>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row>
    <row r="896" spans="1:48" ht="12.5" x14ac:dyDescent="0.25">
      <c r="A896" s="5"/>
      <c r="B896" s="5"/>
      <c r="C896" s="5"/>
      <c r="D896" s="5"/>
      <c r="E896" s="5"/>
      <c r="F896" s="7"/>
      <c r="G896" s="5"/>
      <c r="H896" s="7"/>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row>
    <row r="897" spans="1:48" ht="12.5" x14ac:dyDescent="0.25">
      <c r="A897" s="5"/>
      <c r="B897" s="5"/>
      <c r="C897" s="5"/>
      <c r="D897" s="5"/>
      <c r="E897" s="5"/>
      <c r="F897" s="7"/>
      <c r="G897" s="5"/>
      <c r="H897" s="7"/>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row>
    <row r="898" spans="1:48" ht="12.5" x14ac:dyDescent="0.25">
      <c r="A898" s="5"/>
      <c r="B898" s="5"/>
      <c r="C898" s="5"/>
      <c r="D898" s="5"/>
      <c r="E898" s="5"/>
      <c r="F898" s="7"/>
      <c r="G898" s="5"/>
      <c r="H898" s="7"/>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row>
    <row r="899" spans="1:48" ht="12.5" x14ac:dyDescent="0.25">
      <c r="A899" s="5"/>
      <c r="B899" s="5"/>
      <c r="C899" s="5"/>
      <c r="D899" s="5"/>
      <c r="E899" s="5"/>
      <c r="F899" s="7"/>
      <c r="G899" s="5"/>
      <c r="H899" s="7"/>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row>
    <row r="900" spans="1:48" ht="12.5" x14ac:dyDescent="0.25">
      <c r="A900" s="5"/>
      <c r="B900" s="5"/>
      <c r="C900" s="5"/>
      <c r="D900" s="5"/>
      <c r="E900" s="5"/>
      <c r="F900" s="7"/>
      <c r="G900" s="5"/>
      <c r="H900" s="7"/>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row>
    <row r="901" spans="1:48" ht="12.5" x14ac:dyDescent="0.25">
      <c r="A901" s="5"/>
      <c r="B901" s="5"/>
      <c r="C901" s="5"/>
      <c r="D901" s="5"/>
      <c r="E901" s="5"/>
      <c r="F901" s="7"/>
      <c r="G901" s="5"/>
      <c r="H901" s="7"/>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row>
    <row r="902" spans="1:48" ht="12.5" x14ac:dyDescent="0.25">
      <c r="A902" s="5"/>
      <c r="B902" s="5"/>
      <c r="C902" s="5"/>
      <c r="D902" s="5"/>
      <c r="E902" s="5"/>
      <c r="F902" s="7"/>
      <c r="G902" s="5"/>
      <c r="H902" s="7"/>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row>
    <row r="903" spans="1:48" ht="12.5" x14ac:dyDescent="0.25">
      <c r="A903" s="5"/>
      <c r="B903" s="5"/>
      <c r="C903" s="5"/>
      <c r="D903" s="5"/>
      <c r="E903" s="5"/>
      <c r="F903" s="7"/>
      <c r="G903" s="5"/>
      <c r="H903" s="7"/>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row>
    <row r="904" spans="1:48" ht="12.5" x14ac:dyDescent="0.25">
      <c r="A904" s="5"/>
      <c r="B904" s="5"/>
      <c r="C904" s="5"/>
      <c r="D904" s="5"/>
      <c r="E904" s="5"/>
      <c r="F904" s="7"/>
      <c r="G904" s="5"/>
      <c r="H904" s="7"/>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row>
    <row r="905" spans="1:48" ht="12.5" x14ac:dyDescent="0.25">
      <c r="A905" s="5"/>
      <c r="B905" s="5"/>
      <c r="C905" s="5"/>
      <c r="D905" s="5"/>
      <c r="E905" s="5"/>
      <c r="F905" s="7"/>
      <c r="G905" s="5"/>
      <c r="H905" s="7"/>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row>
    <row r="906" spans="1:48" ht="12.5" x14ac:dyDescent="0.25">
      <c r="A906" s="5"/>
      <c r="B906" s="5"/>
      <c r="C906" s="5"/>
      <c r="D906" s="5"/>
      <c r="E906" s="5"/>
      <c r="F906" s="7"/>
      <c r="G906" s="5"/>
      <c r="H906" s="7"/>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row>
    <row r="907" spans="1:48" ht="12.5" x14ac:dyDescent="0.25">
      <c r="A907" s="5"/>
      <c r="B907" s="5"/>
      <c r="C907" s="5"/>
      <c r="D907" s="5"/>
      <c r="E907" s="5"/>
      <c r="F907" s="7"/>
      <c r="G907" s="5"/>
      <c r="H907" s="7"/>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row>
    <row r="908" spans="1:48" ht="12.5" x14ac:dyDescent="0.25">
      <c r="A908" s="5"/>
      <c r="B908" s="5"/>
      <c r="C908" s="5"/>
      <c r="D908" s="5"/>
      <c r="E908" s="5"/>
      <c r="F908" s="7"/>
      <c r="G908" s="5"/>
      <c r="H908" s="7"/>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row>
    <row r="909" spans="1:48" ht="12.5" x14ac:dyDescent="0.25">
      <c r="A909" s="5"/>
      <c r="B909" s="5"/>
      <c r="C909" s="5"/>
      <c r="D909" s="5"/>
      <c r="E909" s="5"/>
      <c r="F909" s="7"/>
      <c r="G909" s="5"/>
      <c r="H909" s="7"/>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row>
    <row r="910" spans="1:48" ht="12.5" x14ac:dyDescent="0.25">
      <c r="A910" s="5"/>
      <c r="B910" s="5"/>
      <c r="C910" s="5"/>
      <c r="D910" s="5"/>
      <c r="E910" s="5"/>
      <c r="F910" s="7"/>
      <c r="G910" s="5"/>
      <c r="H910" s="7"/>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row>
    <row r="911" spans="1:48" ht="12.5" x14ac:dyDescent="0.25">
      <c r="A911" s="5"/>
      <c r="B911" s="5"/>
      <c r="C911" s="5"/>
      <c r="D911" s="5"/>
      <c r="E911" s="5"/>
      <c r="F911" s="7"/>
      <c r="G911" s="5"/>
      <c r="H911" s="7"/>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row>
    <row r="912" spans="1:48" ht="12.5" x14ac:dyDescent="0.25">
      <c r="A912" s="5"/>
      <c r="B912" s="5"/>
      <c r="C912" s="5"/>
      <c r="D912" s="5"/>
      <c r="E912" s="5"/>
      <c r="F912" s="7"/>
      <c r="G912" s="5"/>
      <c r="H912" s="7"/>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row>
    <row r="913" spans="1:48" ht="12.5" x14ac:dyDescent="0.25">
      <c r="A913" s="5"/>
      <c r="B913" s="5"/>
      <c r="C913" s="5"/>
      <c r="D913" s="5"/>
      <c r="E913" s="5"/>
      <c r="F913" s="7"/>
      <c r="G913" s="5"/>
      <c r="H913" s="7"/>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row>
    <row r="914" spans="1:48" ht="12.5" x14ac:dyDescent="0.25">
      <c r="A914" s="5"/>
      <c r="B914" s="5"/>
      <c r="C914" s="5"/>
      <c r="D914" s="5"/>
      <c r="E914" s="5"/>
      <c r="F914" s="7"/>
      <c r="G914" s="5"/>
      <c r="H914" s="7"/>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row>
    <row r="915" spans="1:48" ht="12.5" x14ac:dyDescent="0.25">
      <c r="A915" s="5"/>
      <c r="B915" s="5"/>
      <c r="C915" s="5"/>
      <c r="D915" s="5"/>
      <c r="E915" s="5"/>
      <c r="F915" s="7"/>
      <c r="G915" s="5"/>
      <c r="H915" s="7"/>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row>
    <row r="916" spans="1:48" ht="12.5" x14ac:dyDescent="0.25">
      <c r="A916" s="5"/>
      <c r="B916" s="5"/>
      <c r="C916" s="5"/>
      <c r="D916" s="5"/>
      <c r="E916" s="5"/>
      <c r="F916" s="7"/>
      <c r="G916" s="5"/>
      <c r="H916" s="7"/>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row>
    <row r="917" spans="1:48" ht="12.5" x14ac:dyDescent="0.25">
      <c r="A917" s="5"/>
      <c r="B917" s="5"/>
      <c r="C917" s="5"/>
      <c r="D917" s="5"/>
      <c r="E917" s="5"/>
      <c r="F917" s="7"/>
      <c r="G917" s="5"/>
      <c r="H917" s="7"/>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row>
    <row r="918" spans="1:48" ht="12.5" x14ac:dyDescent="0.25">
      <c r="A918" s="5"/>
      <c r="B918" s="5"/>
      <c r="C918" s="5"/>
      <c r="D918" s="5"/>
      <c r="E918" s="5"/>
      <c r="F918" s="7"/>
      <c r="G918" s="5"/>
      <c r="H918" s="7"/>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row>
    <row r="919" spans="1:48" ht="12.5" x14ac:dyDescent="0.25">
      <c r="A919" s="5"/>
      <c r="B919" s="5"/>
      <c r="C919" s="5"/>
      <c r="D919" s="5"/>
      <c r="E919" s="5"/>
      <c r="F919" s="7"/>
      <c r="G919" s="5"/>
      <c r="H919" s="7"/>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row>
    <row r="920" spans="1:48" ht="12.5" x14ac:dyDescent="0.25">
      <c r="A920" s="5"/>
      <c r="B920" s="5"/>
      <c r="C920" s="5"/>
      <c r="D920" s="5"/>
      <c r="E920" s="5"/>
      <c r="F920" s="7"/>
      <c r="G920" s="5"/>
      <c r="H920" s="7"/>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row>
    <row r="921" spans="1:48" ht="12.5" x14ac:dyDescent="0.25">
      <c r="A921" s="5"/>
      <c r="B921" s="5"/>
      <c r="C921" s="5"/>
      <c r="D921" s="5"/>
      <c r="E921" s="5"/>
      <c r="F921" s="7"/>
      <c r="G921" s="5"/>
      <c r="H921" s="7"/>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row>
    <row r="922" spans="1:48" ht="12.5" x14ac:dyDescent="0.25">
      <c r="A922" s="5"/>
      <c r="B922" s="5"/>
      <c r="C922" s="5"/>
      <c r="D922" s="5"/>
      <c r="E922" s="5"/>
      <c r="F922" s="7"/>
      <c r="G922" s="5"/>
      <c r="H922" s="7"/>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row>
    <row r="923" spans="1:48" ht="12.5" x14ac:dyDescent="0.25">
      <c r="A923" s="5"/>
      <c r="B923" s="5"/>
      <c r="C923" s="5"/>
      <c r="D923" s="5"/>
      <c r="E923" s="5"/>
      <c r="F923" s="7"/>
      <c r="G923" s="5"/>
      <c r="H923" s="7"/>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row>
    <row r="924" spans="1:48" ht="12.5" x14ac:dyDescent="0.25">
      <c r="A924" s="5"/>
      <c r="B924" s="5"/>
      <c r="C924" s="5"/>
      <c r="D924" s="5"/>
      <c r="E924" s="5"/>
      <c r="F924" s="7"/>
      <c r="G924" s="5"/>
      <c r="H924" s="7"/>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row>
    <row r="925" spans="1:48" ht="12.5" x14ac:dyDescent="0.25">
      <c r="A925" s="5"/>
      <c r="B925" s="5"/>
      <c r="C925" s="5"/>
      <c r="D925" s="5"/>
      <c r="E925" s="5"/>
      <c r="F925" s="7"/>
      <c r="G925" s="5"/>
      <c r="H925" s="7"/>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row>
    <row r="926" spans="1:48" ht="12.5" x14ac:dyDescent="0.25">
      <c r="A926" s="5"/>
      <c r="B926" s="5"/>
      <c r="C926" s="5"/>
      <c r="D926" s="5"/>
      <c r="E926" s="5"/>
      <c r="F926" s="7"/>
      <c r="G926" s="5"/>
      <c r="H926" s="7"/>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row>
    <row r="927" spans="1:48" ht="12.5" x14ac:dyDescent="0.25">
      <c r="A927" s="5"/>
      <c r="B927" s="5"/>
      <c r="C927" s="5"/>
      <c r="D927" s="5"/>
      <c r="E927" s="5"/>
      <c r="F927" s="7"/>
      <c r="G927" s="5"/>
      <c r="H927" s="7"/>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row>
    <row r="928" spans="1:48" ht="12.5" x14ac:dyDescent="0.25">
      <c r="A928" s="5"/>
      <c r="B928" s="5"/>
      <c r="C928" s="5"/>
      <c r="D928" s="5"/>
      <c r="E928" s="5"/>
      <c r="F928" s="7"/>
      <c r="G928" s="5"/>
      <c r="H928" s="7"/>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row>
    <row r="929" spans="1:48" ht="12.5" x14ac:dyDescent="0.25">
      <c r="A929" s="5"/>
      <c r="B929" s="5"/>
      <c r="C929" s="5"/>
      <c r="D929" s="5"/>
      <c r="E929" s="5"/>
      <c r="F929" s="7"/>
      <c r="G929" s="5"/>
      <c r="H929" s="7"/>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row>
    <row r="930" spans="1:48" ht="12.5" x14ac:dyDescent="0.25">
      <c r="A930" s="5"/>
      <c r="B930" s="5"/>
      <c r="C930" s="5"/>
      <c r="D930" s="5"/>
      <c r="E930" s="5"/>
      <c r="F930" s="7"/>
      <c r="G930" s="5"/>
      <c r="H930" s="7"/>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row>
    <row r="931" spans="1:48" ht="12.5" x14ac:dyDescent="0.25">
      <c r="A931" s="5"/>
      <c r="B931" s="5"/>
      <c r="C931" s="5"/>
      <c r="D931" s="5"/>
      <c r="E931" s="5"/>
      <c r="F931" s="7"/>
      <c r="G931" s="5"/>
      <c r="H931" s="7"/>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row>
    <row r="932" spans="1:48" ht="12.5" x14ac:dyDescent="0.25">
      <c r="A932" s="5"/>
      <c r="B932" s="5"/>
      <c r="C932" s="5"/>
      <c r="D932" s="5"/>
      <c r="E932" s="5"/>
      <c r="F932" s="7"/>
      <c r="G932" s="5"/>
      <c r="H932" s="7"/>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row>
    <row r="933" spans="1:48" ht="12.5" x14ac:dyDescent="0.25">
      <c r="A933" s="5"/>
      <c r="B933" s="5"/>
      <c r="C933" s="5"/>
      <c r="D933" s="5"/>
      <c r="E933" s="5"/>
      <c r="F933" s="7"/>
      <c r="G933" s="5"/>
      <c r="H933" s="7"/>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row>
    <row r="934" spans="1:48" ht="12.5" x14ac:dyDescent="0.25">
      <c r="A934" s="5"/>
      <c r="B934" s="5"/>
      <c r="C934" s="5"/>
      <c r="D934" s="5"/>
      <c r="E934" s="5"/>
      <c r="F934" s="7"/>
      <c r="G934" s="5"/>
      <c r="H934" s="7"/>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row>
    <row r="935" spans="1:48" ht="12.5" x14ac:dyDescent="0.25">
      <c r="A935" s="5"/>
      <c r="B935" s="5"/>
      <c r="C935" s="5"/>
      <c r="D935" s="5"/>
      <c r="E935" s="5"/>
      <c r="F935" s="7"/>
      <c r="G935" s="5"/>
      <c r="H935" s="7"/>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row>
    <row r="936" spans="1:48" ht="12.5" x14ac:dyDescent="0.25">
      <c r="A936" s="5"/>
      <c r="B936" s="5"/>
      <c r="C936" s="5"/>
      <c r="D936" s="5"/>
      <c r="E936" s="5"/>
      <c r="F936" s="7"/>
      <c r="G936" s="5"/>
      <c r="H936" s="7"/>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row>
    <row r="937" spans="1:48" ht="12.5" x14ac:dyDescent="0.25">
      <c r="A937" s="5"/>
      <c r="B937" s="5"/>
      <c r="C937" s="5"/>
      <c r="D937" s="5"/>
      <c r="E937" s="5"/>
      <c r="F937" s="7"/>
      <c r="G937" s="5"/>
      <c r="H937" s="7"/>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row>
    <row r="938" spans="1:48" ht="12.5" x14ac:dyDescent="0.25">
      <c r="A938" s="5"/>
      <c r="B938" s="5"/>
      <c r="C938" s="5"/>
      <c r="D938" s="5"/>
      <c r="E938" s="5"/>
      <c r="F938" s="7"/>
      <c r="G938" s="5"/>
      <c r="H938" s="7"/>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row>
    <row r="939" spans="1:48" ht="12.5" x14ac:dyDescent="0.25">
      <c r="A939" s="5"/>
      <c r="B939" s="5"/>
      <c r="C939" s="5"/>
      <c r="D939" s="5"/>
      <c r="E939" s="5"/>
      <c r="F939" s="7"/>
      <c r="G939" s="5"/>
      <c r="H939" s="7"/>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row>
    <row r="940" spans="1:48" ht="12.5" x14ac:dyDescent="0.25">
      <c r="A940" s="5"/>
      <c r="B940" s="5"/>
      <c r="C940" s="5"/>
      <c r="D940" s="5"/>
      <c r="E940" s="5"/>
      <c r="F940" s="7"/>
      <c r="G940" s="5"/>
      <c r="H940" s="7"/>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row>
    <row r="941" spans="1:48" ht="12.5" x14ac:dyDescent="0.25">
      <c r="A941" s="5"/>
      <c r="B941" s="5"/>
      <c r="C941" s="5"/>
      <c r="D941" s="5"/>
      <c r="E941" s="5"/>
      <c r="F941" s="7"/>
      <c r="G941" s="5"/>
      <c r="H941" s="7"/>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row>
    <row r="942" spans="1:48" ht="12.5" x14ac:dyDescent="0.25">
      <c r="A942" s="5"/>
      <c r="B942" s="5"/>
      <c r="C942" s="5"/>
      <c r="D942" s="5"/>
      <c r="E942" s="5"/>
      <c r="F942" s="7"/>
      <c r="G942" s="5"/>
      <c r="H942" s="7"/>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row>
    <row r="943" spans="1:48" ht="12.5" x14ac:dyDescent="0.25">
      <c r="A943" s="5"/>
      <c r="B943" s="5"/>
      <c r="C943" s="5"/>
      <c r="D943" s="5"/>
      <c r="E943" s="5"/>
      <c r="F943" s="7"/>
      <c r="G943" s="5"/>
      <c r="H943" s="7"/>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row>
    <row r="944" spans="1:48" ht="12.5" x14ac:dyDescent="0.25">
      <c r="A944" s="5"/>
      <c r="B944" s="5"/>
      <c r="C944" s="5"/>
      <c r="D944" s="5"/>
      <c r="E944" s="5"/>
      <c r="F944" s="7"/>
      <c r="G944" s="5"/>
      <c r="H944" s="7"/>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row>
    <row r="945" spans="1:48" ht="12.5" x14ac:dyDescent="0.25">
      <c r="A945" s="5"/>
      <c r="B945" s="5"/>
      <c r="C945" s="5"/>
      <c r="D945" s="5"/>
      <c r="E945" s="5"/>
      <c r="F945" s="7"/>
      <c r="G945" s="5"/>
      <c r="H945" s="7"/>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row>
    <row r="946" spans="1:48" ht="12.5" x14ac:dyDescent="0.25">
      <c r="A946" s="5"/>
      <c r="B946" s="5"/>
      <c r="C946" s="5"/>
      <c r="D946" s="5"/>
      <c r="E946" s="5"/>
      <c r="F946" s="7"/>
      <c r="G946" s="5"/>
      <c r="H946" s="7"/>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row>
    <row r="947" spans="1:48" ht="12.5" x14ac:dyDescent="0.25">
      <c r="A947" s="5"/>
      <c r="B947" s="5"/>
      <c r="C947" s="5"/>
      <c r="D947" s="5"/>
      <c r="E947" s="5"/>
      <c r="F947" s="7"/>
      <c r="G947" s="5"/>
      <c r="H947" s="7"/>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row>
    <row r="948" spans="1:48" ht="12.5" x14ac:dyDescent="0.25">
      <c r="A948" s="5"/>
      <c r="B948" s="5"/>
      <c r="C948" s="5"/>
      <c r="D948" s="5"/>
      <c r="E948" s="5"/>
      <c r="F948" s="7"/>
      <c r="G948" s="5"/>
      <c r="H948" s="7"/>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row>
    <row r="949" spans="1:48" ht="12.5" x14ac:dyDescent="0.25">
      <c r="A949" s="5"/>
      <c r="B949" s="5"/>
      <c r="C949" s="5"/>
      <c r="D949" s="5"/>
      <c r="E949" s="5"/>
      <c r="F949" s="7"/>
      <c r="G949" s="5"/>
      <c r="H949" s="7"/>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row>
    <row r="950" spans="1:48" ht="12.5" x14ac:dyDescent="0.25">
      <c r="A950" s="5"/>
      <c r="B950" s="5"/>
      <c r="C950" s="5"/>
      <c r="D950" s="5"/>
      <c r="E950" s="5"/>
      <c r="F950" s="7"/>
      <c r="G950" s="5"/>
      <c r="H950" s="7"/>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row>
    <row r="951" spans="1:48" ht="12.5" x14ac:dyDescent="0.25">
      <c r="A951" s="5"/>
      <c r="B951" s="5"/>
      <c r="C951" s="5"/>
      <c r="D951" s="5"/>
      <c r="E951" s="5"/>
      <c r="F951" s="7"/>
      <c r="G951" s="5"/>
      <c r="H951" s="7"/>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row>
    <row r="952" spans="1:48" ht="12.5" x14ac:dyDescent="0.25">
      <c r="A952" s="5"/>
      <c r="B952" s="5"/>
      <c r="C952" s="5"/>
      <c r="D952" s="5"/>
      <c r="E952" s="5"/>
      <c r="F952" s="7"/>
      <c r="G952" s="5"/>
      <c r="H952" s="7"/>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row>
    <row r="953" spans="1:48" ht="12.5" x14ac:dyDescent="0.25">
      <c r="A953" s="5"/>
      <c r="B953" s="5"/>
      <c r="C953" s="5"/>
      <c r="D953" s="5"/>
      <c r="E953" s="5"/>
      <c r="F953" s="7"/>
      <c r="G953" s="5"/>
      <c r="H953" s="7"/>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row>
    <row r="954" spans="1:48" ht="12.5" x14ac:dyDescent="0.25">
      <c r="A954" s="5"/>
      <c r="B954" s="5"/>
      <c r="C954" s="5"/>
      <c r="D954" s="5"/>
      <c r="E954" s="5"/>
      <c r="F954" s="7"/>
      <c r="G954" s="5"/>
      <c r="H954" s="7"/>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row>
    <row r="955" spans="1:48" ht="12.5" x14ac:dyDescent="0.25">
      <c r="A955" s="5"/>
      <c r="B955" s="5"/>
      <c r="C955" s="5"/>
      <c r="D955" s="5"/>
      <c r="E955" s="5"/>
      <c r="F955" s="7"/>
      <c r="G955" s="5"/>
      <c r="H955" s="7"/>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row>
    <row r="956" spans="1:48" ht="12.5" x14ac:dyDescent="0.25">
      <c r="A956" s="5"/>
      <c r="B956" s="5"/>
      <c r="C956" s="5"/>
      <c r="D956" s="5"/>
      <c r="E956" s="5"/>
      <c r="F956" s="7"/>
      <c r="G956" s="5"/>
      <c r="H956" s="7"/>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row>
    <row r="957" spans="1:48" ht="12.5" x14ac:dyDescent="0.25">
      <c r="A957" s="5"/>
      <c r="B957" s="5"/>
      <c r="C957" s="5"/>
      <c r="D957" s="5"/>
      <c r="E957" s="5"/>
      <c r="F957" s="7"/>
      <c r="G957" s="5"/>
      <c r="H957" s="7"/>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row>
    <row r="958" spans="1:48" ht="12.5" x14ac:dyDescent="0.25">
      <c r="A958" s="5"/>
      <c r="B958" s="5"/>
      <c r="C958" s="5"/>
      <c r="D958" s="5"/>
      <c r="E958" s="5"/>
      <c r="F958" s="7"/>
      <c r="G958" s="5"/>
      <c r="H958" s="7"/>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row>
    <row r="959" spans="1:48" ht="12.5" x14ac:dyDescent="0.25">
      <c r="A959" s="5"/>
      <c r="B959" s="5"/>
      <c r="C959" s="5"/>
      <c r="D959" s="5"/>
      <c r="E959" s="5"/>
      <c r="F959" s="7"/>
      <c r="G959" s="5"/>
      <c r="H959" s="7"/>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row>
    <row r="960" spans="1:48" ht="12.5" x14ac:dyDescent="0.25">
      <c r="A960" s="5"/>
      <c r="B960" s="5"/>
      <c r="C960" s="5"/>
      <c r="D960" s="5"/>
      <c r="E960" s="5"/>
      <c r="F960" s="7"/>
      <c r="G960" s="5"/>
      <c r="H960" s="7"/>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row>
    <row r="961" spans="1:48" ht="12.5" x14ac:dyDescent="0.25">
      <c r="A961" s="5"/>
      <c r="B961" s="5"/>
      <c r="C961" s="5"/>
      <c r="D961" s="5"/>
      <c r="E961" s="5"/>
      <c r="F961" s="7"/>
      <c r="G961" s="5"/>
      <c r="H961" s="7"/>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row>
    <row r="962" spans="1:48" ht="12.5" x14ac:dyDescent="0.25">
      <c r="A962" s="5"/>
      <c r="B962" s="5"/>
      <c r="C962" s="5"/>
      <c r="D962" s="5"/>
      <c r="E962" s="5"/>
      <c r="F962" s="7"/>
      <c r="G962" s="5"/>
      <c r="H962" s="7"/>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row>
    <row r="963" spans="1:48" ht="12.5" x14ac:dyDescent="0.25">
      <c r="A963" s="5"/>
      <c r="B963" s="5"/>
      <c r="C963" s="5"/>
      <c r="D963" s="5"/>
      <c r="E963" s="5"/>
      <c r="F963" s="7"/>
      <c r="G963" s="5"/>
      <c r="H963" s="7"/>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row>
    <row r="964" spans="1:48" ht="12.5" x14ac:dyDescent="0.25">
      <c r="A964" s="5"/>
      <c r="B964" s="5"/>
      <c r="C964" s="5"/>
      <c r="D964" s="5"/>
      <c r="E964" s="5"/>
      <c r="F964" s="7"/>
      <c r="G964" s="5"/>
      <c r="H964" s="7"/>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row>
    <row r="965" spans="1:48" ht="12.5" x14ac:dyDescent="0.25">
      <c r="A965" s="5"/>
      <c r="B965" s="5"/>
      <c r="C965" s="5"/>
      <c r="D965" s="5"/>
      <c r="E965" s="5"/>
      <c r="F965" s="7"/>
      <c r="G965" s="5"/>
      <c r="H965" s="7"/>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row>
    <row r="966" spans="1:48" ht="12.5" x14ac:dyDescent="0.25">
      <c r="A966" s="5"/>
      <c r="B966" s="5"/>
      <c r="C966" s="5"/>
      <c r="D966" s="5"/>
      <c r="E966" s="5"/>
      <c r="F966" s="7"/>
      <c r="G966" s="5"/>
      <c r="H966" s="7"/>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row>
    <row r="967" spans="1:48" ht="12.5" x14ac:dyDescent="0.25">
      <c r="A967" s="5"/>
      <c r="B967" s="5"/>
      <c r="C967" s="5"/>
      <c r="D967" s="5"/>
      <c r="E967" s="5"/>
      <c r="F967" s="7"/>
      <c r="G967" s="5"/>
      <c r="H967" s="7"/>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row>
    <row r="968" spans="1:48" ht="12.5" x14ac:dyDescent="0.25">
      <c r="A968" s="5"/>
      <c r="B968" s="5"/>
      <c r="C968" s="5"/>
      <c r="D968" s="5"/>
      <c r="E968" s="5"/>
      <c r="F968" s="7"/>
      <c r="G968" s="5"/>
      <c r="H968" s="7"/>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row>
    <row r="969" spans="1:48" ht="12.5" x14ac:dyDescent="0.25">
      <c r="A969" s="5"/>
      <c r="B969" s="5"/>
      <c r="C969" s="5"/>
      <c r="D969" s="5"/>
      <c r="E969" s="5"/>
      <c r="F969" s="7"/>
      <c r="G969" s="5"/>
      <c r="H969" s="7"/>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row>
    <row r="970" spans="1:48" ht="12.5" x14ac:dyDescent="0.25">
      <c r="A970" s="5"/>
      <c r="B970" s="5"/>
      <c r="C970" s="5"/>
      <c r="D970" s="5"/>
      <c r="E970" s="5"/>
      <c r="F970" s="7"/>
      <c r="G970" s="5"/>
      <c r="H970" s="7"/>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row>
    <row r="971" spans="1:48" ht="12.5" x14ac:dyDescent="0.25">
      <c r="A971" s="5"/>
      <c r="B971" s="5"/>
      <c r="C971" s="5"/>
      <c r="D971" s="5"/>
      <c r="E971" s="5"/>
      <c r="F971" s="7"/>
      <c r="G971" s="5"/>
      <c r="H971" s="7"/>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row>
    <row r="972" spans="1:48" ht="12.5" x14ac:dyDescent="0.25">
      <c r="A972" s="5"/>
      <c r="B972" s="5"/>
      <c r="C972" s="5"/>
      <c r="D972" s="5"/>
      <c r="E972" s="5"/>
      <c r="F972" s="7"/>
      <c r="G972" s="5"/>
      <c r="H972" s="7"/>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row>
    <row r="973" spans="1:48" ht="12.5" x14ac:dyDescent="0.25">
      <c r="A973" s="5"/>
      <c r="B973" s="5"/>
      <c r="C973" s="5"/>
      <c r="D973" s="5"/>
      <c r="E973" s="5"/>
      <c r="F973" s="7"/>
      <c r="G973" s="5"/>
      <c r="H973" s="7"/>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row>
    <row r="974" spans="1:48" ht="12.5" x14ac:dyDescent="0.25">
      <c r="A974" s="5"/>
      <c r="B974" s="5"/>
      <c r="C974" s="5"/>
      <c r="D974" s="5"/>
      <c r="E974" s="5"/>
      <c r="F974" s="7"/>
      <c r="G974" s="5"/>
      <c r="H974" s="7"/>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row>
    <row r="975" spans="1:48" ht="12.5" x14ac:dyDescent="0.25">
      <c r="A975" s="5"/>
      <c r="B975" s="5"/>
      <c r="C975" s="5"/>
      <c r="D975" s="5"/>
      <c r="E975" s="5"/>
      <c r="F975" s="7"/>
      <c r="G975" s="5"/>
      <c r="H975" s="7"/>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row>
    <row r="976" spans="1:48" ht="12.5" x14ac:dyDescent="0.25">
      <c r="A976" s="5"/>
      <c r="B976" s="5"/>
      <c r="C976" s="5"/>
      <c r="D976" s="5"/>
      <c r="E976" s="5"/>
      <c r="F976" s="7"/>
      <c r="G976" s="5"/>
      <c r="H976" s="7"/>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row>
    <row r="977" spans="1:48" ht="12.5" x14ac:dyDescent="0.25">
      <c r="A977" s="5"/>
      <c r="B977" s="5"/>
      <c r="C977" s="5"/>
      <c r="D977" s="5"/>
      <c r="E977" s="5"/>
      <c r="F977" s="7"/>
      <c r="G977" s="5"/>
      <c r="H977" s="7"/>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row>
    <row r="978" spans="1:48" ht="12.5" x14ac:dyDescent="0.25">
      <c r="A978" s="5"/>
      <c r="B978" s="5"/>
      <c r="C978" s="5"/>
      <c r="D978" s="5"/>
      <c r="E978" s="5"/>
      <c r="F978" s="7"/>
      <c r="G978" s="5"/>
      <c r="H978" s="7"/>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row>
    <row r="979" spans="1:48" ht="12.5" x14ac:dyDescent="0.25">
      <c r="A979" s="5"/>
      <c r="B979" s="5"/>
      <c r="C979" s="5"/>
      <c r="D979" s="5"/>
      <c r="E979" s="5"/>
      <c r="F979" s="7"/>
      <c r="G979" s="5"/>
      <c r="H979" s="7"/>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row>
    <row r="980" spans="1:48" ht="12.5" x14ac:dyDescent="0.25">
      <c r="A980" s="5"/>
      <c r="B980" s="5"/>
      <c r="C980" s="5"/>
      <c r="D980" s="5"/>
      <c r="E980" s="5"/>
      <c r="F980" s="7"/>
      <c r="G980" s="5"/>
      <c r="H980" s="7"/>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row>
    <row r="981" spans="1:48" ht="12.5" x14ac:dyDescent="0.25">
      <c r="A981" s="5"/>
      <c r="B981" s="5"/>
      <c r="C981" s="5"/>
      <c r="D981" s="5"/>
      <c r="E981" s="5"/>
      <c r="F981" s="7"/>
      <c r="G981" s="5"/>
      <c r="H981" s="7"/>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row>
    <row r="982" spans="1:48" ht="12.5" x14ac:dyDescent="0.25">
      <c r="A982" s="5"/>
      <c r="B982" s="5"/>
      <c r="C982" s="5"/>
      <c r="D982" s="5"/>
      <c r="E982" s="5"/>
      <c r="F982" s="7"/>
      <c r="G982" s="5"/>
      <c r="H982" s="7"/>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row>
    <row r="983" spans="1:48" ht="12.5" x14ac:dyDescent="0.25">
      <c r="A983" s="5"/>
      <c r="B983" s="5"/>
      <c r="C983" s="5"/>
      <c r="D983" s="5"/>
      <c r="E983" s="5"/>
      <c r="F983" s="7"/>
      <c r="G983" s="5"/>
      <c r="H983" s="7"/>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row>
    <row r="984" spans="1:48" ht="12.5" x14ac:dyDescent="0.25">
      <c r="A984" s="5"/>
      <c r="B984" s="5"/>
      <c r="C984" s="5"/>
      <c r="D984" s="5"/>
      <c r="E984" s="5"/>
      <c r="F984" s="7"/>
      <c r="G984" s="5"/>
      <c r="H984" s="7"/>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row>
    <row r="985" spans="1:48" ht="12.5" x14ac:dyDescent="0.25">
      <c r="A985" s="5"/>
      <c r="B985" s="5"/>
      <c r="C985" s="5"/>
      <c r="D985" s="5"/>
      <c r="E985" s="5"/>
      <c r="F985" s="7"/>
      <c r="G985" s="5"/>
      <c r="H985" s="7"/>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row>
    <row r="986" spans="1:48" ht="12.5" x14ac:dyDescent="0.25">
      <c r="A986" s="5"/>
      <c r="B986" s="5"/>
      <c r="C986" s="5"/>
      <c r="D986" s="5"/>
      <c r="E986" s="5"/>
      <c r="F986" s="7"/>
      <c r="G986" s="5"/>
      <c r="H986" s="7"/>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row>
    <row r="987" spans="1:48" ht="12.5" x14ac:dyDescent="0.25">
      <c r="A987" s="5"/>
      <c r="B987" s="5"/>
      <c r="C987" s="5"/>
      <c r="D987" s="5"/>
      <c r="E987" s="5"/>
      <c r="F987" s="7"/>
      <c r="G987" s="5"/>
      <c r="H987" s="7"/>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row>
    <row r="988" spans="1:48" ht="12.5" x14ac:dyDescent="0.25">
      <c r="A988" s="5"/>
      <c r="B988" s="5"/>
      <c r="C988" s="5"/>
      <c r="D988" s="5"/>
      <c r="E988" s="5"/>
      <c r="F988" s="7"/>
      <c r="G988" s="5"/>
      <c r="H988" s="7"/>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row>
    <row r="989" spans="1:48" ht="12.5" x14ac:dyDescent="0.25">
      <c r="A989" s="5"/>
      <c r="B989" s="5"/>
      <c r="C989" s="5"/>
      <c r="D989" s="5"/>
      <c r="E989" s="5"/>
      <c r="F989" s="7"/>
      <c r="G989" s="5"/>
      <c r="H989" s="7"/>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row>
    <row r="990" spans="1:48" ht="12.5" x14ac:dyDescent="0.25">
      <c r="A990" s="5"/>
      <c r="B990" s="5"/>
      <c r="C990" s="5"/>
      <c r="D990" s="5"/>
      <c r="E990" s="5"/>
      <c r="F990" s="7"/>
      <c r="G990" s="5"/>
      <c r="H990" s="7"/>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row>
    <row r="991" spans="1:48" ht="12.5" x14ac:dyDescent="0.25">
      <c r="A991" s="5"/>
      <c r="B991" s="5"/>
      <c r="C991" s="5"/>
      <c r="D991" s="5"/>
      <c r="E991" s="5"/>
      <c r="F991" s="7"/>
      <c r="G991" s="5"/>
      <c r="H991" s="7"/>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row>
    <row r="992" spans="1:48" ht="12.5" x14ac:dyDescent="0.25">
      <c r="A992" s="5"/>
      <c r="B992" s="5"/>
      <c r="C992" s="5"/>
      <c r="D992" s="5"/>
      <c r="E992" s="5"/>
      <c r="F992" s="7"/>
      <c r="G992" s="5"/>
      <c r="H992" s="7"/>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row>
    <row r="993" spans="1:48" ht="12.5" x14ac:dyDescent="0.25">
      <c r="A993" s="5"/>
      <c r="B993" s="5"/>
      <c r="C993" s="5"/>
      <c r="D993" s="5"/>
      <c r="E993" s="5"/>
      <c r="F993" s="7"/>
      <c r="G993" s="5"/>
      <c r="H993" s="7"/>
      <c r="I993" s="5"/>
      <c r="J993" s="4"/>
      <c r="K993" s="4"/>
      <c r="AC993" s="4"/>
      <c r="AD993" s="4"/>
      <c r="AE993" s="4"/>
      <c r="AF993" s="4"/>
      <c r="AG993" s="4"/>
      <c r="AH993" s="4"/>
      <c r="AI993" s="4"/>
      <c r="AJ993" s="4"/>
      <c r="AK993" s="4"/>
      <c r="AL993" s="4"/>
      <c r="AM993" s="4"/>
      <c r="AN993" s="4"/>
      <c r="AO993" s="4"/>
      <c r="AP993" s="4"/>
      <c r="AQ993" s="4"/>
      <c r="AR993" s="4"/>
      <c r="AS993" s="4"/>
      <c r="AT993" s="4"/>
      <c r="AU993" s="4"/>
      <c r="AV993" s="4"/>
    </row>
    <row r="994" spans="1:48" ht="12.5" x14ac:dyDescent="0.25">
      <c r="A994" s="5"/>
      <c r="B994" s="5"/>
      <c r="C994" s="5"/>
      <c r="D994" s="5"/>
      <c r="E994" s="5"/>
      <c r="F994" s="7"/>
      <c r="G994" s="5"/>
      <c r="H994" s="7"/>
      <c r="J994" s="4"/>
      <c r="K994" s="4"/>
      <c r="AC994" s="4"/>
      <c r="AD994" s="4"/>
      <c r="AE994" s="4"/>
      <c r="AF994" s="4"/>
      <c r="AG994" s="4"/>
      <c r="AH994" s="4"/>
      <c r="AI994" s="4"/>
      <c r="AJ994" s="4"/>
      <c r="AK994" s="4"/>
      <c r="AL994" s="4"/>
      <c r="AM994" s="4"/>
      <c r="AN994" s="4"/>
      <c r="AO994" s="4"/>
      <c r="AP994" s="4"/>
      <c r="AQ994" s="4"/>
      <c r="AR994" s="4"/>
      <c r="AS994" s="4"/>
      <c r="AT994" s="4"/>
      <c r="AU994" s="4"/>
      <c r="AV994" s="4"/>
    </row>
    <row r="995" spans="1:48" ht="12.5" x14ac:dyDescent="0.25">
      <c r="A995" s="5"/>
      <c r="B995" s="5"/>
      <c r="C995" s="5"/>
      <c r="D995" s="5"/>
      <c r="E995" s="5"/>
      <c r="F995" s="7"/>
      <c r="G995" s="5"/>
      <c r="H995" s="7"/>
      <c r="J995" s="4"/>
      <c r="K995" s="4"/>
      <c r="AC995" s="4"/>
      <c r="AD995" s="4"/>
      <c r="AE995" s="4"/>
      <c r="AF995" s="4"/>
      <c r="AG995" s="4"/>
      <c r="AH995" s="4"/>
      <c r="AI995" s="4"/>
      <c r="AJ995" s="4"/>
      <c r="AK995" s="4"/>
      <c r="AL995" s="4"/>
      <c r="AM995" s="4"/>
      <c r="AN995" s="4"/>
      <c r="AO995" s="4"/>
      <c r="AP995" s="4"/>
      <c r="AQ995" s="4"/>
      <c r="AR995" s="4"/>
      <c r="AS995" s="4"/>
      <c r="AT995" s="4"/>
      <c r="AU995" s="4"/>
      <c r="AV995" s="4"/>
    </row>
  </sheetData>
  <autoFilter ref="A1:A992"/>
  <mergeCells count="68">
    <mergeCell ref="C78:C121"/>
    <mergeCell ref="B78:B121"/>
    <mergeCell ref="D76:D77"/>
    <mergeCell ref="D104:D109"/>
    <mergeCell ref="E74:G74"/>
    <mergeCell ref="D78:D93"/>
    <mergeCell ref="D94:D103"/>
    <mergeCell ref="D110:D112"/>
    <mergeCell ref="D113:D121"/>
    <mergeCell ref="E78:E93"/>
    <mergeCell ref="E76:E77"/>
    <mergeCell ref="E113:E121"/>
    <mergeCell ref="E94:E103"/>
    <mergeCell ref="E110:E112"/>
    <mergeCell ref="E104:E109"/>
    <mergeCell ref="AA1:AO1"/>
    <mergeCell ref="E35:G35"/>
    <mergeCell ref="E34:G34"/>
    <mergeCell ref="K36:U36"/>
    <mergeCell ref="K12:V12"/>
    <mergeCell ref="E10:G10"/>
    <mergeCell ref="E28:E32"/>
    <mergeCell ref="E27:G27"/>
    <mergeCell ref="E11:G11"/>
    <mergeCell ref="E33:G33"/>
    <mergeCell ref="K1:Y1"/>
    <mergeCell ref="E2:G2"/>
    <mergeCell ref="B2:B35"/>
    <mergeCell ref="C2:C35"/>
    <mergeCell ref="V36:AI36"/>
    <mergeCell ref="AJ36:AV36"/>
    <mergeCell ref="E25:G25"/>
    <mergeCell ref="E26:G26"/>
    <mergeCell ref="E7:E8"/>
    <mergeCell ref="E3:G3"/>
    <mergeCell ref="E4:G4"/>
    <mergeCell ref="E12:G12"/>
    <mergeCell ref="E13:E24"/>
    <mergeCell ref="B36:B77"/>
    <mergeCell ref="C36:C77"/>
    <mergeCell ref="D61:D73"/>
    <mergeCell ref="E61:E73"/>
    <mergeCell ref="E47:E60"/>
    <mergeCell ref="D28:D32"/>
    <mergeCell ref="D13:D24"/>
    <mergeCell ref="D7:D8"/>
    <mergeCell ref="L130:AB130"/>
    <mergeCell ref="L115:T115"/>
    <mergeCell ref="L101:Q101"/>
    <mergeCell ref="L94:U94"/>
    <mergeCell ref="E36:E46"/>
    <mergeCell ref="M121:N121"/>
    <mergeCell ref="L108:N108"/>
    <mergeCell ref="D47:D60"/>
    <mergeCell ref="D36:D46"/>
    <mergeCell ref="P121:T121"/>
    <mergeCell ref="C122:C156"/>
    <mergeCell ref="B122:B156"/>
    <mergeCell ref="E151:E155"/>
    <mergeCell ref="D151:D155"/>
    <mergeCell ref="E140:E141"/>
    <mergeCell ref="E142:E149"/>
    <mergeCell ref="E150:G150"/>
    <mergeCell ref="E156:G156"/>
    <mergeCell ref="D140:D141"/>
    <mergeCell ref="E122:E139"/>
    <mergeCell ref="D142:D149"/>
    <mergeCell ref="D122:D139"/>
  </mergeCells>
  <conditionalFormatting sqref="M124">
    <cfRule type="notContainsBlanks" dxfId="25" priority="3">
      <formula>LEN(TRIM(M124))&gt;0</formula>
    </cfRule>
  </conditionalFormatting>
  <conditionalFormatting sqref="V133:V139 V142:V153">
    <cfRule type="expression" dxfId="24" priority="4">
      <formula>IF(AND(M133="Input",R133="File"),V133="")</formula>
    </cfRule>
  </conditionalFormatting>
  <conditionalFormatting sqref="V140:V141">
    <cfRule type="expression" dxfId="23" priority="2">
      <formula>IF(AND(M140="Input",R140="File"),V140="")</formula>
    </cfRule>
  </conditionalFormatting>
  <conditionalFormatting sqref="V142:V143">
    <cfRule type="expression" dxfId="22" priority="1">
      <formula>IF(AND(M142="Input",R142="File"),V142="")</formula>
    </cfRule>
  </conditionalFormatting>
  <dataValidations count="5">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I7:I8 M15:M19">
      <formula1>-328716</formula1>
      <formula2>767011</formula2>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rintOptions horizontalCentered="1"/>
  <pageMargins left="0.25" right="0.25" top="0.75" bottom="0.75" header="0" footer="0"/>
  <pageSetup paperSize="9" fitToHeight="0" pageOrder="overThenDown" orientation="landscape" cellComments="atEnd"/>
  <legacyDrawing r:id="rId1"/>
  <extLst>
    <ext xmlns:x14="http://schemas.microsoft.com/office/spreadsheetml/2009/9/main" uri="{CCE6A557-97BC-4b89-ADB6-D9C93CAAB3DF}">
      <x14:dataValidations xmlns:xm="http://schemas.microsoft.com/office/excel/2006/main" count="63">
        <x14:dataValidation type="list" allowBlank="1" showErrorMessage="1">
          <x14:formula1>
            <xm:f>'Basic Process'!$U$2:$U$40</xm:f>
          </x14:formula1>
          <xm:sqref>I31</xm:sqref>
        </x14:dataValidation>
        <x14:dataValidation type="list" allowBlank="1" showErrorMessage="1">
          <x14:formula1>
            <xm:f>Country!$A$2:$A$500</xm:f>
          </x14:formula1>
          <xm:sqref>S4:S9 AI4:AI9 AT39:AT50 I77 N111:N113</xm:sqref>
        </x14:dataValidation>
        <x14:dataValidation type="list" allowBlank="1" showErrorMessage="1">
          <x14:formula1>
            <xm:f>'Parameter classification'!$A$2:$A$50</xm:f>
          </x14:formula1>
          <xm:sqref>M140:M141 M152:M153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L104:L106</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K40:K50</xm:sqref>
        </x14:dataValidation>
        <x14:dataValidation type="list" allowBlank="1" showErrorMessage="1">
          <x14:formula1>
            <xm:f>'Product treatment'!$A$2:$A$1000</xm:f>
          </x14:formula1>
          <xm:sqref>P40:P50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'Population name'!$A$2:$A$30</xm:f>
          </x14:formula1>
          <xm:sqref>AJ39:AJ50</xm:sqref>
        </x14:dataValidation>
        <x14:dataValidation type="list" allowBlank="1" showErrorMessage="1">
          <x14:formula1>
            <xm:f>'Parameter unit'!$A:$A</xm:f>
          </x14:formula1>
          <xm:sqref>Y40:Y50 T97:T99 M40:M50</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W40:W50</xm:sqref>
        </x14:dataValidation>
        <x14:dataValidation type="list" allowBlank="1">
          <x14:formula1>
            <xm:f>'Parameter data type'!$A$2:$A$50</xm:f>
          </x14:formula1>
          <xm:sqref>R133:R137</xm:sqref>
        </x14:dataValidation>
        <x14:dataValidation type="list" allowBlank="1" showErrorMessage="1">
          <x14:formula1>
            <xm:f>'type of exposure'!$A$2:$A$100</xm:f>
          </x14:formula1>
          <xm:sqref>I153</xm:sqref>
        </x14:dataValidation>
        <x14:dataValidation type="list" allowBlank="1" showErrorMessage="1">
          <x14:formula1>
            <xm:f>'Method of production'!$A$2:$A$200</xm:f>
          </x14:formula1>
          <xm:sqref>N40:N50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V40:V50</xm:sqref>
        </x14:dataValidation>
        <x14:dataValidation type="list" allowBlank="1" showErrorMessage="1">
          <x14:formula1>
            <xm:f>'Publication Status'!$A$2:$A$11</xm:f>
          </x14:formula1>
          <xm:sqref>T15 T17:T19</xm:sqref>
        </x14:dataValidation>
        <x14:dataValidation type="list" allowBlank="1" showErrorMessage="1">
          <x14:formula1>
            <xm:f>'Fisheries area'!$A$2:$A$2000</xm:f>
          </x14:formula1>
          <xm:sqref>S40:S50</xm:sqref>
        </x14:dataValidation>
        <x14:dataValidation type="list" allowBlank="1" showErrorMessage="1">
          <x14:formula1>
            <xm:f>Language!$A$2:$A$35</xm:f>
          </x14:formula1>
          <xm:sqref>I25</xm:sqref>
        </x14:dataValidation>
        <x14:dataValidation type="list" allowBlank="1" showErrorMessage="1">
          <x14:formula1>
            <xm:f>'Parameter distribution'!$A$2:$A$800</xm:f>
          </x14:formula1>
          <xm:sqref>U142:U153</xm:sqref>
        </x14:dataValidation>
        <x14:dataValidation type="list" allowBlank="1" showErrorMessage="1">
          <x14:formula1>
            <xm:f>Country!$A$2:$A$1000</xm:f>
          </x14:formula1>
          <xm:sqref>Q40:Q50</xm:sqref>
        </x14:dataValidation>
        <x14:dataValidation type="list" allowBlank="1" showErrorMessage="1">
          <x14:formula1>
            <xm:f>'Parameter subject'!$A$2:$A$500</xm:f>
          </x14:formula1>
          <xm:sqref>T152:T153</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P152:P153</xm:sqref>
        </x14:dataValidation>
        <x14:dataValidation type="list" allowBlank="1" showErrorMessage="1">
          <x14:formula1>
            <xm:f>'Laboratory accreditation'!$A$2:$A$200</xm:f>
          </x14:formula1>
          <xm:sqref>L111:L113</xm:sqref>
        </x14:dataValidation>
        <x14:dataValidation type="list" allowBlank="1">
          <x14:formula1>
            <xm:f>'Parameter data type'!$A$2:$A$50</xm:f>
          </x14:formula1>
          <xm:sqref>R139:R153</xm:sqref>
        </x14:dataValidation>
        <x14:dataValidation type="list" allowBlank="1" showErrorMessage="1">
          <x14:formula1>
            <xm:f>'Parameter classification'!$A$2:$A$50</xm:f>
          </x14:formula1>
          <xm:sqref>M133:M139 M142:M151</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O40:O50</xm:sqref>
        </x14:dataValidation>
        <x14:dataValidation type="list" allowBlank="1">
          <x14:formula1>
            <xm:f>'Parameter data type'!$A$2:$A$50</xm:f>
          </x14:formula1>
          <xm:sqref>R138</xm:sqref>
        </x14:dataValidation>
        <x14:dataValidation type="list" allowBlank="1" showErrorMessage="1">
          <x14:formula1>
            <xm:f>'Area of origin'!$A$2:$A$3000</xm:f>
          </x14:formula1>
          <xm:sqref>R40:R50</xm:sqref>
        </x14:dataValidation>
        <x14:dataValidation type="list" allowBlank="1" showErrorMessage="1">
          <x14:formula1>
            <xm:f>'Food descriptors'!$A$2</xm:f>
          </x14:formula1>
          <xm:sqref>Q104:Q106</xm:sqref>
        </x14:dataValidation>
        <x14:dataValidation type="list" allowBlank="1" showErrorMessage="1">
          <x14:formula1>
            <xm:f>'Publication Type'!$A$2:$A$100</xm:f>
          </x14:formula1>
          <xm:sqref>L15 L17:L19</xm:sqref>
        </x14:dataValidation>
        <x14:dataValidation type="list" allowBlank="1" showErrorMessage="1">
          <x14:formula1>
            <xm:f>'Parameter source'!$A$2:$A$50</xm:f>
          </x14:formula1>
          <xm:sqref>S152:S153</xm:sqref>
        </x14:dataValidation>
        <x14:dataValidation type="list" allowBlank="1" showErrorMessage="1">
          <x14:formula1>
            <xm:f>'Model Sub-Class'!$A$2:$A$35</xm:f>
          </x14:formula1>
          <xm:sqref>I29</xm:sqref>
        </x14:dataValidation>
        <x14:dataValidation type="list" allowBlank="1" showErrorMessage="1">
          <x14:formula1>
            <xm:f>'C:\Users\fuhrmanm\Documents\Projects\ModelRepository\nauta_efsa_opinion\CPM\lindqvist\[lindqvist_metadata.xlsx]Source'!#REF!</xm:f>
          </x14:formula1>
          <xm:sqref>I3</xm:sqref>
        </x14:dataValidation>
        <x14:dataValidation type="list" allowBlank="1" showErrorMessage="1">
          <x14:formula1>
            <xm:f>'C:\Users\fuhrmanm\Documents\Projects\ModelRepository\nauta_efsa_opinion\CPM\lindqvist\[lindqvist_metadata.xlsx]Rights'!#REF!</xm:f>
          </x14:formula1>
          <xm:sqref>I9</xm:sqref>
        </x14:dataValidation>
        <x14:dataValidation type="list" allowBlank="1" showErrorMessage="1">
          <x14:formula1>
            <xm:f>'C:\Users\fuhrmanm\Documents\Projects\ModelRepository\nauta_efsa_opinion\CPM\lindqvist\[lindqvist_metadata.xlsx]Availability'!#REF!</xm:f>
          </x14:formula1>
          <xm:sqref>I10</xm:sqref>
        </x14:dataValidation>
        <x14:dataValidation type="list" allowBlank="1" showErrorMessage="1">
          <x14:formula1>
            <xm:f>'C:\Users\fuhrmanm\Documents\Projects\ModelRepository\nauta_efsa_opinion\CPM\lindqvist\[lindqvist_metadata.xlsx]Status'!#REF!</xm:f>
          </x14:formula1>
          <xm:sqref>I33</xm:sqref>
        </x14:dataValidation>
        <x14:dataValidation type="list" allowBlank="1" showErrorMessage="1">
          <x14:formula1>
            <xm:f>'C:\Users\fuhrmanm\Documents\Projects\ModelRepository\nauta_efsa_opinion\CPM\lindqvist\[lindqvist_metadata.xlsx]Area of origin'!#REF!</xm:f>
          </x14:formula1>
          <xm:sqref>R39</xm:sqref>
        </x14:dataValidation>
        <x14:dataValidation type="list" allowBlank="1" showErrorMessage="1">
          <x14:formula1>
            <xm:f>'C:\Users\fuhrmanm\Documents\Projects\ModelRepository\nauta_efsa_opinion\CPM\lindqvist\[lindqvist_metadata.xlsx]Packaging'!#REF!</xm:f>
          </x14:formula1>
          <xm:sqref>O39</xm:sqref>
        </x14:dataValidation>
        <x14:dataValidation type="list" allowBlank="1" showErrorMessage="1">
          <x14:formula1>
            <xm:f>'C:\Users\fuhrmanm\Documents\Projects\ModelRepository\nauta_efsa_opinion\CPM\lindqvist\[lindqvist_metadata.xlsx]Country'!#REF!</xm:f>
          </x14:formula1>
          <xm:sqref>Q39</xm:sqref>
        </x14:dataValidation>
        <x14:dataValidation type="list" allowBlank="1" showErrorMessage="1">
          <x14:formula1>
            <xm:f>'C:\Users\fuhrmanm\Documents\Projects\ModelRepository\nauta_efsa_opinion\CPM\lindqvist\[lindqvist_metadata.xlsx]Fisheries area'!#REF!</xm:f>
          </x14:formula1>
          <xm:sqref>S39</xm:sqref>
        </x14:dataValidation>
        <x14:dataValidation type="list" allowBlank="1" showErrorMessage="1">
          <x14:formula1>
            <xm:f>'C:\Users\fuhrmanm\Documents\Projects\ModelRepository\nauta_efsa_opinion\CPM\lindqvist\[lindqvist_metadata.xlsx]Hazard type'!#REF!</xm:f>
          </x14:formula1>
          <xm:sqref>V39</xm:sqref>
        </x14:dataValidation>
        <x14:dataValidation type="list" allowBlank="1" showErrorMessage="1">
          <x14:formula1>
            <xm:f>'C:\Users\fuhrmanm\Documents\Projects\ModelRepository\nauta_efsa_opinion\CPM\lindqvist\[lindqvist_metadata.xlsx]Method of production'!#REF!</xm:f>
          </x14:formula1>
          <xm:sqref>N39</xm:sqref>
        </x14:dataValidation>
        <x14:dataValidation type="list" allowBlank="1" showErrorMessage="1">
          <x14:formula1>
            <xm:f>'C:\Users\fuhrmanm\Documents\Projects\ModelRepository\nauta_efsa_opinion\CPM\lindqvist\[lindqvist_metadata.xlsx]Hazard name'!#REF!</xm:f>
          </x14:formula1>
          <xm:sqref>W39</xm:sqref>
        </x14:dataValidation>
        <x14:dataValidation type="list" allowBlank="1" showErrorMessage="1">
          <x14:formula1>
            <xm:f>'C:\Users\fuhrmanm\Documents\Projects\ModelRepository\nauta_efsa_opinion\CPM\lindqvist\[lindqvist_metadata.xlsx]Parameter unit'!#REF!</xm:f>
          </x14:formula1>
          <xm:sqref>M39 Y39</xm:sqref>
        </x14:dataValidation>
        <x14:dataValidation type="list" allowBlank="1" showErrorMessage="1">
          <x14:formula1>
            <xm:f>'C:\Users\fuhrmanm\Documents\Projects\ModelRepository\nauta_efsa_opinion\CPM\lindqvist\[lindqvist_metadata.xlsx]Product treatment'!#REF!</xm:f>
          </x14:formula1>
          <xm:sqref>P39</xm:sqref>
        </x14:dataValidation>
        <x14:dataValidation type="list" allowBlank="1" showErrorMessage="1">
          <x14:formula1>
            <xm:f>'C:\Users\fuhrmanm\Documents\Projects\ModelRepository\nauta_efsa_opinion\CPM\lindqvist\[lindqvist_metadata.xlsx]Product-matrix name'!#REF!</xm:f>
          </x14:formula1>
          <xm:sqref>K39</xm:sqref>
        </x14:dataValidation>
        <x14:dataValidation type="list" allowBlank="1" showErrorMessage="1">
          <x14:formula1>
            <xm:f>'C:\Users\fuhrmanm\Documents\Projects\ModelRepository\nauta_efsa_opinion\CPM\lindqvist\[lindqvist_metadata.xlsx]Parameter subject'!#REF!</xm:f>
          </x14:formula1>
          <xm:sqref>T133:T151</xm:sqref>
        </x14:dataValidation>
        <x14:dataValidation type="list" allowBlank="1" showErrorMessage="1">
          <x14:formula1>
            <xm:f>'C:\Users\fuhrmanm\Documents\Projects\ModelRepository\nauta_efsa_opinion\CPM\lindqvist\[lindqvist_metadata.xlsx]Parameter distribution'!#REF!</xm:f>
          </x14:formula1>
          <xm:sqref>U133:U141</xm:sqref>
        </x14:dataValidation>
        <x14:dataValidation type="list" allowBlank="1" showErrorMessage="1">
          <x14:formula1>
            <xm:f>'C:\Users\fuhrmanm\Documents\Projects\ModelRepository\nauta_efsa_opinion\CPM\lindqvist\[lindqvist_metadata.xlsx]Parameter source'!#REF!</xm:f>
          </x14:formula1>
          <xm:sqref>S133:S151</xm:sqref>
        </x14:dataValidation>
        <x14:dataValidation type="list" allowBlank="1" showErrorMessage="1">
          <x14:formula1>
            <xm:f>'C:\Users\fuhrmanm\Documents\Projects\ModelRepository\nauta_efsa_opinion\CPM\lindqvist\[lindqvist_metadata.xlsx]Publication Status'!#REF!</xm:f>
          </x14:formula1>
          <xm:sqref>T16</xm:sqref>
        </x14:dataValidation>
        <x14:dataValidation type="list" allowBlank="1" showErrorMessage="1">
          <x14:formula1>
            <xm:f>'C:\Users\fuhrmanm\Documents\Projects\ModelRepository\nauta_efsa_opinion\CPM\lindqvist\[lindqvist_metadata.xlsx]Publication Type'!#REF!</xm:f>
          </x14:formula1>
          <xm:sqref>L16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977"/>
  <sheetViews>
    <sheetView workbookViewId="0"/>
  </sheetViews>
  <sheetFormatPr defaultColWidth="14.453125" defaultRowHeight="15.75" customHeight="1" x14ac:dyDescent="0.25"/>
  <cols>
    <col min="2" max="2" width="16" customWidth="1"/>
    <col min="3" max="3" width="10.26953125" customWidth="1"/>
    <col min="4" max="4" width="7.26953125" customWidth="1"/>
    <col min="5" max="5" width="24.453125" customWidth="1"/>
    <col min="6" max="6" width="6" customWidth="1"/>
    <col min="7" max="7" width="29.1796875" customWidth="1"/>
    <col min="8" max="8" width="16.1796875" customWidth="1"/>
    <col min="9" max="9" width="44.453125" customWidth="1"/>
    <col min="10" max="10" width="23.81640625" customWidth="1"/>
  </cols>
  <sheetData>
    <row r="1" spans="1:41" ht="15.75" customHeight="1" x14ac:dyDescent="0.3">
      <c r="A1" s="16" t="str">
        <f ca="1">IFERROR(__xludf.DUMMYFUNCTION("QUERY(IMPORTRANGE(""https://docs.google.com/spreadsheets/d/1R5ofJAIqAywN97cnBY9R9kqj10AvQOs3Gq472n6iDyc/edit#gid=811823962"",""Dose-response Model!A:H""),""select Col7, Col8, Col1, Col2, Col3, Col4, Col5, Col6 WHERE Col7='Yes'"",1)"),"Should be provided for this model class?")</f>
        <v>Should be provided for this model class?</v>
      </c>
      <c r="B1" s="42" t="str">
        <f ca="1">IFERROR(__xludf.DUMMYFUNCTION("""COMPUTED_VALUE"""),"Filter for template")</f>
        <v>Filter for template</v>
      </c>
      <c r="C1" s="43" t="str">
        <f ca="1">IFERROR(__xludf.DUMMYFUNCTION("""COMPUTED_VALUE""")," ")</f>
        <v xml:space="preserve"> </v>
      </c>
      <c r="D1" s="43"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7" t="str">
        <f ca="1">E6</f>
        <v>Creator</v>
      </c>
      <c r="L1" s="96"/>
      <c r="M1" s="96"/>
      <c r="N1" s="96"/>
      <c r="O1" s="96"/>
      <c r="P1" s="96"/>
      <c r="Q1" s="96"/>
      <c r="R1" s="96"/>
      <c r="S1" s="96"/>
      <c r="T1" s="96"/>
      <c r="U1" s="96"/>
      <c r="V1" s="96"/>
      <c r="W1" s="96"/>
      <c r="X1" s="96"/>
      <c r="Y1" s="96"/>
      <c r="Z1" s="4"/>
      <c r="AA1" s="97" t="str">
        <f ca="1">E5</f>
        <v>Author</v>
      </c>
      <c r="AB1" s="96"/>
      <c r="AC1" s="96"/>
      <c r="AD1" s="96"/>
      <c r="AE1" s="96"/>
      <c r="AF1" s="96"/>
      <c r="AG1" s="96"/>
      <c r="AH1" s="96"/>
      <c r="AI1" s="96"/>
      <c r="AJ1" s="96"/>
      <c r="AK1" s="96"/>
      <c r="AL1" s="96"/>
      <c r="AM1" s="96"/>
      <c r="AN1" s="96"/>
      <c r="AO1" s="96"/>
    </row>
    <row r="2" spans="1:41" ht="12.5" x14ac:dyDescent="0.25">
      <c r="A2" s="4" t="str">
        <f ca="1">IFERROR(__xludf.DUMMYFUNCTION("""COMPUTED_VALUE"""),"Yes")</f>
        <v>Yes</v>
      </c>
      <c r="B2" s="4" t="str">
        <f ca="1">IFERROR(__xludf.DUMMYFUNCTION("""COMPUTED_VALUE"""),"Yes")</f>
        <v>Yes</v>
      </c>
      <c r="C2" s="95" t="str">
        <f ca="1">IFERROR(__xludf.DUMMYFUNCTION("""COMPUTED_VALUE"""),"General information")</f>
        <v>General information</v>
      </c>
      <c r="D2" s="100" t="str">
        <f ca="1">IFERROR(__xludf.DUMMYFUNCTION("""COMPUTED_VALUE"""),"1")</f>
        <v>1</v>
      </c>
      <c r="E2" s="5" t="str">
        <f ca="1">IFERROR(__xludf.DUMMYFUNCTION("""COMPUTED_VALUE"""),"Model name")</f>
        <v>Model name</v>
      </c>
      <c r="F2" s="97" t="str">
        <f ca="1">IFERROR(__xludf.DUMMYFUNCTION("""COMPUTED_VALUE"""),"1")</f>
        <v>1</v>
      </c>
      <c r="G2" s="96"/>
      <c r="H2" s="96"/>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x14ac:dyDescent="0.25">
      <c r="A3" s="4" t="str">
        <f ca="1">IFERROR(__xludf.DUMMYFUNCTION("""COMPUTED_VALUE"""),"Yes")</f>
        <v>Yes</v>
      </c>
      <c r="B3" s="4" t="str">
        <f ca="1">IFERROR(__xludf.DUMMYFUNCTION("""COMPUTED_VALUE"""),"Yes")</f>
        <v>Yes</v>
      </c>
      <c r="C3" s="96"/>
      <c r="D3" s="96"/>
      <c r="E3" s="5" t="str">
        <f ca="1">IFERROR(__xludf.DUMMYFUNCTION("""COMPUTED_VALUE"""),"Source")</f>
        <v>Source</v>
      </c>
      <c r="F3" s="97" t="str">
        <f ca="1">IFERROR(__xludf.DUMMYFUNCTION("""COMPUTED_VALUE"""),"0:1")</f>
        <v>0:1</v>
      </c>
      <c r="G3" s="96"/>
      <c r="H3" s="96"/>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x14ac:dyDescent="0.25">
      <c r="A4" s="4" t="str">
        <f ca="1">IFERROR(__xludf.DUMMYFUNCTION("""COMPUTED_VALUE"""),"Yes")</f>
        <v>Yes</v>
      </c>
      <c r="B4" s="4" t="str">
        <f ca="1">IFERROR(__xludf.DUMMYFUNCTION("""COMPUTED_VALUE"""),"Yes")</f>
        <v>Yes</v>
      </c>
      <c r="C4" s="96"/>
      <c r="D4" s="96"/>
      <c r="E4" s="5" t="str">
        <f ca="1">IFERROR(__xludf.DUMMYFUNCTION("""COMPUTED_VALUE"""),"Identifier")</f>
        <v>Identifier</v>
      </c>
      <c r="F4" s="97" t="str">
        <f ca="1">IFERROR(__xludf.DUMMYFUNCTION("""COMPUTED_VALUE"""),"1")</f>
        <v>1</v>
      </c>
      <c r="G4" s="96"/>
      <c r="H4" s="96"/>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x14ac:dyDescent="0.25">
      <c r="A5" s="4" t="str">
        <f ca="1">IFERROR(__xludf.DUMMYFUNCTION("""COMPUTED_VALUE"""),"Yes")</f>
        <v>Yes</v>
      </c>
      <c r="B5" s="4" t="str">
        <f ca="1">IFERROR(__xludf.DUMMYFUNCTION("""COMPUTED_VALUE"""),"No")</f>
        <v>No</v>
      </c>
      <c r="C5" s="96"/>
      <c r="D5" s="9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x14ac:dyDescent="0.25">
      <c r="A6" s="4" t="str">
        <f ca="1">IFERROR(__xludf.DUMMYFUNCTION("""COMPUTED_VALUE"""),"Yes")</f>
        <v>Yes</v>
      </c>
      <c r="B6" s="4" t="str">
        <f ca="1">IFERROR(__xludf.DUMMYFUNCTION("""COMPUTED_VALUE"""),"Yes")</f>
        <v>Yes</v>
      </c>
      <c r="C6" s="96"/>
      <c r="D6" s="96"/>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x14ac:dyDescent="0.25">
      <c r="A7" s="4" t="str">
        <f ca="1">IFERROR(__xludf.DUMMYFUNCTION("""COMPUTED_VALUE"""),"Yes")</f>
        <v>Yes</v>
      </c>
      <c r="B7" s="4" t="str">
        <f ca="1">IFERROR(__xludf.DUMMYFUNCTION("""COMPUTED_VALUE"""),"Yes")</f>
        <v>Yes</v>
      </c>
      <c r="C7" s="96"/>
      <c r="D7" s="96"/>
      <c r="E7" s="97" t="str">
        <f ca="1">IFERROR(__xludf.DUMMYFUNCTION("""COMPUTED_VALUE"""),"Date")</f>
        <v>Date</v>
      </c>
      <c r="F7" s="97"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x14ac:dyDescent="0.25">
      <c r="A8" s="4" t="str">
        <f ca="1">IFERROR(__xludf.DUMMYFUNCTION("""COMPUTED_VALUE"""),"Yes")</f>
        <v>Yes</v>
      </c>
      <c r="B8" s="4" t="str">
        <f ca="1">IFERROR(__xludf.DUMMYFUNCTION("""COMPUTED_VALUE"""),"No")</f>
        <v>No</v>
      </c>
      <c r="C8" s="96"/>
      <c r="D8" s="96"/>
      <c r="E8" s="96"/>
      <c r="F8" s="96"/>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x14ac:dyDescent="0.25">
      <c r="A9" s="4" t="str">
        <f ca="1">IFERROR(__xludf.DUMMYFUNCTION("""COMPUTED_VALUE"""),"Yes")</f>
        <v>Yes</v>
      </c>
      <c r="B9" s="4" t="str">
        <f ca="1">IFERROR(__xludf.DUMMYFUNCTION("""COMPUTED_VALUE"""),"Yes")</f>
        <v>Yes</v>
      </c>
      <c r="C9" s="96"/>
      <c r="D9" s="9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x14ac:dyDescent="0.25">
      <c r="A10" s="4" t="str">
        <f ca="1">IFERROR(__xludf.DUMMYFUNCTION("""COMPUTED_VALUE"""),"Yes")</f>
        <v>Yes</v>
      </c>
      <c r="B10" s="4" t="str">
        <f ca="1">IFERROR(__xludf.DUMMYFUNCTION("""COMPUTED_VALUE"""),"No")</f>
        <v>No</v>
      </c>
      <c r="C10" s="96"/>
      <c r="D10" s="96"/>
      <c r="E10" s="5" t="str">
        <f ca="1">IFERROR(__xludf.DUMMYFUNCTION("""COMPUTED_VALUE"""),"Availability")</f>
        <v>Availability</v>
      </c>
      <c r="F10" s="97" t="str">
        <f ca="1">IFERROR(__xludf.DUMMYFUNCTION("""COMPUTED_VALUE"""),"0:1")</f>
        <v>0:1</v>
      </c>
      <c r="G10" s="96"/>
      <c r="H10" s="96"/>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x14ac:dyDescent="0.25">
      <c r="A11" s="4" t="str">
        <f ca="1">IFERROR(__xludf.DUMMYFUNCTION("""COMPUTED_VALUE"""),"Yes")</f>
        <v>Yes</v>
      </c>
      <c r="B11" s="4" t="str">
        <f ca="1">IFERROR(__xludf.DUMMYFUNCTION("""COMPUTED_VALUE"""),"No")</f>
        <v>No</v>
      </c>
      <c r="C11" s="96"/>
      <c r="D11" s="96"/>
      <c r="E11" s="5" t="str">
        <f ca="1">IFERROR(__xludf.DUMMYFUNCTION("""COMPUTED_VALUE"""),"URL")</f>
        <v>URL</v>
      </c>
      <c r="F11" s="97" t="str">
        <f ca="1">IFERROR(__xludf.DUMMYFUNCTION("""COMPUTED_VALUE"""),"0:1")</f>
        <v>0:1</v>
      </c>
      <c r="G11" s="96"/>
      <c r="H11" s="96"/>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x14ac:dyDescent="0.25">
      <c r="A12" s="4" t="str">
        <f ca="1">IFERROR(__xludf.DUMMYFUNCTION("""COMPUTED_VALUE"""),"Yes")</f>
        <v>Yes</v>
      </c>
      <c r="B12" s="4" t="str">
        <f ca="1">IFERROR(__xludf.DUMMYFUNCTION("""COMPUTED_VALUE"""),"No")</f>
        <v>No</v>
      </c>
      <c r="C12" s="96"/>
      <c r="D12" s="96"/>
      <c r="E12" s="5" t="str">
        <f ca="1">IFERROR(__xludf.DUMMYFUNCTION("""COMPUTED_VALUE"""),"Format")</f>
        <v>Format</v>
      </c>
      <c r="F12" s="97" t="str">
        <f ca="1">IFERROR(__xludf.DUMMYFUNCTION("""COMPUTED_VALUE"""),"0:1")</f>
        <v>0:1</v>
      </c>
      <c r="G12" s="96"/>
      <c r="H12" s="96"/>
      <c r="I12" s="10"/>
      <c r="J12" s="4"/>
      <c r="K12" s="99" t="str">
        <f ca="1">E13</f>
        <v>References</v>
      </c>
      <c r="L12" s="96"/>
      <c r="M12" s="96"/>
      <c r="N12" s="96"/>
      <c r="O12" s="96"/>
      <c r="P12" s="96"/>
      <c r="Q12" s="96"/>
      <c r="R12" s="96"/>
      <c r="S12" s="96"/>
      <c r="T12" s="96"/>
      <c r="U12" s="96"/>
      <c r="V12" s="96"/>
      <c r="W12" s="4"/>
      <c r="X12" s="4"/>
      <c r="Y12" s="4"/>
      <c r="Z12" s="4"/>
      <c r="AA12" s="4"/>
      <c r="AB12" s="4"/>
      <c r="AC12" s="4"/>
      <c r="AD12" s="4"/>
      <c r="AE12" s="4"/>
      <c r="AF12" s="4"/>
      <c r="AG12" s="4"/>
      <c r="AH12" s="4"/>
      <c r="AI12" s="4"/>
      <c r="AJ12" s="4"/>
      <c r="AK12" s="4"/>
      <c r="AL12" s="4"/>
      <c r="AM12" s="4"/>
      <c r="AN12" s="4"/>
      <c r="AO12" s="4"/>
    </row>
    <row r="13" spans="1:41" ht="14" x14ac:dyDescent="0.3">
      <c r="A13" s="4" t="str">
        <f ca="1">IFERROR(__xludf.DUMMYFUNCTION("""COMPUTED_VALUE"""),"Yes")</f>
        <v>Yes</v>
      </c>
      <c r="B13" s="4" t="str">
        <f ca="1">IFERROR(__xludf.DUMMYFUNCTION("""COMPUTED_VALUE"""),"Yes")</f>
        <v>Yes</v>
      </c>
      <c r="C13" s="96"/>
      <c r="D13" s="96"/>
      <c r="E13" s="97" t="str">
        <f ca="1">IFERROR(__xludf.DUMMYFUNCTION("""COMPUTED_VALUE"""),"References")</f>
        <v>References</v>
      </c>
      <c r="F13" s="97"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x14ac:dyDescent="0.25">
      <c r="A14" s="4" t="str">
        <f ca="1">IFERROR(__xludf.DUMMYFUNCTION("""COMPUTED_VALUE"""),"Yes")</f>
        <v>Yes</v>
      </c>
      <c r="B14" s="4" t="str">
        <f ca="1">IFERROR(__xludf.DUMMYFUNCTION("""COMPUTED_VALUE"""),"Yes")</f>
        <v>Yes</v>
      </c>
      <c r="C14" s="96"/>
      <c r="D14" s="96"/>
      <c r="E14" s="96"/>
      <c r="F14" s="96"/>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x14ac:dyDescent="0.25">
      <c r="A15" s="4" t="str">
        <f ca="1">IFERROR(__xludf.DUMMYFUNCTION("""COMPUTED_VALUE"""),"Yes")</f>
        <v>Yes</v>
      </c>
      <c r="B15" s="4" t="str">
        <f ca="1">IFERROR(__xludf.DUMMYFUNCTION("""COMPUTED_VALUE"""),"No")</f>
        <v>No</v>
      </c>
      <c r="C15" s="96"/>
      <c r="D15" s="96"/>
      <c r="E15" s="96"/>
      <c r="F15" s="96"/>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x14ac:dyDescent="0.25">
      <c r="A16" s="4" t="str">
        <f ca="1">IFERROR(__xludf.DUMMYFUNCTION("""COMPUTED_VALUE"""),"Yes")</f>
        <v>Yes</v>
      </c>
      <c r="B16" s="4" t="str">
        <f ca="1">IFERROR(__xludf.DUMMYFUNCTION("""COMPUTED_VALUE"""),"No")</f>
        <v>No</v>
      </c>
      <c r="C16" s="96"/>
      <c r="D16" s="96"/>
      <c r="E16" s="96"/>
      <c r="F16" s="96"/>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x14ac:dyDescent="0.25">
      <c r="A17" s="4" t="str">
        <f ca="1">IFERROR(__xludf.DUMMYFUNCTION("""COMPUTED_VALUE"""),"Yes")</f>
        <v>Yes</v>
      </c>
      <c r="B17" s="4" t="str">
        <f ca="1">IFERROR(__xludf.DUMMYFUNCTION("""COMPUTED_VALUE"""),"Yes")</f>
        <v>Yes</v>
      </c>
      <c r="C17" s="96"/>
      <c r="D17" s="96"/>
      <c r="E17" s="96"/>
      <c r="F17" s="96"/>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x14ac:dyDescent="0.25">
      <c r="A18" s="4" t="str">
        <f ca="1">IFERROR(__xludf.DUMMYFUNCTION("""COMPUTED_VALUE"""),"Yes")</f>
        <v>Yes</v>
      </c>
      <c r="B18" s="4" t="str">
        <f ca="1">IFERROR(__xludf.DUMMYFUNCTION("""COMPUTED_VALUE"""),"No")</f>
        <v>No</v>
      </c>
      <c r="C18" s="96"/>
      <c r="D18" s="96"/>
      <c r="E18" s="96"/>
      <c r="F18" s="96"/>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x14ac:dyDescent="0.25">
      <c r="A19" s="4" t="str">
        <f ca="1">IFERROR(__xludf.DUMMYFUNCTION("""COMPUTED_VALUE"""),"Yes")</f>
        <v>Yes</v>
      </c>
      <c r="B19" s="4" t="str">
        <f ca="1">IFERROR(__xludf.DUMMYFUNCTION("""COMPUTED_VALUE"""),"Yes")</f>
        <v>Yes</v>
      </c>
      <c r="C19" s="96"/>
      <c r="D19" s="96"/>
      <c r="E19" s="96"/>
      <c r="F19" s="96"/>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x14ac:dyDescent="0.25">
      <c r="A20" s="4" t="str">
        <f ca="1">IFERROR(__xludf.DUMMYFUNCTION("""COMPUTED_VALUE"""),"Yes")</f>
        <v>Yes</v>
      </c>
      <c r="B20" s="4" t="str">
        <f ca="1">IFERROR(__xludf.DUMMYFUNCTION("""COMPUTED_VALUE"""),"No")</f>
        <v>No</v>
      </c>
      <c r="C20" s="96"/>
      <c r="D20" s="96"/>
      <c r="E20" s="96"/>
      <c r="F20" s="96"/>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x14ac:dyDescent="0.25">
      <c r="A21" s="4" t="str">
        <f ca="1">IFERROR(__xludf.DUMMYFUNCTION("""COMPUTED_VALUE"""),"Yes")</f>
        <v>Yes</v>
      </c>
      <c r="B21" s="4" t="str">
        <f ca="1">IFERROR(__xludf.DUMMYFUNCTION("""COMPUTED_VALUE"""),"No")</f>
        <v>No</v>
      </c>
      <c r="C21" s="96"/>
      <c r="D21" s="96"/>
      <c r="E21" s="96"/>
      <c r="F21" s="96"/>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x14ac:dyDescent="0.25">
      <c r="A22" s="4" t="str">
        <f ca="1">IFERROR(__xludf.DUMMYFUNCTION("""COMPUTED_VALUE"""),"Yes")</f>
        <v>Yes</v>
      </c>
      <c r="B22" s="4" t="str">
        <f ca="1">IFERROR(__xludf.DUMMYFUNCTION("""COMPUTED_VALUE"""),"No")</f>
        <v>No</v>
      </c>
      <c r="C22" s="96"/>
      <c r="D22" s="96"/>
      <c r="E22" s="96"/>
      <c r="F22" s="96"/>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x14ac:dyDescent="0.3">
      <c r="A23" s="4" t="str">
        <f ca="1">IFERROR(__xludf.DUMMYFUNCTION("""COMPUTED_VALUE"""),"Yes")</f>
        <v>Yes</v>
      </c>
      <c r="B23" s="4" t="str">
        <f ca="1">IFERROR(__xludf.DUMMYFUNCTION("""COMPUTED_VALUE"""),"No")</f>
        <v>No</v>
      </c>
      <c r="C23" s="96"/>
      <c r="D23" s="96"/>
      <c r="E23" s="96"/>
      <c r="F23" s="96"/>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x14ac:dyDescent="0.25">
      <c r="A24" s="4" t="str">
        <f ca="1">IFERROR(__xludf.DUMMYFUNCTION("""COMPUTED_VALUE"""),"Yes")</f>
        <v>Yes</v>
      </c>
      <c r="B24" s="4" t="str">
        <f ca="1">IFERROR(__xludf.DUMMYFUNCTION("""COMPUTED_VALUE"""),"No")</f>
        <v>No</v>
      </c>
      <c r="C24" s="96"/>
      <c r="D24" s="96"/>
      <c r="E24" s="96"/>
      <c r="F24" s="96"/>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2.5" x14ac:dyDescent="0.25">
      <c r="A25" s="4" t="str">
        <f ca="1">IFERROR(__xludf.DUMMYFUNCTION("""COMPUTED_VALUE"""),"Yes")</f>
        <v>Yes</v>
      </c>
      <c r="B25" s="4" t="str">
        <f ca="1">IFERROR(__xludf.DUMMYFUNCTION("""COMPUTED_VALUE"""),"No")</f>
        <v>No</v>
      </c>
      <c r="C25" s="96"/>
      <c r="D25" s="96"/>
      <c r="E25" s="5" t="str">
        <f ca="1">IFERROR(__xludf.DUMMYFUNCTION("""COMPUTED_VALUE"""),"Language")</f>
        <v>Language</v>
      </c>
      <c r="F25" s="97" t="str">
        <f ca="1">IFERROR(__xludf.DUMMYFUNCTION("""COMPUTED_VALUE"""),"0:1")</f>
        <v>0:1</v>
      </c>
      <c r="G25" s="96"/>
      <c r="H25" s="96"/>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x14ac:dyDescent="0.25">
      <c r="A26" s="4" t="str">
        <f ca="1">IFERROR(__xludf.DUMMYFUNCTION("""COMPUTED_VALUE"""),"Yes")</f>
        <v>Yes</v>
      </c>
      <c r="B26" s="4" t="str">
        <f ca="1">IFERROR(__xludf.DUMMYFUNCTION("""COMPUTED_VALUE"""),"No")</f>
        <v>No</v>
      </c>
      <c r="C26" s="96"/>
      <c r="D26" s="96"/>
      <c r="E26" s="5" t="str">
        <f ca="1">IFERROR(__xludf.DUMMYFUNCTION("""COMPUTED_VALUE"""),"Software")</f>
        <v>Software</v>
      </c>
      <c r="F26" s="97" t="str">
        <f ca="1">IFERROR(__xludf.DUMMYFUNCTION("""COMPUTED_VALUE"""),"0:1")</f>
        <v>0:1</v>
      </c>
      <c r="G26" s="96"/>
      <c r="H26" s="96"/>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x14ac:dyDescent="0.25">
      <c r="A27" s="4" t="str">
        <f ca="1">IFERROR(__xludf.DUMMYFUNCTION("""COMPUTED_VALUE"""),"Yes")</f>
        <v>Yes</v>
      </c>
      <c r="B27" s="4" t="str">
        <f ca="1">IFERROR(__xludf.DUMMYFUNCTION("""COMPUTED_VALUE"""),"Yes")</f>
        <v>Yes</v>
      </c>
      <c r="C27" s="96"/>
      <c r="D27" s="96"/>
      <c r="E27" s="5" t="str">
        <f ca="1">IFERROR(__xludf.DUMMYFUNCTION("""COMPUTED_VALUE"""),"Language written in")</f>
        <v>Language written in</v>
      </c>
      <c r="F27" s="97" t="str">
        <f ca="1">IFERROR(__xludf.DUMMYFUNCTION("""COMPUTED_VALUE"""),"1")</f>
        <v>1</v>
      </c>
      <c r="G27" s="96"/>
      <c r="H27" s="96"/>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x14ac:dyDescent="0.25">
      <c r="A28" s="4" t="str">
        <f ca="1">IFERROR(__xludf.DUMMYFUNCTION("""COMPUTED_VALUE"""),"Yes")</f>
        <v>Yes</v>
      </c>
      <c r="B28" s="4" t="str">
        <f ca="1">IFERROR(__xludf.DUMMYFUNCTION("""COMPUTED_VALUE"""),"No")</f>
        <v>No</v>
      </c>
      <c r="C28" s="96"/>
      <c r="D28" s="96"/>
      <c r="E28" s="97" t="str">
        <f ca="1">IFERROR(__xludf.DUMMYFUNCTION("""COMPUTED_VALUE"""),"Model category")</f>
        <v>Model category</v>
      </c>
      <c r="F28" s="97" t="str">
        <f ca="1">IFERROR(__xludf.DUMMYFUNCTION("""COMPUTED_VALUE"""),"0:1")</f>
        <v>0:1</v>
      </c>
      <c r="G28" s="5" t="str">
        <f ca="1">IFERROR(__xludf.DUMMYFUNCTION("""COMPUTED_VALUE"""),"Model Class")</f>
        <v>Model Class</v>
      </c>
      <c r="H28" s="5" t="str">
        <f ca="1">IFERROR(__xludf.DUMMYFUNCTION("""COMPUTED_VALUE"""),"1")</f>
        <v>1</v>
      </c>
      <c r="I28" s="4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x14ac:dyDescent="0.25">
      <c r="A29" s="4" t="str">
        <f ca="1">IFERROR(__xludf.DUMMYFUNCTION("""COMPUTED_VALUE"""),"Yes")</f>
        <v>Yes</v>
      </c>
      <c r="B29" s="4" t="str">
        <f ca="1">IFERROR(__xludf.DUMMYFUNCTION("""COMPUTED_VALUE"""),"No")</f>
        <v>No</v>
      </c>
      <c r="C29" s="96"/>
      <c r="D29" s="96"/>
      <c r="E29" s="96"/>
      <c r="F29" s="96"/>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x14ac:dyDescent="0.25">
      <c r="A30" s="4" t="str">
        <f ca="1">IFERROR(__xludf.DUMMYFUNCTION("""COMPUTED_VALUE"""),"Yes")</f>
        <v>Yes</v>
      </c>
      <c r="B30" s="4" t="str">
        <f ca="1">IFERROR(__xludf.DUMMYFUNCTION("""COMPUTED_VALUE"""),"No")</f>
        <v>No</v>
      </c>
      <c r="C30" s="96"/>
      <c r="D30" s="96"/>
      <c r="E30" s="96"/>
      <c r="F30" s="96"/>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x14ac:dyDescent="0.25">
      <c r="A31" s="4" t="str">
        <f ca="1">IFERROR(__xludf.DUMMYFUNCTION("""COMPUTED_VALUE"""),"Yes")</f>
        <v>Yes</v>
      </c>
      <c r="B31" s="4" t="str">
        <f ca="1">IFERROR(__xludf.DUMMYFUNCTION("""COMPUTED_VALUE"""),"No")</f>
        <v>No</v>
      </c>
      <c r="C31" s="96"/>
      <c r="D31" s="96"/>
      <c r="E31" s="96"/>
      <c r="F31" s="96"/>
      <c r="G31" s="5" t="str">
        <f ca="1">IFERROR(__xludf.DUMMYFUNCTION("""COMPUTED_VALUE"""),"Basic process")</f>
        <v>Basic process</v>
      </c>
      <c r="H31" s="5" t="str">
        <f ca="1">IFERROR(__xludf.DUMMYFUNCTION("""COMPUTED_VALUE"""),"0:N")</f>
        <v>0:N</v>
      </c>
      <c r="I31" s="10"/>
      <c r="J31" s="4"/>
      <c r="K31" s="8"/>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x14ac:dyDescent="0.25">
      <c r="A32" s="4" t="str">
        <f ca="1">IFERROR(__xludf.DUMMYFUNCTION("""COMPUTED_VALUE"""),"Yes")</f>
        <v>Yes</v>
      </c>
      <c r="B32" s="4" t="str">
        <f ca="1">IFERROR(__xludf.DUMMYFUNCTION("""COMPUTED_VALUE"""),"No")</f>
        <v>No</v>
      </c>
      <c r="C32" s="96"/>
      <c r="D32" s="96"/>
      <c r="E32" s="96"/>
      <c r="F32" s="96"/>
      <c r="G32" s="5"/>
      <c r="H32" s="5"/>
      <c r="I32" s="15"/>
      <c r="J32" s="4"/>
      <c r="K32" s="8"/>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x14ac:dyDescent="0.25">
      <c r="A33" s="4" t="str">
        <f ca="1">IFERROR(__xludf.DUMMYFUNCTION("""COMPUTED_VALUE"""),"Yes")</f>
        <v>Yes</v>
      </c>
      <c r="B33" s="4" t="str">
        <f ca="1">IFERROR(__xludf.DUMMYFUNCTION("""COMPUTED_VALUE"""),"No")</f>
        <v>No</v>
      </c>
      <c r="C33" s="96"/>
      <c r="D33" s="96"/>
      <c r="E33" s="5" t="str">
        <f ca="1">IFERROR(__xludf.DUMMYFUNCTION("""COMPUTED_VALUE"""),"Status")</f>
        <v>Status</v>
      </c>
      <c r="F33" s="97" t="str">
        <f ca="1">IFERROR(__xludf.DUMMYFUNCTION("""COMPUTED_VALUE"""),"0:1")</f>
        <v>0:1</v>
      </c>
      <c r="G33" s="96"/>
      <c r="H33" s="96"/>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x14ac:dyDescent="0.25">
      <c r="A34" s="4" t="str">
        <f ca="1">IFERROR(__xludf.DUMMYFUNCTION("""COMPUTED_VALUE"""),"Yes")</f>
        <v>Yes</v>
      </c>
      <c r="B34" s="4" t="str">
        <f ca="1">IFERROR(__xludf.DUMMYFUNCTION("""COMPUTED_VALUE"""),"No")</f>
        <v>No</v>
      </c>
      <c r="C34" s="96"/>
      <c r="D34" s="96"/>
      <c r="E34" s="5" t="str">
        <f ca="1">IFERROR(__xludf.DUMMYFUNCTION("""COMPUTED_VALUE"""),"Objective")</f>
        <v>Objective</v>
      </c>
      <c r="F34" s="97" t="str">
        <f ca="1">IFERROR(__xludf.DUMMYFUNCTION("""COMPUTED_VALUE"""),"0:1")</f>
        <v>0:1</v>
      </c>
      <c r="G34" s="96"/>
      <c r="H34" s="96"/>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x14ac:dyDescent="0.25">
      <c r="A35" s="4" t="str">
        <f ca="1">IFERROR(__xludf.DUMMYFUNCTION("""COMPUTED_VALUE"""),"Yes")</f>
        <v>Yes</v>
      </c>
      <c r="B35" s="4" t="str">
        <f ca="1">IFERROR(__xludf.DUMMYFUNCTION("""COMPUTED_VALUE"""),"No")</f>
        <v>No</v>
      </c>
      <c r="C35" s="96"/>
      <c r="D35" s="96"/>
      <c r="E35" s="5" t="str">
        <f ca="1">IFERROR(__xludf.DUMMYFUNCTION("""COMPUTED_VALUE"""),"Description")</f>
        <v>Description</v>
      </c>
      <c r="F35" s="97" t="str">
        <f ca="1">IFERROR(__xludf.DUMMYFUNCTION("""COMPUTED_VALUE"""),"0:1")</f>
        <v>0:1</v>
      </c>
      <c r="G35" s="96"/>
      <c r="H35" s="96"/>
      <c r="I35" s="15"/>
    </row>
    <row r="36" spans="1:41" ht="12.5" x14ac:dyDescent="0.25">
      <c r="A36" s="4" t="str">
        <f ca="1">IFERROR(__xludf.DUMMYFUNCTION("""COMPUTED_VALUE"""),"Yes")</f>
        <v>Yes</v>
      </c>
      <c r="B36" s="4" t="str">
        <f ca="1">IFERROR(__xludf.DUMMYFUNCTION("""COMPUTED_VALUE"""),"Yes")</f>
        <v>Yes</v>
      </c>
      <c r="C36" s="95" t="str">
        <f ca="1">IFERROR(__xludf.DUMMYFUNCTION("""COMPUTED_VALUE"""),"Scope")</f>
        <v>Scope</v>
      </c>
      <c r="D36" s="100" t="str">
        <f ca="1">IFERROR(__xludf.DUMMYFUNCTION("""COMPUTED_VALUE"""),"1")</f>
        <v>1</v>
      </c>
      <c r="E36" s="97" t="str">
        <f ca="1">IFERROR(__xludf.DUMMYFUNCTION("""COMPUTED_VALUE"""),"Hazard")</f>
        <v>Hazard</v>
      </c>
      <c r="F36" s="97" t="str">
        <f ca="1">IFERROR(__xludf.DUMMYFUNCTION("""COMPUTED_VALUE"""),"1:N")</f>
        <v>1:N</v>
      </c>
      <c r="G36" s="5" t="str">
        <f ca="1">IFERROR(__xludf.DUMMYFUNCTION("""COMPUTED_VALUE"""),"Hazard type")</f>
        <v>Hazard type</v>
      </c>
      <c r="H36" s="5" t="str">
        <f ca="1">IFERROR(__xludf.DUMMYFUNCTION("""COMPUTED_VALUE"""),"0:1")</f>
        <v>0:1</v>
      </c>
      <c r="I36" s="13"/>
      <c r="J36" s="45"/>
      <c r="K36" s="99" t="str">
        <f ca="1">E36</f>
        <v>Hazard</v>
      </c>
      <c r="L36" s="96"/>
      <c r="M36" s="96"/>
      <c r="N36" s="96"/>
      <c r="O36" s="96"/>
      <c r="P36" s="96"/>
      <c r="Q36" s="96"/>
      <c r="R36" s="96"/>
      <c r="S36" s="96"/>
      <c r="T36" s="96"/>
      <c r="U36" s="96"/>
      <c r="V36" s="96"/>
      <c r="W36" s="96"/>
      <c r="X36" s="96"/>
      <c r="Y36" s="99" t="str">
        <f ca="1">E50</f>
        <v>Population Group</v>
      </c>
      <c r="Z36" s="96"/>
      <c r="AA36" s="96"/>
      <c r="AB36" s="96"/>
      <c r="AC36" s="96"/>
      <c r="AD36" s="96"/>
      <c r="AE36" s="96"/>
      <c r="AF36" s="96"/>
      <c r="AG36" s="96"/>
      <c r="AH36" s="96"/>
      <c r="AI36" s="96"/>
      <c r="AJ36" s="96"/>
      <c r="AK36" s="96"/>
      <c r="AL36" s="4"/>
      <c r="AM36" s="4"/>
      <c r="AN36" s="4"/>
      <c r="AO36" s="4"/>
    </row>
    <row r="37" spans="1:41" ht="12.5" x14ac:dyDescent="0.25">
      <c r="A37" s="4" t="str">
        <f ca="1">IFERROR(__xludf.DUMMYFUNCTION("""COMPUTED_VALUE"""),"Yes")</f>
        <v>Yes</v>
      </c>
      <c r="B37" s="4" t="str">
        <f ca="1">IFERROR(__xludf.DUMMYFUNCTION("""COMPUTED_VALUE"""),"Yes")</f>
        <v>Yes</v>
      </c>
      <c r="C37" s="96"/>
      <c r="D37" s="96"/>
      <c r="E37" s="96"/>
      <c r="F37" s="96"/>
      <c r="G37" s="5" t="str">
        <f ca="1">IFERROR(__xludf.DUMMYFUNCTION("""COMPUTED_VALUE"""),"Hazard name")</f>
        <v>Hazard name</v>
      </c>
      <c r="H37" s="5" t="str">
        <f ca="1">IFERROR(__xludf.DUMMYFUNCTION("""COMPUTED_VALUE"""),"1")</f>
        <v>1</v>
      </c>
      <c r="I37" s="13"/>
      <c r="K37" s="7" t="str">
        <f ca="1">G36</f>
        <v>Hazard type</v>
      </c>
      <c r="L37" s="7" t="str">
        <f ca="1">G37</f>
        <v>Hazard name</v>
      </c>
      <c r="M37" s="7" t="str">
        <f ca="1">G38</f>
        <v>Hazard description</v>
      </c>
      <c r="N37" s="5" t="str">
        <f ca="1">G39</f>
        <v>Hazard unit</v>
      </c>
      <c r="O37" s="5" t="str">
        <f ca="1">G40</f>
        <v>Adverse effect</v>
      </c>
      <c r="P37" s="5" t="str">
        <f ca="1">G41</f>
        <v>Source of contamination</v>
      </c>
      <c r="Q37" s="5" t="str">
        <f ca="1">G42</f>
        <v>Benchmark Dose (BMD)</v>
      </c>
      <c r="R37" s="7" t="str">
        <f ca="1">G43</f>
        <v>Maximum Residue Limit (MRL)</v>
      </c>
      <c r="S37" s="7" t="str">
        <f ca="1">G44</f>
        <v>No Observed Adverse Affect Level (NOAEL)</v>
      </c>
      <c r="T37" s="7" t="str">
        <f ca="1">G45</f>
        <v>Lowest Observed Adverse Effect Level (LOAEL)</v>
      </c>
      <c r="U37" s="7" t="str">
        <f ca="1">G46</f>
        <v>Acceptable Operator Exposure Level (AOEL)</v>
      </c>
      <c r="V37" s="7" t="str">
        <f ca="1">G47</f>
        <v>Acute Reference Dose (ARfD)</v>
      </c>
      <c r="W37" s="7" t="str">
        <f ca="1">G48</f>
        <v>Acceptable Daily Intake (ADI)</v>
      </c>
      <c r="X37" s="7" t="str">
        <f ca="1">G49</f>
        <v>Hazard ind/sum</v>
      </c>
      <c r="Y37" s="7" t="str">
        <f ca="1">G50</f>
        <v>Population name</v>
      </c>
      <c r="Z37" s="7" t="str">
        <f ca="1">G51</f>
        <v>Target population</v>
      </c>
      <c r="AA37" s="7" t="str">
        <f ca="1">G52</f>
        <v>Population Span (years)</v>
      </c>
      <c r="AB37" s="7" t="str">
        <f ca="1">G53</f>
        <v>Population description</v>
      </c>
      <c r="AC37" s="7" t="str">
        <f ca="1">G54</f>
        <v>Population age</v>
      </c>
      <c r="AD37" s="7" t="str">
        <f ca="1">G55</f>
        <v>Population gender</v>
      </c>
      <c r="AE37" s="7" t="str">
        <f ca="1">G56</f>
        <v>BMI</v>
      </c>
      <c r="AF37" s="7" t="str">
        <f ca="1">G57</f>
        <v>Special diet groups</v>
      </c>
      <c r="AG37" s="7" t="str">
        <f ca="1">G58</f>
        <v>Pattern consumption</v>
      </c>
      <c r="AH37" s="7" t="str">
        <f ca="1">G59</f>
        <v>Region</v>
      </c>
      <c r="AI37" s="7" t="str">
        <f ca="1">G60</f>
        <v>Country</v>
      </c>
      <c r="AJ37" s="7" t="str">
        <f ca="1">G61</f>
        <v>Risk and population factors</v>
      </c>
      <c r="AK37" s="7" t="str">
        <f ca="1">G62</f>
        <v>Season</v>
      </c>
      <c r="AL37" s="7"/>
      <c r="AM37" s="7"/>
      <c r="AN37" s="7"/>
      <c r="AO37" s="7"/>
    </row>
    <row r="38" spans="1:41" ht="12.5" x14ac:dyDescent="0.25">
      <c r="A38" s="4" t="str">
        <f ca="1">IFERROR(__xludf.DUMMYFUNCTION("""COMPUTED_VALUE"""),"Yes")</f>
        <v>Yes</v>
      </c>
      <c r="B38" s="4" t="str">
        <f ca="1">IFERROR(__xludf.DUMMYFUNCTION("""COMPUTED_VALUE"""),"Yes")</f>
        <v>Yes</v>
      </c>
      <c r="C38" s="96"/>
      <c r="D38" s="96"/>
      <c r="E38" s="96"/>
      <c r="F38" s="96"/>
      <c r="G38" s="20" t="str">
        <f ca="1">IFERROR(__xludf.DUMMYFUNCTION("""COMPUTED_VALUE"""),"Hazard description")</f>
        <v>Hazard description</v>
      </c>
      <c r="H38" s="5" t="str">
        <f ca="1">IFERROR(__xludf.DUMMYFUNCTION("""COMPUTED_VALUE"""),"0:1")</f>
        <v>0:1</v>
      </c>
      <c r="I38" s="13"/>
      <c r="K38" s="8" t="str">
        <f ca="1">H36</f>
        <v>0:1</v>
      </c>
      <c r="L38" s="8" t="str">
        <f ca="1">H37</f>
        <v>1</v>
      </c>
      <c r="M38" s="8" t="str">
        <f ca="1">H38</f>
        <v>0:1</v>
      </c>
      <c r="N38" s="8" t="str">
        <f ca="1">H39</f>
        <v>0:1</v>
      </c>
      <c r="O38" s="8" t="str">
        <f ca="1">H40</f>
        <v>0:1</v>
      </c>
      <c r="P38" s="8" t="str">
        <f ca="1">H41</f>
        <v>0:1</v>
      </c>
      <c r="Q38" s="8" t="str">
        <f ca="1">H42</f>
        <v>0:1</v>
      </c>
      <c r="R38" s="8" t="str">
        <f ca="1">H43</f>
        <v>0:1</v>
      </c>
      <c r="S38" s="8" t="str">
        <f ca="1">H44</f>
        <v>0:1</v>
      </c>
      <c r="T38" s="8" t="str">
        <f ca="1">H45</f>
        <v>0:1</v>
      </c>
      <c r="U38" s="8" t="str">
        <f ca="1">H46</f>
        <v>0:1</v>
      </c>
      <c r="V38" s="8" t="str">
        <f ca="1">H47</f>
        <v>0:1</v>
      </c>
      <c r="W38" s="8" t="str">
        <f ca="1">H48</f>
        <v>0:1</v>
      </c>
      <c r="X38" s="8" t="str">
        <f ca="1">H49</f>
        <v>0:1</v>
      </c>
      <c r="Y38" s="8" t="str">
        <f ca="1">H50</f>
        <v>1</v>
      </c>
      <c r="Z38" s="8" t="str">
        <f ca="1">H51</f>
        <v>0:1</v>
      </c>
      <c r="AA38" s="8" t="str">
        <f ca="1">H52</f>
        <v>0:N</v>
      </c>
      <c r="AB38" s="8" t="str">
        <f ca="1">H53</f>
        <v>0:N</v>
      </c>
      <c r="AC38" s="8" t="str">
        <f ca="1">H54</f>
        <v>0:N</v>
      </c>
      <c r="AD38" s="8" t="str">
        <f ca="1">H55</f>
        <v>0:1</v>
      </c>
      <c r="AE38" s="8" t="str">
        <f ca="1">H56</f>
        <v>0:N</v>
      </c>
      <c r="AF38" s="8" t="str">
        <f ca="1">H57</f>
        <v>0:N</v>
      </c>
      <c r="AG38" s="8" t="str">
        <f ca="1">H58</f>
        <v>0:N</v>
      </c>
      <c r="AH38" s="8" t="str">
        <f ca="1">H59</f>
        <v>0:N</v>
      </c>
      <c r="AI38" s="8" t="str">
        <f ca="1">H60</f>
        <v>0:N</v>
      </c>
      <c r="AJ38" s="8" t="str">
        <f ca="1">H61</f>
        <v>0:N</v>
      </c>
      <c r="AK38" s="8" t="str">
        <f ca="1">H62</f>
        <v>0:N</v>
      </c>
      <c r="AL38" s="8"/>
      <c r="AM38" s="8"/>
      <c r="AN38" s="8"/>
      <c r="AO38" s="8"/>
    </row>
    <row r="39" spans="1:41" ht="12.5" x14ac:dyDescent="0.25">
      <c r="A39" s="4" t="str">
        <f ca="1">IFERROR(__xludf.DUMMYFUNCTION("""COMPUTED_VALUE"""),"Yes")</f>
        <v>Yes</v>
      </c>
      <c r="B39" s="4" t="str">
        <f ca="1">IFERROR(__xludf.DUMMYFUNCTION("""COMPUTED_VALUE"""),"No")</f>
        <v>No</v>
      </c>
      <c r="C39" s="96"/>
      <c r="D39" s="96"/>
      <c r="E39" s="96"/>
      <c r="F39" s="96"/>
      <c r="G39" s="5" t="str">
        <f ca="1">IFERROR(__xludf.DUMMYFUNCTION("""COMPUTED_VALUE"""),"Hazard unit")</f>
        <v>Hazard unit</v>
      </c>
      <c r="H39" s="5" t="str">
        <f ca="1">IFERROR(__xludf.DUMMYFUNCTION("""COMPUTED_VALUE"""),"0:1")</f>
        <v>0:1</v>
      </c>
      <c r="I39" s="13"/>
      <c r="K39" s="15"/>
      <c r="L39" s="10"/>
      <c r="M39" s="15"/>
      <c r="N39" s="10"/>
      <c r="O39" s="10"/>
      <c r="P39" s="10"/>
      <c r="Q39" s="10"/>
      <c r="R39" s="10"/>
      <c r="S39" s="10"/>
      <c r="T39" s="10"/>
      <c r="U39" s="10"/>
      <c r="V39" s="10"/>
      <c r="W39" s="10"/>
      <c r="X39" s="15"/>
      <c r="Y39" s="10"/>
      <c r="Z39" s="10"/>
      <c r="AA39" s="10"/>
      <c r="AB39" s="10"/>
      <c r="AC39" s="10"/>
      <c r="AD39" s="10"/>
      <c r="AE39" s="10"/>
      <c r="AF39" s="10"/>
      <c r="AG39" s="10"/>
      <c r="AH39" s="10"/>
      <c r="AI39" s="10"/>
      <c r="AJ39" s="10"/>
      <c r="AK39" s="10"/>
      <c r="AL39" s="4"/>
      <c r="AM39" s="4"/>
      <c r="AN39" s="4"/>
      <c r="AO39" s="4"/>
    </row>
    <row r="40" spans="1:41" ht="12.5" x14ac:dyDescent="0.25">
      <c r="A40" s="4" t="str">
        <f ca="1">IFERROR(__xludf.DUMMYFUNCTION("""COMPUTED_VALUE"""),"Yes")</f>
        <v>Yes</v>
      </c>
      <c r="B40" s="4" t="str">
        <f ca="1">IFERROR(__xludf.DUMMYFUNCTION("""COMPUTED_VALUE"""),"No")</f>
        <v>No</v>
      </c>
      <c r="C40" s="96"/>
      <c r="D40" s="96"/>
      <c r="E40" s="96"/>
      <c r="F40" s="96"/>
      <c r="G40" s="5" t="str">
        <f ca="1">IFERROR(__xludf.DUMMYFUNCTION("""COMPUTED_VALUE"""),"Adverse effect")</f>
        <v>Adverse effect</v>
      </c>
      <c r="H40" s="5" t="str">
        <f ca="1">IFERROR(__xludf.DUMMYFUNCTION("""COMPUTED_VALUE"""),"0:1")</f>
        <v>0:1</v>
      </c>
      <c r="I40" s="13"/>
      <c r="J40" s="4"/>
      <c r="K40" s="15"/>
      <c r="L40" s="10"/>
      <c r="M40" s="15"/>
      <c r="N40" s="10"/>
      <c r="O40" s="10"/>
      <c r="P40" s="10"/>
      <c r="Q40" s="10"/>
      <c r="R40" s="10"/>
      <c r="S40" s="10"/>
      <c r="T40" s="10"/>
      <c r="U40" s="10"/>
      <c r="V40" s="10"/>
      <c r="W40" s="10"/>
      <c r="X40" s="15"/>
      <c r="Y40" s="10"/>
      <c r="Z40" s="10"/>
      <c r="AA40" s="10"/>
      <c r="AB40" s="10"/>
      <c r="AC40" s="10"/>
      <c r="AD40" s="10"/>
      <c r="AE40" s="10"/>
      <c r="AF40" s="10"/>
      <c r="AG40" s="10"/>
      <c r="AH40" s="10"/>
      <c r="AI40" s="10"/>
      <c r="AJ40" s="10"/>
      <c r="AK40" s="10"/>
      <c r="AL40" s="4"/>
      <c r="AM40" s="4"/>
      <c r="AN40" s="4"/>
      <c r="AO40" s="4"/>
    </row>
    <row r="41" spans="1:41" ht="12.5" x14ac:dyDescent="0.25">
      <c r="A41" s="4" t="str">
        <f ca="1">IFERROR(__xludf.DUMMYFUNCTION("""COMPUTED_VALUE"""),"Yes")</f>
        <v>Yes</v>
      </c>
      <c r="B41" s="4" t="str">
        <f ca="1">IFERROR(__xludf.DUMMYFUNCTION("""COMPUTED_VALUE"""),"No")</f>
        <v>No</v>
      </c>
      <c r="C41" s="96"/>
      <c r="D41" s="96"/>
      <c r="E41" s="96"/>
      <c r="F41" s="96"/>
      <c r="G41" s="5" t="str">
        <f ca="1">IFERROR(__xludf.DUMMYFUNCTION("""COMPUTED_VALUE"""),"Source of contamination")</f>
        <v>Source of contamination</v>
      </c>
      <c r="H41" s="5" t="str">
        <f ca="1">IFERROR(__xludf.DUMMYFUNCTION("""COMPUTED_VALUE"""),"0:1")</f>
        <v>0:1</v>
      </c>
      <c r="I41" s="13"/>
      <c r="J41" s="4"/>
      <c r="K41" s="15"/>
      <c r="L41" s="10"/>
      <c r="M41" s="15"/>
      <c r="N41" s="10"/>
      <c r="O41" s="10"/>
      <c r="P41" s="10"/>
      <c r="Q41" s="10"/>
      <c r="R41" s="10"/>
      <c r="S41" s="10"/>
      <c r="T41" s="10"/>
      <c r="U41" s="10"/>
      <c r="V41" s="10"/>
      <c r="W41" s="10"/>
      <c r="X41" s="15"/>
      <c r="Y41" s="10"/>
      <c r="Z41" s="10"/>
      <c r="AA41" s="10"/>
      <c r="AB41" s="10"/>
      <c r="AC41" s="10"/>
      <c r="AD41" s="10"/>
      <c r="AE41" s="10"/>
      <c r="AF41" s="10"/>
      <c r="AG41" s="10"/>
      <c r="AH41" s="10"/>
      <c r="AI41" s="10"/>
      <c r="AJ41" s="10"/>
      <c r="AK41" s="10"/>
      <c r="AL41" s="4"/>
      <c r="AM41" s="4"/>
      <c r="AN41" s="4"/>
      <c r="AO41" s="4"/>
    </row>
    <row r="42" spans="1:41" ht="12.5" x14ac:dyDescent="0.25">
      <c r="A42" s="4" t="str">
        <f ca="1">IFERROR(__xludf.DUMMYFUNCTION("""COMPUTED_VALUE"""),"Yes")</f>
        <v>Yes</v>
      </c>
      <c r="B42" s="4" t="str">
        <f ca="1">IFERROR(__xludf.DUMMYFUNCTION("""COMPUTED_VALUE"""),"No")</f>
        <v>No</v>
      </c>
      <c r="C42" s="96"/>
      <c r="D42" s="96"/>
      <c r="E42" s="96"/>
      <c r="F42" s="96"/>
      <c r="G42" s="5" t="str">
        <f ca="1">IFERROR(__xludf.DUMMYFUNCTION("""COMPUTED_VALUE"""),"Benchmark Dose (BMD)")</f>
        <v>Benchmark Dose (BMD)</v>
      </c>
      <c r="H42" s="5" t="str">
        <f ca="1">IFERROR(__xludf.DUMMYFUNCTION("""COMPUTED_VALUE"""),"0:1")</f>
        <v>0:1</v>
      </c>
      <c r="I42" s="13"/>
      <c r="J42" s="4"/>
      <c r="K42" s="15"/>
      <c r="L42" s="10"/>
      <c r="M42" s="15"/>
      <c r="N42" s="10"/>
      <c r="O42" s="10"/>
      <c r="P42" s="10"/>
      <c r="Q42" s="10"/>
      <c r="R42" s="10"/>
      <c r="S42" s="10"/>
      <c r="T42" s="10"/>
      <c r="U42" s="10"/>
      <c r="V42" s="10"/>
      <c r="W42" s="10"/>
      <c r="X42" s="15"/>
      <c r="Y42" s="10"/>
      <c r="Z42" s="10"/>
      <c r="AA42" s="10"/>
      <c r="AB42" s="10"/>
      <c r="AC42" s="10"/>
      <c r="AD42" s="10"/>
      <c r="AE42" s="10"/>
      <c r="AF42" s="10"/>
      <c r="AG42" s="10"/>
      <c r="AH42" s="10"/>
      <c r="AI42" s="10"/>
      <c r="AJ42" s="10"/>
      <c r="AK42" s="10"/>
      <c r="AL42" s="4"/>
      <c r="AM42" s="4"/>
      <c r="AN42" s="4"/>
      <c r="AO42" s="4"/>
    </row>
    <row r="43" spans="1:41" ht="12.5" x14ac:dyDescent="0.25">
      <c r="A43" s="4" t="str">
        <f ca="1">IFERROR(__xludf.DUMMYFUNCTION("""COMPUTED_VALUE"""),"Yes")</f>
        <v>Yes</v>
      </c>
      <c r="B43" s="4" t="str">
        <f ca="1">IFERROR(__xludf.DUMMYFUNCTION("""COMPUTED_VALUE"""),"No")</f>
        <v>No</v>
      </c>
      <c r="C43" s="96"/>
      <c r="D43" s="96"/>
      <c r="E43" s="96"/>
      <c r="F43" s="96"/>
      <c r="G43" s="5" t="str">
        <f ca="1">IFERROR(__xludf.DUMMYFUNCTION("""COMPUTED_VALUE"""),"Maximum Residue Limit (MRL)")</f>
        <v>Maximum Residue Limit (MRL)</v>
      </c>
      <c r="H43" s="5" t="str">
        <f ca="1">IFERROR(__xludf.DUMMYFUNCTION("""COMPUTED_VALUE"""),"0:1")</f>
        <v>0:1</v>
      </c>
      <c r="I43" s="13"/>
      <c r="J43" s="4"/>
      <c r="K43" s="15"/>
      <c r="L43" s="10"/>
      <c r="M43" s="15"/>
      <c r="N43" s="10"/>
      <c r="O43" s="10"/>
      <c r="P43" s="10"/>
      <c r="Q43" s="10"/>
      <c r="R43" s="10"/>
      <c r="S43" s="10"/>
      <c r="T43" s="10"/>
      <c r="U43" s="10"/>
      <c r="V43" s="10"/>
      <c r="W43" s="10"/>
      <c r="X43" s="15"/>
      <c r="Y43" s="10"/>
      <c r="Z43" s="10"/>
      <c r="AA43" s="10"/>
      <c r="AB43" s="10"/>
      <c r="AC43" s="10"/>
      <c r="AD43" s="10"/>
      <c r="AE43" s="10"/>
      <c r="AF43" s="10"/>
      <c r="AG43" s="10"/>
      <c r="AH43" s="10"/>
      <c r="AI43" s="10"/>
      <c r="AJ43" s="10"/>
      <c r="AK43" s="10"/>
      <c r="AL43" s="4"/>
      <c r="AM43" s="4"/>
      <c r="AN43" s="4"/>
      <c r="AO43" s="4"/>
    </row>
    <row r="44" spans="1:41" ht="12.5" x14ac:dyDescent="0.25">
      <c r="A44" s="4" t="str">
        <f ca="1">IFERROR(__xludf.DUMMYFUNCTION("""COMPUTED_VALUE"""),"Yes")</f>
        <v>Yes</v>
      </c>
      <c r="B44" s="4" t="str">
        <f ca="1">IFERROR(__xludf.DUMMYFUNCTION("""COMPUTED_VALUE"""),"No")</f>
        <v>No</v>
      </c>
      <c r="C44" s="96"/>
      <c r="D44" s="96"/>
      <c r="E44" s="96"/>
      <c r="F44" s="96"/>
      <c r="G44" s="5" t="str">
        <f ca="1">IFERROR(__xludf.DUMMYFUNCTION("""COMPUTED_VALUE"""),"No Observed Adverse Affect Level (NOAEL)")</f>
        <v>No Observed Adverse Affect Level (NOAEL)</v>
      </c>
      <c r="H44" s="5" t="str">
        <f ca="1">IFERROR(__xludf.DUMMYFUNCTION("""COMPUTED_VALUE"""),"0:1")</f>
        <v>0:1</v>
      </c>
      <c r="I44" s="13"/>
      <c r="J44" s="4"/>
      <c r="K44" s="15"/>
      <c r="L44" s="10"/>
      <c r="M44" s="15"/>
      <c r="N44" s="10"/>
      <c r="O44" s="10"/>
      <c r="P44" s="10"/>
      <c r="Q44" s="10"/>
      <c r="R44" s="10"/>
      <c r="S44" s="10"/>
      <c r="T44" s="10"/>
      <c r="U44" s="10"/>
      <c r="V44" s="10"/>
      <c r="W44" s="10"/>
      <c r="X44" s="15"/>
      <c r="Y44" s="10"/>
      <c r="Z44" s="10"/>
      <c r="AA44" s="10"/>
      <c r="AB44" s="10"/>
      <c r="AC44" s="10"/>
      <c r="AD44" s="10"/>
      <c r="AE44" s="10"/>
      <c r="AF44" s="10"/>
      <c r="AG44" s="10"/>
      <c r="AH44" s="10"/>
      <c r="AI44" s="10"/>
      <c r="AJ44" s="10"/>
      <c r="AK44" s="10"/>
      <c r="AL44" s="4"/>
      <c r="AM44" s="4"/>
      <c r="AN44" s="4"/>
      <c r="AO44" s="4"/>
    </row>
    <row r="45" spans="1:41" ht="12.5" x14ac:dyDescent="0.25">
      <c r="A45" s="4" t="str">
        <f ca="1">IFERROR(__xludf.DUMMYFUNCTION("""COMPUTED_VALUE"""),"Yes")</f>
        <v>Yes</v>
      </c>
      <c r="B45" s="4" t="str">
        <f ca="1">IFERROR(__xludf.DUMMYFUNCTION("""COMPUTED_VALUE"""),"No")</f>
        <v>No</v>
      </c>
      <c r="C45" s="96"/>
      <c r="D45" s="96"/>
      <c r="E45" s="96"/>
      <c r="F45" s="96"/>
      <c r="G45" s="5" t="str">
        <f ca="1">IFERROR(__xludf.DUMMYFUNCTION("""COMPUTED_VALUE"""),"Lowest Observed Adverse Effect Level (LOAEL)")</f>
        <v>Lowest Observed Adverse Effect Level (LOAEL)</v>
      </c>
      <c r="H45" s="5" t="str">
        <f ca="1">IFERROR(__xludf.DUMMYFUNCTION("""COMPUTED_VALUE"""),"0:1")</f>
        <v>0:1</v>
      </c>
      <c r="I45" s="13"/>
      <c r="J45" s="4"/>
      <c r="K45" s="15"/>
      <c r="L45" s="10"/>
      <c r="M45" s="15"/>
      <c r="N45" s="10"/>
      <c r="O45" s="10"/>
      <c r="P45" s="10"/>
      <c r="Q45" s="10"/>
      <c r="R45" s="10"/>
      <c r="S45" s="10"/>
      <c r="T45" s="10"/>
      <c r="U45" s="10"/>
      <c r="V45" s="10"/>
      <c r="W45" s="10"/>
      <c r="X45" s="15"/>
      <c r="Y45" s="10"/>
      <c r="Z45" s="10"/>
      <c r="AA45" s="10"/>
      <c r="AB45" s="10"/>
      <c r="AC45" s="10"/>
      <c r="AD45" s="10"/>
      <c r="AE45" s="10"/>
      <c r="AF45" s="10"/>
      <c r="AG45" s="10"/>
      <c r="AH45" s="10"/>
      <c r="AI45" s="10"/>
      <c r="AJ45" s="10"/>
      <c r="AK45" s="10"/>
      <c r="AL45" s="4"/>
      <c r="AM45" s="4"/>
      <c r="AN45" s="4"/>
      <c r="AO45" s="4"/>
    </row>
    <row r="46" spans="1:41" ht="12.5" x14ac:dyDescent="0.25">
      <c r="A46" s="4" t="str">
        <f ca="1">IFERROR(__xludf.DUMMYFUNCTION("""COMPUTED_VALUE"""),"Yes")</f>
        <v>Yes</v>
      </c>
      <c r="B46" s="4" t="str">
        <f ca="1">IFERROR(__xludf.DUMMYFUNCTION("""COMPUTED_VALUE"""),"No")</f>
        <v>No</v>
      </c>
      <c r="C46" s="96"/>
      <c r="D46" s="96"/>
      <c r="E46" s="96"/>
      <c r="F46" s="96"/>
      <c r="G46" s="5" t="str">
        <f ca="1">IFERROR(__xludf.DUMMYFUNCTION("""COMPUTED_VALUE"""),"Acceptable Operator Exposure Level (AOEL)")</f>
        <v>Acceptable Operator Exposure Level (AOEL)</v>
      </c>
      <c r="H46" s="5" t="str">
        <f ca="1">IFERROR(__xludf.DUMMYFUNCTION("""COMPUTED_VALUE"""),"0:1")</f>
        <v>0:1</v>
      </c>
      <c r="I46" s="13"/>
      <c r="J46" s="4"/>
      <c r="K46" s="15"/>
      <c r="L46" s="10"/>
      <c r="M46" s="15"/>
      <c r="N46" s="10"/>
      <c r="O46" s="10"/>
      <c r="P46" s="10"/>
      <c r="Q46" s="10"/>
      <c r="R46" s="10"/>
      <c r="S46" s="10"/>
      <c r="T46" s="10"/>
      <c r="U46" s="10"/>
      <c r="V46" s="10"/>
      <c r="W46" s="10"/>
      <c r="X46" s="15"/>
      <c r="Y46" s="10"/>
      <c r="Z46" s="10"/>
      <c r="AA46" s="10"/>
      <c r="AB46" s="10"/>
      <c r="AC46" s="10"/>
      <c r="AD46" s="10"/>
      <c r="AE46" s="10"/>
      <c r="AF46" s="10"/>
      <c r="AG46" s="10"/>
      <c r="AH46" s="10"/>
      <c r="AI46" s="10"/>
      <c r="AJ46" s="10"/>
      <c r="AK46" s="10"/>
      <c r="AL46" s="4"/>
      <c r="AM46" s="4"/>
      <c r="AN46" s="4"/>
      <c r="AO46" s="4"/>
    </row>
    <row r="47" spans="1:41" ht="12.5" x14ac:dyDescent="0.25">
      <c r="A47" s="4" t="str">
        <f ca="1">IFERROR(__xludf.DUMMYFUNCTION("""COMPUTED_VALUE"""),"Yes")</f>
        <v>Yes</v>
      </c>
      <c r="B47" s="4" t="str">
        <f ca="1">IFERROR(__xludf.DUMMYFUNCTION("""COMPUTED_VALUE"""),"No")</f>
        <v>No</v>
      </c>
      <c r="C47" s="96"/>
      <c r="D47" s="96"/>
      <c r="E47" s="96"/>
      <c r="F47" s="96"/>
      <c r="G47" s="5" t="str">
        <f ca="1">IFERROR(__xludf.DUMMYFUNCTION("""COMPUTED_VALUE"""),"Acute Reference Dose (ARfD)")</f>
        <v>Acute Reference Dose (ARfD)</v>
      </c>
      <c r="H47" s="5" t="str">
        <f ca="1">IFERROR(__xludf.DUMMYFUNCTION("""COMPUTED_VALUE"""),"0:1")</f>
        <v>0:1</v>
      </c>
      <c r="I47" s="13"/>
      <c r="J47" s="4"/>
      <c r="K47" s="15"/>
      <c r="L47" s="10"/>
      <c r="M47" s="15"/>
      <c r="N47" s="10"/>
      <c r="O47" s="10"/>
      <c r="P47" s="10"/>
      <c r="Q47" s="10"/>
      <c r="R47" s="10"/>
      <c r="S47" s="10"/>
      <c r="T47" s="10"/>
      <c r="U47" s="10"/>
      <c r="V47" s="10"/>
      <c r="W47" s="10"/>
      <c r="X47" s="15"/>
      <c r="Y47" s="10"/>
      <c r="Z47" s="10"/>
      <c r="AA47" s="10"/>
      <c r="AB47" s="10"/>
      <c r="AC47" s="10"/>
      <c r="AD47" s="10"/>
      <c r="AE47" s="10"/>
      <c r="AF47" s="10"/>
      <c r="AG47" s="10"/>
      <c r="AH47" s="10"/>
      <c r="AI47" s="10"/>
      <c r="AJ47" s="10"/>
      <c r="AK47" s="10"/>
      <c r="AL47" s="4"/>
      <c r="AM47" s="4"/>
      <c r="AN47" s="4"/>
      <c r="AO47" s="4"/>
    </row>
    <row r="48" spans="1:41" ht="12.5" x14ac:dyDescent="0.25">
      <c r="A48" s="4" t="str">
        <f ca="1">IFERROR(__xludf.DUMMYFUNCTION("""COMPUTED_VALUE"""),"Yes")</f>
        <v>Yes</v>
      </c>
      <c r="B48" s="4" t="str">
        <f ca="1">IFERROR(__xludf.DUMMYFUNCTION("""COMPUTED_VALUE"""),"No")</f>
        <v>No</v>
      </c>
      <c r="C48" s="96"/>
      <c r="D48" s="96"/>
      <c r="E48" s="96"/>
      <c r="F48" s="96"/>
      <c r="G48" s="5" t="str">
        <f ca="1">IFERROR(__xludf.DUMMYFUNCTION("""COMPUTED_VALUE"""),"Acceptable Daily Intake (ADI)")</f>
        <v>Acceptable Daily Intake (ADI)</v>
      </c>
      <c r="H48" s="5" t="str">
        <f ca="1">IFERROR(__xludf.DUMMYFUNCTION("""COMPUTED_VALUE"""),"0:1")</f>
        <v>0:1</v>
      </c>
      <c r="I48" s="13"/>
      <c r="J48" s="4"/>
      <c r="K48" s="15"/>
      <c r="L48" s="10"/>
      <c r="M48" s="15"/>
      <c r="N48" s="10"/>
      <c r="O48" s="10"/>
      <c r="P48" s="10"/>
      <c r="Q48" s="10"/>
      <c r="R48" s="10"/>
      <c r="S48" s="10"/>
      <c r="T48" s="10"/>
      <c r="U48" s="10"/>
      <c r="V48" s="10"/>
      <c r="W48" s="10"/>
      <c r="X48" s="15"/>
      <c r="Y48" s="10"/>
      <c r="Z48" s="10"/>
      <c r="AA48" s="10"/>
      <c r="AB48" s="10"/>
      <c r="AC48" s="10"/>
      <c r="AD48" s="10"/>
      <c r="AE48" s="10"/>
      <c r="AF48" s="10"/>
      <c r="AG48" s="10"/>
      <c r="AH48" s="10"/>
      <c r="AI48" s="10"/>
      <c r="AJ48" s="10"/>
      <c r="AK48" s="10"/>
      <c r="AL48" s="4"/>
      <c r="AM48" s="4"/>
      <c r="AN48" s="4"/>
      <c r="AO48" s="4"/>
    </row>
    <row r="49" spans="1:41" ht="12.5" x14ac:dyDescent="0.25">
      <c r="A49" s="4" t="str">
        <f ca="1">IFERROR(__xludf.DUMMYFUNCTION("""COMPUTED_VALUE"""),"Yes")</f>
        <v>Yes</v>
      </c>
      <c r="B49" s="4" t="str">
        <f ca="1">IFERROR(__xludf.DUMMYFUNCTION("""COMPUTED_VALUE"""),"No")</f>
        <v>No</v>
      </c>
      <c r="C49" s="96"/>
      <c r="D49" s="96"/>
      <c r="E49" s="96"/>
      <c r="F49" s="96"/>
      <c r="G49" s="5" t="str">
        <f ca="1">IFERROR(__xludf.DUMMYFUNCTION("""COMPUTED_VALUE"""),"Hazard ind/sum")</f>
        <v>Hazard ind/sum</v>
      </c>
      <c r="H49" s="5" t="str">
        <f ca="1">IFERROR(__xludf.DUMMYFUNCTION("""COMPUTED_VALUE"""),"0:1")</f>
        <v>0:1</v>
      </c>
      <c r="I49" s="13"/>
      <c r="J49" s="4"/>
      <c r="K49" s="15"/>
      <c r="L49" s="10"/>
      <c r="M49" s="15"/>
      <c r="N49" s="10"/>
      <c r="O49" s="10"/>
      <c r="P49" s="10"/>
      <c r="Q49" s="10"/>
      <c r="R49" s="10"/>
      <c r="S49" s="10"/>
      <c r="T49" s="10"/>
      <c r="U49" s="10"/>
      <c r="V49" s="10"/>
      <c r="W49" s="10"/>
      <c r="X49" s="15"/>
      <c r="Y49" s="10"/>
      <c r="Z49" s="10"/>
      <c r="AA49" s="10"/>
      <c r="AB49" s="10"/>
      <c r="AC49" s="10"/>
      <c r="AD49" s="10"/>
      <c r="AE49" s="10"/>
      <c r="AF49" s="10"/>
      <c r="AG49" s="10"/>
      <c r="AH49" s="10"/>
      <c r="AI49" s="10"/>
      <c r="AJ49" s="10"/>
      <c r="AK49" s="10"/>
      <c r="AL49" s="4"/>
      <c r="AM49" s="4"/>
      <c r="AN49" s="4"/>
      <c r="AO49" s="4"/>
    </row>
    <row r="50" spans="1:41" ht="12.5" x14ac:dyDescent="0.25">
      <c r="A50" s="4" t="str">
        <f ca="1">IFERROR(__xludf.DUMMYFUNCTION("""COMPUTED_VALUE"""),"Yes")</f>
        <v>Yes</v>
      </c>
      <c r="B50" s="4" t="str">
        <f ca="1">IFERROR(__xludf.DUMMYFUNCTION("""COMPUTED_VALUE"""),"Yes")</f>
        <v>Yes</v>
      </c>
      <c r="C50" s="96"/>
      <c r="D50" s="96"/>
      <c r="E50" s="97" t="str">
        <f ca="1">IFERROR(__xludf.DUMMYFUNCTION("""COMPUTED_VALUE"""),"Population Group")</f>
        <v>Population Group</v>
      </c>
      <c r="F50" s="97" t="str">
        <f ca="1">IFERROR(__xludf.DUMMYFUNCTION("""COMPUTED_VALUE"""),"1:N")</f>
        <v>1:N</v>
      </c>
      <c r="G50" s="5" t="str">
        <f ca="1">IFERROR(__xludf.DUMMYFUNCTION("""COMPUTED_VALUE"""),"Population name")</f>
        <v>Population name</v>
      </c>
      <c r="H50" s="5" t="str">
        <f ca="1">IFERROR(__xludf.DUMMYFUNCTION("""COMPUTED_VALUE"""),"1")</f>
        <v>1</v>
      </c>
      <c r="I50" s="13"/>
      <c r="J50" s="4"/>
      <c r="K50" s="15"/>
      <c r="L50" s="10"/>
      <c r="M50" s="15"/>
      <c r="N50" s="10"/>
      <c r="O50" s="10"/>
      <c r="P50" s="10"/>
      <c r="Q50" s="10"/>
      <c r="R50" s="10"/>
      <c r="S50" s="10"/>
      <c r="T50" s="10"/>
      <c r="U50" s="10"/>
      <c r="V50" s="10"/>
      <c r="W50" s="10"/>
      <c r="X50" s="15"/>
      <c r="Y50" s="10"/>
      <c r="Z50" s="10"/>
      <c r="AA50" s="10"/>
      <c r="AB50" s="10"/>
      <c r="AC50" s="10"/>
      <c r="AD50" s="10"/>
      <c r="AE50" s="10"/>
      <c r="AF50" s="10"/>
      <c r="AG50" s="10"/>
      <c r="AH50" s="10"/>
      <c r="AI50" s="10"/>
      <c r="AJ50" s="10"/>
      <c r="AK50" s="10"/>
      <c r="AL50" s="4"/>
      <c r="AM50" s="4"/>
      <c r="AN50" s="4"/>
      <c r="AO50" s="4"/>
    </row>
    <row r="51" spans="1:41" ht="12.5" x14ac:dyDescent="0.25">
      <c r="A51" s="4" t="str">
        <f ca="1">IFERROR(__xludf.DUMMYFUNCTION("""COMPUTED_VALUE"""),"Yes")</f>
        <v>Yes</v>
      </c>
      <c r="B51" s="4" t="str">
        <f ca="1">IFERROR(__xludf.DUMMYFUNCTION("""COMPUTED_VALUE"""),"No")</f>
        <v>No</v>
      </c>
      <c r="C51" s="96"/>
      <c r="D51" s="96"/>
      <c r="E51" s="96"/>
      <c r="F51" s="96"/>
      <c r="G51" s="5" t="str">
        <f ca="1">IFERROR(__xludf.DUMMYFUNCTION("""COMPUTED_VALUE"""),"Target population")</f>
        <v>Target population</v>
      </c>
      <c r="H51" s="5" t="str">
        <f ca="1">IFERROR(__xludf.DUMMYFUNCTION("""COMPUTED_VALUE"""),"0:1")</f>
        <v>0:1</v>
      </c>
      <c r="I51" s="13"/>
      <c r="J51" s="4"/>
      <c r="K51" s="8"/>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x14ac:dyDescent="0.25">
      <c r="A52" s="4" t="str">
        <f ca="1">IFERROR(__xludf.DUMMYFUNCTION("""COMPUTED_VALUE"""),"Yes")</f>
        <v>Yes</v>
      </c>
      <c r="B52" s="4" t="str">
        <f ca="1">IFERROR(__xludf.DUMMYFUNCTION("""COMPUTED_VALUE"""),"No")</f>
        <v>No</v>
      </c>
      <c r="C52" s="96"/>
      <c r="D52" s="96"/>
      <c r="E52" s="96"/>
      <c r="F52" s="96"/>
      <c r="G52" s="5" t="str">
        <f ca="1">IFERROR(__xludf.DUMMYFUNCTION("""COMPUTED_VALUE"""),"Population Span (years)")</f>
        <v>Population Span (years)</v>
      </c>
      <c r="H52" s="5" t="str">
        <f ca="1">IFERROR(__xludf.DUMMYFUNCTION("""COMPUTED_VALUE"""),"0:N")</f>
        <v>0:N</v>
      </c>
      <c r="I52" s="13"/>
      <c r="J52" s="4"/>
      <c r="K52" s="8"/>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x14ac:dyDescent="0.25">
      <c r="A53" s="4" t="str">
        <f ca="1">IFERROR(__xludf.DUMMYFUNCTION("""COMPUTED_VALUE"""),"Yes")</f>
        <v>Yes</v>
      </c>
      <c r="B53" s="4" t="str">
        <f ca="1">IFERROR(__xludf.DUMMYFUNCTION("""COMPUTED_VALUE"""),"No")</f>
        <v>No</v>
      </c>
      <c r="C53" s="96"/>
      <c r="D53" s="96"/>
      <c r="E53" s="96"/>
      <c r="F53" s="96"/>
      <c r="G53" s="5" t="str">
        <f ca="1">IFERROR(__xludf.DUMMYFUNCTION("""COMPUTED_VALUE"""),"Population description")</f>
        <v>Population description</v>
      </c>
      <c r="H53" s="5" t="str">
        <f ca="1">IFERROR(__xludf.DUMMYFUNCTION("""COMPUTED_VALUE"""),"0:N")</f>
        <v>0:N</v>
      </c>
      <c r="I53" s="13"/>
      <c r="J53" s="4"/>
      <c r="K53" s="8"/>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x14ac:dyDescent="0.25">
      <c r="A54" s="4" t="str">
        <f ca="1">IFERROR(__xludf.DUMMYFUNCTION("""COMPUTED_VALUE"""),"Yes")</f>
        <v>Yes</v>
      </c>
      <c r="B54" s="4" t="str">
        <f ca="1">IFERROR(__xludf.DUMMYFUNCTION("""COMPUTED_VALUE"""),"No")</f>
        <v>No</v>
      </c>
      <c r="C54" s="96"/>
      <c r="D54" s="96"/>
      <c r="E54" s="96"/>
      <c r="F54" s="96"/>
      <c r="G54" s="5" t="str">
        <f ca="1">IFERROR(__xludf.DUMMYFUNCTION("""COMPUTED_VALUE"""),"Population age")</f>
        <v>Population age</v>
      </c>
      <c r="H54" s="5" t="str">
        <f ca="1">IFERROR(__xludf.DUMMYFUNCTION("""COMPUTED_VALUE"""),"0:N")</f>
        <v>0:N</v>
      </c>
      <c r="I54" s="13"/>
      <c r="J54" s="4"/>
      <c r="K54" s="8"/>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x14ac:dyDescent="0.25">
      <c r="A55" s="4" t="str">
        <f ca="1">IFERROR(__xludf.DUMMYFUNCTION("""COMPUTED_VALUE"""),"Yes")</f>
        <v>Yes</v>
      </c>
      <c r="B55" s="4" t="str">
        <f ca="1">IFERROR(__xludf.DUMMYFUNCTION("""COMPUTED_VALUE"""),"No")</f>
        <v>No</v>
      </c>
      <c r="C55" s="96"/>
      <c r="D55" s="96"/>
      <c r="E55" s="96"/>
      <c r="F55" s="96"/>
      <c r="G55" s="5" t="str">
        <f ca="1">IFERROR(__xludf.DUMMYFUNCTION("""COMPUTED_VALUE"""),"Population gender")</f>
        <v>Population gender</v>
      </c>
      <c r="H55" s="5" t="str">
        <f ca="1">IFERROR(__xludf.DUMMYFUNCTION("""COMPUTED_VALUE"""),"0:1")</f>
        <v>0:1</v>
      </c>
      <c r="I55" s="13"/>
      <c r="J55" s="4"/>
      <c r="K55" s="8"/>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x14ac:dyDescent="0.25">
      <c r="A56" s="4" t="str">
        <f ca="1">IFERROR(__xludf.DUMMYFUNCTION("""COMPUTED_VALUE"""),"Yes")</f>
        <v>Yes</v>
      </c>
      <c r="B56" s="4" t="str">
        <f ca="1">IFERROR(__xludf.DUMMYFUNCTION("""COMPUTED_VALUE"""),"No")</f>
        <v>No</v>
      </c>
      <c r="C56" s="96"/>
      <c r="D56" s="96"/>
      <c r="E56" s="96"/>
      <c r="F56" s="96"/>
      <c r="G56" s="5" t="str">
        <f ca="1">IFERROR(__xludf.DUMMYFUNCTION("""COMPUTED_VALUE"""),"BMI")</f>
        <v>BMI</v>
      </c>
      <c r="H56" s="5" t="str">
        <f ca="1">IFERROR(__xludf.DUMMYFUNCTION("""COMPUTED_VALUE"""),"0:N")</f>
        <v>0:N</v>
      </c>
      <c r="I56" s="13"/>
      <c r="J56" s="4"/>
      <c r="K56" s="8"/>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x14ac:dyDescent="0.25">
      <c r="A57" s="4" t="str">
        <f ca="1">IFERROR(__xludf.DUMMYFUNCTION("""COMPUTED_VALUE"""),"Yes")</f>
        <v>Yes</v>
      </c>
      <c r="B57" s="4" t="str">
        <f ca="1">IFERROR(__xludf.DUMMYFUNCTION("""COMPUTED_VALUE"""),"No")</f>
        <v>No</v>
      </c>
      <c r="C57" s="96"/>
      <c r="D57" s="96"/>
      <c r="E57" s="96"/>
      <c r="F57" s="96"/>
      <c r="G57" s="5" t="str">
        <f ca="1">IFERROR(__xludf.DUMMYFUNCTION("""COMPUTED_VALUE"""),"Special diet groups")</f>
        <v>Special diet groups</v>
      </c>
      <c r="H57" s="5" t="str">
        <f ca="1">IFERROR(__xludf.DUMMYFUNCTION("""COMPUTED_VALUE"""),"0:N")</f>
        <v>0:N</v>
      </c>
      <c r="I57" s="13"/>
      <c r="J57" s="4"/>
      <c r="K57" s="8"/>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x14ac:dyDescent="0.25">
      <c r="A58" s="4" t="str">
        <f ca="1">IFERROR(__xludf.DUMMYFUNCTION("""COMPUTED_VALUE"""),"Yes")</f>
        <v>Yes</v>
      </c>
      <c r="B58" s="4" t="str">
        <f ca="1">IFERROR(__xludf.DUMMYFUNCTION("""COMPUTED_VALUE"""),"No")</f>
        <v>No</v>
      </c>
      <c r="C58" s="96"/>
      <c r="D58" s="96"/>
      <c r="E58" s="96"/>
      <c r="F58" s="96"/>
      <c r="G58" s="5" t="str">
        <f ca="1">IFERROR(__xludf.DUMMYFUNCTION("""COMPUTED_VALUE"""),"Pattern consumption")</f>
        <v>Pattern consumption</v>
      </c>
      <c r="H58" s="5" t="str">
        <f ca="1">IFERROR(__xludf.DUMMYFUNCTION("""COMPUTED_VALUE"""),"0:N")</f>
        <v>0:N</v>
      </c>
      <c r="I58" s="13"/>
      <c r="J58" s="4"/>
      <c r="K58" s="8"/>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x14ac:dyDescent="0.25">
      <c r="A59" s="4" t="str">
        <f ca="1">IFERROR(__xludf.DUMMYFUNCTION("""COMPUTED_VALUE"""),"Yes")</f>
        <v>Yes</v>
      </c>
      <c r="B59" s="4" t="str">
        <f ca="1">IFERROR(__xludf.DUMMYFUNCTION("""COMPUTED_VALUE"""),"No")</f>
        <v>No</v>
      </c>
      <c r="C59" s="96"/>
      <c r="D59" s="96"/>
      <c r="E59" s="96"/>
      <c r="F59" s="96"/>
      <c r="G59" s="5" t="str">
        <f ca="1">IFERROR(__xludf.DUMMYFUNCTION("""COMPUTED_VALUE"""),"Region")</f>
        <v>Region</v>
      </c>
      <c r="H59" s="5" t="str">
        <f ca="1">IFERROR(__xludf.DUMMYFUNCTION("""COMPUTED_VALUE"""),"0:N")</f>
        <v>0:N</v>
      </c>
      <c r="I59" s="13"/>
      <c r="J59" s="4"/>
      <c r="K59" s="8"/>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x14ac:dyDescent="0.25">
      <c r="A60" s="4" t="str">
        <f ca="1">IFERROR(__xludf.DUMMYFUNCTION("""COMPUTED_VALUE"""),"Yes")</f>
        <v>Yes</v>
      </c>
      <c r="B60" s="4" t="str">
        <f ca="1">IFERROR(__xludf.DUMMYFUNCTION("""COMPUTED_VALUE"""),"No")</f>
        <v>No</v>
      </c>
      <c r="C60" s="96"/>
      <c r="D60" s="96"/>
      <c r="E60" s="96"/>
      <c r="F60" s="96"/>
      <c r="G60" s="5" t="str">
        <f ca="1">IFERROR(__xludf.DUMMYFUNCTION("""COMPUTED_VALUE"""),"Country")</f>
        <v>Country</v>
      </c>
      <c r="H60" s="5" t="str">
        <f ca="1">IFERROR(__xludf.DUMMYFUNCTION("""COMPUTED_VALUE"""),"0:N")</f>
        <v>0:N</v>
      </c>
      <c r="I60" s="13"/>
      <c r="J60" s="4"/>
      <c r="K60" s="8"/>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x14ac:dyDescent="0.25">
      <c r="A61" s="4" t="str">
        <f ca="1">IFERROR(__xludf.DUMMYFUNCTION("""COMPUTED_VALUE"""),"Yes")</f>
        <v>Yes</v>
      </c>
      <c r="B61" s="4" t="str">
        <f ca="1">IFERROR(__xludf.DUMMYFUNCTION("""COMPUTED_VALUE"""),"No")</f>
        <v>No</v>
      </c>
      <c r="C61" s="96"/>
      <c r="D61" s="96"/>
      <c r="E61" s="96"/>
      <c r="F61" s="96"/>
      <c r="G61" s="5" t="str">
        <f ca="1">IFERROR(__xludf.DUMMYFUNCTION("""COMPUTED_VALUE"""),"Risk and population factors")</f>
        <v>Risk and population factors</v>
      </c>
      <c r="H61" s="5" t="str">
        <f ca="1">IFERROR(__xludf.DUMMYFUNCTION("""COMPUTED_VALUE"""),"0:N")</f>
        <v>0:N</v>
      </c>
      <c r="I61" s="13"/>
      <c r="J61" s="4"/>
      <c r="K61" s="8"/>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x14ac:dyDescent="0.25">
      <c r="A62" s="4" t="str">
        <f ca="1">IFERROR(__xludf.DUMMYFUNCTION("""COMPUTED_VALUE"""),"Yes")</f>
        <v>Yes</v>
      </c>
      <c r="B62" s="4" t="str">
        <f ca="1">IFERROR(__xludf.DUMMYFUNCTION("""COMPUTED_VALUE"""),"No")</f>
        <v>No</v>
      </c>
      <c r="C62" s="96"/>
      <c r="D62" s="96"/>
      <c r="E62" s="96"/>
      <c r="F62" s="96"/>
      <c r="G62" s="5" t="str">
        <f ca="1">IFERROR(__xludf.DUMMYFUNCTION("""COMPUTED_VALUE"""),"Season")</f>
        <v>Season</v>
      </c>
      <c r="H62" s="5" t="str">
        <f ca="1">IFERROR(__xludf.DUMMYFUNCTION("""COMPUTED_VALUE"""),"0:N")</f>
        <v>0:N</v>
      </c>
      <c r="I62" s="13"/>
      <c r="J62" s="4"/>
      <c r="K62" s="8"/>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x14ac:dyDescent="0.25">
      <c r="A63" s="4" t="str">
        <f ca="1">IFERROR(__xludf.DUMMYFUNCTION("""COMPUTED_VALUE"""),"Yes")</f>
        <v>Yes</v>
      </c>
      <c r="B63" s="4" t="str">
        <f ca="1">IFERROR(__xludf.DUMMYFUNCTION("""COMPUTED_VALUE"""),"No")</f>
        <v>No</v>
      </c>
      <c r="C63" s="96"/>
      <c r="D63" s="96"/>
      <c r="E63" s="5" t="str">
        <f ca="1">IFERROR(__xludf.DUMMYFUNCTION("""COMPUTED_VALUE"""),"General comment")</f>
        <v>General comment</v>
      </c>
      <c r="F63" s="97" t="str">
        <f ca="1">IFERROR(__xludf.DUMMYFUNCTION("""COMPUTED_VALUE"""),"0:1")</f>
        <v>0:1</v>
      </c>
      <c r="G63" s="96"/>
      <c r="H63" s="96"/>
      <c r="I63" s="10"/>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x14ac:dyDescent="0.25">
      <c r="A64" s="4" t="str">
        <f ca="1">IFERROR(__xludf.DUMMYFUNCTION("""COMPUTED_VALUE"""),"Yes")</f>
        <v>Yes</v>
      </c>
      <c r="B64" s="4" t="str">
        <f ca="1">IFERROR(__xludf.DUMMYFUNCTION("""COMPUTED_VALUE"""),"No")</f>
        <v>No</v>
      </c>
      <c r="C64" s="96"/>
      <c r="D64" s="96"/>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10"/>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x14ac:dyDescent="0.25">
      <c r="A65" s="4" t="str">
        <f ca="1">IFERROR(__xludf.DUMMYFUNCTION("""COMPUTED_VALUE"""),"Yes")</f>
        <v>Yes</v>
      </c>
      <c r="B65" s="4" t="str">
        <f ca="1">IFERROR(__xludf.DUMMYFUNCTION("""COMPUTED_VALUE"""),"No")</f>
        <v>No</v>
      </c>
      <c r="C65" s="96"/>
      <c r="D65" s="96"/>
      <c r="E65" s="97" t="str">
        <f ca="1">IFERROR(__xludf.DUMMYFUNCTION("""COMPUTED_VALUE"""),"Spatial information")</f>
        <v>Spatial information</v>
      </c>
      <c r="F65" s="97" t="str">
        <f ca="1">IFERROR(__xludf.DUMMYFUNCTION("""COMPUTED_VALUE"""),"0:1")</f>
        <v>0:1</v>
      </c>
      <c r="G65" s="5" t="str">
        <f ca="1">IFERROR(__xludf.DUMMYFUNCTION("""COMPUTED_VALUE"""),"Region")</f>
        <v>Region</v>
      </c>
      <c r="H65" s="5" t="str">
        <f ca="1">IFERROR(__xludf.DUMMYFUNCTION("""COMPUTED_VALUE"""),"0:N")</f>
        <v>0:N</v>
      </c>
      <c r="I65" s="1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x14ac:dyDescent="0.25">
      <c r="A66" s="4" t="str">
        <f ca="1">IFERROR(__xludf.DUMMYFUNCTION("""COMPUTED_VALUE"""),"Yes")</f>
        <v>Yes</v>
      </c>
      <c r="B66" s="4" t="str">
        <f ca="1">IFERROR(__xludf.DUMMYFUNCTION("""COMPUTED_VALUE"""),"No")</f>
        <v>No</v>
      </c>
      <c r="C66" s="96"/>
      <c r="D66" s="96"/>
      <c r="E66" s="96"/>
      <c r="F66" s="96"/>
      <c r="G66" s="5" t="str">
        <f ca="1">IFERROR(__xludf.DUMMYFUNCTION("""COMPUTED_VALUE"""),"Country")</f>
        <v>Country</v>
      </c>
      <c r="H66" s="5" t="str">
        <f ca="1">IFERROR(__xludf.DUMMYFUNCTION("""COMPUTED_VALUE"""),"0:N")</f>
        <v>0:N</v>
      </c>
      <c r="I66" s="10"/>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x14ac:dyDescent="0.25">
      <c r="A67" s="4" t="str">
        <f ca="1">IFERROR(__xludf.DUMMYFUNCTION("""COMPUTED_VALUE"""),"Yes")</f>
        <v>Yes</v>
      </c>
      <c r="B67" s="4" t="str">
        <f ca="1">IFERROR(__xludf.DUMMYFUNCTION("""COMPUTED_VALUE"""),"No")</f>
        <v>No</v>
      </c>
      <c r="C67" s="95" t="str">
        <f ca="1">IFERROR(__xludf.DUMMYFUNCTION("""COMPUTED_VALUE"""),"Data_background")</f>
        <v>Data_background</v>
      </c>
      <c r="D67" s="100" t="str">
        <f ca="1">IFERROR(__xludf.DUMMYFUNCTION("""COMPUTED_VALUE"""),"0:1")</f>
        <v>0:1</v>
      </c>
      <c r="E67" s="97" t="str">
        <f ca="1">IFERROR(__xludf.DUMMYFUNCTION("""COMPUTED_VALUE"""),"Study")</f>
        <v>Study</v>
      </c>
      <c r="F67" s="97" t="str">
        <f ca="1">IFERROR(__xludf.DUMMYFUNCTION("""COMPUTED_VALUE"""),"1")</f>
        <v>1</v>
      </c>
      <c r="G67" s="5" t="str">
        <f ca="1">IFERROR(__xludf.DUMMYFUNCTION("""COMPUTED_VALUE"""),"Study Identifier")</f>
        <v>Study Identifier</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x14ac:dyDescent="0.25">
      <c r="A68" s="4" t="str">
        <f ca="1">IFERROR(__xludf.DUMMYFUNCTION("""COMPUTED_VALUE"""),"Yes")</f>
        <v>Yes</v>
      </c>
      <c r="B68" s="4" t="str">
        <f ca="1">IFERROR(__xludf.DUMMYFUNCTION("""COMPUTED_VALUE"""),"No")</f>
        <v>No</v>
      </c>
      <c r="C68" s="96"/>
      <c r="D68" s="96"/>
      <c r="E68" s="96"/>
      <c r="F68" s="96"/>
      <c r="G68" s="5" t="str">
        <f ca="1">IFERROR(__xludf.DUMMYFUNCTION("""COMPUTED_VALUE"""),"Study Title")</f>
        <v>Study Title</v>
      </c>
      <c r="H68" s="5" t="str">
        <f ca="1">IFERROR(__xludf.DUMMYFUNCTION("""COMPUTED_VALUE"""),"1")</f>
        <v>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x14ac:dyDescent="0.25">
      <c r="A69" s="4" t="str">
        <f ca="1">IFERROR(__xludf.DUMMYFUNCTION("""COMPUTED_VALUE"""),"Yes")</f>
        <v>Yes</v>
      </c>
      <c r="B69" s="4" t="str">
        <f ca="1">IFERROR(__xludf.DUMMYFUNCTION("""COMPUTED_VALUE"""),"No")</f>
        <v>No</v>
      </c>
      <c r="C69" s="96"/>
      <c r="D69" s="96"/>
      <c r="E69" s="96"/>
      <c r="F69" s="96"/>
      <c r="G69" s="5" t="str">
        <f ca="1">IFERROR(__xludf.DUMMYFUNCTION("""COMPUTED_VALUE"""),"Study Description")</f>
        <v>Study Description</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x14ac:dyDescent="0.25">
      <c r="A70" s="4" t="str">
        <f ca="1">IFERROR(__xludf.DUMMYFUNCTION("""COMPUTED_VALUE"""),"Yes")</f>
        <v>Yes</v>
      </c>
      <c r="B70" s="4" t="str">
        <f ca="1">IFERROR(__xludf.DUMMYFUNCTION("""COMPUTED_VALUE"""),"No")</f>
        <v>No</v>
      </c>
      <c r="C70" s="96"/>
      <c r="D70" s="96"/>
      <c r="E70" s="96"/>
      <c r="F70" s="96"/>
      <c r="G70" s="5" t="str">
        <f ca="1">IFERROR(__xludf.DUMMYFUNCTION("""COMPUTED_VALUE"""),"Study Design Type")</f>
        <v>Study Design Type</v>
      </c>
      <c r="H70" s="5" t="str">
        <f ca="1">IFERROR(__xludf.DUMMYFUNCTION("""COMPUTED_VALUE"""),"0:1")</f>
        <v>0:1</v>
      </c>
      <c r="I70" s="11"/>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x14ac:dyDescent="0.25">
      <c r="A71" s="4" t="str">
        <f ca="1">IFERROR(__xludf.DUMMYFUNCTION("""COMPUTED_VALUE"""),"Yes")</f>
        <v>Yes</v>
      </c>
      <c r="B71" s="4" t="str">
        <f ca="1">IFERROR(__xludf.DUMMYFUNCTION("""COMPUTED_VALUE"""),"No")</f>
        <v>No</v>
      </c>
      <c r="C71" s="96"/>
      <c r="D71" s="96"/>
      <c r="E71" s="96"/>
      <c r="F71" s="96"/>
      <c r="G71" s="5" t="str">
        <f ca="1">IFERROR(__xludf.DUMMYFUNCTION("""COMPUTED_VALUE"""),"Study Assay Measurement Type")</f>
        <v>Study Assay Measurement Type</v>
      </c>
      <c r="H71" s="5" t="str">
        <f ca="1">IFERROR(__xludf.DUMMYFUNCTION("""COMPUTED_VALUE"""),"0:1")</f>
        <v>0:1</v>
      </c>
      <c r="I71" s="11"/>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x14ac:dyDescent="0.25">
      <c r="A72" s="4" t="str">
        <f ca="1">IFERROR(__xludf.DUMMYFUNCTION("""COMPUTED_VALUE"""),"Yes")</f>
        <v>Yes</v>
      </c>
      <c r="B72" s="4" t="str">
        <f ca="1">IFERROR(__xludf.DUMMYFUNCTION("""COMPUTED_VALUE"""),"No")</f>
        <v>No</v>
      </c>
      <c r="C72" s="96"/>
      <c r="D72" s="96"/>
      <c r="E72" s="96"/>
      <c r="F72" s="96"/>
      <c r="G72" s="5" t="str">
        <f ca="1">IFERROR(__xludf.DUMMYFUNCTION("""COMPUTED_VALUE"""),"Study Assay Technology Type")</f>
        <v>Study Assay Technology Type</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x14ac:dyDescent="0.25">
      <c r="A73" s="4" t="str">
        <f ca="1">IFERROR(__xludf.DUMMYFUNCTION("""COMPUTED_VALUE"""),"Yes")</f>
        <v>Yes</v>
      </c>
      <c r="B73" s="4" t="str">
        <f ca="1">IFERROR(__xludf.DUMMYFUNCTION("""COMPUTED_VALUE"""),"No")</f>
        <v>No</v>
      </c>
      <c r="C73" s="96"/>
      <c r="D73" s="96"/>
      <c r="E73" s="96"/>
      <c r="F73" s="96"/>
      <c r="G73" s="5" t="str">
        <f ca="1">IFERROR(__xludf.DUMMYFUNCTION("""COMPUTED_VALUE"""),"Study Assay Technology Platform")</f>
        <v>Study Assay Technology Platform</v>
      </c>
      <c r="H73" s="5" t="str">
        <f ca="1">IFERROR(__xludf.DUMMYFUNCTION("""COMPUTED_VALUE"""),"0:1")</f>
        <v>0:1</v>
      </c>
      <c r="I73" s="10"/>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x14ac:dyDescent="0.25">
      <c r="A74" s="4" t="str">
        <f ca="1">IFERROR(__xludf.DUMMYFUNCTION("""COMPUTED_VALUE"""),"Yes")</f>
        <v>Yes</v>
      </c>
      <c r="B74" s="4" t="str">
        <f ca="1">IFERROR(__xludf.DUMMYFUNCTION("""COMPUTED_VALUE"""),"No")</f>
        <v>No</v>
      </c>
      <c r="C74" s="96"/>
      <c r="D74" s="96"/>
      <c r="E74" s="96"/>
      <c r="F74" s="96"/>
      <c r="G74" s="5" t="str">
        <f ca="1">IFERROR(__xludf.DUMMYFUNCTION("""COMPUTED_VALUE"""),"Accreditation procedure for the assay technology")</f>
        <v>Accreditation procedure for the assay technology</v>
      </c>
      <c r="H74" s="5" t="str">
        <f ca="1">IFERROR(__xludf.DUMMYFUNCTION("""COMPUTED_VALUE"""),"0:1")</f>
        <v>0:1</v>
      </c>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x14ac:dyDescent="0.25">
      <c r="A75" s="4" t="str">
        <f ca="1">IFERROR(__xludf.DUMMYFUNCTION("""COMPUTED_VALUE"""),"Yes")</f>
        <v>Yes</v>
      </c>
      <c r="B75" s="4" t="str">
        <f ca="1">IFERROR(__xludf.DUMMYFUNCTION("""COMPUTED_VALUE"""),"No")</f>
        <v>No</v>
      </c>
      <c r="C75" s="96"/>
      <c r="D75" s="96"/>
      <c r="E75" s="96"/>
      <c r="F75" s="96"/>
      <c r="G75" s="5" t="str">
        <f ca="1">IFERROR(__xludf.DUMMYFUNCTION("""COMPUTED_VALUE"""),"Study Protocol Name")</f>
        <v>Study Protocol Name</v>
      </c>
      <c r="H75" s="5" t="str">
        <f ca="1">IFERROR(__xludf.DUMMYFUNCTION("""COMPUTED_VALUE"""),"0:1")</f>
        <v>0:1</v>
      </c>
      <c r="I75" s="11"/>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row>
    <row r="76" spans="1:41" ht="12.5" x14ac:dyDescent="0.25">
      <c r="A76" s="4" t="str">
        <f ca="1">IFERROR(__xludf.DUMMYFUNCTION("""COMPUTED_VALUE"""),"Yes")</f>
        <v>Yes</v>
      </c>
      <c r="B76" s="4" t="str">
        <f ca="1">IFERROR(__xludf.DUMMYFUNCTION("""COMPUTED_VALUE"""),"No")</f>
        <v>No</v>
      </c>
      <c r="C76" s="96"/>
      <c r="D76" s="96"/>
      <c r="E76" s="96"/>
      <c r="F76" s="96"/>
      <c r="G76" s="5" t="str">
        <f ca="1">IFERROR(__xludf.DUMMYFUNCTION("""COMPUTED_VALUE"""),"Study Protocol Type")</f>
        <v>Study Protocol Type</v>
      </c>
      <c r="H76" s="5" t="str">
        <f ca="1">IFERROR(__xludf.DUMMYFUNCTION("""COMPUTED_VALUE"""),"0:1")</f>
        <v>0:1</v>
      </c>
      <c r="I76" s="11"/>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row>
    <row r="77" spans="1:41" ht="12.5" x14ac:dyDescent="0.25">
      <c r="A77" s="4" t="str">
        <f ca="1">IFERROR(__xludf.DUMMYFUNCTION("""COMPUTED_VALUE"""),"Yes")</f>
        <v>Yes</v>
      </c>
      <c r="B77" s="4" t="str">
        <f ca="1">IFERROR(__xludf.DUMMYFUNCTION("""COMPUTED_VALUE"""),"No")</f>
        <v>No</v>
      </c>
      <c r="C77" s="96"/>
      <c r="D77" s="96"/>
      <c r="E77" s="96"/>
      <c r="F77" s="96"/>
      <c r="G77" s="5" t="str">
        <f ca="1">IFERROR(__xludf.DUMMYFUNCTION("""COMPUTED_VALUE"""),"Study Protocol Description")</f>
        <v>Study Protocol Description</v>
      </c>
      <c r="H77" s="5" t="str">
        <f ca="1">IFERROR(__xludf.DUMMYFUNCTION("""COMPUTED_VALUE"""),"0:1")</f>
        <v>0:1</v>
      </c>
      <c r="I77" s="11"/>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row>
    <row r="78" spans="1:41" ht="12.5" x14ac:dyDescent="0.25">
      <c r="A78" s="4" t="str">
        <f ca="1">IFERROR(__xludf.DUMMYFUNCTION("""COMPUTED_VALUE"""),"Yes")</f>
        <v>Yes</v>
      </c>
      <c r="B78" s="4" t="str">
        <f ca="1">IFERROR(__xludf.DUMMYFUNCTION("""COMPUTED_VALUE"""),"No")</f>
        <v>No</v>
      </c>
      <c r="C78" s="96"/>
      <c r="D78" s="96"/>
      <c r="E78" s="96"/>
      <c r="F78" s="96"/>
      <c r="G78" s="5" t="str">
        <f ca="1">IFERROR(__xludf.DUMMYFUNCTION("""COMPUTED_VALUE"""),"Study Protocol URI")</f>
        <v>Study Protocol URI</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row>
    <row r="79" spans="1:41" ht="12.5" x14ac:dyDescent="0.25">
      <c r="A79" s="4" t="str">
        <f ca="1">IFERROR(__xludf.DUMMYFUNCTION("""COMPUTED_VALUE"""),"Yes")</f>
        <v>Yes</v>
      </c>
      <c r="B79" s="4" t="str">
        <f ca="1">IFERROR(__xludf.DUMMYFUNCTION("""COMPUTED_VALUE"""),"No")</f>
        <v>No</v>
      </c>
      <c r="C79" s="96"/>
      <c r="D79" s="96"/>
      <c r="E79" s="96"/>
      <c r="F79" s="96"/>
      <c r="G79" s="5" t="str">
        <f ca="1">IFERROR(__xludf.DUMMYFUNCTION("""COMPUTED_VALUE"""),"Study Protocol Version")</f>
        <v>Study Protocol Version</v>
      </c>
      <c r="H79" s="5" t="str">
        <f ca="1">IFERROR(__xludf.DUMMYFUNCTION("""COMPUTED_VALUE"""),"0:1")</f>
        <v>0:1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row>
    <row r="80" spans="1:41" ht="12.5" x14ac:dyDescent="0.25">
      <c r="A80" s="4" t="str">
        <f ca="1">IFERROR(__xludf.DUMMYFUNCTION("""COMPUTED_VALUE"""),"Yes")</f>
        <v>Yes</v>
      </c>
      <c r="B80" s="4" t="str">
        <f ca="1">IFERROR(__xludf.DUMMYFUNCTION("""COMPUTED_VALUE"""),"No")</f>
        <v>No</v>
      </c>
      <c r="C80" s="96"/>
      <c r="D80" s="96"/>
      <c r="E80" s="96"/>
      <c r="F80" s="96"/>
      <c r="G80" s="5" t="str">
        <f ca="1">IFERROR(__xludf.DUMMYFUNCTION("""COMPUTED_VALUE"""),"Study Protocol Parameters Name")</f>
        <v>Study Protocol Parameters Name</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row>
    <row r="81" spans="1:41" ht="12.5" x14ac:dyDescent="0.25">
      <c r="A81" s="4" t="str">
        <f ca="1">IFERROR(__xludf.DUMMYFUNCTION("""COMPUTED_VALUE"""),"Yes")</f>
        <v>Yes</v>
      </c>
      <c r="B81" s="4" t="str">
        <f ca="1">IFERROR(__xludf.DUMMYFUNCTION("""COMPUTED_VALUE"""),"No")</f>
        <v>No</v>
      </c>
      <c r="C81" s="96"/>
      <c r="D81" s="96"/>
      <c r="E81" s="96"/>
      <c r="F81" s="96"/>
      <c r="G81" s="5" t="str">
        <f ca="1">IFERROR(__xludf.DUMMYFUNCTION("""COMPUTED_VALUE"""),"Study Protocol Components Name")</f>
        <v>Study Protocol Components Name</v>
      </c>
      <c r="H81" s="5" t="str">
        <f ca="1">IFERROR(__xludf.DUMMYFUNCTION("""COMPUTED_VALUE"""),"0:1")</f>
        <v>0:1</v>
      </c>
      <c r="I81" s="11"/>
      <c r="J81" s="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row>
    <row r="82" spans="1:41" ht="12.5" x14ac:dyDescent="0.25">
      <c r="A82" s="4" t="str">
        <f ca="1">IFERROR(__xludf.DUMMYFUNCTION("""COMPUTED_VALUE"""),"Yes")</f>
        <v>Yes</v>
      </c>
      <c r="B82" s="4" t="str">
        <f ca="1">IFERROR(__xludf.DUMMYFUNCTION("""COMPUTED_VALUE"""),"No")</f>
        <v>No</v>
      </c>
      <c r="C82" s="96"/>
      <c r="D82" s="96"/>
      <c r="E82" s="96"/>
      <c r="F82" s="96"/>
      <c r="G82" s="5" t="str">
        <f ca="1">IFERROR(__xludf.DUMMYFUNCTION("""COMPUTED_VALUE"""),"Study Protocol Components Type")</f>
        <v>Study Protocol Components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row>
    <row r="83" spans="1:41" ht="12.5" x14ac:dyDescent="0.25">
      <c r="A83" s="4" t="str">
        <f ca="1">IFERROR(__xludf.DUMMYFUNCTION("""COMPUTED_VALUE"""),"Yes")</f>
        <v>Yes</v>
      </c>
      <c r="B83" s="4" t="str">
        <f ca="1">IFERROR(__xludf.DUMMYFUNCTION("""COMPUTED_VALUE"""),"No")</f>
        <v>No</v>
      </c>
      <c r="C83" s="96"/>
      <c r="D83" s="96"/>
      <c r="E83" s="97" t="str">
        <f ca="1">IFERROR(__xludf.DUMMYFUNCTION("""COMPUTED_VALUE"""),"Study Sample")</f>
        <v>Study Sample</v>
      </c>
      <c r="F83" s="97" t="str">
        <f ca="1">IFERROR(__xludf.DUMMYFUNCTION("""COMPUTED_VALUE"""),"0:N")</f>
        <v>0:N</v>
      </c>
      <c r="G83" s="5" t="str">
        <f ca="1">IFERROR(__xludf.DUMMYFUNCTION("""COMPUTED_VALUE"""),"Sample Name (ID)")</f>
        <v>Sample Name (ID)</v>
      </c>
      <c r="H83" s="5" t="str">
        <f ca="1">IFERROR(__xludf.DUMMYFUNCTION("""COMPUTED_VALUE"""),"1")</f>
        <v>1</v>
      </c>
      <c r="I83" s="41"/>
      <c r="J83" s="4"/>
      <c r="K83" s="99" t="str">
        <f ca="1">E83</f>
        <v>Study Sample</v>
      </c>
      <c r="L83" s="96"/>
      <c r="M83" s="96"/>
      <c r="N83" s="96"/>
      <c r="O83" s="96"/>
      <c r="P83" s="96"/>
      <c r="Q83" s="96"/>
      <c r="R83" s="96"/>
      <c r="S83" s="96"/>
      <c r="T83" s="96"/>
      <c r="U83" s="4"/>
      <c r="V83" s="4"/>
      <c r="W83" s="4"/>
      <c r="X83" s="4"/>
      <c r="Y83" s="4"/>
      <c r="Z83" s="4"/>
      <c r="AA83" s="4"/>
      <c r="AB83" s="4"/>
      <c r="AC83" s="4"/>
      <c r="AD83" s="4"/>
      <c r="AE83" s="4"/>
      <c r="AF83" s="4"/>
      <c r="AG83" s="4"/>
      <c r="AH83" s="4"/>
      <c r="AI83" s="4"/>
      <c r="AJ83" s="4"/>
      <c r="AK83" s="4"/>
      <c r="AL83" s="4"/>
      <c r="AM83" s="4"/>
      <c r="AN83" s="4"/>
      <c r="AO83" s="4"/>
    </row>
    <row r="84" spans="1:41" ht="12.5" x14ac:dyDescent="0.25">
      <c r="A84" s="4" t="str">
        <f ca="1">IFERROR(__xludf.DUMMYFUNCTION("""COMPUTED_VALUE"""),"Yes")</f>
        <v>Yes</v>
      </c>
      <c r="B84" s="4" t="str">
        <f ca="1">IFERROR(__xludf.DUMMYFUNCTION("""COMPUTED_VALUE"""),"No")</f>
        <v>No</v>
      </c>
      <c r="C84" s="96"/>
      <c r="D84" s="96"/>
      <c r="E84" s="96"/>
      <c r="F84" s="96"/>
      <c r="G84" s="5" t="str">
        <f ca="1">IFERROR(__xludf.DUMMYFUNCTION("""COMPUTED_VALUE"""),"Percentage of moisture")</f>
        <v>Percentage of moisture</v>
      </c>
      <c r="H84" s="5" t="str">
        <f ca="1">IFERROR(__xludf.DUMMYFUNCTION("""COMPUTED_VALUE"""),"0:1")</f>
        <v>0:1</v>
      </c>
      <c r="I84" s="41"/>
      <c r="J84" s="4"/>
      <c r="K84" s="7" t="str">
        <f ca="1">G83</f>
        <v>Sample Name (ID)</v>
      </c>
      <c r="L84" s="7" t="str">
        <f ca="1">G84</f>
        <v>Percentage of moisture</v>
      </c>
      <c r="M84" s="7" t="str">
        <f ca="1">G85</f>
        <v>Sampling strategy</v>
      </c>
      <c r="N84" s="7" t="str">
        <f ca="1">G86</f>
        <v>Type of sampling program</v>
      </c>
      <c r="O84" s="7" t="str">
        <f ca="1">G87</f>
        <v>Sampling method</v>
      </c>
      <c r="P84" s="7" t="str">
        <f ca="1">G88</f>
        <v>Sampling plan</v>
      </c>
      <c r="Q84" s="7" t="str">
        <f ca="1">G89</f>
        <v>Sampling weight</v>
      </c>
      <c r="R84" s="7" t="str">
        <f ca="1">G90</f>
        <v>Sampling size</v>
      </c>
      <c r="S84" s="7" t="str">
        <f ca="1">G91</f>
        <v>Lot size unit</v>
      </c>
      <c r="T84" s="7" t="str">
        <f ca="1">G92</f>
        <v>Sampling point</v>
      </c>
      <c r="U84" s="4"/>
      <c r="V84" s="4"/>
      <c r="W84" s="4"/>
      <c r="X84" s="4"/>
      <c r="Y84" s="4"/>
      <c r="Z84" s="4"/>
      <c r="AA84" s="4"/>
      <c r="AB84" s="4"/>
      <c r="AC84" s="4"/>
      <c r="AD84" s="4"/>
      <c r="AE84" s="4"/>
      <c r="AF84" s="4"/>
      <c r="AG84" s="4"/>
      <c r="AH84" s="4"/>
      <c r="AI84" s="4"/>
      <c r="AJ84" s="4"/>
      <c r="AK84" s="4"/>
      <c r="AL84" s="4"/>
      <c r="AM84" s="4"/>
      <c r="AN84" s="4"/>
      <c r="AO84" s="4"/>
    </row>
    <row r="85" spans="1:41" ht="12.5" x14ac:dyDescent="0.25">
      <c r="A85" s="4" t="str">
        <f ca="1">IFERROR(__xludf.DUMMYFUNCTION("""COMPUTED_VALUE"""),"Yes")</f>
        <v>Yes</v>
      </c>
      <c r="B85" s="4" t="str">
        <f ca="1">IFERROR(__xludf.DUMMYFUNCTION("""COMPUTED_VALUE"""),"No")</f>
        <v>No</v>
      </c>
      <c r="C85" s="96"/>
      <c r="D85" s="96"/>
      <c r="E85" s="96"/>
      <c r="F85" s="96"/>
      <c r="G85" s="5" t="str">
        <f ca="1">IFERROR(__xludf.DUMMYFUNCTION("""COMPUTED_VALUE"""),"Sampling strategy")</f>
        <v>Sampling strategy</v>
      </c>
      <c r="H85" s="5" t="str">
        <f ca="1">IFERROR(__xludf.DUMMYFUNCTION("""COMPUTED_VALUE"""),"0:1")</f>
        <v>0:1</v>
      </c>
      <c r="I85" s="41"/>
      <c r="J85" s="4"/>
      <c r="K85" s="4" t="str">
        <f ca="1">H83</f>
        <v>1</v>
      </c>
      <c r="L85" s="4" t="str">
        <f ca="1">H84</f>
        <v>0:1</v>
      </c>
      <c r="M85" s="4" t="str">
        <f ca="1">H85</f>
        <v>0:1</v>
      </c>
      <c r="N85" s="4" t="str">
        <f ca="1">H86</f>
        <v>0:1</v>
      </c>
      <c r="O85" s="4" t="str">
        <f ca="1">H87</f>
        <v>0:1</v>
      </c>
      <c r="P85" s="4" t="str">
        <f ca="1">H88</f>
        <v>1</v>
      </c>
      <c r="Q85" s="4" t="str">
        <f ca="1">H89</f>
        <v>1</v>
      </c>
      <c r="R85" s="4" t="str">
        <f ca="1">H90</f>
        <v>1</v>
      </c>
      <c r="S85" s="4" t="str">
        <f ca="1">H91</f>
        <v>0:1</v>
      </c>
      <c r="T85" s="4" t="str">
        <f ca="1">H92</f>
        <v>0:1</v>
      </c>
      <c r="U85" s="4"/>
      <c r="V85" s="4"/>
      <c r="W85" s="4"/>
      <c r="X85" s="4"/>
      <c r="Y85" s="4"/>
      <c r="Z85" s="4"/>
      <c r="AA85" s="4"/>
      <c r="AB85" s="4"/>
      <c r="AC85" s="4"/>
      <c r="AD85" s="4"/>
      <c r="AE85" s="4"/>
      <c r="AF85" s="4"/>
      <c r="AG85" s="4"/>
      <c r="AH85" s="4"/>
      <c r="AI85" s="4"/>
      <c r="AJ85" s="4"/>
      <c r="AK85" s="4"/>
      <c r="AL85" s="4"/>
      <c r="AM85" s="4"/>
      <c r="AN85" s="4"/>
      <c r="AO85" s="4"/>
    </row>
    <row r="86" spans="1:41" ht="12.5" x14ac:dyDescent="0.25">
      <c r="A86" s="4" t="str">
        <f ca="1">IFERROR(__xludf.DUMMYFUNCTION("""COMPUTED_VALUE"""),"Yes")</f>
        <v>Yes</v>
      </c>
      <c r="B86" s="4" t="str">
        <f ca="1">IFERROR(__xludf.DUMMYFUNCTION("""COMPUTED_VALUE"""),"No")</f>
        <v>No</v>
      </c>
      <c r="C86" s="96"/>
      <c r="D86" s="96"/>
      <c r="E86" s="96"/>
      <c r="F86" s="96"/>
      <c r="G86" s="5" t="str">
        <f ca="1">IFERROR(__xludf.DUMMYFUNCTION("""COMPUTED_VALUE"""),"Type of sampling program")</f>
        <v>Type of sampling program</v>
      </c>
      <c r="H86" s="5" t="str">
        <f ca="1">IFERROR(__xludf.DUMMYFUNCTION("""COMPUTED_VALUE"""),"0:1")</f>
        <v>0:1</v>
      </c>
      <c r="I86" s="41"/>
      <c r="J86" s="4"/>
      <c r="K86" s="10"/>
      <c r="L86" s="10"/>
      <c r="M86" s="10"/>
      <c r="N86" s="15"/>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x14ac:dyDescent="0.25">
      <c r="A87" s="4" t="str">
        <f ca="1">IFERROR(__xludf.DUMMYFUNCTION("""COMPUTED_VALUE"""),"Yes")</f>
        <v>Yes</v>
      </c>
      <c r="B87" s="4" t="str">
        <f ca="1">IFERROR(__xludf.DUMMYFUNCTION("""COMPUTED_VALUE"""),"No")</f>
        <v>No</v>
      </c>
      <c r="C87" s="96"/>
      <c r="D87" s="96"/>
      <c r="E87" s="96"/>
      <c r="F87" s="96"/>
      <c r="G87" s="5" t="str">
        <f ca="1">IFERROR(__xludf.DUMMYFUNCTION("""COMPUTED_VALUE"""),"Sampling method")</f>
        <v>Sampling method</v>
      </c>
      <c r="H87" s="5" t="str">
        <f ca="1">IFERROR(__xludf.DUMMYFUNCTION("""COMPUTED_VALUE"""),"0:1")</f>
        <v>0:1</v>
      </c>
      <c r="I87" s="41"/>
      <c r="J87" s="4"/>
      <c r="K87" s="10"/>
      <c r="L87" s="10"/>
      <c r="M87" s="10"/>
      <c r="N87" s="15"/>
      <c r="O87" s="10"/>
      <c r="P87" s="10"/>
      <c r="Q87" s="10"/>
      <c r="R87" s="10"/>
      <c r="S87" s="15"/>
      <c r="T87" s="10"/>
      <c r="U87" s="4"/>
      <c r="V87" s="4"/>
      <c r="W87" s="4"/>
      <c r="X87" s="4"/>
      <c r="Y87" s="4"/>
      <c r="Z87" s="4"/>
      <c r="AA87" s="4"/>
      <c r="AB87" s="4"/>
      <c r="AC87" s="4"/>
      <c r="AD87" s="4"/>
      <c r="AE87" s="4"/>
      <c r="AF87" s="4"/>
      <c r="AG87" s="4"/>
      <c r="AH87" s="4"/>
      <c r="AI87" s="4"/>
      <c r="AJ87" s="4"/>
      <c r="AK87" s="4"/>
      <c r="AL87" s="4"/>
      <c r="AM87" s="4"/>
      <c r="AN87" s="4"/>
      <c r="AO87" s="4"/>
    </row>
    <row r="88" spans="1:41" ht="12.5" x14ac:dyDescent="0.25">
      <c r="A88" s="4" t="str">
        <f ca="1">IFERROR(__xludf.DUMMYFUNCTION("""COMPUTED_VALUE"""),"Yes")</f>
        <v>Yes</v>
      </c>
      <c r="B88" s="4" t="str">
        <f ca="1">IFERROR(__xludf.DUMMYFUNCTION("""COMPUTED_VALUE"""),"No")</f>
        <v>No</v>
      </c>
      <c r="C88" s="96"/>
      <c r="D88" s="96"/>
      <c r="E88" s="96"/>
      <c r="F88" s="96"/>
      <c r="G88" s="5" t="str">
        <f ca="1">IFERROR(__xludf.DUMMYFUNCTION("""COMPUTED_VALUE"""),"Sampling plan")</f>
        <v>Sampling plan</v>
      </c>
      <c r="H88" s="5" t="str">
        <f ca="1">IFERROR(__xludf.DUMMYFUNCTION("""COMPUTED_VALUE"""),"1")</f>
        <v>1</v>
      </c>
      <c r="I88" s="41"/>
      <c r="J88" s="4"/>
      <c r="K88" s="10"/>
      <c r="L88" s="10"/>
      <c r="M88" s="10"/>
      <c r="N88" s="10"/>
      <c r="O88" s="10"/>
      <c r="P88" s="10"/>
      <c r="Q88" s="10"/>
      <c r="R88" s="10"/>
      <c r="S88" s="15"/>
      <c r="T88" s="10"/>
      <c r="U88" s="4"/>
      <c r="V88" s="4"/>
      <c r="W88" s="4"/>
      <c r="X88" s="4"/>
      <c r="Y88" s="4"/>
      <c r="Z88" s="4"/>
      <c r="AA88" s="4"/>
      <c r="AB88" s="4"/>
      <c r="AC88" s="4"/>
      <c r="AD88" s="4"/>
      <c r="AE88" s="4"/>
      <c r="AF88" s="4"/>
      <c r="AG88" s="4"/>
      <c r="AH88" s="4"/>
      <c r="AI88" s="4"/>
      <c r="AJ88" s="4"/>
      <c r="AK88" s="4"/>
      <c r="AL88" s="4"/>
      <c r="AM88" s="4"/>
      <c r="AN88" s="4"/>
      <c r="AO88" s="4"/>
    </row>
    <row r="89" spans="1:41" ht="12.5" x14ac:dyDescent="0.25">
      <c r="A89" s="4" t="str">
        <f ca="1">IFERROR(__xludf.DUMMYFUNCTION("""COMPUTED_VALUE"""),"Yes")</f>
        <v>Yes</v>
      </c>
      <c r="B89" s="4" t="str">
        <f ca="1">IFERROR(__xludf.DUMMYFUNCTION("""COMPUTED_VALUE"""),"No")</f>
        <v>No</v>
      </c>
      <c r="C89" s="96"/>
      <c r="D89" s="96"/>
      <c r="E89" s="96"/>
      <c r="F89" s="96"/>
      <c r="G89" s="5" t="str">
        <f ca="1">IFERROR(__xludf.DUMMYFUNCTION("""COMPUTED_VALUE"""),"Sampling weight")</f>
        <v>Sampling weight</v>
      </c>
      <c r="H89" s="5" t="str">
        <f ca="1">IFERROR(__xludf.DUMMYFUNCTION("""COMPUTED_VALUE"""),"1")</f>
        <v>1</v>
      </c>
      <c r="I89" s="4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x14ac:dyDescent="0.25">
      <c r="A90" s="4" t="str">
        <f ca="1">IFERROR(__xludf.DUMMYFUNCTION("""COMPUTED_VALUE"""),"Yes")</f>
        <v>Yes</v>
      </c>
      <c r="B90" s="4" t="str">
        <f ca="1">IFERROR(__xludf.DUMMYFUNCTION("""COMPUTED_VALUE"""),"No")</f>
        <v>No</v>
      </c>
      <c r="C90" s="96"/>
      <c r="D90" s="96"/>
      <c r="E90" s="96"/>
      <c r="F90" s="96"/>
      <c r="G90" s="5" t="str">
        <f ca="1">IFERROR(__xludf.DUMMYFUNCTION("""COMPUTED_VALUE"""),"Sampling size")</f>
        <v>Sampling size</v>
      </c>
      <c r="H90" s="5" t="str">
        <f ca="1">IFERROR(__xludf.DUMMYFUNCTION("""COMPUTED_VALUE"""),"1")</f>
        <v>1</v>
      </c>
      <c r="I90" s="41"/>
      <c r="J90" s="4"/>
      <c r="K90" s="99" t="str">
        <f ca="1">E93</f>
        <v>Laboratory</v>
      </c>
      <c r="L90" s="96"/>
      <c r="M90" s="96"/>
      <c r="O90" s="5" t="str">
        <f ca="1">E139</f>
        <v>Events</v>
      </c>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x14ac:dyDescent="0.25">
      <c r="A91" s="4" t="str">
        <f ca="1">IFERROR(__xludf.DUMMYFUNCTION("""COMPUTED_VALUE"""),"Yes")</f>
        <v>Yes</v>
      </c>
      <c r="B91" s="4" t="str">
        <f ca="1">IFERROR(__xludf.DUMMYFUNCTION("""COMPUTED_VALUE"""),"No")</f>
        <v>No</v>
      </c>
      <c r="C91" s="96"/>
      <c r="D91" s="96"/>
      <c r="E91" s="96"/>
      <c r="F91" s="96"/>
      <c r="G91" s="5" t="str">
        <f ca="1">IFERROR(__xludf.DUMMYFUNCTION("""COMPUTED_VALUE"""),"Lot size unit")</f>
        <v>Lot size unit</v>
      </c>
      <c r="H91" s="5" t="str">
        <f ca="1">IFERROR(__xludf.DUMMYFUNCTION("""COMPUTED_VALUE"""),"0:1")</f>
        <v>0:1</v>
      </c>
      <c r="I91" s="41"/>
      <c r="J91" s="4"/>
      <c r="K91" s="7" t="str">
        <f ca="1">G93</f>
        <v>Laboratory accreditation</v>
      </c>
      <c r="L91" s="7" t="str">
        <f ca="1">G94</f>
        <v>Laboratory Name</v>
      </c>
      <c r="M91" s="7" t="str">
        <f ca="1">G95</f>
        <v>Laboratory country</v>
      </c>
      <c r="O91" s="4" t="str">
        <f ca="1">F139</f>
        <v>0:N</v>
      </c>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x14ac:dyDescent="0.25">
      <c r="A92" s="4" t="str">
        <f ca="1">IFERROR(__xludf.DUMMYFUNCTION("""COMPUTED_VALUE"""),"Yes")</f>
        <v>Yes</v>
      </c>
      <c r="B92" s="4" t="str">
        <f ca="1">IFERROR(__xludf.DUMMYFUNCTION("""COMPUTED_VALUE"""),"No")</f>
        <v>No</v>
      </c>
      <c r="C92" s="96"/>
      <c r="D92" s="96"/>
      <c r="E92" s="96"/>
      <c r="F92" s="96"/>
      <c r="G92" s="5" t="str">
        <f ca="1">IFERROR(__xludf.DUMMYFUNCTION("""COMPUTED_VALUE"""),"Sampling point")</f>
        <v>Sampling point</v>
      </c>
      <c r="H92" s="5" t="str">
        <f ca="1">IFERROR(__xludf.DUMMYFUNCTION("""COMPUTED_VALUE"""),"0:1")</f>
        <v>0:1</v>
      </c>
      <c r="I92" s="41"/>
      <c r="J92" s="4"/>
      <c r="K92" s="4" t="str">
        <f ca="1">H93</f>
        <v>1:N</v>
      </c>
      <c r="L92" s="4" t="str">
        <f ca="1">H94</f>
        <v>0:1</v>
      </c>
      <c r="M92" s="4" t="str">
        <f ca="1">H95</f>
        <v>0:1</v>
      </c>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x14ac:dyDescent="0.25">
      <c r="A93" s="4" t="str">
        <f ca="1">IFERROR(__xludf.DUMMYFUNCTION("""COMPUTED_VALUE"""),"Yes")</f>
        <v>Yes</v>
      </c>
      <c r="B93" s="4" t="str">
        <f ca="1">IFERROR(__xludf.DUMMYFUNCTION("""COMPUTED_VALUE"""),"No")</f>
        <v>No</v>
      </c>
      <c r="C93" s="96"/>
      <c r="D93" s="96"/>
      <c r="E93" s="97" t="str">
        <f ca="1">IFERROR(__xludf.DUMMYFUNCTION("""COMPUTED_VALUE"""),"Laboratory")</f>
        <v>Laboratory</v>
      </c>
      <c r="F93" s="97" t="str">
        <f ca="1">IFERROR(__xludf.DUMMYFUNCTION("""COMPUTED_VALUE"""),"0:N")</f>
        <v>0:N</v>
      </c>
      <c r="G93" s="5" t="str">
        <f ca="1">IFERROR(__xludf.DUMMYFUNCTION("""COMPUTED_VALUE"""),"Laboratory accreditation")</f>
        <v>Laboratory accreditation</v>
      </c>
      <c r="H93" s="5" t="str">
        <f ca="1">IFERROR(__xludf.DUMMYFUNCTION("""COMPUTED_VALUE"""),"1:N")</f>
        <v>1:N</v>
      </c>
      <c r="I93" s="41"/>
      <c r="J93" s="4"/>
      <c r="K93" s="10"/>
      <c r="L93" s="10"/>
      <c r="M93" s="10"/>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x14ac:dyDescent="0.25">
      <c r="A94" s="4" t="str">
        <f ca="1">IFERROR(__xludf.DUMMYFUNCTION("""COMPUTED_VALUE"""),"Yes")</f>
        <v>Yes</v>
      </c>
      <c r="B94" s="4" t="str">
        <f ca="1">IFERROR(__xludf.DUMMYFUNCTION("""COMPUTED_VALUE"""),"No")</f>
        <v>No</v>
      </c>
      <c r="C94" s="96"/>
      <c r="D94" s="96"/>
      <c r="E94" s="96"/>
      <c r="F94" s="96"/>
      <c r="G94" s="5" t="str">
        <f ca="1">IFERROR(__xludf.DUMMYFUNCTION("""COMPUTED_VALUE"""),"Laboratory Name")</f>
        <v>Laboratory Name</v>
      </c>
      <c r="H94" s="5" t="str">
        <f ca="1">IFERROR(__xludf.DUMMYFUNCTION("""COMPUTED_VALUE"""),"0:1")</f>
        <v>0:1</v>
      </c>
      <c r="I94" s="41"/>
      <c r="J94" s="4"/>
      <c r="K94" s="10"/>
      <c r="L94" s="10"/>
      <c r="M94" s="10"/>
      <c r="N94" s="23"/>
      <c r="O94" s="11"/>
      <c r="P94" s="23"/>
      <c r="Q94" s="23"/>
      <c r="R94" s="23"/>
      <c r="S94" s="23"/>
      <c r="T94" s="4"/>
      <c r="U94" s="4"/>
      <c r="V94" s="4"/>
      <c r="W94" s="4"/>
      <c r="X94" s="4"/>
      <c r="Y94" s="4"/>
      <c r="Z94" s="4"/>
      <c r="AA94" s="4"/>
      <c r="AB94" s="4"/>
      <c r="AC94" s="4"/>
      <c r="AD94" s="4"/>
      <c r="AE94" s="4"/>
      <c r="AF94" s="4"/>
      <c r="AG94" s="4"/>
      <c r="AH94" s="4"/>
      <c r="AI94" s="4"/>
      <c r="AJ94" s="4"/>
      <c r="AK94" s="4"/>
      <c r="AL94" s="4"/>
      <c r="AM94" s="4"/>
      <c r="AN94" s="4"/>
      <c r="AO94" s="4"/>
    </row>
    <row r="95" spans="1:41" ht="12.5" x14ac:dyDescent="0.25">
      <c r="A95" s="4" t="str">
        <f ca="1">IFERROR(__xludf.DUMMYFUNCTION("""COMPUTED_VALUE"""),"Yes")</f>
        <v>Yes</v>
      </c>
      <c r="B95" s="4" t="str">
        <f ca="1">IFERROR(__xludf.DUMMYFUNCTION("""COMPUTED_VALUE"""),"No")</f>
        <v>No</v>
      </c>
      <c r="C95" s="96"/>
      <c r="D95" s="96"/>
      <c r="E95" s="96"/>
      <c r="F95" s="96"/>
      <c r="G95" s="5" t="str">
        <f ca="1">IFERROR(__xludf.DUMMYFUNCTION("""COMPUTED_VALUE"""),"Laboratory country")</f>
        <v>Laboratory country</v>
      </c>
      <c r="H95" s="5" t="str">
        <f ca="1">IFERROR(__xludf.DUMMYFUNCTION("""COMPUTED_VALUE"""),"0:1")</f>
        <v>0:1</v>
      </c>
      <c r="I95" s="41"/>
      <c r="J95" s="4"/>
      <c r="K95" s="10"/>
      <c r="L95" s="10"/>
      <c r="M95" s="10"/>
      <c r="N95" s="4"/>
      <c r="O95" s="11"/>
      <c r="P95" s="4"/>
      <c r="Q95" s="4"/>
      <c r="R95" s="4"/>
      <c r="S95" s="4"/>
      <c r="T95" s="4"/>
      <c r="U95" s="4"/>
      <c r="V95" s="4"/>
      <c r="W95" s="4"/>
      <c r="X95" s="4"/>
      <c r="Y95" s="4"/>
      <c r="Z95" s="4"/>
      <c r="AA95" s="4"/>
      <c r="AB95" s="4"/>
      <c r="AC95" s="4"/>
      <c r="AD95" s="4"/>
      <c r="AE95" s="4"/>
      <c r="AF95" s="4"/>
      <c r="AG95" s="4"/>
      <c r="AH95" s="4"/>
      <c r="AI95" s="4"/>
      <c r="AJ95" s="4"/>
      <c r="AK95" s="4"/>
      <c r="AL95" s="4"/>
      <c r="AM95" s="4"/>
      <c r="AN95" s="4"/>
      <c r="AO95" s="4"/>
    </row>
    <row r="96" spans="1:41" ht="12.5" x14ac:dyDescent="0.25">
      <c r="A96" s="4" t="str">
        <f ca="1">IFERROR(__xludf.DUMMYFUNCTION("""COMPUTED_VALUE"""),"Yes")</f>
        <v>Yes</v>
      </c>
      <c r="B96" s="4" t="str">
        <f ca="1">IFERROR(__xludf.DUMMYFUNCTION("""COMPUTED_VALUE"""),"No")</f>
        <v>No</v>
      </c>
      <c r="C96" s="96"/>
      <c r="D96" s="96"/>
      <c r="E96" s="97" t="str">
        <f ca="1">IFERROR(__xludf.DUMMYFUNCTION("""COMPUTED_VALUE"""),"Assay")</f>
        <v>Assay</v>
      </c>
      <c r="F96" s="97" t="str">
        <f ca="1">IFERROR(__xludf.DUMMYFUNCTION("""COMPUTED_VALUE"""),"0:N")</f>
        <v>0:N</v>
      </c>
      <c r="G96" s="5" t="str">
        <f ca="1">IFERROR(__xludf.DUMMYFUNCTION("""COMPUTED_VALUE"""),"Assay Name")</f>
        <v>Assay Name</v>
      </c>
      <c r="H96" s="5" t="str">
        <f ca="1">IFERROR(__xludf.DUMMYFUNCTION("""COMPUTED_VALUE"""),"1")</f>
        <v>1</v>
      </c>
      <c r="I96" s="41"/>
      <c r="J96" s="4"/>
      <c r="T96" s="4"/>
      <c r="U96" s="4"/>
      <c r="V96" s="4"/>
      <c r="W96" s="4"/>
      <c r="X96" s="4"/>
      <c r="Y96" s="4"/>
      <c r="Z96" s="4"/>
      <c r="AA96" s="4"/>
      <c r="AB96" s="4"/>
      <c r="AC96" s="4"/>
      <c r="AD96" s="4"/>
      <c r="AE96" s="4"/>
      <c r="AF96" s="4"/>
      <c r="AG96" s="4"/>
      <c r="AH96" s="4"/>
      <c r="AI96" s="4"/>
      <c r="AJ96" s="4"/>
      <c r="AK96" s="4"/>
      <c r="AL96" s="4"/>
      <c r="AM96" s="4"/>
      <c r="AN96" s="4"/>
      <c r="AO96" s="4"/>
    </row>
    <row r="97" spans="1:41" ht="12.5" x14ac:dyDescent="0.25">
      <c r="A97" s="4" t="str">
        <f ca="1">IFERROR(__xludf.DUMMYFUNCTION("""COMPUTED_VALUE"""),"Yes")</f>
        <v>Yes</v>
      </c>
      <c r="B97" s="4" t="str">
        <f ca="1">IFERROR(__xludf.DUMMYFUNCTION("""COMPUTED_VALUE"""),"No")</f>
        <v>No</v>
      </c>
      <c r="C97" s="96"/>
      <c r="D97" s="96"/>
      <c r="E97" s="96"/>
      <c r="F97" s="96"/>
      <c r="G97" s="5" t="str">
        <f ca="1">IFERROR(__xludf.DUMMYFUNCTION("""COMPUTED_VALUE"""),"Assay description")</f>
        <v>Assay description</v>
      </c>
      <c r="H97" s="5" t="str">
        <f ca="1">IFERROR(__xludf.DUMMYFUNCTION("""COMPUTED_VALUE"""),"0:1")</f>
        <v>0:1</v>
      </c>
      <c r="I97" s="41"/>
      <c r="J97" s="4"/>
      <c r="K97" s="99" t="str">
        <f ca="1">E96</f>
        <v>Assay</v>
      </c>
      <c r="L97" s="96"/>
      <c r="M97" s="96"/>
      <c r="N97" s="96"/>
      <c r="O97" s="96"/>
      <c r="P97" s="96"/>
      <c r="Q97" s="96"/>
      <c r="R97" s="96"/>
      <c r="S97" s="96"/>
      <c r="T97" s="4"/>
      <c r="U97" s="4"/>
      <c r="V97" s="4"/>
      <c r="W97" s="4"/>
      <c r="X97" s="4"/>
      <c r="Y97" s="4"/>
      <c r="Z97" s="4"/>
      <c r="AA97" s="4"/>
      <c r="AB97" s="4"/>
      <c r="AC97" s="4"/>
      <c r="AD97" s="4"/>
      <c r="AE97" s="4"/>
      <c r="AF97" s="4"/>
      <c r="AG97" s="4"/>
      <c r="AH97" s="4"/>
      <c r="AI97" s="4"/>
      <c r="AJ97" s="4"/>
      <c r="AK97" s="4"/>
      <c r="AL97" s="4"/>
      <c r="AM97" s="4"/>
      <c r="AN97" s="4"/>
      <c r="AO97" s="4"/>
    </row>
    <row r="98" spans="1:41" ht="12.5" x14ac:dyDescent="0.25">
      <c r="A98" s="4" t="str">
        <f ca="1">IFERROR(__xludf.DUMMYFUNCTION("""COMPUTED_VALUE"""),"Yes")</f>
        <v>Yes</v>
      </c>
      <c r="B98" s="4" t="str">
        <f ca="1">IFERROR(__xludf.DUMMYFUNCTION("""COMPUTED_VALUE"""),"No")</f>
        <v>No</v>
      </c>
      <c r="C98" s="96"/>
      <c r="D98" s="96"/>
      <c r="E98" s="96"/>
      <c r="F98" s="96"/>
      <c r="G98" s="5" t="str">
        <f ca="1">IFERROR(__xludf.DUMMYFUNCTION("""COMPUTED_VALUE"""),"Percentage of moisture")</f>
        <v>Percentage of moisture</v>
      </c>
      <c r="H98" s="5" t="str">
        <f ca="1">IFERROR(__xludf.DUMMYFUNCTION("""COMPUTED_VALUE"""),"0:1")</f>
        <v>0:1</v>
      </c>
      <c r="I98" s="41"/>
      <c r="J98" s="4"/>
      <c r="K98" s="4" t="str">
        <f ca="1">G96</f>
        <v>Assay Name</v>
      </c>
      <c r="L98" s="4" t="str">
        <f ca="1">G97</f>
        <v>Assay description</v>
      </c>
      <c r="M98" s="4" t="str">
        <f ca="1">G98</f>
        <v>Percentage of moisture</v>
      </c>
      <c r="N98" s="4" t="str">
        <f ca="1">G99</f>
        <v>Percentage of fat</v>
      </c>
      <c r="O98" s="4" t="str">
        <f ca="1">G100</f>
        <v>Limit of detection</v>
      </c>
      <c r="P98" s="4" t="str">
        <f ca="1">G101</f>
        <v>Limit of quantification</v>
      </c>
      <c r="Q98" s="4" t="str">
        <f ca="1">G102</f>
        <v>Left-censored data</v>
      </c>
      <c r="R98" s="4" t="str">
        <f ca="1">G103</f>
        <v>Range of contamination</v>
      </c>
      <c r="S98" s="4" t="str">
        <f ca="1">G104</f>
        <v>Uncertainty value</v>
      </c>
      <c r="T98" s="4"/>
      <c r="U98" s="4"/>
      <c r="V98" s="4"/>
      <c r="W98" s="4"/>
      <c r="X98" s="4"/>
      <c r="Y98" s="4"/>
      <c r="Z98" s="4"/>
      <c r="AA98" s="4"/>
      <c r="AB98" s="4"/>
      <c r="AC98" s="4"/>
      <c r="AD98" s="4"/>
      <c r="AE98" s="4"/>
      <c r="AF98" s="4"/>
      <c r="AG98" s="4"/>
      <c r="AH98" s="4"/>
      <c r="AI98" s="4"/>
      <c r="AJ98" s="4"/>
      <c r="AK98" s="4"/>
      <c r="AL98" s="4"/>
      <c r="AM98" s="4"/>
      <c r="AN98" s="4"/>
      <c r="AO98" s="4"/>
    </row>
    <row r="99" spans="1:41" ht="12.5" x14ac:dyDescent="0.25">
      <c r="A99" s="4" t="str">
        <f ca="1">IFERROR(__xludf.DUMMYFUNCTION("""COMPUTED_VALUE"""),"Yes")</f>
        <v>Yes</v>
      </c>
      <c r="B99" s="4" t="str">
        <f ca="1">IFERROR(__xludf.DUMMYFUNCTION("""COMPUTED_VALUE"""),"No")</f>
        <v>No</v>
      </c>
      <c r="C99" s="96"/>
      <c r="D99" s="96"/>
      <c r="E99" s="96"/>
      <c r="F99" s="96"/>
      <c r="G99" s="5" t="str">
        <f ca="1">IFERROR(__xludf.DUMMYFUNCTION("""COMPUTED_VALUE"""),"Percentage of fat")</f>
        <v>Percentage of fat</v>
      </c>
      <c r="H99" s="5" t="str">
        <f ca="1">IFERROR(__xludf.DUMMYFUNCTION("""COMPUTED_VALUE"""),"0:1")</f>
        <v>0:1</v>
      </c>
      <c r="I99" s="41"/>
      <c r="J99" s="4"/>
      <c r="K99" s="4" t="str">
        <f ca="1">H96</f>
        <v>1</v>
      </c>
      <c r="L99" s="4" t="str">
        <f ca="1">H97</f>
        <v>0:1</v>
      </c>
      <c r="M99" s="4" t="str">
        <f ca="1">H98</f>
        <v>0:1</v>
      </c>
      <c r="N99" s="4" t="str">
        <f ca="1">H99</f>
        <v>0:1</v>
      </c>
      <c r="O99" s="4" t="str">
        <f ca="1">H100</f>
        <v>0:1</v>
      </c>
      <c r="P99" s="4" t="str">
        <f ca="1">H101</f>
        <v>0:1</v>
      </c>
      <c r="Q99" s="4" t="str">
        <f ca="1">H102</f>
        <v>0:1</v>
      </c>
      <c r="R99" s="4" t="str">
        <f ca="1">H103</f>
        <v>0:1</v>
      </c>
      <c r="S99" s="4" t="str">
        <f ca="1">H104</f>
        <v>0:1</v>
      </c>
      <c r="T99" s="4"/>
      <c r="U99" s="4"/>
      <c r="V99" s="4"/>
      <c r="W99" s="4"/>
      <c r="X99" s="4"/>
      <c r="Y99" s="4"/>
      <c r="Z99" s="4"/>
      <c r="AA99" s="4"/>
      <c r="AB99" s="4"/>
      <c r="AC99" s="4"/>
      <c r="AD99" s="4"/>
      <c r="AE99" s="4"/>
      <c r="AF99" s="4"/>
      <c r="AG99" s="4"/>
      <c r="AH99" s="4"/>
      <c r="AI99" s="4"/>
      <c r="AJ99" s="4"/>
      <c r="AK99" s="4"/>
      <c r="AL99" s="4"/>
      <c r="AM99" s="4"/>
      <c r="AN99" s="4"/>
      <c r="AO99" s="4"/>
    </row>
    <row r="100" spans="1:41" ht="12.5" x14ac:dyDescent="0.25">
      <c r="A100" s="4" t="str">
        <f ca="1">IFERROR(__xludf.DUMMYFUNCTION("""COMPUTED_VALUE"""),"Yes")</f>
        <v>Yes</v>
      </c>
      <c r="B100" s="4" t="str">
        <f ca="1">IFERROR(__xludf.DUMMYFUNCTION("""COMPUTED_VALUE"""),"No")</f>
        <v>No</v>
      </c>
      <c r="C100" s="96"/>
      <c r="D100" s="96"/>
      <c r="E100" s="96"/>
      <c r="F100" s="96"/>
      <c r="G100" s="5" t="str">
        <f ca="1">IFERROR(__xludf.DUMMYFUNCTION("""COMPUTED_VALUE"""),"Limit of detection")</f>
        <v>Limit of detection</v>
      </c>
      <c r="H100" s="5" t="str">
        <f ca="1">IFERROR(__xludf.DUMMYFUNCTION("""COMPUTED_VALUE"""),"0:1")</f>
        <v>0:1</v>
      </c>
      <c r="I100" s="41"/>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x14ac:dyDescent="0.25">
      <c r="A101" s="4" t="str">
        <f ca="1">IFERROR(__xludf.DUMMYFUNCTION("""COMPUTED_VALUE"""),"Yes")</f>
        <v>Yes</v>
      </c>
      <c r="B101" s="4" t="str">
        <f ca="1">IFERROR(__xludf.DUMMYFUNCTION("""COMPUTED_VALUE"""),"No")</f>
        <v>No</v>
      </c>
      <c r="C101" s="96"/>
      <c r="D101" s="96"/>
      <c r="E101" s="96"/>
      <c r="F101" s="96"/>
      <c r="G101" s="5" t="str">
        <f ca="1">IFERROR(__xludf.DUMMYFUNCTION("""COMPUTED_VALUE"""),"Limit of quantification")</f>
        <v>Limit of quantification</v>
      </c>
      <c r="H101" s="5" t="str">
        <f ca="1">IFERROR(__xludf.DUMMYFUNCTION("""COMPUTED_VALUE"""),"0:1")</f>
        <v>0:1</v>
      </c>
      <c r="I101" s="41"/>
      <c r="J101" s="4"/>
      <c r="K101" s="10"/>
      <c r="L101" s="10"/>
      <c r="M101" s="10"/>
      <c r="N101" s="10"/>
      <c r="O101" s="10"/>
      <c r="P101" s="10"/>
      <c r="Q101" s="10"/>
      <c r="R101" s="10"/>
      <c r="S101" s="10"/>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x14ac:dyDescent="0.25">
      <c r="A102" s="4" t="str">
        <f ca="1">IFERROR(__xludf.DUMMYFUNCTION("""COMPUTED_VALUE"""),"Yes")</f>
        <v>Yes</v>
      </c>
      <c r="B102" s="4" t="str">
        <f ca="1">IFERROR(__xludf.DUMMYFUNCTION("""COMPUTED_VALUE"""),"No")</f>
        <v>No</v>
      </c>
      <c r="C102" s="96"/>
      <c r="D102" s="96"/>
      <c r="E102" s="96"/>
      <c r="F102" s="96"/>
      <c r="G102" s="5" t="str">
        <f ca="1">IFERROR(__xludf.DUMMYFUNCTION("""COMPUTED_VALUE"""),"Left-censored data")</f>
        <v>Left-censored data</v>
      </c>
      <c r="H102" s="5" t="str">
        <f ca="1">IFERROR(__xludf.DUMMYFUNCTION("""COMPUTED_VALUE"""),"0:1")</f>
        <v>0:1</v>
      </c>
      <c r="I102" s="41"/>
      <c r="J102" s="4"/>
      <c r="K102" s="10"/>
      <c r="L102" s="10"/>
      <c r="M102" s="10"/>
      <c r="N102" s="10"/>
      <c r="O102" s="10"/>
      <c r="P102" s="10"/>
      <c r="Q102" s="10"/>
      <c r="R102" s="10"/>
      <c r="S102" s="10"/>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x14ac:dyDescent="0.25">
      <c r="A103" s="4" t="str">
        <f ca="1">IFERROR(__xludf.DUMMYFUNCTION("""COMPUTED_VALUE"""),"Yes")</f>
        <v>Yes</v>
      </c>
      <c r="B103" s="4" t="str">
        <f ca="1">IFERROR(__xludf.DUMMYFUNCTION("""COMPUTED_VALUE"""),"No")</f>
        <v>No</v>
      </c>
      <c r="C103" s="96"/>
      <c r="D103" s="96"/>
      <c r="E103" s="96"/>
      <c r="F103" s="96"/>
      <c r="G103" s="5" t="str">
        <f ca="1">IFERROR(__xludf.DUMMYFUNCTION("""COMPUTED_VALUE"""),"Range of contamination")</f>
        <v>Range of contamination</v>
      </c>
      <c r="H103" s="5" t="str">
        <f ca="1">IFERROR(__xludf.DUMMYFUNCTION("""COMPUTED_VALUE"""),"0:1")</f>
        <v>0:1</v>
      </c>
      <c r="I103" s="41"/>
      <c r="J103" s="4"/>
      <c r="K103" s="10"/>
      <c r="L103" s="10"/>
      <c r="M103" s="10"/>
      <c r="N103" s="10"/>
      <c r="O103" s="10"/>
      <c r="P103" s="10"/>
      <c r="Q103" s="10"/>
      <c r="R103" s="10"/>
      <c r="S103" s="10"/>
      <c r="T103" s="4"/>
      <c r="U103" s="4"/>
      <c r="V103" s="4"/>
      <c r="W103" s="4"/>
      <c r="X103" s="4"/>
      <c r="Y103" s="4"/>
      <c r="Z103" s="4"/>
      <c r="AA103" s="4"/>
      <c r="AB103" s="4"/>
      <c r="AC103" s="4"/>
      <c r="AD103" s="4"/>
      <c r="AE103" s="4"/>
      <c r="AF103" s="4"/>
      <c r="AG103" s="4"/>
      <c r="AH103" s="4"/>
      <c r="AI103" s="4"/>
      <c r="AJ103" s="4"/>
      <c r="AK103" s="4"/>
      <c r="AL103" s="4"/>
      <c r="AM103" s="4"/>
      <c r="AN103" s="4"/>
      <c r="AO103" s="4"/>
    </row>
    <row r="104" spans="1:41" ht="12.5" x14ac:dyDescent="0.25">
      <c r="A104" s="4" t="str">
        <f ca="1">IFERROR(__xludf.DUMMYFUNCTION("""COMPUTED_VALUE"""),"Yes")</f>
        <v>Yes</v>
      </c>
      <c r="B104" s="4" t="str">
        <f ca="1">IFERROR(__xludf.DUMMYFUNCTION("""COMPUTED_VALUE"""),"No")</f>
        <v>No</v>
      </c>
      <c r="C104" s="96"/>
      <c r="D104" s="96"/>
      <c r="E104" s="96"/>
      <c r="F104" s="96"/>
      <c r="G104" s="5" t="str">
        <f ca="1">IFERROR(__xludf.DUMMYFUNCTION("""COMPUTED_VALUE"""),"Uncertainty value")</f>
        <v>Uncertainty value</v>
      </c>
      <c r="H104" s="5" t="str">
        <f ca="1">IFERROR(__xludf.DUMMYFUNCTION("""COMPUTED_VALUE"""),"0:1")</f>
        <v>0:1</v>
      </c>
      <c r="I104" s="41"/>
      <c r="J104" s="4"/>
      <c r="T104" s="4"/>
      <c r="U104" s="4"/>
      <c r="V104" s="4"/>
      <c r="W104" s="4"/>
      <c r="X104" s="4"/>
      <c r="Y104" s="4"/>
      <c r="Z104" s="4"/>
      <c r="AA104" s="4"/>
      <c r="AB104" s="4"/>
      <c r="AC104" s="4"/>
      <c r="AD104" s="4"/>
      <c r="AE104" s="4"/>
      <c r="AF104" s="4"/>
      <c r="AG104" s="4"/>
      <c r="AH104" s="4"/>
      <c r="AI104" s="4"/>
      <c r="AJ104" s="4"/>
      <c r="AK104" s="4"/>
      <c r="AL104" s="4"/>
      <c r="AM104" s="4"/>
      <c r="AN104" s="4"/>
      <c r="AO104" s="4"/>
    </row>
    <row r="105" spans="1:41" ht="12.5" x14ac:dyDescent="0.25">
      <c r="A105" s="4" t="str">
        <f ca="1">IFERROR(__xludf.DUMMYFUNCTION("""COMPUTED_VALUE"""),"Yes")</f>
        <v>Yes</v>
      </c>
      <c r="B105" s="4" t="str">
        <f ca="1">IFERROR(__xludf.DUMMYFUNCTION("""COMPUTED_VALUE"""),"Yes")</f>
        <v>Yes</v>
      </c>
      <c r="C105" s="95" t="str">
        <f ca="1">IFERROR(__xludf.DUMMYFUNCTION("""COMPUTED_VALUE"""),"Model math / Data definition")</f>
        <v>Model math / Data definition</v>
      </c>
      <c r="D105" s="100" t="str">
        <f ca="1">IFERROR(__xludf.DUMMYFUNCTION("""COMPUTED_VALUE"""),"1")</f>
        <v>1</v>
      </c>
      <c r="E105" s="97" t="str">
        <f ca="1">IFERROR(__xludf.DUMMYFUNCTION("""COMPUTED_VALUE"""),"Parameter / Factor / Input / Output / ""Data column""")</f>
        <v>Parameter / Factor / Input / Output / "Data column"</v>
      </c>
      <c r="F105" s="97" t="str">
        <f ca="1">IFERROR(__xludf.DUMMYFUNCTION("""COMPUTED_VALUE"""),"1:N")</f>
        <v>1:N</v>
      </c>
      <c r="G105" s="5" t="str">
        <f ca="1">IFERROR(__xludf.DUMMYFUNCTION("""COMPUTED_VALUE"""),"Parameter ID")</f>
        <v>Parameter ID</v>
      </c>
      <c r="H105" s="5" t="str">
        <f ca="1">IFERROR(__xludf.DUMMYFUNCTION("""COMPUTED_VALUE"""),"1")</f>
        <v>1</v>
      </c>
      <c r="I105" s="41"/>
      <c r="J105" s="4"/>
      <c r="K105" s="23"/>
      <c r="L105" s="98" t="str">
        <f ca="1">E123</f>
        <v>Quality measures</v>
      </c>
      <c r="M105" s="96"/>
      <c r="N105" s="23"/>
      <c r="O105" s="98" t="str">
        <f ca="1">E125</f>
        <v>Model equation</v>
      </c>
      <c r="P105" s="96"/>
      <c r="Q105" s="96"/>
      <c r="R105" s="96"/>
      <c r="S105" s="96"/>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x14ac:dyDescent="0.25">
      <c r="A106" s="4" t="str">
        <f ca="1">IFERROR(__xludf.DUMMYFUNCTION("""COMPUTED_VALUE"""),"Yes")</f>
        <v>Yes</v>
      </c>
      <c r="B106" s="4" t="str">
        <f ca="1">IFERROR(__xludf.DUMMYFUNCTION("""COMPUTED_VALUE"""),"Yes")</f>
        <v>Yes</v>
      </c>
      <c r="C106" s="96"/>
      <c r="D106" s="96"/>
      <c r="E106" s="96"/>
      <c r="F106" s="96"/>
      <c r="G106" s="5" t="str">
        <f ca="1">IFERROR(__xludf.DUMMYFUNCTION("""COMPUTED_VALUE"""),"Parameter classification")</f>
        <v>Parameter classification</v>
      </c>
      <c r="H106" s="5" t="str">
        <f ca="1">IFERROR(__xludf.DUMMYFUNCTION("""COMPUTED_VALUE"""),"1")</f>
        <v>1</v>
      </c>
      <c r="I106" s="41"/>
      <c r="J106" s="4"/>
      <c r="K106" s="24"/>
      <c r="L106" s="25" t="str">
        <f ca="1">G123</f>
        <v>SSE / MSE / RMSE / Rsquared / AIC / BIC</v>
      </c>
      <c r="M106" s="23" t="str">
        <f ca="1">G124</f>
        <v>Sensitivity analysis</v>
      </c>
      <c r="N106" s="24"/>
      <c r="O106" s="23" t="str">
        <f ca="1">G125</f>
        <v>Model equation name</v>
      </c>
      <c r="P106" s="23" t="str">
        <f ca="1">G126</f>
        <v>Model equation class/distribution</v>
      </c>
      <c r="Q106" s="23" t="str">
        <f ca="1">G130</f>
        <v>Model equation reference</v>
      </c>
      <c r="R106" s="23" t="str">
        <f ca="1">G131</f>
        <v>Model equation / Script</v>
      </c>
      <c r="S106" s="26" t="str">
        <f ca="1">G132</f>
        <v>Hypothesis of the model</v>
      </c>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x14ac:dyDescent="0.25">
      <c r="A107" s="4" t="str">
        <f ca="1">IFERROR(__xludf.DUMMYFUNCTION("""COMPUTED_VALUE"""),"Yes")</f>
        <v>Yes</v>
      </c>
      <c r="B107" s="4" t="str">
        <f ca="1">IFERROR(__xludf.DUMMYFUNCTION("""COMPUTED_VALUE"""),"Yes")</f>
        <v>Yes</v>
      </c>
      <c r="C107" s="96"/>
      <c r="D107" s="96"/>
      <c r="E107" s="96"/>
      <c r="F107" s="96"/>
      <c r="G107" s="5" t="str">
        <f ca="1">IFERROR(__xludf.DUMMYFUNCTION("""COMPUTED_VALUE"""),"Parameter name")</f>
        <v>Parameter name</v>
      </c>
      <c r="H107" s="5" t="str">
        <f ca="1">IFERROR(__xludf.DUMMYFUNCTION("""COMPUTED_VALUE"""),"1")</f>
        <v>1</v>
      </c>
      <c r="I107" s="41"/>
      <c r="J107" s="4"/>
      <c r="K107" s="23"/>
      <c r="L107" s="27" t="str">
        <f ca="1">H123</f>
        <v>0:N</v>
      </c>
      <c r="M107" s="27" t="str">
        <f ca="1">H124</f>
        <v>0:N</v>
      </c>
      <c r="N107" s="23"/>
      <c r="O107" s="27" t="str">
        <f ca="1">H125</f>
        <v>1</v>
      </c>
      <c r="P107" s="27" t="str">
        <f ca="1">H126</f>
        <v>0:1</v>
      </c>
      <c r="Q107" s="27" t="str">
        <f ca="1">H130</f>
        <v>0:N</v>
      </c>
      <c r="R107" s="27" t="str">
        <f ca="1">H131</f>
        <v>1</v>
      </c>
      <c r="S107" s="28" t="str">
        <f ca="1">H132</f>
        <v>0:N</v>
      </c>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x14ac:dyDescent="0.25">
      <c r="A108" s="4" t="str">
        <f ca="1">IFERROR(__xludf.DUMMYFUNCTION("""COMPUTED_VALUE"""),"Yes")</f>
        <v>Yes</v>
      </c>
      <c r="B108" s="4" t="str">
        <f ca="1">IFERROR(__xludf.DUMMYFUNCTION("""COMPUTED_VALUE"""),"No")</f>
        <v>No</v>
      </c>
      <c r="C108" s="96"/>
      <c r="D108" s="96"/>
      <c r="E108" s="96"/>
      <c r="F108" s="96"/>
      <c r="G108" s="5" t="str">
        <f ca="1">IFERROR(__xludf.DUMMYFUNCTION("""COMPUTED_VALUE"""),"Parameter description")</f>
        <v>Parameter description</v>
      </c>
      <c r="H108" s="5" t="str">
        <f ca="1">IFERROR(__xludf.DUMMYFUNCTION("""COMPUTED_VALUE"""),"0:1")</f>
        <v>0:1</v>
      </c>
      <c r="I108" s="41"/>
      <c r="J108" s="4"/>
      <c r="K108" s="29" t="s">
        <v>17</v>
      </c>
      <c r="L108" s="30"/>
      <c r="M108" s="31"/>
      <c r="N108" s="29"/>
      <c r="O108" s="46"/>
      <c r="P108" s="12"/>
      <c r="Q108" s="46"/>
      <c r="R108" s="34" t="s">
        <v>27</v>
      </c>
      <c r="S108" s="46"/>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x14ac:dyDescent="0.25">
      <c r="A109" s="4" t="str">
        <f ca="1">IFERROR(__xludf.DUMMYFUNCTION("""COMPUTED_VALUE"""),"Yes")</f>
        <v>Yes</v>
      </c>
      <c r="B109" s="4" t="str">
        <f ca="1">IFERROR(__xludf.DUMMYFUNCTION("""COMPUTED_VALUE"""),"Yes")</f>
        <v>Yes</v>
      </c>
      <c r="C109" s="96"/>
      <c r="D109" s="96"/>
      <c r="E109" s="96"/>
      <c r="F109" s="96"/>
      <c r="G109" s="5" t="str">
        <f ca="1">IFERROR(__xludf.DUMMYFUNCTION("""COMPUTED_VALUE"""),"Parameter unit")</f>
        <v>Parameter unit</v>
      </c>
      <c r="H109" s="5" t="str">
        <f ca="1">IFERROR(__xludf.DUMMYFUNCTION("""COMPUTED_VALUE"""),"1")</f>
        <v>1</v>
      </c>
      <c r="I109" s="41"/>
      <c r="J109" s="4"/>
      <c r="K109" s="33" t="s">
        <v>18</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x14ac:dyDescent="0.25">
      <c r="A110" s="4" t="str">
        <f ca="1">IFERROR(__xludf.DUMMYFUNCTION("""COMPUTED_VALUE"""),"Yes")</f>
        <v>Yes</v>
      </c>
      <c r="B110" s="4" t="str">
        <f ca="1">IFERROR(__xludf.DUMMYFUNCTION("""COMPUTED_VALUE"""),"No")</f>
        <v>No</v>
      </c>
      <c r="C110" s="96"/>
      <c r="D110" s="96"/>
      <c r="E110" s="96"/>
      <c r="F110" s="96"/>
      <c r="G110" s="5" t="str">
        <f ca="1">IFERROR(__xludf.DUMMYFUNCTION("""COMPUTED_VALUE"""),"Parameter unit category")</f>
        <v>Parameter unit category</v>
      </c>
      <c r="H110" s="5" t="str">
        <f ca="1">IFERROR(__xludf.DUMMYFUNCTION("""COMPUTED_VALUE"""),"0:1")</f>
        <v>0:1</v>
      </c>
      <c r="I110" s="41"/>
      <c r="J110" s="4"/>
      <c r="K110" s="29" t="s">
        <v>19</v>
      </c>
      <c r="L110" s="31"/>
      <c r="M110" s="31"/>
      <c r="N110" s="29"/>
      <c r="O110" s="31"/>
      <c r="P110" s="12"/>
      <c r="Q110" s="31"/>
      <c r="R110" s="31"/>
      <c r="S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x14ac:dyDescent="0.25">
      <c r="A111" s="4" t="str">
        <f ca="1">IFERROR(__xludf.DUMMYFUNCTION("""COMPUTED_VALUE"""),"Yes")</f>
        <v>Yes</v>
      </c>
      <c r="B111" s="4" t="str">
        <f ca="1">IFERROR(__xludf.DUMMYFUNCTION("""COMPUTED_VALUE"""),"Yes")</f>
        <v>Yes</v>
      </c>
      <c r="C111" s="96"/>
      <c r="D111" s="96"/>
      <c r="E111" s="96"/>
      <c r="F111" s="96"/>
      <c r="G111" s="5" t="str">
        <f ca="1">IFERROR(__xludf.DUMMYFUNCTION("""COMPUTED_VALUE"""),"Parameter data type")</f>
        <v>Parameter data type</v>
      </c>
      <c r="H111" s="5" t="str">
        <f ca="1">IFERROR(__xludf.DUMMYFUNCTION("""COMPUTED_VALUE"""),"1")</f>
        <v>1</v>
      </c>
      <c r="I111" s="41"/>
      <c r="J111" s="4"/>
      <c r="K111" s="29" t="s">
        <v>20</v>
      </c>
      <c r="L111" s="31"/>
      <c r="M111" s="31"/>
      <c r="N111" s="29"/>
      <c r="O111" s="31"/>
      <c r="P111" s="12"/>
      <c r="Q111" s="31"/>
      <c r="R111" s="31"/>
      <c r="S111" s="31"/>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x14ac:dyDescent="0.25">
      <c r="A112" s="4" t="str">
        <f ca="1">IFERROR(__xludf.DUMMYFUNCTION("""COMPUTED_VALUE"""),"Yes")</f>
        <v>Yes</v>
      </c>
      <c r="B112" s="4" t="str">
        <f ca="1">IFERROR(__xludf.DUMMYFUNCTION("""COMPUTED_VALUE"""),"No")</f>
        <v>No</v>
      </c>
      <c r="C112" s="96"/>
      <c r="D112" s="96"/>
      <c r="E112" s="96"/>
      <c r="F112" s="96"/>
      <c r="G112" s="5" t="str">
        <f ca="1">IFERROR(__xludf.DUMMYFUNCTION("""COMPUTED_VALUE"""),"Parameter source")</f>
        <v>Parameter source</v>
      </c>
      <c r="H112" s="5" t="str">
        <f ca="1">IFERROR(__xludf.DUMMYFUNCTION("""COMPUTED_VALUE"""),"0:1")</f>
        <v>0:1</v>
      </c>
      <c r="I112" s="41"/>
      <c r="J112" s="4"/>
      <c r="K112" s="29" t="s">
        <v>21</v>
      </c>
      <c r="L112" s="31"/>
      <c r="M112" s="31"/>
      <c r="N112" s="29"/>
      <c r="O112" s="31"/>
      <c r="P112" s="12"/>
      <c r="Q112" s="31"/>
      <c r="R112" s="31"/>
      <c r="S112" s="31"/>
      <c r="T112" s="23"/>
      <c r="U112" s="23"/>
      <c r="V112" s="23"/>
      <c r="W112" s="23"/>
      <c r="X112" s="23"/>
      <c r="Y112" s="23"/>
      <c r="Z112" s="23"/>
      <c r="AA112" s="4"/>
      <c r="AB112" s="4"/>
      <c r="AC112" s="4"/>
      <c r="AD112" s="4"/>
      <c r="AE112" s="4"/>
      <c r="AF112" s="4"/>
      <c r="AG112" s="4"/>
      <c r="AH112" s="4"/>
      <c r="AI112" s="4"/>
      <c r="AJ112" s="4"/>
      <c r="AK112" s="4"/>
      <c r="AL112" s="4"/>
      <c r="AM112" s="4"/>
      <c r="AN112" s="4"/>
      <c r="AO112" s="4"/>
    </row>
    <row r="113" spans="1:41" ht="12.5" x14ac:dyDescent="0.25">
      <c r="A113" s="4" t="str">
        <f ca="1">IFERROR(__xludf.DUMMYFUNCTION("""COMPUTED_VALUE"""),"Yes")</f>
        <v>Yes</v>
      </c>
      <c r="B113" s="4" t="str">
        <f ca="1">IFERROR(__xludf.DUMMYFUNCTION("""COMPUTED_VALUE"""),"Yes")</f>
        <v>Yes</v>
      </c>
      <c r="C113" s="96"/>
      <c r="D113" s="96"/>
      <c r="E113" s="96"/>
      <c r="F113" s="96"/>
      <c r="G113" s="5" t="str">
        <f ca="1">IFERROR(__xludf.DUMMYFUNCTION("""COMPUTED_VALUE"""),"Parameter subject")</f>
        <v>Parameter subject</v>
      </c>
      <c r="H113" s="5" t="str">
        <f ca="1">IFERROR(__xludf.DUMMYFUNCTION("""COMPUTED_VALUE"""),"0:1")</f>
        <v>0:1</v>
      </c>
      <c r="I113" s="41"/>
      <c r="J113" s="4"/>
      <c r="K113" s="8" t="s">
        <v>22</v>
      </c>
      <c r="L113" s="34"/>
      <c r="M113" s="31"/>
      <c r="N113" s="23"/>
      <c r="O113" s="23"/>
      <c r="P113" s="23"/>
      <c r="Q113" s="23"/>
      <c r="R113" s="23"/>
      <c r="S113" s="23"/>
      <c r="T113" s="23"/>
      <c r="U113" s="23"/>
      <c r="V113" s="23"/>
      <c r="W113" s="23"/>
      <c r="X113" s="23"/>
      <c r="Y113" s="23"/>
      <c r="Z113" s="23"/>
      <c r="AA113" s="4"/>
      <c r="AB113" s="4"/>
      <c r="AC113" s="4"/>
      <c r="AD113" s="4"/>
      <c r="AE113" s="4"/>
      <c r="AF113" s="4"/>
      <c r="AG113" s="4"/>
      <c r="AH113" s="4"/>
      <c r="AI113" s="4"/>
      <c r="AJ113" s="4"/>
      <c r="AK113" s="4"/>
      <c r="AL113" s="4"/>
      <c r="AM113" s="4"/>
      <c r="AN113" s="4"/>
      <c r="AO113" s="4"/>
    </row>
    <row r="114" spans="1:41" ht="12.5" x14ac:dyDescent="0.25">
      <c r="A114" s="4" t="str">
        <f ca="1">IFERROR(__xludf.DUMMYFUNCTION("""COMPUTED_VALUE"""),"Yes")</f>
        <v>Yes</v>
      </c>
      <c r="B114" s="4" t="str">
        <f ca="1">IFERROR(__xludf.DUMMYFUNCTION("""COMPUTED_VALUE"""),"Yes")</f>
        <v>Yes</v>
      </c>
      <c r="C114" s="96"/>
      <c r="D114" s="96"/>
      <c r="E114" s="96"/>
      <c r="F114" s="96"/>
      <c r="G114" s="5" t="str">
        <f ca="1">IFERROR(__xludf.DUMMYFUNCTION("""COMPUTED_VALUE"""),"Parameter distribution")</f>
        <v>Parameter distribution</v>
      </c>
      <c r="H114" s="5" t="str">
        <f ca="1">IFERROR(__xludf.DUMMYFUNCTION("""COMPUTED_VALUE"""),"0:1")</f>
        <v>0:1</v>
      </c>
      <c r="I114" s="41"/>
      <c r="J114" s="35" t="s">
        <v>23</v>
      </c>
      <c r="K114" s="98" t="str">
        <f ca="1">E105</f>
        <v>Parameter / Factor / Input / Output / "Data column"</v>
      </c>
      <c r="L114" s="96"/>
      <c r="M114" s="96"/>
      <c r="N114" s="96"/>
      <c r="O114" s="96"/>
      <c r="P114" s="96"/>
      <c r="Q114" s="96"/>
      <c r="R114" s="96"/>
      <c r="S114" s="96"/>
      <c r="T114" s="96"/>
      <c r="U114" s="96"/>
      <c r="V114" s="96"/>
      <c r="W114" s="96"/>
      <c r="X114" s="96"/>
      <c r="Y114" s="96"/>
      <c r="Z114" s="96"/>
      <c r="AA114" s="4"/>
      <c r="AB114" s="4"/>
      <c r="AC114" s="4"/>
      <c r="AD114" s="4"/>
      <c r="AE114" s="4"/>
      <c r="AF114" s="4"/>
      <c r="AG114" s="4"/>
      <c r="AH114" s="4"/>
      <c r="AI114" s="4"/>
      <c r="AJ114" s="4"/>
      <c r="AK114" s="4"/>
      <c r="AL114" s="4"/>
      <c r="AM114" s="4"/>
      <c r="AN114" s="4"/>
      <c r="AO114" s="4"/>
    </row>
    <row r="115" spans="1:41" ht="12.5" x14ac:dyDescent="0.25">
      <c r="A115" s="4" t="str">
        <f ca="1">IFERROR(__xludf.DUMMYFUNCTION("""COMPUTED_VALUE"""),"Yes")</f>
        <v>Yes</v>
      </c>
      <c r="B115" s="4" t="str">
        <f ca="1">IFERROR(__xludf.DUMMYFUNCTION("""COMPUTED_VALUE"""),"Yes")</f>
        <v>Yes</v>
      </c>
      <c r="C115" s="96"/>
      <c r="D115" s="96"/>
      <c r="E115" s="96"/>
      <c r="F115" s="96"/>
      <c r="G115" s="5"/>
      <c r="H115" s="5"/>
      <c r="I115" s="41"/>
      <c r="J115" s="4"/>
      <c r="K115" s="23" t="str">
        <f ca="1">G105</f>
        <v>Parameter ID</v>
      </c>
      <c r="L115" s="23" t="str">
        <f ca="1">G106</f>
        <v>Parameter classification</v>
      </c>
      <c r="M115" s="23" t="str">
        <f ca="1">G107</f>
        <v>Parameter name</v>
      </c>
      <c r="N115" s="23" t="str">
        <f ca="1">G108</f>
        <v>Parameter description</v>
      </c>
      <c r="O115" s="23" t="str">
        <f ca="1">G109</f>
        <v>Parameter unit</v>
      </c>
      <c r="P115" s="23" t="str">
        <f ca="1">G110</f>
        <v>Parameter unit category</v>
      </c>
      <c r="Q115" s="47" t="str">
        <f ca="1">G111</f>
        <v>Parameter data type</v>
      </c>
      <c r="R115" s="23" t="str">
        <f ca="1">G112</f>
        <v>Parameter source</v>
      </c>
      <c r="S115" s="23" t="str">
        <f ca="1">G113</f>
        <v>Parameter subject</v>
      </c>
      <c r="T115" s="23" t="str">
        <f ca="1">G114</f>
        <v>Parameter distribution</v>
      </c>
      <c r="U115" s="23" t="str">
        <f ca="1">G117</f>
        <v>Parameter value</v>
      </c>
      <c r="V115" s="23" t="str">
        <f ca="1">G118</f>
        <v>Parameter Reference</v>
      </c>
      <c r="W115" s="23" t="str">
        <f ca="1">G119</f>
        <v>Parameter variability subject</v>
      </c>
      <c r="X115" s="23" t="str">
        <f ca="1">G120</f>
        <v>Parameter value max</v>
      </c>
      <c r="Y115" t="str">
        <f ca="1">G121</f>
        <v>Parameter value min</v>
      </c>
      <c r="Z115" s="23" t="str">
        <f ca="1">G122</f>
        <v>Parameter error</v>
      </c>
      <c r="AA115" s="4"/>
      <c r="AB115" s="4"/>
      <c r="AC115" s="4"/>
      <c r="AD115" s="4"/>
      <c r="AE115" s="4"/>
      <c r="AF115" s="4"/>
      <c r="AG115" s="4"/>
      <c r="AH115" s="4"/>
      <c r="AI115" s="4"/>
      <c r="AJ115" s="4"/>
      <c r="AK115" s="4"/>
      <c r="AL115" s="4"/>
      <c r="AM115" s="4"/>
      <c r="AN115" s="4"/>
    </row>
    <row r="116" spans="1:41" ht="12.5" x14ac:dyDescent="0.25">
      <c r="A116" s="4" t="str">
        <f ca="1">IFERROR(__xludf.DUMMYFUNCTION("""COMPUTED_VALUE"""),"Yes")</f>
        <v>Yes</v>
      </c>
      <c r="B116" s="4" t="str">
        <f ca="1">IFERROR(__xludf.DUMMYFUNCTION("""COMPUTED_VALUE"""),"Yes")</f>
        <v>Yes</v>
      </c>
      <c r="C116" s="96"/>
      <c r="D116" s="96"/>
      <c r="E116" s="96"/>
      <c r="F116" s="96"/>
      <c r="G116" s="5"/>
      <c r="H116" s="5"/>
      <c r="I116" s="41"/>
      <c r="J116" s="4"/>
      <c r="K116" s="27" t="str">
        <f ca="1">H105</f>
        <v>1</v>
      </c>
      <c r="L116" s="27" t="str">
        <f ca="1">H106</f>
        <v>1</v>
      </c>
      <c r="M116" s="27" t="str">
        <f ca="1">H107</f>
        <v>1</v>
      </c>
      <c r="N116" s="27" t="str">
        <f ca="1">H108</f>
        <v>0:1</v>
      </c>
      <c r="O116" s="27" t="str">
        <f ca="1">H109</f>
        <v>1</v>
      </c>
      <c r="P116" s="27" t="str">
        <f ca="1">H110</f>
        <v>0:1</v>
      </c>
      <c r="Q116" s="27" t="str">
        <f ca="1">H111</f>
        <v>1</v>
      </c>
      <c r="R116" s="27" t="str">
        <f ca="1">H112</f>
        <v>0:1</v>
      </c>
      <c r="S116" s="27" t="str">
        <f ca="1">H113</f>
        <v>0:1</v>
      </c>
      <c r="T116" s="27" t="str">
        <f ca="1">H114</f>
        <v>0:1</v>
      </c>
      <c r="U116" s="27" t="str">
        <f ca="1">H117</f>
        <v>0:1</v>
      </c>
      <c r="V116" s="27" t="str">
        <f ca="1">H118</f>
        <v>0:1</v>
      </c>
      <c r="W116" s="27" t="str">
        <f ca="1">H119</f>
        <v>0:1</v>
      </c>
      <c r="X116" s="27" t="str">
        <f ca="1">H120</f>
        <v>0:1</v>
      </c>
      <c r="Y116" t="str">
        <f ca="1">H121</f>
        <v>0:1</v>
      </c>
      <c r="Z116" s="27" t="str">
        <f ca="1">H122</f>
        <v>0:1</v>
      </c>
      <c r="AA116" s="4"/>
      <c r="AB116" s="4"/>
      <c r="AC116" s="4"/>
      <c r="AD116" s="4"/>
      <c r="AE116" s="4"/>
      <c r="AF116" s="4"/>
      <c r="AG116" s="4"/>
      <c r="AH116" s="4"/>
      <c r="AI116" s="4"/>
      <c r="AJ116" s="4"/>
      <c r="AK116" s="4"/>
      <c r="AL116" s="4"/>
      <c r="AM116" s="4"/>
      <c r="AN116" s="4"/>
    </row>
    <row r="117" spans="1:41" ht="12.5" x14ac:dyDescent="0.25">
      <c r="A117" s="4" t="str">
        <f ca="1">IFERROR(__xludf.DUMMYFUNCTION("""COMPUTED_VALUE"""),"Yes")</f>
        <v>Yes</v>
      </c>
      <c r="B117" s="4" t="str">
        <f ca="1">IFERROR(__xludf.DUMMYFUNCTION("""COMPUTED_VALUE"""),"No")</f>
        <v>No</v>
      </c>
      <c r="C117" s="96"/>
      <c r="D117" s="96"/>
      <c r="E117" s="96"/>
      <c r="F117" s="96"/>
      <c r="G117" s="5" t="str">
        <f ca="1">IFERROR(__xludf.DUMMYFUNCTION("""COMPUTED_VALUE"""),"Parameter value")</f>
        <v>Parameter value</v>
      </c>
      <c r="H117" s="5" t="str">
        <f ca="1">IFERROR(__xludf.DUMMYFUNCTION("""COMPUTED_VALUE"""),"0:1")</f>
        <v>0:1</v>
      </c>
      <c r="I117" s="41"/>
      <c r="J117" s="4"/>
      <c r="K117" s="39"/>
      <c r="L117" s="36"/>
      <c r="M117" s="37"/>
      <c r="N117" s="37"/>
      <c r="O117" s="36" t="s">
        <v>25</v>
      </c>
      <c r="P117" s="38">
        <f>'Parameter unit'!M3</f>
        <v>0</v>
      </c>
      <c r="Q117" s="36"/>
      <c r="R117" s="37"/>
      <c r="S117" s="37"/>
      <c r="T117" s="36"/>
      <c r="U117" s="37"/>
      <c r="V117" s="37"/>
      <c r="W117" s="37"/>
      <c r="X117" s="37"/>
      <c r="Y117" s="48"/>
      <c r="Z117" s="37"/>
      <c r="AA117" s="4"/>
      <c r="AB117" s="4"/>
      <c r="AC117" s="4"/>
      <c r="AD117" s="4"/>
      <c r="AE117" s="4"/>
      <c r="AF117" s="4"/>
      <c r="AG117" s="4"/>
      <c r="AH117" s="4"/>
      <c r="AI117" s="4"/>
      <c r="AJ117" s="4"/>
      <c r="AK117" s="4"/>
      <c r="AL117" s="4"/>
      <c r="AM117" s="4"/>
      <c r="AN117" s="4"/>
    </row>
    <row r="118" spans="1:41" ht="12.5" x14ac:dyDescent="0.25">
      <c r="A118" s="4" t="str">
        <f ca="1">IFERROR(__xludf.DUMMYFUNCTION("""COMPUTED_VALUE"""),"Yes")</f>
        <v>Yes</v>
      </c>
      <c r="B118" s="4" t="str">
        <f ca="1">IFERROR(__xludf.DUMMYFUNCTION("""COMPUTED_VALUE"""),"No")</f>
        <v>No</v>
      </c>
      <c r="C118" s="96"/>
      <c r="D118" s="96"/>
      <c r="E118" s="96"/>
      <c r="F118" s="96"/>
      <c r="G118" s="5" t="str">
        <f ca="1">IFERROR(__xludf.DUMMYFUNCTION("""COMPUTED_VALUE"""),"Parameter Reference")</f>
        <v>Parameter Reference</v>
      </c>
      <c r="H118" s="5" t="str">
        <f ca="1">IFERROR(__xludf.DUMMYFUNCTION("""COMPUTED_VALUE"""),"0:1")</f>
        <v>0:1</v>
      </c>
      <c r="I118" s="41"/>
      <c r="J118" s="4"/>
      <c r="K118" s="39"/>
      <c r="L118" s="37"/>
      <c r="M118" s="37"/>
      <c r="N118" s="37"/>
      <c r="O118" s="36" t="s">
        <v>25</v>
      </c>
      <c r="P118" s="38">
        <f>'Parameter unit'!M4</f>
        <v>0</v>
      </c>
      <c r="Q118" s="37"/>
      <c r="R118" s="37"/>
      <c r="S118" s="37"/>
      <c r="T118" s="36"/>
      <c r="U118" s="37"/>
      <c r="V118" s="37"/>
      <c r="W118" s="37"/>
      <c r="X118" s="37"/>
      <c r="Y118" s="37"/>
      <c r="Z118" s="37"/>
      <c r="AA118" s="4"/>
      <c r="AB118" s="4"/>
      <c r="AC118" s="4"/>
      <c r="AD118" s="4"/>
      <c r="AE118" s="4"/>
      <c r="AF118" s="4"/>
      <c r="AG118" s="4"/>
      <c r="AH118" s="4"/>
      <c r="AI118" s="4"/>
      <c r="AJ118" s="4"/>
      <c r="AK118" s="4"/>
      <c r="AL118" s="4"/>
      <c r="AM118" s="4"/>
      <c r="AN118" s="4"/>
    </row>
    <row r="119" spans="1:41" ht="12.5" x14ac:dyDescent="0.25">
      <c r="A119" s="4" t="str">
        <f ca="1">IFERROR(__xludf.DUMMYFUNCTION("""COMPUTED_VALUE"""),"Yes")</f>
        <v>Yes</v>
      </c>
      <c r="B119" s="4" t="str">
        <f ca="1">IFERROR(__xludf.DUMMYFUNCTION("""COMPUTED_VALUE"""),"No")</f>
        <v>No</v>
      </c>
      <c r="C119" s="96"/>
      <c r="D119" s="96"/>
      <c r="E119" s="96"/>
      <c r="F119" s="96"/>
      <c r="G119" s="5" t="str">
        <f ca="1">IFERROR(__xludf.DUMMYFUNCTION("""COMPUTED_VALUE"""),"Parameter variability subject")</f>
        <v>Parameter variability subject</v>
      </c>
      <c r="H119" s="5" t="str">
        <f ca="1">IFERROR(__xludf.DUMMYFUNCTION("""COMPUTED_VALUE"""),"0:1")</f>
        <v>0:1</v>
      </c>
      <c r="I119" s="41"/>
      <c r="J119" s="4"/>
      <c r="K119" s="39"/>
      <c r="L119" s="37"/>
      <c r="M119" s="37"/>
      <c r="N119" s="37"/>
      <c r="O119" s="36" t="s">
        <v>25</v>
      </c>
      <c r="P119" s="38">
        <f>'Parameter unit'!M5</f>
        <v>0</v>
      </c>
      <c r="Q119" s="37"/>
      <c r="R119" s="37"/>
      <c r="S119" s="37"/>
      <c r="T119" s="37"/>
      <c r="U119" s="37"/>
      <c r="V119" s="37"/>
      <c r="W119" s="37"/>
      <c r="X119" s="37"/>
      <c r="Y119" s="37"/>
      <c r="Z119" s="37"/>
      <c r="AA119" s="4"/>
      <c r="AB119" s="4"/>
      <c r="AC119" s="4"/>
      <c r="AD119" s="4"/>
      <c r="AE119" s="4"/>
      <c r="AF119" s="4"/>
      <c r="AG119" s="4"/>
      <c r="AH119" s="4"/>
      <c r="AI119" s="4"/>
      <c r="AJ119" s="4"/>
      <c r="AK119" s="4"/>
      <c r="AL119" s="4"/>
      <c r="AM119" s="4"/>
      <c r="AN119" s="4"/>
    </row>
    <row r="120" spans="1:41" ht="12.5" x14ac:dyDescent="0.25">
      <c r="A120" s="4" t="str">
        <f ca="1">IFERROR(__xludf.DUMMYFUNCTION("""COMPUTED_VALUE"""),"Yes")</f>
        <v>Yes</v>
      </c>
      <c r="B120" s="4" t="str">
        <f ca="1">IFERROR(__xludf.DUMMYFUNCTION("""COMPUTED_VALUE"""),"No")</f>
        <v>No</v>
      </c>
      <c r="C120" s="96"/>
      <c r="D120" s="96"/>
      <c r="E120" s="96"/>
      <c r="F120" s="96"/>
      <c r="G120" t="str">
        <f ca="1">IFERROR(__xludf.DUMMYFUNCTION("""COMPUTED_VALUE"""),"Parameter value max")</f>
        <v>Parameter value max</v>
      </c>
      <c r="H120" s="5" t="str">
        <f ca="1">IFERROR(__xludf.DUMMYFUNCTION("""COMPUTED_VALUE"""),"0:1")</f>
        <v>0:1</v>
      </c>
      <c r="I120" s="41"/>
      <c r="J120" s="4"/>
      <c r="K120" s="39"/>
      <c r="L120" s="37"/>
      <c r="M120" s="37"/>
      <c r="N120" s="37"/>
      <c r="O120" s="36" t="s">
        <v>25</v>
      </c>
      <c r="P120" s="38">
        <f>'Parameter unit'!M6</f>
        <v>0</v>
      </c>
      <c r="Q120" s="37"/>
      <c r="R120" s="37"/>
      <c r="S120" s="37"/>
      <c r="T120" s="37"/>
      <c r="U120" s="37"/>
      <c r="V120" s="37"/>
      <c r="W120" s="37"/>
      <c r="X120" s="37"/>
      <c r="Y120" s="37"/>
      <c r="Z120" s="37"/>
      <c r="AA120" s="4"/>
      <c r="AB120" s="4"/>
      <c r="AC120" s="4"/>
      <c r="AD120" s="4"/>
      <c r="AE120" s="4"/>
      <c r="AF120" s="4"/>
      <c r="AG120" s="4"/>
      <c r="AH120" s="4"/>
      <c r="AI120" s="4"/>
      <c r="AJ120" s="4"/>
      <c r="AK120" s="4"/>
      <c r="AL120" s="4"/>
      <c r="AM120" s="4"/>
      <c r="AN120" s="4"/>
    </row>
    <row r="121" spans="1:41" ht="12.5" x14ac:dyDescent="0.25">
      <c r="A121" s="4" t="str">
        <f ca="1">IFERROR(__xludf.DUMMYFUNCTION("""COMPUTED_VALUE"""),"Yes")</f>
        <v>Yes</v>
      </c>
      <c r="B121" s="4" t="str">
        <f ca="1">IFERROR(__xludf.DUMMYFUNCTION("""COMPUTED_VALUE"""),"No")</f>
        <v>No</v>
      </c>
      <c r="C121" s="96"/>
      <c r="D121" s="96"/>
      <c r="E121" s="96"/>
      <c r="F121" s="96"/>
      <c r="G121" t="str">
        <f ca="1">IFERROR(__xludf.DUMMYFUNCTION("""COMPUTED_VALUE"""),"Parameter value min")</f>
        <v>Parameter value min</v>
      </c>
      <c r="H121" s="5" t="str">
        <f ca="1">IFERROR(__xludf.DUMMYFUNCTION("""COMPUTED_VALUE"""),"0:1")</f>
        <v>0:1</v>
      </c>
      <c r="I121" s="41"/>
      <c r="J121" s="4"/>
      <c r="K121" s="39"/>
      <c r="L121" s="37"/>
      <c r="M121" s="37"/>
      <c r="N121" s="37"/>
      <c r="O121" s="36" t="s">
        <v>25</v>
      </c>
      <c r="P121" s="38">
        <f>'Parameter unit'!M7</f>
        <v>0</v>
      </c>
      <c r="Q121" s="37"/>
      <c r="R121" s="37"/>
      <c r="S121" s="37"/>
      <c r="T121" s="37"/>
      <c r="U121" s="37"/>
      <c r="V121" s="37"/>
      <c r="W121" s="37"/>
      <c r="X121" s="37"/>
      <c r="Y121" s="37"/>
      <c r="Z121" s="37"/>
      <c r="AA121" s="4"/>
      <c r="AB121" s="4"/>
      <c r="AC121" s="4"/>
      <c r="AD121" s="4"/>
      <c r="AE121" s="4"/>
      <c r="AF121" s="4"/>
      <c r="AG121" s="4"/>
      <c r="AH121" s="4"/>
      <c r="AI121" s="4"/>
      <c r="AJ121" s="4"/>
      <c r="AK121" s="4"/>
      <c r="AL121" s="4"/>
      <c r="AM121" s="4"/>
      <c r="AN121" s="4"/>
    </row>
    <row r="122" spans="1:41" ht="12.5" x14ac:dyDescent="0.25">
      <c r="A122" s="4" t="str">
        <f ca="1">IFERROR(__xludf.DUMMYFUNCTION("""COMPUTED_VALUE"""),"Yes")</f>
        <v>Yes</v>
      </c>
      <c r="B122" s="4" t="str">
        <f ca="1">IFERROR(__xludf.DUMMYFUNCTION("""COMPUTED_VALUE"""),"No")</f>
        <v>No</v>
      </c>
      <c r="C122" s="96"/>
      <c r="D122" s="96"/>
      <c r="E122" s="96"/>
      <c r="F122" s="96"/>
      <c r="G122" s="5" t="str">
        <f ca="1">IFERROR(__xludf.DUMMYFUNCTION("""COMPUTED_VALUE"""),"Parameter error")</f>
        <v>Parameter error</v>
      </c>
      <c r="H122" s="5" t="str">
        <f ca="1">IFERROR(__xludf.DUMMYFUNCTION("""COMPUTED_VALUE"""),"0:1")</f>
        <v>0:1</v>
      </c>
      <c r="I122" s="41"/>
      <c r="J122" s="4"/>
      <c r="K122" s="39"/>
      <c r="L122" s="37"/>
      <c r="M122" s="37"/>
      <c r="N122" s="37"/>
      <c r="O122" s="36" t="s">
        <v>25</v>
      </c>
      <c r="P122" s="38">
        <f>'Parameter unit'!M8</f>
        <v>0</v>
      </c>
      <c r="Q122" s="37"/>
      <c r="R122" s="37"/>
      <c r="S122" s="37"/>
      <c r="T122" s="37"/>
      <c r="U122" s="37"/>
      <c r="V122" s="37"/>
      <c r="W122" s="37"/>
      <c r="X122" s="37"/>
      <c r="Y122" s="37"/>
      <c r="Z122" s="37"/>
      <c r="AA122" s="4"/>
      <c r="AB122" s="4"/>
      <c r="AC122" s="4"/>
      <c r="AD122" s="4"/>
      <c r="AE122" s="4"/>
      <c r="AF122" s="4"/>
      <c r="AG122" s="4"/>
      <c r="AH122" s="4"/>
      <c r="AI122" s="4"/>
      <c r="AJ122" s="4"/>
      <c r="AK122" s="4"/>
      <c r="AL122" s="4"/>
      <c r="AM122" s="4"/>
      <c r="AN122" s="4"/>
    </row>
    <row r="123" spans="1:41" ht="12.5" x14ac:dyDescent="0.25">
      <c r="A123" s="4" t="str">
        <f ca="1">IFERROR(__xludf.DUMMYFUNCTION("""COMPUTED_VALUE"""),"Yes")</f>
        <v>Yes</v>
      </c>
      <c r="B123" s="4" t="str">
        <f ca="1">IFERROR(__xludf.DUMMYFUNCTION("""COMPUTED_VALUE"""),"No")</f>
        <v>No</v>
      </c>
      <c r="C123" s="96"/>
      <c r="D123" s="96"/>
      <c r="E123" s="97" t="str">
        <f ca="1">IFERROR(__xludf.DUMMYFUNCTION("""COMPUTED_VALUE"""),"Quality measures")</f>
        <v>Quality measures</v>
      </c>
      <c r="F123" s="97"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41"/>
      <c r="J123" s="4"/>
      <c r="K123" s="39"/>
      <c r="L123" s="37"/>
      <c r="M123" s="37"/>
      <c r="N123" s="37"/>
      <c r="O123" s="36" t="s">
        <v>25</v>
      </c>
      <c r="P123" s="38">
        <f>'Parameter unit'!M9</f>
        <v>0</v>
      </c>
      <c r="Q123" s="37"/>
      <c r="R123" s="37"/>
      <c r="S123" s="37"/>
      <c r="T123" s="37"/>
      <c r="U123" s="37"/>
      <c r="V123" s="37"/>
      <c r="W123" s="37"/>
      <c r="X123" s="37"/>
      <c r="Y123" s="37"/>
      <c r="Z123" s="37"/>
      <c r="AA123" s="4"/>
      <c r="AB123" s="4"/>
      <c r="AC123" s="4"/>
      <c r="AD123" s="4"/>
      <c r="AE123" s="4"/>
      <c r="AF123" s="4"/>
      <c r="AG123" s="4"/>
      <c r="AH123" s="4"/>
      <c r="AI123" s="4"/>
      <c r="AJ123" s="4"/>
      <c r="AK123" s="4"/>
      <c r="AL123" s="4"/>
      <c r="AM123" s="4"/>
      <c r="AN123" s="4"/>
    </row>
    <row r="124" spans="1:41" ht="12.5" x14ac:dyDescent="0.25">
      <c r="A124" s="4" t="str">
        <f ca="1">IFERROR(__xludf.DUMMYFUNCTION("""COMPUTED_VALUE"""),"Yes")</f>
        <v>Yes</v>
      </c>
      <c r="B124" s="4" t="str">
        <f ca="1">IFERROR(__xludf.DUMMYFUNCTION("""COMPUTED_VALUE"""),"No")</f>
        <v>No</v>
      </c>
      <c r="C124" s="96"/>
      <c r="D124" s="96"/>
      <c r="E124" s="96"/>
      <c r="F124" s="96"/>
      <c r="G124" s="5" t="str">
        <f ca="1">IFERROR(__xludf.DUMMYFUNCTION("""COMPUTED_VALUE"""),"Sensitivity analysis")</f>
        <v>Sensitivity analysis</v>
      </c>
      <c r="H124" s="5" t="str">
        <f ca="1">IFERROR(__xludf.DUMMYFUNCTION("""COMPUTED_VALUE"""),"0:N")</f>
        <v>0:N</v>
      </c>
      <c r="I124" s="41"/>
      <c r="J124" s="4"/>
      <c r="K124" s="39"/>
      <c r="L124" s="37"/>
      <c r="M124" s="37"/>
      <c r="N124" s="37"/>
      <c r="O124" s="36" t="s">
        <v>25</v>
      </c>
      <c r="P124" s="38">
        <f>'Parameter unit'!M10</f>
        <v>0</v>
      </c>
      <c r="Q124" s="37"/>
      <c r="R124" s="37"/>
      <c r="S124" s="37"/>
      <c r="T124" s="37"/>
      <c r="U124" s="37"/>
      <c r="V124" s="37"/>
      <c r="W124" s="37"/>
      <c r="X124" s="37"/>
      <c r="Y124" s="37"/>
      <c r="Z124" s="37"/>
      <c r="AA124" s="4"/>
      <c r="AB124" s="4"/>
      <c r="AC124" s="4"/>
      <c r="AD124" s="4"/>
      <c r="AE124" s="4"/>
      <c r="AF124" s="4"/>
      <c r="AG124" s="4"/>
      <c r="AH124" s="4"/>
      <c r="AI124" s="4"/>
      <c r="AJ124" s="4"/>
      <c r="AK124" s="4"/>
      <c r="AL124" s="4"/>
      <c r="AM124" s="4"/>
      <c r="AN124" s="4"/>
    </row>
    <row r="125" spans="1:41" ht="12.5" x14ac:dyDescent="0.25">
      <c r="A125" s="4" t="str">
        <f ca="1">IFERROR(__xludf.DUMMYFUNCTION("""COMPUTED_VALUE"""),"Yes")</f>
        <v>Yes</v>
      </c>
      <c r="B125" s="4" t="str">
        <f ca="1">IFERROR(__xludf.DUMMYFUNCTION("""COMPUTED_VALUE"""),"No")</f>
        <v>No</v>
      </c>
      <c r="C125" s="96"/>
      <c r="D125" s="96"/>
      <c r="E125" s="97" t="str">
        <f ca="1">IFERROR(__xludf.DUMMYFUNCTION("""COMPUTED_VALUE"""),"Model equation")</f>
        <v>Model equation</v>
      </c>
      <c r="F125" s="97" t="str">
        <f ca="1">IFERROR(__xludf.DUMMYFUNCTION("""COMPUTED_VALUE"""),"0:N")</f>
        <v>0:N</v>
      </c>
      <c r="G125" s="5" t="str">
        <f ca="1">IFERROR(__xludf.DUMMYFUNCTION("""COMPUTED_VALUE"""),"Model equation name")</f>
        <v>Model equation name</v>
      </c>
      <c r="H125" s="5" t="str">
        <f ca="1">IFERROR(__xludf.DUMMYFUNCTION("""COMPUTED_VALUE"""),"1")</f>
        <v>1</v>
      </c>
      <c r="I125" s="41"/>
      <c r="J125" s="4"/>
      <c r="K125" s="39"/>
      <c r="L125" s="37"/>
      <c r="M125" s="37"/>
      <c r="N125" s="37"/>
      <c r="O125" s="36" t="s">
        <v>25</v>
      </c>
      <c r="P125" s="38">
        <f>'Parameter unit'!M11</f>
        <v>0</v>
      </c>
      <c r="Q125" s="37"/>
      <c r="R125" s="37"/>
      <c r="S125" s="37"/>
      <c r="T125" s="37"/>
      <c r="U125" s="37"/>
      <c r="V125" s="37"/>
      <c r="W125" s="37"/>
      <c r="X125" s="37"/>
      <c r="Y125" s="37"/>
      <c r="Z125" s="37"/>
      <c r="AA125" s="4"/>
      <c r="AB125" s="4"/>
      <c r="AC125" s="4"/>
      <c r="AD125" s="4"/>
      <c r="AE125" s="4"/>
      <c r="AF125" s="4"/>
      <c r="AG125" s="4"/>
      <c r="AH125" s="4"/>
      <c r="AI125" s="4"/>
      <c r="AJ125" s="4"/>
      <c r="AK125" s="4"/>
      <c r="AL125" s="4"/>
      <c r="AM125" s="4"/>
      <c r="AN125" s="4"/>
    </row>
    <row r="126" spans="1:41" ht="12.5" x14ac:dyDescent="0.25">
      <c r="A126" s="4" t="str">
        <f ca="1">IFERROR(__xludf.DUMMYFUNCTION("""COMPUTED_VALUE"""),"Yes")</f>
        <v>Yes</v>
      </c>
      <c r="B126" s="4" t="str">
        <f ca="1">IFERROR(__xludf.DUMMYFUNCTION("""COMPUTED_VALUE"""),"No")</f>
        <v>No</v>
      </c>
      <c r="C126" s="96"/>
      <c r="D126" s="96"/>
      <c r="E126" s="96"/>
      <c r="F126" s="96"/>
      <c r="G126" s="5" t="str">
        <f ca="1">IFERROR(__xludf.DUMMYFUNCTION("""COMPUTED_VALUE"""),"Model equation class/distribution")</f>
        <v>Model equation class/distribution</v>
      </c>
      <c r="H126" s="5" t="str">
        <f ca="1">IFERROR(__xludf.DUMMYFUNCTION("""COMPUTED_VALUE"""),"0:1")</f>
        <v>0:1</v>
      </c>
      <c r="I126" s="41"/>
      <c r="J126" s="4"/>
      <c r="K126" s="39"/>
      <c r="L126" s="37"/>
      <c r="M126" s="37"/>
      <c r="N126" s="37"/>
      <c r="O126" s="36" t="s">
        <v>25</v>
      </c>
      <c r="P126" s="38">
        <f>'Parameter unit'!M12</f>
        <v>0</v>
      </c>
      <c r="Q126" s="37"/>
      <c r="R126" s="37"/>
      <c r="S126" s="37"/>
      <c r="T126" s="37"/>
      <c r="U126" s="37"/>
      <c r="V126" s="37"/>
      <c r="W126" s="37"/>
      <c r="X126" s="37"/>
      <c r="Y126" s="37"/>
      <c r="Z126" s="37"/>
      <c r="AA126" s="4"/>
      <c r="AB126" s="4"/>
      <c r="AC126" s="4"/>
      <c r="AD126" s="4"/>
      <c r="AE126" s="4"/>
      <c r="AF126" s="4"/>
      <c r="AG126" s="4"/>
      <c r="AH126" s="4"/>
      <c r="AI126" s="4"/>
      <c r="AJ126" s="4"/>
      <c r="AK126" s="4"/>
      <c r="AL126" s="4"/>
      <c r="AM126" s="4"/>
      <c r="AN126" s="4"/>
    </row>
    <row r="127" spans="1:41" ht="12.5" x14ac:dyDescent="0.25">
      <c r="A127" s="4" t="str">
        <f ca="1">IFERROR(__xludf.DUMMYFUNCTION("""COMPUTED_VALUE"""),"Yes")</f>
        <v>Yes</v>
      </c>
      <c r="B127" s="4" t="str">
        <f ca="1">IFERROR(__xludf.DUMMYFUNCTION("""COMPUTED_VALUE"""),"No")</f>
        <v>No</v>
      </c>
      <c r="C127" s="96"/>
      <c r="D127" s="96"/>
      <c r="E127" s="96"/>
      <c r="F127" s="96"/>
      <c r="G127" s="5"/>
      <c r="H127" s="5"/>
      <c r="I127" s="41"/>
      <c r="J127" s="4"/>
      <c r="K127" s="39"/>
      <c r="L127" s="37"/>
      <c r="M127" s="37"/>
      <c r="N127" s="37"/>
      <c r="O127" s="36" t="s">
        <v>25</v>
      </c>
      <c r="P127" s="38">
        <f>'Parameter unit'!M13</f>
        <v>0</v>
      </c>
      <c r="Q127" s="37"/>
      <c r="R127" s="37"/>
      <c r="S127" s="37"/>
      <c r="T127" s="37"/>
      <c r="U127" s="37"/>
      <c r="V127" s="37"/>
      <c r="W127" s="37"/>
      <c r="X127" s="37"/>
      <c r="Y127" s="37"/>
      <c r="Z127" s="37"/>
      <c r="AA127" s="4"/>
      <c r="AB127" s="4"/>
      <c r="AC127" s="4"/>
      <c r="AD127" s="4"/>
      <c r="AE127" s="4"/>
      <c r="AF127" s="4"/>
      <c r="AG127" s="4"/>
      <c r="AH127" s="4"/>
      <c r="AI127" s="4"/>
      <c r="AJ127" s="4"/>
      <c r="AK127" s="4"/>
      <c r="AL127" s="4"/>
      <c r="AM127" s="4"/>
      <c r="AN127" s="4"/>
    </row>
    <row r="128" spans="1:41" ht="12.5" x14ac:dyDescent="0.25">
      <c r="A128" s="4" t="str">
        <f ca="1">IFERROR(__xludf.DUMMYFUNCTION("""COMPUTED_VALUE"""),"Yes")</f>
        <v>Yes</v>
      </c>
      <c r="B128" s="4" t="str">
        <f ca="1">IFERROR(__xludf.DUMMYFUNCTION("""COMPUTED_VALUE"""),"No")</f>
        <v>No</v>
      </c>
      <c r="C128" s="96"/>
      <c r="D128" s="96"/>
      <c r="E128" s="96"/>
      <c r="F128" s="96"/>
      <c r="G128" s="5"/>
      <c r="H128" s="5"/>
      <c r="I128" s="41"/>
      <c r="J128" s="4"/>
      <c r="K128" s="39"/>
      <c r="L128" s="37"/>
      <c r="M128" s="37"/>
      <c r="N128" s="37"/>
      <c r="O128" s="36" t="s">
        <v>25</v>
      </c>
      <c r="P128" s="38">
        <f>'Parameter unit'!M14</f>
        <v>0</v>
      </c>
      <c r="Q128" s="37"/>
      <c r="R128" s="37"/>
      <c r="S128" s="37"/>
      <c r="T128" s="37"/>
      <c r="U128" s="37"/>
      <c r="V128" s="37"/>
      <c r="W128" s="37"/>
      <c r="X128" s="37"/>
      <c r="Y128" s="37"/>
      <c r="Z128" s="37"/>
      <c r="AA128" s="4"/>
      <c r="AB128" s="4"/>
      <c r="AC128" s="4"/>
      <c r="AD128" s="4"/>
      <c r="AE128" s="4"/>
      <c r="AF128" s="4"/>
      <c r="AG128" s="4"/>
      <c r="AH128" s="4"/>
      <c r="AI128" s="4"/>
      <c r="AJ128" s="4"/>
      <c r="AK128" s="4"/>
      <c r="AL128" s="4"/>
      <c r="AM128" s="4"/>
      <c r="AN128" s="4"/>
    </row>
    <row r="129" spans="1:40" ht="12.5" x14ac:dyDescent="0.25">
      <c r="A129" s="4" t="str">
        <f ca="1">IFERROR(__xludf.DUMMYFUNCTION("""COMPUTED_VALUE"""),"Yes")</f>
        <v>Yes</v>
      </c>
      <c r="B129" s="4" t="str">
        <f ca="1">IFERROR(__xludf.DUMMYFUNCTION("""COMPUTED_VALUE"""),"No")</f>
        <v>No</v>
      </c>
      <c r="C129" s="96"/>
      <c r="D129" s="96"/>
      <c r="E129" s="96"/>
      <c r="F129" s="96"/>
      <c r="G129" s="5"/>
      <c r="H129" s="5"/>
      <c r="I129" s="41"/>
      <c r="J129" s="4"/>
      <c r="K129" s="39"/>
      <c r="L129" s="37"/>
      <c r="M129" s="37"/>
      <c r="N129" s="37"/>
      <c r="O129" s="36" t="s">
        <v>25</v>
      </c>
      <c r="P129" s="38">
        <f>'Parameter unit'!M15</f>
        <v>0</v>
      </c>
      <c r="Q129" s="37"/>
      <c r="R129" s="37"/>
      <c r="S129" s="37"/>
      <c r="T129" s="37"/>
      <c r="U129" s="37"/>
      <c r="V129" s="37"/>
      <c r="W129" s="37"/>
      <c r="X129" s="37"/>
      <c r="Y129" s="37"/>
      <c r="Z129" s="37"/>
      <c r="AA129" s="4"/>
      <c r="AB129" s="4"/>
      <c r="AC129" s="4"/>
      <c r="AD129" s="4"/>
      <c r="AE129" s="4"/>
      <c r="AF129" s="4"/>
      <c r="AG129" s="4"/>
      <c r="AH129" s="4"/>
      <c r="AI129" s="4"/>
      <c r="AJ129" s="4"/>
      <c r="AK129" s="4"/>
      <c r="AL129" s="4"/>
      <c r="AM129" s="4"/>
      <c r="AN129" s="4"/>
    </row>
    <row r="130" spans="1:40" ht="12.5" x14ac:dyDescent="0.25">
      <c r="A130" s="4" t="str">
        <f ca="1">IFERROR(__xludf.DUMMYFUNCTION("""COMPUTED_VALUE"""),"Yes")</f>
        <v>Yes</v>
      </c>
      <c r="B130" s="4" t="str">
        <f ca="1">IFERROR(__xludf.DUMMYFUNCTION("""COMPUTED_VALUE"""),"No")</f>
        <v>No</v>
      </c>
      <c r="C130" s="96"/>
      <c r="D130" s="96"/>
      <c r="E130" s="96"/>
      <c r="F130" s="96"/>
      <c r="G130" s="5" t="str">
        <f ca="1">IFERROR(__xludf.DUMMYFUNCTION("""COMPUTED_VALUE"""),"Model equation reference")</f>
        <v>Model equation reference</v>
      </c>
      <c r="H130" s="5" t="str">
        <f ca="1">IFERROR(__xludf.DUMMYFUNCTION("""COMPUTED_VALUE"""),"0:N")</f>
        <v>0:N</v>
      </c>
      <c r="I130" s="41"/>
      <c r="J130" s="4"/>
      <c r="K130" s="39"/>
      <c r="L130" s="37"/>
      <c r="M130" s="37"/>
      <c r="N130" s="37"/>
      <c r="O130" s="36" t="s">
        <v>25</v>
      </c>
      <c r="P130" s="38">
        <f>'Parameter unit'!M16</f>
        <v>0</v>
      </c>
      <c r="Q130" s="37"/>
      <c r="R130" s="37"/>
      <c r="S130" s="37"/>
      <c r="T130" s="37"/>
      <c r="U130" s="37"/>
      <c r="V130" s="37"/>
      <c r="W130" s="37"/>
      <c r="X130" s="37"/>
      <c r="Y130" s="37"/>
      <c r="Z130" s="37"/>
      <c r="AA130" s="4"/>
      <c r="AB130" s="4"/>
      <c r="AC130" s="4"/>
      <c r="AD130" s="4"/>
      <c r="AE130" s="4"/>
      <c r="AF130" s="4"/>
      <c r="AG130" s="4"/>
      <c r="AH130" s="4"/>
      <c r="AI130" s="4"/>
      <c r="AJ130" s="4"/>
      <c r="AK130" s="4"/>
      <c r="AL130" s="4"/>
      <c r="AM130" s="4"/>
      <c r="AN130" s="4"/>
    </row>
    <row r="131" spans="1:40" ht="12.5" x14ac:dyDescent="0.25">
      <c r="A131" s="4" t="str">
        <f ca="1">IFERROR(__xludf.DUMMYFUNCTION("""COMPUTED_VALUE"""),"Yes")</f>
        <v>Yes</v>
      </c>
      <c r="B131" s="4" t="str">
        <f ca="1">IFERROR(__xludf.DUMMYFUNCTION("""COMPUTED_VALUE"""),"No")</f>
        <v>No</v>
      </c>
      <c r="C131" s="96"/>
      <c r="D131" s="96"/>
      <c r="E131" s="96"/>
      <c r="F131" s="96"/>
      <c r="G131" s="5" t="str">
        <f ca="1">IFERROR(__xludf.DUMMYFUNCTION("""COMPUTED_VALUE"""),"Model equation / Script")</f>
        <v>Model equation / Script</v>
      </c>
      <c r="H131" s="5" t="str">
        <f ca="1">IFERROR(__xludf.DUMMYFUNCTION("""COMPUTED_VALUE"""),"1")</f>
        <v>1</v>
      </c>
      <c r="I131" s="41"/>
      <c r="J131" s="4"/>
      <c r="K131" s="39"/>
      <c r="L131" s="37"/>
      <c r="M131" s="37"/>
      <c r="N131" s="37"/>
      <c r="O131" s="36" t="s">
        <v>25</v>
      </c>
      <c r="P131" s="38">
        <f>'Parameter unit'!M17</f>
        <v>0</v>
      </c>
      <c r="Q131" s="37"/>
      <c r="R131" s="37"/>
      <c r="S131" s="37"/>
      <c r="T131" s="37"/>
      <c r="U131" s="37"/>
      <c r="V131" s="37"/>
      <c r="W131" s="37"/>
      <c r="X131" s="37"/>
      <c r="Y131" s="37"/>
      <c r="Z131" s="37"/>
      <c r="AA131" s="4"/>
      <c r="AB131" s="4"/>
      <c r="AC131" s="4"/>
      <c r="AD131" s="4"/>
      <c r="AE131" s="4"/>
      <c r="AF131" s="4"/>
      <c r="AG131" s="4"/>
      <c r="AH131" s="4"/>
      <c r="AI131" s="4"/>
      <c r="AJ131" s="4"/>
      <c r="AK131" s="4"/>
      <c r="AL131" s="4"/>
      <c r="AM131" s="4"/>
      <c r="AN131" s="4"/>
    </row>
    <row r="132" spans="1:40" ht="12.5" x14ac:dyDescent="0.25">
      <c r="A132" s="4" t="str">
        <f ca="1">IFERROR(__xludf.DUMMYFUNCTION("""COMPUTED_VALUE"""),"Yes")</f>
        <v>Yes</v>
      </c>
      <c r="B132" s="4" t="str">
        <f ca="1">IFERROR(__xludf.DUMMYFUNCTION("""COMPUTED_VALUE"""),"No")</f>
        <v>No</v>
      </c>
      <c r="C132" s="96"/>
      <c r="D132" s="96"/>
      <c r="E132" s="96"/>
      <c r="F132" s="96"/>
      <c r="G132" s="5" t="str">
        <f ca="1">IFERROR(__xludf.DUMMYFUNCTION("""COMPUTED_VALUE"""),"Hypothesis of the model")</f>
        <v>Hypothesis of the model</v>
      </c>
      <c r="H132" s="5" t="str">
        <f ca="1">IFERROR(__xludf.DUMMYFUNCTION("""COMPUTED_VALUE"""),"0:N")</f>
        <v>0:N</v>
      </c>
      <c r="I132" s="41"/>
      <c r="J132" s="4"/>
      <c r="K132" s="39"/>
      <c r="L132" s="37"/>
      <c r="M132" s="37"/>
      <c r="N132" s="37"/>
      <c r="O132" s="36" t="s">
        <v>25</v>
      </c>
      <c r="P132" s="38">
        <f>'Parameter unit'!M18</f>
        <v>0</v>
      </c>
      <c r="Q132" s="37"/>
      <c r="R132" s="37"/>
      <c r="S132" s="37"/>
      <c r="T132" s="37"/>
      <c r="U132" s="37"/>
      <c r="V132" s="37"/>
      <c r="W132" s="37"/>
      <c r="X132" s="37"/>
      <c r="Y132" s="37"/>
      <c r="Z132" s="37"/>
      <c r="AA132" s="4"/>
      <c r="AB132" s="4"/>
      <c r="AC132" s="4"/>
      <c r="AD132" s="4"/>
      <c r="AE132" s="4"/>
      <c r="AF132" s="4"/>
      <c r="AG132" s="4"/>
      <c r="AH132" s="4"/>
      <c r="AI132" s="4"/>
      <c r="AJ132" s="4"/>
      <c r="AK132" s="4"/>
      <c r="AL132" s="4"/>
      <c r="AM132" s="4"/>
      <c r="AN132" s="4"/>
    </row>
    <row r="133" spans="1:40" ht="12.5" x14ac:dyDescent="0.25">
      <c r="A133" s="4" t="str">
        <f ca="1">IFERROR(__xludf.DUMMYFUNCTION("""COMPUTED_VALUE"""),"Yes")</f>
        <v>Yes</v>
      </c>
      <c r="B133" s="4" t="str">
        <f ca="1">IFERROR(__xludf.DUMMYFUNCTION("""COMPUTED_VALUE"""),"No")</f>
        <v>No</v>
      </c>
      <c r="C133" s="96"/>
      <c r="D133" s="96"/>
      <c r="E133" s="5" t="str">
        <f ca="1">IFERROR(__xludf.DUMMYFUNCTION("""COMPUTED_VALUE"""),"Fitting procedure")</f>
        <v>Fitting procedure</v>
      </c>
      <c r="F133" s="5" t="str">
        <f ca="1">IFERROR(__xludf.DUMMYFUNCTION("""COMPUTED_VALUE"""),"0:1")</f>
        <v>0:1</v>
      </c>
      <c r="G133" s="5"/>
      <c r="H133" s="5"/>
      <c r="I133" s="11"/>
      <c r="J133" s="4"/>
      <c r="K133" s="39"/>
      <c r="L133" s="37"/>
      <c r="M133" s="37"/>
      <c r="N133" s="37"/>
      <c r="O133" s="36" t="s">
        <v>25</v>
      </c>
      <c r="P133" s="38">
        <f>'Parameter unit'!M19</f>
        <v>0</v>
      </c>
      <c r="Q133" s="37"/>
      <c r="R133" s="37"/>
      <c r="S133" s="37"/>
      <c r="T133" s="37"/>
      <c r="U133" s="37"/>
      <c r="V133" s="37"/>
      <c r="W133" s="37"/>
      <c r="X133" s="37"/>
      <c r="Y133" s="37"/>
      <c r="Z133" s="37"/>
      <c r="AA133" s="4"/>
      <c r="AB133" s="4"/>
      <c r="AC133" s="4"/>
      <c r="AD133" s="4"/>
      <c r="AE133" s="4"/>
      <c r="AF133" s="4"/>
      <c r="AG133" s="4"/>
      <c r="AH133" s="4"/>
      <c r="AI133" s="4"/>
      <c r="AJ133" s="4"/>
      <c r="AK133" s="4"/>
      <c r="AL133" s="4"/>
      <c r="AM133" s="4"/>
      <c r="AN133" s="4"/>
    </row>
    <row r="134" spans="1:40" ht="12.5" x14ac:dyDescent="0.25">
      <c r="A134" s="4" t="str">
        <f ca="1">IFERROR(__xludf.DUMMYFUNCTION("""COMPUTED_VALUE"""),"Yes")</f>
        <v>Yes</v>
      </c>
      <c r="B134" s="4" t="str">
        <f ca="1">IFERROR(__xludf.DUMMYFUNCTION("""COMPUTED_VALUE"""),"No")</f>
        <v>No</v>
      </c>
      <c r="C134" s="96"/>
      <c r="D134" s="96"/>
      <c r="E134" s="97" t="str">
        <f ca="1">IFERROR(__xludf.DUMMYFUNCTION("""COMPUTED_VALUE"""),"Exposure")</f>
        <v>Exposure</v>
      </c>
      <c r="F134" s="97"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11"/>
      <c r="J134" s="4"/>
      <c r="K134" s="39"/>
      <c r="L134" s="37"/>
      <c r="M134" s="37"/>
      <c r="N134" s="37"/>
      <c r="O134" s="36" t="s">
        <v>25</v>
      </c>
      <c r="P134" s="38">
        <f>'Parameter unit'!M20</f>
        <v>0</v>
      </c>
      <c r="Q134" s="37"/>
      <c r="R134" s="37"/>
      <c r="S134" s="37"/>
      <c r="T134" s="37"/>
      <c r="U134" s="37"/>
      <c r="V134" s="37"/>
      <c r="W134" s="37"/>
      <c r="X134" s="37"/>
      <c r="Y134" s="37"/>
      <c r="Z134" s="37"/>
      <c r="AA134" s="4"/>
      <c r="AB134" s="4"/>
      <c r="AC134" s="4"/>
      <c r="AD134" s="4"/>
      <c r="AE134" s="4"/>
      <c r="AF134" s="4"/>
      <c r="AG134" s="4"/>
      <c r="AH134" s="4"/>
      <c r="AI134" s="4"/>
      <c r="AJ134" s="4"/>
      <c r="AK134" s="4"/>
      <c r="AL134" s="4"/>
      <c r="AM134" s="4"/>
      <c r="AN134" s="4"/>
    </row>
    <row r="135" spans="1:40" ht="12.5" x14ac:dyDescent="0.25">
      <c r="A135" s="4" t="str">
        <f ca="1">IFERROR(__xludf.DUMMYFUNCTION("""COMPUTED_VALUE"""),"Yes")</f>
        <v>Yes</v>
      </c>
      <c r="B135" s="4" t="str">
        <f ca="1">IFERROR(__xludf.DUMMYFUNCTION("""COMPUTED_VALUE"""),"No")</f>
        <v>No</v>
      </c>
      <c r="C135" s="96"/>
      <c r="D135" s="96"/>
      <c r="E135" s="96"/>
      <c r="F135" s="96"/>
      <c r="G135" s="5" t="str">
        <f ca="1">IFERROR(__xludf.DUMMYFUNCTION("""COMPUTED_VALUE"""),"Level of contamination after left-censored data treatment")</f>
        <v>Level of contamination after left-censored data treatment</v>
      </c>
      <c r="H135" s="5" t="str">
        <f ca="1">IFERROR(__xludf.DUMMYFUNCTION("""COMPUTED_VALUE"""),"0:N")</f>
        <v>0:N</v>
      </c>
      <c r="I135" s="11"/>
      <c r="J135" s="4"/>
      <c r="K135" s="39"/>
      <c r="L135" s="37"/>
      <c r="M135" s="37"/>
      <c r="N135" s="37"/>
      <c r="O135" s="36" t="s">
        <v>25</v>
      </c>
      <c r="P135" s="38">
        <f>'Parameter unit'!M21</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row>
    <row r="136" spans="1:40" ht="12.5" x14ac:dyDescent="0.25">
      <c r="A136" s="4" t="str">
        <f ca="1">IFERROR(__xludf.DUMMYFUNCTION("""COMPUTED_VALUE"""),"Yes")</f>
        <v>Yes</v>
      </c>
      <c r="B136" s="4" t="str">
        <f ca="1">IFERROR(__xludf.DUMMYFUNCTION("""COMPUTED_VALUE"""),"No")</f>
        <v>No</v>
      </c>
      <c r="C136" s="96"/>
      <c r="D136" s="96"/>
      <c r="E136" s="96"/>
      <c r="F136" s="96"/>
      <c r="G136" s="5" t="str">
        <f ca="1">IFERROR(__xludf.DUMMYFUNCTION("""COMPUTED_VALUE"""),"Type of exposure")</f>
        <v>Type of exposure</v>
      </c>
      <c r="H136" s="5" t="str">
        <f ca="1">IFERROR(__xludf.DUMMYFUNCTION("""COMPUTED_VALUE"""),"1")</f>
        <v>1</v>
      </c>
      <c r="I136" s="11"/>
      <c r="J136" s="4"/>
      <c r="K136" s="39"/>
      <c r="L136" s="37"/>
      <c r="M136" s="37"/>
      <c r="N136" s="37"/>
      <c r="O136" s="36" t="s">
        <v>25</v>
      </c>
      <c r="P136" s="38">
        <f>'Parameter unit'!M22</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row>
    <row r="137" spans="1:40" ht="12.5" x14ac:dyDescent="0.25">
      <c r="A137" s="4" t="str">
        <f ca="1">IFERROR(__xludf.DUMMYFUNCTION("""COMPUTED_VALUE"""),"Yes")</f>
        <v>Yes</v>
      </c>
      <c r="B137" s="4" t="str">
        <f ca="1">IFERROR(__xludf.DUMMYFUNCTION("""COMPUTED_VALUE"""),"No")</f>
        <v>No</v>
      </c>
      <c r="C137" s="96"/>
      <c r="D137" s="96"/>
      <c r="E137" s="96"/>
      <c r="F137" s="96"/>
      <c r="G137" s="5" t="str">
        <f ca="1">IFERROR(__xludf.DUMMYFUNCTION("""COMPUTED_VALUE"""),"Scenario")</f>
        <v>Scenario</v>
      </c>
      <c r="H137" s="5" t="str">
        <f ca="1">IFERROR(__xludf.DUMMYFUNCTION("""COMPUTED_VALUE"""),"0:N")</f>
        <v>0:N</v>
      </c>
      <c r="I137" s="11"/>
      <c r="J137" s="4"/>
      <c r="K137" s="4"/>
      <c r="L137" s="4"/>
      <c r="M137" s="4"/>
      <c r="N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spans="1:40" ht="12.5" x14ac:dyDescent="0.25">
      <c r="A138" s="4" t="str">
        <f ca="1">IFERROR(__xludf.DUMMYFUNCTION("""COMPUTED_VALUE"""),"Yes")</f>
        <v>Yes</v>
      </c>
      <c r="B138" s="4" t="str">
        <f ca="1">IFERROR(__xludf.DUMMYFUNCTION("""COMPUTED_VALUE"""),"No")</f>
        <v>No</v>
      </c>
      <c r="C138" s="96"/>
      <c r="D138" s="96"/>
      <c r="E138" s="96"/>
      <c r="F138" s="96"/>
      <c r="G138" s="5" t="str">
        <f ca="1">IFERROR(__xludf.DUMMYFUNCTION("""COMPUTED_VALUE"""),"Uncertainty estimation")</f>
        <v>Uncertainty estimation</v>
      </c>
      <c r="H138" s="5" t="str">
        <f ca="1">IFERROR(__xludf.DUMMYFUNCTION("""COMPUTED_VALUE"""),"0:1")</f>
        <v>0:1</v>
      </c>
      <c r="I138" s="11"/>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spans="1:40" ht="12.5" x14ac:dyDescent="0.25">
      <c r="A139" s="4" t="str">
        <f ca="1">IFERROR(__xludf.DUMMYFUNCTION("""COMPUTED_VALUE"""),"Yes")</f>
        <v>Yes</v>
      </c>
      <c r="B139" s="4" t="str">
        <f ca="1">IFERROR(__xludf.DUMMYFUNCTION("""COMPUTED_VALUE"""),"No")</f>
        <v>No</v>
      </c>
      <c r="C139" s="96"/>
      <c r="D139" s="96"/>
      <c r="E139" s="5" t="str">
        <f ca="1">IFERROR(__xludf.DUMMYFUNCTION("""COMPUTED_VALUE"""),"Events")</f>
        <v>Events</v>
      </c>
      <c r="F139" s="97" t="str">
        <f ca="1">IFERROR(__xludf.DUMMYFUNCTION("""COMPUTED_VALUE"""),"0:N")</f>
        <v>0:N</v>
      </c>
      <c r="G139" s="96"/>
      <c r="H139" s="96"/>
      <c r="I139" s="41"/>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spans="1:40" ht="12.5" x14ac:dyDescent="0.25">
      <c r="A140" s="4"/>
      <c r="B140" s="4"/>
      <c r="C140" s="49"/>
      <c r="D140" s="50"/>
      <c r="E140" s="5"/>
      <c r="F140" s="5"/>
      <c r="G140" s="5"/>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spans="1:40" ht="12.5" x14ac:dyDescent="0.25">
      <c r="A141" s="4"/>
      <c r="B141" s="4"/>
      <c r="C141" s="49"/>
      <c r="D141" s="50"/>
      <c r="E141" s="5"/>
      <c r="F141" s="5"/>
      <c r="G141" s="5"/>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spans="1:40" ht="12.5" x14ac:dyDescent="0.25">
      <c r="A142" s="4"/>
      <c r="B142" s="4"/>
      <c r="C142" s="49"/>
      <c r="D142" s="50"/>
      <c r="E142" s="5"/>
      <c r="F142" s="5"/>
      <c r="G142" s="5"/>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spans="1:40" ht="12.5" x14ac:dyDescent="0.25">
      <c r="A143" s="4"/>
      <c r="B143" s="4"/>
      <c r="C143" s="49"/>
      <c r="D143" s="50"/>
      <c r="E143" s="5"/>
      <c r="F143" s="5"/>
      <c r="G143" s="5"/>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spans="1:40" ht="12.5" x14ac:dyDescent="0.25">
      <c r="A144" s="4"/>
      <c r="B144" s="4"/>
      <c r="C144" s="49"/>
      <c r="D144" s="50"/>
      <c r="E144" s="5"/>
      <c r="F144" s="5"/>
      <c r="G144" s="5"/>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spans="1:40" ht="12.5" x14ac:dyDescent="0.25">
      <c r="A145" s="4"/>
      <c r="B145" s="4"/>
      <c r="C145" s="49"/>
      <c r="D145" s="50"/>
      <c r="E145" s="5"/>
      <c r="F145" s="5"/>
      <c r="G145" s="5"/>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spans="1:40" ht="12.5" x14ac:dyDescent="0.25">
      <c r="A146" s="4"/>
      <c r="B146" s="4"/>
      <c r="C146" s="49"/>
      <c r="D146" s="50"/>
      <c r="E146" s="5"/>
      <c r="F146" s="5"/>
      <c r="G146" s="5"/>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spans="1:40" ht="12.5" x14ac:dyDescent="0.25">
      <c r="A147" s="4"/>
      <c r="B147" s="4"/>
      <c r="C147" s="49"/>
      <c r="D147" s="50"/>
      <c r="E147" s="5"/>
      <c r="F147" s="5"/>
      <c r="G147" s="5"/>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spans="1:40" ht="12.5" x14ac:dyDescent="0.25">
      <c r="A148" s="4"/>
      <c r="B148" s="4"/>
      <c r="C148" s="49"/>
      <c r="D148" s="50"/>
      <c r="E148" s="5"/>
      <c r="F148" s="5"/>
      <c r="G148" s="5"/>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spans="1:40" ht="12.5" x14ac:dyDescent="0.25">
      <c r="A149" s="4"/>
      <c r="B149" s="4"/>
      <c r="C149" s="49"/>
      <c r="D149" s="50"/>
      <c r="E149" s="5"/>
      <c r="F149" s="5"/>
      <c r="G149" s="5"/>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spans="1:40" ht="12.5" x14ac:dyDescent="0.25">
      <c r="A150" s="4"/>
      <c r="B150" s="4"/>
      <c r="C150" s="49"/>
      <c r="D150" s="50"/>
      <c r="E150" s="5"/>
      <c r="F150" s="5"/>
      <c r="G150" s="5"/>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spans="1:40" ht="12.5" x14ac:dyDescent="0.25">
      <c r="A151" s="4"/>
      <c r="B151" s="4"/>
      <c r="C151" s="49"/>
      <c r="D151" s="50"/>
      <c r="E151" s="5"/>
      <c r="F151" s="5"/>
      <c r="G151" s="5"/>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spans="1:40" ht="12.5" x14ac:dyDescent="0.25">
      <c r="A152" s="4"/>
      <c r="B152" s="4"/>
      <c r="C152" s="49"/>
      <c r="D152" s="50"/>
      <c r="E152" s="5"/>
      <c r="F152" s="5"/>
      <c r="G152" s="5"/>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spans="1:40" ht="12.5" x14ac:dyDescent="0.25">
      <c r="A153" s="4"/>
      <c r="B153" s="4"/>
      <c r="C153" s="49"/>
      <c r="D153" s="50"/>
      <c r="E153" s="5"/>
      <c r="F153" s="5"/>
      <c r="G153" s="5"/>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spans="1:40" ht="12.5" x14ac:dyDescent="0.25">
      <c r="A154" s="4"/>
      <c r="B154" s="4"/>
      <c r="C154" s="49"/>
      <c r="D154" s="50"/>
      <c r="E154" s="5"/>
      <c r="F154" s="5"/>
      <c r="G154" s="5"/>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spans="1:40" ht="12.5" x14ac:dyDescent="0.25">
      <c r="A155" s="4"/>
      <c r="B155" s="4"/>
      <c r="C155" s="49"/>
      <c r="D155" s="50"/>
      <c r="E155" s="5"/>
      <c r="F155" s="5"/>
      <c r="G155" s="5"/>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spans="1:40" ht="12.5" x14ac:dyDescent="0.25">
      <c r="A156" s="4"/>
      <c r="B156" s="4"/>
      <c r="C156" s="49"/>
      <c r="D156" s="50"/>
      <c r="E156" s="5"/>
      <c r="F156" s="5"/>
      <c r="G156" s="5"/>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spans="1:40" ht="12.5" x14ac:dyDescent="0.25">
      <c r="A157" s="4"/>
      <c r="B157" s="4"/>
      <c r="C157" s="49"/>
      <c r="D157" s="50"/>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spans="1:40" ht="12.5" x14ac:dyDescent="0.25">
      <c r="A158" s="4"/>
      <c r="B158" s="4"/>
      <c r="C158" s="49"/>
      <c r="D158" s="50"/>
      <c r="E158" s="5"/>
      <c r="F158" s="5"/>
      <c r="G158" s="5"/>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spans="1:40" ht="12.5" x14ac:dyDescent="0.25">
      <c r="A159" s="4"/>
      <c r="B159" s="4"/>
      <c r="C159" s="49"/>
      <c r="D159" s="50"/>
      <c r="E159" s="5"/>
      <c r="F159" s="5"/>
      <c r="G159" s="5"/>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spans="1:40" ht="12.5" x14ac:dyDescent="0.25">
      <c r="A160" s="4"/>
      <c r="B160" s="4"/>
      <c r="C160" s="49"/>
      <c r="D160" s="50"/>
      <c r="E160" s="5"/>
      <c r="F160" s="5"/>
      <c r="G160" s="5"/>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spans="1:40" ht="12.5" x14ac:dyDescent="0.25">
      <c r="A161" s="4"/>
      <c r="B161" s="4"/>
      <c r="C161" s="49"/>
      <c r="D161" s="50"/>
      <c r="E161" s="5"/>
      <c r="F161" s="5"/>
      <c r="G161" s="5"/>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spans="1:40" ht="12.5" x14ac:dyDescent="0.25">
      <c r="A162" s="4"/>
      <c r="B162" s="4"/>
      <c r="C162" s="49"/>
      <c r="D162" s="50"/>
      <c r="E162" s="5"/>
      <c r="F162" s="5"/>
      <c r="G162" s="5"/>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spans="1:40" ht="12.5" x14ac:dyDescent="0.25">
      <c r="A163" s="4"/>
      <c r="B163" s="4"/>
      <c r="C163" s="49"/>
      <c r="D163" s="50"/>
      <c r="E163" s="5"/>
      <c r="F163" s="5"/>
      <c r="G163" s="5"/>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spans="1:40" ht="12.5" x14ac:dyDescent="0.25">
      <c r="A164" s="4"/>
      <c r="B164" s="4"/>
      <c r="C164" s="49"/>
      <c r="D164" s="50"/>
      <c r="E164" s="5"/>
      <c r="F164" s="5"/>
      <c r="G164" s="5"/>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spans="1:40" ht="12.5" x14ac:dyDescent="0.25">
      <c r="A165" s="4"/>
      <c r="B165" s="4"/>
      <c r="C165" s="49"/>
      <c r="D165" s="50"/>
      <c r="E165" s="5"/>
      <c r="F165" s="5"/>
      <c r="G165" s="5"/>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spans="1:40" ht="12.5" x14ac:dyDescent="0.25">
      <c r="A166" s="4"/>
      <c r="B166" s="4"/>
      <c r="C166" s="49"/>
      <c r="D166" s="50"/>
      <c r="E166" s="5"/>
      <c r="F166" s="5"/>
      <c r="G166" s="5"/>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spans="1:40" ht="12.5" x14ac:dyDescent="0.25">
      <c r="A167" s="4"/>
      <c r="B167" s="4"/>
      <c r="C167" s="49"/>
      <c r="D167" s="50"/>
      <c r="E167" s="5"/>
      <c r="F167" s="5"/>
      <c r="G167" s="5"/>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spans="1:40" ht="12.5" x14ac:dyDescent="0.25">
      <c r="A168" s="4"/>
      <c r="B168" s="4"/>
      <c r="C168" s="49"/>
      <c r="D168" s="50"/>
      <c r="E168" s="5"/>
      <c r="F168" s="5"/>
      <c r="G168" s="5"/>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spans="1:40" ht="12.5" x14ac:dyDescent="0.25">
      <c r="A169" s="4"/>
      <c r="B169" s="4"/>
      <c r="C169" s="49"/>
      <c r="D169" s="50"/>
      <c r="E169" s="5"/>
      <c r="F169" s="5"/>
      <c r="G169" s="5"/>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spans="1:40" ht="12.5" x14ac:dyDescent="0.25">
      <c r="A170" s="4"/>
      <c r="B170" s="4"/>
      <c r="C170" s="49"/>
      <c r="D170" s="50"/>
      <c r="E170" s="5"/>
      <c r="F170" s="5"/>
      <c r="G170" s="5"/>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spans="1:40" ht="12.5" x14ac:dyDescent="0.25">
      <c r="A171" s="4"/>
      <c r="B171" s="4"/>
      <c r="C171" s="49"/>
      <c r="D171" s="50"/>
      <c r="E171" s="5"/>
      <c r="F171" s="5"/>
      <c r="G171" s="5"/>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spans="1:40" ht="12.5" x14ac:dyDescent="0.25">
      <c r="A172" s="4"/>
      <c r="B172" s="4"/>
      <c r="C172" s="49"/>
      <c r="D172" s="50"/>
      <c r="E172" s="5"/>
      <c r="F172" s="5"/>
      <c r="G172" s="5"/>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spans="1:40" ht="12.5" x14ac:dyDescent="0.25">
      <c r="A173" s="4"/>
      <c r="B173" s="4"/>
      <c r="C173" s="49"/>
      <c r="D173" s="50"/>
      <c r="E173" s="5"/>
      <c r="F173" s="5"/>
      <c r="G173" s="5"/>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spans="1:40" ht="12.5" x14ac:dyDescent="0.25">
      <c r="A174" s="4"/>
      <c r="B174" s="4"/>
      <c r="C174" s="49"/>
      <c r="D174" s="50"/>
      <c r="E174" s="5"/>
      <c r="F174" s="5"/>
      <c r="G174" s="5"/>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spans="1:40" ht="12.5" x14ac:dyDescent="0.25">
      <c r="A175" s="4"/>
      <c r="B175" s="4"/>
      <c r="C175" s="49"/>
      <c r="D175" s="50"/>
      <c r="E175" s="5"/>
      <c r="F175" s="5"/>
      <c r="G175" s="5"/>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spans="1:40" ht="12.5" x14ac:dyDescent="0.25">
      <c r="A176" s="4"/>
      <c r="B176" s="4"/>
      <c r="C176" s="49"/>
      <c r="D176" s="50"/>
      <c r="E176" s="5"/>
      <c r="F176" s="5"/>
      <c r="G176" s="5"/>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spans="1:40" ht="12.5" x14ac:dyDescent="0.25">
      <c r="A177" s="4"/>
      <c r="B177" s="4"/>
      <c r="C177" s="49"/>
      <c r="D177" s="50"/>
      <c r="E177" s="5"/>
      <c r="F177" s="5"/>
      <c r="G177" s="5"/>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spans="1:40" ht="12.5" x14ac:dyDescent="0.25">
      <c r="A178" s="4"/>
      <c r="B178" s="4"/>
      <c r="C178" s="49"/>
      <c r="D178" s="50"/>
      <c r="E178" s="5"/>
      <c r="F178" s="5"/>
      <c r="G178" s="5"/>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spans="1:40" ht="12.5" x14ac:dyDescent="0.25">
      <c r="A179" s="4"/>
      <c r="B179" s="4"/>
      <c r="C179" s="49"/>
      <c r="D179" s="50"/>
      <c r="E179" s="5"/>
      <c r="F179" s="5"/>
      <c r="G179" s="5"/>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spans="1:40" ht="12.5" x14ac:dyDescent="0.25">
      <c r="A180" s="4"/>
      <c r="B180" s="4"/>
      <c r="C180" s="49"/>
      <c r="D180" s="50"/>
      <c r="E180" s="5"/>
      <c r="F180" s="5"/>
      <c r="G180" s="5"/>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spans="1:40" ht="12.5" x14ac:dyDescent="0.25">
      <c r="A181" s="4"/>
      <c r="B181" s="4"/>
      <c r="C181" s="49"/>
      <c r="D181" s="50"/>
      <c r="E181" s="5"/>
      <c r="F181" s="5"/>
      <c r="G181" s="5"/>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spans="1:40" ht="12.5" x14ac:dyDescent="0.25">
      <c r="A182" s="4"/>
      <c r="B182" s="4"/>
      <c r="C182" s="49"/>
      <c r="D182" s="50"/>
      <c r="E182" s="5"/>
      <c r="F182" s="5"/>
      <c r="G182" s="5"/>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spans="1:40" ht="12.5" x14ac:dyDescent="0.25">
      <c r="A183" s="4"/>
      <c r="B183" s="4"/>
      <c r="C183" s="49"/>
      <c r="D183" s="50"/>
      <c r="E183" s="5"/>
      <c r="F183" s="5"/>
      <c r="G183" s="5"/>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spans="1:40" ht="12.5" x14ac:dyDescent="0.25">
      <c r="A184" s="4"/>
      <c r="B184" s="4"/>
      <c r="C184" s="49"/>
      <c r="D184" s="50"/>
      <c r="E184" s="5"/>
      <c r="F184" s="5"/>
      <c r="G184" s="5"/>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spans="1:40" ht="12.5" x14ac:dyDescent="0.25">
      <c r="A185" s="4"/>
      <c r="B185" s="4"/>
      <c r="C185" s="49"/>
      <c r="D185" s="50"/>
      <c r="E185" s="5"/>
      <c r="F185" s="5"/>
      <c r="G185" s="5"/>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spans="1:40" ht="12.5" x14ac:dyDescent="0.25">
      <c r="A186" s="4"/>
      <c r="B186" s="4"/>
      <c r="C186" s="49"/>
      <c r="D186" s="50"/>
      <c r="E186" s="5"/>
      <c r="F186" s="5"/>
      <c r="G186" s="5"/>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spans="1:40" ht="12.5" x14ac:dyDescent="0.25">
      <c r="A187" s="4"/>
      <c r="B187" s="4"/>
      <c r="C187" s="49"/>
      <c r="D187" s="50"/>
      <c r="E187" s="5"/>
      <c r="F187" s="5"/>
      <c r="G187" s="5"/>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spans="1:40" ht="12.5" x14ac:dyDescent="0.25">
      <c r="A188" s="4"/>
      <c r="B188" s="4"/>
      <c r="C188" s="49"/>
      <c r="D188" s="50"/>
      <c r="E188" s="5"/>
      <c r="F188" s="5"/>
      <c r="G188" s="5"/>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spans="1:40" ht="12.5" x14ac:dyDescent="0.25">
      <c r="A189" s="4"/>
      <c r="B189" s="4"/>
      <c r="C189" s="49"/>
      <c r="D189" s="50"/>
      <c r="E189" s="5"/>
      <c r="F189" s="5"/>
      <c r="G189" s="5"/>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spans="1:40" ht="12.5" x14ac:dyDescent="0.25">
      <c r="A190" s="4"/>
      <c r="B190" s="4"/>
      <c r="C190" s="49"/>
      <c r="D190" s="50"/>
      <c r="E190" s="5"/>
      <c r="F190" s="5"/>
      <c r="G190" s="5"/>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spans="1:40" ht="12.5" x14ac:dyDescent="0.25">
      <c r="A191" s="4"/>
      <c r="B191" s="4"/>
      <c r="C191" s="49"/>
      <c r="D191" s="50"/>
      <c r="E191" s="5"/>
      <c r="F191" s="5"/>
      <c r="G191" s="5"/>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spans="1:40" ht="12.5" x14ac:dyDescent="0.25">
      <c r="A192" s="4"/>
      <c r="B192" s="4"/>
      <c r="C192" s="49"/>
      <c r="D192" s="50"/>
      <c r="E192" s="5"/>
      <c r="F192" s="5"/>
      <c r="G192" s="5"/>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spans="1:40" ht="12.5" x14ac:dyDescent="0.25">
      <c r="A193" s="4"/>
      <c r="B193" s="4"/>
      <c r="C193" s="49"/>
      <c r="D193" s="50"/>
      <c r="E193" s="5"/>
      <c r="F193" s="5"/>
      <c r="G193" s="5"/>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spans="1:40" ht="12.5" x14ac:dyDescent="0.25">
      <c r="A194" s="4"/>
      <c r="B194" s="4"/>
      <c r="C194" s="49"/>
      <c r="D194" s="50"/>
      <c r="E194" s="5"/>
      <c r="F194" s="5"/>
      <c r="G194" s="5"/>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spans="1:40" ht="12.5" x14ac:dyDescent="0.25">
      <c r="A195" s="4"/>
      <c r="B195" s="4"/>
      <c r="C195" s="49"/>
      <c r="D195" s="50"/>
      <c r="E195" s="5"/>
      <c r="F195" s="5"/>
      <c r="G195" s="5"/>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spans="1:40" ht="12.5" x14ac:dyDescent="0.25">
      <c r="A196" s="4"/>
      <c r="B196" s="4"/>
      <c r="C196" s="49"/>
      <c r="D196" s="50"/>
      <c r="E196" s="5"/>
      <c r="F196" s="5"/>
      <c r="G196" s="5"/>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spans="1:40" ht="12.5" x14ac:dyDescent="0.25">
      <c r="A197" s="4"/>
      <c r="B197" s="4"/>
      <c r="C197" s="49"/>
      <c r="D197" s="50"/>
      <c r="E197" s="5"/>
      <c r="F197" s="5"/>
      <c r="G197" s="5"/>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spans="1:40" ht="12.5" x14ac:dyDescent="0.25">
      <c r="A198" s="4"/>
      <c r="B198" s="4"/>
      <c r="C198" s="49"/>
      <c r="D198" s="50"/>
      <c r="E198" s="5"/>
      <c r="F198" s="5"/>
      <c r="G198" s="5"/>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spans="1:40" ht="12.5" x14ac:dyDescent="0.25">
      <c r="A199" s="4"/>
      <c r="B199" s="4"/>
      <c r="C199" s="49"/>
      <c r="D199" s="50"/>
      <c r="E199" s="5"/>
      <c r="F199" s="5"/>
      <c r="G199" s="5"/>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spans="1:40" ht="12.5" x14ac:dyDescent="0.25">
      <c r="A200" s="4"/>
      <c r="B200" s="4"/>
      <c r="C200" s="49"/>
      <c r="D200" s="50"/>
      <c r="E200" s="5"/>
      <c r="F200" s="5"/>
      <c r="G200" s="5"/>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spans="1:40" ht="12.5" x14ac:dyDescent="0.25">
      <c r="A201" s="4"/>
      <c r="B201" s="4"/>
      <c r="C201" s="49"/>
      <c r="D201" s="50"/>
      <c r="E201" s="5"/>
      <c r="F201" s="5"/>
      <c r="G201" s="5"/>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spans="1:40" ht="12.5" x14ac:dyDescent="0.25">
      <c r="A202" s="4"/>
      <c r="B202" s="4"/>
      <c r="C202" s="49"/>
      <c r="D202" s="50"/>
      <c r="E202" s="5"/>
      <c r="F202" s="5"/>
      <c r="G202" s="5"/>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spans="1:40" ht="12.5" x14ac:dyDescent="0.25">
      <c r="A203" s="4"/>
      <c r="B203" s="4"/>
      <c r="C203" s="49"/>
      <c r="D203" s="50"/>
      <c r="E203" s="5"/>
      <c r="F203" s="5"/>
      <c r="G203" s="5"/>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spans="1:40" ht="12.5" x14ac:dyDescent="0.25">
      <c r="A204" s="4"/>
      <c r="B204" s="4"/>
      <c r="C204" s="49"/>
      <c r="D204" s="50"/>
      <c r="E204" s="5"/>
      <c r="F204" s="5"/>
      <c r="G204" s="5"/>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spans="1:40" ht="12.5" x14ac:dyDescent="0.25">
      <c r="A205" s="4"/>
      <c r="B205" s="4"/>
      <c r="C205" s="49"/>
      <c r="D205" s="50"/>
      <c r="E205" s="5"/>
      <c r="F205" s="5"/>
      <c r="G205" s="5"/>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spans="1:40" ht="12.5" x14ac:dyDescent="0.25">
      <c r="A206" s="4"/>
      <c r="B206" s="4"/>
      <c r="C206" s="49"/>
      <c r="D206" s="50"/>
      <c r="E206" s="5"/>
      <c r="F206" s="5"/>
      <c r="G206" s="5"/>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spans="1:40" ht="12.5" x14ac:dyDescent="0.25">
      <c r="A207" s="4"/>
      <c r="B207" s="4"/>
      <c r="C207" s="49"/>
      <c r="D207" s="50"/>
      <c r="E207" s="5"/>
      <c r="F207" s="5"/>
      <c r="G207" s="5"/>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spans="1:40" ht="12.5" x14ac:dyDescent="0.25">
      <c r="A208" s="4"/>
      <c r="B208" s="4"/>
      <c r="C208" s="49"/>
      <c r="D208" s="50"/>
      <c r="E208" s="5"/>
      <c r="F208" s="5"/>
      <c r="G208" s="5"/>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spans="1:40" ht="12.5" x14ac:dyDescent="0.25">
      <c r="A209" s="4"/>
      <c r="B209" s="4"/>
      <c r="C209" s="49"/>
      <c r="D209" s="50"/>
      <c r="E209" s="5"/>
      <c r="F209" s="5"/>
      <c r="G209" s="5"/>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spans="1:40" ht="12.5" x14ac:dyDescent="0.25">
      <c r="A210" s="4"/>
      <c r="B210" s="4"/>
      <c r="C210" s="49"/>
      <c r="D210" s="50"/>
      <c r="E210" s="5"/>
      <c r="F210" s="5"/>
      <c r="G210" s="5"/>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spans="1:40" ht="12.5" x14ac:dyDescent="0.25">
      <c r="A211" s="4"/>
      <c r="B211" s="4"/>
      <c r="C211" s="49"/>
      <c r="D211" s="50"/>
      <c r="E211" s="5"/>
      <c r="F211" s="5"/>
      <c r="G211" s="5"/>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spans="1:40" ht="12.5" x14ac:dyDescent="0.25">
      <c r="A212" s="4"/>
      <c r="B212" s="4"/>
      <c r="C212" s="49"/>
      <c r="D212" s="50"/>
      <c r="E212" s="5"/>
      <c r="F212" s="5"/>
      <c r="G212" s="5"/>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spans="1:40" ht="12.5" x14ac:dyDescent="0.25">
      <c r="A213" s="4"/>
      <c r="B213" s="4"/>
      <c r="C213" s="49"/>
      <c r="D213" s="50"/>
      <c r="E213" s="5"/>
      <c r="F213" s="5"/>
      <c r="G213" s="5"/>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spans="1:40" ht="12.5" x14ac:dyDescent="0.25">
      <c r="A214" s="4"/>
      <c r="B214" s="4"/>
      <c r="C214" s="49"/>
      <c r="D214" s="50"/>
      <c r="E214" s="5"/>
      <c r="F214" s="5"/>
      <c r="G214" s="5"/>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spans="1:40" ht="12.5" x14ac:dyDescent="0.25">
      <c r="A215" s="4"/>
      <c r="B215" s="4"/>
      <c r="C215" s="49"/>
      <c r="D215" s="50"/>
      <c r="E215" s="5"/>
      <c r="F215" s="5"/>
      <c r="G215" s="5"/>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spans="1:40" ht="12.5" x14ac:dyDescent="0.25">
      <c r="A216" s="4"/>
      <c r="B216" s="4"/>
      <c r="C216" s="49"/>
      <c r="D216" s="50"/>
      <c r="E216" s="5"/>
      <c r="F216" s="5"/>
      <c r="G216" s="5"/>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spans="1:40" ht="12.5" x14ac:dyDescent="0.25">
      <c r="A217" s="4"/>
      <c r="B217" s="4"/>
      <c r="C217" s="49"/>
      <c r="D217" s="50"/>
      <c r="E217" s="5"/>
      <c r="F217" s="5"/>
      <c r="G217" s="5"/>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spans="1:40" ht="12.5" x14ac:dyDescent="0.25">
      <c r="A218" s="4"/>
      <c r="B218" s="4"/>
      <c r="C218" s="49"/>
      <c r="D218" s="50"/>
      <c r="E218" s="5"/>
      <c r="F218" s="5"/>
      <c r="G218" s="5"/>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spans="1:40" ht="12.5" x14ac:dyDescent="0.25">
      <c r="A219" s="4"/>
      <c r="B219" s="4"/>
      <c r="C219" s="49"/>
      <c r="D219" s="50"/>
      <c r="E219" s="5"/>
      <c r="F219" s="5"/>
      <c r="G219" s="5"/>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spans="1:40" ht="12.5" x14ac:dyDescent="0.25">
      <c r="A220" s="4"/>
      <c r="B220" s="4"/>
      <c r="C220" s="49"/>
      <c r="D220" s="50"/>
      <c r="E220" s="5"/>
      <c r="F220" s="5"/>
      <c r="G220" s="5"/>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spans="1:40" ht="12.5" x14ac:dyDescent="0.25">
      <c r="A221" s="4"/>
      <c r="B221" s="4"/>
      <c r="C221" s="49"/>
      <c r="D221" s="50"/>
      <c r="E221" s="5"/>
      <c r="F221" s="5"/>
      <c r="G221" s="5"/>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spans="1:40" ht="12.5" x14ac:dyDescent="0.25">
      <c r="A222" s="4"/>
      <c r="B222" s="4"/>
      <c r="C222" s="49"/>
      <c r="D222" s="50"/>
      <c r="E222" s="5"/>
      <c r="F222" s="5"/>
      <c r="G222" s="5"/>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spans="1:40" ht="12.5" x14ac:dyDescent="0.25">
      <c r="A223" s="4"/>
      <c r="B223" s="4"/>
      <c r="C223" s="49"/>
      <c r="D223" s="50"/>
      <c r="E223" s="5"/>
      <c r="F223" s="5"/>
      <c r="G223" s="5"/>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spans="1:40" ht="12.5" x14ac:dyDescent="0.25">
      <c r="A224" s="4"/>
      <c r="B224" s="4"/>
      <c r="C224" s="49"/>
      <c r="D224" s="50"/>
      <c r="E224" s="5"/>
      <c r="F224" s="5"/>
      <c r="G224" s="5"/>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spans="1:40" ht="12.5" x14ac:dyDescent="0.25">
      <c r="A225" s="4"/>
      <c r="B225" s="4"/>
      <c r="C225" s="49"/>
      <c r="D225" s="50"/>
      <c r="E225" s="5"/>
      <c r="F225" s="5"/>
      <c r="G225" s="5"/>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spans="1:40" ht="12.5" x14ac:dyDescent="0.25">
      <c r="A226" s="4"/>
      <c r="B226" s="4"/>
      <c r="C226" s="49"/>
      <c r="D226" s="50"/>
      <c r="E226" s="5"/>
      <c r="F226" s="5"/>
      <c r="G226" s="5"/>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spans="1:40" ht="12.5" x14ac:dyDescent="0.25">
      <c r="A227" s="4"/>
      <c r="B227" s="4"/>
      <c r="C227" s="49"/>
      <c r="D227" s="50"/>
      <c r="E227" s="5"/>
      <c r="F227" s="5"/>
      <c r="G227" s="5"/>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spans="1:40" ht="12.5" x14ac:dyDescent="0.25">
      <c r="A228" s="4"/>
      <c r="B228" s="4"/>
      <c r="C228" s="49"/>
      <c r="D228" s="50"/>
      <c r="E228" s="5"/>
      <c r="F228" s="5"/>
      <c r="G228" s="5"/>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spans="1:40" ht="12.5" x14ac:dyDescent="0.25">
      <c r="A229" s="4"/>
      <c r="B229" s="4"/>
      <c r="C229" s="49"/>
      <c r="D229" s="50"/>
      <c r="E229" s="5"/>
      <c r="F229" s="5"/>
      <c r="G229" s="5"/>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spans="1:40" ht="12.5" x14ac:dyDescent="0.25">
      <c r="A230" s="4"/>
      <c r="B230" s="4"/>
      <c r="C230" s="49"/>
      <c r="D230" s="50"/>
      <c r="E230" s="5"/>
      <c r="F230" s="5"/>
      <c r="G230" s="5"/>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spans="1:40" ht="12.5" x14ac:dyDescent="0.25">
      <c r="A231" s="4"/>
      <c r="B231" s="4"/>
      <c r="C231" s="49"/>
      <c r="D231" s="50"/>
      <c r="E231" s="5"/>
      <c r="F231" s="5"/>
      <c r="G231" s="5"/>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spans="1:40" ht="12.5" x14ac:dyDescent="0.25">
      <c r="A232" s="4"/>
      <c r="B232" s="4"/>
      <c r="C232" s="49"/>
      <c r="D232" s="50"/>
      <c r="E232" s="5"/>
      <c r="F232" s="5"/>
      <c r="G232" s="5"/>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spans="1:40" ht="12.5" x14ac:dyDescent="0.25">
      <c r="A233" s="4"/>
      <c r="B233" s="4"/>
      <c r="C233" s="49"/>
      <c r="D233" s="50"/>
      <c r="E233" s="5"/>
      <c r="F233" s="5"/>
      <c r="G233" s="5"/>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spans="1:40" ht="12.5" x14ac:dyDescent="0.25">
      <c r="A234" s="4"/>
      <c r="B234" s="4"/>
      <c r="C234" s="49"/>
      <c r="D234" s="50"/>
      <c r="E234" s="5"/>
      <c r="F234" s="5"/>
      <c r="G234" s="5"/>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spans="1:40" ht="12.5" x14ac:dyDescent="0.25">
      <c r="A235" s="4"/>
      <c r="B235" s="4"/>
      <c r="C235" s="49"/>
      <c r="D235" s="50"/>
      <c r="E235" s="5"/>
      <c r="F235" s="5"/>
      <c r="G235" s="5"/>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spans="1:40" ht="12.5" x14ac:dyDescent="0.25">
      <c r="A236" s="4"/>
      <c r="B236" s="4"/>
      <c r="C236" s="49"/>
      <c r="D236" s="50"/>
      <c r="E236" s="5"/>
      <c r="F236" s="5"/>
      <c r="G236" s="5"/>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spans="1:40" ht="12.5" x14ac:dyDescent="0.25">
      <c r="A237" s="4"/>
      <c r="B237" s="4"/>
      <c r="C237" s="49"/>
      <c r="D237" s="50"/>
      <c r="E237" s="5"/>
      <c r="F237" s="5"/>
      <c r="G237" s="5"/>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spans="1:40" ht="12.5" x14ac:dyDescent="0.25">
      <c r="A238" s="4"/>
      <c r="B238" s="4"/>
      <c r="C238" s="49"/>
      <c r="D238" s="50"/>
      <c r="E238" s="5"/>
      <c r="F238" s="5"/>
      <c r="G238" s="5"/>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spans="1:40" ht="12.5" x14ac:dyDescent="0.25">
      <c r="A239" s="4"/>
      <c r="B239" s="4"/>
      <c r="C239" s="49"/>
      <c r="D239" s="50"/>
      <c r="E239" s="5"/>
      <c r="F239" s="5"/>
      <c r="G239" s="5"/>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spans="1:40" ht="12.5" x14ac:dyDescent="0.25">
      <c r="A240" s="4"/>
      <c r="B240" s="4"/>
      <c r="C240" s="49"/>
      <c r="D240" s="50"/>
      <c r="E240" s="5"/>
      <c r="F240" s="5"/>
      <c r="G240" s="5"/>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spans="1:40" ht="12.5" x14ac:dyDescent="0.25">
      <c r="A241" s="4"/>
      <c r="B241" s="4"/>
      <c r="C241" s="49"/>
      <c r="D241" s="50"/>
      <c r="E241" s="5"/>
      <c r="F241" s="5"/>
      <c r="G241" s="5"/>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spans="1:40" ht="12.5" x14ac:dyDescent="0.25">
      <c r="A242" s="4"/>
      <c r="B242" s="4"/>
      <c r="C242" s="49"/>
      <c r="D242" s="50"/>
      <c r="E242" s="5"/>
      <c r="F242" s="5"/>
      <c r="G242" s="5"/>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spans="1:40" ht="12.5" x14ac:dyDescent="0.25">
      <c r="A243" s="4"/>
      <c r="B243" s="4"/>
      <c r="C243" s="49"/>
      <c r="D243" s="50"/>
      <c r="E243" s="5"/>
      <c r="F243" s="5"/>
      <c r="G243" s="5"/>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spans="1:40" ht="12.5" x14ac:dyDescent="0.25">
      <c r="A244" s="4"/>
      <c r="B244" s="4"/>
      <c r="C244" s="49"/>
      <c r="D244" s="50"/>
      <c r="E244" s="5"/>
      <c r="F244" s="5"/>
      <c r="G244" s="5"/>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spans="1:40" ht="12.5" x14ac:dyDescent="0.25">
      <c r="A245" s="4"/>
      <c r="B245" s="4"/>
      <c r="C245" s="49"/>
      <c r="D245" s="50"/>
      <c r="E245" s="5"/>
      <c r="F245" s="5"/>
      <c r="G245" s="5"/>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spans="1:40" ht="12.5" x14ac:dyDescent="0.25">
      <c r="A246" s="4"/>
      <c r="B246" s="4"/>
      <c r="C246" s="49"/>
      <c r="D246" s="50"/>
      <c r="E246" s="5"/>
      <c r="F246" s="5"/>
      <c r="G246" s="5"/>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spans="1:40" ht="12.5" x14ac:dyDescent="0.25">
      <c r="A247" s="4"/>
      <c r="B247" s="4"/>
      <c r="C247" s="49"/>
      <c r="D247" s="50"/>
      <c r="E247" s="5"/>
      <c r="F247" s="5"/>
      <c r="G247" s="5"/>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spans="1:40" ht="12.5" x14ac:dyDescent="0.25">
      <c r="A248" s="4"/>
      <c r="B248" s="4"/>
      <c r="C248" s="49"/>
      <c r="D248" s="50"/>
      <c r="E248" s="5"/>
      <c r="F248" s="5"/>
      <c r="G248" s="5"/>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spans="1:40" ht="12.5" x14ac:dyDescent="0.25">
      <c r="A249" s="4"/>
      <c r="B249" s="4"/>
      <c r="C249" s="49"/>
      <c r="D249" s="50"/>
      <c r="E249" s="5"/>
      <c r="F249" s="5"/>
      <c r="G249" s="5"/>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spans="1:40" ht="12.5" x14ac:dyDescent="0.25">
      <c r="A250" s="4"/>
      <c r="B250" s="4"/>
      <c r="C250" s="49"/>
      <c r="D250" s="50"/>
      <c r="E250" s="5"/>
      <c r="F250" s="5"/>
      <c r="G250" s="5"/>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spans="1:40" ht="12.5" x14ac:dyDescent="0.25">
      <c r="A251" s="4"/>
      <c r="B251" s="4"/>
      <c r="C251" s="49"/>
      <c r="D251" s="50"/>
      <c r="E251" s="5"/>
      <c r="F251" s="5"/>
      <c r="G251" s="5"/>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spans="1:40" ht="12.5" x14ac:dyDescent="0.25">
      <c r="A252" s="4"/>
      <c r="B252" s="4"/>
      <c r="C252" s="49"/>
      <c r="D252" s="50"/>
      <c r="E252" s="5"/>
      <c r="F252" s="5"/>
      <c r="G252" s="5"/>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spans="1:40" ht="12.5" x14ac:dyDescent="0.25">
      <c r="A253" s="4"/>
      <c r="B253" s="4"/>
      <c r="C253" s="49"/>
      <c r="D253" s="50"/>
      <c r="E253" s="5"/>
      <c r="F253" s="5"/>
      <c r="G253" s="5"/>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spans="1:40" ht="12.5" x14ac:dyDescent="0.25">
      <c r="A254" s="4"/>
      <c r="B254" s="4"/>
      <c r="C254" s="49"/>
      <c r="D254" s="50"/>
      <c r="E254" s="5"/>
      <c r="F254" s="5"/>
      <c r="G254" s="5"/>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spans="1:40" ht="12.5" x14ac:dyDescent="0.25">
      <c r="A255" s="4"/>
      <c r="B255" s="4"/>
      <c r="C255" s="49"/>
      <c r="D255" s="50"/>
      <c r="E255" s="5"/>
      <c r="F255" s="5"/>
      <c r="G255" s="5"/>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spans="1:40" ht="12.5" x14ac:dyDescent="0.25">
      <c r="A256" s="4"/>
      <c r="B256" s="4"/>
      <c r="C256" s="49"/>
      <c r="D256" s="50"/>
      <c r="E256" s="5"/>
      <c r="F256" s="5"/>
      <c r="G256" s="5"/>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spans="1:40" ht="12.5" x14ac:dyDescent="0.25">
      <c r="A257" s="4"/>
      <c r="B257" s="4"/>
      <c r="C257" s="49"/>
      <c r="D257" s="50"/>
      <c r="E257" s="5"/>
      <c r="F257" s="5"/>
      <c r="G257" s="5"/>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spans="1:40" ht="12.5" x14ac:dyDescent="0.25">
      <c r="A258" s="4"/>
      <c r="B258" s="4"/>
      <c r="C258" s="49"/>
      <c r="D258" s="50"/>
      <c r="E258" s="5"/>
      <c r="F258" s="5"/>
      <c r="G258" s="5"/>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spans="1:40" ht="12.5" x14ac:dyDescent="0.25">
      <c r="A259" s="4"/>
      <c r="B259" s="4"/>
      <c r="C259" s="49"/>
      <c r="D259" s="50"/>
      <c r="E259" s="5"/>
      <c r="F259" s="5"/>
      <c r="G259" s="5"/>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spans="1:40" ht="12.5" x14ac:dyDescent="0.25">
      <c r="A260" s="4"/>
      <c r="B260" s="4"/>
      <c r="C260" s="49"/>
      <c r="D260" s="50"/>
      <c r="E260" s="5"/>
      <c r="F260" s="5"/>
      <c r="G260" s="5"/>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spans="1:40" ht="12.5" x14ac:dyDescent="0.25">
      <c r="A261" s="4"/>
      <c r="B261" s="4"/>
      <c r="C261" s="49"/>
      <c r="D261" s="50"/>
      <c r="E261" s="5"/>
      <c r="F261" s="5"/>
      <c r="G261" s="5"/>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spans="1:40" ht="12.5" x14ac:dyDescent="0.25">
      <c r="A262" s="4"/>
      <c r="B262" s="4"/>
      <c r="C262" s="49"/>
      <c r="D262" s="50"/>
      <c r="E262" s="5"/>
      <c r="F262" s="5"/>
      <c r="G262" s="5"/>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spans="1:40" ht="12.5" x14ac:dyDescent="0.25">
      <c r="A263" s="4"/>
      <c r="B263" s="4"/>
      <c r="C263" s="49"/>
      <c r="D263" s="50"/>
      <c r="E263" s="5"/>
      <c r="F263" s="5"/>
      <c r="G263" s="5"/>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spans="1:40" ht="12.5" x14ac:dyDescent="0.25">
      <c r="A264" s="4"/>
      <c r="B264" s="4"/>
      <c r="C264" s="49"/>
      <c r="D264" s="50"/>
      <c r="E264" s="5"/>
      <c r="F264" s="5"/>
      <c r="G264" s="5"/>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spans="1:40" ht="12.5" x14ac:dyDescent="0.25">
      <c r="A265" s="4"/>
      <c r="B265" s="4"/>
      <c r="C265" s="49"/>
      <c r="D265" s="50"/>
      <c r="E265" s="5"/>
      <c r="F265" s="5"/>
      <c r="G265" s="5"/>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spans="1:40" ht="12.5" x14ac:dyDescent="0.25">
      <c r="A266" s="4"/>
      <c r="B266" s="4"/>
      <c r="C266" s="49"/>
      <c r="D266" s="50"/>
      <c r="E266" s="5"/>
      <c r="F266" s="5"/>
      <c r="G266" s="5"/>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spans="1:40" ht="12.5" x14ac:dyDescent="0.25">
      <c r="A267" s="4"/>
      <c r="B267" s="4"/>
      <c r="C267" s="49"/>
      <c r="D267" s="50"/>
      <c r="E267" s="5"/>
      <c r="F267" s="5"/>
      <c r="G267" s="5"/>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spans="1:40" ht="12.5" x14ac:dyDescent="0.25">
      <c r="A268" s="4"/>
      <c r="B268" s="4"/>
      <c r="C268" s="49"/>
      <c r="D268" s="50"/>
      <c r="E268" s="5"/>
      <c r="F268" s="5"/>
      <c r="G268" s="5"/>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spans="1:40" ht="12.5" x14ac:dyDescent="0.25">
      <c r="A269" s="4"/>
      <c r="B269" s="4"/>
      <c r="C269" s="49"/>
      <c r="D269" s="50"/>
      <c r="E269" s="5"/>
      <c r="F269" s="5"/>
      <c r="G269" s="5"/>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spans="1:40" ht="12.5" x14ac:dyDescent="0.25">
      <c r="A270" s="4"/>
      <c r="B270" s="4"/>
      <c r="C270" s="49"/>
      <c r="D270" s="50"/>
      <c r="E270" s="5"/>
      <c r="F270" s="5"/>
      <c r="G270" s="5"/>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spans="1:40" ht="12.5" x14ac:dyDescent="0.25">
      <c r="A271" s="4"/>
      <c r="B271" s="4"/>
      <c r="C271" s="49"/>
      <c r="D271" s="50"/>
      <c r="E271" s="5"/>
      <c r="F271" s="5"/>
      <c r="G271" s="5"/>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spans="1:40" ht="12.5" x14ac:dyDescent="0.25">
      <c r="A272" s="4"/>
      <c r="B272" s="4"/>
      <c r="C272" s="49"/>
      <c r="D272" s="50"/>
      <c r="E272" s="5"/>
      <c r="F272" s="5"/>
      <c r="G272" s="5"/>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spans="1:40" ht="12.5" x14ac:dyDescent="0.25">
      <c r="A273" s="4"/>
      <c r="B273" s="4"/>
      <c r="C273" s="49"/>
      <c r="D273" s="50"/>
      <c r="E273" s="5"/>
      <c r="F273" s="5"/>
      <c r="G273" s="5"/>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spans="1:40" ht="12.5" x14ac:dyDescent="0.25">
      <c r="A274" s="4"/>
      <c r="B274" s="4"/>
      <c r="C274" s="49"/>
      <c r="D274" s="50"/>
      <c r="E274" s="5"/>
      <c r="F274" s="5"/>
      <c r="G274" s="5"/>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spans="1:40" ht="12.5" x14ac:dyDescent="0.25">
      <c r="A275" s="4"/>
      <c r="B275" s="4"/>
      <c r="C275" s="49"/>
      <c r="D275" s="50"/>
      <c r="E275" s="5"/>
      <c r="F275" s="5"/>
      <c r="G275" s="5"/>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spans="1:40" ht="12.5" x14ac:dyDescent="0.25">
      <c r="A276" s="4"/>
      <c r="B276" s="4"/>
      <c r="C276" s="49"/>
      <c r="D276" s="50"/>
      <c r="E276" s="5"/>
      <c r="F276" s="5"/>
      <c r="G276" s="5"/>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spans="1:40" ht="12.5" x14ac:dyDescent="0.25">
      <c r="A277" s="4"/>
      <c r="B277" s="4"/>
      <c r="C277" s="49"/>
      <c r="D277" s="50"/>
      <c r="E277" s="5"/>
      <c r="F277" s="5"/>
      <c r="G277" s="5"/>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spans="1:40" ht="12.5" x14ac:dyDescent="0.25">
      <c r="A278" s="4"/>
      <c r="B278" s="4"/>
      <c r="C278" s="49"/>
      <c r="D278" s="50"/>
      <c r="E278" s="5"/>
      <c r="F278" s="5"/>
      <c r="G278" s="5"/>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spans="1:40" ht="12.5" x14ac:dyDescent="0.25">
      <c r="A279" s="4"/>
      <c r="B279" s="4"/>
      <c r="C279" s="49"/>
      <c r="D279" s="50"/>
      <c r="E279" s="5"/>
      <c r="F279" s="5"/>
      <c r="G279" s="5"/>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spans="1:40" ht="12.5" x14ac:dyDescent="0.25">
      <c r="A280" s="4"/>
      <c r="B280" s="4"/>
      <c r="C280" s="49"/>
      <c r="D280" s="50"/>
      <c r="E280" s="5"/>
      <c r="F280" s="5"/>
      <c r="G280" s="5"/>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spans="1:40" ht="12.5" x14ac:dyDescent="0.25">
      <c r="A281" s="4"/>
      <c r="B281" s="4"/>
      <c r="C281" s="49"/>
      <c r="D281" s="50"/>
      <c r="E281" s="5"/>
      <c r="F281" s="5"/>
      <c r="G281" s="5"/>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spans="1:40" ht="12.5" x14ac:dyDescent="0.25">
      <c r="A282" s="4"/>
      <c r="B282" s="4"/>
      <c r="C282" s="49"/>
      <c r="D282" s="50"/>
      <c r="E282" s="5"/>
      <c r="F282" s="5"/>
      <c r="G282" s="5"/>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spans="1:40" ht="12.5" x14ac:dyDescent="0.25">
      <c r="A283" s="4"/>
      <c r="B283" s="4"/>
      <c r="C283" s="49"/>
      <c r="D283" s="50"/>
      <c r="E283" s="5"/>
      <c r="F283" s="5"/>
      <c r="G283" s="5"/>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spans="1:40" ht="12.5" x14ac:dyDescent="0.25">
      <c r="A284" s="4"/>
      <c r="B284" s="4"/>
      <c r="C284" s="49"/>
      <c r="D284" s="50"/>
      <c r="E284" s="5"/>
      <c r="F284" s="5"/>
      <c r="G284" s="5"/>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spans="1:40" ht="12.5" x14ac:dyDescent="0.25">
      <c r="A285" s="4"/>
      <c r="B285" s="4"/>
      <c r="C285" s="49"/>
      <c r="D285" s="50"/>
      <c r="E285" s="5"/>
      <c r="F285" s="5"/>
      <c r="G285" s="5"/>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spans="1:40" ht="12.5" x14ac:dyDescent="0.25">
      <c r="A286" s="4"/>
      <c r="B286" s="4"/>
      <c r="C286" s="49"/>
      <c r="D286" s="50"/>
      <c r="E286" s="5"/>
      <c r="F286" s="5"/>
      <c r="G286" s="5"/>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spans="1:40" ht="12.5" x14ac:dyDescent="0.25">
      <c r="A287" s="4"/>
      <c r="B287" s="4"/>
      <c r="C287" s="49"/>
      <c r="D287" s="50"/>
      <c r="E287" s="5"/>
      <c r="F287" s="5"/>
      <c r="G287" s="5"/>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spans="1:40" ht="12.5" x14ac:dyDescent="0.25">
      <c r="A288" s="4"/>
      <c r="B288" s="4"/>
      <c r="C288" s="49"/>
      <c r="D288" s="50"/>
      <c r="E288" s="5"/>
      <c r="F288" s="5"/>
      <c r="G288" s="5"/>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spans="1:40" ht="12.5" x14ac:dyDescent="0.25">
      <c r="A289" s="4"/>
      <c r="B289" s="4"/>
      <c r="C289" s="49"/>
      <c r="D289" s="50"/>
      <c r="E289" s="5"/>
      <c r="F289" s="5"/>
      <c r="G289" s="5"/>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spans="1:40" ht="12.5" x14ac:dyDescent="0.25">
      <c r="A290" s="4"/>
      <c r="B290" s="4"/>
      <c r="C290" s="49"/>
      <c r="D290" s="50"/>
      <c r="E290" s="5"/>
      <c r="F290" s="5"/>
      <c r="G290" s="5"/>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spans="1:40" ht="12.5" x14ac:dyDescent="0.25">
      <c r="A291" s="4"/>
      <c r="B291" s="4"/>
      <c r="C291" s="49"/>
      <c r="D291" s="50"/>
      <c r="E291" s="5"/>
      <c r="F291" s="5"/>
      <c r="G291" s="5"/>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spans="1:40" ht="12.5" x14ac:dyDescent="0.25">
      <c r="A292" s="4"/>
      <c r="B292" s="4"/>
      <c r="C292" s="49"/>
      <c r="D292" s="50"/>
      <c r="E292" s="5"/>
      <c r="F292" s="5"/>
      <c r="G292" s="5"/>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spans="1:40" ht="12.5" x14ac:dyDescent="0.25">
      <c r="A293" s="4"/>
      <c r="B293" s="4"/>
      <c r="C293" s="49"/>
      <c r="D293" s="50"/>
      <c r="E293" s="5"/>
      <c r="F293" s="5"/>
      <c r="G293" s="5"/>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spans="1:40" ht="12.5" x14ac:dyDescent="0.25">
      <c r="A294" s="4"/>
      <c r="B294" s="4"/>
      <c r="C294" s="49"/>
      <c r="D294" s="50"/>
      <c r="E294" s="5"/>
      <c r="F294" s="5"/>
      <c r="G294" s="5"/>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spans="1:40" ht="12.5" x14ac:dyDescent="0.25">
      <c r="A295" s="4"/>
      <c r="B295" s="4"/>
      <c r="C295" s="49"/>
      <c r="D295" s="50"/>
      <c r="E295" s="5"/>
      <c r="F295" s="5"/>
      <c r="G295" s="5"/>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spans="1:40" ht="12.5" x14ac:dyDescent="0.25">
      <c r="A296" s="4"/>
      <c r="B296" s="4"/>
      <c r="C296" s="49"/>
      <c r="D296" s="50"/>
      <c r="E296" s="5"/>
      <c r="F296" s="5"/>
      <c r="G296" s="5"/>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spans="1:40" ht="12.5" x14ac:dyDescent="0.25">
      <c r="A297" s="4"/>
      <c r="B297" s="4"/>
      <c r="C297" s="49"/>
      <c r="D297" s="50"/>
      <c r="E297" s="5"/>
      <c r="F297" s="5"/>
      <c r="G297" s="5"/>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spans="1:40" ht="12.5" x14ac:dyDescent="0.25">
      <c r="A298" s="4"/>
      <c r="B298" s="4"/>
      <c r="C298" s="49"/>
      <c r="D298" s="50"/>
      <c r="E298" s="5"/>
      <c r="F298" s="5"/>
      <c r="G298" s="5"/>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spans="1:40" ht="12.5" x14ac:dyDescent="0.25">
      <c r="A299" s="4"/>
      <c r="B299" s="4"/>
      <c r="C299" s="49"/>
      <c r="D299" s="50"/>
      <c r="E299" s="5"/>
      <c r="F299" s="5"/>
      <c r="G299" s="5"/>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spans="1:40" ht="12.5" x14ac:dyDescent="0.25">
      <c r="A300" s="4"/>
      <c r="B300" s="4"/>
      <c r="C300" s="49"/>
      <c r="D300" s="50"/>
      <c r="E300" s="5"/>
      <c r="F300" s="5"/>
      <c r="G300" s="5"/>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spans="1:40" ht="12.5" x14ac:dyDescent="0.25">
      <c r="A301" s="4"/>
      <c r="B301" s="4"/>
      <c r="C301" s="49"/>
      <c r="D301" s="50"/>
      <c r="E301" s="5"/>
      <c r="F301" s="5"/>
      <c r="G301" s="5"/>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spans="1:40" ht="12.5" x14ac:dyDescent="0.25">
      <c r="A302" s="4"/>
      <c r="B302" s="4"/>
      <c r="C302" s="49"/>
      <c r="D302" s="50"/>
      <c r="E302" s="5"/>
      <c r="F302" s="5"/>
      <c r="G302" s="5"/>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spans="1:40" ht="12.5" x14ac:dyDescent="0.25">
      <c r="A303" s="4"/>
      <c r="B303" s="4"/>
      <c r="C303" s="49"/>
      <c r="D303" s="50"/>
      <c r="E303" s="5"/>
      <c r="F303" s="5"/>
      <c r="G303" s="5"/>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spans="1:40" ht="12.5" x14ac:dyDescent="0.25">
      <c r="A304" s="4"/>
      <c r="B304" s="4"/>
      <c r="C304" s="49"/>
      <c r="D304" s="50"/>
      <c r="E304" s="5"/>
      <c r="F304" s="5"/>
      <c r="G304" s="5"/>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spans="1:40" ht="12.5" x14ac:dyDescent="0.25">
      <c r="A305" s="4"/>
      <c r="B305" s="4"/>
      <c r="C305" s="49"/>
      <c r="D305" s="50"/>
      <c r="E305" s="5"/>
      <c r="F305" s="5"/>
      <c r="G305" s="5"/>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spans="1:40" ht="12.5" x14ac:dyDescent="0.25">
      <c r="A306" s="4"/>
      <c r="B306" s="4"/>
      <c r="C306" s="49"/>
      <c r="D306" s="50"/>
      <c r="E306" s="5"/>
      <c r="F306" s="5"/>
      <c r="G306" s="5"/>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spans="1:40" ht="12.5" x14ac:dyDescent="0.25">
      <c r="A307" s="4"/>
      <c r="B307" s="4"/>
      <c r="C307" s="49"/>
      <c r="D307" s="50"/>
      <c r="E307" s="5"/>
      <c r="F307" s="5"/>
      <c r="G307" s="5"/>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spans="1:40" ht="12.5" x14ac:dyDescent="0.25">
      <c r="A308" s="4"/>
      <c r="B308" s="4"/>
      <c r="C308" s="49"/>
      <c r="D308" s="50"/>
      <c r="E308" s="5"/>
      <c r="F308" s="5"/>
      <c r="G308" s="5"/>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spans="1:40" ht="12.5" x14ac:dyDescent="0.25">
      <c r="A309" s="4"/>
      <c r="B309" s="4"/>
      <c r="C309" s="49"/>
      <c r="D309" s="50"/>
      <c r="E309" s="5"/>
      <c r="F309" s="5"/>
      <c r="G309" s="5"/>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spans="1:40" ht="12.5" x14ac:dyDescent="0.25">
      <c r="A310" s="4"/>
      <c r="B310" s="4"/>
      <c r="C310" s="49"/>
      <c r="D310" s="50"/>
      <c r="E310" s="5"/>
      <c r="F310" s="5"/>
      <c r="G310" s="5"/>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spans="1:40" ht="12.5" x14ac:dyDescent="0.25">
      <c r="A311" s="4"/>
      <c r="B311" s="4"/>
      <c r="C311" s="49"/>
      <c r="D311" s="50"/>
      <c r="E311" s="5"/>
      <c r="F311" s="5"/>
      <c r="G311" s="5"/>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spans="1:40" ht="12.5" x14ac:dyDescent="0.25">
      <c r="A312" s="4"/>
      <c r="B312" s="4"/>
      <c r="C312" s="49"/>
      <c r="D312" s="50"/>
      <c r="E312" s="5"/>
      <c r="F312" s="5"/>
      <c r="G312" s="5"/>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spans="1:40" ht="12.5" x14ac:dyDescent="0.25">
      <c r="A313" s="4"/>
      <c r="B313" s="4"/>
      <c r="C313" s="49"/>
      <c r="D313" s="50"/>
      <c r="E313" s="5"/>
      <c r="F313" s="5"/>
      <c r="G313" s="5"/>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spans="1:40" ht="12.5" x14ac:dyDescent="0.25">
      <c r="A314" s="4"/>
      <c r="B314" s="4"/>
      <c r="C314" s="49"/>
      <c r="D314" s="50"/>
      <c r="E314" s="5"/>
      <c r="F314" s="5"/>
      <c r="G314" s="5"/>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spans="1:40" ht="12.5" x14ac:dyDescent="0.25">
      <c r="A315" s="4"/>
      <c r="B315" s="4"/>
      <c r="C315" s="49"/>
      <c r="D315" s="50"/>
      <c r="E315" s="5"/>
      <c r="F315" s="5"/>
      <c r="G315" s="5"/>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spans="1:40" ht="12.5" x14ac:dyDescent="0.25">
      <c r="A316" s="4"/>
      <c r="B316" s="4"/>
      <c r="C316" s="49"/>
      <c r="D316" s="50"/>
      <c r="E316" s="5"/>
      <c r="F316" s="5"/>
      <c r="G316" s="5"/>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spans="1:40" ht="12.5" x14ac:dyDescent="0.25">
      <c r="A317" s="4"/>
      <c r="B317" s="4"/>
      <c r="C317" s="49"/>
      <c r="D317" s="50"/>
      <c r="E317" s="5"/>
      <c r="F317" s="5"/>
      <c r="G317" s="5"/>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spans="1:40" ht="12.5" x14ac:dyDescent="0.25">
      <c r="A318" s="4"/>
      <c r="B318" s="4"/>
      <c r="C318" s="49"/>
      <c r="D318" s="50"/>
      <c r="E318" s="5"/>
      <c r="F318" s="5"/>
      <c r="G318" s="5"/>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spans="1:40" ht="12.5" x14ac:dyDescent="0.25">
      <c r="A319" s="4"/>
      <c r="B319" s="4"/>
      <c r="C319" s="49"/>
      <c r="D319" s="50"/>
      <c r="E319" s="5"/>
      <c r="F319" s="5"/>
      <c r="G319" s="5"/>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spans="1:40" ht="12.5" x14ac:dyDescent="0.25">
      <c r="A320" s="4"/>
      <c r="B320" s="4"/>
      <c r="C320" s="49"/>
      <c r="D320" s="50"/>
      <c r="E320" s="5"/>
      <c r="F320" s="5"/>
      <c r="G320" s="5"/>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spans="1:40" ht="12.5" x14ac:dyDescent="0.25">
      <c r="A321" s="4"/>
      <c r="B321" s="4"/>
      <c r="C321" s="49"/>
      <c r="D321" s="50"/>
      <c r="E321" s="5"/>
      <c r="F321" s="5"/>
      <c r="G321" s="5"/>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spans="1:40" ht="12.5" x14ac:dyDescent="0.25">
      <c r="A322" s="4"/>
      <c r="B322" s="4"/>
      <c r="C322" s="49"/>
      <c r="D322" s="50"/>
      <c r="E322" s="5"/>
      <c r="F322" s="5"/>
      <c r="G322" s="5"/>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spans="1:40" ht="12.5" x14ac:dyDescent="0.25">
      <c r="A323" s="4"/>
      <c r="B323" s="4"/>
      <c r="C323" s="49"/>
      <c r="D323" s="50"/>
      <c r="E323" s="5"/>
      <c r="F323" s="5"/>
      <c r="G323" s="5"/>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spans="1:40" ht="12.5" x14ac:dyDescent="0.25">
      <c r="A324" s="4"/>
      <c r="B324" s="4"/>
      <c r="C324" s="49"/>
      <c r="D324" s="50"/>
      <c r="E324" s="5"/>
      <c r="F324" s="5"/>
      <c r="G324" s="5"/>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spans="1:40" ht="12.5" x14ac:dyDescent="0.25">
      <c r="A325" s="4"/>
      <c r="B325" s="4"/>
      <c r="C325" s="49"/>
      <c r="D325" s="50"/>
      <c r="E325" s="5"/>
      <c r="F325" s="5"/>
      <c r="G325" s="5"/>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spans="1:40" ht="12.5" x14ac:dyDescent="0.25">
      <c r="A326" s="4"/>
      <c r="B326" s="4"/>
      <c r="C326" s="49"/>
      <c r="D326" s="50"/>
      <c r="E326" s="5"/>
      <c r="F326" s="5"/>
      <c r="G326" s="5"/>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spans="1:40" ht="12.5" x14ac:dyDescent="0.25">
      <c r="A327" s="4"/>
      <c r="B327" s="4"/>
      <c r="C327" s="49"/>
      <c r="D327" s="50"/>
      <c r="E327" s="5"/>
      <c r="F327" s="5"/>
      <c r="G327" s="5"/>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spans="1:40" ht="12.5" x14ac:dyDescent="0.25">
      <c r="A328" s="4"/>
      <c r="B328" s="4"/>
      <c r="C328" s="49"/>
      <c r="D328" s="50"/>
      <c r="E328" s="5"/>
      <c r="F328" s="5"/>
      <c r="G328" s="5"/>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spans="1:40" ht="12.5" x14ac:dyDescent="0.25">
      <c r="A329" s="4"/>
      <c r="B329" s="4"/>
      <c r="C329" s="49"/>
      <c r="D329" s="50"/>
      <c r="E329" s="5"/>
      <c r="F329" s="5"/>
      <c r="G329" s="5"/>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spans="1:40" ht="12.5" x14ac:dyDescent="0.25">
      <c r="A330" s="4"/>
      <c r="B330" s="4"/>
      <c r="C330" s="49"/>
      <c r="D330" s="50"/>
      <c r="E330" s="5"/>
      <c r="F330" s="5"/>
      <c r="G330" s="5"/>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spans="1:40" ht="12.5" x14ac:dyDescent="0.25">
      <c r="A331" s="4"/>
      <c r="B331" s="4"/>
      <c r="C331" s="49"/>
      <c r="D331" s="50"/>
      <c r="E331" s="5"/>
      <c r="F331" s="5"/>
      <c r="G331" s="5"/>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spans="1:40" ht="12.5" x14ac:dyDescent="0.25">
      <c r="A332" s="4"/>
      <c r="B332" s="4"/>
      <c r="C332" s="49"/>
      <c r="D332" s="50"/>
      <c r="E332" s="5"/>
      <c r="F332" s="5"/>
      <c r="G332" s="5"/>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spans="1:40" ht="12.5" x14ac:dyDescent="0.25">
      <c r="A333" s="4"/>
      <c r="B333" s="4"/>
      <c r="C333" s="49"/>
      <c r="D333" s="50"/>
      <c r="E333" s="5"/>
      <c r="F333" s="5"/>
      <c r="G333" s="5"/>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spans="1:40" ht="12.5" x14ac:dyDescent="0.25">
      <c r="A334" s="4"/>
      <c r="B334" s="4"/>
      <c r="C334" s="49"/>
      <c r="D334" s="50"/>
      <c r="E334" s="5"/>
      <c r="F334" s="5"/>
      <c r="G334" s="5"/>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spans="1:40" ht="12.5" x14ac:dyDescent="0.25">
      <c r="A335" s="4"/>
      <c r="B335" s="4"/>
      <c r="C335" s="49"/>
      <c r="D335" s="50"/>
      <c r="E335" s="5"/>
      <c r="F335" s="5"/>
      <c r="G335" s="5"/>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spans="1:40" ht="12.5" x14ac:dyDescent="0.25">
      <c r="A336" s="4"/>
      <c r="B336" s="4"/>
      <c r="C336" s="49"/>
      <c r="D336" s="50"/>
      <c r="E336" s="5"/>
      <c r="F336" s="5"/>
      <c r="G336" s="5"/>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spans="1:40" ht="12.5" x14ac:dyDescent="0.25">
      <c r="A337" s="4"/>
      <c r="B337" s="4"/>
      <c r="C337" s="49"/>
      <c r="D337" s="50"/>
      <c r="E337" s="5"/>
      <c r="F337" s="5"/>
      <c r="G337" s="5"/>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spans="1:40" ht="12.5" x14ac:dyDescent="0.25">
      <c r="A338" s="4"/>
      <c r="B338" s="4"/>
      <c r="C338" s="49"/>
      <c r="D338" s="50"/>
      <c r="E338" s="5"/>
      <c r="F338" s="5"/>
      <c r="G338" s="5"/>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spans="1:40" ht="12.5" x14ac:dyDescent="0.25">
      <c r="A339" s="4"/>
      <c r="B339" s="4"/>
      <c r="C339" s="49"/>
      <c r="D339" s="50"/>
      <c r="E339" s="5"/>
      <c r="F339" s="5"/>
      <c r="G339" s="5"/>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spans="1:40" ht="12.5" x14ac:dyDescent="0.25">
      <c r="A340" s="4"/>
      <c r="B340" s="4"/>
      <c r="C340" s="49"/>
      <c r="D340" s="50"/>
      <c r="E340" s="5"/>
      <c r="F340" s="5"/>
      <c r="G340" s="5"/>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spans="1:40" ht="12.5" x14ac:dyDescent="0.25">
      <c r="A341" s="4"/>
      <c r="B341" s="4"/>
      <c r="C341" s="49"/>
      <c r="D341" s="50"/>
      <c r="E341" s="5"/>
      <c r="F341" s="5"/>
      <c r="G341" s="5"/>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spans="1:40" ht="12.5" x14ac:dyDescent="0.25">
      <c r="A342" s="4"/>
      <c r="B342" s="4"/>
      <c r="C342" s="49"/>
      <c r="D342" s="50"/>
      <c r="E342" s="5"/>
      <c r="F342" s="5"/>
      <c r="G342" s="5"/>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spans="1:40" ht="12.5" x14ac:dyDescent="0.25">
      <c r="A343" s="4"/>
      <c r="B343" s="4"/>
      <c r="C343" s="49"/>
      <c r="D343" s="50"/>
      <c r="E343" s="5"/>
      <c r="F343" s="5"/>
      <c r="G343" s="5"/>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spans="1:40" ht="12.5" x14ac:dyDescent="0.25">
      <c r="A344" s="4"/>
      <c r="B344" s="4"/>
      <c r="C344" s="49"/>
      <c r="D344" s="50"/>
      <c r="E344" s="5"/>
      <c r="F344" s="5"/>
      <c r="G344" s="5"/>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spans="1:40" ht="12.5" x14ac:dyDescent="0.25">
      <c r="A345" s="4"/>
      <c r="B345" s="4"/>
      <c r="C345" s="49"/>
      <c r="D345" s="50"/>
      <c r="E345" s="5"/>
      <c r="F345" s="5"/>
      <c r="G345" s="5"/>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spans="1:40" ht="12.5" x14ac:dyDescent="0.25">
      <c r="A346" s="4"/>
      <c r="B346" s="4"/>
      <c r="C346" s="49"/>
      <c r="D346" s="50"/>
      <c r="E346" s="5"/>
      <c r="F346" s="5"/>
      <c r="G346" s="5"/>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spans="1:40" ht="12.5" x14ac:dyDescent="0.25">
      <c r="A347" s="4"/>
      <c r="B347" s="4"/>
      <c r="C347" s="49"/>
      <c r="D347" s="50"/>
      <c r="E347" s="5"/>
      <c r="F347" s="5"/>
      <c r="G347" s="5"/>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spans="1:40" ht="12.5" x14ac:dyDescent="0.25">
      <c r="A348" s="4"/>
      <c r="B348" s="4"/>
      <c r="C348" s="49"/>
      <c r="D348" s="50"/>
      <c r="E348" s="5"/>
      <c r="F348" s="5"/>
      <c r="G348" s="5"/>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spans="1:40" ht="12.5" x14ac:dyDescent="0.25">
      <c r="A349" s="4"/>
      <c r="B349" s="4"/>
      <c r="C349" s="49"/>
      <c r="D349" s="50"/>
      <c r="E349" s="5"/>
      <c r="F349" s="5"/>
      <c r="G349" s="5"/>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spans="1:40" ht="12.5" x14ac:dyDescent="0.25">
      <c r="A350" s="4"/>
      <c r="B350" s="4"/>
      <c r="C350" s="49"/>
      <c r="D350" s="50"/>
      <c r="E350" s="5"/>
      <c r="F350" s="5"/>
      <c r="G350" s="5"/>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spans="1:40" ht="12.5" x14ac:dyDescent="0.25">
      <c r="A351" s="4"/>
      <c r="B351" s="4"/>
      <c r="C351" s="49"/>
      <c r="D351" s="50"/>
      <c r="E351" s="5"/>
      <c r="F351" s="5"/>
      <c r="G351" s="5"/>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spans="1:40" ht="12.5" x14ac:dyDescent="0.25">
      <c r="A352" s="4"/>
      <c r="B352" s="4"/>
      <c r="C352" s="49"/>
      <c r="D352" s="50"/>
      <c r="E352" s="5"/>
      <c r="F352" s="5"/>
      <c r="G352" s="5"/>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spans="1:40" ht="12.5" x14ac:dyDescent="0.25">
      <c r="A353" s="4"/>
      <c r="B353" s="4"/>
      <c r="C353" s="49"/>
      <c r="D353" s="50"/>
      <c r="E353" s="5"/>
      <c r="F353" s="5"/>
      <c r="G353" s="5"/>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spans="1:40" ht="12.5" x14ac:dyDescent="0.25">
      <c r="A354" s="4"/>
      <c r="B354" s="4"/>
      <c r="C354" s="49"/>
      <c r="D354" s="50"/>
      <c r="E354" s="5"/>
      <c r="F354" s="5"/>
      <c r="G354" s="5"/>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spans="1:40" ht="12.5" x14ac:dyDescent="0.25">
      <c r="A355" s="4"/>
      <c r="B355" s="4"/>
      <c r="C355" s="49"/>
      <c r="D355" s="50"/>
      <c r="E355" s="5"/>
      <c r="F355" s="5"/>
      <c r="G355" s="5"/>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spans="1:40" ht="12.5" x14ac:dyDescent="0.25">
      <c r="A356" s="4"/>
      <c r="B356" s="4"/>
      <c r="C356" s="49"/>
      <c r="D356" s="50"/>
      <c r="E356" s="5"/>
      <c r="F356" s="5"/>
      <c r="G356" s="5"/>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spans="1:40" ht="12.5" x14ac:dyDescent="0.25">
      <c r="A357" s="4"/>
      <c r="B357" s="4"/>
      <c r="C357" s="49"/>
      <c r="D357" s="50"/>
      <c r="E357" s="5"/>
      <c r="F357" s="5"/>
      <c r="G357" s="5"/>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spans="1:40" ht="12.5" x14ac:dyDescent="0.25">
      <c r="A358" s="4"/>
      <c r="B358" s="4"/>
      <c r="C358" s="49"/>
      <c r="D358" s="50"/>
      <c r="E358" s="5"/>
      <c r="F358" s="5"/>
      <c r="G358" s="5"/>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spans="1:40" ht="12.5" x14ac:dyDescent="0.25">
      <c r="A359" s="4"/>
      <c r="B359" s="4"/>
      <c r="C359" s="49"/>
      <c r="D359" s="50"/>
      <c r="E359" s="5"/>
      <c r="F359" s="5"/>
      <c r="G359" s="5"/>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spans="1:40" ht="12.5" x14ac:dyDescent="0.25">
      <c r="A360" s="4"/>
      <c r="B360" s="4"/>
      <c r="C360" s="49"/>
      <c r="D360" s="50"/>
      <c r="E360" s="5"/>
      <c r="F360" s="5"/>
      <c r="G360" s="5"/>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spans="1:40" ht="12.5" x14ac:dyDescent="0.25">
      <c r="A361" s="4"/>
      <c r="B361" s="4"/>
      <c r="C361" s="49"/>
      <c r="D361" s="50"/>
      <c r="E361" s="5"/>
      <c r="F361" s="5"/>
      <c r="G361" s="5"/>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spans="1:40" ht="12.5" x14ac:dyDescent="0.25">
      <c r="A362" s="4"/>
      <c r="B362" s="4"/>
      <c r="C362" s="49"/>
      <c r="D362" s="50"/>
      <c r="E362" s="5"/>
      <c r="F362" s="5"/>
      <c r="G362" s="5"/>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spans="1:40" ht="12.5" x14ac:dyDescent="0.25">
      <c r="A363" s="4"/>
      <c r="B363" s="4"/>
      <c r="C363" s="49"/>
      <c r="D363" s="50"/>
      <c r="E363" s="5"/>
      <c r="F363" s="5"/>
      <c r="G363" s="5"/>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spans="1:40" ht="12.5" x14ac:dyDescent="0.25">
      <c r="A364" s="4"/>
      <c r="B364" s="4"/>
      <c r="C364" s="49"/>
      <c r="D364" s="50"/>
      <c r="E364" s="5"/>
      <c r="F364" s="5"/>
      <c r="G364" s="5"/>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spans="1:40" ht="12.5" x14ac:dyDescent="0.25">
      <c r="A365" s="4"/>
      <c r="B365" s="4"/>
      <c r="C365" s="49"/>
      <c r="D365" s="50"/>
      <c r="E365" s="5"/>
      <c r="F365" s="5"/>
      <c r="G365" s="5"/>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spans="1:40" ht="12.5" x14ac:dyDescent="0.25">
      <c r="A366" s="4"/>
      <c r="B366" s="4"/>
      <c r="C366" s="49"/>
      <c r="D366" s="50"/>
      <c r="E366" s="5"/>
      <c r="F366" s="5"/>
      <c r="G366" s="5"/>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spans="1:40" ht="12.5" x14ac:dyDescent="0.25">
      <c r="A367" s="4"/>
      <c r="B367" s="4"/>
      <c r="C367" s="49"/>
      <c r="D367" s="50"/>
      <c r="E367" s="5"/>
      <c r="F367" s="5"/>
      <c r="G367" s="5"/>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spans="1:40" ht="12.5" x14ac:dyDescent="0.25">
      <c r="A368" s="4"/>
      <c r="B368" s="4"/>
      <c r="C368" s="49"/>
      <c r="D368" s="50"/>
      <c r="E368" s="5"/>
      <c r="F368" s="5"/>
      <c r="G368" s="5"/>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spans="1:40" ht="12.5" x14ac:dyDescent="0.25">
      <c r="A369" s="4"/>
      <c r="B369" s="4"/>
      <c r="C369" s="49"/>
      <c r="D369" s="50"/>
      <c r="E369" s="5"/>
      <c r="F369" s="5"/>
      <c r="G369" s="5"/>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spans="1:40" ht="12.5" x14ac:dyDescent="0.25">
      <c r="A370" s="4"/>
      <c r="B370" s="4"/>
      <c r="C370" s="49"/>
      <c r="D370" s="50"/>
      <c r="E370" s="5"/>
      <c r="F370" s="5"/>
      <c r="G370" s="5"/>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spans="1:40" ht="12.5" x14ac:dyDescent="0.25">
      <c r="A371" s="4"/>
      <c r="B371" s="4"/>
      <c r="C371" s="49"/>
      <c r="D371" s="50"/>
      <c r="E371" s="5"/>
      <c r="F371" s="5"/>
      <c r="G371" s="5"/>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spans="1:40" ht="12.5" x14ac:dyDescent="0.25">
      <c r="A372" s="4"/>
      <c r="B372" s="4"/>
      <c r="C372" s="49"/>
      <c r="D372" s="50"/>
      <c r="E372" s="5"/>
      <c r="F372" s="5"/>
      <c r="G372" s="5"/>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spans="1:40" ht="12.5" x14ac:dyDescent="0.25">
      <c r="A373" s="4"/>
      <c r="B373" s="4"/>
      <c r="C373" s="49"/>
      <c r="D373" s="50"/>
      <c r="E373" s="5"/>
      <c r="F373" s="5"/>
      <c r="G373" s="5"/>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spans="1:40" ht="12.5" x14ac:dyDescent="0.25">
      <c r="A374" s="4"/>
      <c r="B374" s="4"/>
      <c r="C374" s="49"/>
      <c r="D374" s="50"/>
      <c r="E374" s="5"/>
      <c r="F374" s="5"/>
      <c r="G374" s="5"/>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spans="1:40" ht="12.5" x14ac:dyDescent="0.25">
      <c r="A375" s="4"/>
      <c r="B375" s="4"/>
      <c r="C375" s="49"/>
      <c r="D375" s="50"/>
      <c r="E375" s="5"/>
      <c r="F375" s="5"/>
      <c r="G375" s="5"/>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spans="1:40" ht="12.5" x14ac:dyDescent="0.25">
      <c r="A376" s="4"/>
      <c r="B376" s="4"/>
      <c r="C376" s="49"/>
      <c r="D376" s="50"/>
      <c r="E376" s="5"/>
      <c r="F376" s="5"/>
      <c r="G376" s="5"/>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spans="1:40" ht="12.5" x14ac:dyDescent="0.25">
      <c r="A377" s="4"/>
      <c r="B377" s="4"/>
      <c r="C377" s="49"/>
      <c r="D377" s="50"/>
      <c r="E377" s="5"/>
      <c r="F377" s="5"/>
      <c r="G377" s="5"/>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spans="1:40" ht="12.5" x14ac:dyDescent="0.25">
      <c r="A378" s="4"/>
      <c r="B378" s="4"/>
      <c r="C378" s="49"/>
      <c r="D378" s="50"/>
      <c r="E378" s="5"/>
      <c r="F378" s="5"/>
      <c r="G378" s="5"/>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spans="1:40" ht="12.5" x14ac:dyDescent="0.25">
      <c r="A379" s="4"/>
      <c r="B379" s="4"/>
      <c r="C379" s="49"/>
      <c r="D379" s="50"/>
      <c r="E379" s="5"/>
      <c r="F379" s="5"/>
      <c r="G379" s="5"/>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spans="1:40" ht="12.5" x14ac:dyDescent="0.25">
      <c r="A380" s="4"/>
      <c r="B380" s="4"/>
      <c r="C380" s="49"/>
      <c r="D380" s="50"/>
      <c r="E380" s="5"/>
      <c r="F380" s="5"/>
      <c r="G380" s="5"/>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spans="1:40" ht="12.5" x14ac:dyDescent="0.25">
      <c r="A381" s="4"/>
      <c r="B381" s="4"/>
      <c r="C381" s="49"/>
      <c r="D381" s="50"/>
      <c r="E381" s="5"/>
      <c r="F381" s="5"/>
      <c r="G381" s="5"/>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spans="1:40" ht="12.5" x14ac:dyDescent="0.25">
      <c r="A382" s="4"/>
      <c r="B382" s="4"/>
      <c r="C382" s="49"/>
      <c r="D382" s="50"/>
      <c r="E382" s="5"/>
      <c r="F382" s="5"/>
      <c r="G382" s="5"/>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spans="1:40" ht="12.5" x14ac:dyDescent="0.25">
      <c r="A383" s="4"/>
      <c r="B383" s="4"/>
      <c r="C383" s="49"/>
      <c r="D383" s="50"/>
      <c r="E383" s="5"/>
      <c r="F383" s="5"/>
      <c r="G383" s="5"/>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spans="1:40" ht="12.5" x14ac:dyDescent="0.25">
      <c r="A384" s="4"/>
      <c r="B384" s="4"/>
      <c r="C384" s="49"/>
      <c r="D384" s="50"/>
      <c r="E384" s="5"/>
      <c r="F384" s="5"/>
      <c r="G384" s="5"/>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spans="1:40" ht="12.5" x14ac:dyDescent="0.25">
      <c r="A385" s="4"/>
      <c r="B385" s="4"/>
      <c r="C385" s="49"/>
      <c r="D385" s="50"/>
      <c r="E385" s="5"/>
      <c r="F385" s="5"/>
      <c r="G385" s="5"/>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spans="1:40" ht="12.5" x14ac:dyDescent="0.25">
      <c r="A386" s="4"/>
      <c r="B386" s="4"/>
      <c r="C386" s="49"/>
      <c r="D386" s="50"/>
      <c r="E386" s="5"/>
      <c r="F386" s="5"/>
      <c r="G386" s="5"/>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spans="1:40" ht="12.5" x14ac:dyDescent="0.25">
      <c r="A387" s="4"/>
      <c r="B387" s="4"/>
      <c r="C387" s="49"/>
      <c r="D387" s="50"/>
      <c r="E387" s="5"/>
      <c r="F387" s="5"/>
      <c r="G387" s="5"/>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spans="1:40" ht="12.5" x14ac:dyDescent="0.25">
      <c r="A388" s="4"/>
      <c r="B388" s="4"/>
      <c r="C388" s="49"/>
      <c r="D388" s="50"/>
      <c r="E388" s="5"/>
      <c r="F388" s="5"/>
      <c r="G388" s="5"/>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spans="1:40" ht="12.5" x14ac:dyDescent="0.25">
      <c r="A389" s="4"/>
      <c r="B389" s="4"/>
      <c r="C389" s="49"/>
      <c r="D389" s="50"/>
      <c r="E389" s="5"/>
      <c r="F389" s="5"/>
      <c r="G389" s="5"/>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spans="1:40" ht="12.5" x14ac:dyDescent="0.25">
      <c r="A390" s="4"/>
      <c r="B390" s="4"/>
      <c r="C390" s="49"/>
      <c r="D390" s="50"/>
      <c r="E390" s="5"/>
      <c r="F390" s="5"/>
      <c r="G390" s="5"/>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spans="1:40" ht="12.5" x14ac:dyDescent="0.25">
      <c r="A391" s="4"/>
      <c r="B391" s="4"/>
      <c r="C391" s="49"/>
      <c r="D391" s="50"/>
      <c r="E391" s="5"/>
      <c r="F391" s="5"/>
      <c r="G391" s="5"/>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spans="1:40" ht="12.5" x14ac:dyDescent="0.25">
      <c r="A392" s="4"/>
      <c r="B392" s="4"/>
      <c r="C392" s="49"/>
      <c r="D392" s="50"/>
      <c r="E392" s="5"/>
      <c r="F392" s="5"/>
      <c r="G392" s="5"/>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spans="1:40" ht="12.5" x14ac:dyDescent="0.25">
      <c r="A393" s="4"/>
      <c r="B393" s="4"/>
      <c r="C393" s="49"/>
      <c r="D393" s="50"/>
      <c r="E393" s="5"/>
      <c r="F393" s="5"/>
      <c r="G393" s="5"/>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spans="1:40" ht="12.5" x14ac:dyDescent="0.25">
      <c r="A394" s="4"/>
      <c r="B394" s="4"/>
      <c r="C394" s="49"/>
      <c r="D394" s="50"/>
      <c r="E394" s="5"/>
      <c r="F394" s="5"/>
      <c r="G394" s="5"/>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spans="1:40" ht="12.5" x14ac:dyDescent="0.25">
      <c r="A395" s="4"/>
      <c r="B395" s="4"/>
      <c r="C395" s="49"/>
      <c r="D395" s="50"/>
      <c r="E395" s="5"/>
      <c r="F395" s="5"/>
      <c r="G395" s="5"/>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spans="1:40" ht="12.5" x14ac:dyDescent="0.25">
      <c r="A396" s="4"/>
      <c r="B396" s="4"/>
      <c r="C396" s="49"/>
      <c r="D396" s="50"/>
      <c r="E396" s="5"/>
      <c r="F396" s="5"/>
      <c r="G396" s="5"/>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spans="1:40" ht="12.5" x14ac:dyDescent="0.25">
      <c r="A397" s="4"/>
      <c r="B397" s="4"/>
      <c r="C397" s="49"/>
      <c r="D397" s="50"/>
      <c r="E397" s="5"/>
      <c r="F397" s="5"/>
      <c r="G397" s="5"/>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spans="1:40" ht="12.5" x14ac:dyDescent="0.25">
      <c r="A398" s="4"/>
      <c r="B398" s="4"/>
      <c r="C398" s="49"/>
      <c r="D398" s="50"/>
      <c r="E398" s="5"/>
      <c r="F398" s="5"/>
      <c r="G398" s="5"/>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spans="1:40" ht="12.5" x14ac:dyDescent="0.25">
      <c r="A399" s="4"/>
      <c r="B399" s="4"/>
      <c r="C399" s="49"/>
      <c r="D399" s="50"/>
      <c r="E399" s="5"/>
      <c r="F399" s="5"/>
      <c r="G399" s="5"/>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spans="1:40" ht="12.5" x14ac:dyDescent="0.25">
      <c r="A400" s="4"/>
      <c r="B400" s="4"/>
      <c r="C400" s="49"/>
      <c r="D400" s="50"/>
      <c r="E400" s="5"/>
      <c r="F400" s="5"/>
      <c r="G400" s="5"/>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spans="1:40" ht="12.5" x14ac:dyDescent="0.25">
      <c r="A401" s="4"/>
      <c r="B401" s="4"/>
      <c r="C401" s="49"/>
      <c r="D401" s="50"/>
      <c r="E401" s="5"/>
      <c r="F401" s="5"/>
      <c r="G401" s="5"/>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spans="1:40" ht="12.5" x14ac:dyDescent="0.25">
      <c r="A402" s="4"/>
      <c r="B402" s="4"/>
      <c r="C402" s="49"/>
      <c r="D402" s="50"/>
      <c r="E402" s="5"/>
      <c r="F402" s="5"/>
      <c r="G402" s="5"/>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spans="1:40" ht="12.5" x14ac:dyDescent="0.25">
      <c r="A403" s="4"/>
      <c r="B403" s="4"/>
      <c r="C403" s="49"/>
      <c r="D403" s="50"/>
      <c r="E403" s="5"/>
      <c r="F403" s="5"/>
      <c r="G403" s="5"/>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spans="1:40" ht="12.5" x14ac:dyDescent="0.25">
      <c r="A404" s="4"/>
      <c r="B404" s="4"/>
      <c r="C404" s="49"/>
      <c r="D404" s="50"/>
      <c r="E404" s="5"/>
      <c r="F404" s="5"/>
      <c r="G404" s="5"/>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spans="1:40" ht="12.5" x14ac:dyDescent="0.25">
      <c r="A405" s="4"/>
      <c r="B405" s="4"/>
      <c r="C405" s="49"/>
      <c r="D405" s="50"/>
      <c r="E405" s="5"/>
      <c r="F405" s="5"/>
      <c r="G405" s="5"/>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spans="1:40" ht="12.5" x14ac:dyDescent="0.25">
      <c r="A406" s="4"/>
      <c r="B406" s="4"/>
      <c r="C406" s="49"/>
      <c r="D406" s="50"/>
      <c r="E406" s="5"/>
      <c r="F406" s="5"/>
      <c r="G406" s="5"/>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spans="1:40" ht="12.5" x14ac:dyDescent="0.25">
      <c r="A407" s="4"/>
      <c r="B407" s="4"/>
      <c r="C407" s="49"/>
      <c r="D407" s="50"/>
      <c r="E407" s="5"/>
      <c r="F407" s="5"/>
      <c r="G407" s="5"/>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spans="1:40" ht="12.5" x14ac:dyDescent="0.25">
      <c r="A408" s="4"/>
      <c r="B408" s="4"/>
      <c r="C408" s="49"/>
      <c r="D408" s="50"/>
      <c r="E408" s="5"/>
      <c r="F408" s="5"/>
      <c r="G408" s="5"/>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spans="1:40" ht="12.5" x14ac:dyDescent="0.25">
      <c r="A409" s="4"/>
      <c r="B409" s="4"/>
      <c r="C409" s="49"/>
      <c r="D409" s="50"/>
      <c r="E409" s="5"/>
      <c r="F409" s="5"/>
      <c r="G409" s="5"/>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spans="1:40" ht="12.5" x14ac:dyDescent="0.25">
      <c r="A410" s="4"/>
      <c r="B410" s="4"/>
      <c r="C410" s="49"/>
      <c r="D410" s="50"/>
      <c r="E410" s="5"/>
      <c r="F410" s="5"/>
      <c r="G410" s="5"/>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spans="1:40" ht="12.5" x14ac:dyDescent="0.25">
      <c r="A411" s="4"/>
      <c r="B411" s="4"/>
      <c r="C411" s="49"/>
      <c r="D411" s="50"/>
      <c r="E411" s="5"/>
      <c r="F411" s="5"/>
      <c r="G411" s="5"/>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spans="1:40" ht="12.5" x14ac:dyDescent="0.25">
      <c r="A412" s="4"/>
      <c r="B412" s="4"/>
      <c r="C412" s="49"/>
      <c r="D412" s="50"/>
      <c r="E412" s="5"/>
      <c r="F412" s="5"/>
      <c r="G412" s="5"/>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spans="1:40" ht="12.5" x14ac:dyDescent="0.25">
      <c r="A413" s="4"/>
      <c r="B413" s="4"/>
      <c r="C413" s="49"/>
      <c r="D413" s="50"/>
      <c r="E413" s="5"/>
      <c r="F413" s="5"/>
      <c r="G413" s="5"/>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spans="1:40" ht="12.5" x14ac:dyDescent="0.25">
      <c r="A414" s="4"/>
      <c r="B414" s="4"/>
      <c r="C414" s="49"/>
      <c r="D414" s="50"/>
      <c r="E414" s="5"/>
      <c r="F414" s="5"/>
      <c r="G414" s="5"/>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spans="1:40" ht="12.5" x14ac:dyDescent="0.25">
      <c r="A415" s="4"/>
      <c r="B415" s="4"/>
      <c r="C415" s="49"/>
      <c r="D415" s="50"/>
      <c r="E415" s="5"/>
      <c r="F415" s="5"/>
      <c r="G415" s="5"/>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spans="1:40" ht="12.5" x14ac:dyDescent="0.25">
      <c r="A416" s="4"/>
      <c r="B416" s="4"/>
      <c r="C416" s="49"/>
      <c r="D416" s="50"/>
      <c r="E416" s="5"/>
      <c r="F416" s="5"/>
      <c r="G416" s="5"/>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spans="1:40" ht="12.5" x14ac:dyDescent="0.25">
      <c r="A417" s="4"/>
      <c r="B417" s="4"/>
      <c r="C417" s="49"/>
      <c r="D417" s="50"/>
      <c r="E417" s="5"/>
      <c r="F417" s="5"/>
      <c r="G417" s="5"/>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spans="1:40" ht="12.5" x14ac:dyDescent="0.25">
      <c r="A418" s="4"/>
      <c r="B418" s="4"/>
      <c r="C418" s="49"/>
      <c r="D418" s="50"/>
      <c r="E418" s="5"/>
      <c r="F418" s="5"/>
      <c r="G418" s="5"/>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spans="1:40" ht="12.5" x14ac:dyDescent="0.25">
      <c r="A419" s="4"/>
      <c r="B419" s="4"/>
      <c r="C419" s="49"/>
      <c r="D419" s="50"/>
      <c r="E419" s="5"/>
      <c r="F419" s="5"/>
      <c r="G419" s="5"/>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spans="1:40" ht="12.5" x14ac:dyDescent="0.25">
      <c r="A420" s="4"/>
      <c r="B420" s="4"/>
      <c r="C420" s="49"/>
      <c r="D420" s="50"/>
      <c r="E420" s="5"/>
      <c r="F420" s="5"/>
      <c r="G420" s="5"/>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spans="1:40" ht="12.5" x14ac:dyDescent="0.25">
      <c r="A421" s="4"/>
      <c r="B421" s="4"/>
      <c r="C421" s="49"/>
      <c r="D421" s="50"/>
      <c r="E421" s="5"/>
      <c r="F421" s="5"/>
      <c r="G421" s="5"/>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spans="1:40" ht="12.5" x14ac:dyDescent="0.25">
      <c r="A422" s="4"/>
      <c r="B422" s="4"/>
      <c r="C422" s="49"/>
      <c r="D422" s="50"/>
      <c r="E422" s="5"/>
      <c r="F422" s="5"/>
      <c r="G422" s="5"/>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spans="1:40" ht="12.5" x14ac:dyDescent="0.25">
      <c r="A423" s="4"/>
      <c r="B423" s="4"/>
      <c r="C423" s="49"/>
      <c r="D423" s="50"/>
      <c r="E423" s="5"/>
      <c r="F423" s="5"/>
      <c r="G423" s="5"/>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spans="1:40" ht="12.5" x14ac:dyDescent="0.25">
      <c r="A424" s="4"/>
      <c r="B424" s="4"/>
      <c r="C424" s="49"/>
      <c r="D424" s="50"/>
      <c r="E424" s="5"/>
      <c r="F424" s="5"/>
      <c r="G424" s="5"/>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spans="1:40" ht="12.5" x14ac:dyDescent="0.25">
      <c r="A425" s="4"/>
      <c r="B425" s="4"/>
      <c r="C425" s="49"/>
      <c r="D425" s="50"/>
      <c r="E425" s="5"/>
      <c r="F425" s="5"/>
      <c r="G425" s="5"/>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spans="1:40" ht="12.5" x14ac:dyDescent="0.25">
      <c r="A426" s="4"/>
      <c r="B426" s="4"/>
      <c r="C426" s="49"/>
      <c r="D426" s="50"/>
      <c r="E426" s="5"/>
      <c r="F426" s="5"/>
      <c r="G426" s="5"/>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spans="1:40" ht="12.5" x14ac:dyDescent="0.25">
      <c r="A427" s="4"/>
      <c r="B427" s="4"/>
      <c r="C427" s="49"/>
      <c r="D427" s="50"/>
      <c r="E427" s="5"/>
      <c r="F427" s="5"/>
      <c r="G427" s="5"/>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spans="1:40" ht="12.5" x14ac:dyDescent="0.25">
      <c r="A428" s="4"/>
      <c r="B428" s="4"/>
      <c r="C428" s="49"/>
      <c r="D428" s="50"/>
      <c r="E428" s="5"/>
      <c r="F428" s="5"/>
      <c r="G428" s="5"/>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spans="1:40" ht="12.5" x14ac:dyDescent="0.25">
      <c r="A429" s="4"/>
      <c r="B429" s="4"/>
      <c r="C429" s="49"/>
      <c r="D429" s="50"/>
      <c r="E429" s="5"/>
      <c r="F429" s="5"/>
      <c r="G429" s="5"/>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spans="1:40" ht="12.5" x14ac:dyDescent="0.25">
      <c r="A430" s="4"/>
      <c r="B430" s="4"/>
      <c r="C430" s="49"/>
      <c r="D430" s="50"/>
      <c r="E430" s="5"/>
      <c r="F430" s="5"/>
      <c r="G430" s="5"/>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spans="1:40" ht="12.5" x14ac:dyDescent="0.25">
      <c r="A431" s="4"/>
      <c r="B431" s="4"/>
      <c r="C431" s="49"/>
      <c r="D431" s="50"/>
      <c r="E431" s="5"/>
      <c r="F431" s="5"/>
      <c r="G431" s="5"/>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spans="1:40" ht="12.5" x14ac:dyDescent="0.25">
      <c r="A432" s="4"/>
      <c r="B432" s="4"/>
      <c r="C432" s="49"/>
      <c r="D432" s="50"/>
      <c r="E432" s="5"/>
      <c r="F432" s="5"/>
      <c r="G432" s="5"/>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spans="1:40" ht="12.5" x14ac:dyDescent="0.25">
      <c r="A433" s="4"/>
      <c r="B433" s="4"/>
      <c r="C433" s="49"/>
      <c r="D433" s="50"/>
      <c r="E433" s="5"/>
      <c r="F433" s="5"/>
      <c r="G433" s="5"/>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spans="1:40" ht="12.5" x14ac:dyDescent="0.25">
      <c r="A434" s="4"/>
      <c r="B434" s="4"/>
      <c r="C434" s="49"/>
      <c r="D434" s="50"/>
      <c r="E434" s="5"/>
      <c r="F434" s="5"/>
      <c r="G434" s="5"/>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spans="1:40" ht="12.5" x14ac:dyDescent="0.25">
      <c r="A435" s="4"/>
      <c r="B435" s="4"/>
      <c r="C435" s="49"/>
      <c r="D435" s="50"/>
      <c r="E435" s="5"/>
      <c r="F435" s="5"/>
      <c r="G435" s="5"/>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spans="1:40" ht="12.5" x14ac:dyDescent="0.25">
      <c r="A436" s="4"/>
      <c r="B436" s="4"/>
      <c r="C436" s="49"/>
      <c r="D436" s="50"/>
      <c r="E436" s="5"/>
      <c r="F436" s="5"/>
      <c r="G436" s="5"/>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spans="1:40" ht="12.5" x14ac:dyDescent="0.25">
      <c r="A437" s="4"/>
      <c r="B437" s="4"/>
      <c r="C437" s="49"/>
      <c r="D437" s="50"/>
      <c r="E437" s="5"/>
      <c r="F437" s="5"/>
      <c r="G437" s="5"/>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spans="1:40" ht="12.5" x14ac:dyDescent="0.25">
      <c r="A438" s="4"/>
      <c r="B438" s="4"/>
      <c r="C438" s="49"/>
      <c r="D438" s="50"/>
      <c r="E438" s="5"/>
      <c r="F438" s="5"/>
      <c r="G438" s="5"/>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spans="1:40" ht="12.5" x14ac:dyDescent="0.25">
      <c r="A439" s="4"/>
      <c r="B439" s="4"/>
      <c r="C439" s="49"/>
      <c r="D439" s="50"/>
      <c r="E439" s="5"/>
      <c r="F439" s="5"/>
      <c r="G439" s="5"/>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spans="1:40" ht="12.5" x14ac:dyDescent="0.25">
      <c r="A440" s="4"/>
      <c r="B440" s="4"/>
      <c r="C440" s="49"/>
      <c r="D440" s="50"/>
      <c r="E440" s="5"/>
      <c r="F440" s="5"/>
      <c r="G440" s="5"/>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spans="1:40" ht="12.5" x14ac:dyDescent="0.25">
      <c r="A441" s="4"/>
      <c r="B441" s="4"/>
      <c r="C441" s="49"/>
      <c r="D441" s="50"/>
      <c r="E441" s="5"/>
      <c r="F441" s="5"/>
      <c r="G441" s="5"/>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spans="1:40" ht="12.5" x14ac:dyDescent="0.25">
      <c r="A442" s="4"/>
      <c r="B442" s="4"/>
      <c r="C442" s="49"/>
      <c r="D442" s="50"/>
      <c r="E442" s="5"/>
      <c r="F442" s="5"/>
      <c r="G442" s="5"/>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spans="1:40" ht="12.5" x14ac:dyDescent="0.25">
      <c r="A443" s="4"/>
      <c r="B443" s="4"/>
      <c r="C443" s="49"/>
      <c r="D443" s="50"/>
      <c r="E443" s="5"/>
      <c r="F443" s="5"/>
      <c r="G443" s="5"/>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spans="1:40" ht="12.5" x14ac:dyDescent="0.25">
      <c r="A444" s="4"/>
      <c r="B444" s="4"/>
      <c r="C444" s="49"/>
      <c r="D444" s="50"/>
      <c r="E444" s="5"/>
      <c r="F444" s="5"/>
      <c r="G444" s="5"/>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spans="1:40" ht="12.5" x14ac:dyDescent="0.25">
      <c r="A445" s="4"/>
      <c r="B445" s="4"/>
      <c r="C445" s="49"/>
      <c r="D445" s="50"/>
      <c r="E445" s="5"/>
      <c r="F445" s="5"/>
      <c r="G445" s="5"/>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spans="1:40" ht="12.5" x14ac:dyDescent="0.25">
      <c r="A446" s="4"/>
      <c r="B446" s="4"/>
      <c r="C446" s="49"/>
      <c r="D446" s="50"/>
      <c r="E446" s="5"/>
      <c r="F446" s="5"/>
      <c r="G446" s="5"/>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spans="1:40" ht="12.5" x14ac:dyDescent="0.25">
      <c r="A447" s="4"/>
      <c r="B447" s="4"/>
      <c r="C447" s="49"/>
      <c r="D447" s="50"/>
      <c r="E447" s="5"/>
      <c r="F447" s="5"/>
      <c r="G447" s="5"/>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spans="1:40" ht="12.5" x14ac:dyDescent="0.25">
      <c r="A448" s="4"/>
      <c r="B448" s="4"/>
      <c r="C448" s="49"/>
      <c r="D448" s="50"/>
      <c r="E448" s="5"/>
      <c r="F448" s="5"/>
      <c r="G448" s="5"/>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spans="1:40" ht="12.5" x14ac:dyDescent="0.25">
      <c r="A449" s="4"/>
      <c r="B449" s="4"/>
      <c r="C449" s="49"/>
      <c r="D449" s="50"/>
      <c r="E449" s="5"/>
      <c r="F449" s="5"/>
      <c r="G449" s="5"/>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spans="1:40" ht="12.5" x14ac:dyDescent="0.25">
      <c r="A450" s="4"/>
      <c r="B450" s="4"/>
      <c r="C450" s="49"/>
      <c r="D450" s="50"/>
      <c r="E450" s="5"/>
      <c r="F450" s="5"/>
      <c r="G450" s="5"/>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spans="1:40" ht="12.5" x14ac:dyDescent="0.25">
      <c r="A451" s="4"/>
      <c r="B451" s="4"/>
      <c r="C451" s="49"/>
      <c r="D451" s="50"/>
      <c r="E451" s="5"/>
      <c r="F451" s="5"/>
      <c r="G451" s="5"/>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spans="1:40" ht="12.5" x14ac:dyDescent="0.25">
      <c r="A452" s="4"/>
      <c r="B452" s="4"/>
      <c r="C452" s="49"/>
      <c r="D452" s="50"/>
      <c r="E452" s="5"/>
      <c r="F452" s="5"/>
      <c r="G452" s="5"/>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spans="1:40" ht="12.5" x14ac:dyDescent="0.25">
      <c r="A453" s="4"/>
      <c r="B453" s="4"/>
      <c r="C453" s="49"/>
      <c r="D453" s="50"/>
      <c r="E453" s="5"/>
      <c r="F453" s="5"/>
      <c r="G453" s="5"/>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spans="1:40" ht="12.5" x14ac:dyDescent="0.25">
      <c r="A454" s="4"/>
      <c r="B454" s="4"/>
      <c r="C454" s="49"/>
      <c r="D454" s="50"/>
      <c r="E454" s="5"/>
      <c r="F454" s="5"/>
      <c r="G454" s="5"/>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spans="1:40" ht="12.5" x14ac:dyDescent="0.25">
      <c r="A455" s="4"/>
      <c r="B455" s="4"/>
      <c r="C455" s="49"/>
      <c r="D455" s="50"/>
      <c r="E455" s="5"/>
      <c r="F455" s="5"/>
      <c r="G455" s="5"/>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spans="1:40" ht="12.5" x14ac:dyDescent="0.25">
      <c r="A456" s="4"/>
      <c r="B456" s="4"/>
      <c r="C456" s="49"/>
      <c r="D456" s="50"/>
      <c r="E456" s="5"/>
      <c r="F456" s="5"/>
      <c r="G456" s="5"/>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spans="1:40" ht="12.5" x14ac:dyDescent="0.25">
      <c r="A457" s="4"/>
      <c r="B457" s="4"/>
      <c r="C457" s="49"/>
      <c r="D457" s="50"/>
      <c r="E457" s="5"/>
      <c r="F457" s="5"/>
      <c r="G457" s="5"/>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spans="1:40" ht="12.5" x14ac:dyDescent="0.25">
      <c r="A458" s="4"/>
      <c r="B458" s="4"/>
      <c r="C458" s="49"/>
      <c r="D458" s="50"/>
      <c r="E458" s="5"/>
      <c r="F458" s="5"/>
      <c r="G458" s="5"/>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spans="1:40" ht="12.5" x14ac:dyDescent="0.25">
      <c r="A459" s="4"/>
      <c r="B459" s="4"/>
      <c r="C459" s="49"/>
      <c r="D459" s="50"/>
      <c r="E459" s="5"/>
      <c r="F459" s="5"/>
      <c r="G459" s="5"/>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spans="1:40" ht="12.5" x14ac:dyDescent="0.25">
      <c r="A460" s="4"/>
      <c r="B460" s="4"/>
      <c r="C460" s="49"/>
      <c r="D460" s="50"/>
      <c r="E460" s="5"/>
      <c r="F460" s="5"/>
      <c r="G460" s="5"/>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spans="1:40" ht="12.5" x14ac:dyDescent="0.25">
      <c r="A461" s="4"/>
      <c r="B461" s="4"/>
      <c r="C461" s="49"/>
      <c r="D461" s="50"/>
      <c r="E461" s="5"/>
      <c r="F461" s="5"/>
      <c r="G461" s="5"/>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spans="1:40" ht="12.5" x14ac:dyDescent="0.25">
      <c r="A462" s="4"/>
      <c r="B462" s="4"/>
      <c r="C462" s="49"/>
      <c r="D462" s="50"/>
      <c r="E462" s="5"/>
      <c r="F462" s="5"/>
      <c r="G462" s="5"/>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spans="1:40" ht="12.5" x14ac:dyDescent="0.25">
      <c r="A463" s="4"/>
      <c r="B463" s="4"/>
      <c r="C463" s="49"/>
      <c r="D463" s="50"/>
      <c r="E463" s="5"/>
      <c r="F463" s="5"/>
      <c r="G463" s="5"/>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spans="1:40" ht="12.5" x14ac:dyDescent="0.25">
      <c r="A464" s="4"/>
      <c r="B464" s="4"/>
      <c r="C464" s="49"/>
      <c r="D464" s="50"/>
      <c r="E464" s="5"/>
      <c r="F464" s="5"/>
      <c r="G464" s="5"/>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spans="1:40" ht="12.5" x14ac:dyDescent="0.25">
      <c r="A465" s="4"/>
      <c r="B465" s="4"/>
      <c r="C465" s="49"/>
      <c r="D465" s="50"/>
      <c r="E465" s="5"/>
      <c r="F465" s="5"/>
      <c r="G465" s="5"/>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spans="1:40" ht="12.5" x14ac:dyDescent="0.25">
      <c r="A466" s="4"/>
      <c r="B466" s="4"/>
      <c r="C466" s="49"/>
      <c r="D466" s="50"/>
      <c r="E466" s="5"/>
      <c r="F466" s="5"/>
      <c r="G466" s="5"/>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spans="1:40" ht="12.5" x14ac:dyDescent="0.25">
      <c r="A467" s="4"/>
      <c r="B467" s="4"/>
      <c r="C467" s="49"/>
      <c r="D467" s="50"/>
      <c r="E467" s="5"/>
      <c r="F467" s="5"/>
      <c r="G467" s="5"/>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spans="1:40" ht="12.5" x14ac:dyDescent="0.25">
      <c r="A468" s="4"/>
      <c r="B468" s="4"/>
      <c r="C468" s="49"/>
      <c r="D468" s="50"/>
      <c r="E468" s="5"/>
      <c r="F468" s="5"/>
      <c r="G468" s="5"/>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spans="1:40" ht="12.5" x14ac:dyDescent="0.25">
      <c r="A469" s="4"/>
      <c r="B469" s="4"/>
      <c r="C469" s="49"/>
      <c r="D469" s="50"/>
      <c r="E469" s="5"/>
      <c r="F469" s="5"/>
      <c r="G469" s="5"/>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spans="1:40" ht="12.5" x14ac:dyDescent="0.25">
      <c r="A470" s="4"/>
      <c r="B470" s="4"/>
      <c r="C470" s="49"/>
      <c r="D470" s="50"/>
      <c r="E470" s="5"/>
      <c r="F470" s="5"/>
      <c r="G470" s="5"/>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spans="1:40" ht="12.5" x14ac:dyDescent="0.25">
      <c r="A471" s="4"/>
      <c r="B471" s="4"/>
      <c r="C471" s="49"/>
      <c r="D471" s="50"/>
      <c r="E471" s="5"/>
      <c r="F471" s="5"/>
      <c r="G471" s="5"/>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spans="1:40" ht="12.5" x14ac:dyDescent="0.25">
      <c r="A472" s="4"/>
      <c r="B472" s="4"/>
      <c r="C472" s="49"/>
      <c r="D472" s="50"/>
      <c r="E472" s="5"/>
      <c r="F472" s="5"/>
      <c r="G472" s="5"/>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spans="1:40" ht="12.5" x14ac:dyDescent="0.25">
      <c r="A473" s="4"/>
      <c r="B473" s="4"/>
      <c r="C473" s="49"/>
      <c r="D473" s="50"/>
      <c r="E473" s="5"/>
      <c r="F473" s="5"/>
      <c r="G473" s="5"/>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spans="1:40" ht="12.5" x14ac:dyDescent="0.25">
      <c r="A474" s="4"/>
      <c r="B474" s="4"/>
      <c r="C474" s="49"/>
      <c r="D474" s="50"/>
      <c r="E474" s="5"/>
      <c r="F474" s="5"/>
      <c r="G474" s="5"/>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spans="1:40" ht="12.5" x14ac:dyDescent="0.25">
      <c r="A475" s="4"/>
      <c r="B475" s="4"/>
      <c r="C475" s="49"/>
      <c r="D475" s="50"/>
      <c r="E475" s="5"/>
      <c r="F475" s="5"/>
      <c r="G475" s="5"/>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spans="1:40" ht="12.5" x14ac:dyDescent="0.25">
      <c r="A476" s="4"/>
      <c r="B476" s="4"/>
      <c r="C476" s="49"/>
      <c r="D476" s="50"/>
      <c r="E476" s="5"/>
      <c r="F476" s="5"/>
      <c r="G476" s="5"/>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spans="1:40" ht="12.5" x14ac:dyDescent="0.25">
      <c r="A477" s="4"/>
      <c r="B477" s="4"/>
      <c r="C477" s="49"/>
      <c r="D477" s="50"/>
      <c r="E477" s="5"/>
      <c r="F477" s="5"/>
      <c r="G477" s="5"/>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spans="1:40" ht="12.5" x14ac:dyDescent="0.25">
      <c r="A478" s="4"/>
      <c r="B478" s="4"/>
      <c r="C478" s="49"/>
      <c r="D478" s="50"/>
      <c r="E478" s="5"/>
      <c r="F478" s="5"/>
      <c r="G478" s="5"/>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spans="1:40" ht="12.5" x14ac:dyDescent="0.25">
      <c r="A479" s="4"/>
      <c r="B479" s="4"/>
      <c r="C479" s="49"/>
      <c r="D479" s="50"/>
      <c r="E479" s="5"/>
      <c r="F479" s="5"/>
      <c r="G479" s="5"/>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spans="1:40" ht="12.5" x14ac:dyDescent="0.25">
      <c r="A480" s="4"/>
      <c r="B480" s="4"/>
      <c r="C480" s="49"/>
      <c r="D480" s="50"/>
      <c r="E480" s="5"/>
      <c r="F480" s="5"/>
      <c r="G480" s="5"/>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spans="1:40" ht="12.5" x14ac:dyDescent="0.25">
      <c r="A481" s="4"/>
      <c r="B481" s="4"/>
      <c r="C481" s="49"/>
      <c r="D481" s="50"/>
      <c r="E481" s="5"/>
      <c r="F481" s="5"/>
      <c r="G481" s="5"/>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spans="1:40" ht="12.5" x14ac:dyDescent="0.25">
      <c r="A482" s="4"/>
      <c r="B482" s="4"/>
      <c r="C482" s="49"/>
      <c r="D482" s="50"/>
      <c r="E482" s="5"/>
      <c r="F482" s="5"/>
      <c r="G482" s="5"/>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spans="1:40" ht="12.5" x14ac:dyDescent="0.25">
      <c r="A483" s="4"/>
      <c r="B483" s="4"/>
      <c r="C483" s="49"/>
      <c r="D483" s="50"/>
      <c r="E483" s="5"/>
      <c r="F483" s="5"/>
      <c r="G483" s="5"/>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spans="1:40" ht="12.5" x14ac:dyDescent="0.25">
      <c r="A484" s="4"/>
      <c r="B484" s="4"/>
      <c r="C484" s="49"/>
      <c r="D484" s="50"/>
      <c r="E484" s="5"/>
      <c r="F484" s="5"/>
      <c r="G484" s="5"/>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spans="1:40" ht="12.5" x14ac:dyDescent="0.25">
      <c r="A485" s="4"/>
      <c r="B485" s="4"/>
      <c r="C485" s="49"/>
      <c r="D485" s="50"/>
      <c r="E485" s="5"/>
      <c r="F485" s="5"/>
      <c r="G485" s="5"/>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spans="1:40" ht="12.5" x14ac:dyDescent="0.25">
      <c r="A486" s="4"/>
      <c r="B486" s="4"/>
      <c r="C486" s="49"/>
      <c r="D486" s="50"/>
      <c r="E486" s="5"/>
      <c r="F486" s="5"/>
      <c r="G486" s="5"/>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spans="1:40" ht="12.5" x14ac:dyDescent="0.25">
      <c r="A487" s="4"/>
      <c r="B487" s="4"/>
      <c r="C487" s="49"/>
      <c r="D487" s="50"/>
      <c r="E487" s="5"/>
      <c r="F487" s="5"/>
      <c r="G487" s="5"/>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spans="1:40" ht="12.5" x14ac:dyDescent="0.25">
      <c r="A488" s="4"/>
      <c r="B488" s="4"/>
      <c r="C488" s="49"/>
      <c r="D488" s="50"/>
      <c r="E488" s="5"/>
      <c r="F488" s="5"/>
      <c r="G488" s="5"/>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spans="1:40" ht="12.5" x14ac:dyDescent="0.25">
      <c r="A489" s="4"/>
      <c r="B489" s="4"/>
      <c r="C489" s="49"/>
      <c r="D489" s="50"/>
      <c r="E489" s="5"/>
      <c r="F489" s="5"/>
      <c r="G489" s="5"/>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spans="1:40" ht="12.5" x14ac:dyDescent="0.25">
      <c r="A490" s="4"/>
      <c r="B490" s="4"/>
      <c r="C490" s="49"/>
      <c r="D490" s="50"/>
      <c r="E490" s="5"/>
      <c r="F490" s="5"/>
      <c r="G490" s="5"/>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spans="1:40" ht="12.5" x14ac:dyDescent="0.25">
      <c r="A491" s="4"/>
      <c r="B491" s="4"/>
      <c r="C491" s="49"/>
      <c r="D491" s="50"/>
      <c r="E491" s="5"/>
      <c r="F491" s="5"/>
      <c r="G491" s="5"/>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spans="1:40" ht="12.5" x14ac:dyDescent="0.25">
      <c r="A492" s="4"/>
      <c r="B492" s="4"/>
      <c r="C492" s="49"/>
      <c r="D492" s="50"/>
      <c r="E492" s="5"/>
      <c r="F492" s="5"/>
      <c r="G492" s="5"/>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spans="1:40" ht="12.5" x14ac:dyDescent="0.25">
      <c r="A493" s="4"/>
      <c r="B493" s="4"/>
      <c r="C493" s="49"/>
      <c r="D493" s="50"/>
      <c r="E493" s="5"/>
      <c r="F493" s="5"/>
      <c r="G493" s="5"/>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spans="1:40" ht="12.5" x14ac:dyDescent="0.25">
      <c r="A494" s="4"/>
      <c r="B494" s="4"/>
      <c r="C494" s="49"/>
      <c r="D494" s="50"/>
      <c r="E494" s="5"/>
      <c r="F494" s="5"/>
      <c r="G494" s="5"/>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spans="1:40" ht="12.5" x14ac:dyDescent="0.25">
      <c r="A495" s="4"/>
      <c r="B495" s="4"/>
      <c r="C495" s="49"/>
      <c r="D495" s="50"/>
      <c r="E495" s="5"/>
      <c r="F495" s="5"/>
      <c r="G495" s="5"/>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spans="1:40" ht="12.5" x14ac:dyDescent="0.25">
      <c r="A496" s="4"/>
      <c r="B496" s="4"/>
      <c r="C496" s="49"/>
      <c r="D496" s="50"/>
      <c r="E496" s="5"/>
      <c r="F496" s="5"/>
      <c r="G496" s="5"/>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spans="1:40" ht="12.5" x14ac:dyDescent="0.25">
      <c r="A497" s="4"/>
      <c r="B497" s="4"/>
      <c r="C497" s="49"/>
      <c r="D497" s="50"/>
      <c r="E497" s="5"/>
      <c r="F497" s="5"/>
      <c r="G497" s="5"/>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spans="1:40" ht="12.5" x14ac:dyDescent="0.25">
      <c r="A498" s="4"/>
      <c r="B498" s="4"/>
      <c r="C498" s="49"/>
      <c r="D498" s="50"/>
      <c r="E498" s="5"/>
      <c r="F498" s="5"/>
      <c r="G498" s="5"/>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spans="1:40" ht="12.5" x14ac:dyDescent="0.25">
      <c r="A499" s="4"/>
      <c r="B499" s="4"/>
      <c r="C499" s="49"/>
      <c r="D499" s="50"/>
      <c r="E499" s="5"/>
      <c r="F499" s="5"/>
      <c r="G499" s="5"/>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spans="1:40" ht="12.5" x14ac:dyDescent="0.25">
      <c r="A500" s="4"/>
      <c r="B500" s="4"/>
      <c r="C500" s="49"/>
      <c r="D500" s="50"/>
      <c r="E500" s="5"/>
      <c r="F500" s="5"/>
      <c r="G500" s="5"/>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spans="1:40" ht="12.5" x14ac:dyDescent="0.25">
      <c r="A501" s="4"/>
      <c r="B501" s="4"/>
      <c r="C501" s="49"/>
      <c r="D501" s="50"/>
      <c r="E501" s="5"/>
      <c r="F501" s="5"/>
      <c r="G501" s="5"/>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spans="1:40" ht="12.5" x14ac:dyDescent="0.25">
      <c r="A502" s="4"/>
      <c r="B502" s="4"/>
      <c r="C502" s="49"/>
      <c r="D502" s="50"/>
      <c r="E502" s="5"/>
      <c r="F502" s="5"/>
      <c r="G502" s="5"/>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spans="1:40" ht="12.5" x14ac:dyDescent="0.25">
      <c r="A503" s="4"/>
      <c r="B503" s="4"/>
      <c r="C503" s="49"/>
      <c r="D503" s="50"/>
      <c r="E503" s="5"/>
      <c r="F503" s="5"/>
      <c r="G503" s="5"/>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spans="1:40" ht="12.5" x14ac:dyDescent="0.25">
      <c r="A504" s="4"/>
      <c r="B504" s="4"/>
      <c r="C504" s="49"/>
      <c r="D504" s="50"/>
      <c r="E504" s="5"/>
      <c r="F504" s="5"/>
      <c r="G504" s="5"/>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spans="1:40" ht="12.5" x14ac:dyDescent="0.25">
      <c r="A505" s="4"/>
      <c r="B505" s="4"/>
      <c r="C505" s="49"/>
      <c r="D505" s="50"/>
      <c r="E505" s="5"/>
      <c r="F505" s="5"/>
      <c r="G505" s="5"/>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spans="1:40" ht="12.5" x14ac:dyDescent="0.25">
      <c r="A506" s="4"/>
      <c r="B506" s="4"/>
      <c r="C506" s="49"/>
      <c r="D506" s="50"/>
      <c r="E506" s="5"/>
      <c r="F506" s="5"/>
      <c r="G506" s="5"/>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spans="1:40" ht="12.5" x14ac:dyDescent="0.25">
      <c r="A507" s="4"/>
      <c r="B507" s="4"/>
      <c r="C507" s="49"/>
      <c r="D507" s="50"/>
      <c r="E507" s="5"/>
      <c r="F507" s="5"/>
      <c r="G507" s="5"/>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spans="1:40" ht="12.5" x14ac:dyDescent="0.25">
      <c r="A508" s="4"/>
      <c r="B508" s="4"/>
      <c r="C508" s="49"/>
      <c r="D508" s="50"/>
      <c r="E508" s="5"/>
      <c r="F508" s="5"/>
      <c r="G508" s="5"/>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spans="1:40" ht="12.5" x14ac:dyDescent="0.25">
      <c r="A509" s="4"/>
      <c r="B509" s="4"/>
      <c r="C509" s="49"/>
      <c r="D509" s="50"/>
      <c r="E509" s="5"/>
      <c r="F509" s="5"/>
      <c r="G509" s="5"/>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spans="1:40" ht="12.5" x14ac:dyDescent="0.25">
      <c r="A510" s="4"/>
      <c r="B510" s="4"/>
      <c r="C510" s="49"/>
      <c r="D510" s="50"/>
      <c r="E510" s="5"/>
      <c r="F510" s="5"/>
      <c r="G510" s="5"/>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spans="1:40" ht="12.5" x14ac:dyDescent="0.25">
      <c r="A511" s="4"/>
      <c r="B511" s="4"/>
      <c r="C511" s="49"/>
      <c r="D511" s="50"/>
      <c r="E511" s="5"/>
      <c r="F511" s="5"/>
      <c r="G511" s="5"/>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spans="1:40" ht="12.5" x14ac:dyDescent="0.25">
      <c r="A512" s="4"/>
      <c r="B512" s="4"/>
      <c r="C512" s="49"/>
      <c r="D512" s="50"/>
      <c r="E512" s="5"/>
      <c r="F512" s="5"/>
      <c r="G512" s="5"/>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spans="1:40" ht="12.5" x14ac:dyDescent="0.25">
      <c r="A513" s="4"/>
      <c r="B513" s="4"/>
      <c r="C513" s="49"/>
      <c r="D513" s="50"/>
      <c r="E513" s="5"/>
      <c r="F513" s="5"/>
      <c r="G513" s="5"/>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spans="1:40" ht="12.5" x14ac:dyDescent="0.25">
      <c r="A514" s="4"/>
      <c r="B514" s="4"/>
      <c r="C514" s="49"/>
      <c r="D514" s="50"/>
      <c r="E514" s="5"/>
      <c r="F514" s="5"/>
      <c r="G514" s="5"/>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spans="1:40" ht="12.5" x14ac:dyDescent="0.25">
      <c r="A515" s="4"/>
      <c r="B515" s="4"/>
      <c r="C515" s="49"/>
      <c r="D515" s="50"/>
      <c r="E515" s="5"/>
      <c r="F515" s="5"/>
      <c r="G515" s="5"/>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spans="1:40" ht="12.5" x14ac:dyDescent="0.25">
      <c r="A516" s="4"/>
      <c r="B516" s="4"/>
      <c r="C516" s="49"/>
      <c r="D516" s="50"/>
      <c r="E516" s="5"/>
      <c r="F516" s="5"/>
      <c r="G516" s="5"/>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spans="1:40" ht="12.5" x14ac:dyDescent="0.25">
      <c r="A517" s="4"/>
      <c r="B517" s="4"/>
      <c r="C517" s="49"/>
      <c r="D517" s="50"/>
      <c r="E517" s="5"/>
      <c r="F517" s="5"/>
      <c r="G517" s="5"/>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spans="1:40" ht="12.5" x14ac:dyDescent="0.25">
      <c r="A518" s="4"/>
      <c r="B518" s="4"/>
      <c r="C518" s="49"/>
      <c r="D518" s="50"/>
      <c r="E518" s="5"/>
      <c r="F518" s="5"/>
      <c r="G518" s="5"/>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spans="1:40" ht="12.5" x14ac:dyDescent="0.25">
      <c r="A519" s="4"/>
      <c r="B519" s="4"/>
      <c r="C519" s="49"/>
      <c r="D519" s="50"/>
      <c r="E519" s="5"/>
      <c r="F519" s="5"/>
      <c r="G519" s="5"/>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spans="1:40" ht="12.5" x14ac:dyDescent="0.25">
      <c r="A520" s="4"/>
      <c r="B520" s="4"/>
      <c r="C520" s="49"/>
      <c r="D520" s="50"/>
      <c r="E520" s="5"/>
      <c r="F520" s="5"/>
      <c r="G520" s="5"/>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spans="1:40" ht="12.5" x14ac:dyDescent="0.25">
      <c r="A521" s="4"/>
      <c r="B521" s="4"/>
      <c r="C521" s="49"/>
      <c r="D521" s="50"/>
      <c r="E521" s="5"/>
      <c r="F521" s="5"/>
      <c r="G521" s="5"/>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spans="1:40" ht="12.5" x14ac:dyDescent="0.25">
      <c r="A522" s="4"/>
      <c r="B522" s="4"/>
      <c r="C522" s="49"/>
      <c r="D522" s="50"/>
      <c r="E522" s="5"/>
      <c r="F522" s="5"/>
      <c r="G522" s="5"/>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spans="1:40" ht="12.5" x14ac:dyDescent="0.25">
      <c r="A523" s="4"/>
      <c r="B523" s="4"/>
      <c r="C523" s="49"/>
      <c r="D523" s="50"/>
      <c r="E523" s="5"/>
      <c r="F523" s="5"/>
      <c r="G523" s="5"/>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spans="1:40" ht="12.5" x14ac:dyDescent="0.25">
      <c r="A524" s="4"/>
      <c r="B524" s="4"/>
      <c r="C524" s="49"/>
      <c r="D524" s="50"/>
      <c r="E524" s="5"/>
      <c r="F524" s="5"/>
      <c r="G524" s="5"/>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spans="1:40" ht="12.5" x14ac:dyDescent="0.25">
      <c r="A525" s="4"/>
      <c r="B525" s="4"/>
      <c r="C525" s="49"/>
      <c r="D525" s="50"/>
      <c r="E525" s="5"/>
      <c r="F525" s="5"/>
      <c r="G525" s="5"/>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spans="1:40" ht="12.5" x14ac:dyDescent="0.25">
      <c r="A526" s="4"/>
      <c r="B526" s="4"/>
      <c r="C526" s="49"/>
      <c r="D526" s="50"/>
      <c r="E526" s="5"/>
      <c r="F526" s="5"/>
      <c r="G526" s="5"/>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spans="1:40" ht="12.5" x14ac:dyDescent="0.25">
      <c r="A527" s="4"/>
      <c r="B527" s="4"/>
      <c r="C527" s="49"/>
      <c r="D527" s="50"/>
      <c r="E527" s="5"/>
      <c r="F527" s="5"/>
      <c r="G527" s="5"/>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spans="1:40" ht="12.5" x14ac:dyDescent="0.25">
      <c r="A528" s="4"/>
      <c r="B528" s="4"/>
      <c r="C528" s="49"/>
      <c r="D528" s="50"/>
      <c r="E528" s="5"/>
      <c r="F528" s="5"/>
      <c r="G528" s="5"/>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spans="1:40" ht="12.5" x14ac:dyDescent="0.25">
      <c r="A529" s="4"/>
      <c r="B529" s="4"/>
      <c r="C529" s="49"/>
      <c r="D529" s="50"/>
      <c r="E529" s="5"/>
      <c r="F529" s="5"/>
      <c r="G529" s="5"/>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spans="1:40" ht="12.5" x14ac:dyDescent="0.25">
      <c r="A530" s="4"/>
      <c r="B530" s="4"/>
      <c r="C530" s="49"/>
      <c r="D530" s="50"/>
      <c r="E530" s="5"/>
      <c r="F530" s="5"/>
      <c r="G530" s="5"/>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spans="1:40" ht="12.5" x14ac:dyDescent="0.25">
      <c r="A531" s="4"/>
      <c r="B531" s="4"/>
      <c r="C531" s="49"/>
      <c r="D531" s="50"/>
      <c r="E531" s="5"/>
      <c r="F531" s="5"/>
      <c r="G531" s="5"/>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spans="1:40" ht="12.5" x14ac:dyDescent="0.25">
      <c r="A532" s="4"/>
      <c r="B532" s="4"/>
      <c r="C532" s="49"/>
      <c r="D532" s="50"/>
      <c r="E532" s="5"/>
      <c r="F532" s="5"/>
      <c r="G532" s="5"/>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spans="1:40" ht="12.5" x14ac:dyDescent="0.25">
      <c r="A533" s="4"/>
      <c r="B533" s="4"/>
      <c r="C533" s="49"/>
      <c r="D533" s="50"/>
      <c r="E533" s="5"/>
      <c r="F533" s="5"/>
      <c r="G533" s="5"/>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spans="1:40" ht="12.5" x14ac:dyDescent="0.25">
      <c r="A534" s="4"/>
      <c r="B534" s="4"/>
      <c r="C534" s="49"/>
      <c r="D534" s="50"/>
      <c r="E534" s="5"/>
      <c r="F534" s="5"/>
      <c r="G534" s="5"/>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spans="1:40" ht="12.5" x14ac:dyDescent="0.25">
      <c r="A535" s="4"/>
      <c r="B535" s="4"/>
      <c r="C535" s="49"/>
      <c r="D535" s="50"/>
      <c r="E535" s="5"/>
      <c r="F535" s="5"/>
      <c r="G535" s="5"/>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spans="1:40" ht="12.5" x14ac:dyDescent="0.25">
      <c r="A536" s="4"/>
      <c r="B536" s="4"/>
      <c r="C536" s="49"/>
      <c r="D536" s="50"/>
      <c r="E536" s="5"/>
      <c r="F536" s="5"/>
      <c r="G536" s="5"/>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spans="1:40" ht="12.5" x14ac:dyDescent="0.25">
      <c r="A537" s="4"/>
      <c r="B537" s="4"/>
      <c r="C537" s="49"/>
      <c r="D537" s="50"/>
      <c r="E537" s="5"/>
      <c r="F537" s="5"/>
      <c r="G537" s="5"/>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spans="1:40" ht="12.5" x14ac:dyDescent="0.25">
      <c r="A538" s="4"/>
      <c r="B538" s="4"/>
      <c r="C538" s="49"/>
      <c r="D538" s="50"/>
      <c r="E538" s="5"/>
      <c r="F538" s="5"/>
      <c r="G538" s="5"/>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spans="1:40" ht="12.5" x14ac:dyDescent="0.25">
      <c r="A539" s="4"/>
      <c r="B539" s="4"/>
      <c r="C539" s="49"/>
      <c r="D539" s="50"/>
      <c r="E539" s="5"/>
      <c r="F539" s="5"/>
      <c r="G539" s="5"/>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spans="1:40" ht="12.5" x14ac:dyDescent="0.25">
      <c r="A540" s="4"/>
      <c r="B540" s="4"/>
      <c r="C540" s="49"/>
      <c r="D540" s="50"/>
      <c r="E540" s="5"/>
      <c r="F540" s="5"/>
      <c r="G540" s="5"/>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spans="1:40" ht="12.5" x14ac:dyDescent="0.25">
      <c r="A541" s="4"/>
      <c r="B541" s="4"/>
      <c r="C541" s="49"/>
      <c r="D541" s="50"/>
      <c r="E541" s="5"/>
      <c r="F541" s="5"/>
      <c r="G541" s="5"/>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spans="1:40" ht="12.5" x14ac:dyDescent="0.25">
      <c r="A542" s="4"/>
      <c r="B542" s="4"/>
      <c r="C542" s="49"/>
      <c r="D542" s="50"/>
      <c r="E542" s="5"/>
      <c r="F542" s="5"/>
      <c r="G542" s="5"/>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spans="1:40" ht="12.5" x14ac:dyDescent="0.25">
      <c r="A543" s="4"/>
      <c r="B543" s="4"/>
      <c r="C543" s="49"/>
      <c r="D543" s="50"/>
      <c r="E543" s="5"/>
      <c r="F543" s="5"/>
      <c r="G543" s="5"/>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spans="1:40" ht="12.5" x14ac:dyDescent="0.25">
      <c r="A544" s="4"/>
      <c r="B544" s="4"/>
      <c r="C544" s="49"/>
      <c r="D544" s="50"/>
      <c r="E544" s="5"/>
      <c r="F544" s="5"/>
      <c r="G544" s="5"/>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spans="1:40" ht="12.5" x14ac:dyDescent="0.25">
      <c r="A545" s="4"/>
      <c r="B545" s="4"/>
      <c r="C545" s="49"/>
      <c r="D545" s="50"/>
      <c r="E545" s="5"/>
      <c r="F545" s="5"/>
      <c r="G545" s="5"/>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spans="1:40" ht="12.5" x14ac:dyDescent="0.25">
      <c r="A546" s="4"/>
      <c r="B546" s="4"/>
      <c r="C546" s="49"/>
      <c r="D546" s="50"/>
      <c r="E546" s="5"/>
      <c r="F546" s="5"/>
      <c r="G546" s="5"/>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spans="1:40" ht="12.5" x14ac:dyDescent="0.25">
      <c r="A547" s="4"/>
      <c r="B547" s="4"/>
      <c r="C547" s="49"/>
      <c r="D547" s="50"/>
      <c r="E547" s="5"/>
      <c r="F547" s="5"/>
      <c r="G547" s="5"/>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spans="1:40" ht="12.5" x14ac:dyDescent="0.25">
      <c r="A548" s="4"/>
      <c r="B548" s="4"/>
      <c r="C548" s="49"/>
      <c r="D548" s="50"/>
      <c r="E548" s="5"/>
      <c r="F548" s="5"/>
      <c r="G548" s="5"/>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spans="1:40" ht="12.5" x14ac:dyDescent="0.25">
      <c r="A549" s="4"/>
      <c r="B549" s="4"/>
      <c r="C549" s="49"/>
      <c r="D549" s="50"/>
      <c r="E549" s="5"/>
      <c r="F549" s="5"/>
      <c r="G549" s="5"/>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spans="1:40" ht="12.5" x14ac:dyDescent="0.25">
      <c r="A550" s="4"/>
      <c r="B550" s="4"/>
      <c r="C550" s="49"/>
      <c r="D550" s="50"/>
      <c r="E550" s="5"/>
      <c r="F550" s="5"/>
      <c r="G550" s="5"/>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spans="1:40" ht="12.5" x14ac:dyDescent="0.25">
      <c r="A551" s="4"/>
      <c r="B551" s="4"/>
      <c r="C551" s="49"/>
      <c r="D551" s="50"/>
      <c r="E551" s="5"/>
      <c r="F551" s="5"/>
      <c r="G551" s="5"/>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spans="1:40" ht="12.5" x14ac:dyDescent="0.25">
      <c r="A552" s="4"/>
      <c r="B552" s="4"/>
      <c r="C552" s="49"/>
      <c r="D552" s="50"/>
      <c r="E552" s="5"/>
      <c r="F552" s="5"/>
      <c r="G552" s="5"/>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spans="1:40" ht="12.5" x14ac:dyDescent="0.25">
      <c r="A553" s="4"/>
      <c r="B553" s="4"/>
      <c r="C553" s="49"/>
      <c r="D553" s="50"/>
      <c r="E553" s="5"/>
      <c r="F553" s="5"/>
      <c r="G553" s="5"/>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spans="1:40" ht="12.5" x14ac:dyDescent="0.25">
      <c r="A554" s="4"/>
      <c r="B554" s="4"/>
      <c r="C554" s="49"/>
      <c r="D554" s="50"/>
      <c r="E554" s="5"/>
      <c r="F554" s="5"/>
      <c r="G554" s="5"/>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spans="1:40" ht="12.5" x14ac:dyDescent="0.25">
      <c r="A555" s="4"/>
      <c r="B555" s="4"/>
      <c r="C555" s="49"/>
      <c r="D555" s="50"/>
      <c r="E555" s="5"/>
      <c r="F555" s="5"/>
      <c r="G555" s="5"/>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spans="1:40" ht="12.5" x14ac:dyDescent="0.25">
      <c r="A556" s="4"/>
      <c r="B556" s="4"/>
      <c r="C556" s="49"/>
      <c r="D556" s="50"/>
      <c r="E556" s="5"/>
      <c r="F556" s="5"/>
      <c r="G556" s="5"/>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spans="1:40" ht="12.5" x14ac:dyDescent="0.25">
      <c r="A557" s="4"/>
      <c r="B557" s="4"/>
      <c r="C557" s="49"/>
      <c r="D557" s="50"/>
      <c r="E557" s="5"/>
      <c r="F557" s="5"/>
      <c r="G557" s="5"/>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spans="1:40" ht="12.5" x14ac:dyDescent="0.25">
      <c r="A558" s="4"/>
      <c r="B558" s="4"/>
      <c r="C558" s="49"/>
      <c r="D558" s="50"/>
      <c r="E558" s="5"/>
      <c r="F558" s="5"/>
      <c r="G558" s="5"/>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spans="1:40" ht="12.5" x14ac:dyDescent="0.25">
      <c r="A559" s="4"/>
      <c r="B559" s="4"/>
      <c r="C559" s="49"/>
      <c r="D559" s="50"/>
      <c r="E559" s="5"/>
      <c r="F559" s="5"/>
      <c r="G559" s="5"/>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spans="1:40" ht="12.5" x14ac:dyDescent="0.25">
      <c r="A560" s="4"/>
      <c r="B560" s="4"/>
      <c r="C560" s="49"/>
      <c r="D560" s="50"/>
      <c r="E560" s="5"/>
      <c r="F560" s="5"/>
      <c r="G560" s="5"/>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spans="1:40" ht="12.5" x14ac:dyDescent="0.25">
      <c r="A561" s="4"/>
      <c r="B561" s="4"/>
      <c r="C561" s="49"/>
      <c r="D561" s="50"/>
      <c r="E561" s="5"/>
      <c r="F561" s="5"/>
      <c r="G561" s="5"/>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spans="1:40" ht="12.5" x14ac:dyDescent="0.25">
      <c r="A562" s="4"/>
      <c r="B562" s="4"/>
      <c r="C562" s="49"/>
      <c r="D562" s="50"/>
      <c r="E562" s="5"/>
      <c r="F562" s="5"/>
      <c r="G562" s="5"/>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spans="1:40" ht="12.5" x14ac:dyDescent="0.25">
      <c r="A563" s="4"/>
      <c r="B563" s="4"/>
      <c r="C563" s="49"/>
      <c r="D563" s="50"/>
      <c r="E563" s="5"/>
      <c r="F563" s="5"/>
      <c r="G563" s="5"/>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spans="1:40" ht="12.5" x14ac:dyDescent="0.25">
      <c r="A564" s="4"/>
      <c r="B564" s="4"/>
      <c r="C564" s="49"/>
      <c r="D564" s="50"/>
      <c r="E564" s="5"/>
      <c r="F564" s="5"/>
      <c r="G564" s="5"/>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spans="1:40" ht="12.5" x14ac:dyDescent="0.25">
      <c r="A565" s="4"/>
      <c r="B565" s="4"/>
      <c r="C565" s="49"/>
      <c r="D565" s="50"/>
      <c r="E565" s="5"/>
      <c r="F565" s="5"/>
      <c r="G565" s="5"/>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spans="1:40" ht="12.5" x14ac:dyDescent="0.25">
      <c r="A566" s="4"/>
      <c r="B566" s="4"/>
      <c r="C566" s="49"/>
      <c r="D566" s="50"/>
      <c r="E566" s="5"/>
      <c r="F566" s="5"/>
      <c r="G566" s="5"/>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spans="1:40" ht="12.5" x14ac:dyDescent="0.25">
      <c r="A567" s="4"/>
      <c r="B567" s="4"/>
      <c r="C567" s="49"/>
      <c r="D567" s="50"/>
      <c r="E567" s="5"/>
      <c r="F567" s="5"/>
      <c r="G567" s="5"/>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spans="1:40" ht="12.5" x14ac:dyDescent="0.25">
      <c r="A568" s="4"/>
      <c r="B568" s="4"/>
      <c r="C568" s="49"/>
      <c r="D568" s="50"/>
      <c r="E568" s="5"/>
      <c r="F568" s="5"/>
      <c r="G568" s="5"/>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spans="1:40" ht="12.5" x14ac:dyDescent="0.25">
      <c r="A569" s="4"/>
      <c r="B569" s="4"/>
      <c r="C569" s="49"/>
      <c r="D569" s="50"/>
      <c r="E569" s="5"/>
      <c r="F569" s="5"/>
      <c r="G569" s="5"/>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spans="1:40" ht="12.5" x14ac:dyDescent="0.25">
      <c r="A570" s="4"/>
      <c r="B570" s="4"/>
      <c r="C570" s="49"/>
      <c r="D570" s="50"/>
      <c r="E570" s="5"/>
      <c r="F570" s="5"/>
      <c r="G570" s="5"/>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spans="1:40" ht="12.5" x14ac:dyDescent="0.25">
      <c r="A571" s="4"/>
      <c r="B571" s="4"/>
      <c r="C571" s="49"/>
      <c r="D571" s="50"/>
      <c r="E571" s="5"/>
      <c r="F571" s="5"/>
      <c r="G571" s="5"/>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spans="1:40" ht="12.5" x14ac:dyDescent="0.25">
      <c r="A572" s="4"/>
      <c r="B572" s="4"/>
      <c r="C572" s="49"/>
      <c r="D572" s="50"/>
      <c r="E572" s="5"/>
      <c r="F572" s="5"/>
      <c r="G572" s="5"/>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spans="1:40" ht="12.5" x14ac:dyDescent="0.25">
      <c r="A573" s="4"/>
      <c r="B573" s="4"/>
      <c r="C573" s="49"/>
      <c r="D573" s="50"/>
      <c r="E573" s="5"/>
      <c r="F573" s="5"/>
      <c r="G573" s="5"/>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spans="1:40" ht="12.5" x14ac:dyDescent="0.25">
      <c r="A574" s="4"/>
      <c r="B574" s="4"/>
      <c r="C574" s="49"/>
      <c r="D574" s="50"/>
      <c r="E574" s="5"/>
      <c r="F574" s="5"/>
      <c r="G574" s="5"/>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spans="1:40" ht="12.5" x14ac:dyDescent="0.25">
      <c r="A575" s="4"/>
      <c r="B575" s="4"/>
      <c r="C575" s="49"/>
      <c r="D575" s="50"/>
      <c r="E575" s="5"/>
      <c r="F575" s="5"/>
      <c r="G575" s="5"/>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spans="1:40" ht="12.5" x14ac:dyDescent="0.25">
      <c r="A576" s="4"/>
      <c r="B576" s="4"/>
      <c r="C576" s="49"/>
      <c r="D576" s="50"/>
      <c r="E576" s="5"/>
      <c r="F576" s="5"/>
      <c r="G576" s="5"/>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spans="1:40" ht="12.5" x14ac:dyDescent="0.25">
      <c r="A577" s="4"/>
      <c r="B577" s="4"/>
      <c r="C577" s="49"/>
      <c r="D577" s="50"/>
      <c r="E577" s="5"/>
      <c r="F577" s="5"/>
      <c r="G577" s="5"/>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spans="1:40" ht="12.5" x14ac:dyDescent="0.25">
      <c r="A578" s="4"/>
      <c r="B578" s="4"/>
      <c r="C578" s="49"/>
      <c r="D578" s="50"/>
      <c r="E578" s="5"/>
      <c r="F578" s="5"/>
      <c r="G578" s="5"/>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spans="1:40" ht="12.5" x14ac:dyDescent="0.25">
      <c r="A579" s="4"/>
      <c r="B579" s="4"/>
      <c r="C579" s="49"/>
      <c r="D579" s="50"/>
      <c r="E579" s="5"/>
      <c r="F579" s="5"/>
      <c r="G579" s="5"/>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spans="1:40" ht="12.5" x14ac:dyDescent="0.25">
      <c r="A580" s="4"/>
      <c r="B580" s="4"/>
      <c r="C580" s="49"/>
      <c r="D580" s="50"/>
      <c r="E580" s="5"/>
      <c r="F580" s="5"/>
      <c r="G580" s="5"/>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spans="1:40" ht="12.5" x14ac:dyDescent="0.25">
      <c r="A581" s="4"/>
      <c r="B581" s="4"/>
      <c r="C581" s="49"/>
      <c r="D581" s="50"/>
      <c r="E581" s="5"/>
      <c r="F581" s="5"/>
      <c r="G581" s="5"/>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spans="1:40" ht="12.5" x14ac:dyDescent="0.25">
      <c r="A582" s="4"/>
      <c r="B582" s="4"/>
      <c r="C582" s="49"/>
      <c r="D582" s="50"/>
      <c r="E582" s="5"/>
      <c r="F582" s="5"/>
      <c r="G582" s="5"/>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spans="1:40" ht="12.5" x14ac:dyDescent="0.25">
      <c r="A583" s="4"/>
      <c r="B583" s="4"/>
      <c r="C583" s="49"/>
      <c r="D583" s="50"/>
      <c r="E583" s="5"/>
      <c r="F583" s="5"/>
      <c r="G583" s="5"/>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spans="1:40" ht="12.5" x14ac:dyDescent="0.25">
      <c r="A584" s="4"/>
      <c r="B584" s="4"/>
      <c r="C584" s="49"/>
      <c r="D584" s="50"/>
      <c r="E584" s="5"/>
      <c r="F584" s="5"/>
      <c r="G584" s="5"/>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spans="1:40" ht="12.5" x14ac:dyDescent="0.25">
      <c r="A585" s="4"/>
      <c r="B585" s="4"/>
      <c r="C585" s="49"/>
      <c r="D585" s="50"/>
      <c r="E585" s="5"/>
      <c r="F585" s="5"/>
      <c r="G585" s="5"/>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spans="1:40" ht="12.5" x14ac:dyDescent="0.25">
      <c r="A586" s="4"/>
      <c r="B586" s="4"/>
      <c r="C586" s="49"/>
      <c r="D586" s="50"/>
      <c r="E586" s="5"/>
      <c r="F586" s="5"/>
      <c r="G586" s="5"/>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spans="1:40" ht="12.5" x14ac:dyDescent="0.25">
      <c r="A587" s="4"/>
      <c r="B587" s="4"/>
      <c r="C587" s="49"/>
      <c r="D587" s="50"/>
      <c r="E587" s="5"/>
      <c r="F587" s="5"/>
      <c r="G587" s="5"/>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spans="1:40" ht="12.5" x14ac:dyDescent="0.25">
      <c r="A588" s="4"/>
      <c r="B588" s="4"/>
      <c r="C588" s="49"/>
      <c r="D588" s="50"/>
      <c r="E588" s="5"/>
      <c r="F588" s="5"/>
      <c r="G588" s="5"/>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spans="1:40" ht="12.5" x14ac:dyDescent="0.25">
      <c r="A589" s="4"/>
      <c r="B589" s="4"/>
      <c r="C589" s="49"/>
      <c r="D589" s="50"/>
      <c r="E589" s="5"/>
      <c r="F589" s="5"/>
      <c r="G589" s="5"/>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spans="1:40" ht="12.5" x14ac:dyDescent="0.25">
      <c r="A590" s="4"/>
      <c r="B590" s="4"/>
      <c r="C590" s="49"/>
      <c r="D590" s="50"/>
      <c r="E590" s="5"/>
      <c r="F590" s="5"/>
      <c r="G590" s="5"/>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spans="1:40" ht="12.5" x14ac:dyDescent="0.25">
      <c r="A591" s="4"/>
      <c r="B591" s="4"/>
      <c r="C591" s="49"/>
      <c r="D591" s="50"/>
      <c r="E591" s="5"/>
      <c r="F591" s="5"/>
      <c r="G591" s="5"/>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spans="1:40" ht="12.5" x14ac:dyDescent="0.25">
      <c r="A592" s="4"/>
      <c r="B592" s="4"/>
      <c r="C592" s="49"/>
      <c r="D592" s="50"/>
      <c r="E592" s="5"/>
      <c r="F592" s="5"/>
      <c r="G592" s="5"/>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spans="1:40" ht="12.5" x14ac:dyDescent="0.25">
      <c r="A593" s="4"/>
      <c r="B593" s="4"/>
      <c r="C593" s="49"/>
      <c r="D593" s="50"/>
      <c r="E593" s="5"/>
      <c r="F593" s="5"/>
      <c r="G593" s="5"/>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spans="1:40" ht="12.5" x14ac:dyDescent="0.25">
      <c r="A594" s="4"/>
      <c r="B594" s="4"/>
      <c r="C594" s="49"/>
      <c r="D594" s="50"/>
      <c r="E594" s="5"/>
      <c r="F594" s="5"/>
      <c r="G594" s="5"/>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spans="1:40" ht="12.5" x14ac:dyDescent="0.25">
      <c r="A595" s="4"/>
      <c r="B595" s="4"/>
      <c r="C595" s="49"/>
      <c r="D595" s="50"/>
      <c r="E595" s="5"/>
      <c r="F595" s="5"/>
      <c r="G595" s="5"/>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spans="1:40" ht="12.5" x14ac:dyDescent="0.25">
      <c r="A596" s="4"/>
      <c r="B596" s="4"/>
      <c r="C596" s="49"/>
      <c r="D596" s="50"/>
      <c r="E596" s="5"/>
      <c r="F596" s="5"/>
      <c r="G596" s="5"/>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spans="1:40" ht="12.5" x14ac:dyDescent="0.25">
      <c r="A597" s="4"/>
      <c r="B597" s="4"/>
      <c r="C597" s="49"/>
      <c r="D597" s="50"/>
      <c r="E597" s="5"/>
      <c r="F597" s="5"/>
      <c r="G597" s="5"/>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spans="1:40" ht="12.5" x14ac:dyDescent="0.25">
      <c r="A598" s="4"/>
      <c r="B598" s="4"/>
      <c r="C598" s="49"/>
      <c r="D598" s="50"/>
      <c r="E598" s="5"/>
      <c r="F598" s="5"/>
      <c r="G598" s="5"/>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spans="1:40" ht="12.5" x14ac:dyDescent="0.25">
      <c r="A599" s="4"/>
      <c r="B599" s="4"/>
      <c r="C599" s="49"/>
      <c r="D599" s="50"/>
      <c r="E599" s="5"/>
      <c r="F599" s="5"/>
      <c r="G599" s="5"/>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spans="1:40" ht="12.5" x14ac:dyDescent="0.25">
      <c r="A600" s="4"/>
      <c r="B600" s="4"/>
      <c r="C600" s="49"/>
      <c r="D600" s="50"/>
      <c r="E600" s="5"/>
      <c r="F600" s="5"/>
      <c r="G600" s="5"/>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spans="1:40" ht="12.5" x14ac:dyDescent="0.25">
      <c r="A601" s="4"/>
      <c r="B601" s="4"/>
      <c r="C601" s="49"/>
      <c r="D601" s="50"/>
      <c r="E601" s="5"/>
      <c r="F601" s="5"/>
      <c r="G601" s="5"/>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spans="1:40" ht="12.5" x14ac:dyDescent="0.25">
      <c r="A602" s="4"/>
      <c r="B602" s="4"/>
      <c r="C602" s="49"/>
      <c r="D602" s="50"/>
      <c r="E602" s="5"/>
      <c r="F602" s="5"/>
      <c r="G602" s="5"/>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spans="1:40" ht="12.5" x14ac:dyDescent="0.25">
      <c r="A603" s="4"/>
      <c r="B603" s="4"/>
      <c r="C603" s="49"/>
      <c r="D603" s="50"/>
      <c r="E603" s="5"/>
      <c r="F603" s="5"/>
      <c r="G603" s="5"/>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spans="1:40" ht="12.5" x14ac:dyDescent="0.25">
      <c r="A604" s="4"/>
      <c r="B604" s="4"/>
      <c r="C604" s="49"/>
      <c r="D604" s="50"/>
      <c r="E604" s="5"/>
      <c r="F604" s="5"/>
      <c r="G604" s="5"/>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spans="1:40" ht="12.5" x14ac:dyDescent="0.25">
      <c r="A605" s="4"/>
      <c r="B605" s="4"/>
      <c r="C605" s="49"/>
      <c r="D605" s="50"/>
      <c r="E605" s="5"/>
      <c r="F605" s="5"/>
      <c r="G605" s="5"/>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spans="1:40" ht="12.5" x14ac:dyDescent="0.25">
      <c r="A606" s="4"/>
      <c r="B606" s="4"/>
      <c r="C606" s="49"/>
      <c r="D606" s="50"/>
      <c r="E606" s="5"/>
      <c r="F606" s="5"/>
      <c r="G606" s="5"/>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spans="1:40" ht="12.5" x14ac:dyDescent="0.25">
      <c r="A607" s="4"/>
      <c r="B607" s="4"/>
      <c r="C607" s="49"/>
      <c r="D607" s="50"/>
      <c r="E607" s="5"/>
      <c r="F607" s="5"/>
      <c r="G607" s="5"/>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spans="1:40" ht="12.5" x14ac:dyDescent="0.25">
      <c r="A608" s="4"/>
      <c r="B608" s="4"/>
      <c r="C608" s="49"/>
      <c r="D608" s="50"/>
      <c r="E608" s="5"/>
      <c r="F608" s="5"/>
      <c r="G608" s="5"/>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spans="1:40" ht="12.5" x14ac:dyDescent="0.25">
      <c r="A609" s="4"/>
      <c r="B609" s="4"/>
      <c r="C609" s="49"/>
      <c r="D609" s="50"/>
      <c r="E609" s="5"/>
      <c r="F609" s="5"/>
      <c r="G609" s="5"/>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spans="1:40" ht="12.5" x14ac:dyDescent="0.25">
      <c r="A610" s="4"/>
      <c r="B610" s="4"/>
      <c r="C610" s="49"/>
      <c r="D610" s="50"/>
      <c r="E610" s="5"/>
      <c r="F610" s="5"/>
      <c r="G610" s="5"/>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spans="1:40" ht="12.5" x14ac:dyDescent="0.25">
      <c r="A611" s="4"/>
      <c r="B611" s="4"/>
      <c r="C611" s="49"/>
      <c r="D611" s="50"/>
      <c r="E611" s="5"/>
      <c r="F611" s="5"/>
      <c r="G611" s="5"/>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spans="1:40" ht="12.5" x14ac:dyDescent="0.25">
      <c r="A612" s="4"/>
      <c r="B612" s="4"/>
      <c r="C612" s="49"/>
      <c r="D612" s="50"/>
      <c r="E612" s="5"/>
      <c r="F612" s="5"/>
      <c r="G612" s="5"/>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spans="1:40" ht="12.5" x14ac:dyDescent="0.25">
      <c r="A613" s="4"/>
      <c r="B613" s="4"/>
      <c r="C613" s="49"/>
      <c r="D613" s="50"/>
      <c r="E613" s="5"/>
      <c r="F613" s="5"/>
      <c r="G613" s="5"/>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spans="1:40" ht="12.5" x14ac:dyDescent="0.25">
      <c r="A614" s="4"/>
      <c r="B614" s="4"/>
      <c r="C614" s="49"/>
      <c r="D614" s="50"/>
      <c r="E614" s="5"/>
      <c r="F614" s="5"/>
      <c r="G614" s="5"/>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spans="1:40" ht="12.5" x14ac:dyDescent="0.25">
      <c r="A615" s="4"/>
      <c r="B615" s="4"/>
      <c r="C615" s="49"/>
      <c r="D615" s="50"/>
      <c r="E615" s="5"/>
      <c r="F615" s="5"/>
      <c r="G615" s="5"/>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spans="1:40" ht="12.5" x14ac:dyDescent="0.25">
      <c r="A616" s="4"/>
      <c r="B616" s="4"/>
      <c r="C616" s="49"/>
      <c r="D616" s="50"/>
      <c r="E616" s="5"/>
      <c r="F616" s="5"/>
      <c r="G616" s="5"/>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spans="1:40" ht="12.5" x14ac:dyDescent="0.25">
      <c r="A617" s="4"/>
      <c r="B617" s="4"/>
      <c r="C617" s="49"/>
      <c r="D617" s="50"/>
      <c r="E617" s="5"/>
      <c r="F617" s="5"/>
      <c r="G617" s="5"/>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spans="1:40" ht="12.5" x14ac:dyDescent="0.25">
      <c r="A618" s="4"/>
      <c r="B618" s="4"/>
      <c r="C618" s="49"/>
      <c r="D618" s="50"/>
      <c r="E618" s="5"/>
      <c r="F618" s="5"/>
      <c r="G618" s="5"/>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spans="1:40" ht="12.5" x14ac:dyDescent="0.25">
      <c r="A619" s="4"/>
      <c r="B619" s="4"/>
      <c r="C619" s="49"/>
      <c r="D619" s="50"/>
      <c r="E619" s="5"/>
      <c r="F619" s="5"/>
      <c r="G619" s="5"/>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spans="1:40" ht="12.5" x14ac:dyDescent="0.25">
      <c r="A620" s="4"/>
      <c r="B620" s="4"/>
      <c r="C620" s="49"/>
      <c r="D620" s="50"/>
      <c r="E620" s="5"/>
      <c r="F620" s="5"/>
      <c r="G620" s="5"/>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spans="1:40" ht="12.5" x14ac:dyDescent="0.25">
      <c r="A621" s="4"/>
      <c r="B621" s="4"/>
      <c r="C621" s="49"/>
      <c r="D621" s="50"/>
      <c r="E621" s="5"/>
      <c r="F621" s="5"/>
      <c r="G621" s="5"/>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spans="1:40" ht="12.5" x14ac:dyDescent="0.25">
      <c r="A622" s="4"/>
      <c r="B622" s="4"/>
      <c r="C622" s="49"/>
      <c r="D622" s="50"/>
      <c r="E622" s="5"/>
      <c r="F622" s="5"/>
      <c r="G622" s="5"/>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spans="1:40" ht="12.5" x14ac:dyDescent="0.25">
      <c r="A623" s="4"/>
      <c r="B623" s="4"/>
      <c r="C623" s="49"/>
      <c r="D623" s="50"/>
      <c r="E623" s="5"/>
      <c r="F623" s="5"/>
      <c r="G623" s="5"/>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spans="1:40" ht="12.5" x14ac:dyDescent="0.25">
      <c r="A624" s="4"/>
      <c r="B624" s="4"/>
      <c r="C624" s="49"/>
      <c r="D624" s="50"/>
      <c r="E624" s="5"/>
      <c r="F624" s="5"/>
      <c r="G624" s="5"/>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spans="1:40" ht="12.5" x14ac:dyDescent="0.25">
      <c r="A625" s="4"/>
      <c r="B625" s="4"/>
      <c r="C625" s="49"/>
      <c r="D625" s="50"/>
      <c r="E625" s="5"/>
      <c r="F625" s="5"/>
      <c r="G625" s="5"/>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spans="1:40" ht="12.5" x14ac:dyDescent="0.25">
      <c r="A626" s="4"/>
      <c r="B626" s="4"/>
      <c r="C626" s="49"/>
      <c r="D626" s="50"/>
      <c r="E626" s="5"/>
      <c r="F626" s="5"/>
      <c r="G626" s="5"/>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spans="1:40" ht="12.5" x14ac:dyDescent="0.25">
      <c r="A627" s="4"/>
      <c r="B627" s="4"/>
      <c r="C627" s="49"/>
      <c r="D627" s="50"/>
      <c r="E627" s="5"/>
      <c r="F627" s="5"/>
      <c r="G627" s="5"/>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spans="1:40" ht="12.5" x14ac:dyDescent="0.25">
      <c r="A628" s="4"/>
      <c r="B628" s="4"/>
      <c r="C628" s="49"/>
      <c r="D628" s="50"/>
      <c r="E628" s="5"/>
      <c r="F628" s="5"/>
      <c r="G628" s="5"/>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spans="1:40" ht="12.5" x14ac:dyDescent="0.25">
      <c r="A629" s="4"/>
      <c r="B629" s="4"/>
      <c r="C629" s="49"/>
      <c r="D629" s="50"/>
      <c r="E629" s="5"/>
      <c r="F629" s="5"/>
      <c r="G629" s="5"/>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spans="1:40" ht="12.5" x14ac:dyDescent="0.25">
      <c r="A630" s="4"/>
      <c r="B630" s="4"/>
      <c r="C630" s="49"/>
      <c r="D630" s="50"/>
      <c r="E630" s="5"/>
      <c r="F630" s="5"/>
      <c r="G630" s="5"/>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spans="1:40" ht="12.5" x14ac:dyDescent="0.25">
      <c r="A631" s="4"/>
      <c r="B631" s="4"/>
      <c r="C631" s="49"/>
      <c r="D631" s="50"/>
      <c r="E631" s="5"/>
      <c r="F631" s="5"/>
      <c r="G631" s="5"/>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spans="1:40" ht="12.5" x14ac:dyDescent="0.25">
      <c r="A632" s="4"/>
      <c r="B632" s="4"/>
      <c r="C632" s="49"/>
      <c r="D632" s="50"/>
      <c r="E632" s="5"/>
      <c r="F632" s="5"/>
      <c r="G632" s="5"/>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spans="1:40" ht="12.5" x14ac:dyDescent="0.25">
      <c r="A633" s="4"/>
      <c r="B633" s="4"/>
      <c r="C633" s="49"/>
      <c r="D633" s="50"/>
      <c r="E633" s="5"/>
      <c r="F633" s="5"/>
      <c r="G633" s="5"/>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spans="1:40" ht="12.5" x14ac:dyDescent="0.25">
      <c r="A634" s="4"/>
      <c r="B634" s="4"/>
      <c r="C634" s="49"/>
      <c r="D634" s="50"/>
      <c r="E634" s="5"/>
      <c r="F634" s="5"/>
      <c r="G634" s="5"/>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spans="1:40" ht="12.5" x14ac:dyDescent="0.25">
      <c r="A635" s="4"/>
      <c r="B635" s="4"/>
      <c r="C635" s="49"/>
      <c r="D635" s="50"/>
      <c r="E635" s="5"/>
      <c r="F635" s="5"/>
      <c r="G635" s="5"/>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spans="1:40" ht="12.5" x14ac:dyDescent="0.25">
      <c r="A636" s="4"/>
      <c r="B636" s="4"/>
      <c r="C636" s="49"/>
      <c r="D636" s="50"/>
      <c r="E636" s="5"/>
      <c r="F636" s="5"/>
      <c r="G636" s="5"/>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spans="1:40" ht="12.5" x14ac:dyDescent="0.25">
      <c r="A637" s="4"/>
      <c r="B637" s="4"/>
      <c r="C637" s="49"/>
      <c r="D637" s="50"/>
      <c r="E637" s="5"/>
      <c r="F637" s="5"/>
      <c r="G637" s="5"/>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spans="1:40" ht="12.5" x14ac:dyDescent="0.25">
      <c r="A638" s="4"/>
      <c r="B638" s="4"/>
      <c r="C638" s="49"/>
      <c r="D638" s="50"/>
      <c r="E638" s="5"/>
      <c r="F638" s="5"/>
      <c r="G638" s="5"/>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spans="1:40" ht="12.5" x14ac:dyDescent="0.25">
      <c r="A639" s="4"/>
      <c r="B639" s="4"/>
      <c r="C639" s="49"/>
      <c r="D639" s="50"/>
      <c r="E639" s="5"/>
      <c r="F639" s="5"/>
      <c r="G639" s="5"/>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spans="1:40" ht="12.5" x14ac:dyDescent="0.25">
      <c r="A640" s="4"/>
      <c r="B640" s="4"/>
      <c r="C640" s="49"/>
      <c r="D640" s="50"/>
      <c r="E640" s="5"/>
      <c r="F640" s="5"/>
      <c r="G640" s="5"/>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spans="1:40" ht="12.5" x14ac:dyDescent="0.25">
      <c r="A641" s="4"/>
      <c r="B641" s="4"/>
      <c r="C641" s="49"/>
      <c r="D641" s="50"/>
      <c r="E641" s="5"/>
      <c r="F641" s="5"/>
      <c r="G641" s="5"/>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spans="1:40" ht="12.5" x14ac:dyDescent="0.25">
      <c r="A642" s="4"/>
      <c r="B642" s="4"/>
      <c r="C642" s="49"/>
      <c r="D642" s="50"/>
      <c r="E642" s="5"/>
      <c r="F642" s="5"/>
      <c r="G642" s="5"/>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spans="1:40" ht="12.5" x14ac:dyDescent="0.25">
      <c r="A643" s="4"/>
      <c r="B643" s="4"/>
      <c r="C643" s="49"/>
      <c r="D643" s="50"/>
      <c r="E643" s="5"/>
      <c r="F643" s="5"/>
      <c r="G643" s="5"/>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spans="1:40" ht="12.5" x14ac:dyDescent="0.25">
      <c r="A644" s="4"/>
      <c r="B644" s="4"/>
      <c r="C644" s="49"/>
      <c r="D644" s="50"/>
      <c r="E644" s="5"/>
      <c r="F644" s="5"/>
      <c r="G644" s="5"/>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spans="1:40" ht="12.5" x14ac:dyDescent="0.25">
      <c r="A645" s="4"/>
      <c r="B645" s="4"/>
      <c r="C645" s="49"/>
      <c r="D645" s="50"/>
      <c r="E645" s="5"/>
      <c r="F645" s="5"/>
      <c r="G645" s="5"/>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spans="1:40" ht="12.5" x14ac:dyDescent="0.25">
      <c r="A646" s="4"/>
      <c r="B646" s="4"/>
      <c r="C646" s="49"/>
      <c r="D646" s="50"/>
      <c r="E646" s="5"/>
      <c r="F646" s="5"/>
      <c r="G646" s="5"/>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spans="1:40" ht="12.5" x14ac:dyDescent="0.25">
      <c r="A647" s="4"/>
      <c r="B647" s="4"/>
      <c r="C647" s="49"/>
      <c r="D647" s="50"/>
      <c r="E647" s="5"/>
      <c r="F647" s="5"/>
      <c r="G647" s="5"/>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spans="1:40" ht="12.5" x14ac:dyDescent="0.25">
      <c r="A648" s="4"/>
      <c r="B648" s="4"/>
      <c r="C648" s="49"/>
      <c r="D648" s="50"/>
      <c r="E648" s="5"/>
      <c r="F648" s="5"/>
      <c r="G648" s="5"/>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spans="1:40" ht="12.5" x14ac:dyDescent="0.25">
      <c r="A649" s="4"/>
      <c r="B649" s="4"/>
      <c r="C649" s="49"/>
      <c r="D649" s="50"/>
      <c r="E649" s="5"/>
      <c r="F649" s="5"/>
      <c r="G649" s="5"/>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spans="1:40" ht="12.5" x14ac:dyDescent="0.25">
      <c r="A650" s="4"/>
      <c r="B650" s="4"/>
      <c r="C650" s="49"/>
      <c r="D650" s="50"/>
      <c r="E650" s="5"/>
      <c r="F650" s="5"/>
      <c r="G650" s="5"/>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spans="1:40" ht="12.5" x14ac:dyDescent="0.25">
      <c r="A651" s="4"/>
      <c r="B651" s="4"/>
      <c r="C651" s="49"/>
      <c r="D651" s="50"/>
      <c r="E651" s="5"/>
      <c r="F651" s="5"/>
      <c r="G651" s="5"/>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spans="1:40" ht="12.5" x14ac:dyDescent="0.25">
      <c r="A652" s="4"/>
      <c r="B652" s="4"/>
      <c r="C652" s="49"/>
      <c r="D652" s="50"/>
      <c r="E652" s="5"/>
      <c r="F652" s="5"/>
      <c r="G652" s="5"/>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spans="1:40" ht="12.5" x14ac:dyDescent="0.25">
      <c r="A653" s="4"/>
      <c r="B653" s="4"/>
      <c r="C653" s="49"/>
      <c r="D653" s="50"/>
      <c r="E653" s="5"/>
      <c r="F653" s="5"/>
      <c r="G653" s="5"/>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spans="1:40" ht="12.5" x14ac:dyDescent="0.25">
      <c r="A654" s="4"/>
      <c r="B654" s="4"/>
      <c r="C654" s="49"/>
      <c r="D654" s="50"/>
      <c r="E654" s="5"/>
      <c r="F654" s="5"/>
      <c r="G654" s="5"/>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spans="1:40" ht="12.5" x14ac:dyDescent="0.25">
      <c r="A655" s="4"/>
      <c r="B655" s="4"/>
      <c r="C655" s="49"/>
      <c r="D655" s="50"/>
      <c r="E655" s="5"/>
      <c r="F655" s="5"/>
      <c r="G655" s="5"/>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spans="1:40" ht="12.5" x14ac:dyDescent="0.25">
      <c r="A656" s="4"/>
      <c r="B656" s="4"/>
      <c r="C656" s="49"/>
      <c r="D656" s="50"/>
      <c r="E656" s="5"/>
      <c r="F656" s="5"/>
      <c r="G656" s="5"/>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spans="1:40" ht="12.5" x14ac:dyDescent="0.25">
      <c r="A657" s="4"/>
      <c r="B657" s="4"/>
      <c r="C657" s="49"/>
      <c r="D657" s="50"/>
      <c r="E657" s="5"/>
      <c r="F657" s="5"/>
      <c r="G657" s="5"/>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spans="1:40" ht="12.5" x14ac:dyDescent="0.25">
      <c r="A658" s="4"/>
      <c r="B658" s="4"/>
      <c r="C658" s="49"/>
      <c r="D658" s="50"/>
      <c r="E658" s="5"/>
      <c r="F658" s="5"/>
      <c r="G658" s="5"/>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spans="1:40" ht="12.5" x14ac:dyDescent="0.25">
      <c r="A659" s="4"/>
      <c r="B659" s="4"/>
      <c r="C659" s="49"/>
      <c r="D659" s="50"/>
      <c r="E659" s="5"/>
      <c r="F659" s="5"/>
      <c r="G659" s="5"/>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spans="1:40" ht="12.5" x14ac:dyDescent="0.25">
      <c r="A660" s="4"/>
      <c r="B660" s="4"/>
      <c r="C660" s="49"/>
      <c r="D660" s="50"/>
      <c r="E660" s="5"/>
      <c r="F660" s="5"/>
      <c r="G660" s="5"/>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spans="1:40" ht="12.5" x14ac:dyDescent="0.25">
      <c r="A661" s="4"/>
      <c r="B661" s="4"/>
      <c r="C661" s="49"/>
      <c r="D661" s="50"/>
      <c r="E661" s="5"/>
      <c r="F661" s="5"/>
      <c r="G661" s="5"/>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spans="1:40" ht="12.5" x14ac:dyDescent="0.25">
      <c r="A662" s="4"/>
      <c r="B662" s="4"/>
      <c r="C662" s="49"/>
      <c r="D662" s="50"/>
      <c r="E662" s="5"/>
      <c r="F662" s="5"/>
      <c r="G662" s="5"/>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spans="1:40" ht="12.5" x14ac:dyDescent="0.25">
      <c r="A663" s="4"/>
      <c r="B663" s="4"/>
      <c r="C663" s="49"/>
      <c r="D663" s="50"/>
      <c r="E663" s="5"/>
      <c r="F663" s="5"/>
      <c r="G663" s="5"/>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spans="1:40" ht="12.5" x14ac:dyDescent="0.25">
      <c r="A664" s="4"/>
      <c r="B664" s="4"/>
      <c r="C664" s="49"/>
      <c r="D664" s="50"/>
      <c r="E664" s="5"/>
      <c r="F664" s="5"/>
      <c r="G664" s="5"/>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spans="1:40" ht="12.5" x14ac:dyDescent="0.25">
      <c r="A665" s="4"/>
      <c r="B665" s="4"/>
      <c r="C665" s="49"/>
      <c r="D665" s="50"/>
      <c r="E665" s="5"/>
      <c r="F665" s="5"/>
      <c r="G665" s="5"/>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spans="1:40" ht="12.5" x14ac:dyDescent="0.25">
      <c r="A666" s="4"/>
      <c r="B666" s="4"/>
      <c r="C666" s="49"/>
      <c r="D666" s="50"/>
      <c r="E666" s="5"/>
      <c r="F666" s="5"/>
      <c r="G666" s="5"/>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spans="1:40" ht="12.5" x14ac:dyDescent="0.25">
      <c r="A667" s="4"/>
      <c r="B667" s="4"/>
      <c r="C667" s="49"/>
      <c r="D667" s="50"/>
      <c r="E667" s="5"/>
      <c r="F667" s="5"/>
      <c r="G667" s="5"/>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spans="1:40" ht="12.5" x14ac:dyDescent="0.25">
      <c r="A668" s="4"/>
      <c r="B668" s="4"/>
      <c r="C668" s="49"/>
      <c r="D668" s="50"/>
      <c r="E668" s="5"/>
      <c r="F668" s="5"/>
      <c r="G668" s="5"/>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spans="1:40" ht="12.5" x14ac:dyDescent="0.25">
      <c r="A669" s="4"/>
      <c r="B669" s="4"/>
      <c r="C669" s="49"/>
      <c r="D669" s="50"/>
      <c r="E669" s="5"/>
      <c r="F669" s="5"/>
      <c r="G669" s="5"/>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spans="1:40" ht="12.5" x14ac:dyDescent="0.25">
      <c r="A670" s="4"/>
      <c r="B670" s="4"/>
      <c r="C670" s="49"/>
      <c r="D670" s="50"/>
      <c r="E670" s="5"/>
      <c r="F670" s="5"/>
      <c r="G670" s="5"/>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spans="1:40" ht="12.5" x14ac:dyDescent="0.25">
      <c r="A671" s="4"/>
      <c r="B671" s="4"/>
      <c r="C671" s="49"/>
      <c r="D671" s="50"/>
      <c r="E671" s="5"/>
      <c r="F671" s="5"/>
      <c r="G671" s="5"/>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spans="1:40" ht="12.5" x14ac:dyDescent="0.25">
      <c r="A672" s="4"/>
      <c r="B672" s="4"/>
      <c r="C672" s="49"/>
      <c r="D672" s="50"/>
      <c r="E672" s="5"/>
      <c r="F672" s="5"/>
      <c r="G672" s="5"/>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spans="1:40" ht="12.5" x14ac:dyDescent="0.25">
      <c r="A673" s="4"/>
      <c r="B673" s="4"/>
      <c r="C673" s="49"/>
      <c r="D673" s="50"/>
      <c r="E673" s="5"/>
      <c r="F673" s="5"/>
      <c r="G673" s="5"/>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spans="1:40" ht="12.5" x14ac:dyDescent="0.25">
      <c r="A674" s="4"/>
      <c r="B674" s="4"/>
      <c r="C674" s="49"/>
      <c r="D674" s="50"/>
      <c r="E674" s="5"/>
      <c r="F674" s="5"/>
      <c r="G674" s="5"/>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spans="1:40" ht="12.5" x14ac:dyDescent="0.25">
      <c r="A675" s="4"/>
      <c r="B675" s="4"/>
      <c r="C675" s="49"/>
      <c r="D675" s="50"/>
      <c r="E675" s="5"/>
      <c r="F675" s="5"/>
      <c r="G675" s="5"/>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spans="1:40" ht="12.5" x14ac:dyDescent="0.25">
      <c r="A676" s="4"/>
      <c r="B676" s="4"/>
      <c r="C676" s="49"/>
      <c r="D676" s="50"/>
      <c r="E676" s="5"/>
      <c r="F676" s="5"/>
      <c r="G676" s="5"/>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spans="1:40" ht="12.5" x14ac:dyDescent="0.25">
      <c r="A677" s="4"/>
      <c r="B677" s="4"/>
      <c r="C677" s="49"/>
      <c r="D677" s="50"/>
      <c r="E677" s="5"/>
      <c r="F677" s="5"/>
      <c r="G677" s="5"/>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spans="1:40" ht="12.5" x14ac:dyDescent="0.25">
      <c r="A678" s="4"/>
      <c r="B678" s="4"/>
      <c r="C678" s="49"/>
      <c r="D678" s="50"/>
      <c r="E678" s="5"/>
      <c r="F678" s="5"/>
      <c r="G678" s="5"/>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spans="1:40" ht="12.5" x14ac:dyDescent="0.25">
      <c r="A679" s="4"/>
      <c r="B679" s="4"/>
      <c r="C679" s="49"/>
      <c r="D679" s="50"/>
      <c r="E679" s="5"/>
      <c r="F679" s="5"/>
      <c r="G679" s="5"/>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spans="1:40" ht="12.5" x14ac:dyDescent="0.25">
      <c r="A680" s="4"/>
      <c r="B680" s="4"/>
      <c r="C680" s="49"/>
      <c r="D680" s="50"/>
      <c r="E680" s="5"/>
      <c r="F680" s="5"/>
      <c r="G680" s="5"/>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spans="1:40" ht="12.5" x14ac:dyDescent="0.25">
      <c r="A681" s="4"/>
      <c r="B681" s="4"/>
      <c r="C681" s="49"/>
      <c r="D681" s="50"/>
      <c r="E681" s="5"/>
      <c r="F681" s="5"/>
      <c r="G681" s="5"/>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spans="1:40" ht="12.5" x14ac:dyDescent="0.25">
      <c r="A682" s="4"/>
      <c r="B682" s="4"/>
      <c r="C682" s="49"/>
      <c r="D682" s="50"/>
      <c r="E682" s="5"/>
      <c r="F682" s="5"/>
      <c r="G682" s="5"/>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spans="1:40" ht="12.5" x14ac:dyDescent="0.25">
      <c r="A683" s="4"/>
      <c r="B683" s="4"/>
      <c r="C683" s="49"/>
      <c r="D683" s="50"/>
      <c r="E683" s="5"/>
      <c r="F683" s="5"/>
      <c r="G683" s="5"/>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spans="1:40" ht="12.5" x14ac:dyDescent="0.25">
      <c r="A684" s="4"/>
      <c r="B684" s="4"/>
      <c r="C684" s="49"/>
      <c r="D684" s="50"/>
      <c r="E684" s="5"/>
      <c r="F684" s="5"/>
      <c r="G684" s="5"/>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spans="1:40" ht="12.5" x14ac:dyDescent="0.25">
      <c r="A685" s="4"/>
      <c r="B685" s="4"/>
      <c r="C685" s="49"/>
      <c r="D685" s="50"/>
      <c r="E685" s="5"/>
      <c r="F685" s="5"/>
      <c r="G685" s="5"/>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spans="1:40" ht="12.5" x14ac:dyDescent="0.25">
      <c r="A686" s="4"/>
      <c r="B686" s="4"/>
      <c r="C686" s="49"/>
      <c r="D686" s="50"/>
      <c r="E686" s="5"/>
      <c r="F686" s="5"/>
      <c r="G686" s="5"/>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spans="1:40" ht="12.5" x14ac:dyDescent="0.25">
      <c r="A687" s="4"/>
      <c r="B687" s="4"/>
      <c r="C687" s="49"/>
      <c r="D687" s="50"/>
      <c r="E687" s="5"/>
      <c r="F687" s="5"/>
      <c r="G687" s="5"/>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spans="1:40" ht="12.5" x14ac:dyDescent="0.25">
      <c r="A688" s="4"/>
      <c r="B688" s="4"/>
      <c r="C688" s="49"/>
      <c r="D688" s="50"/>
      <c r="E688" s="5"/>
      <c r="F688" s="5"/>
      <c r="G688" s="5"/>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spans="1:40" ht="12.5" x14ac:dyDescent="0.25">
      <c r="A689" s="4"/>
      <c r="B689" s="4"/>
      <c r="C689" s="49"/>
      <c r="D689" s="50"/>
      <c r="E689" s="5"/>
      <c r="F689" s="5"/>
      <c r="G689" s="5"/>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spans="1:40" ht="12.5" x14ac:dyDescent="0.25">
      <c r="A690" s="4"/>
      <c r="B690" s="4"/>
      <c r="C690" s="49"/>
      <c r="D690" s="50"/>
      <c r="E690" s="5"/>
      <c r="F690" s="5"/>
      <c r="G690" s="5"/>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spans="1:40" ht="12.5" x14ac:dyDescent="0.25">
      <c r="A691" s="4"/>
      <c r="B691" s="4"/>
      <c r="C691" s="49"/>
      <c r="D691" s="50"/>
      <c r="E691" s="5"/>
      <c r="F691" s="5"/>
      <c r="G691" s="5"/>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spans="1:40" ht="12.5" x14ac:dyDescent="0.25">
      <c r="A692" s="4"/>
      <c r="B692" s="4"/>
      <c r="C692" s="49"/>
      <c r="D692" s="50"/>
      <c r="E692" s="5"/>
      <c r="F692" s="5"/>
      <c r="G692" s="5"/>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spans="1:40" ht="12.5" x14ac:dyDescent="0.25">
      <c r="A693" s="4"/>
      <c r="B693" s="4"/>
      <c r="C693" s="49"/>
      <c r="D693" s="50"/>
      <c r="E693" s="5"/>
      <c r="F693" s="5"/>
      <c r="G693" s="5"/>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spans="1:40" ht="12.5" x14ac:dyDescent="0.25">
      <c r="A694" s="4"/>
      <c r="B694" s="4"/>
      <c r="C694" s="49"/>
      <c r="D694" s="50"/>
      <c r="E694" s="5"/>
      <c r="F694" s="5"/>
      <c r="G694" s="5"/>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spans="1:40" ht="12.5" x14ac:dyDescent="0.25">
      <c r="A695" s="4"/>
      <c r="B695" s="4"/>
      <c r="C695" s="49"/>
      <c r="D695" s="50"/>
      <c r="E695" s="5"/>
      <c r="F695" s="5"/>
      <c r="G695" s="5"/>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spans="1:40" ht="12.5" x14ac:dyDescent="0.25">
      <c r="A696" s="4"/>
      <c r="B696" s="4"/>
      <c r="C696" s="49"/>
      <c r="D696" s="50"/>
      <c r="E696" s="5"/>
      <c r="F696" s="5"/>
      <c r="G696" s="5"/>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spans="1:40" ht="12.5" x14ac:dyDescent="0.25">
      <c r="A697" s="4"/>
      <c r="B697" s="4"/>
      <c r="C697" s="49"/>
      <c r="D697" s="50"/>
      <c r="E697" s="5"/>
      <c r="F697" s="5"/>
      <c r="G697" s="5"/>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spans="1:40" ht="12.5" x14ac:dyDescent="0.25">
      <c r="A698" s="4"/>
      <c r="B698" s="4"/>
      <c r="C698" s="49"/>
      <c r="D698" s="50"/>
      <c r="E698" s="5"/>
      <c r="F698" s="5"/>
      <c r="G698" s="5"/>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spans="1:40" ht="12.5" x14ac:dyDescent="0.25">
      <c r="A699" s="4"/>
      <c r="B699" s="4"/>
      <c r="C699" s="49"/>
      <c r="D699" s="50"/>
      <c r="E699" s="5"/>
      <c r="F699" s="5"/>
      <c r="G699" s="5"/>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spans="1:40" ht="12.5" x14ac:dyDescent="0.25">
      <c r="A700" s="4"/>
      <c r="B700" s="4"/>
      <c r="C700" s="49"/>
      <c r="D700" s="50"/>
      <c r="E700" s="5"/>
      <c r="F700" s="5"/>
      <c r="G700" s="5"/>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spans="1:40" ht="12.5" x14ac:dyDescent="0.25">
      <c r="A701" s="4"/>
      <c r="B701" s="4"/>
      <c r="C701" s="49"/>
      <c r="D701" s="50"/>
      <c r="E701" s="5"/>
      <c r="F701" s="5"/>
      <c r="G701" s="5"/>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spans="1:40" ht="12.5" x14ac:dyDescent="0.25">
      <c r="A702" s="4"/>
      <c r="B702" s="4"/>
      <c r="C702" s="49"/>
      <c r="D702" s="50"/>
      <c r="E702" s="5"/>
      <c r="F702" s="5"/>
      <c r="G702" s="5"/>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spans="1:40" ht="12.5" x14ac:dyDescent="0.25">
      <c r="A703" s="4"/>
      <c r="B703" s="4"/>
      <c r="C703" s="49"/>
      <c r="D703" s="50"/>
      <c r="E703" s="5"/>
      <c r="F703" s="5"/>
      <c r="G703" s="5"/>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spans="1:40" ht="12.5" x14ac:dyDescent="0.25">
      <c r="A704" s="4"/>
      <c r="B704" s="4"/>
      <c r="C704" s="49"/>
      <c r="D704" s="50"/>
      <c r="E704" s="5"/>
      <c r="F704" s="5"/>
      <c r="G704" s="5"/>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spans="1:40" ht="12.5" x14ac:dyDescent="0.25">
      <c r="A705" s="4"/>
      <c r="B705" s="4"/>
      <c r="C705" s="49"/>
      <c r="D705" s="50"/>
      <c r="E705" s="5"/>
      <c r="F705" s="5"/>
      <c r="G705" s="5"/>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spans="1:40" ht="12.5" x14ac:dyDescent="0.25">
      <c r="A706" s="4"/>
      <c r="B706" s="4"/>
      <c r="C706" s="49"/>
      <c r="D706" s="50"/>
      <c r="E706" s="5"/>
      <c r="F706" s="5"/>
      <c r="G706" s="5"/>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spans="1:40" ht="12.5" x14ac:dyDescent="0.25">
      <c r="A707" s="4"/>
      <c r="B707" s="4"/>
      <c r="C707" s="49"/>
      <c r="D707" s="50"/>
      <c r="E707" s="5"/>
      <c r="F707" s="5"/>
      <c r="G707" s="5"/>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spans="1:40" ht="12.5" x14ac:dyDescent="0.25">
      <c r="A708" s="4"/>
      <c r="B708" s="4"/>
      <c r="C708" s="49"/>
      <c r="D708" s="50"/>
      <c r="E708" s="5"/>
      <c r="F708" s="5"/>
      <c r="G708" s="5"/>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spans="1:40" ht="12.5" x14ac:dyDescent="0.25">
      <c r="A709" s="4"/>
      <c r="B709" s="4"/>
      <c r="C709" s="49"/>
      <c r="D709" s="50"/>
      <c r="E709" s="5"/>
      <c r="F709" s="5"/>
      <c r="G709" s="5"/>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spans="1:40" ht="12.5" x14ac:dyDescent="0.25">
      <c r="A710" s="4"/>
      <c r="B710" s="4"/>
      <c r="C710" s="49"/>
      <c r="D710" s="50"/>
      <c r="E710" s="5"/>
      <c r="F710" s="5"/>
      <c r="G710" s="5"/>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spans="1:40" ht="12.5" x14ac:dyDescent="0.25">
      <c r="A711" s="4"/>
      <c r="B711" s="4"/>
      <c r="C711" s="49"/>
      <c r="D711" s="50"/>
      <c r="E711" s="5"/>
      <c r="F711" s="5"/>
      <c r="G711" s="5"/>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spans="1:40" ht="12.5" x14ac:dyDescent="0.25">
      <c r="A712" s="4"/>
      <c r="B712" s="4"/>
      <c r="C712" s="49"/>
      <c r="D712" s="50"/>
      <c r="E712" s="5"/>
      <c r="F712" s="5"/>
      <c r="G712" s="5"/>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spans="1:40" ht="12.5" x14ac:dyDescent="0.25">
      <c r="A713" s="4"/>
      <c r="B713" s="4"/>
      <c r="C713" s="49"/>
      <c r="D713" s="50"/>
      <c r="E713" s="5"/>
      <c r="F713" s="5"/>
      <c r="G713" s="5"/>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spans="1:40" ht="12.5" x14ac:dyDescent="0.25">
      <c r="A714" s="4"/>
      <c r="B714" s="4"/>
      <c r="C714" s="49"/>
      <c r="D714" s="50"/>
      <c r="E714" s="5"/>
      <c r="F714" s="5"/>
      <c r="G714" s="5"/>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spans="1:40" ht="12.5" x14ac:dyDescent="0.25">
      <c r="A715" s="4"/>
      <c r="B715" s="4"/>
      <c r="C715" s="49"/>
      <c r="D715" s="50"/>
      <c r="E715" s="5"/>
      <c r="F715" s="5"/>
      <c r="G715" s="5"/>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spans="1:40" ht="12.5" x14ac:dyDescent="0.25">
      <c r="A716" s="4"/>
      <c r="B716" s="4"/>
      <c r="C716" s="49"/>
      <c r="D716" s="50"/>
      <c r="E716" s="5"/>
      <c r="F716" s="5"/>
      <c r="G716" s="5"/>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spans="1:40" ht="12.5" x14ac:dyDescent="0.25">
      <c r="A717" s="4"/>
      <c r="B717" s="4"/>
      <c r="C717" s="49"/>
      <c r="D717" s="50"/>
      <c r="E717" s="5"/>
      <c r="F717" s="5"/>
      <c r="G717" s="5"/>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spans="1:40" ht="12.5" x14ac:dyDescent="0.25">
      <c r="A718" s="4"/>
      <c r="B718" s="4"/>
      <c r="C718" s="49"/>
      <c r="D718" s="50"/>
      <c r="E718" s="5"/>
      <c r="F718" s="5"/>
      <c r="G718" s="5"/>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spans="1:40" ht="12.5" x14ac:dyDescent="0.25">
      <c r="A719" s="4"/>
      <c r="B719" s="4"/>
      <c r="C719" s="49"/>
      <c r="D719" s="50"/>
      <c r="E719" s="5"/>
      <c r="F719" s="5"/>
      <c r="G719" s="5"/>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spans="1:40" ht="12.5" x14ac:dyDescent="0.25">
      <c r="A720" s="4"/>
      <c r="B720" s="4"/>
      <c r="C720" s="49"/>
      <c r="D720" s="50"/>
      <c r="E720" s="5"/>
      <c r="F720" s="5"/>
      <c r="G720" s="5"/>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spans="1:40" ht="12.5" x14ac:dyDescent="0.25">
      <c r="A721" s="4"/>
      <c r="B721" s="4"/>
      <c r="C721" s="49"/>
      <c r="D721" s="50"/>
      <c r="E721" s="5"/>
      <c r="F721" s="5"/>
      <c r="G721" s="5"/>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spans="1:40" ht="12.5" x14ac:dyDescent="0.25">
      <c r="A722" s="4"/>
      <c r="B722" s="4"/>
      <c r="C722" s="49"/>
      <c r="D722" s="50"/>
      <c r="E722" s="5"/>
      <c r="F722" s="5"/>
      <c r="G722" s="5"/>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spans="1:40" ht="12.5" x14ac:dyDescent="0.25">
      <c r="A723" s="4"/>
      <c r="B723" s="4"/>
      <c r="C723" s="49"/>
      <c r="D723" s="50"/>
      <c r="E723" s="5"/>
      <c r="F723" s="5"/>
      <c r="G723" s="5"/>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spans="1:40" ht="12.5" x14ac:dyDescent="0.25">
      <c r="A724" s="4"/>
      <c r="B724" s="4"/>
      <c r="C724" s="49"/>
      <c r="D724" s="50"/>
      <c r="E724" s="5"/>
      <c r="F724" s="5"/>
      <c r="G724" s="5"/>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spans="1:40" ht="12.5" x14ac:dyDescent="0.25">
      <c r="A725" s="4"/>
      <c r="B725" s="4"/>
      <c r="C725" s="49"/>
      <c r="D725" s="50"/>
      <c r="E725" s="5"/>
      <c r="F725" s="5"/>
      <c r="G725" s="5"/>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spans="1:40" ht="12.5" x14ac:dyDescent="0.25">
      <c r="A726" s="4"/>
      <c r="B726" s="4"/>
      <c r="C726" s="49"/>
      <c r="D726" s="50"/>
      <c r="E726" s="5"/>
      <c r="F726" s="5"/>
      <c r="G726" s="5"/>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spans="1:40" ht="12.5" x14ac:dyDescent="0.25">
      <c r="A727" s="4"/>
      <c r="B727" s="4"/>
      <c r="C727" s="49"/>
      <c r="D727" s="50"/>
      <c r="E727" s="5"/>
      <c r="F727" s="5"/>
      <c r="G727" s="5"/>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spans="1:40" ht="12.5" x14ac:dyDescent="0.25">
      <c r="A728" s="4"/>
      <c r="B728" s="4"/>
      <c r="C728" s="49"/>
      <c r="D728" s="50"/>
      <c r="E728" s="5"/>
      <c r="F728" s="5"/>
      <c r="G728" s="5"/>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spans="1:40" ht="12.5" x14ac:dyDescent="0.25">
      <c r="A729" s="4"/>
      <c r="B729" s="4"/>
      <c r="C729" s="49"/>
      <c r="D729" s="50"/>
      <c r="E729" s="5"/>
      <c r="F729" s="5"/>
      <c r="G729" s="5"/>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spans="1:40" ht="12.5" x14ac:dyDescent="0.25">
      <c r="A730" s="4"/>
      <c r="B730" s="4"/>
      <c r="C730" s="49"/>
      <c r="D730" s="50"/>
      <c r="E730" s="5"/>
      <c r="F730" s="5"/>
      <c r="G730" s="5"/>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spans="1:40" ht="12.5" x14ac:dyDescent="0.25">
      <c r="A731" s="4"/>
      <c r="B731" s="4"/>
      <c r="C731" s="49"/>
      <c r="D731" s="50"/>
      <c r="E731" s="5"/>
      <c r="F731" s="5"/>
      <c r="G731" s="5"/>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spans="1:40" ht="12.5" x14ac:dyDescent="0.25">
      <c r="A732" s="4"/>
      <c r="B732" s="4"/>
      <c r="C732" s="49"/>
      <c r="D732" s="50"/>
      <c r="E732" s="5"/>
      <c r="F732" s="5"/>
      <c r="G732" s="5"/>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spans="1:40" ht="12.5" x14ac:dyDescent="0.25">
      <c r="A733" s="4"/>
      <c r="B733" s="4"/>
      <c r="C733" s="49"/>
      <c r="D733" s="50"/>
      <c r="E733" s="5"/>
      <c r="F733" s="5"/>
      <c r="G733" s="5"/>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spans="1:40" ht="12.5" x14ac:dyDescent="0.25">
      <c r="A734" s="4"/>
      <c r="B734" s="4"/>
      <c r="C734" s="49"/>
      <c r="D734" s="50"/>
      <c r="E734" s="5"/>
      <c r="F734" s="5"/>
      <c r="G734" s="5"/>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spans="1:40" ht="12.5" x14ac:dyDescent="0.25">
      <c r="A735" s="4"/>
      <c r="B735" s="4"/>
      <c r="C735" s="49"/>
      <c r="D735" s="50"/>
      <c r="E735" s="5"/>
      <c r="F735" s="5"/>
      <c r="G735" s="5"/>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spans="1:40" ht="12.5" x14ac:dyDescent="0.25">
      <c r="A736" s="4"/>
      <c r="B736" s="4"/>
      <c r="C736" s="49"/>
      <c r="D736" s="50"/>
      <c r="E736" s="5"/>
      <c r="F736" s="5"/>
      <c r="G736" s="5"/>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spans="1:40" ht="12.5" x14ac:dyDescent="0.25">
      <c r="A737" s="4"/>
      <c r="B737" s="4"/>
      <c r="C737" s="49"/>
      <c r="D737" s="50"/>
      <c r="E737" s="5"/>
      <c r="F737" s="5"/>
      <c r="G737" s="5"/>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spans="1:40" ht="12.5" x14ac:dyDescent="0.25">
      <c r="A738" s="4"/>
      <c r="B738" s="4"/>
      <c r="C738" s="49"/>
      <c r="D738" s="50"/>
      <c r="E738" s="5"/>
      <c r="F738" s="5"/>
      <c r="G738" s="5"/>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spans="1:40" ht="12.5" x14ac:dyDescent="0.25">
      <c r="A739" s="4"/>
      <c r="B739" s="4"/>
      <c r="C739" s="49"/>
      <c r="D739" s="50"/>
      <c r="E739" s="5"/>
      <c r="F739" s="5"/>
      <c r="G739" s="5"/>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spans="1:40" ht="12.5" x14ac:dyDescent="0.25">
      <c r="A740" s="4"/>
      <c r="B740" s="4"/>
      <c r="C740" s="49"/>
      <c r="D740" s="50"/>
      <c r="E740" s="5"/>
      <c r="F740" s="5"/>
      <c r="G740" s="5"/>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spans="1:40" ht="12.5" x14ac:dyDescent="0.25">
      <c r="A741" s="4"/>
      <c r="B741" s="4"/>
      <c r="C741" s="49"/>
      <c r="D741" s="50"/>
      <c r="E741" s="5"/>
      <c r="F741" s="5"/>
      <c r="G741" s="5"/>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spans="1:40" ht="12.5" x14ac:dyDescent="0.25">
      <c r="A742" s="4"/>
      <c r="B742" s="4"/>
      <c r="C742" s="49"/>
      <c r="D742" s="50"/>
      <c r="E742" s="5"/>
      <c r="F742" s="5"/>
      <c r="G742" s="5"/>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spans="1:40" ht="12.5" x14ac:dyDescent="0.25">
      <c r="A743" s="4"/>
      <c r="B743" s="4"/>
      <c r="C743" s="49"/>
      <c r="D743" s="50"/>
      <c r="E743" s="5"/>
      <c r="F743" s="5"/>
      <c r="G743" s="5"/>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spans="1:40" ht="12.5" x14ac:dyDescent="0.25">
      <c r="A744" s="4"/>
      <c r="B744" s="4"/>
      <c r="C744" s="49"/>
      <c r="D744" s="50"/>
      <c r="E744" s="5"/>
      <c r="F744" s="5"/>
      <c r="G744" s="5"/>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spans="1:40" ht="12.5" x14ac:dyDescent="0.25">
      <c r="A745" s="4"/>
      <c r="B745" s="4"/>
      <c r="C745" s="49"/>
      <c r="D745" s="50"/>
      <c r="E745" s="5"/>
      <c r="F745" s="5"/>
      <c r="G745" s="5"/>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spans="1:40" ht="12.5" x14ac:dyDescent="0.25">
      <c r="A746" s="4"/>
      <c r="B746" s="4"/>
      <c r="C746" s="49"/>
      <c r="D746" s="50"/>
      <c r="E746" s="5"/>
      <c r="F746" s="5"/>
      <c r="G746" s="5"/>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spans="1:40" ht="12.5" x14ac:dyDescent="0.25">
      <c r="A747" s="4"/>
      <c r="B747" s="4"/>
      <c r="C747" s="49"/>
      <c r="D747" s="50"/>
      <c r="E747" s="5"/>
      <c r="F747" s="5"/>
      <c r="G747" s="5"/>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spans="1:40" ht="12.5" x14ac:dyDescent="0.25">
      <c r="A748" s="4"/>
      <c r="B748" s="4"/>
      <c r="C748" s="49"/>
      <c r="D748" s="50"/>
      <c r="E748" s="5"/>
      <c r="F748" s="5"/>
      <c r="G748" s="5"/>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spans="1:40" ht="12.5" x14ac:dyDescent="0.25">
      <c r="A749" s="4"/>
      <c r="B749" s="4"/>
      <c r="C749" s="49"/>
      <c r="D749" s="50"/>
      <c r="E749" s="5"/>
      <c r="F749" s="5"/>
      <c r="G749" s="5"/>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spans="1:40" ht="12.5" x14ac:dyDescent="0.25">
      <c r="A750" s="4"/>
      <c r="B750" s="4"/>
      <c r="C750" s="49"/>
      <c r="D750" s="50"/>
      <c r="E750" s="5"/>
      <c r="F750" s="5"/>
      <c r="G750" s="5"/>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spans="1:40" ht="12.5" x14ac:dyDescent="0.25">
      <c r="A751" s="4"/>
      <c r="B751" s="4"/>
      <c r="C751" s="49"/>
      <c r="D751" s="50"/>
      <c r="E751" s="5"/>
      <c r="F751" s="5"/>
      <c r="G751" s="5"/>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spans="1:40" ht="12.5" x14ac:dyDescent="0.25">
      <c r="A752" s="4"/>
      <c r="B752" s="4"/>
      <c r="C752" s="49"/>
      <c r="D752" s="50"/>
      <c r="E752" s="5"/>
      <c r="F752" s="5"/>
      <c r="G752" s="5"/>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spans="1:40" ht="12.5" x14ac:dyDescent="0.25">
      <c r="A753" s="4"/>
      <c r="B753" s="4"/>
      <c r="C753" s="49"/>
      <c r="D753" s="50"/>
      <c r="E753" s="5"/>
      <c r="F753" s="5"/>
      <c r="G753" s="5"/>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spans="1:40" ht="12.5" x14ac:dyDescent="0.25">
      <c r="A754" s="4"/>
      <c r="B754" s="4"/>
      <c r="C754" s="49"/>
      <c r="D754" s="50"/>
      <c r="E754" s="5"/>
      <c r="F754" s="5"/>
      <c r="G754" s="5"/>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spans="1:40" ht="12.5" x14ac:dyDescent="0.25">
      <c r="A755" s="4"/>
      <c r="B755" s="4"/>
      <c r="C755" s="49"/>
      <c r="D755" s="50"/>
      <c r="E755" s="5"/>
      <c r="F755" s="5"/>
      <c r="G755" s="5"/>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spans="1:40" ht="12.5" x14ac:dyDescent="0.25">
      <c r="A756" s="4"/>
      <c r="B756" s="4"/>
      <c r="C756" s="49"/>
      <c r="D756" s="50"/>
      <c r="E756" s="5"/>
      <c r="F756" s="5"/>
      <c r="G756" s="5"/>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spans="1:40" ht="12.5" x14ac:dyDescent="0.25">
      <c r="A757" s="4"/>
      <c r="B757" s="4"/>
      <c r="C757" s="49"/>
      <c r="D757" s="50"/>
      <c r="E757" s="5"/>
      <c r="F757" s="5"/>
      <c r="G757" s="5"/>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spans="1:40" ht="12.5" x14ac:dyDescent="0.25">
      <c r="A758" s="4"/>
      <c r="B758" s="4"/>
      <c r="C758" s="49"/>
      <c r="D758" s="50"/>
      <c r="E758" s="5"/>
      <c r="F758" s="5"/>
      <c r="G758" s="5"/>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spans="1:40" ht="12.5" x14ac:dyDescent="0.25">
      <c r="A759" s="4"/>
      <c r="B759" s="4"/>
      <c r="C759" s="49"/>
      <c r="D759" s="50"/>
      <c r="E759" s="5"/>
      <c r="F759" s="5"/>
      <c r="G759" s="5"/>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spans="1:40" ht="12.5" x14ac:dyDescent="0.25">
      <c r="A760" s="4"/>
      <c r="B760" s="4"/>
      <c r="C760" s="49"/>
      <c r="D760" s="50"/>
      <c r="E760" s="5"/>
      <c r="F760" s="5"/>
      <c r="G760" s="5"/>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spans="1:40" ht="12.5" x14ac:dyDescent="0.25">
      <c r="A761" s="4"/>
      <c r="B761" s="4"/>
      <c r="C761" s="49"/>
      <c r="D761" s="50"/>
      <c r="E761" s="5"/>
      <c r="F761" s="5"/>
      <c r="G761" s="5"/>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spans="1:40" ht="12.5" x14ac:dyDescent="0.25">
      <c r="A762" s="4"/>
      <c r="B762" s="4"/>
      <c r="C762" s="49"/>
      <c r="D762" s="50"/>
      <c r="E762" s="5"/>
      <c r="F762" s="5"/>
      <c r="G762" s="5"/>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spans="1:40" ht="12.5" x14ac:dyDescent="0.25">
      <c r="A763" s="4"/>
      <c r="B763" s="4"/>
      <c r="C763" s="49"/>
      <c r="D763" s="50"/>
      <c r="E763" s="5"/>
      <c r="F763" s="5"/>
      <c r="G763" s="5"/>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spans="1:40" ht="12.5" x14ac:dyDescent="0.25">
      <c r="A764" s="4"/>
      <c r="B764" s="4"/>
      <c r="C764" s="49"/>
      <c r="D764" s="50"/>
      <c r="E764" s="5"/>
      <c r="F764" s="5"/>
      <c r="G764" s="5"/>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spans="1:40" ht="12.5" x14ac:dyDescent="0.25">
      <c r="A765" s="4"/>
      <c r="B765" s="4"/>
      <c r="C765" s="49"/>
      <c r="D765" s="50"/>
      <c r="E765" s="5"/>
      <c r="F765" s="5"/>
      <c r="G765" s="5"/>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spans="1:40" ht="12.5" x14ac:dyDescent="0.25">
      <c r="A766" s="4"/>
      <c r="B766" s="4"/>
      <c r="C766" s="49"/>
      <c r="D766" s="50"/>
      <c r="E766" s="5"/>
      <c r="F766" s="5"/>
      <c r="G766" s="5"/>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spans="1:40" ht="12.5" x14ac:dyDescent="0.25">
      <c r="A767" s="4"/>
      <c r="B767" s="4"/>
      <c r="C767" s="49"/>
      <c r="D767" s="50"/>
      <c r="E767" s="5"/>
      <c r="F767" s="5"/>
      <c r="G767" s="5"/>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spans="1:40" ht="12.5" x14ac:dyDescent="0.25">
      <c r="A768" s="4"/>
      <c r="B768" s="4"/>
      <c r="C768" s="49"/>
      <c r="D768" s="50"/>
      <c r="E768" s="5"/>
      <c r="F768" s="5"/>
      <c r="G768" s="5"/>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spans="1:40" ht="12.5" x14ac:dyDescent="0.25">
      <c r="A769" s="4"/>
      <c r="B769" s="4"/>
      <c r="C769" s="49"/>
      <c r="D769" s="50"/>
      <c r="E769" s="5"/>
      <c r="F769" s="5"/>
      <c r="G769" s="5"/>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spans="1:40" ht="12.5" x14ac:dyDescent="0.25">
      <c r="A770" s="4"/>
      <c r="B770" s="4"/>
      <c r="C770" s="49"/>
      <c r="D770" s="50"/>
      <c r="E770" s="5"/>
      <c r="F770" s="5"/>
      <c r="G770" s="5"/>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spans="1:40" ht="12.5" x14ac:dyDescent="0.25">
      <c r="A771" s="4"/>
      <c r="B771" s="4"/>
      <c r="C771" s="49"/>
      <c r="D771" s="50"/>
      <c r="E771" s="5"/>
      <c r="F771" s="5"/>
      <c r="G771" s="5"/>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spans="1:40" ht="12.5" x14ac:dyDescent="0.25">
      <c r="A772" s="4"/>
      <c r="B772" s="4"/>
      <c r="C772" s="49"/>
      <c r="D772" s="50"/>
      <c r="E772" s="5"/>
      <c r="F772" s="5"/>
      <c r="G772" s="5"/>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spans="1:40" ht="12.5" x14ac:dyDescent="0.25">
      <c r="A773" s="4"/>
      <c r="B773" s="4"/>
      <c r="C773" s="49"/>
      <c r="D773" s="50"/>
      <c r="E773" s="5"/>
      <c r="F773" s="5"/>
      <c r="G773" s="5"/>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spans="1:40" ht="12.5" x14ac:dyDescent="0.25">
      <c r="A774" s="4"/>
      <c r="B774" s="4"/>
      <c r="C774" s="49"/>
      <c r="D774" s="50"/>
      <c r="E774" s="5"/>
      <c r="F774" s="5"/>
      <c r="G774" s="5"/>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spans="1:40" ht="12.5" x14ac:dyDescent="0.25">
      <c r="A775" s="4"/>
      <c r="B775" s="4"/>
      <c r="C775" s="49"/>
      <c r="D775" s="50"/>
      <c r="E775" s="5"/>
      <c r="F775" s="5"/>
      <c r="G775" s="5"/>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spans="1:40" ht="12.5" x14ac:dyDescent="0.25">
      <c r="A776" s="4"/>
      <c r="B776" s="4"/>
      <c r="C776" s="49"/>
      <c r="D776" s="50"/>
      <c r="E776" s="5"/>
      <c r="F776" s="5"/>
      <c r="G776" s="5"/>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spans="1:40" ht="12.5" x14ac:dyDescent="0.25">
      <c r="A777" s="4"/>
      <c r="B777" s="4"/>
      <c r="C777" s="49"/>
      <c r="D777" s="50"/>
      <c r="E777" s="5"/>
      <c r="F777" s="5"/>
      <c r="G777" s="5"/>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spans="1:40" ht="12.5" x14ac:dyDescent="0.25">
      <c r="A778" s="4"/>
      <c r="B778" s="4"/>
      <c r="C778" s="49"/>
      <c r="D778" s="50"/>
      <c r="E778" s="5"/>
      <c r="F778" s="5"/>
      <c r="G778" s="5"/>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spans="1:40" ht="12.5" x14ac:dyDescent="0.25">
      <c r="A779" s="4"/>
      <c r="B779" s="4"/>
      <c r="C779" s="49"/>
      <c r="D779" s="50"/>
      <c r="E779" s="5"/>
      <c r="F779" s="5"/>
      <c r="G779" s="5"/>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spans="1:40" ht="12.5" x14ac:dyDescent="0.25">
      <c r="A780" s="4"/>
      <c r="B780" s="4"/>
      <c r="C780" s="49"/>
      <c r="D780" s="50"/>
      <c r="E780" s="5"/>
      <c r="F780" s="5"/>
      <c r="G780" s="5"/>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spans="1:40" ht="12.5" x14ac:dyDescent="0.25">
      <c r="A781" s="4"/>
      <c r="B781" s="4"/>
      <c r="C781" s="49"/>
      <c r="D781" s="50"/>
      <c r="E781" s="5"/>
      <c r="F781" s="5"/>
      <c r="G781" s="5"/>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spans="1:40" ht="12.5" x14ac:dyDescent="0.25">
      <c r="A782" s="4"/>
      <c r="B782" s="4"/>
      <c r="C782" s="49"/>
      <c r="D782" s="50"/>
      <c r="E782" s="5"/>
      <c r="F782" s="5"/>
      <c r="G782" s="5"/>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spans="1:40" ht="12.5" x14ac:dyDescent="0.25">
      <c r="A783" s="4"/>
      <c r="B783" s="4"/>
      <c r="C783" s="49"/>
      <c r="D783" s="50"/>
      <c r="E783" s="5"/>
      <c r="F783" s="5"/>
      <c r="G783" s="5"/>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spans="1:40" ht="12.5" x14ac:dyDescent="0.25">
      <c r="A784" s="4"/>
      <c r="B784" s="4"/>
      <c r="C784" s="49"/>
      <c r="D784" s="50"/>
      <c r="E784" s="5"/>
      <c r="F784" s="5"/>
      <c r="G784" s="5"/>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spans="1:40" ht="12.5" x14ac:dyDescent="0.25">
      <c r="A785" s="4"/>
      <c r="B785" s="4"/>
      <c r="C785" s="49"/>
      <c r="D785" s="50"/>
      <c r="E785" s="5"/>
      <c r="F785" s="5"/>
      <c r="G785" s="5"/>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spans="1:40" ht="12.5" x14ac:dyDescent="0.25">
      <c r="A786" s="4"/>
      <c r="B786" s="4"/>
      <c r="C786" s="49"/>
      <c r="D786" s="50"/>
      <c r="E786" s="5"/>
      <c r="F786" s="5"/>
      <c r="G786" s="5"/>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spans="1:40" ht="12.5" x14ac:dyDescent="0.25">
      <c r="A787" s="4"/>
      <c r="B787" s="4"/>
      <c r="C787" s="49"/>
      <c r="D787" s="50"/>
      <c r="E787" s="5"/>
      <c r="F787" s="5"/>
      <c r="G787" s="5"/>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spans="1:40" ht="12.5" x14ac:dyDescent="0.25">
      <c r="A788" s="4"/>
      <c r="B788" s="4"/>
      <c r="C788" s="49"/>
      <c r="D788" s="50"/>
      <c r="E788" s="5"/>
      <c r="F788" s="5"/>
      <c r="G788" s="5"/>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spans="1:40" ht="12.5" x14ac:dyDescent="0.25">
      <c r="A789" s="4"/>
      <c r="B789" s="4"/>
      <c r="C789" s="49"/>
      <c r="D789" s="50"/>
      <c r="E789" s="5"/>
      <c r="F789" s="5"/>
      <c r="G789" s="5"/>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spans="1:40" ht="12.5" x14ac:dyDescent="0.25">
      <c r="A790" s="4"/>
      <c r="B790" s="4"/>
      <c r="C790" s="49"/>
      <c r="D790" s="50"/>
      <c r="E790" s="5"/>
      <c r="F790" s="5"/>
      <c r="G790" s="5"/>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spans="1:40" ht="12.5" x14ac:dyDescent="0.25">
      <c r="A791" s="4"/>
      <c r="B791" s="4"/>
      <c r="C791" s="49"/>
      <c r="D791" s="50"/>
      <c r="E791" s="5"/>
      <c r="F791" s="5"/>
      <c r="G791" s="5"/>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spans="1:40" ht="12.5" x14ac:dyDescent="0.25">
      <c r="A792" s="4"/>
      <c r="B792" s="4"/>
      <c r="C792" s="49"/>
      <c r="D792" s="50"/>
      <c r="E792" s="5"/>
      <c r="F792" s="5"/>
      <c r="G792" s="5"/>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spans="1:40" ht="12.5" x14ac:dyDescent="0.25">
      <c r="A793" s="4"/>
      <c r="B793" s="4"/>
      <c r="C793" s="49"/>
      <c r="D793" s="50"/>
      <c r="E793" s="5"/>
      <c r="F793" s="5"/>
      <c r="G793" s="5"/>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spans="1:40" ht="12.5" x14ac:dyDescent="0.25">
      <c r="A794" s="4"/>
      <c r="B794" s="4"/>
      <c r="C794" s="49"/>
      <c r="D794" s="50"/>
      <c r="E794" s="5"/>
      <c r="F794" s="5"/>
      <c r="G794" s="5"/>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spans="1:40" ht="12.5" x14ac:dyDescent="0.25">
      <c r="A795" s="4"/>
      <c r="B795" s="4"/>
      <c r="C795" s="49"/>
      <c r="D795" s="50"/>
      <c r="E795" s="5"/>
      <c r="F795" s="5"/>
      <c r="G795" s="5"/>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spans="1:40" ht="12.5" x14ac:dyDescent="0.25">
      <c r="A796" s="4"/>
      <c r="B796" s="4"/>
      <c r="C796" s="49"/>
      <c r="D796" s="50"/>
      <c r="E796" s="5"/>
      <c r="F796" s="5"/>
      <c r="G796" s="5"/>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spans="1:40" ht="12.5" x14ac:dyDescent="0.25">
      <c r="A797" s="4"/>
      <c r="B797" s="4"/>
      <c r="C797" s="49"/>
      <c r="D797" s="50"/>
      <c r="E797" s="5"/>
      <c r="F797" s="5"/>
      <c r="G797" s="5"/>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spans="1:40" ht="12.5" x14ac:dyDescent="0.25">
      <c r="A798" s="4"/>
      <c r="B798" s="4"/>
      <c r="C798" s="49"/>
      <c r="D798" s="50"/>
      <c r="E798" s="5"/>
      <c r="F798" s="5"/>
      <c r="G798" s="5"/>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spans="1:40" ht="12.5" x14ac:dyDescent="0.25">
      <c r="A799" s="4"/>
      <c r="B799" s="4"/>
      <c r="C799" s="49"/>
      <c r="D799" s="50"/>
      <c r="E799" s="5"/>
      <c r="F799" s="5"/>
      <c r="G799" s="5"/>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spans="1:40" ht="12.5" x14ac:dyDescent="0.25">
      <c r="A800" s="4"/>
      <c r="B800" s="4"/>
      <c r="C800" s="49"/>
      <c r="D800" s="50"/>
      <c r="E800" s="5"/>
      <c r="F800" s="5"/>
      <c r="G800" s="5"/>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spans="1:40" ht="12.5" x14ac:dyDescent="0.25">
      <c r="A801" s="4"/>
      <c r="B801" s="4"/>
      <c r="C801" s="49"/>
      <c r="D801" s="50"/>
      <c r="E801" s="5"/>
      <c r="F801" s="5"/>
      <c r="G801" s="5"/>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spans="1:40" ht="12.5" x14ac:dyDescent="0.25">
      <c r="A802" s="4"/>
      <c r="B802" s="4"/>
      <c r="C802" s="49"/>
      <c r="D802" s="50"/>
      <c r="E802" s="5"/>
      <c r="F802" s="5"/>
      <c r="G802" s="5"/>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spans="1:40" ht="12.5" x14ac:dyDescent="0.25">
      <c r="A803" s="4"/>
      <c r="B803" s="4"/>
      <c r="C803" s="49"/>
      <c r="D803" s="50"/>
      <c r="E803" s="5"/>
      <c r="F803" s="5"/>
      <c r="G803" s="5"/>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spans="1:40" ht="12.5" x14ac:dyDescent="0.25">
      <c r="A804" s="4"/>
      <c r="B804" s="4"/>
      <c r="C804" s="49"/>
      <c r="D804" s="50"/>
      <c r="E804" s="5"/>
      <c r="F804" s="5"/>
      <c r="G804" s="5"/>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spans="1:40" ht="12.5" x14ac:dyDescent="0.25">
      <c r="A805" s="4"/>
      <c r="B805" s="4"/>
      <c r="C805" s="49"/>
      <c r="D805" s="50"/>
      <c r="E805" s="5"/>
      <c r="F805" s="5"/>
      <c r="G805" s="5"/>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spans="1:40" ht="12.5" x14ac:dyDescent="0.25">
      <c r="A806" s="4"/>
      <c r="B806" s="4"/>
      <c r="C806" s="49"/>
      <c r="D806" s="50"/>
      <c r="E806" s="5"/>
      <c r="F806" s="5"/>
      <c r="G806" s="5"/>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spans="1:40" ht="12.5" x14ac:dyDescent="0.25">
      <c r="A807" s="4"/>
      <c r="B807" s="4"/>
      <c r="C807" s="49"/>
      <c r="D807" s="50"/>
      <c r="E807" s="5"/>
      <c r="F807" s="5"/>
      <c r="G807" s="5"/>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spans="1:40" ht="12.5" x14ac:dyDescent="0.25">
      <c r="A808" s="4"/>
      <c r="B808" s="4"/>
      <c r="C808" s="49"/>
      <c r="D808" s="50"/>
      <c r="E808" s="5"/>
      <c r="F808" s="5"/>
      <c r="G808" s="5"/>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spans="1:40" ht="12.5" x14ac:dyDescent="0.25">
      <c r="A809" s="4"/>
      <c r="B809" s="4"/>
      <c r="C809" s="49"/>
      <c r="D809" s="50"/>
      <c r="E809" s="5"/>
      <c r="F809" s="5"/>
      <c r="G809" s="5"/>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spans="1:40" ht="12.5" x14ac:dyDescent="0.25">
      <c r="A810" s="4"/>
      <c r="B810" s="4"/>
      <c r="C810" s="49"/>
      <c r="D810" s="50"/>
      <c r="E810" s="5"/>
      <c r="F810" s="5"/>
      <c r="G810" s="5"/>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spans="1:40" ht="12.5" x14ac:dyDescent="0.25">
      <c r="A811" s="4"/>
      <c r="B811" s="4"/>
      <c r="C811" s="49"/>
      <c r="D811" s="50"/>
      <c r="E811" s="5"/>
      <c r="F811" s="5"/>
      <c r="G811" s="5"/>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spans="1:40" ht="12.5" x14ac:dyDescent="0.25">
      <c r="A812" s="4"/>
      <c r="B812" s="4"/>
      <c r="C812" s="49"/>
      <c r="D812" s="50"/>
      <c r="E812" s="5"/>
      <c r="F812" s="5"/>
      <c r="G812" s="5"/>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spans="1:40" ht="12.5" x14ac:dyDescent="0.25">
      <c r="A813" s="4"/>
      <c r="B813" s="4"/>
      <c r="C813" s="49"/>
      <c r="D813" s="50"/>
      <c r="E813" s="5"/>
      <c r="F813" s="5"/>
      <c r="G813" s="5"/>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spans="1:40" ht="12.5" x14ac:dyDescent="0.25">
      <c r="A814" s="4"/>
      <c r="B814" s="4"/>
      <c r="C814" s="49"/>
      <c r="D814" s="50"/>
      <c r="E814" s="5"/>
      <c r="F814" s="5"/>
      <c r="G814" s="5"/>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spans="1:40" ht="12.5" x14ac:dyDescent="0.25">
      <c r="A815" s="4"/>
      <c r="B815" s="4"/>
      <c r="C815" s="49"/>
      <c r="D815" s="50"/>
      <c r="E815" s="5"/>
      <c r="F815" s="5"/>
      <c r="G815" s="5"/>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spans="1:40" ht="12.5" x14ac:dyDescent="0.25">
      <c r="A816" s="4"/>
      <c r="B816" s="4"/>
      <c r="C816" s="49"/>
      <c r="D816" s="50"/>
      <c r="E816" s="5"/>
      <c r="F816" s="5"/>
      <c r="G816" s="5"/>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spans="1:40" ht="12.5" x14ac:dyDescent="0.25">
      <c r="A817" s="4"/>
      <c r="B817" s="4"/>
      <c r="C817" s="49"/>
      <c r="D817" s="50"/>
      <c r="E817" s="5"/>
      <c r="F817" s="5"/>
      <c r="G817" s="5"/>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spans="1:40" ht="12.5" x14ac:dyDescent="0.25">
      <c r="A818" s="4"/>
      <c r="B818" s="4"/>
      <c r="C818" s="49"/>
      <c r="D818" s="50"/>
      <c r="E818" s="5"/>
      <c r="F818" s="5"/>
      <c r="G818" s="5"/>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spans="1:40" ht="12.5" x14ac:dyDescent="0.25">
      <c r="A819" s="4"/>
      <c r="B819" s="4"/>
      <c r="C819" s="49"/>
      <c r="D819" s="50"/>
      <c r="E819" s="5"/>
      <c r="F819" s="5"/>
      <c r="G819" s="5"/>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spans="1:40" ht="12.5" x14ac:dyDescent="0.25">
      <c r="A820" s="4"/>
      <c r="B820" s="4"/>
      <c r="C820" s="49"/>
      <c r="D820" s="50"/>
      <c r="E820" s="5"/>
      <c r="F820" s="5"/>
      <c r="G820" s="5"/>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spans="1:40" ht="12.5" x14ac:dyDescent="0.25">
      <c r="A821" s="4"/>
      <c r="B821" s="4"/>
      <c r="C821" s="49"/>
      <c r="D821" s="50"/>
      <c r="E821" s="5"/>
      <c r="F821" s="5"/>
      <c r="G821" s="5"/>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spans="1:40" ht="12.5" x14ac:dyDescent="0.25">
      <c r="A822" s="4"/>
      <c r="B822" s="4"/>
      <c r="C822" s="49"/>
      <c r="D822" s="50"/>
      <c r="E822" s="5"/>
      <c r="F822" s="5"/>
      <c r="G822" s="5"/>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spans="1:40" ht="12.5" x14ac:dyDescent="0.25">
      <c r="A823" s="4"/>
      <c r="B823" s="4"/>
      <c r="C823" s="49"/>
      <c r="D823" s="50"/>
      <c r="E823" s="5"/>
      <c r="F823" s="5"/>
      <c r="G823" s="5"/>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spans="1:40" ht="12.5" x14ac:dyDescent="0.25">
      <c r="A824" s="4"/>
      <c r="B824" s="4"/>
      <c r="C824" s="49"/>
      <c r="D824" s="50"/>
      <c r="E824" s="5"/>
      <c r="F824" s="5"/>
      <c r="G824" s="5"/>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spans="1:40" ht="12.5" x14ac:dyDescent="0.25">
      <c r="A825" s="4"/>
      <c r="B825" s="4"/>
      <c r="C825" s="49"/>
      <c r="D825" s="50"/>
      <c r="E825" s="5"/>
      <c r="F825" s="5"/>
      <c r="G825" s="5"/>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spans="1:40" ht="12.5" x14ac:dyDescent="0.25">
      <c r="A826" s="4"/>
      <c r="B826" s="4"/>
      <c r="C826" s="49"/>
      <c r="D826" s="50"/>
      <c r="E826" s="5"/>
      <c r="F826" s="5"/>
      <c r="G826" s="5"/>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spans="1:40" ht="12.5" x14ac:dyDescent="0.25">
      <c r="A827" s="4"/>
      <c r="B827" s="4"/>
      <c r="C827" s="49"/>
      <c r="D827" s="50"/>
      <c r="E827" s="5"/>
      <c r="F827" s="5"/>
      <c r="G827" s="5"/>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spans="1:40" ht="12.5" x14ac:dyDescent="0.25">
      <c r="A828" s="4"/>
      <c r="B828" s="4"/>
      <c r="C828" s="49"/>
      <c r="D828" s="50"/>
      <c r="E828" s="5"/>
      <c r="F828" s="5"/>
      <c r="G828" s="5"/>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spans="1:40" ht="12.5" x14ac:dyDescent="0.25">
      <c r="A829" s="4"/>
      <c r="B829" s="4"/>
      <c r="C829" s="49"/>
      <c r="D829" s="50"/>
      <c r="E829" s="5"/>
      <c r="F829" s="5"/>
      <c r="G829" s="5"/>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spans="1:40" ht="12.5" x14ac:dyDescent="0.25">
      <c r="A830" s="4"/>
      <c r="B830" s="4"/>
      <c r="C830" s="49"/>
      <c r="D830" s="50"/>
      <c r="E830" s="5"/>
      <c r="F830" s="5"/>
      <c r="G830" s="5"/>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spans="1:40" ht="12.5" x14ac:dyDescent="0.25">
      <c r="A831" s="4"/>
      <c r="B831" s="4"/>
      <c r="C831" s="49"/>
      <c r="D831" s="50"/>
      <c r="E831" s="5"/>
      <c r="F831" s="5"/>
      <c r="G831" s="5"/>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spans="1:40" ht="12.5" x14ac:dyDescent="0.25">
      <c r="A832" s="4"/>
      <c r="B832" s="4"/>
      <c r="C832" s="49"/>
      <c r="D832" s="50"/>
      <c r="E832" s="5"/>
      <c r="F832" s="5"/>
      <c r="G832" s="5"/>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spans="1:41" ht="12.5" x14ac:dyDescent="0.25">
      <c r="A833" s="4"/>
      <c r="B833" s="4"/>
      <c r="C833" s="49"/>
      <c r="D833" s="50"/>
      <c r="E833" s="5"/>
      <c r="F833" s="5"/>
      <c r="G833" s="5"/>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spans="1:41" ht="12.5" x14ac:dyDescent="0.25">
      <c r="A834" s="4"/>
      <c r="B834" s="4"/>
      <c r="C834" s="49"/>
      <c r="D834" s="50"/>
      <c r="E834" s="5"/>
      <c r="F834" s="5"/>
      <c r="G834" s="5"/>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spans="1:41" ht="12.5" x14ac:dyDescent="0.25">
      <c r="A835" s="4"/>
      <c r="B835" s="4"/>
      <c r="C835" s="49"/>
      <c r="D835" s="50"/>
      <c r="E835" s="5"/>
      <c r="F835" s="5"/>
      <c r="G835" s="5"/>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spans="1:41" ht="12.5" x14ac:dyDescent="0.25">
      <c r="A836" s="4"/>
      <c r="B836" s="4"/>
      <c r="C836" s="49"/>
      <c r="D836" s="50"/>
      <c r="E836" s="5"/>
      <c r="F836" s="5"/>
      <c r="G836" s="5"/>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spans="1:41" ht="12.5" x14ac:dyDescent="0.25">
      <c r="A837" s="4"/>
      <c r="B837" s="4"/>
      <c r="C837" s="49"/>
      <c r="D837" s="50"/>
      <c r="E837" s="5"/>
      <c r="F837" s="5"/>
      <c r="G837" s="5"/>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spans="1:41" ht="12.5" x14ac:dyDescent="0.25">
      <c r="A838" s="4"/>
      <c r="B838" s="4"/>
      <c r="C838" s="49"/>
      <c r="D838" s="50"/>
      <c r="E838" s="5"/>
      <c r="F838" s="5"/>
      <c r="G838" s="5"/>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spans="1:41" ht="12.5" x14ac:dyDescent="0.25">
      <c r="A839" s="4"/>
      <c r="B839" s="4"/>
      <c r="C839" s="49"/>
      <c r="D839" s="50"/>
      <c r="E839" s="5"/>
      <c r="F839" s="5"/>
      <c r="G839" s="5"/>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spans="1:41" ht="12.5" x14ac:dyDescent="0.25">
      <c r="A840" s="4"/>
      <c r="B840" s="4"/>
      <c r="C840" s="49"/>
      <c r="D840" s="50"/>
      <c r="E840" s="5"/>
      <c r="F840" s="5"/>
      <c r="G840" s="5"/>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spans="1:41" ht="12.5" x14ac:dyDescent="0.25">
      <c r="A841" s="4"/>
      <c r="B841" s="4"/>
      <c r="C841" s="49"/>
      <c r="D841" s="50"/>
      <c r="E841" s="5"/>
      <c r="F841" s="5"/>
      <c r="G841" s="5"/>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spans="1:41" ht="12.5" x14ac:dyDescent="0.25">
      <c r="A842" s="4"/>
      <c r="B842" s="4"/>
      <c r="C842" s="49"/>
      <c r="D842" s="50"/>
      <c r="E842" s="5"/>
      <c r="F842" s="5"/>
      <c r="G842" s="5"/>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spans="1:41" ht="12.5" x14ac:dyDescent="0.25">
      <c r="A843" s="4"/>
      <c r="B843" s="4"/>
      <c r="C843" s="49"/>
      <c r="D843" s="50"/>
      <c r="E843" s="5"/>
      <c r="F843" s="5"/>
      <c r="G843" s="5"/>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spans="1:41" ht="12.5" x14ac:dyDescent="0.25">
      <c r="A844" s="4"/>
      <c r="B844" s="4"/>
      <c r="C844" s="49"/>
      <c r="D844" s="50"/>
      <c r="E844" s="5"/>
      <c r="F844" s="5"/>
      <c r="G844" s="5"/>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row>
    <row r="845" spans="1:41" ht="12.5" x14ac:dyDescent="0.25">
      <c r="A845" s="4"/>
      <c r="B845" s="4"/>
      <c r="C845" s="49"/>
      <c r="D845" s="50"/>
      <c r="E845" s="5"/>
      <c r="F845" s="5"/>
      <c r="G845" s="5"/>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row>
    <row r="846" spans="1:41" ht="12.5" x14ac:dyDescent="0.25">
      <c r="A846" s="4"/>
      <c r="B846" s="4"/>
      <c r="C846" s="49"/>
      <c r="D846" s="50"/>
      <c r="E846" s="5"/>
      <c r="F846" s="5"/>
      <c r="G846" s="5"/>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row>
    <row r="847" spans="1:41" ht="12.5" x14ac:dyDescent="0.25">
      <c r="A847" s="4"/>
      <c r="B847" s="4"/>
      <c r="C847" s="49"/>
      <c r="D847" s="50"/>
      <c r="E847" s="5"/>
      <c r="F847" s="5"/>
      <c r="G847" s="5"/>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row>
    <row r="848" spans="1:41" ht="12.5" x14ac:dyDescent="0.25">
      <c r="A848" s="4"/>
      <c r="B848" s="4"/>
      <c r="C848" s="49"/>
      <c r="D848" s="50"/>
      <c r="E848" s="5"/>
      <c r="F848" s="5"/>
      <c r="G848" s="5"/>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row>
    <row r="849" spans="1:41" ht="12.5" x14ac:dyDescent="0.25">
      <c r="A849" s="4"/>
      <c r="B849" s="4"/>
      <c r="C849" s="49"/>
      <c r="D849" s="50"/>
      <c r="E849" s="5"/>
      <c r="F849" s="5"/>
      <c r="G849" s="5"/>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row>
    <row r="850" spans="1:41" ht="12.5" x14ac:dyDescent="0.25">
      <c r="A850" s="4"/>
      <c r="B850" s="4"/>
      <c r="C850" s="49"/>
      <c r="D850" s="50"/>
      <c r="E850" s="5"/>
      <c r="F850" s="5"/>
      <c r="G850" s="5"/>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row>
    <row r="851" spans="1:41" ht="12.5" x14ac:dyDescent="0.25">
      <c r="A851" s="4"/>
      <c r="B851" s="4"/>
      <c r="C851" s="49"/>
      <c r="D851" s="50"/>
      <c r="E851" s="5"/>
      <c r="F851" s="5"/>
      <c r="G851" s="5"/>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row>
    <row r="852" spans="1:41" ht="12.5" x14ac:dyDescent="0.25">
      <c r="A852" s="4"/>
      <c r="B852" s="4"/>
      <c r="C852" s="49"/>
      <c r="D852" s="50"/>
      <c r="E852" s="5"/>
      <c r="F852" s="5"/>
      <c r="G852" s="5"/>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row>
    <row r="853" spans="1:41" ht="12.5" x14ac:dyDescent="0.25">
      <c r="A853" s="4"/>
      <c r="B853" s="4"/>
      <c r="C853" s="49"/>
      <c r="D853" s="50"/>
      <c r="E853" s="5"/>
      <c r="F853" s="5"/>
      <c r="G853" s="5"/>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row>
    <row r="854" spans="1:41" ht="12.5" x14ac:dyDescent="0.25">
      <c r="A854" s="4"/>
      <c r="B854" s="4"/>
      <c r="C854" s="49"/>
      <c r="D854" s="50"/>
      <c r="E854" s="5"/>
      <c r="F854" s="5"/>
      <c r="G854" s="5"/>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row>
    <row r="855" spans="1:41" ht="12.5" x14ac:dyDescent="0.25">
      <c r="A855" s="4"/>
      <c r="B855" s="4"/>
      <c r="C855" s="49"/>
      <c r="D855" s="50"/>
      <c r="E855" s="5"/>
      <c r="F855" s="5"/>
      <c r="G855" s="5"/>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row>
    <row r="856" spans="1:41" ht="12.5" x14ac:dyDescent="0.25">
      <c r="A856" s="4"/>
      <c r="B856" s="4"/>
      <c r="C856" s="49"/>
      <c r="D856" s="50"/>
      <c r="E856" s="5"/>
      <c r="F856" s="5"/>
      <c r="G856" s="5"/>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row>
    <row r="857" spans="1:41" ht="12.5" x14ac:dyDescent="0.25">
      <c r="A857" s="4"/>
      <c r="B857" s="4"/>
      <c r="C857" s="49"/>
      <c r="D857" s="50"/>
      <c r="E857" s="5"/>
      <c r="F857" s="5"/>
      <c r="G857" s="5"/>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row>
    <row r="858" spans="1:41" ht="12.5" x14ac:dyDescent="0.25">
      <c r="A858" s="4"/>
      <c r="B858" s="4"/>
      <c r="C858" s="49"/>
      <c r="D858" s="50"/>
      <c r="E858" s="5"/>
      <c r="F858" s="5"/>
      <c r="G858" s="5"/>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row>
    <row r="859" spans="1:41" ht="12.5" x14ac:dyDescent="0.25">
      <c r="A859" s="4"/>
      <c r="B859" s="4"/>
      <c r="C859" s="49"/>
      <c r="D859" s="50"/>
      <c r="E859" s="5"/>
      <c r="F859" s="5"/>
      <c r="G859" s="5"/>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row>
    <row r="860" spans="1:41" ht="12.5" x14ac:dyDescent="0.25">
      <c r="A860" s="4"/>
      <c r="B860" s="4"/>
      <c r="C860" s="49"/>
      <c r="D860" s="50"/>
      <c r="E860" s="5"/>
      <c r="F860" s="5"/>
      <c r="G860" s="5"/>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row>
    <row r="861" spans="1:41" ht="12.5" x14ac:dyDescent="0.25">
      <c r="A861" s="4"/>
      <c r="B861" s="4"/>
      <c r="C861" s="49"/>
      <c r="D861" s="50"/>
      <c r="E861" s="5"/>
      <c r="F861" s="5"/>
      <c r="G861" s="5"/>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row>
    <row r="862" spans="1:41" ht="12.5" x14ac:dyDescent="0.25">
      <c r="A862" s="4"/>
      <c r="B862" s="4"/>
      <c r="C862" s="49"/>
      <c r="D862" s="50"/>
      <c r="E862" s="5"/>
      <c r="F862" s="5"/>
      <c r="G862" s="5"/>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row>
    <row r="863" spans="1:41" ht="12.5" x14ac:dyDescent="0.25">
      <c r="A863" s="4"/>
      <c r="B863" s="4"/>
      <c r="C863" s="49"/>
      <c r="D863" s="50"/>
      <c r="E863" s="5"/>
      <c r="F863" s="5"/>
      <c r="G863" s="5"/>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row>
    <row r="864" spans="1:41" ht="12.5" x14ac:dyDescent="0.25">
      <c r="A864" s="4"/>
      <c r="B864" s="4"/>
      <c r="C864" s="49"/>
      <c r="D864" s="50"/>
      <c r="E864" s="5"/>
      <c r="F864" s="5"/>
      <c r="G864" s="5"/>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row>
    <row r="865" spans="1:41" ht="12.5" x14ac:dyDescent="0.25">
      <c r="A865" s="4"/>
      <c r="B865" s="4"/>
      <c r="C865" s="49"/>
      <c r="D865" s="50"/>
      <c r="E865" s="5"/>
      <c r="F865" s="5"/>
      <c r="G865" s="5"/>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row>
    <row r="866" spans="1:41" ht="12.5" x14ac:dyDescent="0.25">
      <c r="A866" s="4"/>
      <c r="B866" s="4"/>
      <c r="C866" s="49"/>
      <c r="D866" s="50"/>
      <c r="E866" s="5"/>
      <c r="F866" s="5"/>
      <c r="G866" s="5"/>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row>
    <row r="867" spans="1:41" ht="12.5" x14ac:dyDescent="0.25">
      <c r="A867" s="4"/>
      <c r="B867" s="4"/>
      <c r="C867" s="49"/>
      <c r="D867" s="50"/>
      <c r="E867" s="5"/>
      <c r="F867" s="5"/>
      <c r="G867" s="5"/>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row>
    <row r="868" spans="1:41" ht="12.5" x14ac:dyDescent="0.25">
      <c r="A868" s="4"/>
      <c r="B868" s="4"/>
      <c r="C868" s="49"/>
      <c r="D868" s="50"/>
      <c r="E868" s="5"/>
      <c r="F868" s="5"/>
      <c r="G868" s="5"/>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row>
    <row r="869" spans="1:41" ht="12.5" x14ac:dyDescent="0.25">
      <c r="A869" s="4"/>
      <c r="B869" s="4"/>
      <c r="C869" s="49"/>
      <c r="D869" s="50"/>
      <c r="E869" s="5"/>
      <c r="F869" s="5"/>
      <c r="G869" s="5"/>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row>
    <row r="870" spans="1:41" ht="12.5" x14ac:dyDescent="0.25">
      <c r="A870" s="4"/>
      <c r="B870" s="4"/>
      <c r="C870" s="49"/>
      <c r="D870" s="50"/>
      <c r="E870" s="5"/>
      <c r="F870" s="5"/>
      <c r="G870" s="5"/>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row>
    <row r="871" spans="1:41" ht="12.5" x14ac:dyDescent="0.25">
      <c r="A871" s="4"/>
      <c r="B871" s="4"/>
      <c r="C871" s="49"/>
      <c r="D871" s="50"/>
      <c r="E871" s="5"/>
      <c r="F871" s="5"/>
      <c r="G871" s="5"/>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row>
    <row r="872" spans="1:41" ht="12.5" x14ac:dyDescent="0.25">
      <c r="A872" s="4"/>
      <c r="B872" s="4"/>
      <c r="C872" s="49"/>
      <c r="D872" s="50"/>
      <c r="E872" s="5"/>
      <c r="F872" s="5"/>
      <c r="G872" s="5"/>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row>
    <row r="873" spans="1:41" ht="12.5" x14ac:dyDescent="0.25">
      <c r="A873" s="4"/>
      <c r="B873" s="4"/>
      <c r="C873" s="49"/>
      <c r="D873" s="50"/>
      <c r="E873" s="5"/>
      <c r="F873" s="5"/>
      <c r="G873" s="5"/>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row>
    <row r="874" spans="1:41" ht="12.5" x14ac:dyDescent="0.25">
      <c r="A874" s="4"/>
      <c r="B874" s="4"/>
      <c r="C874" s="49"/>
      <c r="D874" s="50"/>
      <c r="E874" s="5"/>
      <c r="F874" s="5"/>
      <c r="G874" s="5"/>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row>
    <row r="875" spans="1:41" ht="12.5" x14ac:dyDescent="0.25">
      <c r="A875" s="4"/>
      <c r="B875" s="4"/>
      <c r="C875" s="49"/>
      <c r="D875" s="50"/>
      <c r="E875" s="5"/>
      <c r="F875" s="5"/>
      <c r="G875" s="5"/>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row>
    <row r="876" spans="1:41" ht="12.5" x14ac:dyDescent="0.25">
      <c r="A876" s="4"/>
      <c r="B876" s="4"/>
      <c r="C876" s="49"/>
      <c r="D876" s="50"/>
      <c r="E876" s="5"/>
      <c r="F876" s="5"/>
      <c r="G876" s="5"/>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row>
    <row r="877" spans="1:41" ht="12.5" x14ac:dyDescent="0.25">
      <c r="A877" s="4"/>
      <c r="B877" s="4"/>
      <c r="C877" s="49"/>
      <c r="D877" s="50"/>
      <c r="E877" s="5"/>
      <c r="F877" s="5"/>
      <c r="G877" s="5"/>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row>
    <row r="878" spans="1:41" ht="12.5" x14ac:dyDescent="0.25">
      <c r="A878" s="4"/>
      <c r="B878" s="4"/>
      <c r="C878" s="49"/>
      <c r="D878" s="50"/>
      <c r="E878" s="5"/>
      <c r="F878" s="5"/>
      <c r="G878" s="5"/>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row>
    <row r="879" spans="1:41" ht="12.5" x14ac:dyDescent="0.25">
      <c r="A879" s="4"/>
      <c r="B879" s="4"/>
      <c r="C879" s="49"/>
      <c r="D879" s="50"/>
      <c r="E879" s="5"/>
      <c r="F879" s="5"/>
      <c r="G879" s="5"/>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row>
    <row r="880" spans="1:41" ht="12.5" x14ac:dyDescent="0.25">
      <c r="A880" s="4"/>
      <c r="B880" s="4"/>
      <c r="C880" s="49"/>
      <c r="D880" s="50"/>
      <c r="E880" s="5"/>
      <c r="F880" s="5"/>
      <c r="G880" s="5"/>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row>
    <row r="881" spans="1:41" ht="12.5" x14ac:dyDescent="0.25">
      <c r="A881" s="4"/>
      <c r="B881" s="4"/>
      <c r="C881" s="49"/>
      <c r="D881" s="50"/>
      <c r="E881" s="5"/>
      <c r="F881" s="5"/>
      <c r="G881" s="5"/>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row>
    <row r="882" spans="1:41" ht="12.5" x14ac:dyDescent="0.25">
      <c r="A882" s="4"/>
      <c r="B882" s="4"/>
      <c r="C882" s="49"/>
      <c r="D882" s="50"/>
      <c r="E882" s="5"/>
      <c r="F882" s="5"/>
      <c r="G882" s="5"/>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row>
    <row r="883" spans="1:41" ht="12.5" x14ac:dyDescent="0.25">
      <c r="A883" s="4"/>
      <c r="B883" s="4"/>
      <c r="C883" s="49"/>
      <c r="D883" s="50"/>
      <c r="E883" s="5"/>
      <c r="F883" s="5"/>
      <c r="G883" s="5"/>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row>
    <row r="884" spans="1:41" ht="12.5" x14ac:dyDescent="0.25">
      <c r="A884" s="4"/>
      <c r="B884" s="4"/>
      <c r="C884" s="49"/>
      <c r="D884" s="50"/>
      <c r="E884" s="5"/>
      <c r="F884" s="5"/>
      <c r="G884" s="5"/>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row>
    <row r="885" spans="1:41" ht="12.5" x14ac:dyDescent="0.25">
      <c r="A885" s="4"/>
      <c r="B885" s="4"/>
      <c r="C885" s="49"/>
      <c r="D885" s="50"/>
      <c r="E885" s="5"/>
      <c r="F885" s="5"/>
      <c r="G885" s="5"/>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row>
    <row r="886" spans="1:41" ht="12.5" x14ac:dyDescent="0.25">
      <c r="A886" s="4"/>
      <c r="B886" s="4"/>
      <c r="C886" s="49"/>
      <c r="D886" s="50"/>
      <c r="E886" s="5"/>
      <c r="F886" s="5"/>
      <c r="G886" s="5"/>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row>
    <row r="887" spans="1:41" ht="12.5" x14ac:dyDescent="0.25">
      <c r="A887" s="4"/>
      <c r="B887" s="4"/>
      <c r="C887" s="49"/>
      <c r="D887" s="50"/>
      <c r="E887" s="5"/>
      <c r="F887" s="5"/>
      <c r="G887" s="5"/>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row>
    <row r="888" spans="1:41" ht="12.5" x14ac:dyDescent="0.25">
      <c r="A888" s="4"/>
      <c r="B888" s="4"/>
      <c r="C888" s="49"/>
      <c r="D888" s="50"/>
      <c r="E888" s="5"/>
      <c r="F888" s="5"/>
      <c r="G888" s="5"/>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row>
    <row r="889" spans="1:41" ht="12.5" x14ac:dyDescent="0.25">
      <c r="A889" s="4"/>
      <c r="B889" s="4"/>
      <c r="C889" s="49"/>
      <c r="D889" s="50"/>
      <c r="E889" s="5"/>
      <c r="F889" s="5"/>
      <c r="G889" s="5"/>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row>
    <row r="890" spans="1:41" ht="12.5" x14ac:dyDescent="0.25">
      <c r="A890" s="4"/>
      <c r="B890" s="4"/>
      <c r="C890" s="49"/>
      <c r="D890" s="50"/>
      <c r="E890" s="5"/>
      <c r="F890" s="5"/>
      <c r="G890" s="5"/>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row>
    <row r="891" spans="1:41" ht="12.5" x14ac:dyDescent="0.25">
      <c r="A891" s="4"/>
      <c r="B891" s="4"/>
      <c r="C891" s="49"/>
      <c r="D891" s="50"/>
      <c r="E891" s="5"/>
      <c r="F891" s="5"/>
      <c r="G891" s="5"/>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row>
    <row r="892" spans="1:41" ht="12.5" x14ac:dyDescent="0.25">
      <c r="A892" s="4"/>
      <c r="B892" s="4"/>
      <c r="C892" s="49"/>
      <c r="D892" s="50"/>
      <c r="E892" s="5"/>
      <c r="F892" s="5"/>
      <c r="G892" s="5"/>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row>
    <row r="893" spans="1:41" ht="12.5" x14ac:dyDescent="0.25">
      <c r="A893" s="4"/>
      <c r="B893" s="4"/>
      <c r="C893" s="49"/>
      <c r="D893" s="50"/>
      <c r="E893" s="5"/>
      <c r="F893" s="5"/>
      <c r="G893" s="5"/>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row>
    <row r="894" spans="1:41" ht="12.5" x14ac:dyDescent="0.25">
      <c r="A894" s="4"/>
      <c r="B894" s="4"/>
      <c r="C894" s="49"/>
      <c r="D894" s="50"/>
      <c r="E894" s="5"/>
      <c r="F894" s="5"/>
      <c r="G894" s="5"/>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row>
    <row r="895" spans="1:41" ht="12.5" x14ac:dyDescent="0.25">
      <c r="A895" s="4"/>
      <c r="B895" s="4"/>
      <c r="C895" s="49"/>
      <c r="D895" s="50"/>
      <c r="E895" s="5"/>
      <c r="F895" s="5"/>
      <c r="G895" s="5"/>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row>
    <row r="896" spans="1:41" ht="12.5" x14ac:dyDescent="0.25">
      <c r="A896" s="4"/>
      <c r="B896" s="4"/>
      <c r="C896" s="49"/>
      <c r="D896" s="50"/>
      <c r="E896" s="5"/>
      <c r="F896" s="5"/>
      <c r="G896" s="5"/>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row>
    <row r="897" spans="1:41" ht="12.5" x14ac:dyDescent="0.25">
      <c r="A897" s="4"/>
      <c r="B897" s="4"/>
      <c r="C897" s="49"/>
      <c r="D897" s="50"/>
      <c r="E897" s="5"/>
      <c r="F897" s="5"/>
      <c r="G897" s="5"/>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row>
    <row r="898" spans="1:41" ht="12.5" x14ac:dyDescent="0.25">
      <c r="A898" s="4"/>
      <c r="B898" s="4"/>
      <c r="C898" s="49"/>
      <c r="D898" s="50"/>
      <c r="E898" s="5"/>
      <c r="F898" s="5"/>
      <c r="G898" s="5"/>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row>
    <row r="899" spans="1:41" ht="12.5" x14ac:dyDescent="0.25">
      <c r="A899" s="4"/>
      <c r="B899" s="4"/>
      <c r="C899" s="49"/>
      <c r="D899" s="50"/>
      <c r="E899" s="5"/>
      <c r="F899" s="5"/>
      <c r="G899" s="5"/>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row>
    <row r="900" spans="1:41" ht="12.5" x14ac:dyDescent="0.25">
      <c r="A900" s="4"/>
      <c r="B900" s="4"/>
      <c r="C900" s="49"/>
      <c r="D900" s="50"/>
      <c r="E900" s="5"/>
      <c r="F900" s="5"/>
      <c r="G900" s="5"/>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row>
    <row r="901" spans="1:41" ht="12.5" x14ac:dyDescent="0.25">
      <c r="A901" s="4"/>
      <c r="B901" s="4"/>
      <c r="C901" s="49"/>
      <c r="D901" s="50"/>
      <c r="E901" s="5"/>
      <c r="F901" s="5"/>
      <c r="G901" s="5"/>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row>
    <row r="902" spans="1:41" ht="12.5" x14ac:dyDescent="0.25">
      <c r="A902" s="4"/>
      <c r="B902" s="4"/>
      <c r="C902" s="49"/>
      <c r="D902" s="50"/>
      <c r="E902" s="5"/>
      <c r="F902" s="5"/>
      <c r="G902" s="5"/>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row>
    <row r="903" spans="1:41" ht="12.5" x14ac:dyDescent="0.25">
      <c r="A903" s="4"/>
      <c r="B903" s="4"/>
      <c r="C903" s="49"/>
      <c r="D903" s="50"/>
      <c r="E903" s="5"/>
      <c r="F903" s="5"/>
      <c r="G903" s="5"/>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row>
    <row r="904" spans="1:41" ht="12.5" x14ac:dyDescent="0.25">
      <c r="A904" s="4"/>
      <c r="B904" s="4"/>
      <c r="C904" s="49"/>
      <c r="D904" s="50"/>
      <c r="E904" s="5"/>
      <c r="F904" s="5"/>
      <c r="G904" s="5"/>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row>
    <row r="905" spans="1:41" ht="12.5" x14ac:dyDescent="0.25">
      <c r="A905" s="4"/>
      <c r="B905" s="4"/>
      <c r="C905" s="49"/>
      <c r="D905" s="50"/>
      <c r="E905" s="5"/>
      <c r="F905" s="5"/>
      <c r="G905" s="5"/>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row>
    <row r="906" spans="1:41" ht="12.5" x14ac:dyDescent="0.25">
      <c r="A906" s="4"/>
      <c r="B906" s="4"/>
      <c r="C906" s="49"/>
      <c r="D906" s="50"/>
      <c r="E906" s="5"/>
      <c r="F906" s="5"/>
      <c r="G906" s="5"/>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row>
    <row r="907" spans="1:41" ht="12.5" x14ac:dyDescent="0.25">
      <c r="A907" s="4"/>
      <c r="B907" s="4"/>
      <c r="C907" s="49"/>
      <c r="D907" s="50"/>
      <c r="E907" s="5"/>
      <c r="F907" s="5"/>
      <c r="G907" s="5"/>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row>
    <row r="908" spans="1:41" ht="12.5" x14ac:dyDescent="0.25">
      <c r="A908" s="4"/>
      <c r="B908" s="4"/>
      <c r="C908" s="49"/>
      <c r="D908" s="50"/>
      <c r="E908" s="5"/>
      <c r="F908" s="5"/>
      <c r="G908" s="5"/>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row>
    <row r="909" spans="1:41" ht="12.5" x14ac:dyDescent="0.25">
      <c r="A909" s="4"/>
      <c r="B909" s="4"/>
      <c r="C909" s="49"/>
      <c r="D909" s="50"/>
      <c r="E909" s="5"/>
      <c r="F909" s="5"/>
      <c r="G909" s="5"/>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row>
    <row r="910" spans="1:41" ht="12.5" x14ac:dyDescent="0.25">
      <c r="A910" s="4"/>
      <c r="B910" s="4"/>
      <c r="C910" s="49"/>
      <c r="D910" s="50"/>
      <c r="E910" s="5"/>
      <c r="F910" s="5"/>
      <c r="G910" s="5"/>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row>
    <row r="911" spans="1:41" ht="12.5" x14ac:dyDescent="0.25">
      <c r="A911" s="4"/>
      <c r="B911" s="4"/>
      <c r="C911" s="49"/>
      <c r="D911" s="50"/>
      <c r="E911" s="5"/>
      <c r="F911" s="5"/>
      <c r="G911" s="5"/>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row>
    <row r="912" spans="1:41" ht="12.5" x14ac:dyDescent="0.25">
      <c r="A912" s="4"/>
      <c r="B912" s="4"/>
      <c r="C912" s="49"/>
      <c r="D912" s="50"/>
      <c r="E912" s="5"/>
      <c r="F912" s="5"/>
      <c r="G912" s="5"/>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row>
    <row r="913" spans="1:41" ht="12.5" x14ac:dyDescent="0.25">
      <c r="A913" s="4"/>
      <c r="B913" s="4"/>
      <c r="C913" s="49"/>
      <c r="D913" s="50"/>
      <c r="E913" s="5"/>
      <c r="F913" s="5"/>
      <c r="G913" s="5"/>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row>
    <row r="914" spans="1:41" ht="12.5" x14ac:dyDescent="0.25">
      <c r="A914" s="4"/>
      <c r="B914" s="4"/>
      <c r="C914" s="49"/>
      <c r="D914" s="50"/>
      <c r="E914" s="5"/>
      <c r="F914" s="5"/>
      <c r="G914" s="5"/>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row>
    <row r="915" spans="1:41" ht="12.5" x14ac:dyDescent="0.25">
      <c r="A915" s="4"/>
      <c r="B915" s="4"/>
      <c r="C915" s="49"/>
      <c r="D915" s="50"/>
      <c r="E915" s="5"/>
      <c r="F915" s="5"/>
      <c r="G915" s="5"/>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row>
    <row r="916" spans="1:41" ht="12.5" x14ac:dyDescent="0.25">
      <c r="A916" s="4"/>
      <c r="B916" s="4"/>
      <c r="C916" s="49"/>
      <c r="D916" s="50"/>
      <c r="E916" s="5"/>
      <c r="F916" s="5"/>
      <c r="G916" s="5"/>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row>
    <row r="917" spans="1:41" ht="12.5" x14ac:dyDescent="0.25">
      <c r="A917" s="4"/>
      <c r="B917" s="4"/>
      <c r="C917" s="49"/>
      <c r="D917" s="50"/>
      <c r="E917" s="5"/>
      <c r="F917" s="5"/>
      <c r="G917" s="5"/>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row>
    <row r="918" spans="1:41" ht="12.5" x14ac:dyDescent="0.25">
      <c r="A918" s="4"/>
      <c r="B918" s="4"/>
      <c r="C918" s="49"/>
      <c r="D918" s="50"/>
      <c r="E918" s="5"/>
      <c r="F918" s="5"/>
      <c r="G918" s="5"/>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row>
    <row r="919" spans="1:41" ht="12.5" x14ac:dyDescent="0.25">
      <c r="A919" s="4"/>
      <c r="B919" s="4"/>
      <c r="C919" s="49"/>
      <c r="D919" s="50"/>
      <c r="E919" s="5"/>
      <c r="F919" s="5"/>
      <c r="G919" s="5"/>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row>
    <row r="920" spans="1:41" ht="12.5" x14ac:dyDescent="0.25">
      <c r="A920" s="4"/>
      <c r="B920" s="4"/>
      <c r="C920" s="49"/>
      <c r="D920" s="50"/>
      <c r="E920" s="5"/>
      <c r="F920" s="5"/>
      <c r="G920" s="5"/>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row>
    <row r="921" spans="1:41" ht="12.5" x14ac:dyDescent="0.25">
      <c r="A921" s="4"/>
      <c r="B921" s="4"/>
      <c r="C921" s="49"/>
      <c r="D921" s="50"/>
      <c r="E921" s="5"/>
      <c r="F921" s="5"/>
      <c r="G921" s="5"/>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row>
    <row r="922" spans="1:41" ht="12.5" x14ac:dyDescent="0.25">
      <c r="A922" s="4"/>
      <c r="B922" s="4"/>
      <c r="C922" s="49"/>
      <c r="D922" s="50"/>
      <c r="E922" s="5"/>
      <c r="F922" s="5"/>
      <c r="G922" s="5"/>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row>
    <row r="923" spans="1:41" ht="12.5" x14ac:dyDescent="0.25">
      <c r="A923" s="4"/>
      <c r="B923" s="4"/>
      <c r="C923" s="49"/>
      <c r="D923" s="50"/>
      <c r="E923" s="5"/>
      <c r="F923" s="5"/>
      <c r="G923" s="5"/>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row>
    <row r="924" spans="1:41" ht="12.5" x14ac:dyDescent="0.25">
      <c r="A924" s="4"/>
      <c r="B924" s="4"/>
      <c r="C924" s="49"/>
      <c r="D924" s="50"/>
      <c r="E924" s="5"/>
      <c r="F924" s="5"/>
      <c r="G924" s="5"/>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row>
    <row r="925" spans="1:41" ht="12.5" x14ac:dyDescent="0.25">
      <c r="A925" s="4"/>
      <c r="B925" s="4"/>
      <c r="C925" s="49"/>
      <c r="D925" s="50"/>
      <c r="E925" s="5"/>
      <c r="F925" s="5"/>
      <c r="G925" s="5"/>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row>
    <row r="926" spans="1:41" ht="12.5" x14ac:dyDescent="0.25">
      <c r="A926" s="4"/>
      <c r="B926" s="4"/>
      <c r="C926" s="49"/>
      <c r="D926" s="50"/>
      <c r="E926" s="5"/>
      <c r="F926" s="5"/>
      <c r="G926" s="5"/>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row>
    <row r="927" spans="1:41" ht="12.5" x14ac:dyDescent="0.25">
      <c r="A927" s="4"/>
      <c r="B927" s="4"/>
      <c r="C927" s="49"/>
      <c r="D927" s="50"/>
      <c r="E927" s="5"/>
      <c r="F927" s="5"/>
      <c r="G927" s="5"/>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row>
    <row r="928" spans="1:41" ht="12.5" x14ac:dyDescent="0.25">
      <c r="A928" s="4"/>
      <c r="B928" s="4"/>
      <c r="C928" s="49"/>
      <c r="D928" s="50"/>
      <c r="E928" s="5"/>
      <c r="F928" s="5"/>
      <c r="G928" s="5"/>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row>
    <row r="929" spans="1:41" ht="12.5" x14ac:dyDescent="0.25">
      <c r="A929" s="4"/>
      <c r="B929" s="4"/>
      <c r="C929" s="49"/>
      <c r="D929" s="50"/>
      <c r="E929" s="5"/>
      <c r="F929" s="5"/>
      <c r="G929" s="5"/>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row>
    <row r="930" spans="1:41" ht="12.5" x14ac:dyDescent="0.25">
      <c r="A930" s="4"/>
      <c r="B930" s="4"/>
      <c r="C930" s="49"/>
      <c r="D930" s="50"/>
      <c r="E930" s="5"/>
      <c r="F930" s="5"/>
      <c r="G930" s="5"/>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row>
    <row r="931" spans="1:41" ht="12.5" x14ac:dyDescent="0.25">
      <c r="A931" s="4"/>
      <c r="B931" s="4"/>
      <c r="C931" s="49"/>
      <c r="D931" s="50"/>
      <c r="E931" s="5"/>
      <c r="F931" s="5"/>
      <c r="G931" s="5"/>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row>
    <row r="932" spans="1:41" ht="12.5" x14ac:dyDescent="0.25">
      <c r="A932" s="4"/>
      <c r="B932" s="4"/>
      <c r="C932" s="49"/>
      <c r="D932" s="50"/>
      <c r="E932" s="5"/>
      <c r="F932" s="5"/>
      <c r="G932" s="5"/>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row>
    <row r="933" spans="1:41" ht="12.5" x14ac:dyDescent="0.25">
      <c r="A933" s="4"/>
      <c r="B933" s="4"/>
      <c r="C933" s="49"/>
      <c r="D933" s="50"/>
      <c r="E933" s="5"/>
      <c r="F933" s="5"/>
      <c r="G933" s="5"/>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row>
    <row r="934" spans="1:41" ht="12.5" x14ac:dyDescent="0.25">
      <c r="A934" s="4"/>
      <c r="B934" s="4"/>
      <c r="C934" s="49"/>
      <c r="D934" s="50"/>
      <c r="E934" s="5"/>
      <c r="F934" s="5"/>
      <c r="G934" s="5"/>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row>
    <row r="935" spans="1:41" ht="12.5" x14ac:dyDescent="0.25">
      <c r="A935" s="4"/>
      <c r="B935" s="4"/>
      <c r="C935" s="49"/>
      <c r="D935" s="50"/>
      <c r="E935" s="5"/>
      <c r="F935" s="5"/>
      <c r="G935" s="5"/>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row>
    <row r="936" spans="1:41" ht="12.5" x14ac:dyDescent="0.25">
      <c r="A936" s="4"/>
      <c r="B936" s="4"/>
      <c r="C936" s="49"/>
      <c r="D936" s="50"/>
      <c r="E936" s="5"/>
      <c r="F936" s="5"/>
      <c r="G936" s="5"/>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row>
    <row r="937" spans="1:41" ht="12.5" x14ac:dyDescent="0.25">
      <c r="A937" s="4"/>
      <c r="B937" s="4"/>
      <c r="C937" s="49"/>
      <c r="D937" s="50"/>
      <c r="E937" s="5"/>
      <c r="F937" s="5"/>
      <c r="G937" s="5"/>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row>
    <row r="938" spans="1:41" ht="12.5" x14ac:dyDescent="0.25">
      <c r="A938" s="4"/>
      <c r="B938" s="4"/>
      <c r="C938" s="49"/>
      <c r="D938" s="50"/>
      <c r="E938" s="5"/>
      <c r="F938" s="5"/>
      <c r="G938" s="5"/>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row>
    <row r="939" spans="1:41" ht="12.5" x14ac:dyDescent="0.25">
      <c r="A939" s="4"/>
      <c r="B939" s="4"/>
      <c r="C939" s="49"/>
      <c r="D939" s="50"/>
      <c r="E939" s="5"/>
      <c r="F939" s="5"/>
      <c r="G939" s="5"/>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row>
    <row r="940" spans="1:41" ht="12.5" x14ac:dyDescent="0.25">
      <c r="A940" s="4"/>
      <c r="B940" s="4"/>
      <c r="C940" s="49"/>
      <c r="D940" s="50"/>
      <c r="E940" s="5"/>
      <c r="F940" s="5"/>
      <c r="G940" s="5"/>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row>
    <row r="941" spans="1:41" ht="12.5" x14ac:dyDescent="0.25">
      <c r="A941" s="4"/>
      <c r="B941" s="4"/>
      <c r="C941" s="49"/>
      <c r="D941" s="50"/>
      <c r="E941" s="5"/>
      <c r="F941" s="5"/>
      <c r="G941" s="5"/>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row>
    <row r="942" spans="1:41" ht="12.5" x14ac:dyDescent="0.25">
      <c r="A942" s="4"/>
      <c r="B942" s="4"/>
      <c r="C942" s="49"/>
      <c r="D942" s="50"/>
      <c r="E942" s="5"/>
      <c r="F942" s="5"/>
      <c r="G942" s="5"/>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row>
    <row r="943" spans="1:41" ht="12.5" x14ac:dyDescent="0.25">
      <c r="A943" s="4"/>
      <c r="B943" s="4"/>
      <c r="C943" s="49"/>
      <c r="D943" s="50"/>
      <c r="E943" s="5"/>
      <c r="F943" s="5"/>
      <c r="G943" s="5"/>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row>
    <row r="944" spans="1:41" ht="12.5" x14ac:dyDescent="0.25">
      <c r="A944" s="4"/>
      <c r="B944" s="4"/>
      <c r="C944" s="49"/>
      <c r="D944" s="50"/>
      <c r="E944" s="5"/>
      <c r="F944" s="5"/>
      <c r="G944" s="5"/>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row>
    <row r="945" spans="1:41" ht="12.5" x14ac:dyDescent="0.25">
      <c r="A945" s="4"/>
      <c r="B945" s="4"/>
      <c r="C945" s="49"/>
      <c r="D945" s="50"/>
      <c r="E945" s="5"/>
      <c r="F945" s="5"/>
      <c r="G945" s="5"/>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row>
    <row r="946" spans="1:41" ht="12.5" x14ac:dyDescent="0.25">
      <c r="A946" s="4"/>
      <c r="B946" s="4"/>
      <c r="C946" s="49"/>
      <c r="D946" s="50"/>
      <c r="E946" s="5"/>
      <c r="F946" s="5"/>
      <c r="G946" s="5"/>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row>
    <row r="947" spans="1:41" ht="12.5" x14ac:dyDescent="0.25">
      <c r="A947" s="4"/>
      <c r="B947" s="4"/>
      <c r="C947" s="49"/>
      <c r="D947" s="50"/>
      <c r="E947" s="5"/>
      <c r="F947" s="5"/>
      <c r="G947" s="5"/>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row>
    <row r="948" spans="1:41" ht="12.5" x14ac:dyDescent="0.25">
      <c r="A948" s="4"/>
      <c r="B948" s="4"/>
      <c r="C948" s="49"/>
      <c r="D948" s="50"/>
      <c r="E948" s="5"/>
      <c r="F948" s="5"/>
      <c r="G948" s="5"/>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row>
    <row r="949" spans="1:41" ht="12.5" x14ac:dyDescent="0.25">
      <c r="A949" s="4"/>
      <c r="B949" s="4"/>
      <c r="C949" s="49"/>
      <c r="D949" s="50"/>
      <c r="E949" s="5"/>
      <c r="F949" s="5"/>
      <c r="G949" s="5"/>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row>
    <row r="950" spans="1:41" ht="12.5" x14ac:dyDescent="0.25">
      <c r="A950" s="4"/>
      <c r="B950" s="4"/>
      <c r="C950" s="49"/>
      <c r="D950" s="50"/>
      <c r="E950" s="5"/>
      <c r="F950" s="5"/>
      <c r="G950" s="5"/>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row>
    <row r="951" spans="1:41" ht="12.5" x14ac:dyDescent="0.25">
      <c r="A951" s="4"/>
      <c r="B951" s="4"/>
      <c r="C951" s="49"/>
      <c r="D951" s="50"/>
      <c r="E951" s="5"/>
      <c r="F951" s="5"/>
      <c r="G951" s="5"/>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row>
    <row r="952" spans="1:41" ht="12.5" x14ac:dyDescent="0.25">
      <c r="A952" s="4"/>
      <c r="B952" s="4"/>
      <c r="C952" s="49"/>
      <c r="D952" s="50"/>
      <c r="E952" s="5"/>
      <c r="F952" s="5"/>
      <c r="G952" s="5"/>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row>
    <row r="953" spans="1:41" ht="12.5" x14ac:dyDescent="0.25">
      <c r="A953" s="4"/>
      <c r="B953" s="4"/>
      <c r="C953" s="49"/>
      <c r="D953" s="50"/>
      <c r="E953" s="5"/>
      <c r="F953" s="5"/>
      <c r="G953" s="5"/>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row>
    <row r="954" spans="1:41" ht="12.5" x14ac:dyDescent="0.25">
      <c r="A954" s="4"/>
      <c r="B954" s="4"/>
      <c r="C954" s="49"/>
      <c r="D954" s="50"/>
      <c r="E954" s="5"/>
      <c r="F954" s="5"/>
      <c r="G954" s="5"/>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row>
    <row r="955" spans="1:41" ht="12.5" x14ac:dyDescent="0.25">
      <c r="A955" s="4"/>
      <c r="B955" s="4"/>
      <c r="C955" s="49"/>
      <c r="D955" s="50"/>
      <c r="E955" s="5"/>
      <c r="F955" s="5"/>
      <c r="G955" s="5"/>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row>
    <row r="956" spans="1:41" ht="12.5" x14ac:dyDescent="0.25">
      <c r="A956" s="4"/>
      <c r="B956" s="4"/>
      <c r="C956" s="49"/>
      <c r="D956" s="50"/>
      <c r="E956" s="5"/>
      <c r="F956" s="5"/>
      <c r="G956" s="5"/>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row>
    <row r="957" spans="1:41" ht="12.5" x14ac:dyDescent="0.25">
      <c r="A957" s="4"/>
      <c r="B957" s="4"/>
      <c r="C957" s="49"/>
      <c r="D957" s="50"/>
      <c r="E957" s="5"/>
      <c r="F957" s="5"/>
      <c r="G957" s="5"/>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row>
    <row r="958" spans="1:41" ht="12.5" x14ac:dyDescent="0.25">
      <c r="A958" s="4"/>
      <c r="B958" s="4"/>
      <c r="C958" s="49"/>
      <c r="D958" s="50"/>
      <c r="E958" s="5"/>
      <c r="F958" s="5"/>
      <c r="G958" s="5"/>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row>
    <row r="959" spans="1:41" ht="12.5" x14ac:dyDescent="0.25">
      <c r="A959" s="4"/>
      <c r="B959" s="4"/>
      <c r="C959" s="49"/>
      <c r="D959" s="50"/>
      <c r="E959" s="5"/>
      <c r="F959" s="5"/>
      <c r="G959" s="5"/>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row>
    <row r="960" spans="1:41" ht="12.5" x14ac:dyDescent="0.25">
      <c r="A960" s="4"/>
      <c r="B960" s="4"/>
      <c r="C960" s="49"/>
      <c r="D960" s="50"/>
      <c r="E960" s="5"/>
      <c r="F960" s="5"/>
      <c r="G960" s="5"/>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row>
    <row r="961" spans="1:41" ht="12.5" x14ac:dyDescent="0.25">
      <c r="A961" s="4"/>
      <c r="B961" s="4"/>
      <c r="C961" s="49"/>
      <c r="D961" s="50"/>
      <c r="E961" s="5"/>
      <c r="F961" s="5"/>
      <c r="G961" s="5"/>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row>
    <row r="962" spans="1:41" ht="12.5" x14ac:dyDescent="0.25">
      <c r="A962" s="4"/>
      <c r="B962" s="4"/>
      <c r="C962" s="49"/>
      <c r="D962" s="50"/>
      <c r="E962" s="5"/>
      <c r="F962" s="5"/>
      <c r="G962" s="5"/>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row>
    <row r="963" spans="1:41" ht="12.5" x14ac:dyDescent="0.25">
      <c r="A963" s="4"/>
      <c r="B963" s="4"/>
      <c r="C963" s="49"/>
      <c r="D963" s="50"/>
      <c r="E963" s="5"/>
      <c r="F963" s="5"/>
      <c r="G963" s="5"/>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row>
    <row r="964" spans="1:41" ht="12.5" x14ac:dyDescent="0.25">
      <c r="A964" s="4"/>
      <c r="B964" s="4"/>
      <c r="C964" s="49"/>
      <c r="D964" s="50"/>
      <c r="E964" s="5"/>
      <c r="F964" s="5"/>
      <c r="G964" s="5"/>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row>
    <row r="965" spans="1:41" ht="12.5" x14ac:dyDescent="0.25">
      <c r="A965" s="4"/>
      <c r="B965" s="4"/>
      <c r="C965" s="49"/>
      <c r="D965" s="50"/>
      <c r="E965" s="5"/>
      <c r="F965" s="5"/>
      <c r="G965" s="5"/>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row>
    <row r="966" spans="1:41" ht="12.5" x14ac:dyDescent="0.25">
      <c r="A966" s="4"/>
      <c r="B966" s="4"/>
      <c r="C966" s="49"/>
      <c r="D966" s="50"/>
      <c r="E966" s="5"/>
      <c r="F966" s="5"/>
      <c r="G966" s="5"/>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row>
    <row r="967" spans="1:41" ht="12.5" x14ac:dyDescent="0.25">
      <c r="A967" s="4"/>
      <c r="B967" s="4"/>
      <c r="C967" s="49"/>
      <c r="D967" s="50"/>
      <c r="E967" s="5"/>
      <c r="F967" s="5"/>
      <c r="G967" s="5"/>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row>
    <row r="968" spans="1:41" ht="12.5" x14ac:dyDescent="0.25">
      <c r="A968" s="4"/>
      <c r="B968" s="4"/>
      <c r="C968" s="49"/>
      <c r="D968" s="50"/>
      <c r="E968" s="5"/>
      <c r="F968" s="5"/>
      <c r="G968" s="5"/>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row>
    <row r="969" spans="1:41" ht="12.5" x14ac:dyDescent="0.25">
      <c r="A969" s="4"/>
      <c r="B969" s="4"/>
      <c r="C969" s="49"/>
      <c r="D969" s="50"/>
      <c r="E969" s="5"/>
      <c r="F969" s="5"/>
      <c r="G969" s="5"/>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row>
    <row r="970" spans="1:41" ht="12.5" x14ac:dyDescent="0.25">
      <c r="A970" s="4"/>
      <c r="B970" s="4"/>
      <c r="C970" s="49"/>
      <c r="D970" s="50"/>
      <c r="E970" s="5"/>
      <c r="F970" s="5"/>
      <c r="G970" s="5"/>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row>
    <row r="971" spans="1:41" ht="12.5" x14ac:dyDescent="0.25">
      <c r="A971" s="4"/>
      <c r="B971" s="4"/>
      <c r="C971" s="49"/>
      <c r="D971" s="50"/>
      <c r="E971" s="5"/>
      <c r="F971" s="5"/>
      <c r="G971" s="5"/>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row>
    <row r="972" spans="1:41" ht="12.5" x14ac:dyDescent="0.25">
      <c r="A972" s="4"/>
      <c r="B972" s="4"/>
      <c r="C972" s="49"/>
      <c r="D972" s="50"/>
      <c r="E972" s="5"/>
      <c r="F972" s="5"/>
      <c r="G972" s="5"/>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row>
    <row r="973" spans="1:41" ht="12.5" x14ac:dyDescent="0.25">
      <c r="A973" s="4"/>
      <c r="B973" s="4"/>
      <c r="C973" s="49"/>
      <c r="D973" s="50"/>
      <c r="E973" s="5"/>
      <c r="F973" s="5"/>
      <c r="G973" s="5"/>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row>
    <row r="974" spans="1:41" ht="12.5" x14ac:dyDescent="0.25">
      <c r="A974" s="4"/>
      <c r="B974" s="4"/>
      <c r="C974" s="49"/>
      <c r="D974" s="50"/>
      <c r="E974" s="5"/>
      <c r="F974" s="5"/>
      <c r="G974" s="5"/>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row>
    <row r="975" spans="1:41" ht="12.5" x14ac:dyDescent="0.25">
      <c r="A975" s="4"/>
      <c r="B975" s="4"/>
      <c r="C975" s="49"/>
      <c r="D975" s="50"/>
      <c r="E975" s="5"/>
      <c r="F975" s="5"/>
      <c r="G975" s="5"/>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row>
    <row r="976" spans="1:41" ht="12.5" x14ac:dyDescent="0.25">
      <c r="A976" s="4"/>
      <c r="B976" s="4"/>
      <c r="C976" s="49"/>
      <c r="D976" s="50"/>
      <c r="E976" s="5"/>
      <c r="F976" s="5"/>
      <c r="G976" s="5"/>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row>
    <row r="977" spans="1:41" ht="12.5" x14ac:dyDescent="0.25">
      <c r="A977" s="4"/>
      <c r="B977" s="4"/>
      <c r="C977" s="49"/>
      <c r="D977" s="50"/>
      <c r="E977" s="5"/>
      <c r="F977" s="5"/>
      <c r="G977" s="5"/>
      <c r="H977" s="5"/>
      <c r="I977" s="5"/>
      <c r="J977" s="4"/>
      <c r="AA977" s="4"/>
      <c r="AB977" s="4"/>
      <c r="AC977" s="4"/>
      <c r="AD977" s="4"/>
      <c r="AE977" s="4"/>
      <c r="AF977" s="4"/>
      <c r="AG977" s="4"/>
      <c r="AH977" s="4"/>
      <c r="AI977" s="4"/>
      <c r="AJ977" s="4"/>
      <c r="AK977" s="4"/>
      <c r="AL977" s="4"/>
      <c r="AM977" s="4"/>
      <c r="AN977" s="4"/>
      <c r="AO977" s="4"/>
    </row>
  </sheetData>
  <autoFilter ref="B1:B976"/>
  <mergeCells count="61">
    <mergeCell ref="F35:H35"/>
    <mergeCell ref="Y36:AK36"/>
    <mergeCell ref="K36:X36"/>
    <mergeCell ref="F27:H27"/>
    <mergeCell ref="F33:H33"/>
    <mergeCell ref="F28:F32"/>
    <mergeCell ref="F36:F49"/>
    <mergeCell ref="AA1:AO1"/>
    <mergeCell ref="K1:Y1"/>
    <mergeCell ref="F4:H4"/>
    <mergeCell ref="F3:H3"/>
    <mergeCell ref="F34:H34"/>
    <mergeCell ref="F13:F24"/>
    <mergeCell ref="F25:H25"/>
    <mergeCell ref="F10:H10"/>
    <mergeCell ref="F26:H26"/>
    <mergeCell ref="F12:H12"/>
    <mergeCell ref="F11:H11"/>
    <mergeCell ref="K12:V12"/>
    <mergeCell ref="F7:F8"/>
    <mergeCell ref="F2:H2"/>
    <mergeCell ref="C67:C104"/>
    <mergeCell ref="C36:C66"/>
    <mergeCell ref="F125:F132"/>
    <mergeCell ref="E125:E132"/>
    <mergeCell ref="K90:M90"/>
    <mergeCell ref="K97:S97"/>
    <mergeCell ref="K83:T83"/>
    <mergeCell ref="K114:Z114"/>
    <mergeCell ref="L105:M105"/>
    <mergeCell ref="O105:S105"/>
    <mergeCell ref="D105:D139"/>
    <mergeCell ref="C105:C139"/>
    <mergeCell ref="E67:E82"/>
    <mergeCell ref="E50:E62"/>
    <mergeCell ref="F65:F66"/>
    <mergeCell ref="F63:H63"/>
    <mergeCell ref="E13:E24"/>
    <mergeCell ref="D2:D35"/>
    <mergeCell ref="C2:C35"/>
    <mergeCell ref="E7:E8"/>
    <mergeCell ref="E28:E32"/>
    <mergeCell ref="D67:D104"/>
    <mergeCell ref="D36:D66"/>
    <mergeCell ref="E36:E49"/>
    <mergeCell ref="E65:E66"/>
    <mergeCell ref="F50:F62"/>
    <mergeCell ref="E96:E104"/>
    <mergeCell ref="F83:F92"/>
    <mergeCell ref="F96:F104"/>
    <mergeCell ref="F93:F95"/>
    <mergeCell ref="F67:F82"/>
    <mergeCell ref="E134:E138"/>
    <mergeCell ref="E105:E122"/>
    <mergeCell ref="E123:E124"/>
    <mergeCell ref="F139:H139"/>
    <mergeCell ref="E83:E92"/>
    <mergeCell ref="E93:E95"/>
    <mergeCell ref="F105:F122"/>
    <mergeCell ref="F123:F124"/>
    <mergeCell ref="F134:F138"/>
  </mergeCells>
  <conditionalFormatting sqref="U117:U136">
    <cfRule type="expression" dxfId="21" priority="1">
      <formula>IF(AND(L117="Input",Q117="File"),U117="")</formula>
    </cfRule>
  </conditionalFormatting>
  <conditionalFormatting sqref="L108">
    <cfRule type="notContainsBlanks" dxfId="20" priority="2">
      <formula>LEN(TRIM(L108))&gt;0</formula>
    </cfRule>
  </conditionalFormatting>
  <conditionalFormatting sqref="C1">
    <cfRule type="notContainsBlanks" dxfId="19" priority="3">
      <formula>LEN(TRIM(C1))&gt;0</formula>
    </cfRule>
  </conditionalFormatting>
  <dataValidations count="5">
    <dataValidation type="list" allowBlank="1" showInputMessage="1" showErrorMessage="1" prompt="Yes or No" sqref="K15:K19">
      <formula1>"Yes,No"</formula1>
    </dataValidation>
    <dataValidation type="decimal" operator="greaterThanOrEqual" allowBlank="1" showDropDown="1" showErrorMessage="1" sqref="L108:L111 L113">
      <formula1>-1E+179</formula1>
    </dataValidation>
    <dataValidation type="decimal" operator="lessThanOrEqual" allowBlank="1" showDropDown="1" showErrorMessage="1" sqref="L112">
      <formula1>0</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1">
        <x14:dataValidation type="list" allowBlank="1" showErrorMessage="1">
          <x14:formula1>
            <xm:f>Country!$A$2:$A$500</xm:f>
          </x14:formula1>
          <xm:sqref>S4:S9 AI4:AI9 AI39:AI50 I66 M93:M95</xm:sqref>
        </x14:dataValidation>
        <x14:dataValidation type="list" allowBlank="1" showErrorMessage="1">
          <x14:formula1>
            <xm:f>'Sampling point'!$A$2:$A$500</xm:f>
          </x14:formula1>
          <xm:sqref>T86:T88</xm:sqref>
        </x14:dataValidation>
        <x14:dataValidation type="list" allowBlank="1" showErrorMessage="1">
          <x14:formula1>
            <xm:f>'Parameter classification'!$A$2:$A$50</xm:f>
          </x14:formula1>
          <xm:sqref>L123:L136</xm:sqref>
        </x14:dataValidation>
        <x14:dataValidation type="list" allowBlank="1" showErrorMessage="1">
          <x14:formula1>
            <xm:f>'Hazard type'!$A$2:$A$250</xm:f>
          </x14:formula1>
          <xm:sqref>K39:K50</xm:sqref>
        </x14:dataValidation>
        <x14:dataValidation type="list" allowBlank="1" showErrorMessage="1">
          <x14:formula1>
            <xm:f>'Publication Status'!$A$2:$A$11</xm:f>
          </x14:formula1>
          <xm:sqref>T15:T19</xm:sqref>
        </x14:dataValidation>
        <x14:dataValidation type="list" allowBlank="1" showErrorMessage="1">
          <x14:formula1>
            <xm:f>'Parameter data type'!$A$2:$A$50</xm:f>
          </x14:formula1>
          <xm:sqref>Q117:Q121</xm:sqref>
        </x14:dataValidation>
        <x14:dataValidation type="list" allowBlank="1" showErrorMessage="1">
          <x14:formula1>
            <xm:f>'Fitting procedure'!$A$2:$A$100</xm:f>
          </x14:formula1>
          <xm:sqref>I133</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P108:P112</xm:sqref>
        </x14:dataValidation>
        <x14:dataValidation type="list" allowBlank="1" showErrorMessage="1">
          <x14:formula1>
            <xm:f>'Parameter data type'!$A$2:$A$50</xm:f>
          </x14:formula1>
          <xm:sqref>Q123:Q136</xm:sqref>
        </x14:dataValidation>
        <x14:dataValidation type="list" allowBlank="1" showErrorMessage="1">
          <x14:formula1>
            <xm:f>Language!$A$2:$A$35</xm:f>
          </x14:formula1>
          <xm:sqref>I25</xm:sqref>
        </x14:dataValidation>
        <x14:dataValidation type="list" allowBlank="1" showErrorMessage="1">
          <x14:formula1>
            <xm:f>'Sampling method'!$A$2:$A$31</xm:f>
          </x14:formula1>
          <xm:sqref>O86:O88</xm:sqref>
        </x14:dataValidation>
        <x14:dataValidation type="list" allowBlank="1" showErrorMessage="1">
          <x14:formula1>
            <xm:f>'Accreditation procedure for the'!$A$2:$A$100</xm:f>
          </x14:formula1>
          <xm:sqref>I74</xm:sqref>
        </x14:dataValidation>
        <x14:dataValidation type="list" allowBlank="1" showErrorMessage="1">
          <x14:formula1>
            <xm:f>Status!$A$2:$A$4</xm:f>
          </x14:formula1>
          <xm:sqref>I33</xm:sqref>
        </x14:dataValidation>
        <x14:dataValidation type="list" allowBlank="1" showErrorMessage="1">
          <x14:formula1>
            <xm:f>'Hazard ind-sum'!$A$2:$A$18</xm:f>
          </x14:formula1>
          <xm:sqref>X39:X50</xm:sqref>
        </x14:dataValidation>
        <x14:dataValidation type="list" allowBlank="1" showErrorMessage="1">
          <x14:formula1>
            <xm:f>'Basic Process'!$Y$3:$Y$40</xm:f>
          </x14:formula1>
          <xm:sqref>I31</xm:sqref>
        </x14:dataValidation>
        <x14:dataValidation type="list" allowBlank="1" showErrorMessage="1">
          <x14:formula1>
            <xm:f>'type of sampling program'!$A$2:$A$100</xm:f>
          </x14:formula1>
          <xm:sqref>N86:N88</xm:sqref>
        </x14:dataValidation>
        <x14:dataValidation type="list" allowBlank="1" showErrorMessage="1">
          <x14:formula1>
            <xm:f>'Parameter unit'!$A$2:$A$800</xm:f>
          </x14:formula1>
          <xm:sqref>O117:O121</xm:sqref>
        </x14:dataValidation>
        <x14:dataValidation type="list" allowBlank="1" showErrorMessage="1">
          <x14:formula1>
            <xm:f>'Sampling strategy'!$A$2:$A$100</xm:f>
          </x14:formula1>
          <xm:sqref>M86:M88</xm:sqref>
        </x14:dataValidation>
        <x14:dataValidation type="list" allowBlank="1" showErrorMessage="1">
          <x14:formula1>
            <xm:f>'Laboratory accreditation'!$A$2:$A$200</xm:f>
          </x14:formula1>
          <xm:sqref>K93:K95</xm:sqref>
        </x14:dataValidation>
        <x14:dataValidation type="list" allowBlank="1" showErrorMessage="1">
          <x14:formula1>
            <xm:f>Source!$A$2:$A$30</xm:f>
          </x14:formula1>
          <xm:sqref>I3</xm:sqref>
        </x14:dataValidation>
        <x14:dataValidation type="list" allowBlank="1" showErrorMessage="1">
          <x14:formula1>
            <xm:f>'Parameter classification'!$A$2:$A$50</xm:f>
          </x14:formula1>
          <xm:sqref>L117:L121</xm:sqref>
        </x14:dataValidation>
        <x14:dataValidation type="list" allowBlank="1" showErrorMessage="1">
          <x14:formula1>
            <xm:f>'Parameter source'!$A$2:$A$50</xm:f>
          </x14:formula1>
          <xm:sqref>R117:R136</xm:sqref>
        </x14:dataValidation>
        <x14:dataValidation type="list" allowBlank="1" showErrorMessage="1">
          <x14:formula1>
            <xm:f>'Parameter subject'!$A$2:$A$500</xm:f>
          </x14:formula1>
          <xm:sqref>S117:S136</xm:sqref>
        </x14:dataValidation>
        <x14:dataValidation type="list" allowBlank="1" showErrorMessage="1">
          <x14:formula1>
            <xm:f>'Language written in'!$A:$A</xm:f>
          </x14:formula1>
          <xm:sqref>I27</xm:sqref>
        </x14:dataValidation>
        <x14:dataValidation type="list" allowBlank="1" showErrorMessage="1">
          <x14:formula1>
            <xm:f>'Population name'!$A$2:$A$30</xm:f>
          </x14:formula1>
          <xm:sqref>Y39:Y50</xm:sqref>
        </x14:dataValidation>
        <x14:dataValidation type="list" allowBlank="1" showErrorMessage="1">
          <x14:formula1>
            <xm:f>'Model Sub-Class'!$Y$3:$Y$50</xm:f>
          </x14:formula1>
          <xm:sqref>I29</xm:sqref>
        </x14:dataValidation>
        <x14:dataValidation type="list" allowBlank="1" showErrorMessage="1">
          <x14:formula1>
            <xm:f>'Parameter unit'!$A$2:$A$800</xm:f>
          </x14:formula1>
          <xm:sqref>O122:O136</xm:sqref>
        </x14:dataValidation>
        <x14:dataValidation type="list" allowBlank="1" showErrorMessage="1">
          <x14:formula1>
            <xm:f>'Parameter unit'!$A:$A</xm:f>
          </x14:formula1>
          <xm:sqref>N39:N50 S86:S88</xm:sqref>
        </x14:dataValidation>
        <x14:dataValidation type="list" allowBlank="1" showErrorMessage="1">
          <x14:formula1>
            <xm:f>'Parameter data type'!$A$2:$A$50</xm:f>
          </x14:formula1>
          <xm:sqref>Q122</xm:sqref>
        </x14:dataValidation>
        <x14:dataValidation type="list" allowBlank="1" showErrorMessage="1">
          <x14:formula1>
            <xm:f>'Study Assay Technology Type'!$A$2:$A$500</xm:f>
          </x14:formula1>
          <xm:sqref>I72</xm:sqref>
        </x14:dataValidation>
        <x14:dataValidation type="list" allowBlank="1" showErrorMessage="1">
          <x14:formula1>
            <xm:f>Format!$A$2:$A$4</xm:f>
          </x14:formula1>
          <xm:sqref>I12</xm:sqref>
        </x14:dataValidation>
        <x14:dataValidation type="list" allowBlank="1" showErrorMessage="1">
          <x14:formula1>
            <xm:f>'Parameter classification'!$A$2:$A$50</xm:f>
          </x14:formula1>
          <xm:sqref>L122</xm:sqref>
        </x14:dataValidation>
        <x14:dataValidation type="list" allowBlank="1" showErrorMessage="1">
          <x14:formula1>
            <xm:f>Rights!$A$2:$A$15</xm:f>
          </x14:formula1>
          <xm:sqref>I9</xm:sqref>
        </x14:dataValidation>
        <x14:dataValidation type="list" allowBlank="1" showErrorMessage="1">
          <x14:formula1>
            <xm:f>'Hazard name'!$A:$A</xm:f>
          </x14:formula1>
          <xm:sqref>L39:L50</xm:sqref>
        </x14:dataValidation>
        <x14:dataValidation type="list" allowBlank="1" showErrorMessage="1">
          <x14:formula1>
            <xm:f>'Publication Type'!$A$2:$A$100</xm:f>
          </x14:formula1>
          <xm:sqref>L15:L19</xm:sqref>
        </x14:dataValidation>
        <x14:dataValidation type="list" allowBlank="1" showErrorMessage="1">
          <x14:formula1>
            <xm:f>'type of exposure'!$A$2:$A$100</xm:f>
          </x14:formula1>
          <xm:sqref>I136</xm:sqref>
        </x14:dataValidation>
        <x14:dataValidation type="list" allowBlank="1" showErrorMessage="1">
          <x14:formula1>
            <xm:f>Availability!$A$1:$A$500</xm:f>
          </x14:formula1>
          <xm:sqref>I10</xm:sqref>
        </x14:dataValidation>
        <x14:dataValidation type="list" allowBlank="1" showErrorMessage="1">
          <x14:formula1>
            <xm:f>Region!$A$2:$A$1800</xm:f>
          </x14:formula1>
          <xm:sqref>AH39:AH50 I65</xm:sqref>
        </x14:dataValidation>
        <x14:dataValidation type="list" allowBlank="1" showErrorMessage="1">
          <x14:formula1>
            <xm:f>'Parameter distribution'!$A:$A</xm:f>
          </x14:formula1>
          <xm:sqref>T117:T136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I708"/>
  <sheetViews>
    <sheetView workbookViewId="0"/>
  </sheetViews>
  <sheetFormatPr defaultColWidth="14.453125" defaultRowHeight="15.75" customHeight="1" x14ac:dyDescent="0.25"/>
  <cols>
    <col min="4" max="4" width="22.1796875" customWidth="1"/>
    <col min="13" max="13" width="21.54296875" customWidth="1"/>
    <col min="30" max="30" width="26.26953125" customWidth="1"/>
    <col min="32" max="32" width="37.1796875" customWidth="1"/>
  </cols>
  <sheetData>
    <row r="1" spans="1:35" ht="14" x14ac:dyDescent="0.3">
      <c r="A1" s="22"/>
      <c r="I1" s="45" t="s">
        <v>28</v>
      </c>
      <c r="L1" s="51" t="s">
        <v>29</v>
      </c>
      <c r="M1" s="52"/>
      <c r="N1" s="45" t="s">
        <v>30</v>
      </c>
      <c r="P1" s="51" t="s">
        <v>31</v>
      </c>
      <c r="Q1" s="51"/>
      <c r="R1" s="51" t="s">
        <v>32</v>
      </c>
      <c r="S1" s="52"/>
      <c r="T1" s="51" t="s">
        <v>33</v>
      </c>
      <c r="U1" s="52"/>
      <c r="V1" s="51" t="s">
        <v>34</v>
      </c>
      <c r="W1" s="52"/>
      <c r="Y1" s="51" t="s">
        <v>35</v>
      </c>
      <c r="Z1" s="52"/>
      <c r="AA1" s="51" t="s">
        <v>36</v>
      </c>
      <c r="AB1" s="51"/>
      <c r="AC1" s="51" t="s">
        <v>37</v>
      </c>
      <c r="AD1" s="52"/>
      <c r="AE1" s="45" t="s">
        <v>0</v>
      </c>
      <c r="AF1" s="51"/>
      <c r="AG1" s="52"/>
      <c r="AH1" s="45" t="s">
        <v>38</v>
      </c>
    </row>
    <row r="2" spans="1:35" ht="12.5" x14ac:dyDescent="0.25">
      <c r="A2" s="45"/>
      <c r="E2" s="45"/>
      <c r="I2" s="45" t="s">
        <v>39</v>
      </c>
      <c r="J2" s="45" t="s">
        <v>40</v>
      </c>
      <c r="L2" s="52" t="s">
        <v>39</v>
      </c>
      <c r="M2" s="52" t="s">
        <v>40</v>
      </c>
      <c r="N2" s="45" t="s">
        <v>39</v>
      </c>
      <c r="O2" s="45" t="s">
        <v>40</v>
      </c>
      <c r="P2" s="52" t="s">
        <v>39</v>
      </c>
      <c r="Q2" s="52" t="s">
        <v>40</v>
      </c>
      <c r="R2" s="52" t="s">
        <v>39</v>
      </c>
      <c r="S2" s="52" t="s">
        <v>40</v>
      </c>
      <c r="T2" s="52" t="s">
        <v>39</v>
      </c>
      <c r="U2" s="51" t="s">
        <v>40</v>
      </c>
      <c r="V2" s="52" t="s">
        <v>39</v>
      </c>
      <c r="W2" s="52" t="s">
        <v>40</v>
      </c>
      <c r="Y2" s="52" t="s">
        <v>39</v>
      </c>
      <c r="Z2" s="52" t="s">
        <v>40</v>
      </c>
      <c r="AA2" s="52" t="s">
        <v>39</v>
      </c>
      <c r="AB2" s="52" t="s">
        <v>40</v>
      </c>
      <c r="AC2" s="52" t="s">
        <v>39</v>
      </c>
      <c r="AD2" s="52" t="s">
        <v>40</v>
      </c>
      <c r="AE2" s="52" t="s">
        <v>39</v>
      </c>
      <c r="AF2" s="52" t="s">
        <v>40</v>
      </c>
      <c r="AG2" s="52"/>
      <c r="AH2" s="52" t="s">
        <v>39</v>
      </c>
      <c r="AI2" s="52" t="s">
        <v>40</v>
      </c>
    </row>
    <row r="3" spans="1:35" ht="14" x14ac:dyDescent="0.3">
      <c r="A3" s="45"/>
      <c r="E3" s="45"/>
      <c r="I3" s="53" t="str">
        <f>'Generic Metadata Schema'!P133</f>
        <v>[]</v>
      </c>
      <c r="J3" s="22" t="e">
        <f>IF(LEN(VLOOKUP(I3,A2:D500,4,FALSE))=0,"",VLOOKUP(I3,A2:D500,4,FALSE))</f>
        <v>#N/A</v>
      </c>
      <c r="L3" s="54" t="str">
        <f>'Dose-response Model'!O117</f>
        <v>Add</v>
      </c>
      <c r="M3" s="22">
        <f>IF(LEN(VLOOKUP(L3,A2:D500,4,FALSE))=0,,VLOOKUP(L3,A2:D500,4,FALSE))</f>
        <v>0</v>
      </c>
      <c r="N3" s="22" t="str">
        <f>'Exposure Model'!O134</f>
        <v>[]</v>
      </c>
      <c r="O3" s="22" t="e">
        <f>IF(LEN(VLOOKUP(N3,A2:D500,4,FALSE))=0,,VLOOKUP(N3,A2:D500,4,FALSE))</f>
        <v>#N/A</v>
      </c>
      <c r="P3" s="55" t="str">
        <f>'QRA Models'!P134</f>
        <v>Add</v>
      </c>
      <c r="Q3" s="22">
        <f>IF(LEN(VLOOKUP(P3,A2:D500,4,FALSE))=0,,VLOOKUP(P3,A2:D500,4,FALSE))</f>
        <v>0</v>
      </c>
      <c r="R3" s="56" t="str">
        <f>'Health metrics Models'!P117</f>
        <v>Add</v>
      </c>
      <c r="S3" s="22">
        <f>IF(LEN(VLOOKUP(R3,A2:D500,4,FALSE))=0,,VLOOKUP(R3,A2:D500,4,FALSE))</f>
        <v>0</v>
      </c>
      <c r="T3" s="56" t="str">
        <f>'Process Model'!O115</f>
        <v>Add</v>
      </c>
      <c r="U3" s="22">
        <f>IF(LEN(VLOOKUP(T3,A2:D500,4,FALSE))=0,,VLOOKUP(T3,A2:D500,4,FALSE))</f>
        <v>0</v>
      </c>
      <c r="V3" s="56" t="str">
        <f>'Toxicological reference value M'!P117</f>
        <v>Add</v>
      </c>
      <c r="W3" s="22">
        <f>IF(LEN(VLOOKUP(V3,A2:D500,4,FALSE))=0,,VLOOKUP(V3,A2:D500,4,FALSE))</f>
        <v>0</v>
      </c>
      <c r="Y3" s="56" t="str">
        <f>'Other Empirical Model'!P128</f>
        <v>Add</v>
      </c>
      <c r="Z3" s="22">
        <f>IF(LEN(VLOOKUP(Y3,A2:D500,4,FALSE))=0,,VLOOKUP(Y3,A2:D500,4,FALSE))</f>
        <v>0</v>
      </c>
      <c r="AA3" s="56" t="str">
        <f>'Predictive Model'!P115</f>
        <v>[]</v>
      </c>
      <c r="AB3" s="22" t="e">
        <f>IF(LEN(VLOOKUP(AA3,A2:D500,4,FALSE))=0,,VLOOKUP(AA3,A2:D500,4,FALSE))</f>
        <v>#N/A</v>
      </c>
      <c r="AC3" s="56" t="str">
        <f>'Consumption Model'!P120</f>
        <v>Add</v>
      </c>
      <c r="AD3" s="22">
        <f>IF(LEN(VLOOKUP(AC3,A2:D500,4,FALSE))=0,,VLOOKUP(AC3,A2:D500,4,FALSE))</f>
        <v>0</v>
      </c>
      <c r="AE3" s="22" t="str">
        <f>'(Data)'!P116</f>
        <v>Add</v>
      </c>
      <c r="AF3" s="22">
        <f>IF(LEN(VLOOKUP(AE3,A2:D500,4,FALSE))=0,,VLOOKUP(AE3,A2:D500,4,FALSE))</f>
        <v>0</v>
      </c>
      <c r="AG3" s="57"/>
      <c r="AH3" s="45" t="str">
        <f>'Risk Charact Model'!P134</f>
        <v>Add</v>
      </c>
      <c r="AI3" s="58">
        <f>IF(LEN(VLOOKUP(AH3,A2:D500,4,FALSE))=0,,VLOOKUP(AH3,A2:D500,4,FALSE))</f>
        <v>0</v>
      </c>
    </row>
    <row r="4" spans="1:35" ht="14" x14ac:dyDescent="0.3">
      <c r="A4" s="45"/>
      <c r="E4" s="45"/>
      <c r="I4" s="22" t="str">
        <f>'Generic Metadata Schema'!P134</f>
        <v>log10(CFU/g)</v>
      </c>
      <c r="J4" s="22" t="e">
        <f>IF(LEN(VLOOKUP(I4,A2:D500,4,FALSE))=0,"",VLOOKUP(I4,A2:D500,4,FALSE))</f>
        <v>#N/A</v>
      </c>
      <c r="L4" s="56" t="str">
        <f>'Dose-response Model'!O118</f>
        <v>Add</v>
      </c>
      <c r="M4" s="22">
        <f>IF(LEN(VLOOKUP(L4,A2:D500,4,FALSE))=0,,VLOOKUP(L4,A2:D500,4,FALSE))</f>
        <v>0</v>
      </c>
      <c r="N4" s="22" t="str">
        <f>'Exposure Model'!O135</f>
        <v>Add</v>
      </c>
      <c r="O4" s="22">
        <f>IF(LEN(VLOOKUP(N4,A2:D500,4,FALSE))=0,,VLOOKUP(N4,A2:D500,4,FALSE))</f>
        <v>0</v>
      </c>
      <c r="P4" s="55" t="str">
        <f>'QRA Models'!P135</f>
        <v>Add</v>
      </c>
      <c r="Q4" s="22">
        <f>IF(LEN(VLOOKUP(P4,A2:D500,4,FALSE))=0,,VLOOKUP(P4,A2:D500,4,FALSE))</f>
        <v>0</v>
      </c>
      <c r="R4" s="56" t="str">
        <f>'Health metrics Models'!P118</f>
        <v>Add</v>
      </c>
      <c r="S4" s="22">
        <f>IF(LEN(VLOOKUP(R4,A2:D500,4,FALSE))=0,,VLOOKUP(R4,A2:D500,4,FALSE))</f>
        <v>0</v>
      </c>
      <c r="T4" s="56" t="str">
        <f>'Process Model'!O116</f>
        <v>Add</v>
      </c>
      <c r="U4" s="22">
        <f>IF(LEN(VLOOKUP(T4,A2:D500,4,FALSE))=0,,VLOOKUP(T4,A2:D500,4,FALSE))</f>
        <v>0</v>
      </c>
      <c r="V4" s="56" t="str">
        <f>'Toxicological reference value M'!P118</f>
        <v>Add</v>
      </c>
      <c r="W4" s="22">
        <f>IF(LEN(VLOOKUP(V4,A2:D500,4,FALSE))=0,,VLOOKUP(V4,A2:D500,4,FALSE))</f>
        <v>0</v>
      </c>
      <c r="Y4" s="56" t="str">
        <f>'Other Empirical Model'!P129</f>
        <v>Add</v>
      </c>
      <c r="Z4" s="22">
        <f>IF(LEN(VLOOKUP(Y4,A2:D500,4,FALSE))=0,,VLOOKUP(Y4,A2:D500,4,FALSE))</f>
        <v>0</v>
      </c>
      <c r="AA4" s="56" t="str">
        <f>'Predictive Model'!P116</f>
        <v>Add</v>
      </c>
      <c r="AB4" s="22">
        <f>IF(LEN(VLOOKUP(AA4,A2:D500,4,FALSE))=0,,VLOOKUP(AA4,A2:D500,4,FALSE))</f>
        <v>0</v>
      </c>
      <c r="AC4" s="56" t="str">
        <f>'Consumption Model'!P121</f>
        <v>Add</v>
      </c>
      <c r="AD4" s="22">
        <f>IF(LEN(VLOOKUP(AC4,A2:D500,4,FALSE))=0,,VLOOKUP(AC4,A2:D500,4,FALSE))</f>
        <v>0</v>
      </c>
      <c r="AE4" s="22" t="str">
        <f>'(Data)'!P117</f>
        <v>Add</v>
      </c>
      <c r="AF4" s="22">
        <f>IF(LEN(VLOOKUP(AE4,A2:D500,4,FALSE))=0,,VLOOKUP(AE4,A2:D500,4,FALSE))</f>
        <v>0</v>
      </c>
      <c r="AG4" s="57"/>
      <c r="AH4" s="45" t="str">
        <f>'Risk Charact Model'!P135</f>
        <v>Add</v>
      </c>
      <c r="AI4" s="58">
        <f>IF(LEN(VLOOKUP(AH4,A2:D500,4,FALSE))=0,,VLOOKUP(AH4,A2:D500,4,FALSE))</f>
        <v>0</v>
      </c>
    </row>
    <row r="5" spans="1:35" ht="14" x14ac:dyDescent="0.3">
      <c r="I5" s="22" t="str">
        <f>'Generic Metadata Schema'!P135</f>
        <v>log10(CFU/g)</v>
      </c>
      <c r="J5" s="22" t="e">
        <f>IF(LEN(VLOOKUP(I5,A2:D500,4,FALSE))=0,"",VLOOKUP(I5,A2:D500,4,FALSE))</f>
        <v>#N/A</v>
      </c>
      <c r="L5" s="56" t="str">
        <f>'Dose-response Model'!O119</f>
        <v>Add</v>
      </c>
      <c r="M5" s="22">
        <f>IF(LEN(VLOOKUP(L5,A2:D500,4,FALSE))=0,,VLOOKUP(L5,A2:D500,4,FALSE))</f>
        <v>0</v>
      </c>
      <c r="N5" s="22" t="str">
        <f>'Exposure Model'!O136</f>
        <v>Add</v>
      </c>
      <c r="O5" s="22">
        <f>IF(LEN(VLOOKUP(N5,A2:D500,4,FALSE))=0,,VLOOKUP(N5,A2:D500,4,FALSE))</f>
        <v>0</v>
      </c>
      <c r="P5" s="55" t="str">
        <f>'QRA Models'!P136</f>
        <v>Add</v>
      </c>
      <c r="Q5" s="22">
        <f>IF(LEN(VLOOKUP(P5,A2:D500,4,FALSE))=0,,VLOOKUP(P5,A2:D500,4,FALSE))</f>
        <v>0</v>
      </c>
      <c r="R5" s="56" t="str">
        <f>'Health metrics Models'!P119</f>
        <v>Add</v>
      </c>
      <c r="S5" s="22">
        <f>IF(LEN(VLOOKUP(R5,A2:D500,4,FALSE))=0,,VLOOKUP(R5,A2:D500,4,FALSE))</f>
        <v>0</v>
      </c>
      <c r="T5" s="56" t="str">
        <f>'Process Model'!O117</f>
        <v>Add</v>
      </c>
      <c r="U5" s="22">
        <f>IF(LEN(VLOOKUP(T5,A2:D500,4,FALSE))=0,,VLOOKUP(T5,A2:D500,4,FALSE))</f>
        <v>0</v>
      </c>
      <c r="V5" s="56" t="str">
        <f>'Toxicological reference value M'!P119</f>
        <v>Add</v>
      </c>
      <c r="W5" s="22">
        <f>IF(LEN(VLOOKUP(V5,A2:D500,4,FALSE))=0,,VLOOKUP(V5,A2:D500,4,FALSE))</f>
        <v>0</v>
      </c>
      <c r="Y5" s="56" t="str">
        <f>'Other Empirical Model'!P130</f>
        <v>Add</v>
      </c>
      <c r="Z5" s="22">
        <f>IF(LEN(VLOOKUP(Y5,A2:D500,4,FALSE))=0,,VLOOKUP(Y5,A2:D500,4,FALSE))</f>
        <v>0</v>
      </c>
      <c r="AA5" s="56" t="str">
        <f>'Predictive Model'!P117</f>
        <v>Add</v>
      </c>
      <c r="AB5" s="22">
        <f>IF(LEN(VLOOKUP(AA5,A2:D500,4,FALSE))=0,,VLOOKUP(AA5,A2:D500,4,FALSE))</f>
        <v>0</v>
      </c>
      <c r="AC5" s="56" t="str">
        <f>'Consumption Model'!P122</f>
        <v>Add</v>
      </c>
      <c r="AD5" s="22">
        <f>IF(LEN(VLOOKUP(AC5,A2:D500,4,FALSE))=0,,VLOOKUP(AC5,A2:D500,4,FALSE))</f>
        <v>0</v>
      </c>
      <c r="AE5" s="22" t="str">
        <f>'(Data)'!P118</f>
        <v>Add</v>
      </c>
      <c r="AF5" s="22">
        <f>IF(LEN(VLOOKUP(AE5,A2:D500,4,FALSE))=0,,VLOOKUP(AE5,A2:D500,4,FALSE))</f>
        <v>0</v>
      </c>
      <c r="AG5" s="57"/>
      <c r="AH5" s="45" t="str">
        <f>'Risk Charact Model'!P136</f>
        <v>Add</v>
      </c>
      <c r="AI5" s="58">
        <f>IF(LEN(VLOOKUP(AH5,A2:D500,4,FALSE))=0,,VLOOKUP(AH5,A2:D500,4,FALSE))</f>
        <v>0</v>
      </c>
    </row>
    <row r="6" spans="1:35" ht="14" x14ac:dyDescent="0.3">
      <c r="I6" s="22" t="str">
        <f>'Generic Metadata Schema'!P136</f>
        <v>[Probability]</v>
      </c>
      <c r="J6" s="22" t="e">
        <f>IF(LEN(VLOOKUP(I6,A2:D500,4,FALSE))=0,"",VLOOKUP(I6,A2:D500,4,FALSE))</f>
        <v>#N/A</v>
      </c>
      <c r="L6" s="56" t="str">
        <f>'Dose-response Model'!O120</f>
        <v>Add</v>
      </c>
      <c r="M6" s="22">
        <f>IF(LEN(VLOOKUP(L6,A2:D500,4,FALSE))=0,,VLOOKUP(L6,A2:D500,4,FALSE))</f>
        <v>0</v>
      </c>
      <c r="N6" s="22" t="str">
        <f>'Exposure Model'!O137</f>
        <v>Add</v>
      </c>
      <c r="O6" s="22">
        <f>IF(LEN(VLOOKUP(N6,A2:D500,4,FALSE))=0,,VLOOKUP(N6,A2:D500,4,FALSE))</f>
        <v>0</v>
      </c>
      <c r="P6" s="55" t="str">
        <f>'QRA Models'!P137</f>
        <v>Add</v>
      </c>
      <c r="Q6" s="22">
        <f>IF(LEN(VLOOKUP(P6,A2:D500,4,FALSE))=0,,VLOOKUP(P6,A2:D500,4,FALSE))</f>
        <v>0</v>
      </c>
      <c r="R6" s="56" t="str">
        <f>'Health metrics Models'!P120</f>
        <v>Add</v>
      </c>
      <c r="S6" s="22">
        <f>IF(LEN(VLOOKUP(R6,A2:D500,4,FALSE))=0,,VLOOKUP(R6,A2:D500,4,FALSE))</f>
        <v>0</v>
      </c>
      <c r="T6" s="56" t="str">
        <f>'Process Model'!O118</f>
        <v>Add</v>
      </c>
      <c r="U6" s="22">
        <f>IF(LEN(VLOOKUP(T6,A2:D500,4,FALSE))=0,,VLOOKUP(T6,A2:D500,4,FALSE))</f>
        <v>0</v>
      </c>
      <c r="V6" s="56" t="str">
        <f>'Toxicological reference value M'!P120</f>
        <v>Add</v>
      </c>
      <c r="W6" s="22">
        <f>IF(LEN(VLOOKUP(V6,A2:D500,4,FALSE))=0,,VLOOKUP(V6,A2:D500,4,FALSE))</f>
        <v>0</v>
      </c>
      <c r="Y6" s="56" t="str">
        <f>'Other Empirical Model'!P131</f>
        <v>Add</v>
      </c>
      <c r="Z6" s="22">
        <f>IF(LEN(VLOOKUP(Y6,A2:D500,4,FALSE))=0,,VLOOKUP(Y6,A2:D500,4,FALSE))</f>
        <v>0</v>
      </c>
      <c r="AA6" s="56" t="str">
        <f>'Predictive Model'!P118</f>
        <v>Add</v>
      </c>
      <c r="AB6" s="22">
        <f>IF(LEN(VLOOKUP(AA6,A2:D500,4,FALSE))=0,,VLOOKUP(AA6,A2:D500,4,FALSE))</f>
        <v>0</v>
      </c>
      <c r="AC6" s="56" t="str">
        <f>'Consumption Model'!P123</f>
        <v>Add</v>
      </c>
      <c r="AD6" s="22">
        <f>IF(LEN(VLOOKUP(AC6,A2:D500,4,FALSE))=0,,VLOOKUP(AC6,A2:D500,4,FALSE))</f>
        <v>0</v>
      </c>
      <c r="AE6" s="22" t="str">
        <f>'(Data)'!P119</f>
        <v>Add</v>
      </c>
      <c r="AF6" s="22">
        <f>IF(LEN(VLOOKUP(AE6:AE7,A2:D500,4,FALSE))=0,,VLOOKUP(AE6:AE7,A2:D500,4,FALSE))</f>
        <v>0</v>
      </c>
      <c r="AG6" s="57"/>
      <c r="AH6" s="45" t="str">
        <f>'Risk Charact Model'!P137</f>
        <v>Add</v>
      </c>
      <c r="AI6" s="58">
        <f>IF(LEN(VLOOKUP(AH6,A2:D500,4,FALSE))=0,,VLOOKUP(AH6,A2:D500,4,FALSE))</f>
        <v>0</v>
      </c>
    </row>
    <row r="7" spans="1:35" ht="14" x14ac:dyDescent="0.3">
      <c r="I7" s="22" t="str">
        <f>'Generic Metadata Schema'!P137</f>
        <v>g</v>
      </c>
      <c r="J7" s="22" t="e">
        <f>IF(LEN(VLOOKUP(I7,A2:D500,4,FALSE))=0,"",VLOOKUP(I7,A2:D500,4,FALSE))</f>
        <v>#N/A</v>
      </c>
      <c r="L7" s="56" t="str">
        <f>'Dose-response Model'!O121</f>
        <v>Add</v>
      </c>
      <c r="M7" s="22">
        <f>IF(LEN(VLOOKUP(L7,A2:D500,4,FALSE))=0,,VLOOKUP(L7,A2:D500,4,FALSE))</f>
        <v>0</v>
      </c>
      <c r="N7" s="22" t="str">
        <f>'Exposure Model'!O138</f>
        <v>Add</v>
      </c>
      <c r="O7" s="22">
        <f>IF(LEN(VLOOKUP(N7,A2:D500,4,FALSE))=0,,VLOOKUP(N7,A2:D500,4,FALSE))</f>
        <v>0</v>
      </c>
      <c r="P7" s="55" t="str">
        <f>'QRA Models'!P138</f>
        <v>Add</v>
      </c>
      <c r="Q7" s="22">
        <f>IF(LEN(VLOOKUP(P7,A2:D500,4,FALSE))=0,,VLOOKUP(P7,A2:D500,4,FALSE))</f>
        <v>0</v>
      </c>
      <c r="R7" s="56" t="str">
        <f>'Health metrics Models'!P121</f>
        <v>Add</v>
      </c>
      <c r="S7" s="22">
        <f>IF(LEN(VLOOKUP(R7,A2:D500,4,FALSE))=0,,VLOOKUP(R7,A2:D500,4,FALSE))</f>
        <v>0</v>
      </c>
      <c r="T7" s="56" t="str">
        <f>'Process Model'!O119</f>
        <v>Add</v>
      </c>
      <c r="U7" s="22">
        <f>IF(LEN(VLOOKUP(T7,A2:D500,4,FALSE))=0,,VLOOKUP(T7,A2:D500,4,FALSE))</f>
        <v>0</v>
      </c>
      <c r="V7" s="56" t="str">
        <f>'Toxicological reference value M'!P121</f>
        <v>Add</v>
      </c>
      <c r="W7" s="22">
        <f>IF(LEN(VLOOKUP(V7,A2:D500,4,FALSE))=0,,VLOOKUP(V7,A2:D500,4,FALSE))</f>
        <v>0</v>
      </c>
      <c r="Y7" s="56" t="str">
        <f>'Other Empirical Model'!P132</f>
        <v>Add</v>
      </c>
      <c r="Z7" s="22">
        <f>IF(LEN(VLOOKUP(Y7,A2:D500,4,FALSE))=0,,VLOOKUP(Y7,A2:D500,4,FALSE))</f>
        <v>0</v>
      </c>
      <c r="AA7" s="56" t="str">
        <f>'Predictive Model'!P119</f>
        <v>Add</v>
      </c>
      <c r="AB7" s="22">
        <f>IF(LEN(VLOOKUP(AA7,A2:D500,4,FALSE))=0,,VLOOKUP(AA7,A2:D500,4,FALSE))</f>
        <v>0</v>
      </c>
      <c r="AC7" s="56" t="str">
        <f>'Consumption Model'!P124</f>
        <v>Add</v>
      </c>
      <c r="AD7" s="22">
        <f>IF(LEN(VLOOKUP(AC7,A2:D500,4,FALSE))=0,,VLOOKUP(AC7,A2:D500,4,FALSE))</f>
        <v>0</v>
      </c>
      <c r="AE7" s="22" t="str">
        <f>'(Data)'!P120</f>
        <v>Add</v>
      </c>
      <c r="AF7" s="22">
        <f>IF(LEN(VLOOKUP(AE6:AE7,A2:D500,4,FALSE))=0,,VLOOKUP(AE6:AE7,A2:D500,4,FALSE))</f>
        <v>0</v>
      </c>
      <c r="AG7" s="57"/>
      <c r="AH7" s="45" t="str">
        <f>'Risk Charact Model'!P138</f>
        <v>Add</v>
      </c>
      <c r="AI7" s="58">
        <f>IF(LEN(VLOOKUP(AH7,A2:D500,4,FALSE))=0,,VLOOKUP(AH7,A2:D500,4,FALSE))</f>
        <v>0</v>
      </c>
    </row>
    <row r="8" spans="1:35" ht="14" x14ac:dyDescent="0.3">
      <c r="I8" s="22" t="str">
        <f>'Generic Metadata Schema'!P138</f>
        <v>g</v>
      </c>
      <c r="J8" s="22" t="e">
        <f>IF(LEN(VLOOKUP(I8,A2:D500,4,FALSE))=0,"",VLOOKUP(I8,A2:D500,4,FALSE))</f>
        <v>#N/A</v>
      </c>
      <c r="L8" s="56" t="str">
        <f>'Dose-response Model'!O122</f>
        <v>Add</v>
      </c>
      <c r="M8" s="22">
        <f>IF(LEN(VLOOKUP(L8,A2:D500,4,FALSE))=0,,VLOOKUP(L8,A2:D500,4,FALSE))</f>
        <v>0</v>
      </c>
      <c r="N8" s="22" t="str">
        <f>'Exposure Model'!O139</f>
        <v>Add</v>
      </c>
      <c r="O8" s="22">
        <f>IF(LEN(VLOOKUP(N8,A2:D500,4,FALSE))=0,,VLOOKUP(N8,A2:D500,4,FALSE))</f>
        <v>0</v>
      </c>
      <c r="P8" s="55" t="str">
        <f>'QRA Models'!P139</f>
        <v>Add</v>
      </c>
      <c r="Q8" s="22">
        <f>IF(LEN(VLOOKUP(P8,A2:D500,4,FALSE))=0,,VLOOKUP(P8,A2:D500,4,FALSE))</f>
        <v>0</v>
      </c>
      <c r="R8" s="56" t="str">
        <f>'Health metrics Models'!P122</f>
        <v>Add</v>
      </c>
      <c r="S8" s="22">
        <f>IF(LEN(VLOOKUP(R8,A2:D500,4,FALSE))=0,,VLOOKUP(R8,A2:D500,4,FALSE))</f>
        <v>0</v>
      </c>
      <c r="T8" s="56" t="str">
        <f>'Process Model'!O120</f>
        <v>Add</v>
      </c>
      <c r="U8" s="22">
        <f>IF(LEN(VLOOKUP(T8,A2:D500,4,FALSE))=0,,VLOOKUP(T8,A2:D500,4,FALSE))</f>
        <v>0</v>
      </c>
      <c r="V8" s="56" t="str">
        <f>'Toxicological reference value M'!P122</f>
        <v>Add</v>
      </c>
      <c r="W8" s="22">
        <f>IF(LEN(VLOOKUP(V8,A2:D500,4,FALSE))=0,,VLOOKUP(V8,A2:D500,4,FALSE))</f>
        <v>0</v>
      </c>
      <c r="Y8" s="56" t="str">
        <f>'Other Empirical Model'!P133</f>
        <v>Add</v>
      </c>
      <c r="Z8" s="22">
        <f>IF(LEN(VLOOKUP(Y8,A2:D500,4,FALSE))=0,,VLOOKUP(Y8,A2:D500,4,FALSE))</f>
        <v>0</v>
      </c>
      <c r="AA8" s="56" t="str">
        <f>'Predictive Model'!P120</f>
        <v>Add</v>
      </c>
      <c r="AB8" s="22">
        <f>IF(LEN(VLOOKUP(AA8,A2:D500,4,FALSE))=0,,VLOOKUP(AA8,A2:D500,4,FALSE))</f>
        <v>0</v>
      </c>
      <c r="AC8" s="56" t="str">
        <f>'Consumption Model'!P125</f>
        <v>Add</v>
      </c>
      <c r="AD8" s="22">
        <f>IF(LEN(VLOOKUP(AC8,A2:D500,4,FALSE))=0,,VLOOKUP(AC8,A2:D500,4,FALSE))</f>
        <v>0</v>
      </c>
      <c r="AE8" s="22" t="str">
        <f>'(Data)'!P121</f>
        <v>Add</v>
      </c>
      <c r="AF8" s="22">
        <f>IF(LEN(VLOOKUP(AE7:AE8,A2:D500,4,FALSE))=0,,VLOOKUP(AE7:AE8,A2:D500,4,FALSE))</f>
        <v>0</v>
      </c>
      <c r="AG8" s="57"/>
      <c r="AH8" s="45" t="str">
        <f>'Risk Charact Model'!P139</f>
        <v>Add</v>
      </c>
      <c r="AI8" s="58">
        <f>IF(LEN(VLOOKUP(AH8,A2:D500,4,FALSE))=0,,VLOOKUP(AH8,A2:D500,4,FALSE))</f>
        <v>0</v>
      </c>
    </row>
    <row r="9" spans="1:35" ht="14" x14ac:dyDescent="0.3">
      <c r="I9" s="22" t="str">
        <f>'Generic Metadata Schema'!P139</f>
        <v>g</v>
      </c>
      <c r="J9" s="22" t="e">
        <f>IF(LEN(VLOOKUP(I9,A2:D500,4,FALSE))=0,"",VLOOKUP(I9,A2:D500,4,FALSE))</f>
        <v>#N/A</v>
      </c>
      <c r="L9" s="56" t="str">
        <f>'Dose-response Model'!O123</f>
        <v>Add</v>
      </c>
      <c r="M9" s="22">
        <f>IF(LEN(VLOOKUP(L9,A2:D500,4,FALSE))=0,,VLOOKUP(L9,A2:D500,4,FALSE))</f>
        <v>0</v>
      </c>
      <c r="N9" s="22" t="str">
        <f>'Exposure Model'!O140</f>
        <v>Add</v>
      </c>
      <c r="O9" s="22">
        <f>IF(LEN(VLOOKUP(N9,A2:D500,4,FALSE))=0,,VLOOKUP(N9,A2:D500,4,FALSE))</f>
        <v>0</v>
      </c>
      <c r="P9" s="55" t="str">
        <f>'QRA Models'!P140</f>
        <v>Add</v>
      </c>
      <c r="Q9" s="22">
        <f>IF(LEN(VLOOKUP(P9,A2:D500,4,FALSE))=0,,VLOOKUP(P9,A2:D500,4,FALSE))</f>
        <v>0</v>
      </c>
      <c r="R9" s="56" t="str">
        <f>'Health metrics Models'!P123</f>
        <v>Add</v>
      </c>
      <c r="S9" s="22">
        <f>IF(LEN(VLOOKUP(R9,A2:D500,4,FALSE))=0,,VLOOKUP(R9,A2:D500,4,FALSE))</f>
        <v>0</v>
      </c>
      <c r="T9" s="56" t="str">
        <f>'Process Model'!O121</f>
        <v>Add</v>
      </c>
      <c r="U9" s="22">
        <f>IF(LEN(VLOOKUP(T9,A2:D500,4,FALSE))=0,,VLOOKUP(T9,A2:D500,4,FALSE))</f>
        <v>0</v>
      </c>
      <c r="V9" s="56" t="str">
        <f>'Toxicological reference value M'!P123</f>
        <v>Add</v>
      </c>
      <c r="W9" s="22">
        <f>IF(LEN(VLOOKUP(V9,A2:D500,4,FALSE))=0,,VLOOKUP(V9,A2:D500,4,FALSE))</f>
        <v>0</v>
      </c>
      <c r="Y9" s="56" t="str">
        <f>'Other Empirical Model'!P134</f>
        <v>Add</v>
      </c>
      <c r="Z9" s="22">
        <f>IF(LEN(VLOOKUP(Y9,A2:D500,4,FALSE))=0,,VLOOKUP(Y9,A2:D500,4,FALSE))</f>
        <v>0</v>
      </c>
      <c r="AA9" s="56" t="str">
        <f>'Predictive Model'!P121</f>
        <v>Add</v>
      </c>
      <c r="AB9" s="22">
        <f>IF(LEN(VLOOKUP(AA9,A2:D500,4,FALSE))=0,,VLOOKUP(AA9,A2:D500,4,FALSE))</f>
        <v>0</v>
      </c>
      <c r="AC9" s="56" t="str">
        <f>'Consumption Model'!P126</f>
        <v>Add</v>
      </c>
      <c r="AD9" s="22">
        <f>IF(LEN(VLOOKUP(AC9,A2:D500,4,FALSE))=0,,VLOOKUP(AC9,A2:D500,4,FALSE))</f>
        <v>0</v>
      </c>
      <c r="AE9" s="22" t="str">
        <f>'(Data)'!P122</f>
        <v>Add</v>
      </c>
      <c r="AF9" s="22">
        <f>IF(LEN(VLOOKUP(AE8:AE9,A2:D500,4,FALSE))=0,,VLOOKUP(AE8:AE9,A2:D500,4,FALSE))</f>
        <v>0</v>
      </c>
      <c r="AG9" s="57"/>
      <c r="AH9" s="45" t="str">
        <f>'Risk Charact Model'!P140</f>
        <v>Add</v>
      </c>
      <c r="AI9" s="58">
        <f>IF(LEN(VLOOKUP(AH9,A2:D500,4,FALSE))=0,,VLOOKUP(AH9,A2:D500,4,FALSE))</f>
        <v>0</v>
      </c>
    </row>
    <row r="10" spans="1:35" ht="14" x14ac:dyDescent="0.3">
      <c r="I10" s="22" t="str">
        <f>'Generic Metadata Schema'!P140</f>
        <v>Others</v>
      </c>
      <c r="J10" s="22" t="e">
        <f>IF(LEN(VLOOKUP(I10,A2:D500,4,FALSE))=0,"",VLOOKUP(I10,A2:D500,4,FALSE))</f>
        <v>#N/A</v>
      </c>
      <c r="L10" s="56" t="str">
        <f>'Dose-response Model'!O124</f>
        <v>Add</v>
      </c>
      <c r="M10" s="22">
        <f>IF(LEN(VLOOKUP(L10,A2:D500,4,FALSE))=0,,VLOOKUP(L10,A2:D500,4,FALSE))</f>
        <v>0</v>
      </c>
      <c r="N10" s="22" t="str">
        <f>'Exposure Model'!O141</f>
        <v>Add</v>
      </c>
      <c r="O10" s="22">
        <f>IF(LEN(VLOOKUP(N10,A2:D500,4,FALSE))=0,,VLOOKUP(N10,A2:D500,4,FALSE))</f>
        <v>0</v>
      </c>
      <c r="P10" s="55" t="str">
        <f>'QRA Models'!P141</f>
        <v>Add</v>
      </c>
      <c r="Q10" s="22">
        <f>IF(LEN(VLOOKUP(P10,A2:D500,4,FALSE))=0,,VLOOKUP(P10,A2:D500,4,FALSE))</f>
        <v>0</v>
      </c>
      <c r="R10" s="56" t="str">
        <f>'Health metrics Models'!P124</f>
        <v>Add</v>
      </c>
      <c r="S10" s="22">
        <f>IF(LEN(VLOOKUP(R10,A2:D500,4,FALSE))=0,,VLOOKUP(R10,A2:D500,4,FALSE))</f>
        <v>0</v>
      </c>
      <c r="T10" s="56" t="str">
        <f>'Process Model'!O122</f>
        <v>Add</v>
      </c>
      <c r="U10" s="22">
        <f>IF(LEN(VLOOKUP(T10,A2:D500,4,FALSE))=0,,VLOOKUP(T10,A2:D500,4,FALSE))</f>
        <v>0</v>
      </c>
      <c r="V10" s="56" t="str">
        <f>'Toxicological reference value M'!P124</f>
        <v>Add</v>
      </c>
      <c r="W10" s="22">
        <f>IF(LEN(VLOOKUP(V10,A2:D500,4,FALSE))=0,,VLOOKUP(V10,A2:D500,4,FALSE))</f>
        <v>0</v>
      </c>
      <c r="Y10" s="56" t="str">
        <f>'Other Empirical Model'!P135</f>
        <v>Add</v>
      </c>
      <c r="Z10" s="22">
        <f>IF(LEN(VLOOKUP(Y10,A2:D500,4,FALSE))=0,,VLOOKUP(Y10,A2:D500,4,FALSE))</f>
        <v>0</v>
      </c>
      <c r="AA10" s="56" t="str">
        <f>'Predictive Model'!P122</f>
        <v>Add</v>
      </c>
      <c r="AB10" s="22">
        <f>IF(LEN(VLOOKUP(AA10,A2:D500,4,FALSE))=0,,VLOOKUP(AA10,A2:D500,4,FALSE))</f>
        <v>0</v>
      </c>
      <c r="AC10" s="56" t="str">
        <f>'Consumption Model'!P127</f>
        <v>Add</v>
      </c>
      <c r="AD10" s="22">
        <f>IF(LEN(VLOOKUP(AC10,A2:D500,4,FALSE))=0,,VLOOKUP(AC10,A2:D500,4,FALSE))</f>
        <v>0</v>
      </c>
      <c r="AE10" s="22" t="str">
        <f>'(Data)'!P123</f>
        <v>Add</v>
      </c>
      <c r="AF10" s="22">
        <f>IF(LEN(VLOOKUP(AE9:AE10,A2:D500,4,FALSE))=0,,VLOOKUP(AE9:AE10,A2:D500,4,FALSE))</f>
        <v>0</v>
      </c>
      <c r="AG10" s="57"/>
      <c r="AH10" s="45" t="str">
        <f>'Risk Charact Model'!P141</f>
        <v>Add</v>
      </c>
      <c r="AI10" s="58">
        <f>IF(LEN(VLOOKUP(AH10,A2:D500,4,FALSE))=0,,VLOOKUP(AH10,A2:D500,4,FALSE))</f>
        <v>0</v>
      </c>
    </row>
    <row r="11" spans="1:35" ht="14" x14ac:dyDescent="0.3">
      <c r="I11" s="22" t="str">
        <f>'Generic Metadata Schema'!P141</f>
        <v>Others</v>
      </c>
      <c r="J11" s="22" t="e">
        <f>IF(LEN(VLOOKUP(I11,A2:D500,4,FALSE))=0,"",VLOOKUP(I11,A2:D500,4,FALSE))</f>
        <v>#N/A</v>
      </c>
      <c r="L11" s="56" t="str">
        <f>'Dose-response Model'!O125</f>
        <v>Add</v>
      </c>
      <c r="M11" s="22">
        <f>IF(LEN(VLOOKUP(L11,A2:D500,4,FALSE))=0,,VLOOKUP(L11,A2:D500,4,FALSE))</f>
        <v>0</v>
      </c>
      <c r="N11" s="22" t="str">
        <f>'Exposure Model'!O142</f>
        <v>Add</v>
      </c>
      <c r="O11" s="22">
        <f>IF(LEN(VLOOKUP(N11,A2:D500,4,FALSE))=0,,VLOOKUP(N11,A2:D500,4,FALSE))</f>
        <v>0</v>
      </c>
      <c r="P11" s="55" t="str">
        <f>'QRA Models'!P142</f>
        <v>Add</v>
      </c>
      <c r="Q11" s="22">
        <f>IF(LEN(VLOOKUP(P11,A2:D500,4,FALSE))=0,,VLOOKUP(P11,A2:D500,4,FALSE))</f>
        <v>0</v>
      </c>
      <c r="R11" s="56" t="str">
        <f>'Health metrics Models'!P125</f>
        <v>Add</v>
      </c>
      <c r="S11" s="22">
        <f>IF(LEN(VLOOKUP(R11,A2:D500,4,FALSE))=0,,VLOOKUP(R11,A2:D500,4,FALSE))</f>
        <v>0</v>
      </c>
      <c r="T11" s="56" t="str">
        <f>'Process Model'!O123</f>
        <v>Add</v>
      </c>
      <c r="U11" s="22">
        <f>IF(LEN(VLOOKUP(T11,A2:D500,4,FALSE))=0,,VLOOKUP(T11,A2:D500,4,FALSE))</f>
        <v>0</v>
      </c>
      <c r="V11" s="56" t="str">
        <f>'Toxicological reference value M'!P125</f>
        <v>Add</v>
      </c>
      <c r="W11" s="22">
        <f>IF(LEN(VLOOKUP(V11,A2:D500,4,FALSE))=0,,VLOOKUP(V11,A2:D500,4,FALSE))</f>
        <v>0</v>
      </c>
      <c r="Y11" s="56" t="str">
        <f>'Other Empirical Model'!P136</f>
        <v>Add</v>
      </c>
      <c r="Z11" s="22">
        <f>IF(LEN(VLOOKUP(Y11,A2:D500,4,FALSE))=0,,VLOOKUP(Y11,A2:D500,4,FALSE))</f>
        <v>0</v>
      </c>
      <c r="AA11" s="56" t="str">
        <f>'Predictive Model'!P123</f>
        <v>Add</v>
      </c>
      <c r="AB11" s="22">
        <f>IF(LEN(VLOOKUP(AA11,A2:D500,4,FALSE))=0,,VLOOKUP(AA11,A2:D500,4,FALSE))</f>
        <v>0</v>
      </c>
      <c r="AC11" s="56" t="str">
        <f>'Consumption Model'!P128</f>
        <v>Add</v>
      </c>
      <c r="AD11" s="22">
        <f>IF(LEN(VLOOKUP(AC11,A2:D500,4,FALSE))=0,,VLOOKUP(AC11,A2:D500,4,FALSE))</f>
        <v>0</v>
      </c>
      <c r="AE11" s="22" t="str">
        <f>'(Data)'!P124</f>
        <v>Add</v>
      </c>
      <c r="AF11" s="22">
        <f>IF(LEN(VLOOKUP(AE10:AE11,A2:D500,4,FALSE))=0,,VLOOKUP(AE10:AE11,A2:D500,4,FALSE))</f>
        <v>0</v>
      </c>
      <c r="AG11" s="57"/>
      <c r="AH11" s="45" t="str">
        <f>'Risk Charact Model'!P142</f>
        <v>Add</v>
      </c>
      <c r="AI11" s="58">
        <f>IF(LEN(VLOOKUP(AH11,A2:D500,4,FALSE))=0,,VLOOKUP(AH11,A2:D500,4,FALSE))</f>
        <v>0</v>
      </c>
    </row>
    <row r="12" spans="1:35" ht="14" x14ac:dyDescent="0.3">
      <c r="I12" s="22" t="str">
        <f>'Generic Metadata Schema'!P142</f>
        <v>[Probability]</v>
      </c>
      <c r="J12" s="22" t="e">
        <f>IF(LEN(VLOOKUP(I12,A2:D500,4,FALSE))=0,"",VLOOKUP(I12,A2:D500,4,FALSE))</f>
        <v>#N/A</v>
      </c>
      <c r="L12" s="56" t="str">
        <f>'Dose-response Model'!O126</f>
        <v>Add</v>
      </c>
      <c r="M12" s="22">
        <f>IF(LEN(VLOOKUP(L12,A2:D500,4,FALSE))=0,,VLOOKUP(L12,A2:D500,4,FALSE))</f>
        <v>0</v>
      </c>
      <c r="N12" s="22" t="str">
        <f>'Exposure Model'!O143</f>
        <v>Add</v>
      </c>
      <c r="O12" s="22">
        <f>IF(LEN(VLOOKUP(N12,A2:D500,4,FALSE))=0,,VLOOKUP(N12,A2:D500,4,FALSE))</f>
        <v>0</v>
      </c>
      <c r="P12" s="55" t="str">
        <f>'QRA Models'!P143</f>
        <v>Add</v>
      </c>
      <c r="Q12" s="22">
        <f>IF(LEN(VLOOKUP(P12,A2:D500,4,FALSE))=0,,VLOOKUP(P12,A2:D500,4,FALSE))</f>
        <v>0</v>
      </c>
      <c r="R12" s="56" t="str">
        <f>'Health metrics Models'!P126</f>
        <v>Add</v>
      </c>
      <c r="S12" s="22">
        <f>IF(LEN(VLOOKUP(R12,A2:D500,4,FALSE))=0,,VLOOKUP(R12,A2:D500,4,FALSE))</f>
        <v>0</v>
      </c>
      <c r="T12" s="56" t="str">
        <f>'Process Model'!O124</f>
        <v>Add</v>
      </c>
      <c r="U12" s="22">
        <f>IF(LEN(VLOOKUP(T12,A2:D500,4,FALSE))=0,,VLOOKUP(T12,A2:D500,4,FALSE))</f>
        <v>0</v>
      </c>
      <c r="V12" s="56" t="str">
        <f>'Toxicological reference value M'!P126</f>
        <v>Add</v>
      </c>
      <c r="W12" s="22">
        <f>IF(LEN(VLOOKUP(V12,A2:D500,4,FALSE))=0,,VLOOKUP(V12,A2:D500,4,FALSE))</f>
        <v>0</v>
      </c>
      <c r="Y12" s="56" t="str">
        <f>'Other Empirical Model'!P137</f>
        <v>Add</v>
      </c>
      <c r="Z12" s="22">
        <f>IF(LEN(VLOOKUP(Y12,A2:D500,4,FALSE))=0,,VLOOKUP(Y12,A2:D500,4,FALSE))</f>
        <v>0</v>
      </c>
      <c r="AA12" s="56" t="str">
        <f>'Predictive Model'!P124</f>
        <v>Add</v>
      </c>
      <c r="AB12" s="22">
        <f>IF(LEN(VLOOKUP(AA12,A2:D500,4,FALSE))=0,,VLOOKUP(AA12,A2:D500,4,FALSE))</f>
        <v>0</v>
      </c>
      <c r="AC12" s="56" t="str">
        <f>'Consumption Model'!P129</f>
        <v>Add</v>
      </c>
      <c r="AD12" s="22">
        <f>IF(LEN(VLOOKUP(AC12,A2:D500,4,FALSE))=0,,VLOOKUP(AC12,A2:D500,4,FALSE))</f>
        <v>0</v>
      </c>
      <c r="AE12" s="22" t="str">
        <f>'(Data)'!P125</f>
        <v>Add</v>
      </c>
      <c r="AF12" s="22">
        <f>IF(LEN(VLOOKUP(AE11:AE12,A2:D500,4,FALSE))=0,,VLOOKUP(AE11:AE12,A2:D500,4,FALSE))</f>
        <v>0</v>
      </c>
      <c r="AG12" s="57"/>
      <c r="AH12" s="45" t="str">
        <f>'Risk Charact Model'!P143</f>
        <v>Add</v>
      </c>
      <c r="AI12" s="58">
        <f>IF(LEN(VLOOKUP(AH12,A2:D500,4,FALSE))=0,,VLOOKUP(AH12,A2:D500,4,FALSE))</f>
        <v>0</v>
      </c>
    </row>
    <row r="13" spans="1:35" ht="14" x14ac:dyDescent="0.3">
      <c r="I13" s="22" t="str">
        <f>'Generic Metadata Schema'!P143</f>
        <v>[Probability]</v>
      </c>
      <c r="J13" s="22" t="e">
        <f>IF(LEN(VLOOKUP(I13,A2:D500,4,FALSE))=0,"",VLOOKUP(I13,A2:D500,4,FALSE))</f>
        <v>#N/A</v>
      </c>
      <c r="L13" s="56" t="str">
        <f>'Dose-response Model'!O127</f>
        <v>Add</v>
      </c>
      <c r="M13" s="22">
        <f>IF(LEN(VLOOKUP(L13,A2:D500,4,FALSE))=0,,VLOOKUP(L13,A2:D500,4,FALSE))</f>
        <v>0</v>
      </c>
      <c r="N13" s="22" t="str">
        <f>'Exposure Model'!O144</f>
        <v>Add</v>
      </c>
      <c r="O13" s="22">
        <f>IF(LEN(VLOOKUP(N13,A2:D500,4,FALSE))=0,,VLOOKUP(N13,A2:D500,4,FALSE))</f>
        <v>0</v>
      </c>
      <c r="P13" s="55" t="str">
        <f>'QRA Models'!P144</f>
        <v>Add</v>
      </c>
      <c r="Q13" s="22">
        <f>IF(LEN(VLOOKUP(P13,A2:D500,4,FALSE))=0,,VLOOKUP(P13,A2:D500,4,FALSE))</f>
        <v>0</v>
      </c>
      <c r="R13" s="56" t="str">
        <f>'Health metrics Models'!P127</f>
        <v>Add</v>
      </c>
      <c r="S13" s="22">
        <f>IF(LEN(VLOOKUP(R13,A2:D500,4,FALSE))=0,,VLOOKUP(R13,A2:D500,4,FALSE))</f>
        <v>0</v>
      </c>
      <c r="T13" s="56" t="str">
        <f>'Process Model'!O125</f>
        <v>Add</v>
      </c>
      <c r="U13" s="22">
        <f>IF(LEN(VLOOKUP(T13,A2:D500,4,FALSE))=0,,VLOOKUP(T13,A2:D500,4,FALSE))</f>
        <v>0</v>
      </c>
      <c r="V13" s="56" t="str">
        <f>'Toxicological reference value M'!P127</f>
        <v>Add</v>
      </c>
      <c r="W13" s="22">
        <f>IF(LEN(VLOOKUP(V13,A2:D500,4,FALSE))=0,,VLOOKUP(V13,A2:D500,4,FALSE))</f>
        <v>0</v>
      </c>
      <c r="Y13" s="56" t="str">
        <f>'Other Empirical Model'!P138</f>
        <v>Add</v>
      </c>
      <c r="Z13" s="22">
        <f>IF(LEN(VLOOKUP(Y13,A2:D500,4,FALSE))=0,,VLOOKUP(Y13,A2:D500,4,FALSE))</f>
        <v>0</v>
      </c>
      <c r="AA13" s="56" t="str">
        <f>'Predictive Model'!P125</f>
        <v>Add</v>
      </c>
      <c r="AB13" s="22">
        <f>IF(LEN(VLOOKUP(AA13,A2:D500,4,FALSE))=0,,VLOOKUP(AA13,A2:D500,4,FALSE))</f>
        <v>0</v>
      </c>
      <c r="AC13" s="56" t="str">
        <f>'Consumption Model'!P130</f>
        <v>Add</v>
      </c>
      <c r="AD13" s="22">
        <f>IF(LEN(VLOOKUP(AC13,A2:D500,4,FALSE))=0,,VLOOKUP(AC13,A2:D500,4,FALSE))</f>
        <v>0</v>
      </c>
      <c r="AE13" s="22" t="str">
        <f>'(Data)'!P126</f>
        <v>Add</v>
      </c>
      <c r="AF13" s="22">
        <f>IF(LEN(VLOOKUP(AE12:AE13,A2:D500,4,FALSE))=0,,VLOOKUP(AE12:AE13,A2:D500,4,FALSE))</f>
        <v>0</v>
      </c>
      <c r="AG13" s="57"/>
      <c r="AH13" s="45" t="str">
        <f>'Risk Charact Model'!P144</f>
        <v>Add</v>
      </c>
      <c r="AI13" s="58">
        <f>IF(LEN(VLOOKUP(AH13,A2:D500,4,FALSE))=0,,VLOOKUP(AH13,A2:D500,4,FALSE))</f>
        <v>0</v>
      </c>
    </row>
    <row r="14" spans="1:35" ht="14" x14ac:dyDescent="0.3">
      <c r="I14" s="22" t="str">
        <f>'Generic Metadata Schema'!P144</f>
        <v>[Probability]</v>
      </c>
      <c r="J14" s="22" t="e">
        <f>IF(LEN(VLOOKUP(I14,A2:D500,4,FALSE))=0,"",VLOOKUP(I14,A2:D500,4,FALSE))</f>
        <v>#N/A</v>
      </c>
      <c r="L14" s="56" t="str">
        <f>'Dose-response Model'!O128</f>
        <v>Add</v>
      </c>
      <c r="M14" s="22">
        <f>IF(LEN(VLOOKUP(L14,A2:D500,4,FALSE))=0,,VLOOKUP(L14,A2:D500,4,FALSE))</f>
        <v>0</v>
      </c>
      <c r="N14" s="22" t="str">
        <f>'Exposure Model'!O145</f>
        <v>Add</v>
      </c>
      <c r="O14" s="22">
        <f>IF(LEN(VLOOKUP(N14,A2:D500,4,FALSE))=0,,VLOOKUP(N14,A2:D500,4,FALSE))</f>
        <v>0</v>
      </c>
      <c r="P14" s="55" t="str">
        <f>'QRA Models'!P145</f>
        <v>Add</v>
      </c>
      <c r="Q14" s="22">
        <f>IF(LEN(VLOOKUP(P14,A2:D500,4,FALSE))=0,,VLOOKUP(P14,A2:D500,4,FALSE))</f>
        <v>0</v>
      </c>
      <c r="R14" s="56" t="str">
        <f>'Health metrics Models'!P128</f>
        <v>Add</v>
      </c>
      <c r="S14" s="22">
        <f>IF(LEN(VLOOKUP(R14,A2:D500,4,FALSE))=0,,VLOOKUP(R14,A2:D500,4,FALSE))</f>
        <v>0</v>
      </c>
      <c r="T14" s="56" t="str">
        <f>'Process Model'!O126</f>
        <v>Add</v>
      </c>
      <c r="U14" s="22">
        <f>IF(LEN(VLOOKUP(T14,A2:D500,4,FALSE))=0,,VLOOKUP(T14,A2:D500,4,FALSE))</f>
        <v>0</v>
      </c>
      <c r="V14" s="56" t="str">
        <f>'Toxicological reference value M'!P128</f>
        <v>Add</v>
      </c>
      <c r="W14" s="22">
        <f>IF(LEN(VLOOKUP(V14,A2:D500,4,FALSE))=0,,VLOOKUP(V14,A2:D500,4,FALSE))</f>
        <v>0</v>
      </c>
      <c r="Y14" s="56" t="str">
        <f>'Other Empirical Model'!P139</f>
        <v>Add</v>
      </c>
      <c r="Z14" s="22">
        <f>IF(LEN(VLOOKUP(Y14,A2:D500,4,FALSE))=0,,VLOOKUP(Y14,A2:D500,4,FALSE))</f>
        <v>0</v>
      </c>
      <c r="AA14" s="56" t="str">
        <f>'Predictive Model'!P126</f>
        <v>Add</v>
      </c>
      <c r="AB14" s="22">
        <f>IF(LEN(VLOOKUP(AA14,A2:D500,4,FALSE))=0,,VLOOKUP(AA14,A2:D500,4,FALSE))</f>
        <v>0</v>
      </c>
      <c r="AC14" s="56" t="str">
        <f>'Consumption Model'!P131</f>
        <v>Add</v>
      </c>
      <c r="AD14" s="22">
        <f>IF(LEN(VLOOKUP(AC14,A2:D500,4,FALSE))=0,,VLOOKUP(AC14,A2:D500,4,FALSE))</f>
        <v>0</v>
      </c>
      <c r="AE14" s="22" t="str">
        <f>'(Data)'!P127</f>
        <v>Add</v>
      </c>
      <c r="AF14" s="22">
        <f>IF(LEN(VLOOKUP(AE13:AE14,A2:D500,4,FALSE))=0,,VLOOKUP(AE13:AE14,A2:D500,4,FALSE))</f>
        <v>0</v>
      </c>
      <c r="AG14" s="57"/>
      <c r="AH14" s="45" t="str">
        <f>'Risk Charact Model'!P145</f>
        <v>Add</v>
      </c>
      <c r="AI14" s="58">
        <f>IF(LEN(VLOOKUP(AH14,A2:D500,4,FALSE))=0,,VLOOKUP(AH14,A2:D500,4,FALSE))</f>
        <v>0</v>
      </c>
    </row>
    <row r="15" spans="1:35" ht="14" x14ac:dyDescent="0.3">
      <c r="I15" s="22" t="str">
        <f>'Generic Metadata Schema'!P145</f>
        <v>[Probability]</v>
      </c>
      <c r="J15" s="22" t="e">
        <f>IF(LEN(VLOOKUP(I15,A2:D500,4,FALSE))=0,"",VLOOKUP(I15,A2:D500,4,FALSE))</f>
        <v>#N/A</v>
      </c>
      <c r="L15" s="56" t="str">
        <f>'Dose-response Model'!O129</f>
        <v>Add</v>
      </c>
      <c r="M15" s="22">
        <f>IF(LEN(VLOOKUP(L15,A2:D500,4,FALSE))=0,,VLOOKUP(L15,A2:D500,4,FALSE))</f>
        <v>0</v>
      </c>
      <c r="N15" s="22" t="str">
        <f>'Exposure Model'!O146</f>
        <v>Add</v>
      </c>
      <c r="O15" s="22">
        <f>IF(LEN(VLOOKUP(N15,A2:D500,4,FALSE))=0,,VLOOKUP(N15,A2:D500,4,FALSE))</f>
        <v>0</v>
      </c>
      <c r="P15" s="55" t="str">
        <f>'QRA Models'!P146</f>
        <v>Add</v>
      </c>
      <c r="Q15" s="22">
        <f>IF(LEN(VLOOKUP(P15,A2:D500,4,FALSE))=0,,VLOOKUP(P15,A2:D500,4,FALSE))</f>
        <v>0</v>
      </c>
      <c r="R15" s="56" t="str">
        <f>'Health metrics Models'!P129</f>
        <v>Add</v>
      </c>
      <c r="S15" s="22">
        <f>IF(LEN(VLOOKUP(R15,A2:D500,4,FALSE))=0,,VLOOKUP(R15,A2:D500,4,FALSE))</f>
        <v>0</v>
      </c>
      <c r="T15" s="56" t="str">
        <f>'Process Model'!O127</f>
        <v>Add</v>
      </c>
      <c r="U15" s="22">
        <f>IF(LEN(VLOOKUP(T15,A2:D500,4,FALSE))=0,,VLOOKUP(T15,A2:D500,4,FALSE))</f>
        <v>0</v>
      </c>
      <c r="V15" s="56" t="str">
        <f>'Toxicological reference value M'!P129</f>
        <v>Add</v>
      </c>
      <c r="W15" s="22">
        <f>IF(LEN(VLOOKUP(V15,A2:D500,4,FALSE))=0,,VLOOKUP(V15,A2:D500,4,FALSE))</f>
        <v>0</v>
      </c>
      <c r="Y15" s="56" t="str">
        <f>'Other Empirical Model'!P140</f>
        <v>Add</v>
      </c>
      <c r="Z15" s="22">
        <f>IF(LEN(VLOOKUP(Y15,A2:D500,4,FALSE))=0,,VLOOKUP(Y15,A2:D500,4,FALSE))</f>
        <v>0</v>
      </c>
      <c r="AA15" s="56" t="str">
        <f>'Predictive Model'!P127</f>
        <v>Add</v>
      </c>
      <c r="AB15" s="22">
        <f>IF(LEN(VLOOKUP(AA15,A2:D500,4,FALSE))=0,,VLOOKUP(AA15,A2:D500,4,FALSE))</f>
        <v>0</v>
      </c>
      <c r="AC15" s="56" t="str">
        <f>'Consumption Model'!P132</f>
        <v>Add</v>
      </c>
      <c r="AD15" s="22">
        <f>IF(LEN(VLOOKUP(AC15,A2:D500,4,FALSE))=0,,VLOOKUP(AC15,A2:D500,4,FALSE))</f>
        <v>0</v>
      </c>
      <c r="AE15" s="22" t="str">
        <f>'(Data)'!P128</f>
        <v>Add</v>
      </c>
      <c r="AF15" s="22">
        <f>IF(LEN(VLOOKUP(AE14:AE15,A2:D500,4,FALSE))=0,,VLOOKUP(AE14:AE15,A2:D500,4,FALSE))</f>
        <v>0</v>
      </c>
      <c r="AG15" s="57"/>
      <c r="AH15" s="45" t="str">
        <f>'Risk Charact Model'!P146</f>
        <v>Add</v>
      </c>
      <c r="AI15" s="58">
        <f>IF(LEN(VLOOKUP(AH15,A2:D500,4,FALSE))=0,,VLOOKUP(AH15,A2:D500,4,FALSE))</f>
        <v>0</v>
      </c>
    </row>
    <row r="16" spans="1:35" ht="14" x14ac:dyDescent="0.3">
      <c r="I16" s="22" t="str">
        <f>'Generic Metadata Schema'!P146</f>
        <v>[Probability]</v>
      </c>
      <c r="J16" s="22" t="e">
        <f>IF(LEN(VLOOKUP(I16,A2:D500,4,FALSE))=0,"",VLOOKUP(I16,A2:D500,4,FALSE))</f>
        <v>#N/A</v>
      </c>
      <c r="L16" s="56" t="str">
        <f>'Dose-response Model'!O130</f>
        <v>Add</v>
      </c>
      <c r="M16" s="22">
        <f>IF(LEN(VLOOKUP(L16,A2:D500,4,FALSE))=0,,VLOOKUP(L16,A2:D500,4,FALSE))</f>
        <v>0</v>
      </c>
      <c r="N16" s="22" t="str">
        <f>'Exposure Model'!O147</f>
        <v>Add</v>
      </c>
      <c r="O16" s="22">
        <f>IF(LEN(VLOOKUP(N16,A2:D500,4,FALSE))=0,,VLOOKUP(N16,A2:D500,4,FALSE))</f>
        <v>0</v>
      </c>
      <c r="P16" s="55" t="str">
        <f>'QRA Models'!P147</f>
        <v>Add</v>
      </c>
      <c r="Q16" s="22">
        <f>IF(LEN(VLOOKUP(P16,A2:D500,4,FALSE))=0,,VLOOKUP(P16,A2:D500,4,FALSE))</f>
        <v>0</v>
      </c>
      <c r="R16" s="56" t="str">
        <f>'Health metrics Models'!P130</f>
        <v>Add</v>
      </c>
      <c r="S16" s="22">
        <f>IF(LEN(VLOOKUP(R16,A2:D500,4,FALSE))=0,,VLOOKUP(R16,A2:D500,4,FALSE))</f>
        <v>0</v>
      </c>
      <c r="T16" s="56" t="str">
        <f>'Process Model'!O128</f>
        <v>Add</v>
      </c>
      <c r="U16" s="22">
        <f>IF(LEN(VLOOKUP(T16,A2:D500,4,FALSE))=0,,VLOOKUP(T16,A2:D500,4,FALSE))</f>
        <v>0</v>
      </c>
      <c r="V16" s="56" t="str">
        <f>'Toxicological reference value M'!P130</f>
        <v>Add</v>
      </c>
      <c r="W16" s="22">
        <f>IF(LEN(VLOOKUP(V16,A2:D500,4,FALSE))=0,,VLOOKUP(V16,A2:D500,4,FALSE))</f>
        <v>0</v>
      </c>
      <c r="Y16" s="56" t="str">
        <f>'Other Empirical Model'!P141</f>
        <v>Add</v>
      </c>
      <c r="Z16" s="22">
        <f>IF(LEN(VLOOKUP(Y16,A2:D500,4,FALSE))=0,,VLOOKUP(Y16,A2:D500,4,FALSE))</f>
        <v>0</v>
      </c>
      <c r="AA16" s="56" t="str">
        <f>'Predictive Model'!P128</f>
        <v>Add</v>
      </c>
      <c r="AB16" s="22">
        <f>IF(LEN(VLOOKUP(AA16,A2:D500,4,FALSE))=0,,VLOOKUP(AA16,A2:D500,4,FALSE))</f>
        <v>0</v>
      </c>
      <c r="AC16" s="56" t="str">
        <f>'Consumption Model'!P133</f>
        <v>Add</v>
      </c>
      <c r="AD16" s="22">
        <f>IF(LEN(VLOOKUP(AC16,A2:D500,4,FALSE))=0,,VLOOKUP(AC16,A2:D500,4,FALSE))</f>
        <v>0</v>
      </c>
      <c r="AE16" s="22" t="str">
        <f>'(Data)'!P129</f>
        <v>Add</v>
      </c>
      <c r="AF16" s="22">
        <f>IF(LEN(VLOOKUP(AE15:AE16,A2:D500,4,FALSE))=0,,VLOOKUP(AE15:AE16,A2:D500,4,FALSE))</f>
        <v>0</v>
      </c>
      <c r="AG16" s="57"/>
      <c r="AH16" s="45" t="str">
        <f>'Risk Charact Model'!P147</f>
        <v>Add</v>
      </c>
      <c r="AI16" s="58">
        <f>IF(LEN(VLOOKUP(AH16,A2:D500,4,FALSE))=0,,VLOOKUP(AH16,A2:D500,4,FALSE))</f>
        <v>0</v>
      </c>
    </row>
    <row r="17" spans="1:35" ht="14" x14ac:dyDescent="0.3">
      <c r="I17" s="22" t="str">
        <f>'Generic Metadata Schema'!P147</f>
        <v>[Probability]</v>
      </c>
      <c r="J17" s="22" t="e">
        <f>IF(LEN(VLOOKUP(I17,A2:D500,4,FALSE))=0,"",VLOOKUP(I17,A2:D500,4,FALSE))</f>
        <v>#N/A</v>
      </c>
      <c r="L17" s="56" t="str">
        <f>'Dose-response Model'!O131</f>
        <v>Add</v>
      </c>
      <c r="M17" s="22">
        <f>IF(LEN(VLOOKUP(L17,A2:D500,4,FALSE))=0,,VLOOKUP(L17,A2:D500,4,FALSE))</f>
        <v>0</v>
      </c>
      <c r="N17" s="22" t="str">
        <f>'Exposure Model'!O148</f>
        <v>Add</v>
      </c>
      <c r="O17" s="22">
        <f>IF(LEN(VLOOKUP(N17,A2:D500,4,FALSE))=0,,VLOOKUP(N17,A2:D500,4,FALSE))</f>
        <v>0</v>
      </c>
      <c r="P17" s="55" t="str">
        <f>'QRA Models'!P148</f>
        <v>Add</v>
      </c>
      <c r="Q17" s="22">
        <f>IF(LEN(VLOOKUP(P17,A2:D500,4,FALSE))=0,,VLOOKUP(P17,A2:D500,4,FALSE))</f>
        <v>0</v>
      </c>
      <c r="R17" s="56" t="str">
        <f>'Health metrics Models'!P131</f>
        <v>Add</v>
      </c>
      <c r="S17" s="22">
        <f>IF(LEN(VLOOKUP(R17,A2:D500,4,FALSE))=0,,VLOOKUP(R17,A2:D500,4,FALSE))</f>
        <v>0</v>
      </c>
      <c r="T17" s="56" t="str">
        <f>'Process Model'!O129</f>
        <v>Add</v>
      </c>
      <c r="U17" s="22">
        <f>IF(LEN(VLOOKUP(T17,A2:D500,4,FALSE))=0,,VLOOKUP(T17,A2:D500,4,FALSE))</f>
        <v>0</v>
      </c>
      <c r="V17" s="56" t="str">
        <f>'Toxicological reference value M'!P131</f>
        <v>Add</v>
      </c>
      <c r="W17" s="22">
        <f>IF(LEN(VLOOKUP(V17,A2:D500,4,FALSE))=0,,VLOOKUP(V17,A2:D500,4,FALSE))</f>
        <v>0</v>
      </c>
      <c r="Y17" s="56" t="str">
        <f>'Other Empirical Model'!P142</f>
        <v>Add</v>
      </c>
      <c r="Z17" s="22">
        <f>IF(LEN(VLOOKUP(Y17,A2:D500,4,FALSE))=0,,VLOOKUP(Y17,A2:D500,4,FALSE))</f>
        <v>0</v>
      </c>
      <c r="AA17" s="56" t="str">
        <f>'Predictive Model'!P129</f>
        <v>Add</v>
      </c>
      <c r="AB17" s="22">
        <f>IF(LEN(VLOOKUP(AA17,A2:D500,4,FALSE))=0,,VLOOKUP(AA17,A2:D500,4,FALSE))</f>
        <v>0</v>
      </c>
      <c r="AC17" s="56" t="str">
        <f>'Consumption Model'!P134</f>
        <v>Add</v>
      </c>
      <c r="AD17" s="22">
        <f>IF(LEN(VLOOKUP(AC17,A2:D500,4,FALSE))=0,,VLOOKUP(AC17,A2:D500,4,FALSE))</f>
        <v>0</v>
      </c>
      <c r="AE17" s="22">
        <f>'(Data)'!P130</f>
        <v>0</v>
      </c>
      <c r="AF17" s="22" t="e">
        <f>IF(LEN(VLOOKUP(AE16:AE17,A2:D500,4,FALSE))=0,,VLOOKUP(AE16:AE17,A2:D500,4,FALSE))</f>
        <v>#N/A</v>
      </c>
      <c r="AG17" s="57"/>
      <c r="AH17" s="45" t="str">
        <f>'Risk Charact Model'!P148</f>
        <v>Add</v>
      </c>
      <c r="AI17" s="58">
        <f>IF(LEN(VLOOKUP(AH17,A2:D500,4,FALSE))=0,,VLOOKUP(AH17,A2:D500,4,FALSE))</f>
        <v>0</v>
      </c>
    </row>
    <row r="18" spans="1:35" ht="14" x14ac:dyDescent="0.3">
      <c r="I18" s="22" t="str">
        <f>'Generic Metadata Schema'!P148</f>
        <v>[Probability]</v>
      </c>
      <c r="J18" s="22" t="e">
        <f>IF(LEN(VLOOKUP(I18,A2:D500,4,FALSE))=0,"",VLOOKUP(I18,A2:D500,4,FALSE))</f>
        <v>#N/A</v>
      </c>
      <c r="L18" s="56" t="str">
        <f>'Dose-response Model'!O132</f>
        <v>Add</v>
      </c>
      <c r="M18" s="22">
        <f>IF(LEN(VLOOKUP(L18,A2:D500,4,FALSE))=0,,VLOOKUP(L18,A2:D500,4,FALSE))</f>
        <v>0</v>
      </c>
      <c r="N18" s="22" t="str">
        <f>'Exposure Model'!O149</f>
        <v>Add</v>
      </c>
      <c r="O18" s="22">
        <f>IF(LEN(VLOOKUP(N18,A2:D500,4,FALSE))=0,,VLOOKUP(N18,A2:D500,4,FALSE))</f>
        <v>0</v>
      </c>
      <c r="P18" s="55" t="str">
        <f>'QRA Models'!P149</f>
        <v>Add</v>
      </c>
      <c r="Q18" s="22">
        <f>IF(LEN(VLOOKUP(P18,A2:D500,4,FALSE))=0,,VLOOKUP(P18,A2:D500,4,FALSE))</f>
        <v>0</v>
      </c>
      <c r="R18" s="56" t="str">
        <f>'Health metrics Models'!P132</f>
        <v>Add</v>
      </c>
      <c r="S18" s="22">
        <f>IF(LEN(VLOOKUP(R18,A2:D500,4,FALSE))=0,,VLOOKUP(R18,A2:D500,4,FALSE))</f>
        <v>0</v>
      </c>
      <c r="T18" s="56" t="str">
        <f>'Process Model'!O130</f>
        <v>Add</v>
      </c>
      <c r="U18" s="22">
        <f>IF(LEN(VLOOKUP(T18,A2:D500,4,FALSE))=0,,VLOOKUP(T18,A2:D500,4,FALSE))</f>
        <v>0</v>
      </c>
      <c r="V18" s="56" t="str">
        <f>'Toxicological reference value M'!P132</f>
        <v>Add</v>
      </c>
      <c r="W18" s="22">
        <f>IF(LEN(VLOOKUP(V18,A2:D500,4,FALSE))=0,,VLOOKUP(V18,A2:D500,4,FALSE))</f>
        <v>0</v>
      </c>
      <c r="Y18" s="56" t="str">
        <f>'Other Empirical Model'!P143</f>
        <v>Add</v>
      </c>
      <c r="Z18" s="22">
        <f>IF(LEN(VLOOKUP(Y18,A2:D500,4,FALSE))=0,,VLOOKUP(Y18,A2:D500,4,FALSE))</f>
        <v>0</v>
      </c>
      <c r="AA18" s="56" t="str">
        <f>'Predictive Model'!P130</f>
        <v>Add</v>
      </c>
      <c r="AB18" s="22">
        <f>IF(LEN(VLOOKUP(AA18,A2:D500,4,FALSE))=0,,VLOOKUP(AA18,A2:D500,4,FALSE))</f>
        <v>0</v>
      </c>
      <c r="AC18" s="56" t="str">
        <f>'Consumption Model'!P135</f>
        <v>Add</v>
      </c>
      <c r="AD18" s="22">
        <f>IF(LEN(VLOOKUP(AC18,A2:D500,4,FALSE))=0,,VLOOKUP(AC18,A2:D500,4,FALSE))</f>
        <v>0</v>
      </c>
      <c r="AE18" s="22">
        <f>'(Data)'!P131</f>
        <v>0</v>
      </c>
      <c r="AF18" s="22" t="e">
        <f>IF(LEN(VLOOKUP(AE17:AE18,A2:D500,4,FALSE))=0,,VLOOKUP(AE17:AE18,A2:D500,4,FALSE))</f>
        <v>#N/A</v>
      </c>
      <c r="AG18" s="57"/>
      <c r="AH18" s="45" t="str">
        <f>'Risk Charact Model'!P149</f>
        <v>Add</v>
      </c>
      <c r="AI18" s="58">
        <f>IF(LEN(VLOOKUP(AH18,A2:D500,4,FALSE))=0,,VLOOKUP(AH18,A2:D500,4,FALSE))</f>
        <v>0</v>
      </c>
    </row>
    <row r="19" spans="1:35" ht="14" x14ac:dyDescent="0.3">
      <c r="I19" s="22" t="str">
        <f>'Generic Metadata Schema'!P149</f>
        <v>[Probability]</v>
      </c>
      <c r="J19" s="22" t="e">
        <f>IF(LEN(VLOOKUP(I19,A2:D500,4,FALSE))=0,"",VLOOKUP(I19,A2:D500,4,FALSE))</f>
        <v>#N/A</v>
      </c>
      <c r="L19" s="56" t="str">
        <f>'Dose-response Model'!O133</f>
        <v>Add</v>
      </c>
      <c r="M19" s="22">
        <f>IF(LEN(VLOOKUP(L19,A2:D500,4,FALSE))=0,,VLOOKUP(L19,A2:D500,4,FALSE))</f>
        <v>0</v>
      </c>
      <c r="N19" s="22" t="str">
        <f>'Exposure Model'!O150</f>
        <v>Add</v>
      </c>
      <c r="O19" s="22">
        <f>IF(LEN(VLOOKUP(N19,A2:D500,4,FALSE))=0,,VLOOKUP(N19,A2:D500,4,FALSE))</f>
        <v>0</v>
      </c>
      <c r="P19" s="55" t="str">
        <f>'QRA Models'!P150</f>
        <v>Add</v>
      </c>
      <c r="Q19" s="22">
        <f>IF(LEN(VLOOKUP(P19,A2:D500,4,FALSE))=0,,VLOOKUP(P19,A2:D500,4,FALSE))</f>
        <v>0</v>
      </c>
      <c r="R19" s="56" t="str">
        <f>'Health metrics Models'!P133</f>
        <v>Add</v>
      </c>
      <c r="S19" s="22">
        <f>IF(LEN(VLOOKUP(R19,A2:D500,4,FALSE))=0,,VLOOKUP(R19,A2:D500,4,FALSE))</f>
        <v>0</v>
      </c>
      <c r="T19" s="56" t="str">
        <f>'Process Model'!O131</f>
        <v>Add</v>
      </c>
      <c r="U19" s="22">
        <f>IF(LEN(VLOOKUP(T19,A2:D500,4,FALSE))=0,,VLOOKUP(T19,A2:D500,4,FALSE))</f>
        <v>0</v>
      </c>
      <c r="V19" s="56" t="str">
        <f>'Toxicological reference value M'!P133</f>
        <v>Add</v>
      </c>
      <c r="W19" s="22">
        <f>IF(LEN(VLOOKUP(V19,A2:D500,4,FALSE))=0,,VLOOKUP(V19,A2:D500,4,FALSE))</f>
        <v>0</v>
      </c>
      <c r="Y19" s="56" t="str">
        <f>'Other Empirical Model'!P144</f>
        <v>Add</v>
      </c>
      <c r="Z19" s="22">
        <f>IF(LEN(VLOOKUP(Y19,A2:D500,4,FALSE))=0,,VLOOKUP(Y19,A2:D500,4,FALSE))</f>
        <v>0</v>
      </c>
      <c r="AA19" s="56" t="str">
        <f>'Predictive Model'!P131</f>
        <v>Add</v>
      </c>
      <c r="AB19" s="22">
        <f>IF(LEN(VLOOKUP(AA19,A2:D500,4,FALSE))=0,,VLOOKUP(AA19,A2:D500,4,FALSE))</f>
        <v>0</v>
      </c>
      <c r="AC19" s="56" t="str">
        <f>'Consumption Model'!P136</f>
        <v>Add</v>
      </c>
      <c r="AD19" s="22">
        <f>IF(LEN(VLOOKUP(AC19,A2:D500,4,FALSE))=0,,VLOOKUP(AC19,A2:D500,4,FALSE))</f>
        <v>0</v>
      </c>
      <c r="AE19" s="22">
        <f>'(Data)'!P132</f>
        <v>0</v>
      </c>
      <c r="AF19" s="22" t="e">
        <f>IF(LEN(VLOOKUP(AE18:AE19,A2:D500,4,FALSE))=0,,VLOOKUP(AE18:AE19,A2:D500,4,FALSE))</f>
        <v>#N/A</v>
      </c>
      <c r="AG19" s="57"/>
      <c r="AH19" s="45" t="str">
        <f>'Risk Charact Model'!P150</f>
        <v>Add</v>
      </c>
      <c r="AI19" s="58">
        <f>IF(LEN(VLOOKUP(AH19,A2:D500,4,FALSE))=0,,VLOOKUP(AH19,A2:D500,4,FALSE))</f>
        <v>0</v>
      </c>
    </row>
    <row r="20" spans="1:35" ht="14" x14ac:dyDescent="0.3">
      <c r="I20" s="22" t="str">
        <f>'Generic Metadata Schema'!P150</f>
        <v>[Probability]</v>
      </c>
      <c r="J20" s="22" t="e">
        <f>IF(LEN(VLOOKUP(I20,A2:D500,4,FALSE))=0,"",VLOOKUP(I20,A2:D500,4,FALSE))</f>
        <v>#N/A</v>
      </c>
      <c r="L20" s="56" t="str">
        <f>'Dose-response Model'!O134</f>
        <v>Add</v>
      </c>
      <c r="M20" s="22">
        <f>IF(LEN(VLOOKUP(L20,A2:D500,4,FALSE))=0,,VLOOKUP(L20,A2:D500,4,FALSE))</f>
        <v>0</v>
      </c>
      <c r="N20" s="22" t="str">
        <f>'Exposure Model'!O151</f>
        <v>Add</v>
      </c>
      <c r="O20" s="22">
        <f>IF(LEN(VLOOKUP(N20,A2:D500,4,FALSE))=0,,VLOOKUP(N20,A2:D500,4,FALSE))</f>
        <v>0</v>
      </c>
      <c r="P20" s="55" t="str">
        <f>'QRA Models'!P151</f>
        <v>Add</v>
      </c>
      <c r="Q20" s="22">
        <f>IF(LEN(VLOOKUP(P20,A2:D500,4,FALSE))=0,,VLOOKUP(P20,A2:D500,4,FALSE))</f>
        <v>0</v>
      </c>
      <c r="R20" s="56" t="str">
        <f>'Health metrics Models'!P134</f>
        <v>Add</v>
      </c>
      <c r="S20" s="22">
        <f>IF(LEN(VLOOKUP(R20,A2:D500,4,FALSE))=0,,VLOOKUP(R20,A2:D500,4,FALSE))</f>
        <v>0</v>
      </c>
      <c r="T20" s="56" t="str">
        <f>'Process Model'!O132</f>
        <v>Add</v>
      </c>
      <c r="U20" s="22">
        <f>IF(LEN(VLOOKUP(T20,A2:D500,4,FALSE))=0,,VLOOKUP(T20,A2:D500,4,FALSE))</f>
        <v>0</v>
      </c>
      <c r="V20" s="56" t="str">
        <f>'Toxicological reference value M'!P134</f>
        <v>Add</v>
      </c>
      <c r="W20" s="22">
        <f>IF(LEN(VLOOKUP(V20,A2:D500,4,FALSE))=0,,VLOOKUP(V20,A2:D500,4,FALSE))</f>
        <v>0</v>
      </c>
      <c r="Y20" s="56" t="str">
        <f>'Other Empirical Model'!P145</f>
        <v>Add</v>
      </c>
      <c r="Z20" s="22">
        <f>IF(LEN(VLOOKUP(Y20,A2:D500,4,FALSE))=0,,VLOOKUP(Y20,A2:D500,4,FALSE))</f>
        <v>0</v>
      </c>
      <c r="AA20" s="56" t="str">
        <f>'Predictive Model'!P132</f>
        <v>Add</v>
      </c>
      <c r="AB20" s="22">
        <f>IF(LEN(VLOOKUP(AA20,A2:D500,4,FALSE))=0,,VLOOKUP(AA20,A2:D500,4,FALSE))</f>
        <v>0</v>
      </c>
      <c r="AC20" s="56" t="str">
        <f>'Consumption Model'!P137</f>
        <v>Add</v>
      </c>
      <c r="AD20" s="22">
        <f>IF(LEN(VLOOKUP(AC20,A2:D500,4,FALSE))=0,,VLOOKUP(AC20,A2:D500,4,FALSE))</f>
        <v>0</v>
      </c>
      <c r="AE20" s="22">
        <f>'(Data)'!P133</f>
        <v>0</v>
      </c>
      <c r="AF20" s="22" t="e">
        <f>IF(LEN(VLOOKUP(AE19:AE20,A2:D500,4,FALSE))=0,,VLOOKUP(AE19:AE20,A2:D500,4,FALSE))</f>
        <v>#N/A</v>
      </c>
      <c r="AG20" s="57"/>
      <c r="AH20" s="45" t="str">
        <f>'Risk Charact Model'!P151</f>
        <v>Add</v>
      </c>
      <c r="AI20" s="58">
        <f>IF(LEN(VLOOKUP(AH20,A2:D500,4,FALSE))=0,,VLOOKUP(AH20,A2:D500,4,FALSE))</f>
        <v>0</v>
      </c>
    </row>
    <row r="21" spans="1:35" ht="14" x14ac:dyDescent="0.3">
      <c r="I21" s="22" t="str">
        <f>'Generic Metadata Schema'!P151</f>
        <v>[Probability]</v>
      </c>
      <c r="J21" s="22" t="e">
        <f>IF(LEN(VLOOKUP(I21,A2:D500,4,FALSE))=0,"",VLOOKUP(I21,A2:D500,4,FALSE))</f>
        <v>#N/A</v>
      </c>
      <c r="L21" s="56" t="str">
        <f>'Dose-response Model'!O135</f>
        <v>Add</v>
      </c>
      <c r="M21" s="22">
        <f>IF(LEN(VLOOKUP(L21,A2:D500,4,FALSE))=0,,VLOOKUP(L21,A2:D500,4,FALSE))</f>
        <v>0</v>
      </c>
      <c r="N21" s="22" t="str">
        <f>'Exposure Model'!O152</f>
        <v>Add</v>
      </c>
      <c r="O21" s="22">
        <f>IF(LEN(VLOOKUP(N21,A2:D500,4,FALSE))=0,,VLOOKUP(N21,A2:D500,4,FALSE))</f>
        <v>0</v>
      </c>
      <c r="P21" s="55" t="str">
        <f>'QRA Models'!P152</f>
        <v>Add</v>
      </c>
      <c r="Q21" s="22">
        <f>IF(LEN(VLOOKUP(P21,A2:D500,4,FALSE))=0,,VLOOKUP(P21,A2:D500,4,FALSE))</f>
        <v>0</v>
      </c>
      <c r="R21" s="56" t="str">
        <f>'Health metrics Models'!P135</f>
        <v>Add</v>
      </c>
      <c r="S21" s="22">
        <f>IF(LEN(VLOOKUP(R21,A2:D500,4,FALSE))=0,,VLOOKUP(R21,A2:D500,4,FALSE))</f>
        <v>0</v>
      </c>
      <c r="T21" s="56" t="str">
        <f>'Process Model'!O133</f>
        <v>Add</v>
      </c>
      <c r="U21" s="22">
        <f>IF(LEN(VLOOKUP(T21,A2:D500,4,FALSE))=0,,VLOOKUP(T21,A2:D500,4,FALSE))</f>
        <v>0</v>
      </c>
      <c r="V21" s="56" t="str">
        <f>'Toxicological reference value M'!P135</f>
        <v>Add</v>
      </c>
      <c r="W21" s="22">
        <f>IF(LEN(VLOOKUP(V21,A2:D500,4,FALSE))=0,,VLOOKUP(V21,A2:D500,4,FALSE))</f>
        <v>0</v>
      </c>
      <c r="Y21" s="56">
        <f>'Other Empirical Model'!P146</f>
        <v>0</v>
      </c>
      <c r="Z21" s="22" t="e">
        <f>IF(LEN(VLOOKUP(Y21,A2:D500,4,FALSE))=0,,VLOOKUP(Y21,A2:D500,4,FALSE))</f>
        <v>#N/A</v>
      </c>
      <c r="AA21" s="56">
        <f>'Predictive Model'!P133</f>
        <v>0</v>
      </c>
      <c r="AB21" s="22" t="e">
        <f>IF(LEN(VLOOKUP(AA21,A2:D500,4,FALSE))=0,,VLOOKUP(AA21,A2:D500,4,FALSE))</f>
        <v>#N/A</v>
      </c>
      <c r="AC21" s="56" t="str">
        <f>'Consumption Model'!P138</f>
        <v>Add</v>
      </c>
      <c r="AD21" s="22">
        <f>IF(LEN(VLOOKUP(AC21,A2:D500,4,FALSE))=0,,VLOOKUP(AC21,A2:D500,4,FALSE))</f>
        <v>0</v>
      </c>
      <c r="AE21" s="22">
        <f>'(Data)'!P134</f>
        <v>0</v>
      </c>
      <c r="AF21" s="22" t="e">
        <f>IF(LEN(VLOOKUP(AE20:AE21,A2:D500,4,FALSE))=0,,VLOOKUP(AE20:AE21,A2:D500,4,FALSE))</f>
        <v>#N/A</v>
      </c>
      <c r="AG21" s="57"/>
      <c r="AH21" s="45" t="str">
        <f>'Risk Charact Model'!P152</f>
        <v>Add</v>
      </c>
      <c r="AI21" s="58">
        <f>IF(LEN(VLOOKUP(AH21,A2:D500,4,FALSE))=0,,VLOOKUP(AH21,A2:D500,4,FALSE))</f>
        <v>0</v>
      </c>
    </row>
    <row r="22" spans="1:35" ht="14" x14ac:dyDescent="0.3">
      <c r="I22" s="22">
        <f>'Generic Metadata Schema'!P152</f>
        <v>0</v>
      </c>
      <c r="J22" s="22" t="e">
        <f>IF(LEN(VLOOKUP(I22,A2:D500,4,FALSE))=0,"",VLOOKUP(I22,A2:D500,4,FALSE))</f>
        <v>#N/A</v>
      </c>
      <c r="L22" s="56" t="str">
        <f>'Dose-response Model'!O136</f>
        <v>Add</v>
      </c>
      <c r="M22" s="22">
        <f>IF(LEN(VLOOKUP(L22,A2:D500,4,FALSE))=0,,VLOOKUP(L22,A2:D500,4,FALSE))</f>
        <v>0</v>
      </c>
      <c r="N22" s="22" t="str">
        <f>'Exposure Model'!O153</f>
        <v>Add</v>
      </c>
      <c r="O22" s="22">
        <f>IF(LEN(VLOOKUP(N22,A2:D500,4,FALSE))=0,,VLOOKUP(N22,A2:D500,4,FALSE))</f>
        <v>0</v>
      </c>
      <c r="P22" s="55" t="str">
        <f>'QRA Models'!P153</f>
        <v>Add</v>
      </c>
      <c r="Q22" s="22">
        <f>IF(LEN(VLOOKUP(P22,A2:D500,4,FALSE))=0,,VLOOKUP(P22,A2:D500,4,FALSE))</f>
        <v>0</v>
      </c>
      <c r="R22" s="56" t="str">
        <f>'Health metrics Models'!P136</f>
        <v>Add</v>
      </c>
      <c r="S22" s="22">
        <f>IF(LEN(VLOOKUP(R22,A2:D500,4,FALSE))=0,,VLOOKUP(R22,A2:D500,4,FALSE))</f>
        <v>0</v>
      </c>
      <c r="T22" s="56">
        <f>'Process Model'!O134</f>
        <v>0</v>
      </c>
      <c r="U22" s="22" t="e">
        <f>IF(LEN(VLOOKUP(T22,A2:D500,4,FALSE))=0,,VLOOKUP(T22,A2:D500,4,FALSE))</f>
        <v>#N/A</v>
      </c>
      <c r="V22" s="56" t="str">
        <f>'Toxicological reference value M'!P136</f>
        <v>Add</v>
      </c>
      <c r="W22" s="22">
        <f>IF(LEN(VLOOKUP(V22,A2:D500,4,FALSE))=0,,VLOOKUP(V22,A2:D500,4,FALSE))</f>
        <v>0</v>
      </c>
      <c r="Y22" s="56">
        <f>'Other Empirical Model'!P147</f>
        <v>0</v>
      </c>
      <c r="Z22" s="22" t="e">
        <f>IF(LEN(VLOOKUP(Y22,A2:D500,4,FALSE))=0,,VLOOKUP(Y22,A2:D500,4,FALSE))</f>
        <v>#N/A</v>
      </c>
      <c r="AA22" s="56">
        <f>'Predictive Model'!P134</f>
        <v>0</v>
      </c>
      <c r="AB22" s="22" t="e">
        <f>IF(LEN(VLOOKUP(AA22,A2:D500,4,FALSE))=0,,VLOOKUP(AA22,A2:D500,4,FALSE))</f>
        <v>#N/A</v>
      </c>
      <c r="AC22" s="56">
        <f>'Consumption Model'!P139</f>
        <v>0</v>
      </c>
      <c r="AD22" s="22" t="e">
        <f>IF(LEN(VLOOKUP(AC22,A2:D500,4,FALSE))=0,,VLOOKUP(AC22,A2:D500,4,FALSE))</f>
        <v>#N/A</v>
      </c>
      <c r="AE22" s="22">
        <f>'(Data)'!P135</f>
        <v>0</v>
      </c>
      <c r="AF22" s="22" t="e">
        <f>IF(LEN(VLOOKUP(AE21:AE22,A2:D500,4,FALSE))=0,,VLOOKUP(AE21:AE22,A2:D500,4,FALSE))</f>
        <v>#N/A</v>
      </c>
      <c r="AG22" s="57"/>
      <c r="AH22" s="45" t="str">
        <f>'Risk Charact Model'!P153</f>
        <v>Add</v>
      </c>
      <c r="AI22" s="58">
        <f>IF(LEN(VLOOKUP(AH22,A2:D500,4,FALSE))=0,,VLOOKUP(AH22,A2:D500,4,FALSE))</f>
        <v>0</v>
      </c>
    </row>
    <row r="23" spans="1:35" ht="14" x14ac:dyDescent="0.3">
      <c r="I23" s="22">
        <f>'Generic Metadata Schema'!P153</f>
        <v>0</v>
      </c>
      <c r="J23" s="22" t="e">
        <f>IF(LEN(VLOOKUP(I23,A2:D500,4,FALSE))=0,"",VLOOKUP(I23,A2:D500,4,FALSE))</f>
        <v>#N/A</v>
      </c>
      <c r="L23" s="56">
        <f>'Dose-response Model'!O137</f>
        <v>0</v>
      </c>
      <c r="M23" s="22" t="e">
        <f>IF(LEN(VLOOKUP(L23,A2:D500,4,FALSE))=0,,VLOOKUP(L23,A2:D500,4,FALSE))</f>
        <v>#N/A</v>
      </c>
      <c r="N23" s="22">
        <f>'Exposure Model'!O154</f>
        <v>0</v>
      </c>
      <c r="O23" s="22" t="e">
        <f>IF(LEN(VLOOKUP(N23,A2:D500,4,FALSE))=0,,VLOOKUP(N23,A2:D500,4,FALSE))</f>
        <v>#N/A</v>
      </c>
      <c r="P23" s="55">
        <f>'QRA Models'!P154</f>
        <v>0</v>
      </c>
      <c r="Q23" s="22" t="e">
        <f>IF(LEN(VLOOKUP(P23,A2:D500,4,FALSE))=0,,VLOOKUP(P23,A2:D500,4,FALSE))</f>
        <v>#N/A</v>
      </c>
      <c r="R23" s="56">
        <f>'Health metrics Models'!P137</f>
        <v>0</v>
      </c>
      <c r="S23" s="22" t="e">
        <f>IF(LEN(VLOOKUP(R23,A2:D500,4,FALSE))=0,,VLOOKUP(R23,A2:D500,4,FALSE))</f>
        <v>#N/A</v>
      </c>
      <c r="T23" s="56">
        <f>'Process Model'!O135</f>
        <v>0</v>
      </c>
      <c r="U23" s="22" t="e">
        <f>IF(LEN(VLOOKUP(T23,A2:D500,4,FALSE))=0,,VLOOKUP(T23,A2:D500,4,FALSE))</f>
        <v>#N/A</v>
      </c>
      <c r="V23" s="56">
        <f>'Toxicological reference value M'!P137</f>
        <v>0</v>
      </c>
      <c r="W23" s="22" t="e">
        <f>IF(LEN(VLOOKUP(V23,A2:D500,4,FALSE))=0,,VLOOKUP(V23,A2:D500,4,FALSE))</f>
        <v>#N/A</v>
      </c>
      <c r="Y23" s="56">
        <f>'Other Empirical Model'!P148</f>
        <v>0</v>
      </c>
      <c r="Z23" s="22" t="e">
        <f>IF(LEN(VLOOKUP(Y23,A2:D500,4,FALSE))=0,,VLOOKUP(Y23,A2:D500,4,FALSE))</f>
        <v>#N/A</v>
      </c>
      <c r="AA23" s="56">
        <f>'Predictive Model'!P135</f>
        <v>0</v>
      </c>
      <c r="AB23" s="22" t="e">
        <f>IF(LEN(VLOOKUP(AA23,A2:D500,4,FALSE))=0,,VLOOKUP(AA23,A2:D500,4,FALSE))</f>
        <v>#N/A</v>
      </c>
      <c r="AC23" s="56">
        <f>'Consumption Model'!P140</f>
        <v>0</v>
      </c>
      <c r="AD23" s="22" t="e">
        <f>IF(LEN(VLOOKUP(AC23,A2:D500,4,FALSE))=0,,VLOOKUP(AC23,A2:D500,4,FALSE))</f>
        <v>#N/A</v>
      </c>
      <c r="AE23" s="22">
        <f>'(Data)'!P136</f>
        <v>0</v>
      </c>
      <c r="AF23" s="22" t="e">
        <f>IF(LEN(VLOOKUP(AE22:AE23,A2:D500,4,FALSE))=0,,VLOOKUP(AE22:AE23,A2:D500,4,FALSE))</f>
        <v>#N/A</v>
      </c>
      <c r="AG23" s="59"/>
      <c r="AH23" s="45">
        <f>'Risk Charact Model'!P154</f>
        <v>0</v>
      </c>
      <c r="AI23" s="58" t="e">
        <f>IF(LEN(VLOOKUP(AH23,A2:D500,4,FALSE))=0,,VLOOKUP(AH23,A2:D500,4,FALSE))</f>
        <v>#N/A</v>
      </c>
    </row>
    <row r="24" spans="1:35" ht="15.75" customHeight="1" x14ac:dyDescent="0.3">
      <c r="I24" s="60">
        <f>'Generic Metadata Schema'!P154</f>
        <v>0</v>
      </c>
      <c r="J24" s="22" t="e">
        <f>IF(LEN(VLOOKUP(I24,A2:D500,4,FALSE))=0,"",VLOOKUP(I24,A2:D500,4,FALSE))</f>
        <v>#N/A</v>
      </c>
      <c r="L24" s="56">
        <f>'Dose-response Model'!O138</f>
        <v>0</v>
      </c>
      <c r="M24" s="22" t="e">
        <f>IF(LEN(VLOOKUP(L24,A2:D500,4,FALSE))=0,,VLOOKUP(L24,A2:D500,4,FALSE))</f>
        <v>#N/A</v>
      </c>
      <c r="N24" s="22">
        <f>'Exposure Model'!O155</f>
        <v>0</v>
      </c>
      <c r="O24" s="22" t="e">
        <f>IF(LEN(VLOOKUP(N24,A2:D500,4,FALSE))=0,,VLOOKUP(N24,A2:D500,4,FALSE))</f>
        <v>#N/A</v>
      </c>
      <c r="P24" s="55">
        <f>'QRA Models'!P155</f>
        <v>0</v>
      </c>
      <c r="Q24" s="22" t="e">
        <f>IF(LEN(VLOOKUP(P24,A2:D500,4,FALSE))=0,,VLOOKUP(P24,A2:D500,4,FALSE))</f>
        <v>#N/A</v>
      </c>
      <c r="R24" s="56">
        <f>'Health metrics Models'!P138</f>
        <v>0</v>
      </c>
      <c r="S24" s="22" t="e">
        <f>IF(LEN(VLOOKUP(R24,A2:D500,4,FALSE))=0,,VLOOKUP(R24,A2:D500,4,FALSE))</f>
        <v>#N/A</v>
      </c>
      <c r="T24" s="56">
        <f>'Process Model'!O136</f>
        <v>0</v>
      </c>
      <c r="U24" s="22" t="e">
        <f>IF(LEN(VLOOKUP(T24,A2:D500,4,FALSE))=0,,VLOOKUP(T24,A2:D500,4,FALSE))</f>
        <v>#N/A</v>
      </c>
      <c r="V24" s="56">
        <f>'Toxicological reference value M'!P138</f>
        <v>0</v>
      </c>
      <c r="W24" s="22" t="e">
        <f>IF(LEN(VLOOKUP(V24,A2:D500,4,FALSE))=0,,VLOOKUP(V24,A2:D500,4,FALSE))</f>
        <v>#N/A</v>
      </c>
      <c r="Y24" s="56">
        <f>'Other Empirical Model'!P149</f>
        <v>0</v>
      </c>
      <c r="Z24" s="22" t="e">
        <f>IF(LEN(VLOOKUP(Y24,A2:D500,4,FALSE))=0,,VLOOKUP(Y24,A2:D500,4,FALSE))</f>
        <v>#N/A</v>
      </c>
      <c r="AA24" s="56">
        <f>'Predictive Model'!P136</f>
        <v>0</v>
      </c>
      <c r="AB24" s="22" t="e">
        <f>IF(LEN(VLOOKUP(AA24,A2:D500,4,FALSE))=0,,VLOOKUP(AA24,A2:D500,4,FALSE))</f>
        <v>#N/A</v>
      </c>
      <c r="AC24" s="56">
        <f>'Consumption Model'!P141</f>
        <v>0</v>
      </c>
      <c r="AD24" s="22" t="e">
        <f>IF(LEN(VLOOKUP(AC24,A2:D500,4,FALSE))=0,,VLOOKUP(AC24,A2:D500,4,FALSE))</f>
        <v>#N/A</v>
      </c>
      <c r="AE24" s="22">
        <f>'(Data)'!P137</f>
        <v>0</v>
      </c>
      <c r="AF24" s="22" t="e">
        <f>IF(LEN(VLOOKUP(AE23:AE24,A2:D500,4,FALSE))=0,,VLOOKUP(AE23:AE24,A2:D500,4,FALSE))</f>
        <v>#N/A</v>
      </c>
      <c r="AG24" s="59"/>
      <c r="AH24" s="45">
        <f>'Risk Charact Model'!P155</f>
        <v>0</v>
      </c>
      <c r="AI24" s="58" t="e">
        <f>IF(LEN(VLOOKUP(AH24,A2:D500,4,FALSE))=0,,VLOOKUP(AH24,A2:D500,4,FALSE))</f>
        <v>#N/A</v>
      </c>
    </row>
    <row r="25" spans="1:35" ht="15.75" customHeight="1" x14ac:dyDescent="0.3">
      <c r="H25" s="22"/>
      <c r="I25" s="60">
        <f>'Generic Metadata Schema'!P155</f>
        <v>0</v>
      </c>
      <c r="J25" s="22" t="e">
        <f>IF(LEN(VLOOKUP(I25,A2:D500,4,FALSE))=0,"",VLOOKUP(I25,A2:D500,4,FALSE))</f>
        <v>#N/A</v>
      </c>
      <c r="L25" s="56">
        <f>'Dose-response Model'!O139</f>
        <v>0</v>
      </c>
      <c r="M25" s="22" t="e">
        <f>IF(LEN(VLOOKUP(L25,A2:D500,4,FALSE))=0,,VLOOKUP(L25,A2:D500,4,FALSE))</f>
        <v>#N/A</v>
      </c>
      <c r="N25" s="22">
        <f>'Exposure Model'!O156</f>
        <v>0</v>
      </c>
      <c r="O25" s="22" t="e">
        <f>IF(LEN(VLOOKUP(N25,A2:D500,4,FALSE))=0,,VLOOKUP(N25,A2:D500,4,FALSE))</f>
        <v>#N/A</v>
      </c>
      <c r="P25" s="55">
        <f>'QRA Models'!P156</f>
        <v>0</v>
      </c>
      <c r="Q25" s="22" t="e">
        <f>IF(LEN(VLOOKUP(P25,A2:D500,4,FALSE))=0,,VLOOKUP(P25,A2:D500,4,FALSE))</f>
        <v>#N/A</v>
      </c>
      <c r="R25" s="56">
        <f>'Health metrics Models'!P139</f>
        <v>0</v>
      </c>
      <c r="S25" s="22" t="e">
        <f>IF(LEN(VLOOKUP(R25,A2:D500,4,FALSE))=0,,VLOOKUP(R25,A2:D500,4,FALSE))</f>
        <v>#N/A</v>
      </c>
      <c r="T25" s="56">
        <f>'Process Model'!O137</f>
        <v>0</v>
      </c>
      <c r="U25" s="22" t="e">
        <f>IF(LEN(VLOOKUP(T25,A2:D500,4,FALSE))=0,,VLOOKUP(T25,A2:D500,4,FALSE))</f>
        <v>#N/A</v>
      </c>
      <c r="V25" s="56">
        <f>'Toxicological reference value M'!P139</f>
        <v>0</v>
      </c>
      <c r="W25" s="22" t="e">
        <f>IF(LEN(VLOOKUP(V25,A2:D500,4,FALSE))=0,,VLOOKUP(V25,A2:D500,4,FALSE))</f>
        <v>#N/A</v>
      </c>
      <c r="Y25" s="56">
        <f>'Other Empirical Model'!P150</f>
        <v>0</v>
      </c>
      <c r="Z25" s="22" t="e">
        <f>IF(LEN(VLOOKUP(Y25,A2:D500,4,FALSE))=0,,VLOOKUP(Y25,A2:D500,4,FALSE))</f>
        <v>#N/A</v>
      </c>
      <c r="AA25" s="56">
        <f>'Predictive Model'!P137</f>
        <v>0</v>
      </c>
      <c r="AB25" s="22" t="e">
        <f>IF(LEN(VLOOKUP(AA25,A2:D500,4,FALSE))=0,,VLOOKUP(AA25,A2:D500,4,FALSE))</f>
        <v>#N/A</v>
      </c>
      <c r="AC25" s="56">
        <f>'Consumption Model'!P142</f>
        <v>0</v>
      </c>
      <c r="AD25" s="22" t="e">
        <f>IF(LEN(VLOOKUP(AC25,A2:D500,4,FALSE))=0,,VLOOKUP(AC25,A2:D500,4,FALSE))</f>
        <v>#N/A</v>
      </c>
      <c r="AE25" s="22">
        <f>'(Data)'!P138</f>
        <v>0</v>
      </c>
      <c r="AF25" s="22" t="e">
        <f>IF(LEN(VLOOKUP(AE24:AE25,A2:D500,4,FALSE))=0,,VLOOKUP(AE24:AE25,A2:D500,4,FALSE))</f>
        <v>#N/A</v>
      </c>
      <c r="AG25" s="59"/>
      <c r="AH25" s="45">
        <f>'Risk Charact Model'!P156</f>
        <v>0</v>
      </c>
      <c r="AI25" s="58" t="e">
        <f>IF(LEN(VLOOKUP(AH25,A2:D500,4,FALSE))=0,,VLOOKUP(AH25,A2:D500,4,FALSE))</f>
        <v>#N/A</v>
      </c>
    </row>
    <row r="26" spans="1:35" ht="15.75" customHeight="1" x14ac:dyDescent="0.3">
      <c r="I26" s="60">
        <f>'Generic Metadata Schema'!P156</f>
        <v>0</v>
      </c>
      <c r="J26" s="22" t="e">
        <f>IF(LEN(VLOOKUP(I26,A2:D500,4,FALSE))=0,"",VLOOKUP(I26,A2:D500,4,FALSE))</f>
        <v>#N/A</v>
      </c>
      <c r="L26" s="56">
        <f>'Dose-response Model'!O140</f>
        <v>0</v>
      </c>
      <c r="M26" s="22" t="e">
        <f>IF(LEN(VLOOKUP(L26,A2:D500,4,FALSE))=0,,VLOOKUP(L26,A2:D500,4,FALSE))</f>
        <v>#N/A</v>
      </c>
      <c r="N26" s="22">
        <f>'Exposure Model'!O157</f>
        <v>0</v>
      </c>
      <c r="O26" s="22" t="e">
        <f>IF(LEN(VLOOKUP(N26,A2:D500,4,FALSE))=0,,VLOOKUP(N26,A2:D500,4,FALSE))</f>
        <v>#N/A</v>
      </c>
      <c r="P26" s="55">
        <f>'QRA Models'!P157</f>
        <v>0</v>
      </c>
      <c r="Q26" s="22" t="e">
        <f>IF(LEN(VLOOKUP(P26,A2:D500,4,FALSE))=0,,VLOOKUP(P26,A2:D500,4,FALSE))</f>
        <v>#N/A</v>
      </c>
      <c r="R26" s="56">
        <f>'Health metrics Models'!P140</f>
        <v>0</v>
      </c>
      <c r="S26" s="22" t="e">
        <f>IF(LEN(VLOOKUP(R26,A2:D500,4,FALSE))=0,,VLOOKUP(R26,A2:D500,4,FALSE))</f>
        <v>#N/A</v>
      </c>
      <c r="T26" s="56">
        <f>'Process Model'!O138</f>
        <v>0</v>
      </c>
      <c r="U26" s="22" t="e">
        <f>IF(LEN(VLOOKUP(T26,A2:D500,4,FALSE))=0,,VLOOKUP(T26,A2:D500,4,FALSE))</f>
        <v>#N/A</v>
      </c>
      <c r="V26" s="56">
        <f>'Toxicological reference value M'!P140</f>
        <v>0</v>
      </c>
      <c r="W26" s="22" t="e">
        <f>IF(LEN(VLOOKUP(V26,A2:D500,4,FALSE))=0,,VLOOKUP(V26,A2:D500,4,FALSE))</f>
        <v>#N/A</v>
      </c>
      <c r="Y26" s="56">
        <f>'Other Empirical Model'!P151</f>
        <v>0</v>
      </c>
      <c r="Z26" s="22" t="e">
        <f>IF(LEN(VLOOKUP(Y26,A2:D500,4,FALSE))=0,,VLOOKUP(Y26,A2:D500,4,FALSE))</f>
        <v>#N/A</v>
      </c>
      <c r="AA26" s="56">
        <f>'Predictive Model'!P138</f>
        <v>0</v>
      </c>
      <c r="AB26" s="22" t="e">
        <f>IF(LEN(VLOOKUP(AA26,A2:D500,4,FALSE))=0,,VLOOKUP(AA26,A2:D500,4,FALSE))</f>
        <v>#N/A</v>
      </c>
      <c r="AC26" s="56">
        <f>'Consumption Model'!P143</f>
        <v>0</v>
      </c>
      <c r="AD26" s="22" t="e">
        <f>IF(LEN(VLOOKUP(AC26,A2:D500,4,FALSE))=0,,VLOOKUP(AC26,A2:D500,4,FALSE))</f>
        <v>#N/A</v>
      </c>
      <c r="AE26" s="22">
        <f>'(Data)'!P139</f>
        <v>0</v>
      </c>
      <c r="AF26" s="22" t="e">
        <f>IF(LEN(VLOOKUP(AE25:AE26,A2:D500,4,FALSE))=0,,VLOOKUP(AE25:AE26,A2:D500,4,FALSE))</f>
        <v>#N/A</v>
      </c>
      <c r="AG26" s="59"/>
      <c r="AH26" s="45">
        <f>'Risk Charact Model'!P157</f>
        <v>0</v>
      </c>
      <c r="AI26" s="58" t="e">
        <f>IF(LEN(VLOOKUP(AH26,A2:D500,4,FALSE))=0,,VLOOKUP(AH26,A2:D500,4,FALSE))</f>
        <v>#N/A</v>
      </c>
    </row>
    <row r="27" spans="1:35" ht="15.75" customHeight="1" x14ac:dyDescent="0.3">
      <c r="I27" s="60">
        <f>'Generic Metadata Schema'!P157</f>
        <v>0</v>
      </c>
      <c r="J27" s="22" t="e">
        <f>IF(LEN(VLOOKUP(I27,A2:D500,4,FALSE))=0,"",VLOOKUP(I27,A2:D500,4,FALSE))</f>
        <v>#N/A</v>
      </c>
      <c r="L27" s="56">
        <f>'Dose-response Model'!O141</f>
        <v>0</v>
      </c>
      <c r="M27" s="22" t="e">
        <f>IF(LEN(VLOOKUP(L27,A2:D500,4,FALSE))=0,,VLOOKUP(L27,A2:D500,4,FALSE))</f>
        <v>#N/A</v>
      </c>
      <c r="N27" s="22">
        <f>'Exposure Model'!O158</f>
        <v>0</v>
      </c>
      <c r="O27" s="22" t="e">
        <f>IF(LEN(VLOOKUP(N27,A2:D500,4,FALSE))=0,,VLOOKUP(N27,A2:D500,4,FALSE))</f>
        <v>#N/A</v>
      </c>
      <c r="P27" s="55">
        <f>'QRA Models'!P158</f>
        <v>0</v>
      </c>
      <c r="Q27" s="22" t="e">
        <f>IF(LEN(VLOOKUP(P27,A2:D500,4,FALSE))=0,,VLOOKUP(P27,A2:D500,4,FALSE))</f>
        <v>#N/A</v>
      </c>
      <c r="R27" s="56">
        <f>'Health metrics Models'!P141</f>
        <v>0</v>
      </c>
      <c r="S27" s="22" t="e">
        <f>IF(LEN(VLOOKUP(R27,A2:D500,4,FALSE))=0,,VLOOKUP(R27,A2:D500,4,FALSE))</f>
        <v>#N/A</v>
      </c>
      <c r="T27" s="56">
        <f>'Process Model'!O139</f>
        <v>0</v>
      </c>
      <c r="U27" s="22" t="e">
        <f>IF(LEN(VLOOKUP(T27,A2:D500,4,FALSE))=0,,VLOOKUP(T27,A2:D500,4,FALSE))</f>
        <v>#N/A</v>
      </c>
      <c r="V27" s="56">
        <f>'Toxicological reference value M'!P141</f>
        <v>0</v>
      </c>
      <c r="W27" s="22" t="e">
        <f>IF(LEN(VLOOKUP(V27,A2:D500,4,FALSE))=0,,VLOOKUP(V27,A2:D500,4,FALSE))</f>
        <v>#N/A</v>
      </c>
      <c r="Y27" s="56">
        <f>'Other Empirical Model'!P152</f>
        <v>0</v>
      </c>
      <c r="Z27" s="22" t="e">
        <f>IF(LEN(VLOOKUP(Y27,A2:D500,4,FALSE))=0,,VLOOKUP(Y27,A2:D500,4,FALSE))</f>
        <v>#N/A</v>
      </c>
      <c r="AA27" s="56">
        <f>'Predictive Model'!P139</f>
        <v>0</v>
      </c>
      <c r="AB27" s="22" t="e">
        <f>IF(LEN(VLOOKUP(AA27,A2:D500,4,FALSE))=0,,VLOOKUP(AA27,A2:D500,4,FALSE))</f>
        <v>#N/A</v>
      </c>
      <c r="AC27" s="56">
        <f>'Consumption Model'!P144</f>
        <v>0</v>
      </c>
      <c r="AD27" s="22" t="e">
        <f>IF(LEN(VLOOKUP(AC27,A2:D500,4,FALSE))=0,,VLOOKUP(AC27,A2:D500,4,FALSE))</f>
        <v>#N/A</v>
      </c>
      <c r="AE27" s="22">
        <f>'(Data)'!P140</f>
        <v>0</v>
      </c>
      <c r="AF27" s="22" t="e">
        <f>IF(LEN(VLOOKUP(AE26:AE27,A2:D500,4,FALSE))=0,,VLOOKUP(AE26:AE27,A2:D500,4,FALSE))</f>
        <v>#N/A</v>
      </c>
      <c r="AG27" s="59"/>
      <c r="AH27" s="45">
        <f>'Risk Charact Model'!P158</f>
        <v>0</v>
      </c>
      <c r="AI27" s="58" t="e">
        <f>IF(LEN(VLOOKUP(AH27,A2:D500,4,FALSE))=0,,VLOOKUP(AH27,A2:D500,4,FALSE))</f>
        <v>#N/A</v>
      </c>
    </row>
    <row r="28" spans="1:35" ht="15.75" customHeight="1" x14ac:dyDescent="0.3">
      <c r="I28" s="60">
        <f>'Generic Metadata Schema'!P158</f>
        <v>0</v>
      </c>
      <c r="J28" s="22" t="e">
        <f>IF(LEN(VLOOKUP(I28,A2:D500,4,FALSE))=0,"",VLOOKUP(I28,A2:D500,4,FALSE))</f>
        <v>#N/A</v>
      </c>
      <c r="L28" s="56">
        <f>'Dose-response Model'!O142</f>
        <v>0</v>
      </c>
      <c r="M28" s="22" t="e">
        <f>IF(LEN(VLOOKUP(L28,A2:D500,4,FALSE))=0,,VLOOKUP(L28,A2:D500,4,FALSE))</f>
        <v>#N/A</v>
      </c>
      <c r="N28" s="22">
        <f>'Exposure Model'!O159</f>
        <v>0</v>
      </c>
      <c r="O28" s="22" t="e">
        <f>IF(LEN(VLOOKUP(N28,A2:D500,4,FALSE))=0,,VLOOKUP(N28,A2:D500,4,FALSE))</f>
        <v>#N/A</v>
      </c>
      <c r="P28" s="55">
        <f>'QRA Models'!P159</f>
        <v>0</v>
      </c>
      <c r="Q28" s="22" t="e">
        <f>IF(LEN(VLOOKUP(P28,A2:D500,4,FALSE))=0,,VLOOKUP(P28,A2:D500,4,FALSE))</f>
        <v>#N/A</v>
      </c>
      <c r="R28" s="56">
        <f>'Health metrics Models'!P142</f>
        <v>0</v>
      </c>
      <c r="S28" s="22" t="e">
        <f>IF(LEN(VLOOKUP(R28,A2:D500,4,FALSE))=0,,VLOOKUP(R28,A2:D500,4,FALSE))</f>
        <v>#N/A</v>
      </c>
      <c r="T28" s="56">
        <f>'Process Model'!O140</f>
        <v>0</v>
      </c>
      <c r="U28" s="22" t="e">
        <f>IF(LEN(VLOOKUP(T28,A2:D500,4,FALSE))=0,,VLOOKUP(T28,A2:D500,4,FALSE))</f>
        <v>#N/A</v>
      </c>
      <c r="V28" s="56">
        <f>'Toxicological reference value M'!P142</f>
        <v>0</v>
      </c>
      <c r="W28" s="22" t="e">
        <f>IF(LEN(VLOOKUP(V28,A2:D500,4,FALSE))=0,,VLOOKUP(V28,A2:D500,4,FALSE))</f>
        <v>#N/A</v>
      </c>
      <c r="Y28" s="56">
        <f>'Other Empirical Model'!P153</f>
        <v>0</v>
      </c>
      <c r="Z28" s="22" t="e">
        <f>IF(LEN(VLOOKUP(Y28,A2:D500,4,FALSE))=0,,VLOOKUP(Y28,A2:D500,4,FALSE))</f>
        <v>#N/A</v>
      </c>
      <c r="AA28" s="56">
        <f>'Predictive Model'!P140</f>
        <v>0</v>
      </c>
      <c r="AB28" s="22" t="e">
        <f>IF(LEN(VLOOKUP(AA28,A2:D500,4,FALSE))=0,,VLOOKUP(AA28,A2:D500,4,FALSE))</f>
        <v>#N/A</v>
      </c>
      <c r="AC28" s="56">
        <f>'Consumption Model'!P145</f>
        <v>0</v>
      </c>
      <c r="AD28" s="22" t="e">
        <f>IF(LEN(VLOOKUP(AC28,A2:D500,4,FALSE))=0,,VLOOKUP(AC28,A2:D500,4,FALSE))</f>
        <v>#N/A</v>
      </c>
      <c r="AE28" s="22">
        <f>'(Data)'!P141</f>
        <v>0</v>
      </c>
      <c r="AF28" s="22" t="e">
        <f>IF(LEN(VLOOKUP(AE27:AE28,A2:D500,4,FALSE))=0,,VLOOKUP(AE27:AE28,A2:D500,4,FALSE))</f>
        <v>#N/A</v>
      </c>
      <c r="AG28" s="59"/>
      <c r="AH28" s="45">
        <f>'Risk Charact Model'!P159</f>
        <v>0</v>
      </c>
      <c r="AI28" s="58" t="e">
        <f>IF(LEN(VLOOKUP(AH28,A2:D500,4,FALSE))=0,,VLOOKUP(AH28,A2:D500,4,FALSE))</f>
        <v>#N/A</v>
      </c>
    </row>
    <row r="29" spans="1:35" ht="15.75" customHeight="1" x14ac:dyDescent="0.3">
      <c r="I29" s="60">
        <f>'Generic Metadata Schema'!P159</f>
        <v>0</v>
      </c>
      <c r="J29" s="22" t="e">
        <f>IF(LEN(VLOOKUP(I29,A2:D500,4,FALSE))=0,"",VLOOKUP(I29,A2:D500,4,FALSE))</f>
        <v>#N/A</v>
      </c>
      <c r="L29" s="56">
        <f>'Dose-response Model'!O143</f>
        <v>0</v>
      </c>
      <c r="M29" s="22" t="e">
        <f>IF(LEN(VLOOKUP(L29,A2:D500,4,FALSE))=0,,VLOOKUP(L29,A2:D500,4,FALSE))</f>
        <v>#N/A</v>
      </c>
      <c r="N29" s="22">
        <f>'Exposure Model'!O160</f>
        <v>0</v>
      </c>
      <c r="O29" s="22" t="e">
        <f>IF(LEN(VLOOKUP(N29,A2:D500,4,FALSE))=0,,VLOOKUP(N29,A2:D500,4,FALSE))</f>
        <v>#N/A</v>
      </c>
      <c r="P29" s="55">
        <f>'QRA Models'!P160</f>
        <v>0</v>
      </c>
      <c r="Q29" s="22" t="e">
        <f>IF(LEN(VLOOKUP(P29,A2:D500,4,FALSE))=0,,VLOOKUP(P29,A2:D500,4,FALSE))</f>
        <v>#N/A</v>
      </c>
      <c r="R29" s="56">
        <f>'Health metrics Models'!Q143</f>
        <v>0</v>
      </c>
      <c r="S29" s="22" t="e">
        <f>IF(LEN(VLOOKUP(R29,A2:D500,4,FALSE))=0,,VLOOKUP(R29,A2:D500,4,FALSE))</f>
        <v>#N/A</v>
      </c>
      <c r="T29" s="56">
        <f>'Process Model'!O141</f>
        <v>0</v>
      </c>
      <c r="U29" s="22" t="e">
        <f>IF(LEN(VLOOKUP(T29,A2:D500,4,FALSE))=0,,VLOOKUP(T29,A2:D500,4,FALSE))</f>
        <v>#N/A</v>
      </c>
      <c r="V29" s="56">
        <f>'Toxicological reference value M'!P143</f>
        <v>0</v>
      </c>
      <c r="W29" s="22" t="e">
        <f>IF(LEN(VLOOKUP(V29,A2:D500,4,FALSE))=0,,VLOOKUP(V29,A2:D500,4,FALSE))</f>
        <v>#N/A</v>
      </c>
      <c r="Y29" s="56">
        <f>'Other Empirical Model'!P154</f>
        <v>0</v>
      </c>
      <c r="Z29" s="22" t="e">
        <f>IF(LEN(VLOOKUP(Y29,A2:D500,4,FALSE))=0,,VLOOKUP(Y29,A2:D500,4,FALSE))</f>
        <v>#N/A</v>
      </c>
      <c r="AA29" s="56">
        <f>'Predictive Model'!P141</f>
        <v>0</v>
      </c>
      <c r="AB29" s="22" t="e">
        <f>IF(LEN(VLOOKUP(AA29,A2:D500,4,FALSE))=0,,VLOOKUP(AA29,A2:D500,4,FALSE))</f>
        <v>#N/A</v>
      </c>
      <c r="AC29" s="56">
        <f>'Consumption Model'!P146</f>
        <v>0</v>
      </c>
      <c r="AD29" s="22" t="e">
        <f>IF(LEN(VLOOKUP(AC29,A2:D500,4,FALSE))=0,,VLOOKUP(AC29,A2:D500,4,FALSE))</f>
        <v>#N/A</v>
      </c>
      <c r="AE29" s="22">
        <f>'(Data)'!P142</f>
        <v>0</v>
      </c>
      <c r="AF29" s="22" t="e">
        <f>IF(LEN(VLOOKUP(AE28:AE29,A2:D500,4,FALSE))=0,,VLOOKUP(AE28:AE29,A2:D500,4,FALSE))</f>
        <v>#N/A</v>
      </c>
      <c r="AG29" s="59"/>
      <c r="AH29" s="45">
        <f>'Risk Charact Model'!P160</f>
        <v>0</v>
      </c>
      <c r="AI29" s="58" t="e">
        <f>IF(LEN(VLOOKUP(AH29,A2:D500,4,FALSE))=0,,VLOOKUP(AH29,A2:D500,4,FALSE))</f>
        <v>#N/A</v>
      </c>
    </row>
    <row r="30" spans="1:35" ht="15.75" customHeight="1" x14ac:dyDescent="0.3">
      <c r="I30" s="60">
        <f>'Generic Metadata Schema'!P160</f>
        <v>0</v>
      </c>
      <c r="J30" s="22" t="e">
        <f>IF(LEN(VLOOKUP(I30,A2:D500,4,FALSE))=0,"",VLOOKUP(I30,A2:D500,4,FALSE))</f>
        <v>#N/A</v>
      </c>
      <c r="L30" s="56">
        <f>'Dose-response Model'!O144</f>
        <v>0</v>
      </c>
      <c r="M30" s="22" t="e">
        <f>IF(LEN(VLOOKUP(L30,A2:D500,4,FALSE))=0,,VLOOKUP(L30,A2:D500,4,FALSE))</f>
        <v>#N/A</v>
      </c>
      <c r="N30" s="22">
        <f>'Exposure Model'!O161</f>
        <v>0</v>
      </c>
      <c r="O30" s="22" t="e">
        <f>IF(LEN(VLOOKUP(N30,A2:D500,4,FALSE))=0,,VLOOKUP(N30,A2:D500,4,FALSE))</f>
        <v>#N/A</v>
      </c>
      <c r="P30" s="55">
        <f>'QRA Models'!P161</f>
        <v>0</v>
      </c>
      <c r="Q30" s="22" t="e">
        <f>IF(LEN(VLOOKUP(P30,A2:D500,4,FALSE))=0,,VLOOKUP(P30,A2:D500,4,FALSE))</f>
        <v>#N/A</v>
      </c>
      <c r="R30" s="56">
        <f>'Health metrics Models'!Q144</f>
        <v>0</v>
      </c>
      <c r="S30" s="22" t="e">
        <f>IF(LEN(VLOOKUP(R30,A2:D500,4,FALSE))=0,,VLOOKUP(R30,A2:D500,4,FALSE))</f>
        <v>#N/A</v>
      </c>
      <c r="T30" s="56">
        <f>'Process Model'!O142</f>
        <v>0</v>
      </c>
      <c r="U30" s="22" t="e">
        <f>IF(LEN(VLOOKUP(T30,A2:D500,4,FALSE))=0,,VLOOKUP(T30,A2:D500,4,FALSE))</f>
        <v>#N/A</v>
      </c>
      <c r="V30" s="56">
        <f>'Toxicological reference value M'!P144</f>
        <v>0</v>
      </c>
      <c r="W30" s="22" t="e">
        <f>IF(LEN(VLOOKUP(V30,A2:D500,4,FALSE))=0,,VLOOKUP(V30,A2:D500,4,FALSE))</f>
        <v>#N/A</v>
      </c>
      <c r="Y30" s="56">
        <f>'Other Empirical Model'!P155</f>
        <v>0</v>
      </c>
      <c r="Z30" s="22" t="e">
        <f>IF(LEN(VLOOKUP(Y30,A2:D500,4,FALSE))=0,,VLOOKUP(Y30,A2:D500,4,FALSE))</f>
        <v>#N/A</v>
      </c>
      <c r="AA30" s="56">
        <f>'Predictive Model'!P142</f>
        <v>0</v>
      </c>
      <c r="AB30" s="22" t="e">
        <f>IF(LEN(VLOOKUP(AA30,A2:D500,4,FALSE))=0,,VLOOKUP(AA30,A2:D500,4,FALSE))</f>
        <v>#N/A</v>
      </c>
      <c r="AC30" s="56">
        <f>'Consumption Model'!P147</f>
        <v>0</v>
      </c>
      <c r="AD30" s="22" t="e">
        <f>IF(LEN(VLOOKUP(AC30,A2:D500,4,FALSE))=0,,VLOOKUP(AC30,A2:D500,4,FALSE))</f>
        <v>#N/A</v>
      </c>
      <c r="AE30" s="22">
        <f>'(Data)'!P143</f>
        <v>0</v>
      </c>
      <c r="AF30" s="22" t="e">
        <f>IF(LEN(VLOOKUP(AE29:AE30,A2:D500,4,FALSE))=0,,VLOOKUP(AE29:AE30,A2:D500,4,FALSE))</f>
        <v>#N/A</v>
      </c>
      <c r="AG30" s="59"/>
      <c r="AH30" s="45">
        <f>'Risk Charact Model'!P161</f>
        <v>0</v>
      </c>
      <c r="AI30" s="58" t="e">
        <f>IF(LEN(VLOOKUP(AH30,A2:D500,4,FALSE))=0,,VLOOKUP(AH30,A2:D500,4,FALSE))</f>
        <v>#N/A</v>
      </c>
    </row>
    <row r="31" spans="1:35" ht="15.75" customHeight="1" x14ac:dyDescent="0.3">
      <c r="I31" s="60">
        <f>'Generic Metadata Schema'!P161</f>
        <v>0</v>
      </c>
      <c r="J31" s="22" t="e">
        <f>IF(LEN(VLOOKUP(I31,A2:D500,4,FALSE))=0,"",VLOOKUP(I31,A2:D500,4,FALSE))</f>
        <v>#N/A</v>
      </c>
      <c r="L31" s="56">
        <f>'Dose-response Model'!O145</f>
        <v>0</v>
      </c>
      <c r="M31" s="22" t="e">
        <f>IF(LEN(VLOOKUP(L31,A2:D500,4,FALSE))=0,,VLOOKUP(L31,A2:D500,4,FALSE))</f>
        <v>#N/A</v>
      </c>
      <c r="N31" s="22">
        <f>'Exposure Model'!O162</f>
        <v>0</v>
      </c>
      <c r="O31" s="22" t="e">
        <f>IF(LEN(VLOOKUP(N31,A2:D500,4,FALSE))=0,,VLOOKUP(N31,A2:D500,4,FALSE))</f>
        <v>#N/A</v>
      </c>
      <c r="P31" s="55">
        <f>'QRA Models'!P162</f>
        <v>0</v>
      </c>
      <c r="Q31" s="22" t="e">
        <f>IF(LEN(VLOOKUP(P31,A2:D500,4,FALSE))=0,,VLOOKUP(P31,A2:D500,4,FALSE))</f>
        <v>#N/A</v>
      </c>
      <c r="R31" s="56">
        <f>'Health metrics Models'!Q145</f>
        <v>0</v>
      </c>
      <c r="S31" s="22" t="e">
        <f>IF(LEN(VLOOKUP(R31,A2:D500,4,FALSE))=0,,VLOOKUP(R31,A2:D500,4,FALSE))</f>
        <v>#N/A</v>
      </c>
      <c r="T31" s="56">
        <f>'Process Model'!O143</f>
        <v>0</v>
      </c>
      <c r="U31" s="22" t="e">
        <f>IF(LEN(VLOOKUP(T31,A2:D500,4,FALSE))=0,,VLOOKUP(T31,A2:D500,4,FALSE))</f>
        <v>#N/A</v>
      </c>
      <c r="V31" s="56">
        <f>'Toxicological reference value M'!P145</f>
        <v>0</v>
      </c>
      <c r="W31" s="22" t="e">
        <f>IF(LEN(VLOOKUP(V31,A2:D500,4,FALSE))=0,,VLOOKUP(V31,A2:D500,4,FALSE))</f>
        <v>#N/A</v>
      </c>
      <c r="Y31" s="56">
        <f>'Other Empirical Model'!P156</f>
        <v>0</v>
      </c>
      <c r="Z31" s="22" t="e">
        <f>IF(LEN(VLOOKUP(Y31,A2:D500,4,FALSE))=0,,VLOOKUP(Y31,A2:D500,4,FALSE))</f>
        <v>#N/A</v>
      </c>
      <c r="AA31" s="56">
        <f>'Predictive Model'!P143</f>
        <v>0</v>
      </c>
      <c r="AB31" s="22" t="e">
        <f>IF(LEN(VLOOKUP(AA31,A2:D500,4,FALSE))=0,,VLOOKUP(AA31,A2:D500,4,FALSE))</f>
        <v>#N/A</v>
      </c>
      <c r="AC31" s="56">
        <f>'Consumption Model'!P148</f>
        <v>0</v>
      </c>
      <c r="AD31" s="22" t="e">
        <f>IF(LEN(VLOOKUP(AC31,A2:D500,4,FALSE))=0,,VLOOKUP(AC31,A2:D500,4,FALSE))</f>
        <v>#N/A</v>
      </c>
      <c r="AE31" s="22">
        <f>'(Data)'!P144</f>
        <v>0</v>
      </c>
      <c r="AF31" s="22" t="e">
        <f>IF(LEN(VLOOKUP(AE30:AE31,A2:D500,4,FALSE))=0,,VLOOKUP(AE30:AE31,A2:D500,4,FALSE))</f>
        <v>#N/A</v>
      </c>
      <c r="AG31" s="59"/>
      <c r="AH31" s="45">
        <f>'Risk Charact Model'!P162</f>
        <v>0</v>
      </c>
      <c r="AI31" s="58" t="e">
        <f>IF(LEN(VLOOKUP(AH31,A2:D500,4,FALSE))=0,,VLOOKUP(AH31,A2:D500,4,FALSE))</f>
        <v>#N/A</v>
      </c>
    </row>
    <row r="32" spans="1:35" ht="15.75" customHeight="1" x14ac:dyDescent="0.3">
      <c r="A32" s="45"/>
      <c r="I32" s="60">
        <f>'Generic Metadata Schema'!P162</f>
        <v>0</v>
      </c>
      <c r="J32" s="22" t="e">
        <f>IF(LEN(VLOOKUP(I32,A2:D500,4,FALSE))=0,"",VLOOKUP(I32,A2:D500,4,FALSE))</f>
        <v>#N/A</v>
      </c>
      <c r="L32" s="56">
        <f>'Dose-response Model'!O146</f>
        <v>0</v>
      </c>
      <c r="M32" s="22" t="e">
        <f>IF(LEN(VLOOKUP(L32,A2:D500,4,FALSE))=0,,VLOOKUP(L32,A2:D500,4,FALSE))</f>
        <v>#N/A</v>
      </c>
      <c r="N32" s="22">
        <f>'Exposure Model'!O163</f>
        <v>0</v>
      </c>
      <c r="O32" s="22" t="e">
        <f>IF(LEN(VLOOKUP(N32,A2:D500,4,FALSE))=0,,VLOOKUP(N32,A2:D500,4,FALSE))</f>
        <v>#N/A</v>
      </c>
      <c r="P32" s="55">
        <f>'QRA Models'!P163</f>
        <v>0</v>
      </c>
      <c r="Q32" s="22" t="e">
        <f>IF(LEN(VLOOKUP(P32,A2:D500,4,FALSE))=0,,VLOOKUP(P32,A2:D500,4,FALSE))</f>
        <v>#N/A</v>
      </c>
      <c r="R32" s="56">
        <f>'Health metrics Models'!Q146</f>
        <v>0</v>
      </c>
      <c r="S32" s="22" t="e">
        <f>IF(LEN(VLOOKUP(R32,A2:D500,4,FALSE))=0,,VLOOKUP(R32,A2:D500,4,FALSE))</f>
        <v>#N/A</v>
      </c>
      <c r="T32" s="56">
        <f>'Process Model'!O144</f>
        <v>0</v>
      </c>
      <c r="U32" s="22" t="e">
        <f>IF(LEN(VLOOKUP(T32,A2:D500,4,FALSE))=0,,VLOOKUP(T32,A2:D500,4,FALSE))</f>
        <v>#N/A</v>
      </c>
      <c r="V32" s="56">
        <f>'Toxicological reference value M'!P146</f>
        <v>0</v>
      </c>
      <c r="W32" s="22" t="e">
        <f>IF(LEN(VLOOKUP(V32,A2:D500,4,FALSE))=0,,VLOOKUP(V32,A2:D500,4,FALSE))</f>
        <v>#N/A</v>
      </c>
      <c r="Y32" s="56">
        <f>'Other Empirical Model'!P157</f>
        <v>0</v>
      </c>
      <c r="Z32" s="22" t="e">
        <f>IF(LEN(VLOOKUP(Y32,A2:D500,4,FALSE))=0,,VLOOKUP(Y32,A2:D500,4,FALSE))</f>
        <v>#N/A</v>
      </c>
      <c r="AA32" s="56">
        <f>'Predictive Model'!P144</f>
        <v>0</v>
      </c>
      <c r="AB32" s="22" t="e">
        <f>IF(LEN(VLOOKUP(AA32,A2:D500,4,FALSE))=0,,VLOOKUP(AA32,A2:D500,4,FALSE))</f>
        <v>#N/A</v>
      </c>
      <c r="AC32" s="56">
        <f>'Consumption Model'!P149</f>
        <v>0</v>
      </c>
      <c r="AD32" s="22" t="e">
        <f>IF(LEN(VLOOKUP(AC32,A2:D500,4,FALSE))=0,,VLOOKUP(AC32,A2:D500,4,FALSE))</f>
        <v>#N/A</v>
      </c>
      <c r="AE32" s="22">
        <f>'(Data)'!P145</f>
        <v>0</v>
      </c>
      <c r="AF32" s="22" t="e">
        <f>IF(LEN(VLOOKUP(AE31:AE32,A2:D500,4,FALSE))=0,,VLOOKUP(AE31:AE32,A2:D500,4,FALSE))</f>
        <v>#N/A</v>
      </c>
      <c r="AG32" s="59"/>
      <c r="AH32" s="45">
        <f>'Risk Charact Model'!P163</f>
        <v>0</v>
      </c>
      <c r="AI32" s="58" t="e">
        <f>IF(LEN(VLOOKUP(AH32,A2:D500,4,FALSE))=0,,VLOOKUP(AH32,A2:D500,4,FALSE))</f>
        <v>#N/A</v>
      </c>
    </row>
    <row r="33" spans="9:35" ht="15.75" customHeight="1" x14ac:dyDescent="0.3">
      <c r="I33" s="60">
        <f>'Generic Metadata Schema'!P163</f>
        <v>0</v>
      </c>
      <c r="J33" s="22" t="e">
        <f>IF(LEN(VLOOKUP(I33,A2:D500,4,FALSE))=0,"",VLOOKUP(I33,A2:D500,4,FALSE))</f>
        <v>#N/A</v>
      </c>
      <c r="L33" s="56">
        <f>'Dose-response Model'!O147</f>
        <v>0</v>
      </c>
      <c r="M33" s="22" t="e">
        <f>IF(LEN(VLOOKUP(L33,A2:D500,4,FALSE))=0,,VLOOKUP(L33,A2:D500,4,FALSE))</f>
        <v>#N/A</v>
      </c>
      <c r="N33" s="22">
        <f>'Exposure Model'!O164</f>
        <v>0</v>
      </c>
      <c r="O33" s="22" t="e">
        <f>IF(LEN(VLOOKUP(N33,A2:D500,4,FALSE))=0,,VLOOKUP(N33,A2:D500,4,FALSE))</f>
        <v>#N/A</v>
      </c>
      <c r="P33" s="55">
        <f>'QRA Models'!P164</f>
        <v>0</v>
      </c>
      <c r="Q33" s="22" t="e">
        <f>IF(LEN(VLOOKUP(P33,A2:D500,4,FALSE))=0,,VLOOKUP(P33,A2:D500,4,FALSE))</f>
        <v>#N/A</v>
      </c>
      <c r="R33" s="56">
        <f>'Health metrics Models'!Q147</f>
        <v>0</v>
      </c>
      <c r="S33" s="22" t="e">
        <f>IF(LEN(VLOOKUP(R33,A2:D500,4,FALSE))=0,,VLOOKUP(R33,A2:D500,4,FALSE))</f>
        <v>#N/A</v>
      </c>
      <c r="T33" s="56">
        <f>'Process Model'!O145</f>
        <v>0</v>
      </c>
      <c r="U33" s="22" t="e">
        <f>IF(LEN(VLOOKUP(T33,A2:D500,4,FALSE))=0,,VLOOKUP(T33,A2:D500,4,FALSE))</f>
        <v>#N/A</v>
      </c>
      <c r="V33" s="56">
        <f>'Toxicological reference value M'!P147</f>
        <v>0</v>
      </c>
      <c r="W33" s="22" t="e">
        <f>IF(LEN(VLOOKUP(V33,A2:D500,4,FALSE))=0,,VLOOKUP(V33,A2:D500,4,FALSE))</f>
        <v>#N/A</v>
      </c>
      <c r="Y33" s="56">
        <f>'Other Empirical Model'!P158</f>
        <v>0</v>
      </c>
      <c r="Z33" s="22" t="e">
        <f>IF(LEN(VLOOKUP(Y33,A2:D500,4,FALSE))=0,,VLOOKUP(Y33,A2:D500,4,FALSE))</f>
        <v>#N/A</v>
      </c>
      <c r="AA33" s="56">
        <f>'Predictive Model'!P145</f>
        <v>0</v>
      </c>
      <c r="AB33" s="22" t="e">
        <f>IF(LEN(VLOOKUP(AA33,A2:D500,4,FALSE))=0,,VLOOKUP(AA33,A2:D500,4,FALSE))</f>
        <v>#N/A</v>
      </c>
      <c r="AC33" s="56">
        <f>'Consumption Model'!P150</f>
        <v>0</v>
      </c>
      <c r="AD33" s="22" t="e">
        <f>IF(LEN(VLOOKUP(AC33,A2:D500,4,FALSE))=0,,VLOOKUP(AC33,A2:D500,4,FALSE))</f>
        <v>#N/A</v>
      </c>
      <c r="AE33" s="22">
        <f>'(Data)'!P146</f>
        <v>0</v>
      </c>
      <c r="AF33" s="22" t="e">
        <f>IF(LEN(VLOOKUP(AE32:AE33,A2:D500,4,FALSE))=0,,VLOOKUP(AE32:AE33,A2:D500,4,FALSE))</f>
        <v>#N/A</v>
      </c>
      <c r="AH33" s="45">
        <f>'Risk Charact Model'!P164</f>
        <v>0</v>
      </c>
      <c r="AI33" s="58" t="e">
        <f>IF(LEN(VLOOKUP(AH33,A2:D500,4,FALSE))=0,,VLOOKUP(AH33,A2:D500,4,FALSE))</f>
        <v>#N/A</v>
      </c>
    </row>
    <row r="34" spans="9:35" ht="15.75" customHeight="1" x14ac:dyDescent="0.3">
      <c r="I34" s="60">
        <f>'Generic Metadata Schema'!P164</f>
        <v>0</v>
      </c>
      <c r="J34" s="22" t="e">
        <f>IF(LEN(VLOOKUP(I34,A2:D500,4,FALSE))=0,"",VLOOKUP(I34,A2:D500,4,FALSE))</f>
        <v>#N/A</v>
      </c>
      <c r="L34" s="56">
        <f>'Dose-response Model'!O148</f>
        <v>0</v>
      </c>
      <c r="M34" s="22" t="e">
        <f>IF(LEN(VLOOKUP(L34,A2:D500,4,FALSE))=0,,VLOOKUP(L34,A2:D500,4,FALSE))</f>
        <v>#N/A</v>
      </c>
      <c r="N34" s="22">
        <f>'Exposure Model'!O165</f>
        <v>0</v>
      </c>
      <c r="O34" s="22" t="e">
        <f>IF(LEN(VLOOKUP(N34,A2:D500,4,FALSE))=0,,VLOOKUP(N34,A2:D500,4,FALSE))</f>
        <v>#N/A</v>
      </c>
      <c r="P34" s="55">
        <f>'QRA Models'!P165</f>
        <v>0</v>
      </c>
      <c r="Q34" s="22" t="e">
        <f>IF(LEN(VLOOKUP(P34,A2:D500,4,FALSE))=0,,VLOOKUP(P34,A2:D500,4,FALSE))</f>
        <v>#N/A</v>
      </c>
      <c r="R34" s="56">
        <f>'Health metrics Models'!Q148</f>
        <v>0</v>
      </c>
      <c r="S34" s="22" t="e">
        <f>IF(LEN(VLOOKUP(R34,A2:D500,4,FALSE))=0,,VLOOKUP(R34,A2:D500,4,FALSE))</f>
        <v>#N/A</v>
      </c>
      <c r="T34" s="56">
        <f>'Process Model'!O146</f>
        <v>0</v>
      </c>
      <c r="U34" s="22" t="e">
        <f>IF(LEN(VLOOKUP(T34,A2:D500,4,FALSE))=0,,VLOOKUP(T34,A2:D500,4,FALSE))</f>
        <v>#N/A</v>
      </c>
      <c r="V34" s="56">
        <f>'Toxicological reference value M'!P148</f>
        <v>0</v>
      </c>
      <c r="W34" s="22" t="e">
        <f>IF(LEN(VLOOKUP(V34,A2:D500,4,FALSE))=0,,VLOOKUP(V34,A2:D500,4,FALSE))</f>
        <v>#N/A</v>
      </c>
      <c r="Y34" s="56">
        <f>'Other Empirical Model'!P159</f>
        <v>0</v>
      </c>
      <c r="Z34" s="22" t="e">
        <f>IF(LEN(VLOOKUP(Y34,A2:D500,4,FALSE))=0,,VLOOKUP(Y34,A2:D500,4,FALSE))</f>
        <v>#N/A</v>
      </c>
      <c r="AA34" s="56">
        <f>'Predictive Model'!P146</f>
        <v>0</v>
      </c>
      <c r="AB34" s="22" t="e">
        <f>IF(LEN(VLOOKUP(AA34,A2:D500,4,FALSE))=0,,VLOOKUP(AA34,A2:D500,4,FALSE))</f>
        <v>#N/A</v>
      </c>
      <c r="AC34" s="56">
        <f>'Consumption Model'!P151</f>
        <v>0</v>
      </c>
      <c r="AD34" s="22" t="e">
        <f>IF(LEN(VLOOKUP(AC34,A2:D500,4,FALSE))=0,,VLOOKUP(AC34,A2:D500,4,FALSE))</f>
        <v>#N/A</v>
      </c>
      <c r="AE34" s="22">
        <f>'(Data)'!P147</f>
        <v>0</v>
      </c>
      <c r="AF34" s="22" t="e">
        <f>IF(LEN(VLOOKUP(AE33:AE34,A2:D500,4,FALSE))=0,,VLOOKUP(AE33:AE34,A2:D500,4,FALSE))</f>
        <v>#N/A</v>
      </c>
      <c r="AH34" s="45">
        <f>'Risk Charact Model'!P165</f>
        <v>0</v>
      </c>
      <c r="AI34" s="58" t="e">
        <f>IF(LEN(VLOOKUP(AH34,A2:D500,4,FALSE))=0,,VLOOKUP(AH34,A2:D500,4,FALSE))</f>
        <v>#N/A</v>
      </c>
    </row>
    <row r="35" spans="9:35" ht="15.75" customHeight="1" x14ac:dyDescent="0.3">
      <c r="I35" s="60">
        <f>'Generic Metadata Schema'!P165</f>
        <v>0</v>
      </c>
      <c r="J35" s="22" t="e">
        <f>IF(LEN(VLOOKUP(I35,A2:D500,4,FALSE))=0,"",VLOOKUP(I35,A2:D500,4,FALSE))</f>
        <v>#N/A</v>
      </c>
      <c r="L35" s="56">
        <f>'Dose-response Model'!O149</f>
        <v>0</v>
      </c>
      <c r="M35" s="22" t="e">
        <f>IF(LEN(VLOOKUP(L35,A2:D500,4,FALSE))=0,,VLOOKUP(L35,A2:D500,4,FALSE))</f>
        <v>#N/A</v>
      </c>
      <c r="N35" s="22">
        <f>'Exposure Model'!O166</f>
        <v>0</v>
      </c>
      <c r="O35" s="22" t="e">
        <f>IF(LEN(VLOOKUP(N35,A2:D500,4,FALSE))=0,,VLOOKUP(N35,A2:D500,4,FALSE))</f>
        <v>#N/A</v>
      </c>
      <c r="P35" s="55">
        <f>'QRA Models'!P166</f>
        <v>0</v>
      </c>
      <c r="Q35" s="22" t="e">
        <f>IF(LEN(VLOOKUP(P35,A2:D500,4,FALSE))=0,,VLOOKUP(P35,A2:D500,4,FALSE))</f>
        <v>#N/A</v>
      </c>
      <c r="R35" s="56">
        <f>'Health metrics Models'!Q149</f>
        <v>0</v>
      </c>
      <c r="S35" s="22" t="e">
        <f>IF(LEN(VLOOKUP(R35,A2:D500,4,FALSE))=0,,VLOOKUP(R35,A2:D500,4,FALSE))</f>
        <v>#N/A</v>
      </c>
      <c r="T35" s="56">
        <f>'Process Model'!O147</f>
        <v>0</v>
      </c>
      <c r="U35" s="22" t="e">
        <f>IF(LEN(VLOOKUP(T35,A2:D500,4,FALSE))=0,,VLOOKUP(T35,A2:D500,4,FALSE))</f>
        <v>#N/A</v>
      </c>
      <c r="V35" s="56">
        <f>'Toxicological reference value M'!P149</f>
        <v>0</v>
      </c>
      <c r="W35" s="22" t="e">
        <f>IF(LEN(VLOOKUP(V35,A2:D500,4,FALSE))=0,,VLOOKUP(V35,A2:D500,4,FALSE))</f>
        <v>#N/A</v>
      </c>
      <c r="Y35" s="56">
        <f>'Other Empirical Model'!P160</f>
        <v>0</v>
      </c>
      <c r="Z35" s="22" t="e">
        <f>IF(LEN(VLOOKUP(Y35,A2:D500,4,FALSE))=0,,VLOOKUP(Y35,A2:D500,4,FALSE))</f>
        <v>#N/A</v>
      </c>
      <c r="AA35" s="56">
        <f>'Predictive Model'!P147</f>
        <v>0</v>
      </c>
      <c r="AB35" s="22" t="e">
        <f>IF(LEN(VLOOKUP(AA35,A2:D500,4,FALSE))=0,,VLOOKUP(AA35,A2:D500,4,FALSE))</f>
        <v>#N/A</v>
      </c>
      <c r="AC35" s="56">
        <f>'Consumption Model'!P152</f>
        <v>0</v>
      </c>
      <c r="AD35" s="22" t="e">
        <f>IF(LEN(VLOOKUP(AC35,A2:D500,4,FALSE))=0,,VLOOKUP(AC35,A2:D500,4,FALSE))</f>
        <v>#N/A</v>
      </c>
      <c r="AE35" s="22">
        <f>'(Data)'!P148</f>
        <v>0</v>
      </c>
      <c r="AF35" s="22" t="e">
        <f>IF(LEN(VLOOKUP(AE34:AE35,A2:D500,4,FALSE))=0,,VLOOKUP(AE34:AE35,A2:D500,4,FALSE))</f>
        <v>#N/A</v>
      </c>
      <c r="AH35" s="45">
        <f>'Risk Charact Model'!P166</f>
        <v>0</v>
      </c>
      <c r="AI35" s="58" t="e">
        <f>IF(LEN(VLOOKUP(AH35,A2:D500,4,FALSE))=0,,VLOOKUP(AH35,A2:D500,4,FALSE))</f>
        <v>#N/A</v>
      </c>
    </row>
    <row r="36" spans="9:35" ht="15.75" customHeight="1" x14ac:dyDescent="0.3">
      <c r="I36" s="60">
        <f>'Generic Metadata Schema'!P166</f>
        <v>0</v>
      </c>
      <c r="J36" s="22" t="e">
        <f>IF(LEN(VLOOKUP(I36,A2:D500,4,FALSE))=0,"",VLOOKUP(I36,A2:D500,4,FALSE))</f>
        <v>#N/A</v>
      </c>
      <c r="L36" s="56">
        <f>'Dose-response Model'!O150</f>
        <v>0</v>
      </c>
      <c r="M36" s="22" t="e">
        <f>IF(LEN(VLOOKUP(L36,A2:D500,4,FALSE))=0,,VLOOKUP(L36,A2:D500,4,FALSE))</f>
        <v>#N/A</v>
      </c>
      <c r="N36" s="22">
        <f>'Exposure Model'!O167</f>
        <v>0</v>
      </c>
      <c r="O36" s="22" t="e">
        <f>IF(LEN(VLOOKUP(N36,A2:D500,4,FALSE))=0,,VLOOKUP(N36,A2:D500,4,FALSE))</f>
        <v>#N/A</v>
      </c>
      <c r="P36" s="55">
        <f>'QRA Models'!P167</f>
        <v>0</v>
      </c>
      <c r="Q36" s="22" t="e">
        <f>IF(LEN(VLOOKUP(P36,A2:D500,4,FALSE))=0,,VLOOKUP(P36,A2:D500,4,FALSE))</f>
        <v>#N/A</v>
      </c>
      <c r="R36" s="56">
        <f>'Health metrics Models'!Q150</f>
        <v>0</v>
      </c>
      <c r="S36" s="22" t="e">
        <f>IF(LEN(VLOOKUP(R36,A2:D500,4,FALSE))=0,,VLOOKUP(R36,A2:D500,4,FALSE))</f>
        <v>#N/A</v>
      </c>
      <c r="T36" s="56">
        <f>'Process Model'!O148</f>
        <v>0</v>
      </c>
      <c r="U36" s="22" t="e">
        <f>IF(LEN(VLOOKUP(T36,A2:D500,4,FALSE))=0,,VLOOKUP(T36,A2:D500,4,FALSE))</f>
        <v>#N/A</v>
      </c>
      <c r="V36" s="56">
        <f>'Toxicological reference value M'!P150</f>
        <v>0</v>
      </c>
      <c r="W36" s="22" t="e">
        <f>IF(LEN(VLOOKUP(V36,A2:D500,4,FALSE))=0,,VLOOKUP(V36,A2:D500,4,FALSE))</f>
        <v>#N/A</v>
      </c>
      <c r="Y36" s="56">
        <f>'Other Empirical Model'!P161</f>
        <v>0</v>
      </c>
      <c r="Z36" s="22" t="e">
        <f>IF(LEN(VLOOKUP(Y36,A2:D500,4,FALSE))=0,,VLOOKUP(Y36,A2:D500,4,FALSE))</f>
        <v>#N/A</v>
      </c>
      <c r="AA36" s="56">
        <f>'Predictive Model'!P148</f>
        <v>0</v>
      </c>
      <c r="AB36" s="22" t="e">
        <f>IF(LEN(VLOOKUP(AA36,A2:D500,4,FALSE))=0,,VLOOKUP(AA36,A2:D500,4,FALSE))</f>
        <v>#N/A</v>
      </c>
      <c r="AC36" s="56">
        <f>'Consumption Model'!P153</f>
        <v>0</v>
      </c>
      <c r="AD36" s="22" t="e">
        <f>IF(LEN(VLOOKUP(AC36,A2:D500,4,FALSE))=0,,VLOOKUP(AC36,A2:D500,4,FALSE))</f>
        <v>#N/A</v>
      </c>
      <c r="AE36" s="22">
        <f>'(Data)'!P149</f>
        <v>0</v>
      </c>
      <c r="AF36" s="22" t="e">
        <f>IF(LEN(VLOOKUP(AE35:AE36,A2:D500,4,FALSE))=0,,VLOOKUP(AE35:AE36,A2:D500,4,FALSE))</f>
        <v>#N/A</v>
      </c>
      <c r="AH36" s="45">
        <f>'Risk Charact Model'!P167</f>
        <v>0</v>
      </c>
      <c r="AI36" s="58" t="e">
        <f>IF(LEN(VLOOKUP(AH36,A2:D500,4,FALSE))=0,,VLOOKUP(AH36,A2:D500,4,FALSE))</f>
        <v>#N/A</v>
      </c>
    </row>
    <row r="37" spans="9:35" ht="15.75" customHeight="1" x14ac:dyDescent="0.3">
      <c r="I37" s="60">
        <f>'Generic Metadata Schema'!P167</f>
        <v>0</v>
      </c>
      <c r="J37" s="22" t="e">
        <f>IF(LEN(VLOOKUP(I37,A2:D500,4,FALSE))=0,"",VLOOKUP(I37,A2:D500,4,FALSE))</f>
        <v>#N/A</v>
      </c>
      <c r="L37" s="56">
        <f>'Dose-response Model'!O151</f>
        <v>0</v>
      </c>
      <c r="M37" s="22" t="e">
        <f>IF(LEN(VLOOKUP(L37,A2:D500,4,FALSE))=0,,VLOOKUP(L37,A2:D500,4,FALSE))</f>
        <v>#N/A</v>
      </c>
      <c r="N37" s="22">
        <f>'Exposure Model'!O168</f>
        <v>0</v>
      </c>
      <c r="O37" s="22" t="e">
        <f>IF(LEN(VLOOKUP(N37,A2:D500,4,FALSE))=0,,VLOOKUP(N37,A2:D500,4,FALSE))</f>
        <v>#N/A</v>
      </c>
      <c r="P37" s="55">
        <f>'QRA Models'!P168</f>
        <v>0</v>
      </c>
      <c r="Q37" s="22" t="e">
        <f>IF(LEN(VLOOKUP(P37,A2:D500,4,FALSE))=0,,VLOOKUP(P37,A2:D500,4,FALSE))</f>
        <v>#N/A</v>
      </c>
      <c r="R37" s="56">
        <f>'Health metrics Models'!Q151</f>
        <v>0</v>
      </c>
      <c r="S37" s="22" t="e">
        <f>IF(LEN(VLOOKUP(R37,A2:D500,4,FALSE))=0,,VLOOKUP(R37,A2:D500,4,FALSE))</f>
        <v>#N/A</v>
      </c>
      <c r="T37" s="56">
        <f>'Process Model'!O149</f>
        <v>0</v>
      </c>
      <c r="U37" s="22" t="e">
        <f>IF(LEN(VLOOKUP(T37,A2:D500,4,FALSE))=0,,VLOOKUP(T37,A2:D500,4,FALSE))</f>
        <v>#N/A</v>
      </c>
      <c r="V37" s="56">
        <f>'Toxicological reference value M'!P151</f>
        <v>0</v>
      </c>
      <c r="W37" s="22" t="e">
        <f>IF(LEN(VLOOKUP(V37,A2:D500,4,FALSE))=0,,VLOOKUP(V37,A2:D500,4,FALSE))</f>
        <v>#N/A</v>
      </c>
      <c r="Y37" s="56">
        <f>'Other Empirical Model'!P162</f>
        <v>0</v>
      </c>
      <c r="Z37" s="22" t="e">
        <f>IF(LEN(VLOOKUP(Y37,A2:D500,4,FALSE))=0,,VLOOKUP(Y37,A2:D500,4,FALSE))</f>
        <v>#N/A</v>
      </c>
      <c r="AA37" s="56">
        <f>'Predictive Model'!P149</f>
        <v>0</v>
      </c>
      <c r="AB37" s="22" t="e">
        <f>IF(LEN(VLOOKUP(AA37,A2:D500,4,FALSE))=0,,VLOOKUP(AA37,A2:D500,4,FALSE))</f>
        <v>#N/A</v>
      </c>
      <c r="AC37" s="56">
        <f>'Consumption Model'!P154</f>
        <v>0</v>
      </c>
      <c r="AD37" s="22" t="e">
        <f>IF(LEN(VLOOKUP(AC37,A2:D500,4,FALSE))=0,,VLOOKUP(AC37,A2:D500,4,FALSE))</f>
        <v>#N/A</v>
      </c>
      <c r="AE37" s="22">
        <f>'(Data)'!P150</f>
        <v>0</v>
      </c>
      <c r="AF37" s="22" t="e">
        <f>IF(LEN(VLOOKUP(AE36:AE37,A2:D500,4,FALSE))=0,,VLOOKUP(AE36:AE37,A2:D500,4,FALSE))</f>
        <v>#N/A</v>
      </c>
      <c r="AH37" s="45">
        <f>'Risk Charact Model'!P168</f>
        <v>0</v>
      </c>
      <c r="AI37" s="58" t="e">
        <f>IF(LEN(VLOOKUP(AH37,A2:D500,4,FALSE))=0,,VLOOKUP(AH37,A2:D500,4,FALSE))</f>
        <v>#N/A</v>
      </c>
    </row>
    <row r="38" spans="9:35" ht="15.75" customHeight="1" x14ac:dyDescent="0.3">
      <c r="I38" s="60">
        <f>'Generic Metadata Schema'!P168</f>
        <v>0</v>
      </c>
      <c r="J38" s="22" t="e">
        <f>IF(LEN(VLOOKUP(I38,A2:D500,4,FALSE))=0,"",VLOOKUP(I38,A2:D500,4,FALSE))</f>
        <v>#N/A</v>
      </c>
      <c r="L38" s="56">
        <f>'Dose-response Model'!O152</f>
        <v>0</v>
      </c>
      <c r="M38" s="22" t="e">
        <f>IF(LEN(VLOOKUP(L38,A2:D500,4,FALSE))=0,,VLOOKUP(L38,A2:D500,4,FALSE))</f>
        <v>#N/A</v>
      </c>
      <c r="N38" s="22">
        <f>'Exposure Model'!O169</f>
        <v>0</v>
      </c>
      <c r="O38" s="22" t="e">
        <f>IF(LEN(VLOOKUP(N38,A2:D500,4,FALSE))=0,,VLOOKUP(N38,A2:D500,4,FALSE))</f>
        <v>#N/A</v>
      </c>
      <c r="P38" s="55">
        <f>'QRA Models'!P169</f>
        <v>0</v>
      </c>
      <c r="Q38" s="22" t="e">
        <f>IF(LEN(VLOOKUP(P38,A2:D500,4,FALSE))=0,,VLOOKUP(P38,A2:D500,4,FALSE))</f>
        <v>#N/A</v>
      </c>
      <c r="R38" s="56">
        <f>'Health metrics Models'!Q152</f>
        <v>0</v>
      </c>
      <c r="S38" s="22" t="e">
        <f>IF(LEN(VLOOKUP(R38,A2:D500,4,FALSE))=0,,VLOOKUP(R38,A2:D500,4,FALSE))</f>
        <v>#N/A</v>
      </c>
      <c r="T38" s="56">
        <f>'Process Model'!O150</f>
        <v>0</v>
      </c>
      <c r="U38" s="22" t="e">
        <f>IF(LEN(VLOOKUP(T38,A2:D500,4,FALSE))=0,,VLOOKUP(T38,A2:D500,4,FALSE))</f>
        <v>#N/A</v>
      </c>
      <c r="V38" s="56">
        <f>'Toxicological reference value M'!P152</f>
        <v>0</v>
      </c>
      <c r="W38" s="22" t="e">
        <f>IF(LEN(VLOOKUP(V38,A2:D500,4,FALSE))=0,,VLOOKUP(V38,A2:D500,4,FALSE))</f>
        <v>#N/A</v>
      </c>
      <c r="Y38" s="56">
        <f>'Other Empirical Model'!P163</f>
        <v>0</v>
      </c>
      <c r="Z38" s="22" t="e">
        <f>IF(LEN(VLOOKUP(Y38,A2:D500,4,FALSE))=0,,VLOOKUP(Y38,A2:D500,4,FALSE))</f>
        <v>#N/A</v>
      </c>
      <c r="AA38" s="56">
        <f>'Predictive Model'!P150</f>
        <v>0</v>
      </c>
      <c r="AB38" s="22" t="e">
        <f>IF(LEN(VLOOKUP(AA38,A2:D500,4,FALSE))=0,,VLOOKUP(AA38,A2:D500,4,FALSE))</f>
        <v>#N/A</v>
      </c>
      <c r="AC38" s="56">
        <f>'Consumption Model'!P155</f>
        <v>0</v>
      </c>
      <c r="AD38" s="22" t="e">
        <f>IF(LEN(VLOOKUP(AC38,A2:D500,4,FALSE))=0,,VLOOKUP(AC38,A2:D500,4,FALSE))</f>
        <v>#N/A</v>
      </c>
      <c r="AE38" s="22">
        <f>'(Data)'!P151</f>
        <v>0</v>
      </c>
      <c r="AF38" s="22" t="e">
        <f>IF(LEN(VLOOKUP(AE37:AE38,A2:D500,4,FALSE))=0,,VLOOKUP(AE37:AE38,A2:D500,4,FALSE))</f>
        <v>#N/A</v>
      </c>
      <c r="AH38" s="45">
        <f>'Risk Charact Model'!P169</f>
        <v>0</v>
      </c>
      <c r="AI38" s="58" t="e">
        <f>IF(LEN(VLOOKUP(AH38,A2:D500,4,FALSE))=0,,VLOOKUP(AH38,A2:D500,4,FALSE))</f>
        <v>#N/A</v>
      </c>
    </row>
    <row r="39" spans="9:35" ht="14" x14ac:dyDescent="0.3">
      <c r="I39" s="60">
        <f>'Generic Metadata Schema'!P169</f>
        <v>0</v>
      </c>
      <c r="J39" s="22" t="e">
        <f>IF(LEN(VLOOKUP(I39,A2:D500,4,FALSE))=0,"",VLOOKUP(I39,A2:D500,4,FALSE))</f>
        <v>#N/A</v>
      </c>
      <c r="L39" s="56">
        <f>'Dose-response Model'!O153</f>
        <v>0</v>
      </c>
      <c r="M39" s="22" t="e">
        <f>IF(LEN(VLOOKUP(L39,A2:D500,4,FALSE))=0,,VLOOKUP(L39,A2:D500,4,FALSE))</f>
        <v>#N/A</v>
      </c>
      <c r="N39" s="22">
        <f>'Exposure Model'!O170</f>
        <v>0</v>
      </c>
      <c r="O39" s="22" t="e">
        <f>IF(LEN(VLOOKUP(N39,A2:D500,4,FALSE))=0,,VLOOKUP(N39,A2:D500,4,FALSE))</f>
        <v>#N/A</v>
      </c>
      <c r="P39" s="55">
        <f>'QRA Models'!P170</f>
        <v>0</v>
      </c>
      <c r="Q39" s="22" t="e">
        <f>IF(LEN(VLOOKUP(P39,A2:D500,4,FALSE))=0,,VLOOKUP(P39,A2:D500,4,FALSE))</f>
        <v>#N/A</v>
      </c>
      <c r="R39" s="56">
        <f>'Health metrics Models'!Q153</f>
        <v>0</v>
      </c>
      <c r="S39" s="22" t="e">
        <f>IF(LEN(VLOOKUP(R39,A2:D500,4,FALSE))=0,,VLOOKUP(R39,A2:D500,4,FALSE))</f>
        <v>#N/A</v>
      </c>
      <c r="T39" s="56">
        <f>'Process Model'!O151</f>
        <v>0</v>
      </c>
      <c r="U39" s="22" t="e">
        <f>IF(LEN(VLOOKUP(T39,A2:D500,4,FALSE))=0,,VLOOKUP(T39,A2:D500,4,FALSE))</f>
        <v>#N/A</v>
      </c>
      <c r="V39" s="56">
        <f>'Toxicological reference value M'!P153</f>
        <v>0</v>
      </c>
      <c r="W39" s="22" t="e">
        <f>IF(LEN(VLOOKUP(V39,A2:D500,4,FALSE))=0,,VLOOKUP(V39,A2:D500,4,FALSE))</f>
        <v>#N/A</v>
      </c>
      <c r="Y39" s="56">
        <f>'Other Empirical Model'!P164</f>
        <v>0</v>
      </c>
      <c r="Z39" s="22" t="e">
        <f>IF(LEN(VLOOKUP(Y39,A2:D500,4,FALSE))=0,,VLOOKUP(Y39,A2:D500,4,FALSE))</f>
        <v>#N/A</v>
      </c>
      <c r="AA39" s="56">
        <f>'Predictive Model'!P151</f>
        <v>0</v>
      </c>
      <c r="AB39" s="22" t="e">
        <f>IF(LEN(VLOOKUP(AA39,A2:D500,4,FALSE))=0,,VLOOKUP(AA39,A2:D500,4,FALSE))</f>
        <v>#N/A</v>
      </c>
      <c r="AC39" s="56">
        <f>'Consumption Model'!P156</f>
        <v>0</v>
      </c>
      <c r="AD39" s="22" t="e">
        <f>IF(LEN(VLOOKUP(AC39,A2:D500,4,FALSE))=0,,VLOOKUP(AC39,A2:D500,4,FALSE))</f>
        <v>#N/A</v>
      </c>
      <c r="AE39" s="22">
        <f>'(Data)'!P152</f>
        <v>0</v>
      </c>
      <c r="AF39" s="22" t="e">
        <f>IF(LEN(VLOOKUP(AE38:AE39,A2:D500,4,FALSE))=0,,VLOOKUP(AE38:AE39,A2:D500,4,FALSE))</f>
        <v>#N/A</v>
      </c>
      <c r="AH39" s="45">
        <f>'Risk Charact Model'!P170</f>
        <v>0</v>
      </c>
      <c r="AI39" s="58" t="e">
        <f>IF(LEN(VLOOKUP(AH39,A2:D500,4,FALSE))=0,,VLOOKUP(AH39,A2:D500,4,FALSE))</f>
        <v>#N/A</v>
      </c>
    </row>
    <row r="40" spans="9:35" ht="14" x14ac:dyDescent="0.3">
      <c r="I40" s="60">
        <f>'Generic Metadata Schema'!P170</f>
        <v>0</v>
      </c>
      <c r="J40" s="22" t="e">
        <f>IF(LEN(VLOOKUP(I40,A2:D500,4,FALSE))=0,"",VLOOKUP(I40,A2:D500,4,FALSE))</f>
        <v>#N/A</v>
      </c>
      <c r="L40" s="56">
        <f>'Dose-response Model'!O154</f>
        <v>0</v>
      </c>
      <c r="M40" s="22" t="e">
        <f>IF(LEN(VLOOKUP(L40,A2:D500,4,FALSE))=0,,VLOOKUP(L40,A2:D500,4,FALSE))</f>
        <v>#N/A</v>
      </c>
      <c r="N40" s="22">
        <f>'Exposure Model'!O171</f>
        <v>0</v>
      </c>
      <c r="O40" s="22" t="e">
        <f>IF(LEN(VLOOKUP(N40,A2:D500,4,FALSE))=0,,VLOOKUP(N40,A2:D500,4,FALSE))</f>
        <v>#N/A</v>
      </c>
      <c r="P40" s="55">
        <f>'QRA Models'!P171</f>
        <v>0</v>
      </c>
      <c r="Q40" s="22" t="e">
        <f>IF(LEN(VLOOKUP(P40,A2:D500,4,FALSE))=0,,VLOOKUP(P40,A2:D500,4,FALSE))</f>
        <v>#N/A</v>
      </c>
      <c r="R40" s="56">
        <f>'Health metrics Models'!Q154</f>
        <v>0</v>
      </c>
      <c r="S40" s="22" t="e">
        <f>IF(LEN(VLOOKUP(R40,A2:D500,4,FALSE))=0,,VLOOKUP(R40,A2:D500,4,FALSE))</f>
        <v>#N/A</v>
      </c>
      <c r="T40" s="56">
        <f>'Process Model'!O152</f>
        <v>0</v>
      </c>
      <c r="U40" s="22" t="e">
        <f>IF(LEN(VLOOKUP(T40,A2:D500,4,FALSE))=0,,VLOOKUP(T40,A2:D500,4,FALSE))</f>
        <v>#N/A</v>
      </c>
      <c r="V40" s="56">
        <f>'Toxicological reference value M'!P154</f>
        <v>0</v>
      </c>
      <c r="W40" s="22" t="e">
        <f>IF(LEN(VLOOKUP(V40,A2:D500,4,FALSE))=0,,VLOOKUP(V40,A2:D500,4,FALSE))</f>
        <v>#N/A</v>
      </c>
      <c r="Y40" s="56">
        <f>'Other Empirical Model'!P165</f>
        <v>0</v>
      </c>
      <c r="Z40" s="22" t="e">
        <f>IF(LEN(VLOOKUP(Y40,A2:D500,4,FALSE))=0,,VLOOKUP(Y40,A2:D500,4,FALSE))</f>
        <v>#N/A</v>
      </c>
      <c r="AA40" s="56">
        <f>'Predictive Model'!P152</f>
        <v>0</v>
      </c>
      <c r="AB40" s="22" t="e">
        <f>IF(LEN(VLOOKUP(AA40,A2:D500,4,FALSE))=0,,VLOOKUP(AA40,A2:D500,4,FALSE))</f>
        <v>#N/A</v>
      </c>
      <c r="AC40" s="56">
        <f>'Consumption Model'!P157</f>
        <v>0</v>
      </c>
      <c r="AD40" s="22" t="e">
        <f>IF(LEN(VLOOKUP(AC40,A2:D500,4,FALSE))=0,,VLOOKUP(AC40,A2:D500,4,FALSE))</f>
        <v>#N/A</v>
      </c>
      <c r="AE40" s="22">
        <f>'(Data)'!P153</f>
        <v>0</v>
      </c>
      <c r="AF40" s="22" t="e">
        <f>IF(LEN(VLOOKUP(AE39:AE40,A2:D500,4,FALSE))=0,,VLOOKUP(AE39:AE40,A2:D500,4,FALSE))</f>
        <v>#N/A</v>
      </c>
      <c r="AH40" s="45">
        <f>'Risk Charact Model'!P171</f>
        <v>0</v>
      </c>
      <c r="AI40" s="58" t="e">
        <f>IF(LEN(VLOOKUP(AH40,A2:D500,4,FALSE))=0,,VLOOKUP(AH40,A2:D500,4,FALSE))</f>
        <v>#N/A</v>
      </c>
    </row>
    <row r="41" spans="9:35" ht="14" x14ac:dyDescent="0.3">
      <c r="I41" s="60">
        <f>'Generic Metadata Schema'!P171</f>
        <v>0</v>
      </c>
      <c r="J41" s="22" t="e">
        <f>IF(LEN(VLOOKUP(I41,A2:D500,4,FALSE))=0,"",VLOOKUP(I41,A2:D500,4,FALSE))</f>
        <v>#N/A</v>
      </c>
      <c r="L41" s="56">
        <f>'Dose-response Model'!O155</f>
        <v>0</v>
      </c>
      <c r="M41" s="22" t="e">
        <f>IF(LEN(VLOOKUP(L41,A2:D500,4,FALSE))=0,,VLOOKUP(L41,A2:D500,4,FALSE))</f>
        <v>#N/A</v>
      </c>
      <c r="N41" s="22">
        <f>'Exposure Model'!O172</f>
        <v>0</v>
      </c>
      <c r="O41" s="22" t="e">
        <f>IF(LEN(VLOOKUP(N41,A2:D500,4,FALSE))=0,,VLOOKUP(N41,A2:D500,4,FALSE))</f>
        <v>#N/A</v>
      </c>
      <c r="P41" s="55">
        <f>'QRA Models'!P172</f>
        <v>0</v>
      </c>
      <c r="Q41" s="22" t="e">
        <f>IF(LEN(VLOOKUP(P41,A2:D500,4,FALSE))=0,,VLOOKUP(P41,A2:D500,4,FALSE))</f>
        <v>#N/A</v>
      </c>
      <c r="R41" s="56">
        <f>'Health metrics Models'!Q155</f>
        <v>0</v>
      </c>
      <c r="S41" s="22" t="e">
        <f>IF(LEN(VLOOKUP(R41,A2:D500,4,FALSE))=0,,VLOOKUP(R41,A2:D500,4,FALSE))</f>
        <v>#N/A</v>
      </c>
      <c r="T41" s="56">
        <f>'Process Model'!O153</f>
        <v>0</v>
      </c>
      <c r="U41" s="22" t="e">
        <f>IF(LEN(VLOOKUP(T41,A2:D500,4,FALSE))=0,,VLOOKUP(T41,A2:D500,4,FALSE))</f>
        <v>#N/A</v>
      </c>
      <c r="V41" s="56">
        <f>'Toxicological reference value M'!P155</f>
        <v>0</v>
      </c>
      <c r="W41" s="22" t="e">
        <f>IF(LEN(VLOOKUP(V41,A2:D500,4,FALSE))=0,,VLOOKUP(V41,A2:D500,4,FALSE))</f>
        <v>#N/A</v>
      </c>
      <c r="Y41" s="56">
        <f>'Other Empirical Model'!P166</f>
        <v>0</v>
      </c>
      <c r="Z41" s="22" t="e">
        <f>IF(LEN(VLOOKUP(Y41,A2:D500,4,FALSE))=0,,VLOOKUP(Y41,A2:D500,4,FALSE))</f>
        <v>#N/A</v>
      </c>
      <c r="AA41" s="56">
        <f>'Predictive Model'!P153</f>
        <v>0</v>
      </c>
      <c r="AB41" s="22" t="e">
        <f>IF(LEN(VLOOKUP(AA41,A2:D500,4,FALSE))=0,,VLOOKUP(AA41,A2:D500,4,FALSE))</f>
        <v>#N/A</v>
      </c>
      <c r="AC41" s="56">
        <f>'Consumption Model'!P158</f>
        <v>0</v>
      </c>
      <c r="AD41" s="22" t="e">
        <f>IF(LEN(VLOOKUP(AC41,A2:D500,4,FALSE))=0,,VLOOKUP(AC41,A2:D500,4,FALSE))</f>
        <v>#N/A</v>
      </c>
      <c r="AE41" s="22">
        <f>'(Data)'!P154</f>
        <v>0</v>
      </c>
      <c r="AF41" s="22" t="e">
        <f>IF(LEN(VLOOKUP(AE40:AE41,A2:D500,4,FALSE))=0,,VLOOKUP(AE40:AE41,A2:D500,4,FALSE))</f>
        <v>#N/A</v>
      </c>
      <c r="AH41" s="45">
        <f>'Risk Charact Model'!P172</f>
        <v>0</v>
      </c>
      <c r="AI41" s="58" t="e">
        <f>IF(LEN(VLOOKUP(AH41,A2:D500,4,FALSE))=0,,VLOOKUP(AH41,A2:D500,4,FALSE))</f>
        <v>#N/A</v>
      </c>
    </row>
    <row r="42" spans="9:35" ht="14" x14ac:dyDescent="0.3">
      <c r="I42" s="60">
        <f>'Generic Metadata Schema'!P172</f>
        <v>0</v>
      </c>
      <c r="J42" s="22" t="e">
        <f>IF(LEN(VLOOKUP(I42,A2:D500,4,FALSE))=0,"",VLOOKUP(I42,A2:D500,4,FALSE))</f>
        <v>#N/A</v>
      </c>
      <c r="L42" s="56">
        <f>'Dose-response Model'!O156</f>
        <v>0</v>
      </c>
      <c r="M42" s="22" t="e">
        <f>IF(LEN(VLOOKUP(L42,A2:D500,4,FALSE))=0,,VLOOKUP(L42,A2:D500,4,FALSE))</f>
        <v>#N/A</v>
      </c>
      <c r="N42" s="22">
        <f>'Exposure Model'!O173</f>
        <v>0</v>
      </c>
      <c r="O42" s="22" t="e">
        <f>IF(LEN(VLOOKUP(N42,A2:D500,4,FALSE))=0,,VLOOKUP(N42,A2:D500,4,FALSE))</f>
        <v>#N/A</v>
      </c>
      <c r="P42" s="55">
        <f>'QRA Models'!P173</f>
        <v>0</v>
      </c>
      <c r="Q42" s="22" t="e">
        <f>IF(LEN(VLOOKUP(P42,A2:D500,4,FALSE))=0,,VLOOKUP(P42,A2:D500,4,FALSE))</f>
        <v>#N/A</v>
      </c>
      <c r="R42" s="56">
        <f>'Health metrics Models'!Q156</f>
        <v>0</v>
      </c>
      <c r="S42" s="22" t="e">
        <f>IF(LEN(VLOOKUP(R42,A2:D500,4,FALSE))=0,,VLOOKUP(R42,A2:D500,4,FALSE))</f>
        <v>#N/A</v>
      </c>
      <c r="T42" s="56">
        <f>'Process Model'!O154</f>
        <v>0</v>
      </c>
      <c r="U42" s="22" t="e">
        <f>IF(LEN(VLOOKUP(T42,A2:D500,4,FALSE))=0,,VLOOKUP(T42,A2:D500,4,FALSE))</f>
        <v>#N/A</v>
      </c>
      <c r="V42" s="56">
        <f>'Toxicological reference value M'!P156</f>
        <v>0</v>
      </c>
      <c r="W42" s="22" t="e">
        <f>IF(LEN(VLOOKUP(V42,A2:D500,4,FALSE))=0,,VLOOKUP(V42,A2:D500,4,FALSE))</f>
        <v>#N/A</v>
      </c>
      <c r="Y42" s="56">
        <f>'Other Empirical Model'!P167</f>
        <v>0</v>
      </c>
      <c r="Z42" s="22" t="e">
        <f>IF(LEN(VLOOKUP(Y42,A2:D500,4,FALSE))=0,,VLOOKUP(Y42,A2:D500,4,FALSE))</f>
        <v>#N/A</v>
      </c>
      <c r="AA42" s="56">
        <f>'Predictive Model'!P154</f>
        <v>0</v>
      </c>
      <c r="AB42" s="22" t="e">
        <f>IF(LEN(VLOOKUP(AA42,A2:D500,4,FALSE))=0,,VLOOKUP(AA42,A2:D500,4,FALSE))</f>
        <v>#N/A</v>
      </c>
      <c r="AC42" s="56">
        <f>'Consumption Model'!P159</f>
        <v>0</v>
      </c>
      <c r="AD42" s="22" t="e">
        <f>IF(LEN(VLOOKUP(AC42,A2:D500,4,FALSE))=0,,VLOOKUP(AC42,A2:D500,4,FALSE))</f>
        <v>#N/A</v>
      </c>
      <c r="AE42" s="22">
        <f>'(Data)'!P155</f>
        <v>0</v>
      </c>
      <c r="AF42" s="22" t="e">
        <f>IF(LEN(VLOOKUP(AE41:AE42,A2:D500,4,FALSE))=0,,VLOOKUP(AE41:AE42,A2:D500,4,FALSE))</f>
        <v>#N/A</v>
      </c>
      <c r="AH42" s="45">
        <f>'Risk Charact Model'!P173</f>
        <v>0</v>
      </c>
      <c r="AI42" s="58" t="e">
        <f>IF(LEN(VLOOKUP(AH42,A2:D500,4,FALSE))=0,,VLOOKUP(AH42,A2:D500,4,FALSE))</f>
        <v>#N/A</v>
      </c>
    </row>
    <row r="43" spans="9:35" ht="14" x14ac:dyDescent="0.3">
      <c r="I43" s="60">
        <f>'Generic Metadata Schema'!P173</f>
        <v>0</v>
      </c>
      <c r="J43" s="22" t="e">
        <f>IF(LEN(VLOOKUP(I43,A2:D500,4,FALSE))=0,"",VLOOKUP(I43,A2:D500,4,FALSE))</f>
        <v>#N/A</v>
      </c>
      <c r="L43" s="56">
        <f>'Dose-response Model'!O157</f>
        <v>0</v>
      </c>
      <c r="M43" s="22" t="e">
        <f>IF(LEN(VLOOKUP(L43,A2:D500,4,FALSE))=0,,VLOOKUP(L43,A2:D500,4,FALSE))</f>
        <v>#N/A</v>
      </c>
      <c r="N43" s="22">
        <f>'Exposure Model'!O174</f>
        <v>0</v>
      </c>
      <c r="O43" s="22" t="e">
        <f>IF(LEN(VLOOKUP(N43,A2:D500,4,FALSE))=0,,VLOOKUP(N43,A2:D500,4,FALSE))</f>
        <v>#N/A</v>
      </c>
      <c r="P43" s="55">
        <f>'QRA Models'!P174</f>
        <v>0</v>
      </c>
      <c r="Q43" s="22" t="e">
        <f>IF(LEN(VLOOKUP(P43,A2:D500,4,FALSE))=0,,VLOOKUP(P43,A2:D500,4,FALSE))</f>
        <v>#N/A</v>
      </c>
      <c r="R43" s="56">
        <f>'Health metrics Models'!Q157</f>
        <v>0</v>
      </c>
      <c r="S43" s="22" t="e">
        <f>IF(LEN(VLOOKUP(R43,A2:D500,4,FALSE))=0,,VLOOKUP(R43,A2:D500,4,FALSE))</f>
        <v>#N/A</v>
      </c>
      <c r="T43" s="56">
        <f>'Process Model'!O155</f>
        <v>0</v>
      </c>
      <c r="U43" s="22" t="e">
        <f>IF(LEN(VLOOKUP(T43,A2:D500,4,FALSE))=0,,VLOOKUP(T43,A2:D500,4,FALSE))</f>
        <v>#N/A</v>
      </c>
      <c r="V43" s="56">
        <f>'Toxicological reference value M'!P157</f>
        <v>0</v>
      </c>
      <c r="W43" s="22" t="e">
        <f>IF(LEN(VLOOKUP(V43,A2:D500,4,FALSE))=0,,VLOOKUP(V43,A2:D500,4,FALSE))</f>
        <v>#N/A</v>
      </c>
      <c r="Y43" s="56">
        <f>'Other Empirical Model'!P168</f>
        <v>0</v>
      </c>
      <c r="Z43" s="22" t="e">
        <f>IF(LEN(VLOOKUP(Y43,A2:D500,4,FALSE))=0,,VLOOKUP(Y43,A2:D500,4,FALSE))</f>
        <v>#N/A</v>
      </c>
      <c r="AA43" s="56">
        <f>'Predictive Model'!P155</f>
        <v>0</v>
      </c>
      <c r="AB43" s="22" t="e">
        <f>IF(LEN(VLOOKUP(AA43,A2:D500,4,FALSE))=0,,VLOOKUP(AA43,A2:D500,4,FALSE))</f>
        <v>#N/A</v>
      </c>
      <c r="AC43" s="56">
        <f>'Consumption Model'!P160</f>
        <v>0</v>
      </c>
      <c r="AD43" s="22" t="e">
        <f>IF(LEN(VLOOKUP(AC43,A2:D500,4,FALSE))=0,,VLOOKUP(AC43,A2:D500,4,FALSE))</f>
        <v>#N/A</v>
      </c>
      <c r="AE43" s="22">
        <f>'(Data)'!P156</f>
        <v>0</v>
      </c>
      <c r="AF43" s="22" t="e">
        <f>IF(LEN(VLOOKUP(AE42:AE43,A2:D500,4,FALSE))=0,,VLOOKUP(AE42:AE43,A2:D500,4,FALSE))</f>
        <v>#N/A</v>
      </c>
      <c r="AH43" s="45">
        <f>'Risk Charact Model'!P174</f>
        <v>0</v>
      </c>
      <c r="AI43" s="58" t="e">
        <f>IF(LEN(VLOOKUP(AH43,A2:D500,4,FALSE))=0,,VLOOKUP(AH43,A2:D500,4,FALSE))</f>
        <v>#N/A</v>
      </c>
    </row>
    <row r="44" spans="9:35" ht="14" x14ac:dyDescent="0.3">
      <c r="I44" s="60">
        <f>'Generic Metadata Schema'!P174</f>
        <v>0</v>
      </c>
      <c r="J44" s="22" t="e">
        <f>IF(LEN(VLOOKUP(I44,A2:D500,4,FALSE))=0,"",VLOOKUP(I44,A2:D500,4,FALSE))</f>
        <v>#N/A</v>
      </c>
      <c r="L44" s="56">
        <f>'Dose-response Model'!O158</f>
        <v>0</v>
      </c>
      <c r="M44" s="22" t="e">
        <f>IF(LEN(VLOOKUP(L44,A2:D500,4,FALSE))=0,,VLOOKUP(L44,A2:D500,4,FALSE))</f>
        <v>#N/A</v>
      </c>
      <c r="N44" s="22">
        <f>'Exposure Model'!O175</f>
        <v>0</v>
      </c>
      <c r="O44" s="22" t="e">
        <f>IF(LEN(VLOOKUP(N44,A2:D500,4,FALSE))=0,,VLOOKUP(N44,A2:D500,4,FALSE))</f>
        <v>#N/A</v>
      </c>
      <c r="P44" s="55">
        <f>'QRA Models'!P175</f>
        <v>0</v>
      </c>
      <c r="Q44" s="22" t="e">
        <f>IF(LEN(VLOOKUP(P44,A2:D500,4,FALSE))=0,,VLOOKUP(P44,A2:D500,4,FALSE))</f>
        <v>#N/A</v>
      </c>
      <c r="R44" s="56">
        <f>'Health metrics Models'!Q158</f>
        <v>0</v>
      </c>
      <c r="S44" s="22" t="e">
        <f>IF(LEN(VLOOKUP(R44,A2:D500,4,FALSE))=0,,VLOOKUP(R44,A2:D500,4,FALSE))</f>
        <v>#N/A</v>
      </c>
      <c r="T44" s="56">
        <f>'Process Model'!O156</f>
        <v>0</v>
      </c>
      <c r="U44" s="22" t="e">
        <f>IF(LEN(VLOOKUP(T44,A2:D500,4,FALSE))=0,,VLOOKUP(T44,A2:D500,4,FALSE))</f>
        <v>#N/A</v>
      </c>
      <c r="V44" s="56">
        <f>'Toxicological reference value M'!P158</f>
        <v>0</v>
      </c>
      <c r="W44" s="22" t="e">
        <f>IF(LEN(VLOOKUP(V44,A2:D500,4,FALSE))=0,,VLOOKUP(V44,A2:D500,4,FALSE))</f>
        <v>#N/A</v>
      </c>
      <c r="Y44" s="56">
        <f>'Other Empirical Model'!P169</f>
        <v>0</v>
      </c>
      <c r="Z44" s="22" t="e">
        <f>IF(LEN(VLOOKUP(Y44,A2:D500,4,FALSE))=0,,VLOOKUP(Y44,A2:D500,4,FALSE))</f>
        <v>#N/A</v>
      </c>
      <c r="AA44" s="56">
        <f>'Predictive Model'!P156</f>
        <v>0</v>
      </c>
      <c r="AB44" s="22" t="e">
        <f>IF(LEN(VLOOKUP(AA44,A2:D500,4,FALSE))=0,,VLOOKUP(AA44,A2:D500,4,FALSE))</f>
        <v>#N/A</v>
      </c>
      <c r="AC44" s="56">
        <f>'Consumption Model'!P161</f>
        <v>0</v>
      </c>
      <c r="AD44" s="22" t="e">
        <f>IF(LEN(VLOOKUP(AC44,A2:D500,4,FALSE))=0,,VLOOKUP(AC44,A2:D500,4,FALSE))</f>
        <v>#N/A</v>
      </c>
      <c r="AE44" s="22">
        <f>'(Data)'!P157</f>
        <v>0</v>
      </c>
      <c r="AF44" s="22" t="e">
        <f>IF(LEN(VLOOKUP(AE43:AE44,A2:D500,4,FALSE))=0,,VLOOKUP(AE43:AE44,A2:D500,4,FALSE))</f>
        <v>#N/A</v>
      </c>
      <c r="AH44" s="45">
        <f>'Risk Charact Model'!P175</f>
        <v>0</v>
      </c>
      <c r="AI44" s="58" t="e">
        <f>IF(LEN(VLOOKUP(AH44,A2:D500,4,FALSE))=0,,VLOOKUP(AH44,A2:D500,4,FALSE))</f>
        <v>#N/A</v>
      </c>
    </row>
    <row r="45" spans="9:35" ht="14" x14ac:dyDescent="0.3">
      <c r="I45" s="60">
        <f>'Generic Metadata Schema'!P175</f>
        <v>0</v>
      </c>
      <c r="J45" s="22" t="e">
        <f>IF(LEN(VLOOKUP(I45,A2:D500,4,FALSE))=0,"",VLOOKUP(I45,A2:D500,4,FALSE))</f>
        <v>#N/A</v>
      </c>
      <c r="L45" s="56">
        <f>'Dose-response Model'!O159</f>
        <v>0</v>
      </c>
      <c r="M45" s="22" t="e">
        <f>IF(LEN(VLOOKUP(L45,A2:D500,4,FALSE))=0,,VLOOKUP(L45,A2:D500,4,FALSE))</f>
        <v>#N/A</v>
      </c>
      <c r="N45" s="22">
        <f>'Exposure Model'!O176</f>
        <v>0</v>
      </c>
      <c r="O45" s="22" t="e">
        <f>IF(LEN(VLOOKUP(N45,A2:D500,4,FALSE))=0,,VLOOKUP(N45,A2:D500,4,FALSE))</f>
        <v>#N/A</v>
      </c>
      <c r="P45" s="55">
        <f>'QRA Models'!P176</f>
        <v>0</v>
      </c>
      <c r="Q45" s="22" t="e">
        <f>IF(LEN(VLOOKUP(P45,A2:D500,4,FALSE))=0,,VLOOKUP(P45,A2:D500,4,FALSE))</f>
        <v>#N/A</v>
      </c>
      <c r="R45" s="56">
        <f>'Health metrics Models'!Q159</f>
        <v>0</v>
      </c>
      <c r="S45" s="22" t="e">
        <f>IF(LEN(VLOOKUP(R45,A2:D500,4,FALSE))=0,,VLOOKUP(R45,A2:D500,4,FALSE))</f>
        <v>#N/A</v>
      </c>
      <c r="T45" s="56">
        <f>'Process Model'!O157</f>
        <v>0</v>
      </c>
      <c r="U45" s="22" t="e">
        <f>IF(LEN(VLOOKUP(T45,A2:D500,4,FALSE))=0,,VLOOKUP(T45,A2:D500,4,FALSE))</f>
        <v>#N/A</v>
      </c>
      <c r="V45" s="56">
        <f>'Toxicological reference value M'!P159</f>
        <v>0</v>
      </c>
      <c r="W45" s="22" t="e">
        <f>IF(LEN(VLOOKUP(V45,A2:D500,4,FALSE))=0,,VLOOKUP(V45,A2:D500,4,FALSE))</f>
        <v>#N/A</v>
      </c>
      <c r="Y45" s="56">
        <f>'Other Empirical Model'!P170</f>
        <v>0</v>
      </c>
      <c r="Z45" s="22" t="e">
        <f>IF(LEN(VLOOKUP(Y45,A2:D500,4,FALSE))=0,,VLOOKUP(Y45,A2:D500,4,FALSE))</f>
        <v>#N/A</v>
      </c>
      <c r="AA45" s="56">
        <f>'Predictive Model'!P157</f>
        <v>0</v>
      </c>
      <c r="AB45" s="22" t="e">
        <f>IF(LEN(VLOOKUP(AA45,A2:D500,4,FALSE))=0,,VLOOKUP(AA45,A2:D500,4,FALSE))</f>
        <v>#N/A</v>
      </c>
      <c r="AC45" s="56">
        <f>'Consumption Model'!P162</f>
        <v>0</v>
      </c>
      <c r="AD45" s="22" t="e">
        <f>IF(LEN(VLOOKUP(AC45,A2:D500,4,FALSE))=0,,VLOOKUP(AC45,A2:D500,4,FALSE))</f>
        <v>#N/A</v>
      </c>
      <c r="AE45" s="22">
        <f>'(Data)'!P158</f>
        <v>0</v>
      </c>
      <c r="AF45" s="22" t="e">
        <f>IF(LEN(VLOOKUP(AE44:AE45,A2:D500,4,FALSE))=0,,VLOOKUP(AE44:AE45,A2:D500,4,FALSE))</f>
        <v>#N/A</v>
      </c>
      <c r="AH45" s="45">
        <f>'Risk Charact Model'!P176</f>
        <v>0</v>
      </c>
      <c r="AI45" s="58" t="e">
        <f>IF(LEN(VLOOKUP(AH45,A2:D500,4,FALSE))=0,,VLOOKUP(AH45,A2:D500,4,FALSE))</f>
        <v>#N/A</v>
      </c>
    </row>
    <row r="46" spans="9:35" ht="14" x14ac:dyDescent="0.3">
      <c r="I46" s="60">
        <f>'Generic Metadata Schema'!P176</f>
        <v>0</v>
      </c>
      <c r="J46" s="22" t="e">
        <f>IF(LEN(VLOOKUP(I46,A2:D500,4,FALSE))=0,"",VLOOKUP(I46,A2:D500,4,FALSE))</f>
        <v>#N/A</v>
      </c>
      <c r="L46" s="56">
        <f>'Dose-response Model'!O160</f>
        <v>0</v>
      </c>
      <c r="M46" s="22" t="e">
        <f>IF(LEN(VLOOKUP(L46,A2:D500,4,FALSE))=0,,VLOOKUP(L46,A2:D500,4,FALSE))</f>
        <v>#N/A</v>
      </c>
      <c r="N46" s="22">
        <f>'Exposure Model'!O177</f>
        <v>0</v>
      </c>
      <c r="O46" s="22" t="e">
        <f>IF(LEN(VLOOKUP(N46,A2:D500,4,FALSE))=0,,VLOOKUP(N46,A2:D500,4,FALSE))</f>
        <v>#N/A</v>
      </c>
      <c r="P46" s="55">
        <f>'QRA Models'!P177</f>
        <v>0</v>
      </c>
      <c r="Q46" s="22" t="e">
        <f>IF(LEN(VLOOKUP(P46,A2:D500,4,FALSE))=0,,VLOOKUP(P46,A2:D500,4,FALSE))</f>
        <v>#N/A</v>
      </c>
      <c r="R46" s="56">
        <f>'Health metrics Models'!Q160</f>
        <v>0</v>
      </c>
      <c r="S46" s="22" t="e">
        <f>IF(LEN(VLOOKUP(R46,A2:D500,4,FALSE))=0,,VLOOKUP(R46,A2:D500,4,FALSE))</f>
        <v>#N/A</v>
      </c>
      <c r="T46" s="56">
        <f>'Process Model'!O158</f>
        <v>0</v>
      </c>
      <c r="U46" s="22" t="e">
        <f>IF(LEN(VLOOKUP(T46,A2:D500,4,FALSE))=0,,VLOOKUP(T46,A2:D500,4,FALSE))</f>
        <v>#N/A</v>
      </c>
      <c r="V46" s="56">
        <f>'Toxicological reference value M'!P160</f>
        <v>0</v>
      </c>
      <c r="W46" s="22" t="e">
        <f>IF(LEN(VLOOKUP(V46,A2:D500,4,FALSE))=0,,VLOOKUP(V46,A2:D500,4,FALSE))</f>
        <v>#N/A</v>
      </c>
      <c r="Y46" s="56">
        <f>'Other Empirical Model'!P171</f>
        <v>0</v>
      </c>
      <c r="Z46" s="22" t="e">
        <f>IF(LEN(VLOOKUP(Y46,A2:D500,4,FALSE))=0,,VLOOKUP(Y46,A2:D500,4,FALSE))</f>
        <v>#N/A</v>
      </c>
      <c r="AA46" s="56">
        <f>'Predictive Model'!P158</f>
        <v>0</v>
      </c>
      <c r="AB46" s="22" t="e">
        <f>IF(LEN(VLOOKUP(AA46,A2:D500,4,FALSE))=0,,VLOOKUP(AA46,A2:D500,4,FALSE))</f>
        <v>#N/A</v>
      </c>
      <c r="AC46" s="56">
        <f>'Consumption Model'!P163</f>
        <v>0</v>
      </c>
      <c r="AD46" s="22" t="e">
        <f>IF(LEN(VLOOKUP(AC46,A2:D500,4,FALSE))=0,,VLOOKUP(AC46,A2:D500,4,FALSE))</f>
        <v>#N/A</v>
      </c>
      <c r="AE46" s="22">
        <f>'(Data)'!P159</f>
        <v>0</v>
      </c>
      <c r="AF46" s="22" t="e">
        <f>IF(LEN(VLOOKUP(AE45:AE46,A2:D500,4,FALSE))=0,,VLOOKUP(AE45:AE46,A2:D500,4,FALSE))</f>
        <v>#N/A</v>
      </c>
      <c r="AH46" s="45">
        <f>'Risk Charact Model'!P177</f>
        <v>0</v>
      </c>
      <c r="AI46" s="58" t="e">
        <f>IF(LEN(VLOOKUP(AH46,A2:D500,4,FALSE))=0,,VLOOKUP(AH46,A2:D500,4,FALSE))</f>
        <v>#N/A</v>
      </c>
    </row>
    <row r="47" spans="9:35" ht="14" x14ac:dyDescent="0.3">
      <c r="I47" s="60">
        <f>'Generic Metadata Schema'!P177</f>
        <v>0</v>
      </c>
      <c r="J47" s="22" t="e">
        <f>IF(LEN(VLOOKUP(I47,A2:D500,4,FALSE))=0,"",VLOOKUP(I47,A2:D500,4,FALSE))</f>
        <v>#N/A</v>
      </c>
      <c r="L47" s="56">
        <f>'Dose-response Model'!O161</f>
        <v>0</v>
      </c>
      <c r="M47" s="22" t="e">
        <f>IF(LEN(VLOOKUP(L47,A2:D500,4,FALSE))=0,,VLOOKUP(L47,A2:D500,4,FALSE))</f>
        <v>#N/A</v>
      </c>
      <c r="N47" s="22">
        <f>'Exposure Model'!O178</f>
        <v>0</v>
      </c>
      <c r="O47" s="22" t="e">
        <f>IF(LEN(VLOOKUP(N47,A2:D500,4,FALSE))=0,,VLOOKUP(N47,A2:D500,4,FALSE))</f>
        <v>#N/A</v>
      </c>
      <c r="P47" s="55">
        <f>'QRA Models'!P178</f>
        <v>0</v>
      </c>
      <c r="Q47" s="22" t="e">
        <f>IF(LEN(VLOOKUP(P47,A2:D500,4,FALSE))=0,,VLOOKUP(P47,A2:D500,4,FALSE))</f>
        <v>#N/A</v>
      </c>
      <c r="R47" s="56">
        <f>'Health metrics Models'!Q161</f>
        <v>0</v>
      </c>
      <c r="S47" s="22" t="e">
        <f>IF(LEN(VLOOKUP(R47,A2:D500,4,FALSE))=0,,VLOOKUP(R47,A2:D500,4,FALSE))</f>
        <v>#N/A</v>
      </c>
      <c r="T47" s="56">
        <f>'Process Model'!O159</f>
        <v>0</v>
      </c>
      <c r="U47" s="22" t="e">
        <f>IF(LEN(VLOOKUP(T47,A2:D500,4,FALSE))=0,,VLOOKUP(T47,A2:D500,4,FALSE))</f>
        <v>#N/A</v>
      </c>
      <c r="V47" s="56">
        <f>'Toxicological reference value M'!P161</f>
        <v>0</v>
      </c>
      <c r="W47" s="22" t="e">
        <f>IF(LEN(VLOOKUP(V47,A2:D500,4,FALSE))=0,,VLOOKUP(V47,A2:D500,4,FALSE))</f>
        <v>#N/A</v>
      </c>
      <c r="Y47" s="56">
        <f>'Other Empirical Model'!P172</f>
        <v>0</v>
      </c>
      <c r="Z47" s="22" t="e">
        <f>IF(LEN(VLOOKUP(Y47,A2:D500,4,FALSE))=0,,VLOOKUP(Y47,A2:D500,4,FALSE))</f>
        <v>#N/A</v>
      </c>
      <c r="AA47" s="56">
        <f>'Predictive Model'!P159</f>
        <v>0</v>
      </c>
      <c r="AB47" s="22" t="e">
        <f>IF(LEN(VLOOKUP(AA47,A2:D500,4,FALSE))=0,,VLOOKUP(AA47,A2:D500,4,FALSE))</f>
        <v>#N/A</v>
      </c>
      <c r="AC47" s="56">
        <f>'Consumption Model'!P164</f>
        <v>0</v>
      </c>
      <c r="AD47" s="22" t="e">
        <f>IF(LEN(VLOOKUP(AC47,A2:D500,4,FALSE))=0,,VLOOKUP(AC47,A2:D500,4,FALSE))</f>
        <v>#N/A</v>
      </c>
      <c r="AE47" s="22">
        <f>'(Data)'!P160</f>
        <v>0</v>
      </c>
      <c r="AF47" s="22" t="e">
        <f>IF(LEN(VLOOKUP(AE46:AE47,A2:D500,4,FALSE))=0,,VLOOKUP(AE46:AE47,A2:D500,4,FALSE))</f>
        <v>#N/A</v>
      </c>
      <c r="AH47" s="45">
        <f>'Risk Charact Model'!P178</f>
        <v>0</v>
      </c>
      <c r="AI47" s="58" t="e">
        <f>IF(LEN(VLOOKUP(AH47,A2:D500,4,FALSE))=0,,VLOOKUP(AH47,A2:D500,4,FALSE))</f>
        <v>#N/A</v>
      </c>
    </row>
    <row r="48" spans="9:35" ht="14" x14ac:dyDescent="0.3">
      <c r="I48" s="60">
        <f>'Generic Metadata Schema'!P178</f>
        <v>0</v>
      </c>
      <c r="J48" s="22" t="e">
        <f>IF(LEN(VLOOKUP(I48,A2:D500,4,FALSE))=0,"",VLOOKUP(I48,A2:D500,4,FALSE))</f>
        <v>#N/A</v>
      </c>
      <c r="L48" s="56">
        <f>'Dose-response Model'!O162</f>
        <v>0</v>
      </c>
      <c r="M48" s="22" t="e">
        <f>IF(LEN(VLOOKUP(L48,A2:D500,4,FALSE))=0,,VLOOKUP(L48,A2:D500,4,FALSE))</f>
        <v>#N/A</v>
      </c>
      <c r="N48" s="22">
        <f>'Exposure Model'!O179</f>
        <v>0</v>
      </c>
      <c r="O48" s="22" t="e">
        <f>IF(LEN(VLOOKUP(N48,A2:D500,4,FALSE))=0,,VLOOKUP(N48,A2:D500,4,FALSE))</f>
        <v>#N/A</v>
      </c>
      <c r="P48" s="55">
        <f>'QRA Models'!P179</f>
        <v>0</v>
      </c>
      <c r="Q48" s="22" t="e">
        <f>IF(LEN(VLOOKUP(P48,A2:D500,4,FALSE))=0,,VLOOKUP(P48,A2:D500,4,FALSE))</f>
        <v>#N/A</v>
      </c>
      <c r="R48" s="56">
        <f>'Health metrics Models'!Q162</f>
        <v>0</v>
      </c>
      <c r="S48" s="22" t="e">
        <f>IF(LEN(VLOOKUP(R48,A2:D500,4,FALSE))=0,,VLOOKUP(R48,A2:D500,4,FALSE))</f>
        <v>#N/A</v>
      </c>
      <c r="T48" s="56">
        <f>'Process Model'!O160</f>
        <v>0</v>
      </c>
      <c r="U48" s="22" t="e">
        <f>IF(LEN(VLOOKUP(T48,A2:D500,4,FALSE))=0,,VLOOKUP(T48,A2:D500,4,FALSE))</f>
        <v>#N/A</v>
      </c>
      <c r="V48" s="56">
        <f>'Toxicological reference value M'!P162</f>
        <v>0</v>
      </c>
      <c r="W48" s="22" t="e">
        <f>IF(LEN(VLOOKUP(V48,A2:D500,4,FALSE))=0,,VLOOKUP(V48,A2:D500,4,FALSE))</f>
        <v>#N/A</v>
      </c>
      <c r="Y48" s="56">
        <f>'Other Empirical Model'!P173</f>
        <v>0</v>
      </c>
      <c r="Z48" s="22" t="e">
        <f>IF(LEN(VLOOKUP(Y48,A2:D500,4,FALSE))=0,,VLOOKUP(Y48,A2:D500,4,FALSE))</f>
        <v>#N/A</v>
      </c>
      <c r="AA48" s="56">
        <f>'Predictive Model'!P160</f>
        <v>0</v>
      </c>
      <c r="AB48" s="22" t="e">
        <f>IF(LEN(VLOOKUP(AA48,A2:D500,4,FALSE))=0,,VLOOKUP(AA48,A2:D500,4,FALSE))</f>
        <v>#N/A</v>
      </c>
      <c r="AC48" s="56">
        <f>'Consumption Model'!P165</f>
        <v>0</v>
      </c>
      <c r="AD48" s="22" t="e">
        <f>IF(LEN(VLOOKUP(AC48,A2:D500,4,FALSE))=0,,VLOOKUP(AC48,A2:D500,4,FALSE))</f>
        <v>#N/A</v>
      </c>
      <c r="AE48" s="22">
        <f>'(Data)'!P161</f>
        <v>0</v>
      </c>
      <c r="AF48" s="22" t="e">
        <f>IF(LEN(VLOOKUP(AE47:AE48,A2:D500,4,FALSE))=0,,VLOOKUP(AE47:AE48,A2:D500,4,FALSE))</f>
        <v>#N/A</v>
      </c>
      <c r="AH48" s="45">
        <f>'Risk Charact Model'!P179</f>
        <v>0</v>
      </c>
      <c r="AI48" s="58" t="e">
        <f>IF(LEN(VLOOKUP(AH48,A2:D500,4,FALSE))=0,,VLOOKUP(AH48,A2:D500,4,FALSE))</f>
        <v>#N/A</v>
      </c>
    </row>
    <row r="49" spans="9:35" ht="14" x14ac:dyDescent="0.3">
      <c r="I49" s="60">
        <f>'Generic Metadata Schema'!P179</f>
        <v>0</v>
      </c>
      <c r="J49" s="22" t="e">
        <f>IF(LEN(VLOOKUP(I49,A2:D500,4,FALSE))=0,"",VLOOKUP(I49,A2:D500,4,FALSE))</f>
        <v>#N/A</v>
      </c>
      <c r="L49" s="56">
        <f>'Dose-response Model'!O163</f>
        <v>0</v>
      </c>
      <c r="M49" s="22" t="e">
        <f>IF(LEN(VLOOKUP(L49,A2:D500,4,FALSE))=0,,VLOOKUP(L49,A2:D500,4,FALSE))</f>
        <v>#N/A</v>
      </c>
      <c r="N49" s="22">
        <f>'Exposure Model'!O180</f>
        <v>0</v>
      </c>
      <c r="O49" s="22" t="e">
        <f>IF(LEN(VLOOKUP(N49,A2:D500,4,FALSE))=0,,VLOOKUP(N49,A2:D500,4,FALSE))</f>
        <v>#N/A</v>
      </c>
      <c r="P49" s="55">
        <f>'QRA Models'!P180</f>
        <v>0</v>
      </c>
      <c r="Q49" s="22" t="e">
        <f>IF(LEN(VLOOKUP(P49,A2:D500,4,FALSE))=0,,VLOOKUP(P49,A2:D500,4,FALSE))</f>
        <v>#N/A</v>
      </c>
      <c r="R49" s="56">
        <f>'Health metrics Models'!Q163</f>
        <v>0</v>
      </c>
      <c r="S49" s="22" t="e">
        <f>IF(LEN(VLOOKUP(R49,A2:D500,4,FALSE))=0,,VLOOKUP(R49,A2:D500,4,FALSE))</f>
        <v>#N/A</v>
      </c>
      <c r="T49" s="56">
        <f>'Process Model'!O161</f>
        <v>0</v>
      </c>
      <c r="U49" s="22" t="e">
        <f>IF(LEN(VLOOKUP(T49,A2:D500,4,FALSE))=0,,VLOOKUP(T49,A2:D500,4,FALSE))</f>
        <v>#N/A</v>
      </c>
      <c r="V49" s="56">
        <f>'Toxicological reference value M'!P163</f>
        <v>0</v>
      </c>
      <c r="W49" s="22" t="e">
        <f>IF(LEN(VLOOKUP(V49,A2:D500,4,FALSE))=0,,VLOOKUP(V49,A2:D500,4,FALSE))</f>
        <v>#N/A</v>
      </c>
      <c r="Y49" s="56">
        <f>'Other Empirical Model'!P174</f>
        <v>0</v>
      </c>
      <c r="Z49" s="22" t="e">
        <f>IF(LEN(VLOOKUP(Y49,A2:D500,4,FALSE))=0,,VLOOKUP(Y49,A2:D500,4,FALSE))</f>
        <v>#N/A</v>
      </c>
      <c r="AA49" s="56">
        <f>'Predictive Model'!P161</f>
        <v>0</v>
      </c>
      <c r="AB49" s="22" t="e">
        <f>IF(LEN(VLOOKUP(AA49,A2:D500,4,FALSE))=0,,VLOOKUP(AA49,A2:D500,4,FALSE))</f>
        <v>#N/A</v>
      </c>
      <c r="AC49" s="56">
        <f>'Consumption Model'!P166</f>
        <v>0</v>
      </c>
      <c r="AD49" s="22" t="e">
        <f>IF(LEN(VLOOKUP(AC49,A2:D500,4,FALSE))=0,,VLOOKUP(AC49,A2:D500,4,FALSE))</f>
        <v>#N/A</v>
      </c>
      <c r="AE49" s="22">
        <f>'(Data)'!P162</f>
        <v>0</v>
      </c>
      <c r="AF49" s="22" t="e">
        <f>IF(LEN(VLOOKUP(AE48:AE49,A2:D500,4,FALSE))=0,,VLOOKUP(AE48:AE49,A2:D500,4,FALSE))</f>
        <v>#N/A</v>
      </c>
      <c r="AH49" s="45">
        <f>'Risk Charact Model'!P180</f>
        <v>0</v>
      </c>
      <c r="AI49" s="58" t="e">
        <f>IF(LEN(VLOOKUP(AH49,A2:D500,4,FALSE))=0,,VLOOKUP(AH49,A2:D500,4,FALSE))</f>
        <v>#N/A</v>
      </c>
    </row>
    <row r="50" spans="9:35" ht="14" x14ac:dyDescent="0.3">
      <c r="I50" s="60">
        <f>'Generic Metadata Schema'!P180</f>
        <v>0</v>
      </c>
      <c r="J50" s="22" t="e">
        <f>IF(LEN(VLOOKUP(I50,A2:D500,4,FALSE))=0,"",VLOOKUP(I50,A2:D500,4,FALSE))</f>
        <v>#N/A</v>
      </c>
      <c r="L50" s="56">
        <f>'Dose-response Model'!O164</f>
        <v>0</v>
      </c>
      <c r="M50" s="22" t="e">
        <f>IF(LEN(VLOOKUP(L50,A2:D500,4,FALSE))=0,,VLOOKUP(L50,A2:D500,4,FALSE))</f>
        <v>#N/A</v>
      </c>
      <c r="N50" s="22">
        <f>'Exposure Model'!O181</f>
        <v>0</v>
      </c>
      <c r="O50" s="22" t="e">
        <f>IF(LEN(VLOOKUP(N50,A2:D500,4,FALSE))=0,,VLOOKUP(N50,A2:D500,4,FALSE))</f>
        <v>#N/A</v>
      </c>
      <c r="P50" s="55">
        <f>'QRA Models'!P181</f>
        <v>0</v>
      </c>
      <c r="Q50" s="22" t="e">
        <f>IF(LEN(VLOOKUP(P50,A2:D500,4,FALSE))=0,,VLOOKUP(P50,A2:D500,4,FALSE))</f>
        <v>#N/A</v>
      </c>
      <c r="R50" s="56">
        <f>'Health metrics Models'!Q164</f>
        <v>0</v>
      </c>
      <c r="S50" s="22" t="e">
        <f>IF(LEN(VLOOKUP(R50,A2:D500,4,FALSE))=0,,VLOOKUP(R50,A2:D500,4,FALSE))</f>
        <v>#N/A</v>
      </c>
      <c r="T50" s="56">
        <f>'Process Model'!O162</f>
        <v>0</v>
      </c>
      <c r="U50" s="22" t="e">
        <f>IF(LEN(VLOOKUP(T50,A2:D500,4,FALSE))=0,,VLOOKUP(T50,A2:D500,4,FALSE))</f>
        <v>#N/A</v>
      </c>
      <c r="V50" s="56">
        <f>'Toxicological reference value M'!P164</f>
        <v>0</v>
      </c>
      <c r="W50" s="22" t="e">
        <f>IF(LEN(VLOOKUP(V50,A2:D500,4,FALSE))=0,,VLOOKUP(V50,A2:D500,4,FALSE))</f>
        <v>#N/A</v>
      </c>
      <c r="Y50" s="56">
        <f>'Other Empirical Model'!P175</f>
        <v>0</v>
      </c>
      <c r="Z50" s="22" t="e">
        <f>IF(LEN(VLOOKUP(Y50,A2:D500,4,FALSE))=0,,VLOOKUP(Y50,A2:D500,4,FALSE))</f>
        <v>#N/A</v>
      </c>
      <c r="AA50" s="56">
        <f>'Predictive Model'!P162</f>
        <v>0</v>
      </c>
      <c r="AB50" s="22" t="e">
        <f>IF(LEN(VLOOKUP(AA50,A2:D500,4,FALSE))=0,,VLOOKUP(AA50,A2:D500,4,FALSE))</f>
        <v>#N/A</v>
      </c>
      <c r="AC50" s="56">
        <f>'Consumption Model'!P167</f>
        <v>0</v>
      </c>
      <c r="AD50" s="22" t="e">
        <f>IF(LEN(VLOOKUP(AC50,A2:D500,4,FALSE))=0,,VLOOKUP(AC50,A2:D500,4,FALSE))</f>
        <v>#N/A</v>
      </c>
      <c r="AE50" s="22">
        <f>'(Data)'!P163</f>
        <v>0</v>
      </c>
      <c r="AF50" s="22" t="e">
        <f>IF(LEN(VLOOKUP(AE49:AE50,A2:D500,4,FALSE))=0,,VLOOKUP(AE49:AE50,A2:D500,4,FALSE))</f>
        <v>#N/A</v>
      </c>
      <c r="AH50" s="45">
        <f>'Risk Charact Model'!P181</f>
        <v>0</v>
      </c>
      <c r="AI50" s="58" t="e">
        <f>IF(LEN(VLOOKUP(AH50,A2:D500,4,FALSE))=0,,VLOOKUP(AH50,A2:D500,4,FALSE))</f>
        <v>#N/A</v>
      </c>
    </row>
    <row r="51" spans="9:35" ht="14" x14ac:dyDescent="0.3">
      <c r="I51" s="60">
        <f>'Generic Metadata Schema'!P181</f>
        <v>0</v>
      </c>
      <c r="J51" s="22" t="e">
        <f>IF(LEN(VLOOKUP(I51,A2:D500,4,FALSE))=0,"",VLOOKUP(I51,A2:D500,4,FALSE))</f>
        <v>#N/A</v>
      </c>
      <c r="L51" s="56">
        <f>'Dose-response Model'!O165</f>
        <v>0</v>
      </c>
      <c r="M51" s="22" t="e">
        <f>IF(LEN(VLOOKUP(L51,A2:D500,4,FALSE))=0,,VLOOKUP(L51,A2:D500,4,FALSE))</f>
        <v>#N/A</v>
      </c>
      <c r="N51" s="22">
        <f>'Exposure Model'!O182</f>
        <v>0</v>
      </c>
      <c r="O51" s="22" t="e">
        <f>IF(LEN(VLOOKUP(N51,A2:D500,4,FALSE))=0,,VLOOKUP(N51,A2:D500,4,FALSE))</f>
        <v>#N/A</v>
      </c>
      <c r="P51" s="55">
        <f>'QRA Models'!P182</f>
        <v>0</v>
      </c>
      <c r="Q51" s="22" t="e">
        <f>IF(LEN(VLOOKUP(P51,A2:D500,4,FALSE))=0,,VLOOKUP(P51,A2:D500,4,FALSE))</f>
        <v>#N/A</v>
      </c>
      <c r="R51" s="56">
        <f>'Health metrics Models'!Q165</f>
        <v>0</v>
      </c>
      <c r="S51" s="22" t="e">
        <f>IF(LEN(VLOOKUP(R51,A2:D500,4,FALSE))=0,,VLOOKUP(R51,A2:D500,4,FALSE))</f>
        <v>#N/A</v>
      </c>
      <c r="T51" s="56">
        <f>'Process Model'!O163</f>
        <v>0</v>
      </c>
      <c r="U51" s="22" t="e">
        <f>IF(LEN(VLOOKUP(T51,A2:D500,4,FALSE))=0,,VLOOKUP(T51,A2:D500,4,FALSE))</f>
        <v>#N/A</v>
      </c>
      <c r="V51" s="56">
        <f>'Toxicological reference value M'!P165</f>
        <v>0</v>
      </c>
      <c r="W51" s="22" t="e">
        <f>IF(LEN(VLOOKUP(V51,A2:D500,4,FALSE))=0,,VLOOKUP(V51,A2:D500,4,FALSE))</f>
        <v>#N/A</v>
      </c>
      <c r="Y51" s="56">
        <f>'Other Empirical Model'!P176</f>
        <v>0</v>
      </c>
      <c r="Z51" s="22" t="e">
        <f>IF(LEN(VLOOKUP(Y51,A2:D500,4,FALSE))=0,,VLOOKUP(Y51,A2:D500,4,FALSE))</f>
        <v>#N/A</v>
      </c>
      <c r="AA51" s="56">
        <f>'Predictive Model'!P163</f>
        <v>0</v>
      </c>
      <c r="AB51" s="22" t="e">
        <f>IF(LEN(VLOOKUP(AA51,A2:D500,4,FALSE))=0,,VLOOKUP(AA51,A2:D500,4,FALSE))</f>
        <v>#N/A</v>
      </c>
      <c r="AC51" s="56">
        <f>'Consumption Model'!P168</f>
        <v>0</v>
      </c>
      <c r="AD51" s="22" t="e">
        <f>IF(LEN(VLOOKUP(AC51,A2:D500,4,FALSE))=0,,VLOOKUP(AC51,A2:D500,4,FALSE))</f>
        <v>#N/A</v>
      </c>
      <c r="AE51" s="22">
        <f>'(Data)'!P164</f>
        <v>0</v>
      </c>
      <c r="AF51" s="22" t="e">
        <f>IF(LEN(VLOOKUP(AE50:AE51,A2:D500,4,FALSE))=0,,VLOOKUP(AE50:AE51,A2:D500,4,FALSE))</f>
        <v>#N/A</v>
      </c>
      <c r="AH51" s="45">
        <f>'Risk Charact Model'!P182</f>
        <v>0</v>
      </c>
      <c r="AI51" s="58" t="e">
        <f>IF(LEN(VLOOKUP(AH51,A2:D500,4,FALSE))=0,,VLOOKUP(AH51,A2:D500,4,FALSE))</f>
        <v>#N/A</v>
      </c>
    </row>
    <row r="52" spans="9:35" ht="14" x14ac:dyDescent="0.3">
      <c r="I52" s="60">
        <f>'Generic Metadata Schema'!P182</f>
        <v>0</v>
      </c>
      <c r="J52" s="22" t="e">
        <f>IF(LEN(VLOOKUP(I52,A2:D500,4,FALSE))=0,"",VLOOKUP(I52,A2:D500,4,FALSE))</f>
        <v>#N/A</v>
      </c>
      <c r="L52" s="56">
        <f>'Dose-response Model'!O166</f>
        <v>0</v>
      </c>
      <c r="M52" s="22" t="e">
        <f>IF(LEN(VLOOKUP(L52,A2:D500,4,FALSE))=0,,VLOOKUP(L52,A2:D500,4,FALSE))</f>
        <v>#N/A</v>
      </c>
      <c r="N52" s="22">
        <f>'Exposure Model'!O183</f>
        <v>0</v>
      </c>
      <c r="O52" s="22" t="e">
        <f>IF(LEN(VLOOKUP(N52,A2:D500,4,FALSE))=0,,VLOOKUP(N52,A2:D500,4,FALSE))</f>
        <v>#N/A</v>
      </c>
      <c r="P52" s="55">
        <f>'QRA Models'!P183</f>
        <v>0</v>
      </c>
      <c r="Q52" s="22" t="e">
        <f>IF(LEN(VLOOKUP(P52,A2:D500,4,FALSE))=0,,VLOOKUP(P52,A2:D500,4,FALSE))</f>
        <v>#N/A</v>
      </c>
      <c r="R52" s="56">
        <f>'Health metrics Models'!Q166</f>
        <v>0</v>
      </c>
      <c r="S52" s="22" t="e">
        <f>IF(LEN(VLOOKUP(R52,A2:D500,4,FALSE))=0,,VLOOKUP(R52,A2:D500,4,FALSE))</f>
        <v>#N/A</v>
      </c>
      <c r="T52" s="56">
        <f>'Process Model'!O164</f>
        <v>0</v>
      </c>
      <c r="U52" s="22" t="e">
        <f>IF(LEN(VLOOKUP(T52,A2:D500,4,FALSE))=0,,VLOOKUP(T52,A2:D500,4,FALSE))</f>
        <v>#N/A</v>
      </c>
      <c r="V52" s="56">
        <f>'Toxicological reference value M'!P166</f>
        <v>0</v>
      </c>
      <c r="W52" s="22" t="e">
        <f>IF(LEN(VLOOKUP(V52,A2:D500,4,FALSE))=0,,VLOOKUP(V52,A2:D500,4,FALSE))</f>
        <v>#N/A</v>
      </c>
      <c r="Y52" s="56">
        <f>'Other Empirical Model'!P177</f>
        <v>0</v>
      </c>
      <c r="Z52" s="22" t="e">
        <f>IF(LEN(VLOOKUP(Y52,A2:D500,4,FALSE))=0,,VLOOKUP(Y52,A2:D500,4,FALSE))</f>
        <v>#N/A</v>
      </c>
      <c r="AA52" s="56">
        <f>'Predictive Model'!P164</f>
        <v>0</v>
      </c>
      <c r="AB52" s="22" t="e">
        <f>IF(LEN(VLOOKUP(AA52,A2:D500,4,FALSE))=0,,VLOOKUP(AA52,A2:D500,4,FALSE))</f>
        <v>#N/A</v>
      </c>
      <c r="AC52" s="56">
        <f>'Consumption Model'!P169</f>
        <v>0</v>
      </c>
      <c r="AD52" s="22" t="e">
        <f>IF(LEN(VLOOKUP(AC52,A2:D500,4,FALSE))=0,,VLOOKUP(AC52,A2:D500,4,FALSE))</f>
        <v>#N/A</v>
      </c>
      <c r="AE52" s="22">
        <f>'(Data)'!P165</f>
        <v>0</v>
      </c>
      <c r="AF52" s="22" t="e">
        <f>IF(LEN(VLOOKUP(AE51:AE52,A2:D500,4,FALSE))=0,,VLOOKUP(AE51:AE52,A2:D500,4,FALSE))</f>
        <v>#N/A</v>
      </c>
      <c r="AH52" s="45">
        <f>'Risk Charact Model'!P183</f>
        <v>0</v>
      </c>
      <c r="AI52" s="58" t="e">
        <f>IF(LEN(VLOOKUP(AH52,A2:D500,4,FALSE))=0,,VLOOKUP(AH52,A2:D500,4,FALSE))</f>
        <v>#N/A</v>
      </c>
    </row>
    <row r="53" spans="9:35" ht="14" x14ac:dyDescent="0.3">
      <c r="I53" s="60">
        <f>'Generic Metadata Schema'!P183</f>
        <v>0</v>
      </c>
      <c r="J53" s="22" t="e">
        <f>IF(LEN(VLOOKUP(I53,A2:D500,4,FALSE))=0,"",VLOOKUP(I53,A2:D500,4,FALSE))</f>
        <v>#N/A</v>
      </c>
      <c r="L53" s="56">
        <f>'Dose-response Model'!O167</f>
        <v>0</v>
      </c>
      <c r="M53" s="22" t="e">
        <f>IF(LEN(VLOOKUP(L53,A2:D500,4,FALSE))=0,,VLOOKUP(L53,A2:D500,4,FALSE))</f>
        <v>#N/A</v>
      </c>
      <c r="N53" s="22">
        <f>'Exposure Model'!O184</f>
        <v>0</v>
      </c>
      <c r="O53" s="22" t="e">
        <f>IF(LEN(VLOOKUP(N53,A2:D500,4,FALSE))=0,,VLOOKUP(N53,A2:D500,4,FALSE))</f>
        <v>#N/A</v>
      </c>
      <c r="P53" s="55">
        <f>'QRA Models'!P184</f>
        <v>0</v>
      </c>
      <c r="Q53" s="22" t="e">
        <f>IF(LEN(VLOOKUP(P53,A2:D500,4,FALSE))=0,,VLOOKUP(P53,A2:D500,4,FALSE))</f>
        <v>#N/A</v>
      </c>
      <c r="R53" s="56">
        <f>'Health metrics Models'!Q167</f>
        <v>0</v>
      </c>
      <c r="S53" s="22" t="e">
        <f>IF(LEN(VLOOKUP(R53,A2:D500,4,FALSE))=0,,VLOOKUP(R53,A2:D500,4,FALSE))</f>
        <v>#N/A</v>
      </c>
      <c r="T53" s="56">
        <f>'Process Model'!O165</f>
        <v>0</v>
      </c>
      <c r="U53" s="22" t="e">
        <f>IF(LEN(VLOOKUP(T53,A2:D500,4,FALSE))=0,,VLOOKUP(T53,A2:D500,4,FALSE))</f>
        <v>#N/A</v>
      </c>
      <c r="V53" s="56">
        <f>'Toxicological reference value M'!P167</f>
        <v>0</v>
      </c>
      <c r="W53" s="22" t="e">
        <f>IF(LEN(VLOOKUP(V53,A2:D500,4,FALSE))=0,,VLOOKUP(V53,A2:D500,4,FALSE))</f>
        <v>#N/A</v>
      </c>
      <c r="Y53" s="56">
        <f>'Other Empirical Model'!P178</f>
        <v>0</v>
      </c>
      <c r="Z53" s="22" t="e">
        <f>IF(LEN(VLOOKUP(Y53,A2:D500,4,FALSE))=0,,VLOOKUP(Y53,A2:D500,4,FALSE))</f>
        <v>#N/A</v>
      </c>
      <c r="AA53" s="56">
        <f>'Predictive Model'!P165</f>
        <v>0</v>
      </c>
      <c r="AB53" s="22" t="e">
        <f>IF(LEN(VLOOKUP(AA53,A2:D500,4,FALSE))=0,,VLOOKUP(AA53,A2:D500,4,FALSE))</f>
        <v>#N/A</v>
      </c>
      <c r="AC53" s="56">
        <f>'Consumption Model'!P170</f>
        <v>0</v>
      </c>
      <c r="AD53" s="22" t="e">
        <f>IF(LEN(VLOOKUP(AC53,A2:D500,4,FALSE))=0,,VLOOKUP(AC53,A2:D500,4,FALSE))</f>
        <v>#N/A</v>
      </c>
      <c r="AE53" s="22">
        <f>'(Data)'!P166</f>
        <v>0</v>
      </c>
      <c r="AF53" s="22" t="e">
        <f>IF(LEN(VLOOKUP(AE52:AE53,A2:D500,4,FALSE))=0,,VLOOKUP(AE52:AE53,A2:D500,4,FALSE))</f>
        <v>#N/A</v>
      </c>
      <c r="AH53" s="45">
        <f>'Risk Charact Model'!P184</f>
        <v>0</v>
      </c>
      <c r="AI53" s="58" t="e">
        <f>IF(LEN(VLOOKUP(AH53,A2:D500,4,FALSE))=0,,VLOOKUP(AH53,A2:D500,4,FALSE))</f>
        <v>#N/A</v>
      </c>
    </row>
    <row r="54" spans="9:35" ht="14" x14ac:dyDescent="0.3">
      <c r="I54" s="60">
        <f>'Generic Metadata Schema'!P184</f>
        <v>0</v>
      </c>
      <c r="J54" s="22" t="e">
        <f>IF(LEN(VLOOKUP(I54,A2:D500,4,FALSE))=0,"",VLOOKUP(I54,A2:D500,4,FALSE))</f>
        <v>#N/A</v>
      </c>
      <c r="L54" s="56">
        <f>'Dose-response Model'!O168</f>
        <v>0</v>
      </c>
      <c r="M54" s="22" t="e">
        <f>IF(LEN(VLOOKUP(L54,A2:D500,4,FALSE))=0,,VLOOKUP(L54,A2:D500,4,FALSE))</f>
        <v>#N/A</v>
      </c>
      <c r="N54" s="22">
        <f>'Exposure Model'!O185</f>
        <v>0</v>
      </c>
      <c r="O54" s="22" t="e">
        <f>IF(LEN(VLOOKUP(N54,A2:D500,4,FALSE))=0,,VLOOKUP(N54,A2:D500,4,FALSE))</f>
        <v>#N/A</v>
      </c>
      <c r="P54" s="55">
        <f>'QRA Models'!P185</f>
        <v>0</v>
      </c>
      <c r="Q54" s="22" t="e">
        <f>IF(LEN(VLOOKUP(P54,A2:D500,4,FALSE))=0,,VLOOKUP(P54,A2:D500,4,FALSE))</f>
        <v>#N/A</v>
      </c>
      <c r="R54" s="56">
        <f>'Health metrics Models'!Q168</f>
        <v>0</v>
      </c>
      <c r="S54" s="22" t="e">
        <f>IF(LEN(VLOOKUP(R54,A2:D500,4,FALSE))=0,,VLOOKUP(R54,A2:D500,4,FALSE))</f>
        <v>#N/A</v>
      </c>
      <c r="T54" s="56">
        <f>'Process Model'!O166</f>
        <v>0</v>
      </c>
      <c r="U54" s="22" t="e">
        <f>IF(LEN(VLOOKUP(T54,A2:D500,4,FALSE))=0,,VLOOKUP(T54,A2:D500,4,FALSE))</f>
        <v>#N/A</v>
      </c>
      <c r="V54" s="56">
        <f>'Toxicological reference value M'!P168</f>
        <v>0</v>
      </c>
      <c r="W54" s="22" t="e">
        <f>IF(LEN(VLOOKUP(V54,A2:D500,4,FALSE))=0,,VLOOKUP(V54,A2:D500,4,FALSE))</f>
        <v>#N/A</v>
      </c>
      <c r="Y54" s="56">
        <f>'Other Empirical Model'!P179</f>
        <v>0</v>
      </c>
      <c r="Z54" s="22" t="e">
        <f>IF(LEN(VLOOKUP(Y54,A2:D500,4,FALSE))=0,,VLOOKUP(Y54,A2:D500,4,FALSE))</f>
        <v>#N/A</v>
      </c>
      <c r="AA54" s="56">
        <f>'Predictive Model'!P166</f>
        <v>0</v>
      </c>
      <c r="AB54" s="22" t="e">
        <f>IF(LEN(VLOOKUP(AA54,A2:D500,4,FALSE))=0,,VLOOKUP(AA54,A2:D500,4,FALSE))</f>
        <v>#N/A</v>
      </c>
      <c r="AC54" s="56">
        <f>'Consumption Model'!P171</f>
        <v>0</v>
      </c>
      <c r="AD54" s="22" t="e">
        <f>IF(LEN(VLOOKUP(AC54,A2:D500,4,FALSE))=0,,VLOOKUP(AC54,A2:D500,4,FALSE))</f>
        <v>#N/A</v>
      </c>
      <c r="AE54" s="22">
        <f>'(Data)'!P167</f>
        <v>0</v>
      </c>
      <c r="AF54" s="22" t="e">
        <f>IF(LEN(VLOOKUP(AE53:AE54,A2:D500,4,FALSE))=0,,VLOOKUP(AE53:AE54,A2:D500,4,FALSE))</f>
        <v>#N/A</v>
      </c>
      <c r="AH54" s="45">
        <f>'Risk Charact Model'!P185</f>
        <v>0</v>
      </c>
      <c r="AI54" s="58" t="e">
        <f>IF(LEN(VLOOKUP(AH54,A2:D500,4,FALSE))=0,,VLOOKUP(AH54,A2:D500,4,FALSE))</f>
        <v>#N/A</v>
      </c>
    </row>
    <row r="55" spans="9:35" ht="14" x14ac:dyDescent="0.3">
      <c r="I55" s="60">
        <f>'Generic Metadata Schema'!P185</f>
        <v>0</v>
      </c>
      <c r="J55" s="22" t="e">
        <f>IF(LEN(VLOOKUP(I55,A2:D500,4,FALSE))=0,"",VLOOKUP(I55,A2:D500,4,FALSE))</f>
        <v>#N/A</v>
      </c>
      <c r="L55" s="56">
        <f>'Dose-response Model'!O169</f>
        <v>0</v>
      </c>
      <c r="M55" s="22" t="e">
        <f>IF(LEN(VLOOKUP(L55,A2:D500,4,FALSE))=0,,VLOOKUP(L55,A2:D500,4,FALSE))</f>
        <v>#N/A</v>
      </c>
      <c r="N55" s="22">
        <f>'Exposure Model'!O186</f>
        <v>0</v>
      </c>
      <c r="O55" s="22" t="e">
        <f>IF(LEN(VLOOKUP(N55,A2:D500,4,FALSE))=0,,VLOOKUP(N55,A2:D500,4,FALSE))</f>
        <v>#N/A</v>
      </c>
      <c r="P55" s="55">
        <f>'QRA Models'!P186</f>
        <v>0</v>
      </c>
      <c r="Q55" s="22" t="e">
        <f>IF(LEN(VLOOKUP(P55,A2:D500,4,FALSE))=0,,VLOOKUP(P55,A2:D500,4,FALSE))</f>
        <v>#N/A</v>
      </c>
      <c r="R55" s="56">
        <f>'Health metrics Models'!Q169</f>
        <v>0</v>
      </c>
      <c r="S55" s="22" t="e">
        <f>IF(LEN(VLOOKUP(R55,A2:D500,4,FALSE))=0,,VLOOKUP(R55,A2:D500,4,FALSE))</f>
        <v>#N/A</v>
      </c>
      <c r="T55" s="56">
        <f>'Process Model'!O167</f>
        <v>0</v>
      </c>
      <c r="U55" s="22" t="e">
        <f>IF(LEN(VLOOKUP(T55,A2:D500,4,FALSE))=0,,VLOOKUP(T55,A2:D500,4,FALSE))</f>
        <v>#N/A</v>
      </c>
      <c r="V55" s="56">
        <f>'Toxicological reference value M'!P169</f>
        <v>0</v>
      </c>
      <c r="W55" s="22" t="e">
        <f>IF(LEN(VLOOKUP(V55,A2:D500,4,FALSE))=0,,VLOOKUP(V55,A2:D500,4,FALSE))</f>
        <v>#N/A</v>
      </c>
      <c r="Y55" s="56">
        <f>'Other Empirical Model'!P180</f>
        <v>0</v>
      </c>
      <c r="Z55" s="22" t="e">
        <f>IF(LEN(VLOOKUP(Y55,A2:D500,4,FALSE))=0,,VLOOKUP(Y55,A2:D500,4,FALSE))</f>
        <v>#N/A</v>
      </c>
      <c r="AA55" s="56">
        <f>'Predictive Model'!P167</f>
        <v>0</v>
      </c>
      <c r="AB55" s="22" t="e">
        <f>IF(LEN(VLOOKUP(AA55,A2:D500,4,FALSE))=0,,VLOOKUP(AA55,A2:D500,4,FALSE))</f>
        <v>#N/A</v>
      </c>
      <c r="AC55" s="56">
        <f>'Consumption Model'!P172</f>
        <v>0</v>
      </c>
      <c r="AD55" s="22" t="e">
        <f>IF(LEN(VLOOKUP(AC55,A2:D500,4,FALSE))=0,,VLOOKUP(AC55,A2:D500,4,FALSE))</f>
        <v>#N/A</v>
      </c>
      <c r="AE55" s="22">
        <f>'(Data)'!P168</f>
        <v>0</v>
      </c>
      <c r="AF55" s="22" t="e">
        <f>IF(LEN(VLOOKUP(AE54:AE55,A2:D500,4,FALSE))=0,,VLOOKUP(AE54:AE55,A2:D500,4,FALSE))</f>
        <v>#N/A</v>
      </c>
      <c r="AH55" s="45">
        <f>'Risk Charact Model'!P186</f>
        <v>0</v>
      </c>
      <c r="AI55" s="58" t="e">
        <f>IF(LEN(VLOOKUP(AH55,A2:D500,4,FALSE))=0,,VLOOKUP(AH55,A2:D500,4,FALSE))</f>
        <v>#N/A</v>
      </c>
    </row>
    <row r="56" spans="9:35" ht="14" x14ac:dyDescent="0.3">
      <c r="I56" s="60">
        <f>'Generic Metadata Schema'!P186</f>
        <v>0</v>
      </c>
      <c r="J56" s="22" t="e">
        <f>IF(LEN(VLOOKUP(I56,A2:D500,4,FALSE))=0,"",VLOOKUP(I56,A2:D500,4,FALSE))</f>
        <v>#N/A</v>
      </c>
      <c r="L56" s="56">
        <f>'Dose-response Model'!O170</f>
        <v>0</v>
      </c>
      <c r="M56" s="22" t="e">
        <f>IF(LEN(VLOOKUP(L56,A2:D500,4,FALSE))=0,,VLOOKUP(L56,A2:D500,4,FALSE))</f>
        <v>#N/A</v>
      </c>
      <c r="N56" s="22">
        <f>'Exposure Model'!O187</f>
        <v>0</v>
      </c>
      <c r="O56" s="22" t="e">
        <f>IF(LEN(VLOOKUP(N56,A2:D500,4,FALSE))=0,,VLOOKUP(N56,A2:D500,4,FALSE))</f>
        <v>#N/A</v>
      </c>
      <c r="P56" s="55">
        <f>'QRA Models'!P187</f>
        <v>0</v>
      </c>
      <c r="Q56" s="22" t="e">
        <f>IF(LEN(VLOOKUP(P56,A2:D500,4,FALSE))=0,,VLOOKUP(P56,A2:D500,4,FALSE))</f>
        <v>#N/A</v>
      </c>
      <c r="R56" s="56">
        <f>'Health metrics Models'!Q170</f>
        <v>0</v>
      </c>
      <c r="S56" s="22" t="e">
        <f>IF(LEN(VLOOKUP(R56,A2:D500,4,FALSE))=0,,VLOOKUP(R56,A2:D500,4,FALSE))</f>
        <v>#N/A</v>
      </c>
      <c r="T56" s="56">
        <f>'Process Model'!O168</f>
        <v>0</v>
      </c>
      <c r="U56" s="22" t="e">
        <f>IF(LEN(VLOOKUP(T56,A2:D500,4,FALSE))=0,,VLOOKUP(T56,A2:D500,4,FALSE))</f>
        <v>#N/A</v>
      </c>
      <c r="V56" s="56">
        <f>'Toxicological reference value M'!P170</f>
        <v>0</v>
      </c>
      <c r="W56" s="22" t="e">
        <f>IF(LEN(VLOOKUP(V56,A2:D500,4,FALSE))=0,,VLOOKUP(V56,A2:D500,4,FALSE))</f>
        <v>#N/A</v>
      </c>
      <c r="Y56" s="56">
        <f>'Other Empirical Model'!P181</f>
        <v>0</v>
      </c>
      <c r="Z56" s="22" t="e">
        <f>IF(LEN(VLOOKUP(Y56,A2:D500,4,FALSE))=0,,VLOOKUP(Y56,A2:D500,4,FALSE))</f>
        <v>#N/A</v>
      </c>
      <c r="AA56" s="56">
        <f>'Predictive Model'!P168</f>
        <v>0</v>
      </c>
      <c r="AB56" s="22" t="e">
        <f>IF(LEN(VLOOKUP(AA56,A2:D500,4,FALSE))=0,,VLOOKUP(AA56,A2:D500,4,FALSE))</f>
        <v>#N/A</v>
      </c>
      <c r="AC56" s="56">
        <f>'Consumption Model'!P173</f>
        <v>0</v>
      </c>
      <c r="AD56" s="22" t="e">
        <f>IF(LEN(VLOOKUP(AC56,A2:D500,4,FALSE))=0,,VLOOKUP(AC56,A2:D500,4,FALSE))</f>
        <v>#N/A</v>
      </c>
      <c r="AE56" s="22">
        <f>'(Data)'!P169</f>
        <v>0</v>
      </c>
      <c r="AF56" s="22" t="e">
        <f>IF(LEN(VLOOKUP(AE55:AE56,A2:D500,4,FALSE))=0,,VLOOKUP(AE55:AE56,A2:D500,4,FALSE))</f>
        <v>#N/A</v>
      </c>
      <c r="AH56" s="45">
        <f>'Risk Charact Model'!P187</f>
        <v>0</v>
      </c>
      <c r="AI56" s="58" t="e">
        <f>IF(LEN(VLOOKUP(AH56,A2:D500,4,FALSE))=0,,VLOOKUP(AH56,A2:D500,4,FALSE))</f>
        <v>#N/A</v>
      </c>
    </row>
    <row r="57" spans="9:35" ht="14" x14ac:dyDescent="0.3">
      <c r="I57" s="60">
        <f>'Generic Metadata Schema'!P187</f>
        <v>0</v>
      </c>
      <c r="J57" s="22" t="e">
        <f>IF(LEN(VLOOKUP(I57,A2:D500,4,FALSE))=0,"",VLOOKUP(I57,A2:D500,4,FALSE))</f>
        <v>#N/A</v>
      </c>
      <c r="L57" s="56">
        <f>'Dose-response Model'!O171</f>
        <v>0</v>
      </c>
      <c r="M57" s="22" t="e">
        <f>IF(LEN(VLOOKUP(L57,A2:D500,4,FALSE))=0,,VLOOKUP(L57,A2:D500,4,FALSE))</f>
        <v>#N/A</v>
      </c>
      <c r="N57" s="22">
        <f>'Exposure Model'!O188</f>
        <v>0</v>
      </c>
      <c r="O57" s="22" t="e">
        <f>IF(LEN(VLOOKUP(N57,A2:D500,4,FALSE))=0,,VLOOKUP(N57,A2:D500,4,FALSE))</f>
        <v>#N/A</v>
      </c>
      <c r="P57" s="55">
        <f>'QRA Models'!P188</f>
        <v>0</v>
      </c>
      <c r="Q57" s="22" t="e">
        <f>IF(LEN(VLOOKUP(P57,A2:D500,4,FALSE))=0,,VLOOKUP(P57,A2:D500,4,FALSE))</f>
        <v>#N/A</v>
      </c>
      <c r="R57" s="56">
        <f>'Health metrics Models'!Q171</f>
        <v>0</v>
      </c>
      <c r="S57" s="22" t="e">
        <f>IF(LEN(VLOOKUP(R57,A2:D500,4,FALSE))=0,,VLOOKUP(R57,A2:D500,4,FALSE))</f>
        <v>#N/A</v>
      </c>
      <c r="T57" s="56">
        <f>'Process Model'!O169</f>
        <v>0</v>
      </c>
      <c r="U57" s="22" t="e">
        <f>IF(LEN(VLOOKUP(T57,A2:D500,4,FALSE))=0,,VLOOKUP(T57,A2:D500,4,FALSE))</f>
        <v>#N/A</v>
      </c>
      <c r="V57" s="56">
        <f>'Toxicological reference value M'!P171</f>
        <v>0</v>
      </c>
      <c r="W57" s="22" t="e">
        <f>IF(LEN(VLOOKUP(V57,A2:D500,4,FALSE))=0,,VLOOKUP(V57,A2:D500,4,FALSE))</f>
        <v>#N/A</v>
      </c>
      <c r="Y57" s="56">
        <f>'Other Empirical Model'!P182</f>
        <v>0</v>
      </c>
      <c r="Z57" s="22" t="e">
        <f>IF(LEN(VLOOKUP(Y57,A2:D500,4,FALSE))=0,,VLOOKUP(Y57,A2:D500,4,FALSE))</f>
        <v>#N/A</v>
      </c>
      <c r="AA57" s="56">
        <f>'Predictive Model'!P169</f>
        <v>0</v>
      </c>
      <c r="AB57" s="22" t="e">
        <f>IF(LEN(VLOOKUP(AA57,A2:D500,4,FALSE))=0,,VLOOKUP(AA57,A2:D500,4,FALSE))</f>
        <v>#N/A</v>
      </c>
      <c r="AC57" s="56">
        <f>'Consumption Model'!P174</f>
        <v>0</v>
      </c>
      <c r="AD57" s="22" t="e">
        <f>IF(LEN(VLOOKUP(AC57,A2:D500,4,FALSE))=0,,VLOOKUP(AC57,A2:D500,4,FALSE))</f>
        <v>#N/A</v>
      </c>
      <c r="AE57" s="22">
        <f>'(Data)'!P170</f>
        <v>0</v>
      </c>
      <c r="AF57" s="22" t="e">
        <f>IF(LEN(VLOOKUP(AE56:AE57,A2:D500,4,FALSE))=0,,VLOOKUP(AE56:AE57,A2:D500,4,FALSE))</f>
        <v>#N/A</v>
      </c>
      <c r="AH57" s="45">
        <f>'Risk Charact Model'!P188</f>
        <v>0</v>
      </c>
      <c r="AI57" s="58" t="e">
        <f>IF(LEN(VLOOKUP(AH57,A2:D500,4,FALSE))=0,,VLOOKUP(AH57,A2:D500,4,FALSE))</f>
        <v>#N/A</v>
      </c>
    </row>
    <row r="58" spans="9:35" ht="14" x14ac:dyDescent="0.3">
      <c r="I58" s="60">
        <f>'Generic Metadata Schema'!P188</f>
        <v>0</v>
      </c>
      <c r="J58" s="22" t="e">
        <f>IF(LEN(VLOOKUP(I58,A2:D500,4,FALSE))=0,"",VLOOKUP(I58,A2:D500,4,FALSE))</f>
        <v>#N/A</v>
      </c>
      <c r="L58" s="56">
        <f>'Dose-response Model'!O172</f>
        <v>0</v>
      </c>
      <c r="M58" s="22" t="e">
        <f>IF(LEN(VLOOKUP(L58,A2:D500,4,FALSE))=0,,VLOOKUP(L58,A2:D500,4,FALSE))</f>
        <v>#N/A</v>
      </c>
      <c r="N58" s="22">
        <f>'Exposure Model'!O189</f>
        <v>0</v>
      </c>
      <c r="O58" s="22" t="e">
        <f>IF(LEN(VLOOKUP(N58,A2:D500,4,FALSE))=0,,VLOOKUP(N58,A2:D500,4,FALSE))</f>
        <v>#N/A</v>
      </c>
      <c r="P58" s="55">
        <f>'QRA Models'!P189</f>
        <v>0</v>
      </c>
      <c r="Q58" s="22" t="e">
        <f>IF(LEN(VLOOKUP(P58,A2:D500,4,FALSE))=0,,VLOOKUP(P58,A2:D500,4,FALSE))</f>
        <v>#N/A</v>
      </c>
      <c r="R58" s="56">
        <f>'Health metrics Models'!Q172</f>
        <v>0</v>
      </c>
      <c r="S58" s="22" t="e">
        <f>IF(LEN(VLOOKUP(R58,A2:D500,4,FALSE))=0,,VLOOKUP(R58,A2:D500,4,FALSE))</f>
        <v>#N/A</v>
      </c>
      <c r="T58" s="56">
        <f>'Process Model'!O170</f>
        <v>0</v>
      </c>
      <c r="U58" s="22" t="e">
        <f>IF(LEN(VLOOKUP(T58,A2:D500,4,FALSE))=0,,VLOOKUP(T58,A2:D500,4,FALSE))</f>
        <v>#N/A</v>
      </c>
      <c r="V58" s="56">
        <f>'Toxicological reference value M'!P172</f>
        <v>0</v>
      </c>
      <c r="W58" s="22" t="e">
        <f>IF(LEN(VLOOKUP(V58,A2:D500,4,FALSE))=0,,VLOOKUP(V58,A2:D500,4,FALSE))</f>
        <v>#N/A</v>
      </c>
      <c r="Y58" s="56">
        <f>'Other Empirical Model'!P183</f>
        <v>0</v>
      </c>
      <c r="Z58" s="22" t="e">
        <f>IF(LEN(VLOOKUP(Y58,A2:D500,4,FALSE))=0,,VLOOKUP(Y58,A2:D500,4,FALSE))</f>
        <v>#N/A</v>
      </c>
      <c r="AA58" s="56">
        <f>'Predictive Model'!P170</f>
        <v>0</v>
      </c>
      <c r="AB58" s="22" t="e">
        <f>IF(LEN(VLOOKUP(AA58,A2:D500,4,FALSE))=0,,VLOOKUP(AA58,A2:D500,4,FALSE))</f>
        <v>#N/A</v>
      </c>
      <c r="AC58" s="56">
        <f>'Consumption Model'!P175</f>
        <v>0</v>
      </c>
      <c r="AD58" s="22" t="e">
        <f>IF(LEN(VLOOKUP(AC58,A2:D500,4,FALSE))=0,,VLOOKUP(AC58,A2:D500,4,FALSE))</f>
        <v>#N/A</v>
      </c>
      <c r="AE58" s="22">
        <f>'(Data)'!P171</f>
        <v>0</v>
      </c>
      <c r="AF58" s="22" t="e">
        <f>IF(LEN(VLOOKUP(AE57:AE58,A2:D500,4,FALSE))=0,,VLOOKUP(AE57:AE58,A2:D500,4,FALSE))</f>
        <v>#N/A</v>
      </c>
      <c r="AH58" s="45">
        <f>'Risk Charact Model'!P189</f>
        <v>0</v>
      </c>
      <c r="AI58" s="58" t="e">
        <f>IF(LEN(VLOOKUP(AH58,A2:D500,4,FALSE))=0,,VLOOKUP(AH58,A2:D500,4,FALSE))</f>
        <v>#N/A</v>
      </c>
    </row>
    <row r="59" spans="9:35" ht="14" x14ac:dyDescent="0.3">
      <c r="I59" s="60">
        <f>'Generic Metadata Schema'!P189</f>
        <v>0</v>
      </c>
      <c r="J59" s="22" t="e">
        <f>IF(LEN(VLOOKUP(I59,A2:D500,4,FALSE))=0,"",VLOOKUP(I59,A2:D500,4,FALSE))</f>
        <v>#N/A</v>
      </c>
      <c r="L59" s="56">
        <f>'Dose-response Model'!O173</f>
        <v>0</v>
      </c>
      <c r="M59" s="22" t="e">
        <f>IF(LEN(VLOOKUP(L59,A2:D500,4,FALSE))=0,,VLOOKUP(L59,A2:D500,4,FALSE))</f>
        <v>#N/A</v>
      </c>
      <c r="N59" s="22">
        <f>'Exposure Model'!O190</f>
        <v>0</v>
      </c>
      <c r="O59" s="22" t="e">
        <f>IF(LEN(VLOOKUP(N59,A2:D500,4,FALSE))=0,,VLOOKUP(N59,A2:D500,4,FALSE))</f>
        <v>#N/A</v>
      </c>
      <c r="P59" s="55">
        <f>'QRA Models'!P190</f>
        <v>0</v>
      </c>
      <c r="Q59" s="22" t="e">
        <f>IF(LEN(VLOOKUP(P59,A2:D500,4,FALSE))=0,,VLOOKUP(P59,A2:D500,4,FALSE))</f>
        <v>#N/A</v>
      </c>
      <c r="R59" s="56">
        <f>'Health metrics Models'!Q173</f>
        <v>0</v>
      </c>
      <c r="S59" s="22" t="e">
        <f>IF(LEN(VLOOKUP(R59,A2:D500,4,FALSE))=0,,VLOOKUP(R59,A2:D500,4,FALSE))</f>
        <v>#N/A</v>
      </c>
      <c r="T59" s="56">
        <f>'Process Model'!O171</f>
        <v>0</v>
      </c>
      <c r="U59" s="22" t="e">
        <f>IF(LEN(VLOOKUP(T59,A2:D500,4,FALSE))=0,,VLOOKUP(T59,A2:D500,4,FALSE))</f>
        <v>#N/A</v>
      </c>
      <c r="V59" s="56">
        <f>'Toxicological reference value M'!P173</f>
        <v>0</v>
      </c>
      <c r="W59" s="22" t="e">
        <f>IF(LEN(VLOOKUP(V59,A2:D500,4,FALSE))=0,,VLOOKUP(V59,A2:D500,4,FALSE))</f>
        <v>#N/A</v>
      </c>
      <c r="Y59" s="56">
        <f>'Other Empirical Model'!P184</f>
        <v>0</v>
      </c>
      <c r="Z59" s="22" t="e">
        <f>IF(LEN(VLOOKUP(Y59,A2:D500,4,FALSE))=0,,VLOOKUP(Y59,A2:D500,4,FALSE))</f>
        <v>#N/A</v>
      </c>
      <c r="AA59" s="56">
        <f>'Predictive Model'!P171</f>
        <v>0</v>
      </c>
      <c r="AB59" s="22" t="e">
        <f>IF(LEN(VLOOKUP(AA59,A2:D500,4,FALSE))=0,,VLOOKUP(AA59,A2:D500,4,FALSE))</f>
        <v>#N/A</v>
      </c>
      <c r="AC59" s="56">
        <f>'Consumption Model'!P176</f>
        <v>0</v>
      </c>
      <c r="AD59" s="22" t="e">
        <f>IF(LEN(VLOOKUP(AC59,A2:D500,4,FALSE))=0,,VLOOKUP(AC59,A2:D500,4,FALSE))</f>
        <v>#N/A</v>
      </c>
      <c r="AE59" s="22">
        <f>'(Data)'!P172</f>
        <v>0</v>
      </c>
      <c r="AF59" s="22" t="e">
        <f>IF(LEN(VLOOKUP(AE58:AE59,A2:D500,4,FALSE))=0,,VLOOKUP(AE58:AE59,A2:D500,4,FALSE))</f>
        <v>#N/A</v>
      </c>
      <c r="AH59" s="45">
        <f>'Risk Charact Model'!P190</f>
        <v>0</v>
      </c>
      <c r="AI59" s="58" t="e">
        <f>IF(LEN(VLOOKUP(AH59,A2:D500,4,FALSE))=0,,VLOOKUP(AH59,A2:D500,4,FALSE))</f>
        <v>#N/A</v>
      </c>
    </row>
    <row r="60" spans="9:35" ht="14" x14ac:dyDescent="0.3">
      <c r="I60" s="60">
        <f>'Generic Metadata Schema'!P190</f>
        <v>0</v>
      </c>
      <c r="J60" s="22" t="e">
        <f>IF(LEN(VLOOKUP(I60,A2:D500,4,FALSE))=0,"",VLOOKUP(I60,A2:D500,4,FALSE))</f>
        <v>#N/A</v>
      </c>
      <c r="L60" s="56">
        <f>'Dose-response Model'!O174</f>
        <v>0</v>
      </c>
      <c r="M60" s="22" t="e">
        <f>IF(LEN(VLOOKUP(L60,A2:D500,4,FALSE))=0,,VLOOKUP(L60,A2:D500,4,FALSE))</f>
        <v>#N/A</v>
      </c>
      <c r="N60" s="22">
        <f>'Exposure Model'!O191</f>
        <v>0</v>
      </c>
      <c r="O60" s="22" t="e">
        <f>IF(LEN(VLOOKUP(N60,A2:D500,4,FALSE))=0,,VLOOKUP(N60,A2:D500,4,FALSE))</f>
        <v>#N/A</v>
      </c>
      <c r="P60" s="55">
        <f>'QRA Models'!P191</f>
        <v>0</v>
      </c>
      <c r="Q60" s="22" t="e">
        <f>IF(LEN(VLOOKUP(P60,A2:D500,4,FALSE))=0,,VLOOKUP(P60,A2:D500,4,FALSE))</f>
        <v>#N/A</v>
      </c>
      <c r="R60" s="56">
        <f>'Health metrics Models'!Q174</f>
        <v>0</v>
      </c>
      <c r="S60" s="22" t="e">
        <f>IF(LEN(VLOOKUP(R60,A2:D500,4,FALSE))=0,,VLOOKUP(R60,A2:D500,4,FALSE))</f>
        <v>#N/A</v>
      </c>
      <c r="T60" s="56">
        <f>'Process Model'!O172</f>
        <v>0</v>
      </c>
      <c r="U60" s="22" t="e">
        <f>IF(LEN(VLOOKUP(T60,A2:D500,4,FALSE))=0,,VLOOKUP(T60,A2:D500,4,FALSE))</f>
        <v>#N/A</v>
      </c>
      <c r="V60" s="56">
        <f>'Toxicological reference value M'!P174</f>
        <v>0</v>
      </c>
      <c r="W60" s="22" t="e">
        <f>IF(LEN(VLOOKUP(V60,A2:D500,4,FALSE))=0,,VLOOKUP(V60,A2:D500,4,FALSE))</f>
        <v>#N/A</v>
      </c>
      <c r="Y60" s="56">
        <f>'Other Empirical Model'!P185</f>
        <v>0</v>
      </c>
      <c r="Z60" s="22" t="e">
        <f>IF(LEN(VLOOKUP(Y60,A2:D500,4,FALSE))=0,,VLOOKUP(Y60,A2:D500,4,FALSE))</f>
        <v>#N/A</v>
      </c>
      <c r="AA60" s="56">
        <f>'Predictive Model'!P172</f>
        <v>0</v>
      </c>
      <c r="AB60" s="22" t="e">
        <f>IF(LEN(VLOOKUP(AA60,A2:D500,4,FALSE))=0,,VLOOKUP(AA60,A2:D500,4,FALSE))</f>
        <v>#N/A</v>
      </c>
      <c r="AC60" s="56">
        <f>'Consumption Model'!P177</f>
        <v>0</v>
      </c>
      <c r="AD60" s="22" t="e">
        <f>IF(LEN(VLOOKUP(AC60,A2:D500,4,FALSE))=0,,VLOOKUP(AC60,A2:D500,4,FALSE))</f>
        <v>#N/A</v>
      </c>
      <c r="AE60" s="22">
        <f>'(Data)'!P173</f>
        <v>0</v>
      </c>
      <c r="AF60" s="22" t="e">
        <f>IF(LEN(VLOOKUP(AE59:AE60,A2:D500,4,FALSE))=0,,VLOOKUP(AE59:AE60,A2:D500,4,FALSE))</f>
        <v>#N/A</v>
      </c>
      <c r="AH60" s="45">
        <f>'Risk Charact Model'!P191</f>
        <v>0</v>
      </c>
      <c r="AI60" s="58" t="e">
        <f>IF(LEN(VLOOKUP(AH60,A2:D500,4,FALSE))=0,,VLOOKUP(AH60,A2:D500,4,FALSE))</f>
        <v>#N/A</v>
      </c>
    </row>
    <row r="61" spans="9:35" ht="14" x14ac:dyDescent="0.3">
      <c r="I61" s="60">
        <f>'Generic Metadata Schema'!P191</f>
        <v>0</v>
      </c>
      <c r="J61" s="22" t="e">
        <f>IF(LEN(VLOOKUP(I61,A2:D500,4,FALSE))=0,"",VLOOKUP(I61,A2:D500,4,FALSE))</f>
        <v>#N/A</v>
      </c>
      <c r="L61" s="56">
        <f>'Dose-response Model'!O175</f>
        <v>0</v>
      </c>
      <c r="M61" s="22" t="e">
        <f>IF(LEN(VLOOKUP(L61,A2:D500,4,FALSE))=0,,VLOOKUP(L61,A2:D500,4,FALSE))</f>
        <v>#N/A</v>
      </c>
      <c r="N61" s="22">
        <f>'Exposure Model'!O192</f>
        <v>0</v>
      </c>
      <c r="O61" s="22" t="e">
        <f>IF(LEN(VLOOKUP(N61,A2:D500,4,FALSE))=0,,VLOOKUP(N61,A2:D500,4,FALSE))</f>
        <v>#N/A</v>
      </c>
      <c r="P61" s="55">
        <f>'QRA Models'!P192</f>
        <v>0</v>
      </c>
      <c r="Q61" s="22" t="e">
        <f>IF(LEN(VLOOKUP(P61,A2:D500,4,FALSE))=0,,VLOOKUP(P61,A2:D500,4,FALSE))</f>
        <v>#N/A</v>
      </c>
      <c r="R61" s="56">
        <f>'Health metrics Models'!Q175</f>
        <v>0</v>
      </c>
      <c r="S61" s="22" t="e">
        <f>IF(LEN(VLOOKUP(R61,A2:D500,4,FALSE))=0,,VLOOKUP(R61,A2:D500,4,FALSE))</f>
        <v>#N/A</v>
      </c>
      <c r="T61" s="56">
        <f>'Process Model'!O173</f>
        <v>0</v>
      </c>
      <c r="U61" s="22" t="e">
        <f>IF(LEN(VLOOKUP(T61,A2:D500,4,FALSE))=0,,VLOOKUP(T61,A2:D500,4,FALSE))</f>
        <v>#N/A</v>
      </c>
      <c r="V61" s="56">
        <f>'Toxicological reference value M'!P175</f>
        <v>0</v>
      </c>
      <c r="W61" s="22" t="e">
        <f>IF(LEN(VLOOKUP(V61,A2:D500,4,FALSE))=0,,VLOOKUP(V61,A2:D500,4,FALSE))</f>
        <v>#N/A</v>
      </c>
      <c r="Y61" s="56">
        <f>'Other Empirical Model'!P186</f>
        <v>0</v>
      </c>
      <c r="Z61" s="22" t="e">
        <f>IF(LEN(VLOOKUP(Y61,A2:D500,4,FALSE))=0,,VLOOKUP(Y61,A2:D500,4,FALSE))</f>
        <v>#N/A</v>
      </c>
      <c r="AA61" s="56">
        <f>'Predictive Model'!P173</f>
        <v>0</v>
      </c>
      <c r="AB61" s="22" t="e">
        <f>IF(LEN(VLOOKUP(AA61,A2:D500,4,FALSE))=0,,VLOOKUP(AA61,A2:D500,4,FALSE))</f>
        <v>#N/A</v>
      </c>
      <c r="AC61" s="56">
        <f>'Consumption Model'!P178</f>
        <v>0</v>
      </c>
      <c r="AD61" s="22" t="e">
        <f>IF(LEN(VLOOKUP(AC61,A2:D500,4,FALSE))=0,,VLOOKUP(AC61,A2:D500,4,FALSE))</f>
        <v>#N/A</v>
      </c>
      <c r="AE61" s="22">
        <f>'(Data)'!P174</f>
        <v>0</v>
      </c>
      <c r="AF61" s="22" t="e">
        <f>IF(LEN(VLOOKUP(AE60:AE61,A2:D500,4,FALSE))=0,,VLOOKUP(AE60:AE61,A2:D500,4,FALSE))</f>
        <v>#N/A</v>
      </c>
      <c r="AH61" s="45">
        <f>'Risk Charact Model'!P192</f>
        <v>0</v>
      </c>
      <c r="AI61" s="58" t="e">
        <f>IF(LEN(VLOOKUP(AH61,A2:D500,4,FALSE))=0,,VLOOKUP(AH61,A2:D500,4,FALSE))</f>
        <v>#N/A</v>
      </c>
    </row>
    <row r="62" spans="9:35" ht="14" x14ac:dyDescent="0.3">
      <c r="I62" s="60">
        <f>'Generic Metadata Schema'!P192</f>
        <v>0</v>
      </c>
      <c r="J62" s="22" t="e">
        <f>IF(LEN(VLOOKUP(I62,A2:D500,4,FALSE))=0,"",VLOOKUP(I62,A2:D500,4,FALSE))</f>
        <v>#N/A</v>
      </c>
      <c r="L62" s="56">
        <f>'Dose-response Model'!O176</f>
        <v>0</v>
      </c>
      <c r="M62" s="22" t="e">
        <f>IF(LEN(VLOOKUP(L62,A2:D500,4,FALSE))=0,,VLOOKUP(L62,A2:D500,4,FALSE))</f>
        <v>#N/A</v>
      </c>
      <c r="N62" s="22">
        <f>'Exposure Model'!O193</f>
        <v>0</v>
      </c>
      <c r="O62" s="22" t="e">
        <f>IF(LEN(VLOOKUP(N62,A2:D500,4,FALSE))=0,,VLOOKUP(N62,A2:D500,4,FALSE))</f>
        <v>#N/A</v>
      </c>
      <c r="P62" s="55">
        <f>'QRA Models'!P193</f>
        <v>0</v>
      </c>
      <c r="Q62" s="22" t="e">
        <f>IF(LEN(VLOOKUP(P62,A2:D500,4,FALSE))=0,,VLOOKUP(P62,A2:D500,4,FALSE))</f>
        <v>#N/A</v>
      </c>
      <c r="R62" s="56">
        <f>'Health metrics Models'!Q176</f>
        <v>0</v>
      </c>
      <c r="S62" s="22" t="e">
        <f>IF(LEN(VLOOKUP(R62,A2:D500,4,FALSE))=0,,VLOOKUP(R62,A2:D500,4,FALSE))</f>
        <v>#N/A</v>
      </c>
      <c r="T62" s="56">
        <f>'Process Model'!O174</f>
        <v>0</v>
      </c>
      <c r="U62" s="22" t="e">
        <f>IF(LEN(VLOOKUP(T62,A2:D500,4,FALSE))=0,,VLOOKUP(T62,A2:D500,4,FALSE))</f>
        <v>#N/A</v>
      </c>
      <c r="V62" s="56">
        <f>'Toxicological reference value M'!P176</f>
        <v>0</v>
      </c>
      <c r="W62" s="22" t="e">
        <f>IF(LEN(VLOOKUP(V62,A2:D500,4,FALSE))=0,,VLOOKUP(V62,A2:D500,4,FALSE))</f>
        <v>#N/A</v>
      </c>
      <c r="Y62" s="56">
        <f>'Other Empirical Model'!P187</f>
        <v>0</v>
      </c>
      <c r="Z62" s="22" t="e">
        <f>IF(LEN(VLOOKUP(Y62,A2:D500,4,FALSE))=0,,VLOOKUP(Y62,A2:D500,4,FALSE))</f>
        <v>#N/A</v>
      </c>
      <c r="AA62" s="56">
        <f>'Predictive Model'!P174</f>
        <v>0</v>
      </c>
      <c r="AB62" s="22" t="e">
        <f>IF(LEN(VLOOKUP(AA62,A2:D500,4,FALSE))=0,,VLOOKUP(AA62,A2:D500,4,FALSE))</f>
        <v>#N/A</v>
      </c>
      <c r="AC62" s="56">
        <f>'Consumption Model'!P179</f>
        <v>0</v>
      </c>
      <c r="AD62" s="22" t="e">
        <f>IF(LEN(VLOOKUP(AC62,A2:D500,4,FALSE))=0,,VLOOKUP(AC62,A2:D500,4,FALSE))</f>
        <v>#N/A</v>
      </c>
      <c r="AE62" s="22">
        <f>'(Data)'!P175</f>
        <v>0</v>
      </c>
      <c r="AF62" s="22" t="e">
        <f>IF(LEN(VLOOKUP(AE61:AE62,A2:D500,4,FALSE))=0,,VLOOKUP(AE61:AE62,A2:D500,4,FALSE))</f>
        <v>#N/A</v>
      </c>
      <c r="AH62" s="45">
        <f>'Risk Charact Model'!P193</f>
        <v>0</v>
      </c>
      <c r="AI62" s="58" t="e">
        <f>IF(LEN(VLOOKUP(AH62,A2:D500,4,FALSE))=0,,VLOOKUP(AH62,A2:D500,4,FALSE))</f>
        <v>#N/A</v>
      </c>
    </row>
    <row r="63" spans="9:35" ht="14" x14ac:dyDescent="0.3">
      <c r="I63" s="60">
        <f>'Generic Metadata Schema'!P193</f>
        <v>0</v>
      </c>
      <c r="J63" s="22" t="e">
        <f>IF(LEN(VLOOKUP(I63,A2:D500,4,FALSE))=0,"",VLOOKUP(I63,A2:D500,4,FALSE))</f>
        <v>#N/A</v>
      </c>
      <c r="L63" s="56">
        <f>'Dose-response Model'!O177</f>
        <v>0</v>
      </c>
      <c r="M63" s="22" t="e">
        <f>IF(LEN(VLOOKUP(L63,A2:D500,4,FALSE))=0,,VLOOKUP(L63,A2:D500,4,FALSE))</f>
        <v>#N/A</v>
      </c>
      <c r="N63" s="22">
        <f>'Exposure Model'!O194</f>
        <v>0</v>
      </c>
      <c r="O63" s="22" t="e">
        <f>IF(LEN(VLOOKUP(N63,A2:D500,4,FALSE))=0,,VLOOKUP(N63,A2:D500,4,FALSE))</f>
        <v>#N/A</v>
      </c>
      <c r="P63" s="55">
        <f>'QRA Models'!P194</f>
        <v>0</v>
      </c>
      <c r="Q63" s="22" t="e">
        <f>IF(LEN(VLOOKUP(P63,A2:D500,4,FALSE))=0,,VLOOKUP(P63,A2:D500,4,FALSE))</f>
        <v>#N/A</v>
      </c>
      <c r="R63" s="56">
        <f>'Health metrics Models'!Q177</f>
        <v>0</v>
      </c>
      <c r="S63" s="22" t="e">
        <f>IF(LEN(VLOOKUP(R63,A2:D500,4,FALSE))=0,,VLOOKUP(R63,A2:D500,4,FALSE))</f>
        <v>#N/A</v>
      </c>
      <c r="T63" s="56">
        <f>'Process Model'!O175</f>
        <v>0</v>
      </c>
      <c r="U63" s="22" t="e">
        <f>IF(LEN(VLOOKUP(T63,A2:D500,4,FALSE))=0,,VLOOKUP(T63,A2:D500,4,FALSE))</f>
        <v>#N/A</v>
      </c>
      <c r="V63" s="56">
        <f>'Toxicological reference value M'!P177</f>
        <v>0</v>
      </c>
      <c r="W63" s="22" t="e">
        <f>IF(LEN(VLOOKUP(V63,A2:D500,4,FALSE))=0,,VLOOKUP(V63,A2:D500,4,FALSE))</f>
        <v>#N/A</v>
      </c>
      <c r="Y63" s="56">
        <f>'Other Empirical Model'!P188</f>
        <v>0</v>
      </c>
      <c r="Z63" s="22" t="e">
        <f>IF(LEN(VLOOKUP(Y63,A2:D500,4,FALSE))=0,,VLOOKUP(Y63,A2:D500,4,FALSE))</f>
        <v>#N/A</v>
      </c>
      <c r="AA63" s="56">
        <f>'Predictive Model'!P175</f>
        <v>0</v>
      </c>
      <c r="AB63" s="22" t="e">
        <f>IF(LEN(VLOOKUP(AA63,A2:D500,4,FALSE))=0,,VLOOKUP(AA63,A2:D500,4,FALSE))</f>
        <v>#N/A</v>
      </c>
      <c r="AC63" s="56">
        <f>'Consumption Model'!P180</f>
        <v>0</v>
      </c>
      <c r="AD63" s="22" t="e">
        <f>IF(LEN(VLOOKUP(AC63,A2:D500,4,FALSE))=0,,VLOOKUP(AC63,A2:D500,4,FALSE))</f>
        <v>#N/A</v>
      </c>
      <c r="AE63" s="22">
        <f>'(Data)'!P176</f>
        <v>0</v>
      </c>
      <c r="AF63" s="22" t="e">
        <f>IF(LEN(VLOOKUP(AE62:AE63,A2:D500,4,FALSE))=0,,VLOOKUP(AE62:AE63,A2:D500,4,FALSE))</f>
        <v>#N/A</v>
      </c>
      <c r="AH63" s="45">
        <f>'Risk Charact Model'!P194</f>
        <v>0</v>
      </c>
      <c r="AI63" s="58" t="e">
        <f>IF(LEN(VLOOKUP(AH63,A2:D500,4,FALSE))=0,,VLOOKUP(AH63,A2:D500,4,FALSE))</f>
        <v>#N/A</v>
      </c>
    </row>
    <row r="64" spans="9:35" ht="14" x14ac:dyDescent="0.3">
      <c r="I64" s="60">
        <f>'Generic Metadata Schema'!P194</f>
        <v>0</v>
      </c>
      <c r="J64" s="22" t="e">
        <f>IF(LEN(VLOOKUP(I64,A2:D500,4,FALSE))=0,"",VLOOKUP(I64,A2:D500,4,FALSE))</f>
        <v>#N/A</v>
      </c>
      <c r="L64" s="56">
        <f>'Dose-response Model'!O178</f>
        <v>0</v>
      </c>
      <c r="M64" s="22" t="e">
        <f>IF(LEN(VLOOKUP(L64,A2:D500,4,FALSE))=0,,VLOOKUP(L64,A2:D500,4,FALSE))</f>
        <v>#N/A</v>
      </c>
      <c r="N64" s="22">
        <f>'Exposure Model'!O195</f>
        <v>0</v>
      </c>
      <c r="O64" s="22" t="e">
        <f>IF(LEN(VLOOKUP(N64,A2:D500,4,FALSE))=0,,VLOOKUP(N64,A2:D500,4,FALSE))</f>
        <v>#N/A</v>
      </c>
      <c r="P64" s="55">
        <f>'QRA Models'!P195</f>
        <v>0</v>
      </c>
      <c r="Q64" s="22" t="e">
        <f>IF(LEN(VLOOKUP(P64,A2:D500,4,FALSE))=0,,VLOOKUP(P64,A2:D500,4,FALSE))</f>
        <v>#N/A</v>
      </c>
      <c r="R64" s="56">
        <f>'Health metrics Models'!Q178</f>
        <v>0</v>
      </c>
      <c r="S64" s="22" t="e">
        <f>IF(LEN(VLOOKUP(R64,A2:D500,4,FALSE))=0,,VLOOKUP(R64,A2:D500,4,FALSE))</f>
        <v>#N/A</v>
      </c>
      <c r="T64" s="56">
        <f>'Process Model'!O176</f>
        <v>0</v>
      </c>
      <c r="U64" s="22" t="e">
        <f>IF(LEN(VLOOKUP(T64,A2:D500,4,FALSE))=0,,VLOOKUP(T64,A2:D500,4,FALSE))</f>
        <v>#N/A</v>
      </c>
      <c r="V64" s="56">
        <f>'Toxicological reference value M'!P178</f>
        <v>0</v>
      </c>
      <c r="W64" s="22" t="e">
        <f>IF(LEN(VLOOKUP(V64,A2:D500,4,FALSE))=0,,VLOOKUP(V64,A2:D500,4,FALSE))</f>
        <v>#N/A</v>
      </c>
      <c r="Y64" s="56">
        <f>'Other Empirical Model'!P189</f>
        <v>0</v>
      </c>
      <c r="Z64" s="22" t="e">
        <f>IF(LEN(VLOOKUP(Y64,A2:D500,4,FALSE))=0,,VLOOKUP(Y64,A2:D500,4,FALSE))</f>
        <v>#N/A</v>
      </c>
      <c r="AA64" s="56">
        <f>'Predictive Model'!P176</f>
        <v>0</v>
      </c>
      <c r="AB64" s="22" t="e">
        <f>IF(LEN(VLOOKUP(AA64,A2:D500,4,FALSE))=0,,VLOOKUP(AA64,A2:D500,4,FALSE))</f>
        <v>#N/A</v>
      </c>
      <c r="AC64" s="56">
        <f>'Consumption Model'!P181</f>
        <v>0</v>
      </c>
      <c r="AD64" s="22" t="e">
        <f>IF(LEN(VLOOKUP(AC64,A2:D500,4,FALSE))=0,,VLOOKUP(AC64,A2:D500,4,FALSE))</f>
        <v>#N/A</v>
      </c>
      <c r="AE64" s="22">
        <f>'(Data)'!P177</f>
        <v>0</v>
      </c>
      <c r="AF64" s="22" t="e">
        <f>IF(LEN(VLOOKUP(AE63:AE64,A2:D500,4,FALSE))=0,,VLOOKUP(AE63:AE64,A2:D500,4,FALSE))</f>
        <v>#N/A</v>
      </c>
      <c r="AH64" s="45">
        <f>'Risk Charact Model'!P195</f>
        <v>0</v>
      </c>
      <c r="AI64" s="58" t="e">
        <f>IF(LEN(VLOOKUP(AH64,A2:D500,4,FALSE))=0,,VLOOKUP(AH64,A2:D500,4,FALSE))</f>
        <v>#N/A</v>
      </c>
    </row>
    <row r="65" spans="9:35" ht="14" x14ac:dyDescent="0.3">
      <c r="I65" s="60">
        <f>'Generic Metadata Schema'!P195</f>
        <v>0</v>
      </c>
      <c r="J65" s="22" t="e">
        <f>IF(LEN(VLOOKUP(I65,A2:D500,4,FALSE))=0,"",VLOOKUP(I65,A2:D500,4,FALSE))</f>
        <v>#N/A</v>
      </c>
      <c r="L65" s="56">
        <f>'Dose-response Model'!O179</f>
        <v>0</v>
      </c>
      <c r="M65" s="22" t="e">
        <f>IF(LEN(VLOOKUP(L65,A2:D500,4,FALSE))=0,,VLOOKUP(L65,A2:D500,4,FALSE))</f>
        <v>#N/A</v>
      </c>
      <c r="N65" s="22">
        <f>'Exposure Model'!O196</f>
        <v>0</v>
      </c>
      <c r="O65" s="22" t="e">
        <f>IF(LEN(VLOOKUP(N65,A2:D500,4,FALSE))=0,,VLOOKUP(N65,A2:D500,4,FALSE))</f>
        <v>#N/A</v>
      </c>
      <c r="P65" s="55">
        <f>'QRA Models'!P196</f>
        <v>0</v>
      </c>
      <c r="Q65" s="22" t="e">
        <f>IF(LEN(VLOOKUP(P65,A2:D500,4,FALSE))=0,,VLOOKUP(P65,A2:D500,4,FALSE))</f>
        <v>#N/A</v>
      </c>
      <c r="R65" s="56">
        <f>'Health metrics Models'!Q179</f>
        <v>0</v>
      </c>
      <c r="S65" s="22" t="e">
        <f>IF(LEN(VLOOKUP(R65,A2:D500,4,FALSE))=0,,VLOOKUP(R65,A2:D500,4,FALSE))</f>
        <v>#N/A</v>
      </c>
      <c r="T65" s="56">
        <f>'Process Model'!O177</f>
        <v>0</v>
      </c>
      <c r="U65" s="22" t="e">
        <f>IF(LEN(VLOOKUP(T65,A2:D500,4,FALSE))=0,,VLOOKUP(T65,A2:D500,4,FALSE))</f>
        <v>#N/A</v>
      </c>
      <c r="V65" s="56">
        <f>'Toxicological reference value M'!P179</f>
        <v>0</v>
      </c>
      <c r="W65" s="22" t="e">
        <f>IF(LEN(VLOOKUP(V65,A2:D500,4,FALSE))=0,,VLOOKUP(V65,A2:D500,4,FALSE))</f>
        <v>#N/A</v>
      </c>
      <c r="Y65" s="56">
        <f>'Other Empirical Model'!P190</f>
        <v>0</v>
      </c>
      <c r="Z65" s="22" t="e">
        <f>IF(LEN(VLOOKUP(Y65,A2:D500,4,FALSE))=0,,VLOOKUP(Y65,A2:D500,4,FALSE))</f>
        <v>#N/A</v>
      </c>
      <c r="AA65" s="56">
        <f>'Predictive Model'!P177</f>
        <v>0</v>
      </c>
      <c r="AB65" s="22" t="e">
        <f>IF(LEN(VLOOKUP(AA65,A2:D500,4,FALSE))=0,,VLOOKUP(AA65,A2:D500,4,FALSE))</f>
        <v>#N/A</v>
      </c>
      <c r="AC65" s="56">
        <f>'Consumption Model'!P182</f>
        <v>0</v>
      </c>
      <c r="AD65" s="22" t="e">
        <f>IF(LEN(VLOOKUP(AC65,A2:D500,4,FALSE))=0,,VLOOKUP(AC65,A2:D500,4,FALSE))</f>
        <v>#N/A</v>
      </c>
      <c r="AE65" s="22">
        <f>'(Data)'!P178</f>
        <v>0</v>
      </c>
      <c r="AF65" s="22" t="e">
        <f>IF(LEN(VLOOKUP(AE64:AE65,A2:D500,4,FALSE))=0,,VLOOKUP(AE64:AE65,A2:D500,4,FALSE))</f>
        <v>#N/A</v>
      </c>
      <c r="AH65" s="45">
        <f>'Risk Charact Model'!P196</f>
        <v>0</v>
      </c>
      <c r="AI65" s="58" t="e">
        <f>IF(LEN(VLOOKUP(AH65,A2:D500,4,FALSE))=0,,VLOOKUP(AH65,A2:D500,4,FALSE))</f>
        <v>#N/A</v>
      </c>
    </row>
    <row r="66" spans="9:35" ht="14" x14ac:dyDescent="0.3">
      <c r="I66" s="60">
        <f>'Generic Metadata Schema'!P196</f>
        <v>0</v>
      </c>
      <c r="J66" s="22" t="e">
        <f>IF(LEN(VLOOKUP(I66,A2:D500,4,FALSE))=0,"",VLOOKUP(I66,A2:D500,4,FALSE))</f>
        <v>#N/A</v>
      </c>
      <c r="L66" s="56">
        <f>'Dose-response Model'!O180</f>
        <v>0</v>
      </c>
      <c r="M66" s="22" t="e">
        <f>IF(LEN(VLOOKUP(L66,A2:D500,4,FALSE))=0,,VLOOKUP(L66,A2:D500,4,FALSE))</f>
        <v>#N/A</v>
      </c>
      <c r="N66" s="22">
        <f>'Exposure Model'!O197</f>
        <v>0</v>
      </c>
      <c r="O66" s="22" t="e">
        <f>IF(LEN(VLOOKUP(N66,A2:D500,4,FALSE))=0,,VLOOKUP(N66,A2:D500,4,FALSE))</f>
        <v>#N/A</v>
      </c>
      <c r="P66" s="55">
        <f>'QRA Models'!P197</f>
        <v>0</v>
      </c>
      <c r="Q66" s="22" t="e">
        <f>IF(LEN(VLOOKUP(P66,A2:D500,4,FALSE))=0,,VLOOKUP(P66,A2:D500,4,FALSE))</f>
        <v>#N/A</v>
      </c>
      <c r="R66" s="56">
        <f>'Health metrics Models'!Q180</f>
        <v>0</v>
      </c>
      <c r="S66" s="22" t="e">
        <f>IF(LEN(VLOOKUP(R66,A2:D500,4,FALSE))=0,,VLOOKUP(R66,A2:D500,4,FALSE))</f>
        <v>#N/A</v>
      </c>
      <c r="T66" s="56">
        <f>'Process Model'!O178</f>
        <v>0</v>
      </c>
      <c r="U66" s="22" t="e">
        <f>IF(LEN(VLOOKUP(T66,A2:D500,4,FALSE))=0,,VLOOKUP(T66,A2:D500,4,FALSE))</f>
        <v>#N/A</v>
      </c>
      <c r="V66" s="56">
        <f>'Toxicological reference value M'!P180</f>
        <v>0</v>
      </c>
      <c r="W66" s="22" t="e">
        <f>IF(LEN(VLOOKUP(V66,A2:D500,4,FALSE))=0,,VLOOKUP(V66,A2:D500,4,FALSE))</f>
        <v>#N/A</v>
      </c>
      <c r="Y66" s="56">
        <f>'Other Empirical Model'!P191</f>
        <v>0</v>
      </c>
      <c r="Z66" s="22" t="e">
        <f>IF(LEN(VLOOKUP(Y66,A2:D500,4,FALSE))=0,,VLOOKUP(Y66,A2:D500,4,FALSE))</f>
        <v>#N/A</v>
      </c>
      <c r="AA66" s="56">
        <f>'Predictive Model'!P178</f>
        <v>0</v>
      </c>
      <c r="AB66" s="22" t="e">
        <f>IF(LEN(VLOOKUP(AA66,A2:D500,4,FALSE))=0,,VLOOKUP(AA66,A2:D500,4,FALSE))</f>
        <v>#N/A</v>
      </c>
      <c r="AC66" s="56">
        <f>'Consumption Model'!P183</f>
        <v>0</v>
      </c>
      <c r="AD66" s="22" t="e">
        <f>IF(LEN(VLOOKUP(AC66,A2:D500,4,FALSE))=0,,VLOOKUP(AC66,A2:D500,4,FALSE))</f>
        <v>#N/A</v>
      </c>
      <c r="AE66" s="22">
        <f>'(Data)'!P179</f>
        <v>0</v>
      </c>
      <c r="AF66" s="22" t="e">
        <f>IF(LEN(VLOOKUP(AE65:AE66,A2:D500,4,FALSE))=0,,VLOOKUP(AE65:AE66,A2:D500,4,FALSE))</f>
        <v>#N/A</v>
      </c>
      <c r="AH66" s="45">
        <f>'Risk Charact Model'!P197</f>
        <v>0</v>
      </c>
      <c r="AI66" s="58" t="e">
        <f>IF(LEN(VLOOKUP(AH66,A2:D500,4,FALSE))=0,,VLOOKUP(AH66,A2:D500,4,FALSE))</f>
        <v>#N/A</v>
      </c>
    </row>
    <row r="67" spans="9:35" ht="14" x14ac:dyDescent="0.3">
      <c r="I67" s="60">
        <f>'Generic Metadata Schema'!P197</f>
        <v>0</v>
      </c>
      <c r="J67" s="22" t="e">
        <f>IF(LEN(VLOOKUP(I67,A2:D500,4,FALSE))=0,"",VLOOKUP(I67,A2:D500,4,FALSE))</f>
        <v>#N/A</v>
      </c>
      <c r="L67" s="56">
        <f>'Dose-response Model'!O181</f>
        <v>0</v>
      </c>
      <c r="M67" s="22" t="e">
        <f>IF(LEN(VLOOKUP(L67,A2:D500,4,FALSE))=0,,VLOOKUP(L67,A2:D500,4,FALSE))</f>
        <v>#N/A</v>
      </c>
      <c r="N67" s="22">
        <f>'Exposure Model'!O198</f>
        <v>0</v>
      </c>
      <c r="O67" s="22" t="e">
        <f>IF(LEN(VLOOKUP(N67,A2:D500,4,FALSE))=0,,VLOOKUP(N67,A2:D500,4,FALSE))</f>
        <v>#N/A</v>
      </c>
      <c r="P67" s="55">
        <f>'QRA Models'!P198</f>
        <v>0</v>
      </c>
      <c r="Q67" s="22" t="e">
        <f>IF(LEN(VLOOKUP(P67,A2:D500,4,FALSE))=0,,VLOOKUP(P67,A2:D500,4,FALSE))</f>
        <v>#N/A</v>
      </c>
      <c r="R67" s="56">
        <f>'Health metrics Models'!Q181</f>
        <v>0</v>
      </c>
      <c r="S67" s="22" t="e">
        <f>IF(LEN(VLOOKUP(R67,A2:D500,4,FALSE))=0,,VLOOKUP(R67,A2:D500,4,FALSE))</f>
        <v>#N/A</v>
      </c>
      <c r="T67" s="56">
        <f>'Process Model'!O179</f>
        <v>0</v>
      </c>
      <c r="U67" s="22" t="e">
        <f>IF(LEN(VLOOKUP(T67,A2:D500,4,FALSE))=0,,VLOOKUP(T67,A2:D500,4,FALSE))</f>
        <v>#N/A</v>
      </c>
      <c r="V67" s="56">
        <f>'Toxicological reference value M'!P181</f>
        <v>0</v>
      </c>
      <c r="W67" s="22" t="e">
        <f>IF(LEN(VLOOKUP(V67,A2:D500,4,FALSE))=0,,VLOOKUP(V67,A2:D500,4,FALSE))</f>
        <v>#N/A</v>
      </c>
      <c r="Y67" s="56">
        <f>'Other Empirical Model'!P192</f>
        <v>0</v>
      </c>
      <c r="Z67" s="22" t="e">
        <f>IF(LEN(VLOOKUP(Y67,A2:D500,4,FALSE))=0,,VLOOKUP(Y67,A2:D500,4,FALSE))</f>
        <v>#N/A</v>
      </c>
      <c r="AA67" s="56">
        <f>'Predictive Model'!P179</f>
        <v>0</v>
      </c>
      <c r="AB67" s="22" t="e">
        <f>IF(LEN(VLOOKUP(AA67,A2:D500,4,FALSE))=0,,VLOOKUP(AA67,A2:D500,4,FALSE))</f>
        <v>#N/A</v>
      </c>
      <c r="AC67" s="56">
        <f>'Consumption Model'!P184</f>
        <v>0</v>
      </c>
      <c r="AD67" s="22" t="e">
        <f>IF(LEN(VLOOKUP(AC67,A2:D500,4,FALSE))=0,,VLOOKUP(AC67,A2:D500,4,FALSE))</f>
        <v>#N/A</v>
      </c>
      <c r="AE67" s="22">
        <f>'(Data)'!P180</f>
        <v>0</v>
      </c>
      <c r="AF67" s="22" t="e">
        <f>IF(LEN(VLOOKUP(AE66:AE67,A2:D500,4,FALSE))=0,,VLOOKUP(AE66:AE67,A2:D500,4,FALSE))</f>
        <v>#N/A</v>
      </c>
      <c r="AH67" s="45">
        <f>'Risk Charact Model'!P198</f>
        <v>0</v>
      </c>
      <c r="AI67" s="58" t="e">
        <f>IF(LEN(VLOOKUP(AH67,A2:D500,4,FALSE))=0,,VLOOKUP(AH67,A2:D500,4,FALSE))</f>
        <v>#N/A</v>
      </c>
    </row>
    <row r="68" spans="9:35" ht="14" x14ac:dyDescent="0.3">
      <c r="I68" s="60">
        <f>'Generic Metadata Schema'!P198</f>
        <v>0</v>
      </c>
      <c r="J68" s="22" t="e">
        <f>IF(LEN(VLOOKUP(I68,A2:D500,4,FALSE))=0,"",VLOOKUP(I68,A2:D500,4,FALSE))</f>
        <v>#N/A</v>
      </c>
      <c r="L68" s="56">
        <f>'Dose-response Model'!O182</f>
        <v>0</v>
      </c>
      <c r="M68" s="22" t="e">
        <f>IF(LEN(VLOOKUP(L68,A2:D500,4,FALSE))=0,,VLOOKUP(L68,A2:D500,4,FALSE))</f>
        <v>#N/A</v>
      </c>
      <c r="N68" s="22">
        <f>'Exposure Model'!O199</f>
        <v>0</v>
      </c>
      <c r="O68" s="22" t="e">
        <f>IF(LEN(VLOOKUP(N68,A2:D500,4,FALSE))=0,,VLOOKUP(N68,A2:D500,4,FALSE))</f>
        <v>#N/A</v>
      </c>
      <c r="P68" s="55">
        <f>'QRA Models'!P199</f>
        <v>0</v>
      </c>
      <c r="Q68" s="22" t="e">
        <f>IF(LEN(VLOOKUP(P68,A2:D500,4,FALSE))=0,,VLOOKUP(P68,A2:D500,4,FALSE))</f>
        <v>#N/A</v>
      </c>
      <c r="R68" s="56">
        <f>'Health metrics Models'!Q182</f>
        <v>0</v>
      </c>
      <c r="S68" s="22" t="e">
        <f>IF(LEN(VLOOKUP(R68,A2:D500,4,FALSE))=0,,VLOOKUP(R68,A2:D500,4,FALSE))</f>
        <v>#N/A</v>
      </c>
      <c r="T68" s="56">
        <f>'Process Model'!O180</f>
        <v>0</v>
      </c>
      <c r="U68" s="22" t="e">
        <f>IF(LEN(VLOOKUP(T68,A2:D500,4,FALSE))=0,,VLOOKUP(T68,A2:D500,4,FALSE))</f>
        <v>#N/A</v>
      </c>
      <c r="V68" s="56">
        <f>'Toxicological reference value M'!P182</f>
        <v>0</v>
      </c>
      <c r="W68" s="22" t="e">
        <f>IF(LEN(VLOOKUP(V68,A2:D500,4,FALSE))=0,,VLOOKUP(V68,A2:D500,4,FALSE))</f>
        <v>#N/A</v>
      </c>
      <c r="Y68" s="56">
        <f>'Other Empirical Model'!P193</f>
        <v>0</v>
      </c>
      <c r="Z68" s="22" t="e">
        <f>IF(LEN(VLOOKUP(Y68,A2:D500,4,FALSE))=0,,VLOOKUP(Y68,A2:D500,4,FALSE))</f>
        <v>#N/A</v>
      </c>
      <c r="AA68" s="56">
        <f>'Predictive Model'!P180</f>
        <v>0</v>
      </c>
      <c r="AB68" s="22" t="e">
        <f>IF(LEN(VLOOKUP(AA68,A2:D500,4,FALSE))=0,,VLOOKUP(AA68,A2:D500,4,FALSE))</f>
        <v>#N/A</v>
      </c>
      <c r="AC68" s="56">
        <f>'Consumption Model'!P185</f>
        <v>0</v>
      </c>
      <c r="AD68" s="22" t="e">
        <f>IF(LEN(VLOOKUP(AC68,A2:D500,4,FALSE))=0,,VLOOKUP(AC68,A2:D500,4,FALSE))</f>
        <v>#N/A</v>
      </c>
      <c r="AE68" s="22">
        <f>'(Data)'!P181</f>
        <v>0</v>
      </c>
      <c r="AF68" s="22" t="e">
        <f>IF(LEN(VLOOKUP(AE67:AE68,A2:D500,4,FALSE))=0,,VLOOKUP(AE67:AE68,A2:D500,4,FALSE))</f>
        <v>#N/A</v>
      </c>
      <c r="AH68" s="45">
        <f>'Risk Charact Model'!P199</f>
        <v>0</v>
      </c>
      <c r="AI68" s="58" t="e">
        <f>IF(LEN(VLOOKUP(AH68,A2:D500,4,FALSE))=0,,VLOOKUP(AH68,A2:D500,4,FALSE))</f>
        <v>#N/A</v>
      </c>
    </row>
    <row r="69" spans="9:35" ht="14" x14ac:dyDescent="0.3">
      <c r="I69" s="60">
        <f>'Generic Metadata Schema'!P199</f>
        <v>0</v>
      </c>
      <c r="J69" s="22" t="e">
        <f>IF(LEN(VLOOKUP(I69,A2:D500,4,FALSE))=0,"",VLOOKUP(I69,A2:D500,4,FALSE))</f>
        <v>#N/A</v>
      </c>
      <c r="L69" s="56">
        <f>'Dose-response Model'!O183</f>
        <v>0</v>
      </c>
      <c r="M69" s="22" t="e">
        <f>IF(LEN(VLOOKUP(L69,A2:D500,4,FALSE))=0,,VLOOKUP(L69,A2:D500,4,FALSE))</f>
        <v>#N/A</v>
      </c>
      <c r="N69" s="22">
        <f>'Exposure Model'!O200</f>
        <v>0</v>
      </c>
      <c r="O69" s="22" t="e">
        <f>IF(LEN(VLOOKUP(N69,A2:D500,4,FALSE))=0,,VLOOKUP(N69,A2:D500,4,FALSE))</f>
        <v>#N/A</v>
      </c>
      <c r="P69" s="55">
        <f>'QRA Models'!P200</f>
        <v>0</v>
      </c>
      <c r="Q69" s="22" t="e">
        <f>IF(LEN(VLOOKUP(P69,A2:D500,4,FALSE))=0,,VLOOKUP(P69,A2:D500,4,FALSE))</f>
        <v>#N/A</v>
      </c>
      <c r="R69" s="56">
        <f>'Health metrics Models'!Q183</f>
        <v>0</v>
      </c>
      <c r="S69" s="22" t="e">
        <f>IF(LEN(VLOOKUP(R69,A2:D500,4,FALSE))=0,,VLOOKUP(R69,A2:D500,4,FALSE))</f>
        <v>#N/A</v>
      </c>
      <c r="T69" s="56">
        <f>'Process Model'!O181</f>
        <v>0</v>
      </c>
      <c r="U69" s="22" t="e">
        <f>IF(LEN(VLOOKUP(T69,A2:D500,4,FALSE))=0,,VLOOKUP(T69,A2:D500,4,FALSE))</f>
        <v>#N/A</v>
      </c>
      <c r="V69" s="56">
        <f>'Toxicological reference value M'!P183</f>
        <v>0</v>
      </c>
      <c r="W69" s="22" t="e">
        <f>IF(LEN(VLOOKUP(V69,A2:D500,4,FALSE))=0,,VLOOKUP(V69,A2:D500,4,FALSE))</f>
        <v>#N/A</v>
      </c>
      <c r="Y69" s="56">
        <f>'Other Empirical Model'!P194</f>
        <v>0</v>
      </c>
      <c r="Z69" s="22" t="e">
        <f>IF(LEN(VLOOKUP(Y69,A2:D500,4,FALSE))=0,,VLOOKUP(Y69,A2:D500,4,FALSE))</f>
        <v>#N/A</v>
      </c>
      <c r="AA69" s="56">
        <f>'Predictive Model'!P181</f>
        <v>0</v>
      </c>
      <c r="AB69" s="22" t="e">
        <f>IF(LEN(VLOOKUP(AA69,A2:D500,4,FALSE))=0,,VLOOKUP(AA69,A2:D500,4,FALSE))</f>
        <v>#N/A</v>
      </c>
      <c r="AC69" s="56">
        <f>'Consumption Model'!P186</f>
        <v>0</v>
      </c>
      <c r="AD69" s="22" t="e">
        <f>IF(LEN(VLOOKUP(AC69,A2:D500,4,FALSE))=0,,VLOOKUP(AC69,A2:D500,4,FALSE))</f>
        <v>#N/A</v>
      </c>
      <c r="AE69" s="22">
        <f>'(Data)'!P182</f>
        <v>0</v>
      </c>
      <c r="AF69" s="22" t="e">
        <f>IF(LEN(VLOOKUP(AE68:AE69,A2:D500,4,FALSE))=0,,VLOOKUP(AE68:AE69,A2:D500,4,FALSE))</f>
        <v>#N/A</v>
      </c>
      <c r="AH69" s="45">
        <f>'Risk Charact Model'!P200</f>
        <v>0</v>
      </c>
      <c r="AI69" s="58" t="e">
        <f>IF(LEN(VLOOKUP(AH69,A2:D500,4,FALSE))=0,,VLOOKUP(AH69,A2:D500,4,FALSE))</f>
        <v>#N/A</v>
      </c>
    </row>
    <row r="70" spans="9:35" ht="14" x14ac:dyDescent="0.3">
      <c r="I70" s="60">
        <f>'Generic Metadata Schema'!P200</f>
        <v>0</v>
      </c>
      <c r="J70" s="22" t="e">
        <f>IF(LEN(VLOOKUP(I70,A2:D500,4,FALSE))=0,"",VLOOKUP(I70,A2:D500,4,FALSE))</f>
        <v>#N/A</v>
      </c>
      <c r="L70" s="56">
        <f>'Dose-response Model'!O184</f>
        <v>0</v>
      </c>
      <c r="M70" s="22" t="e">
        <f>IF(LEN(VLOOKUP(L70,A2:D500,4,FALSE))=0,,VLOOKUP(L70,A2:D500,4,FALSE))</f>
        <v>#N/A</v>
      </c>
      <c r="N70" s="22">
        <f>'Exposure Model'!O201</f>
        <v>0</v>
      </c>
      <c r="O70" s="22" t="e">
        <f>IF(LEN(VLOOKUP(N70,A2:D500,4,FALSE))=0,,VLOOKUP(N70,A2:D500,4,FALSE))</f>
        <v>#N/A</v>
      </c>
      <c r="P70" s="55">
        <f>'QRA Models'!P201</f>
        <v>0</v>
      </c>
      <c r="Q70" s="22" t="e">
        <f>IF(LEN(VLOOKUP(P70,A2:D500,4,FALSE))=0,,VLOOKUP(P70,A2:D500,4,FALSE))</f>
        <v>#N/A</v>
      </c>
      <c r="R70" s="56">
        <f>'Health metrics Models'!Q184</f>
        <v>0</v>
      </c>
      <c r="S70" s="22" t="e">
        <f>IF(LEN(VLOOKUP(R70,A2:D500,4,FALSE))=0,,VLOOKUP(R70,A2:D500,4,FALSE))</f>
        <v>#N/A</v>
      </c>
      <c r="T70" s="56">
        <f>'Process Model'!O182</f>
        <v>0</v>
      </c>
      <c r="U70" s="22" t="e">
        <f>IF(LEN(VLOOKUP(T70,A2:D500,4,FALSE))=0,,VLOOKUP(T70,A2:D500,4,FALSE))</f>
        <v>#N/A</v>
      </c>
      <c r="V70" s="56">
        <f>'Toxicological reference value M'!P184</f>
        <v>0</v>
      </c>
      <c r="W70" s="22" t="e">
        <f>IF(LEN(VLOOKUP(V70,A2:D500,4,FALSE))=0,,VLOOKUP(V70,A2:D500,4,FALSE))</f>
        <v>#N/A</v>
      </c>
      <c r="Y70" s="56">
        <f>'Other Empirical Model'!P195</f>
        <v>0</v>
      </c>
      <c r="Z70" s="22" t="e">
        <f>IF(LEN(VLOOKUP(Y70,A2:D500,4,FALSE))=0,,VLOOKUP(Y70,A2:D500,4,FALSE))</f>
        <v>#N/A</v>
      </c>
      <c r="AA70" s="56">
        <f>'Predictive Model'!P182</f>
        <v>0</v>
      </c>
      <c r="AB70" s="22" t="e">
        <f>IF(LEN(VLOOKUP(AA70,A2:D500,4,FALSE))=0,,VLOOKUP(AA70,A2:D500,4,FALSE))</f>
        <v>#N/A</v>
      </c>
      <c r="AC70" s="56">
        <f>'Consumption Model'!P187</f>
        <v>0</v>
      </c>
      <c r="AD70" s="22" t="e">
        <f>IF(LEN(VLOOKUP(AC70,A2:D500,4,FALSE))=0,,VLOOKUP(AC70,A2:D500,4,FALSE))</f>
        <v>#N/A</v>
      </c>
      <c r="AE70" s="22">
        <f>'(Data)'!P183</f>
        <v>0</v>
      </c>
      <c r="AF70" s="22" t="e">
        <f>IF(LEN(VLOOKUP(AE69:AE70,A2:D500,4,FALSE))=0,,VLOOKUP(AE69:AE70,A2:D500,4,FALSE))</f>
        <v>#N/A</v>
      </c>
      <c r="AH70" s="45">
        <f>'Risk Charact Model'!P201</f>
        <v>0</v>
      </c>
      <c r="AI70" s="58" t="e">
        <f>IF(LEN(VLOOKUP(AH70,A2:D500,4,FALSE))=0,,VLOOKUP(AH70,A2:D500,4,FALSE))</f>
        <v>#N/A</v>
      </c>
    </row>
    <row r="71" spans="9:35" ht="14" x14ac:dyDescent="0.3">
      <c r="I71" s="60">
        <f>'Generic Metadata Schema'!P201</f>
        <v>0</v>
      </c>
      <c r="J71" s="22" t="e">
        <f>IF(LEN(VLOOKUP(I71,A2:D500,4,FALSE))=0,"",VLOOKUP(I71,A2:D500,4,FALSE))</f>
        <v>#N/A</v>
      </c>
      <c r="L71" s="56">
        <f>'Dose-response Model'!O185</f>
        <v>0</v>
      </c>
      <c r="M71" s="22" t="e">
        <f>IF(LEN(VLOOKUP(L71,A2:D500,4,FALSE))=0,,VLOOKUP(L71,A2:D500,4,FALSE))</f>
        <v>#N/A</v>
      </c>
      <c r="N71" s="22">
        <f>'Exposure Model'!O202</f>
        <v>0</v>
      </c>
      <c r="O71" s="22" t="e">
        <f>IF(LEN(VLOOKUP(N71,A2:D500,4,FALSE))=0,,VLOOKUP(N71,A2:D500,4,FALSE))</f>
        <v>#N/A</v>
      </c>
      <c r="P71" s="55">
        <f>'QRA Models'!P202</f>
        <v>0</v>
      </c>
      <c r="Q71" s="22" t="e">
        <f>IF(LEN(VLOOKUP(P71,A2:D500,4,FALSE))=0,,VLOOKUP(P71,A2:D500,4,FALSE))</f>
        <v>#N/A</v>
      </c>
      <c r="R71" s="56">
        <f>'Health metrics Models'!Q185</f>
        <v>0</v>
      </c>
      <c r="S71" s="22" t="e">
        <f>IF(LEN(VLOOKUP(R71,A2:D500,4,FALSE))=0,,VLOOKUP(R71,A2:D500,4,FALSE))</f>
        <v>#N/A</v>
      </c>
      <c r="T71" s="56">
        <f>'Process Model'!O183</f>
        <v>0</v>
      </c>
      <c r="U71" s="22" t="e">
        <f>IF(LEN(VLOOKUP(T71,A2:D500,4,FALSE))=0,,VLOOKUP(T71,A2:D500,4,FALSE))</f>
        <v>#N/A</v>
      </c>
      <c r="V71" s="56">
        <f>'Toxicological reference value M'!P185</f>
        <v>0</v>
      </c>
      <c r="W71" s="22" t="e">
        <f>IF(LEN(VLOOKUP(V71,A2:D500,4,FALSE))=0,,VLOOKUP(V71,A2:D500,4,FALSE))</f>
        <v>#N/A</v>
      </c>
      <c r="Y71" s="56">
        <f>'Other Empirical Model'!P196</f>
        <v>0</v>
      </c>
      <c r="Z71" s="22" t="e">
        <f>IF(LEN(VLOOKUP(Y71,A2:D500,4,FALSE))=0,,VLOOKUP(Y71,A2:D500,4,FALSE))</f>
        <v>#N/A</v>
      </c>
      <c r="AA71" s="56">
        <f>'Predictive Model'!P183</f>
        <v>0</v>
      </c>
      <c r="AB71" s="22" t="e">
        <f>IF(LEN(VLOOKUP(AA71,A2:D500,4,FALSE))=0,,VLOOKUP(AA71,A2:D500,4,FALSE))</f>
        <v>#N/A</v>
      </c>
      <c r="AC71" s="56">
        <f>'Consumption Model'!P188</f>
        <v>0</v>
      </c>
      <c r="AD71" s="22" t="e">
        <f>IF(LEN(VLOOKUP(AC71,A2:D500,4,FALSE))=0,,VLOOKUP(AC71,A2:D500,4,FALSE))</f>
        <v>#N/A</v>
      </c>
      <c r="AE71" s="22">
        <f>'(Data)'!P184</f>
        <v>0</v>
      </c>
      <c r="AF71" s="22" t="e">
        <f>IF(LEN(VLOOKUP(AE70:AE71,A2:D500,4,FALSE))=0,,VLOOKUP(AE70:AE71,A2:D500,4,FALSE))</f>
        <v>#N/A</v>
      </c>
      <c r="AH71" s="45">
        <f>'Risk Charact Model'!P202</f>
        <v>0</v>
      </c>
      <c r="AI71" s="58" t="e">
        <f>IF(LEN(VLOOKUP(AH71,A2:D500,4,FALSE))=0,,VLOOKUP(AH71,A2:D500,4,FALSE))</f>
        <v>#N/A</v>
      </c>
    </row>
    <row r="72" spans="9:35" ht="14" x14ac:dyDescent="0.3">
      <c r="I72" s="60">
        <f>'Generic Metadata Schema'!P202</f>
        <v>0</v>
      </c>
      <c r="J72" s="22" t="e">
        <f>IF(LEN(VLOOKUP(I72,A2:D500,4,FALSE))=0,"",VLOOKUP(I72,A2:D500,4,FALSE))</f>
        <v>#N/A</v>
      </c>
      <c r="L72" s="56">
        <f>'Dose-response Model'!O186</f>
        <v>0</v>
      </c>
      <c r="M72" s="22" t="e">
        <f>IF(LEN(VLOOKUP(L72,A2:D500,4,FALSE))=0,,VLOOKUP(L72,A2:D500,4,FALSE))</f>
        <v>#N/A</v>
      </c>
      <c r="N72" s="22">
        <f>'Exposure Model'!O203</f>
        <v>0</v>
      </c>
      <c r="O72" s="22" t="e">
        <f>IF(LEN(VLOOKUP(N72,A2:D500,4,FALSE))=0,,VLOOKUP(N72,A2:D500,4,FALSE))</f>
        <v>#N/A</v>
      </c>
      <c r="P72" s="55">
        <f>'QRA Models'!P203</f>
        <v>0</v>
      </c>
      <c r="Q72" s="22" t="e">
        <f>IF(LEN(VLOOKUP(P72,A2:D500,4,FALSE))=0,,VLOOKUP(P72,A2:D500,4,FALSE))</f>
        <v>#N/A</v>
      </c>
      <c r="R72" s="56">
        <f>'Health metrics Models'!Q186</f>
        <v>0</v>
      </c>
      <c r="S72" s="22" t="e">
        <f>IF(LEN(VLOOKUP(R72,A2:D500,4,FALSE))=0,,VLOOKUP(R72,A2:D500,4,FALSE))</f>
        <v>#N/A</v>
      </c>
      <c r="T72" s="56">
        <f>'Process Model'!O184</f>
        <v>0</v>
      </c>
      <c r="U72" s="22" t="e">
        <f>IF(LEN(VLOOKUP(T72,A2:D500,4,FALSE))=0,,VLOOKUP(T72,A2:D500,4,FALSE))</f>
        <v>#N/A</v>
      </c>
      <c r="V72" s="56">
        <f>'Toxicological reference value M'!P186</f>
        <v>0</v>
      </c>
      <c r="W72" s="22" t="e">
        <f>IF(LEN(VLOOKUP(V72,A2:D500,4,FALSE))=0,,VLOOKUP(V72,A2:D500,4,FALSE))</f>
        <v>#N/A</v>
      </c>
      <c r="Y72" s="56">
        <f>'Other Empirical Model'!P197</f>
        <v>0</v>
      </c>
      <c r="Z72" s="22" t="e">
        <f>IF(LEN(VLOOKUP(Y72,A2:D500,4,FALSE))=0,,VLOOKUP(Y72,A2:D500,4,FALSE))</f>
        <v>#N/A</v>
      </c>
      <c r="AA72" s="56">
        <f>'Predictive Model'!P184</f>
        <v>0</v>
      </c>
      <c r="AB72" s="22" t="e">
        <f>IF(LEN(VLOOKUP(AA72,A2:D500,4,FALSE))=0,,VLOOKUP(AA72,A2:D500,4,FALSE))</f>
        <v>#N/A</v>
      </c>
      <c r="AC72" s="56">
        <f>'Consumption Model'!P189</f>
        <v>0</v>
      </c>
      <c r="AD72" s="22" t="e">
        <f>IF(LEN(VLOOKUP(AC72,A2:D500,4,FALSE))=0,,VLOOKUP(AC72,A2:D500,4,FALSE))</f>
        <v>#N/A</v>
      </c>
      <c r="AE72" s="22">
        <f>'(Data)'!P185</f>
        <v>0</v>
      </c>
      <c r="AF72" s="22" t="e">
        <f>IF(LEN(VLOOKUP(AE71:AE72,A2:D500,4,FALSE))=0,,VLOOKUP(AE71:AE72,A2:D500,4,FALSE))</f>
        <v>#N/A</v>
      </c>
      <c r="AH72" s="45">
        <f>'Risk Charact Model'!P203</f>
        <v>0</v>
      </c>
      <c r="AI72" s="58" t="e">
        <f>IF(LEN(VLOOKUP(AH72,A2:D500,4,FALSE))=0,,VLOOKUP(AH72,A2:D500,4,FALSE))</f>
        <v>#N/A</v>
      </c>
    </row>
    <row r="73" spans="9:35" ht="14" x14ac:dyDescent="0.3">
      <c r="I73" s="60">
        <f>'Generic Metadata Schema'!P203</f>
        <v>0</v>
      </c>
      <c r="J73" s="22" t="e">
        <f>IF(LEN(VLOOKUP(I73,A2:D500,4,FALSE))=0,"",VLOOKUP(I73,A2:D500,4,FALSE))</f>
        <v>#N/A</v>
      </c>
      <c r="L73" s="56">
        <f>'Dose-response Model'!O187</f>
        <v>0</v>
      </c>
      <c r="M73" s="22" t="e">
        <f>IF(LEN(VLOOKUP(L73,A2:D500,4,FALSE))=0,,VLOOKUP(L73,A2:D500,4,FALSE))</f>
        <v>#N/A</v>
      </c>
      <c r="N73" s="22">
        <f>'Exposure Model'!O204</f>
        <v>0</v>
      </c>
      <c r="O73" s="22" t="e">
        <f>IF(LEN(VLOOKUP(N73,A2:D500,4,FALSE))=0,,VLOOKUP(N73,A2:D500,4,FALSE))</f>
        <v>#N/A</v>
      </c>
      <c r="P73" s="55">
        <f>'QRA Models'!P204</f>
        <v>0</v>
      </c>
      <c r="Q73" s="22" t="e">
        <f>IF(LEN(VLOOKUP(P73,A2:D500,4,FALSE))=0,,VLOOKUP(P73,A2:D500,4,FALSE))</f>
        <v>#N/A</v>
      </c>
      <c r="R73" s="56">
        <f>'Health metrics Models'!Q187</f>
        <v>0</v>
      </c>
      <c r="S73" s="22" t="e">
        <f>IF(LEN(VLOOKUP(R73,A2:D500,4,FALSE))=0,,VLOOKUP(R73,A2:D500,4,FALSE))</f>
        <v>#N/A</v>
      </c>
      <c r="T73" s="56">
        <f>'Process Model'!O185</f>
        <v>0</v>
      </c>
      <c r="U73" s="22" t="e">
        <f>IF(LEN(VLOOKUP(T73,A2:D500,4,FALSE))=0,,VLOOKUP(T73,A2:D500,4,FALSE))</f>
        <v>#N/A</v>
      </c>
      <c r="V73" s="56">
        <f>'Toxicological reference value M'!P187</f>
        <v>0</v>
      </c>
      <c r="W73" s="22" t="e">
        <f>IF(LEN(VLOOKUP(V73,A2:D500,4,FALSE))=0,,VLOOKUP(V73,A2:D500,4,FALSE))</f>
        <v>#N/A</v>
      </c>
      <c r="Y73" s="56">
        <f>'Other Empirical Model'!P198</f>
        <v>0</v>
      </c>
      <c r="Z73" s="22" t="e">
        <f>IF(LEN(VLOOKUP(Y73,A2:D500,4,FALSE))=0,,VLOOKUP(Y73,A2:D500,4,FALSE))</f>
        <v>#N/A</v>
      </c>
      <c r="AA73" s="56">
        <f>'Predictive Model'!P185</f>
        <v>0</v>
      </c>
      <c r="AB73" s="22" t="e">
        <f>IF(LEN(VLOOKUP(AA73,A2:D500,4,FALSE))=0,,VLOOKUP(AA73,A2:D500,4,FALSE))</f>
        <v>#N/A</v>
      </c>
      <c r="AC73" s="56">
        <f>'Consumption Model'!P190</f>
        <v>0</v>
      </c>
      <c r="AD73" s="22" t="e">
        <f>IF(LEN(VLOOKUP(AC73,A2:D500,4,FALSE))=0,,VLOOKUP(AC73,A2:D500,4,FALSE))</f>
        <v>#N/A</v>
      </c>
      <c r="AE73" s="22">
        <f>'(Data)'!P186</f>
        <v>0</v>
      </c>
      <c r="AF73" s="22" t="e">
        <f>IF(LEN(VLOOKUP(AE72:AE73,A2:D500,4,FALSE))=0,,VLOOKUP(AE72:AE73,A2:D500,4,FALSE))</f>
        <v>#N/A</v>
      </c>
      <c r="AH73" s="45">
        <f>'Risk Charact Model'!P204</f>
        <v>0</v>
      </c>
      <c r="AI73" s="58" t="e">
        <f>IF(LEN(VLOOKUP(AH73,A2:D500,4,FALSE))=0,,VLOOKUP(AH73,A2:D500,4,FALSE))</f>
        <v>#N/A</v>
      </c>
    </row>
    <row r="74" spans="9:35" ht="14" x14ac:dyDescent="0.3">
      <c r="I74" s="60">
        <f>'Generic Metadata Schema'!P204</f>
        <v>0</v>
      </c>
      <c r="J74" s="22" t="e">
        <f>IF(LEN(VLOOKUP(I74,A2:D500,4,FALSE))=0,"",VLOOKUP(I74,A2:D500,4,FALSE))</f>
        <v>#N/A</v>
      </c>
      <c r="L74" s="56">
        <f>'Dose-response Model'!O188</f>
        <v>0</v>
      </c>
      <c r="M74" s="22" t="e">
        <f>IF(LEN(VLOOKUP(L74,A2:D500,4,FALSE))=0,,VLOOKUP(L74,A2:D500,4,FALSE))</f>
        <v>#N/A</v>
      </c>
      <c r="N74" s="22">
        <f>'Exposure Model'!O205</f>
        <v>0</v>
      </c>
      <c r="O74" s="22" t="e">
        <f>IF(LEN(VLOOKUP(N74,A2:D500,4,FALSE))=0,,VLOOKUP(N74,A2:D500,4,FALSE))</f>
        <v>#N/A</v>
      </c>
      <c r="P74" s="55">
        <f>'QRA Models'!P205</f>
        <v>0</v>
      </c>
      <c r="Q74" s="22" t="e">
        <f>IF(LEN(VLOOKUP(P74,A2:D500,4,FALSE))=0,,VLOOKUP(P74,A2:D500,4,FALSE))</f>
        <v>#N/A</v>
      </c>
      <c r="R74" s="56">
        <f>'Health metrics Models'!Q188</f>
        <v>0</v>
      </c>
      <c r="S74" s="22" t="e">
        <f>IF(LEN(VLOOKUP(R74,A2:D500,4,FALSE))=0,,VLOOKUP(R74,A2:D500,4,FALSE))</f>
        <v>#N/A</v>
      </c>
      <c r="T74" s="56">
        <f>'Process Model'!O186</f>
        <v>0</v>
      </c>
      <c r="U74" s="22" t="e">
        <f>IF(LEN(VLOOKUP(T74,A2:D500,4,FALSE))=0,,VLOOKUP(T74,A2:D500,4,FALSE))</f>
        <v>#N/A</v>
      </c>
      <c r="V74" s="56">
        <f>'Toxicological reference value M'!P188</f>
        <v>0</v>
      </c>
      <c r="W74" s="22" t="e">
        <f>IF(LEN(VLOOKUP(V74,A2:D500,4,FALSE))=0,,VLOOKUP(V74,A2:D500,4,FALSE))</f>
        <v>#N/A</v>
      </c>
      <c r="Y74" s="56">
        <f>'Other Empirical Model'!P199</f>
        <v>0</v>
      </c>
      <c r="Z74" s="22" t="e">
        <f>IF(LEN(VLOOKUP(Y74,A2:D500,4,FALSE))=0,,VLOOKUP(Y74,A2:D500,4,FALSE))</f>
        <v>#N/A</v>
      </c>
      <c r="AA74" s="56">
        <f>'Predictive Model'!P186</f>
        <v>0</v>
      </c>
      <c r="AB74" s="22" t="e">
        <f>IF(LEN(VLOOKUP(AA74,A2:D500,4,FALSE))=0,,VLOOKUP(AA74,A2:D500,4,FALSE))</f>
        <v>#N/A</v>
      </c>
      <c r="AC74" s="56">
        <f>'Consumption Model'!P191</f>
        <v>0</v>
      </c>
      <c r="AD74" s="22" t="e">
        <f>IF(LEN(VLOOKUP(AC74,A2:D500,4,FALSE))=0,,VLOOKUP(AC74,A2:D500,4,FALSE))</f>
        <v>#N/A</v>
      </c>
      <c r="AE74" s="22">
        <f>'(Data)'!P187</f>
        <v>0</v>
      </c>
      <c r="AF74" s="22" t="e">
        <f>IF(LEN(VLOOKUP(AE73:AE74,A2:D500,4,FALSE))=0,,VLOOKUP(AE73:AE74,A2:D500,4,FALSE))</f>
        <v>#N/A</v>
      </c>
      <c r="AH74" s="45">
        <f>'Risk Charact Model'!P205</f>
        <v>0</v>
      </c>
      <c r="AI74" s="58" t="e">
        <f>IF(LEN(VLOOKUP(AH74,A2:D500,4,FALSE))=0,,VLOOKUP(AH74,A2:D500,4,FALSE))</f>
        <v>#N/A</v>
      </c>
    </row>
    <row r="75" spans="9:35" ht="14" x14ac:dyDescent="0.3">
      <c r="I75" s="60">
        <f>'Generic Metadata Schema'!P205</f>
        <v>0</v>
      </c>
      <c r="J75" s="22" t="e">
        <f>IF(LEN(VLOOKUP(I75,A2:D500,4,FALSE))=0,"",VLOOKUP(I75,A2:D500,4,FALSE))</f>
        <v>#N/A</v>
      </c>
      <c r="L75" s="56">
        <f>'Dose-response Model'!O189</f>
        <v>0</v>
      </c>
      <c r="M75" s="22" t="e">
        <f>IF(LEN(VLOOKUP(L75,A2:D500,4,FALSE))=0,,VLOOKUP(L75,A2:D500,4,FALSE))</f>
        <v>#N/A</v>
      </c>
      <c r="N75" s="22">
        <f>'Exposure Model'!O206</f>
        <v>0</v>
      </c>
      <c r="O75" s="22" t="e">
        <f>IF(LEN(VLOOKUP(N75,A2:D500,4,FALSE))=0,,VLOOKUP(N75,A2:D500,4,FALSE))</f>
        <v>#N/A</v>
      </c>
      <c r="P75" s="55">
        <f>'QRA Models'!P206</f>
        <v>0</v>
      </c>
      <c r="Q75" s="22" t="e">
        <f>IF(LEN(VLOOKUP(P75,A2:D500,4,FALSE))=0,,VLOOKUP(P75,A2:D500,4,FALSE))</f>
        <v>#N/A</v>
      </c>
      <c r="R75" s="56">
        <f>'Health metrics Models'!Q189</f>
        <v>0</v>
      </c>
      <c r="S75" s="22" t="e">
        <f>IF(LEN(VLOOKUP(R75,A2:D500,4,FALSE))=0,,VLOOKUP(R75,A2:D500,4,FALSE))</f>
        <v>#N/A</v>
      </c>
      <c r="T75" s="56">
        <f>'Process Model'!O187</f>
        <v>0</v>
      </c>
      <c r="U75" s="22" t="e">
        <f>IF(LEN(VLOOKUP(T75,A2:D500,4,FALSE))=0,,VLOOKUP(T75,A2:D500,4,FALSE))</f>
        <v>#N/A</v>
      </c>
      <c r="V75" s="56">
        <f>'Toxicological reference value M'!P189</f>
        <v>0</v>
      </c>
      <c r="W75" s="22" t="e">
        <f>IF(LEN(VLOOKUP(V75,A2:D500,4,FALSE))=0,,VLOOKUP(V75,A2:D500,4,FALSE))</f>
        <v>#N/A</v>
      </c>
      <c r="Y75" s="56">
        <f>'Other Empirical Model'!P200</f>
        <v>0</v>
      </c>
      <c r="Z75" s="22" t="e">
        <f>IF(LEN(VLOOKUP(Y75,A2:D500,4,FALSE))=0,,VLOOKUP(Y75,A2:D500,4,FALSE))</f>
        <v>#N/A</v>
      </c>
      <c r="AA75" s="56">
        <f>'Predictive Model'!P187</f>
        <v>0</v>
      </c>
      <c r="AB75" s="22" t="e">
        <f>IF(LEN(VLOOKUP(AA75,A2:D500,4,FALSE))=0,,VLOOKUP(AA75,A2:D500,4,FALSE))</f>
        <v>#N/A</v>
      </c>
      <c r="AC75" s="56">
        <f>'Consumption Model'!P192</f>
        <v>0</v>
      </c>
      <c r="AD75" s="22" t="e">
        <f>IF(LEN(VLOOKUP(AC75,A2:D500,4,FALSE))=0,,VLOOKUP(AC75,A2:D500,4,FALSE))</f>
        <v>#N/A</v>
      </c>
      <c r="AE75" s="22">
        <f>'(Data)'!P188</f>
        <v>0</v>
      </c>
      <c r="AF75" s="22" t="e">
        <f>IF(LEN(VLOOKUP(AE74:AE75,A2:D500,4,FALSE))=0,,VLOOKUP(AE74:AE75,A2:D500,4,FALSE))</f>
        <v>#N/A</v>
      </c>
      <c r="AH75" s="45">
        <f>'Risk Charact Model'!P206</f>
        <v>0</v>
      </c>
      <c r="AI75" s="58" t="e">
        <f>IF(LEN(VLOOKUP(AH75,A2:D500,4,FALSE))=0,,VLOOKUP(AH75,A2:D500,4,FALSE))</f>
        <v>#N/A</v>
      </c>
    </row>
    <row r="76" spans="9:35" ht="14" x14ac:dyDescent="0.3">
      <c r="I76" s="60">
        <f>'Generic Metadata Schema'!P206</f>
        <v>0</v>
      </c>
      <c r="J76" s="22" t="e">
        <f>IF(LEN(VLOOKUP(I76,A2:D500,4,FALSE))=0,"",VLOOKUP(I76,A2:D500,4,FALSE))</f>
        <v>#N/A</v>
      </c>
      <c r="L76" s="56">
        <f>'Dose-response Model'!O190</f>
        <v>0</v>
      </c>
      <c r="M76" s="22" t="e">
        <f>IF(LEN(VLOOKUP(L76,A2:D500,4,FALSE))=0,,VLOOKUP(L76,A2:D500,4,FALSE))</f>
        <v>#N/A</v>
      </c>
      <c r="N76" s="22">
        <f>'Exposure Model'!O207</f>
        <v>0</v>
      </c>
      <c r="O76" s="22" t="e">
        <f>IF(LEN(VLOOKUP(N76,A2:D500,4,FALSE))=0,,VLOOKUP(N76,A2:D500,4,FALSE))</f>
        <v>#N/A</v>
      </c>
      <c r="P76" s="55">
        <f>'QRA Models'!P207</f>
        <v>0</v>
      </c>
      <c r="Q76" s="22" t="e">
        <f>IF(LEN(VLOOKUP(P76,A2:D500,4,FALSE))=0,,VLOOKUP(P76,A2:D500,4,FALSE))</f>
        <v>#N/A</v>
      </c>
      <c r="R76" s="56">
        <f>'Health metrics Models'!Q190</f>
        <v>0</v>
      </c>
      <c r="S76" s="22" t="e">
        <f>IF(LEN(VLOOKUP(R76,A2:D500,4,FALSE))=0,,VLOOKUP(R76,A2:D500,4,FALSE))</f>
        <v>#N/A</v>
      </c>
      <c r="T76" s="56">
        <f>'Process Model'!O188</f>
        <v>0</v>
      </c>
      <c r="U76" s="22" t="e">
        <f>IF(LEN(VLOOKUP(T76,A2:D500,4,FALSE))=0,,VLOOKUP(T76,A2:D500,4,FALSE))</f>
        <v>#N/A</v>
      </c>
      <c r="V76" s="56">
        <f>'Toxicological reference value M'!P190</f>
        <v>0</v>
      </c>
      <c r="W76" s="22" t="e">
        <f>IF(LEN(VLOOKUP(V76,A2:D500,4,FALSE))=0,,VLOOKUP(V76,A2:D500,4,FALSE))</f>
        <v>#N/A</v>
      </c>
      <c r="Y76" s="56">
        <f>'Other Empirical Model'!P201</f>
        <v>0</v>
      </c>
      <c r="Z76" s="22" t="e">
        <f>IF(LEN(VLOOKUP(Y76,A2:D500,4,FALSE))=0,,VLOOKUP(Y76,A2:D500,4,FALSE))</f>
        <v>#N/A</v>
      </c>
      <c r="AA76" s="56">
        <f>'Predictive Model'!P188</f>
        <v>0</v>
      </c>
      <c r="AB76" s="22" t="e">
        <f>IF(LEN(VLOOKUP(AA76,A2:D500,4,FALSE))=0,,VLOOKUP(AA76,A2:D500,4,FALSE))</f>
        <v>#N/A</v>
      </c>
      <c r="AC76" s="56">
        <f>'Consumption Model'!P193</f>
        <v>0</v>
      </c>
      <c r="AD76" s="22" t="e">
        <f>IF(LEN(VLOOKUP(AC76,A2:D500,4,FALSE))=0,,VLOOKUP(AC76,A2:D500,4,FALSE))</f>
        <v>#N/A</v>
      </c>
      <c r="AE76" s="22">
        <f>'(Data)'!P189</f>
        <v>0</v>
      </c>
      <c r="AF76" s="22" t="e">
        <f>IF(LEN(VLOOKUP(AE75:AE76,A2:D500,4,FALSE))=0,,VLOOKUP(AE75:AE76,A2:D500,4,FALSE))</f>
        <v>#N/A</v>
      </c>
      <c r="AH76" s="45">
        <f>'Risk Charact Model'!P207</f>
        <v>0</v>
      </c>
      <c r="AI76" s="58" t="e">
        <f>IF(LEN(VLOOKUP(AH76,A2:D500,4,FALSE))=0,,VLOOKUP(AH76,A2:D500,4,FALSE))</f>
        <v>#N/A</v>
      </c>
    </row>
    <row r="77" spans="9:35" ht="14" x14ac:dyDescent="0.3">
      <c r="I77" s="60">
        <f>'Generic Metadata Schema'!P207</f>
        <v>0</v>
      </c>
      <c r="J77" s="22" t="e">
        <f>IF(LEN(VLOOKUP(I77,A2:D500,4,FALSE))=0,"",VLOOKUP(I77,A2:D500,4,FALSE))</f>
        <v>#N/A</v>
      </c>
      <c r="L77" s="56">
        <f>'Dose-response Model'!O191</f>
        <v>0</v>
      </c>
      <c r="M77" s="22" t="e">
        <f>IF(LEN(VLOOKUP(L77,A2:D500,4,FALSE))=0,,VLOOKUP(L77,A2:D500,4,FALSE))</f>
        <v>#N/A</v>
      </c>
      <c r="N77" s="22">
        <f>'Exposure Model'!O208</f>
        <v>0</v>
      </c>
      <c r="O77" s="22" t="e">
        <f>IF(LEN(VLOOKUP(N77,A2:D500,4,FALSE))=0,,VLOOKUP(N77,A2:D500,4,FALSE))</f>
        <v>#N/A</v>
      </c>
      <c r="P77" s="55">
        <f>'QRA Models'!P208</f>
        <v>0</v>
      </c>
      <c r="Q77" s="22" t="e">
        <f>IF(LEN(VLOOKUP(P77,A2:D500,4,FALSE))=0,,VLOOKUP(P77,A2:D500,4,FALSE))</f>
        <v>#N/A</v>
      </c>
      <c r="R77" s="56">
        <f>'Health metrics Models'!Q191</f>
        <v>0</v>
      </c>
      <c r="S77" s="22" t="e">
        <f>IF(LEN(VLOOKUP(R77,A2:D500,4,FALSE))=0,,VLOOKUP(R77,A2:D500,4,FALSE))</f>
        <v>#N/A</v>
      </c>
      <c r="T77" s="56">
        <f>'Process Model'!O189</f>
        <v>0</v>
      </c>
      <c r="U77" s="22" t="e">
        <f>IF(LEN(VLOOKUP(T77,A2:D500,4,FALSE))=0,,VLOOKUP(T77,A2:D500,4,FALSE))</f>
        <v>#N/A</v>
      </c>
      <c r="V77" s="56">
        <f>'Toxicological reference value M'!P191</f>
        <v>0</v>
      </c>
      <c r="W77" s="22" t="e">
        <f>IF(LEN(VLOOKUP(V77,A2:D500,4,FALSE))=0,,VLOOKUP(V77,A2:D500,4,FALSE))</f>
        <v>#N/A</v>
      </c>
      <c r="Y77" s="56">
        <f>'Other Empirical Model'!P202</f>
        <v>0</v>
      </c>
      <c r="Z77" s="22" t="e">
        <f>IF(LEN(VLOOKUP(Y77,A2:D500,4,FALSE))=0,,VLOOKUP(Y77,A2:D500,4,FALSE))</f>
        <v>#N/A</v>
      </c>
      <c r="AA77" s="56">
        <f>'Predictive Model'!P189</f>
        <v>0</v>
      </c>
      <c r="AB77" s="22" t="e">
        <f>IF(LEN(VLOOKUP(AA77,A2:D500,4,FALSE))=0,,VLOOKUP(AA77,A2:D500,4,FALSE))</f>
        <v>#N/A</v>
      </c>
      <c r="AC77" s="56">
        <f>'Consumption Model'!P194</f>
        <v>0</v>
      </c>
      <c r="AD77" s="22" t="e">
        <f>IF(LEN(VLOOKUP(AC77,A2:D500,4,FALSE))=0,,VLOOKUP(AC77,A2:D500,4,FALSE))</f>
        <v>#N/A</v>
      </c>
      <c r="AE77" s="22">
        <f>'(Data)'!P190</f>
        <v>0</v>
      </c>
      <c r="AF77" s="22" t="e">
        <f>IF(LEN(VLOOKUP(AE76:AE77,A2:D500,4,FALSE))=0,,VLOOKUP(AE76:AE77,A2:D500,4,FALSE))</f>
        <v>#N/A</v>
      </c>
      <c r="AH77" s="45">
        <f>'Risk Charact Model'!P208</f>
        <v>0</v>
      </c>
      <c r="AI77" s="58" t="e">
        <f>IF(LEN(VLOOKUP(AH77,A2:D500,4,FALSE))=0,,VLOOKUP(AH77,A2:D500,4,FALSE))</f>
        <v>#N/A</v>
      </c>
    </row>
    <row r="78" spans="9:35" ht="14" x14ac:dyDescent="0.3">
      <c r="I78" s="60">
        <f>'Generic Metadata Schema'!P208</f>
        <v>0</v>
      </c>
      <c r="J78" s="22" t="e">
        <f>IF(LEN(VLOOKUP(I78,A2:D500,4,FALSE))=0,"",VLOOKUP(I78,A2:D500,4,FALSE))</f>
        <v>#N/A</v>
      </c>
      <c r="L78" s="56">
        <f>'Dose-response Model'!O192</f>
        <v>0</v>
      </c>
      <c r="M78" s="22" t="e">
        <f>IF(LEN(VLOOKUP(L78,A2:D500,4,FALSE))=0,,VLOOKUP(L78,A2:D500,4,FALSE))</f>
        <v>#N/A</v>
      </c>
      <c r="N78" s="22">
        <f>'Exposure Model'!O209</f>
        <v>0</v>
      </c>
      <c r="O78" s="22" t="e">
        <f>IF(LEN(VLOOKUP(N78,A2:D500,4,FALSE))=0,,VLOOKUP(N78,A2:D500,4,FALSE))</f>
        <v>#N/A</v>
      </c>
      <c r="P78" s="55">
        <f>'QRA Models'!P209</f>
        <v>0</v>
      </c>
      <c r="Q78" s="22" t="e">
        <f>IF(LEN(VLOOKUP(P78,A2:D500,4,FALSE))=0,,VLOOKUP(P78,A2:D500,4,FALSE))</f>
        <v>#N/A</v>
      </c>
      <c r="R78" s="56">
        <f>'Health metrics Models'!Q192</f>
        <v>0</v>
      </c>
      <c r="S78" s="22" t="e">
        <f>IF(LEN(VLOOKUP(R78,A2:D500,4,FALSE))=0,,VLOOKUP(R78,A2:D500,4,FALSE))</f>
        <v>#N/A</v>
      </c>
      <c r="T78" s="56">
        <f>'Process Model'!O190</f>
        <v>0</v>
      </c>
      <c r="U78" s="22" t="e">
        <f>IF(LEN(VLOOKUP(T78,A2:D500,4,FALSE))=0,,VLOOKUP(T78,A2:D500,4,FALSE))</f>
        <v>#N/A</v>
      </c>
      <c r="V78" s="56">
        <f>'Toxicological reference value M'!P192</f>
        <v>0</v>
      </c>
      <c r="W78" s="22" t="e">
        <f>IF(LEN(VLOOKUP(V78,A2:D500,4,FALSE))=0,,VLOOKUP(V78,A2:D500,4,FALSE))</f>
        <v>#N/A</v>
      </c>
      <c r="Y78" s="56">
        <f>'Other Empirical Model'!P203</f>
        <v>0</v>
      </c>
      <c r="Z78" s="22" t="e">
        <f>IF(LEN(VLOOKUP(Y78,A2:D500,4,FALSE))=0,,VLOOKUP(Y78,A2:D500,4,FALSE))</f>
        <v>#N/A</v>
      </c>
      <c r="AA78" s="56">
        <f>'Predictive Model'!P190</f>
        <v>0</v>
      </c>
      <c r="AB78" s="22" t="e">
        <f>IF(LEN(VLOOKUP(AA78,A2:D500,4,FALSE))=0,,VLOOKUP(AA78,A2:D500,4,FALSE))</f>
        <v>#N/A</v>
      </c>
      <c r="AC78" s="56">
        <f>'Consumption Model'!P195</f>
        <v>0</v>
      </c>
      <c r="AD78" s="22" t="e">
        <f>IF(LEN(VLOOKUP(AC78,A2:D500,4,FALSE))=0,,VLOOKUP(AC78,A2:D500,4,FALSE))</f>
        <v>#N/A</v>
      </c>
      <c r="AE78" s="22">
        <f>'(Data)'!P191</f>
        <v>0</v>
      </c>
      <c r="AF78" s="22" t="e">
        <f>IF(LEN(VLOOKUP(AE77:AE78,A2:D500,4,FALSE))=0,,VLOOKUP(AE77:AE78,A2:D500,4,FALSE))</f>
        <v>#N/A</v>
      </c>
      <c r="AH78" s="45">
        <f>'Risk Charact Model'!P209</f>
        <v>0</v>
      </c>
      <c r="AI78" s="58" t="e">
        <f>IF(LEN(VLOOKUP(AH78,A2:D500,4,FALSE))=0,,VLOOKUP(AH78,A2:D500,4,FALSE))</f>
        <v>#N/A</v>
      </c>
    </row>
    <row r="79" spans="9:35" ht="14" x14ac:dyDescent="0.3">
      <c r="I79" s="60">
        <f>'Generic Metadata Schema'!P209</f>
        <v>0</v>
      </c>
      <c r="J79" s="22" t="e">
        <f>IF(LEN(VLOOKUP(I79,A2:D500,4,FALSE))=0,"",VLOOKUP(I79,A2:D500,4,FALSE))</f>
        <v>#N/A</v>
      </c>
      <c r="L79" s="56">
        <f>'Dose-response Model'!O193</f>
        <v>0</v>
      </c>
      <c r="M79" s="22" t="e">
        <f>IF(LEN(VLOOKUP(L79,A2:D500,4,FALSE))=0,,VLOOKUP(L79,A2:D500,4,FALSE))</f>
        <v>#N/A</v>
      </c>
      <c r="N79" s="22">
        <f>'Exposure Model'!O210</f>
        <v>0</v>
      </c>
      <c r="O79" s="22" t="e">
        <f>IF(LEN(VLOOKUP(N79,A2:D500,4,FALSE))=0,,VLOOKUP(N79,A2:D500,4,FALSE))</f>
        <v>#N/A</v>
      </c>
      <c r="P79" s="55">
        <f>'QRA Models'!P210</f>
        <v>0</v>
      </c>
      <c r="Q79" s="22" t="e">
        <f>IF(LEN(VLOOKUP(P79,A2:D500,4,FALSE))=0,,VLOOKUP(P79,A2:D500,4,FALSE))</f>
        <v>#N/A</v>
      </c>
      <c r="R79" s="56">
        <f>'Health metrics Models'!Q193</f>
        <v>0</v>
      </c>
      <c r="S79" s="22" t="e">
        <f>IF(LEN(VLOOKUP(R79,A2:D500,4,FALSE))=0,,VLOOKUP(R79,A2:D500,4,FALSE))</f>
        <v>#N/A</v>
      </c>
      <c r="T79" s="56">
        <f>'Process Model'!O191</f>
        <v>0</v>
      </c>
      <c r="U79" s="22" t="e">
        <f>IF(LEN(VLOOKUP(T79,A2:D500,4,FALSE))=0,,VLOOKUP(T79,A2:D500,4,FALSE))</f>
        <v>#N/A</v>
      </c>
      <c r="V79" s="56">
        <f>'Toxicological reference value M'!P193</f>
        <v>0</v>
      </c>
      <c r="W79" s="22" t="e">
        <f>IF(LEN(VLOOKUP(V79,A2:D500,4,FALSE))=0,,VLOOKUP(V79,A2:D500,4,FALSE))</f>
        <v>#N/A</v>
      </c>
      <c r="Y79" s="56">
        <f>'Other Empirical Model'!P204</f>
        <v>0</v>
      </c>
      <c r="Z79" s="22" t="e">
        <f>IF(LEN(VLOOKUP(Y79,A2:D500,4,FALSE))=0,,VLOOKUP(Y79,A2:D500,4,FALSE))</f>
        <v>#N/A</v>
      </c>
      <c r="AA79" s="56">
        <f>'Predictive Model'!P191</f>
        <v>0</v>
      </c>
      <c r="AB79" s="22" t="e">
        <f>IF(LEN(VLOOKUP(AA79,A2:D500,4,FALSE))=0,,VLOOKUP(AA79,A2:D500,4,FALSE))</f>
        <v>#N/A</v>
      </c>
      <c r="AC79" s="56">
        <f>'Consumption Model'!P196</f>
        <v>0</v>
      </c>
      <c r="AD79" s="22" t="e">
        <f>IF(LEN(VLOOKUP(AC79,A2:D500,4,FALSE))=0,,VLOOKUP(AC79,A2:D500,4,FALSE))</f>
        <v>#N/A</v>
      </c>
      <c r="AE79" s="22">
        <f>'(Data)'!P192</f>
        <v>0</v>
      </c>
      <c r="AF79" s="22" t="e">
        <f>IF(LEN(VLOOKUP(AE78:AE79,A2:D500,4,FALSE))=0,,VLOOKUP(AE78:AE79,A2:D500,4,FALSE))</f>
        <v>#N/A</v>
      </c>
      <c r="AH79" s="45">
        <f>'Risk Charact Model'!P210</f>
        <v>0</v>
      </c>
      <c r="AI79" s="58" t="e">
        <f>IF(LEN(VLOOKUP(AH79,A2:D500,4,FALSE))=0,,VLOOKUP(AH79,A2:D500,4,FALSE))</f>
        <v>#N/A</v>
      </c>
    </row>
    <row r="80" spans="9:35" ht="14" x14ac:dyDescent="0.3">
      <c r="I80" s="60">
        <f>'Generic Metadata Schema'!P210</f>
        <v>0</v>
      </c>
      <c r="J80" s="22" t="e">
        <f>IF(LEN(VLOOKUP(I80,A2:D500,4,FALSE))=0,"",VLOOKUP(I80,A2:D500,4,FALSE))</f>
        <v>#N/A</v>
      </c>
      <c r="L80" s="56">
        <f>'Dose-response Model'!O194</f>
        <v>0</v>
      </c>
      <c r="M80" s="22" t="e">
        <f>IF(LEN(VLOOKUP(L80,A2:D500,4,FALSE))=0,,VLOOKUP(L80,A2:D500,4,FALSE))</f>
        <v>#N/A</v>
      </c>
      <c r="N80" s="22">
        <f>'Exposure Model'!O211</f>
        <v>0</v>
      </c>
      <c r="O80" s="22" t="e">
        <f>IF(LEN(VLOOKUP(N80,A2:D500,4,FALSE))=0,,VLOOKUP(N80,A2:D500,4,FALSE))</f>
        <v>#N/A</v>
      </c>
      <c r="P80" s="55">
        <f>'QRA Models'!P211</f>
        <v>0</v>
      </c>
      <c r="Q80" s="22" t="e">
        <f>IF(LEN(VLOOKUP(P80,A2:D500,4,FALSE))=0,,VLOOKUP(P80,A2:D500,4,FALSE))</f>
        <v>#N/A</v>
      </c>
      <c r="R80" s="56">
        <f>'Health metrics Models'!Q194</f>
        <v>0</v>
      </c>
      <c r="S80" s="22" t="e">
        <f>IF(LEN(VLOOKUP(R80,A2:D500,4,FALSE))=0,,VLOOKUP(R80,A2:D500,4,FALSE))</f>
        <v>#N/A</v>
      </c>
      <c r="T80" s="56">
        <f>'Process Model'!O192</f>
        <v>0</v>
      </c>
      <c r="U80" s="22" t="e">
        <f>IF(LEN(VLOOKUP(T80,A2:D500,4,FALSE))=0,,VLOOKUP(T80,A2:D500,4,FALSE))</f>
        <v>#N/A</v>
      </c>
      <c r="V80" s="56">
        <f>'Toxicological reference value M'!P194</f>
        <v>0</v>
      </c>
      <c r="W80" s="22" t="e">
        <f>IF(LEN(VLOOKUP(V80,A2:D500,4,FALSE))=0,,VLOOKUP(V80,A2:D500,4,FALSE))</f>
        <v>#N/A</v>
      </c>
      <c r="Y80" s="56">
        <f>'Other Empirical Model'!P205</f>
        <v>0</v>
      </c>
      <c r="Z80" s="22" t="e">
        <f>IF(LEN(VLOOKUP(Y80,A2:D500,4,FALSE))=0,,VLOOKUP(Y80,A2:D500,4,FALSE))</f>
        <v>#N/A</v>
      </c>
      <c r="AA80" s="56">
        <f>'Predictive Model'!P192</f>
        <v>0</v>
      </c>
      <c r="AB80" s="22" t="e">
        <f>IF(LEN(VLOOKUP(AA80,A2:D500,4,FALSE))=0,,VLOOKUP(AA80,A2:D500,4,FALSE))</f>
        <v>#N/A</v>
      </c>
      <c r="AC80" s="56">
        <f>'Consumption Model'!P197</f>
        <v>0</v>
      </c>
      <c r="AD80" s="22" t="e">
        <f>IF(LEN(VLOOKUP(AC80,A2:D500,4,FALSE))=0,,VLOOKUP(AC80,A2:D500,4,FALSE))</f>
        <v>#N/A</v>
      </c>
      <c r="AE80" s="22">
        <f>'(Data)'!P193</f>
        <v>0</v>
      </c>
      <c r="AF80" s="22" t="e">
        <f>IF(LEN(VLOOKUP(AE79:AE80,A2:D500,4,FALSE))=0,,VLOOKUP(AE79:AE80,A2:D500,4,FALSE))</f>
        <v>#N/A</v>
      </c>
      <c r="AH80" s="45">
        <f>'Risk Charact Model'!P211</f>
        <v>0</v>
      </c>
      <c r="AI80" s="58" t="e">
        <f>IF(LEN(VLOOKUP(AH80,A2:D500,4,FALSE))=0,,VLOOKUP(AH80,A2:D500,4,FALSE))</f>
        <v>#N/A</v>
      </c>
    </row>
    <row r="81" spans="9:35" ht="14" x14ac:dyDescent="0.3">
      <c r="I81" s="60">
        <f>'Generic Metadata Schema'!P211</f>
        <v>0</v>
      </c>
      <c r="J81" s="22" t="e">
        <f>IF(LEN(VLOOKUP(I81,A2:D500,4,FALSE))=0,"",VLOOKUP(I81,A2:D500,4,FALSE))</f>
        <v>#N/A</v>
      </c>
      <c r="L81" s="56">
        <f>'Dose-response Model'!O195</f>
        <v>0</v>
      </c>
      <c r="M81" s="22" t="e">
        <f>IF(LEN(VLOOKUP(L81,A2:D500,4,FALSE))=0,,VLOOKUP(L81,A2:D500,4,FALSE))</f>
        <v>#N/A</v>
      </c>
      <c r="N81" s="22">
        <f>'Exposure Model'!O212</f>
        <v>0</v>
      </c>
      <c r="O81" s="22" t="e">
        <f>IF(LEN(VLOOKUP(N81,A2:D500,4,FALSE))=0,,VLOOKUP(N81,A2:D500,4,FALSE))</f>
        <v>#N/A</v>
      </c>
      <c r="P81" s="55">
        <f>'QRA Models'!P212</f>
        <v>0</v>
      </c>
      <c r="Q81" s="22" t="e">
        <f>IF(LEN(VLOOKUP(P81,A2:D500,4,FALSE))=0,,VLOOKUP(P81,A2:D500,4,FALSE))</f>
        <v>#N/A</v>
      </c>
      <c r="R81" s="56">
        <f>'Health metrics Models'!Q195</f>
        <v>0</v>
      </c>
      <c r="S81" s="22" t="e">
        <f>IF(LEN(VLOOKUP(R81,A2:D500,4,FALSE))=0,,VLOOKUP(R81,A2:D500,4,FALSE))</f>
        <v>#N/A</v>
      </c>
      <c r="T81" s="56">
        <f>'Process Model'!O193</f>
        <v>0</v>
      </c>
      <c r="U81" s="22" t="e">
        <f>IF(LEN(VLOOKUP(T81,A2:D500,4,FALSE))=0,,VLOOKUP(T81,A2:D500,4,FALSE))</f>
        <v>#N/A</v>
      </c>
      <c r="V81" s="56">
        <f>'Toxicological reference value M'!P195</f>
        <v>0</v>
      </c>
      <c r="W81" s="22" t="e">
        <f>IF(LEN(VLOOKUP(V81,A2:D500,4,FALSE))=0,,VLOOKUP(V81,A2:D500,4,FALSE))</f>
        <v>#N/A</v>
      </c>
      <c r="Y81" s="56">
        <f>'Other Empirical Model'!P206</f>
        <v>0</v>
      </c>
      <c r="Z81" s="22" t="e">
        <f>IF(LEN(VLOOKUP(Y81,A2:D500,4,FALSE))=0,,VLOOKUP(Y81,A2:D500,4,FALSE))</f>
        <v>#N/A</v>
      </c>
      <c r="AA81" s="56">
        <f>'Predictive Model'!P193</f>
        <v>0</v>
      </c>
      <c r="AB81" s="22" t="e">
        <f>IF(LEN(VLOOKUP(AA81,A2:D500,4,FALSE))=0,,VLOOKUP(AA81,A2:D500,4,FALSE))</f>
        <v>#N/A</v>
      </c>
      <c r="AC81" s="56">
        <f>'Consumption Model'!P198</f>
        <v>0</v>
      </c>
      <c r="AD81" s="22" t="e">
        <f>IF(LEN(VLOOKUP(AC81,A2:D500,4,FALSE))=0,,VLOOKUP(AC81,A2:D500,4,FALSE))</f>
        <v>#N/A</v>
      </c>
      <c r="AE81" s="22">
        <f>'(Data)'!P194</f>
        <v>0</v>
      </c>
      <c r="AF81" s="22" t="e">
        <f>IF(LEN(VLOOKUP(AE80:AE81,A2:D500,4,FALSE))=0,,VLOOKUP(AE80:AE81,A2:D500,4,FALSE))</f>
        <v>#N/A</v>
      </c>
      <c r="AH81" s="45">
        <f>'Risk Charact Model'!P212</f>
        <v>0</v>
      </c>
      <c r="AI81" s="58" t="e">
        <f>IF(LEN(VLOOKUP(AH81,A2:D500,4,FALSE))=0,,VLOOKUP(AH81,A2:D500,4,FALSE))</f>
        <v>#N/A</v>
      </c>
    </row>
    <row r="82" spans="9:35" ht="14" x14ac:dyDescent="0.3">
      <c r="I82" s="60">
        <f>'Generic Metadata Schema'!P212</f>
        <v>0</v>
      </c>
      <c r="J82" s="22" t="e">
        <f>IF(LEN(VLOOKUP(I82,A2:D500,4,FALSE))=0,"",VLOOKUP(I82,A2:D500,4,FALSE))</f>
        <v>#N/A</v>
      </c>
      <c r="L82" s="56">
        <f>'Dose-response Model'!O196</f>
        <v>0</v>
      </c>
      <c r="M82" s="22" t="e">
        <f>IF(LEN(VLOOKUP(L82,A2:D500,4,FALSE))=0,,VLOOKUP(L82,A2:D500,4,FALSE))</f>
        <v>#N/A</v>
      </c>
      <c r="N82" s="22">
        <f>'Exposure Model'!O213</f>
        <v>0</v>
      </c>
      <c r="O82" s="22" t="e">
        <f>IF(LEN(VLOOKUP(N82,A2:D500,4,FALSE))=0,,VLOOKUP(N82,A2:D500,4,FALSE))</f>
        <v>#N/A</v>
      </c>
      <c r="P82" s="55">
        <f>'QRA Models'!P213</f>
        <v>0</v>
      </c>
      <c r="Q82" s="22" t="e">
        <f>IF(LEN(VLOOKUP(P82,A2:D500,4,FALSE))=0,,VLOOKUP(P82,A2:D500,4,FALSE))</f>
        <v>#N/A</v>
      </c>
      <c r="R82" s="56">
        <f>'Health metrics Models'!Q196</f>
        <v>0</v>
      </c>
      <c r="S82" s="22" t="e">
        <f>IF(LEN(VLOOKUP(R82,A2:D500,4,FALSE))=0,,VLOOKUP(R82,A2:D500,4,FALSE))</f>
        <v>#N/A</v>
      </c>
      <c r="T82" s="56">
        <f>'Process Model'!O194</f>
        <v>0</v>
      </c>
      <c r="U82" s="22" t="e">
        <f>IF(LEN(VLOOKUP(T82,A2:D500,4,FALSE))=0,,VLOOKUP(T82,A2:D500,4,FALSE))</f>
        <v>#N/A</v>
      </c>
      <c r="V82" s="56">
        <f>'Toxicological reference value M'!P196</f>
        <v>0</v>
      </c>
      <c r="W82" s="22" t="e">
        <f>IF(LEN(VLOOKUP(V82,A2:D500,4,FALSE))=0,,VLOOKUP(V82,A2:D500,4,FALSE))</f>
        <v>#N/A</v>
      </c>
      <c r="Y82" s="56">
        <f>'Other Empirical Model'!P207</f>
        <v>0</v>
      </c>
      <c r="Z82" s="22" t="e">
        <f>IF(LEN(VLOOKUP(Y82,A2:D500,4,FALSE))=0,,VLOOKUP(Y82,A2:D500,4,FALSE))</f>
        <v>#N/A</v>
      </c>
      <c r="AA82" s="56">
        <f>'Predictive Model'!P194</f>
        <v>0</v>
      </c>
      <c r="AB82" s="22" t="e">
        <f>IF(LEN(VLOOKUP(AA82,A2:D500,4,FALSE))=0,,VLOOKUP(AA82,A2:D500,4,FALSE))</f>
        <v>#N/A</v>
      </c>
      <c r="AC82" s="56">
        <f>'Consumption Model'!P199</f>
        <v>0</v>
      </c>
      <c r="AD82" s="22" t="e">
        <f>IF(LEN(VLOOKUP(AC82,A2:D500,4,FALSE))=0,,VLOOKUP(AC82,A2:D500,4,FALSE))</f>
        <v>#N/A</v>
      </c>
      <c r="AE82" s="22">
        <f>'(Data)'!P195</f>
        <v>0</v>
      </c>
      <c r="AF82" s="22" t="e">
        <f>IF(LEN(VLOOKUP(AE81:AE82,A2:D500,4,FALSE))=0,,VLOOKUP(AE81:AE82,A2:D500,4,FALSE))</f>
        <v>#N/A</v>
      </c>
      <c r="AH82" s="45">
        <f>'Risk Charact Model'!P213</f>
        <v>0</v>
      </c>
      <c r="AI82" s="58" t="e">
        <f>IF(LEN(VLOOKUP(AH82,A2:D500,4,FALSE))=0,,VLOOKUP(AH82,A2:D500,4,FALSE))</f>
        <v>#N/A</v>
      </c>
    </row>
    <row r="83" spans="9:35" ht="14" x14ac:dyDescent="0.3">
      <c r="I83" s="60">
        <f>'Generic Metadata Schema'!P213</f>
        <v>0</v>
      </c>
      <c r="J83" s="22" t="e">
        <f>IF(LEN(VLOOKUP(I83,A2:D500,4,FALSE))=0,"",VLOOKUP(I83,A2:D500,4,FALSE))</f>
        <v>#N/A</v>
      </c>
      <c r="L83" s="56">
        <f>'Dose-response Model'!O197</f>
        <v>0</v>
      </c>
      <c r="M83" s="22" t="e">
        <f>IF(LEN(VLOOKUP(L83,A2:D500,4,FALSE))=0,,VLOOKUP(L83,A2:D500,4,FALSE))</f>
        <v>#N/A</v>
      </c>
      <c r="N83" s="22">
        <f>'Exposure Model'!O214</f>
        <v>0</v>
      </c>
      <c r="O83" s="22" t="e">
        <f>IF(LEN(VLOOKUP(N83,A2:D500,4,FALSE))=0,,VLOOKUP(N83,A2:D500,4,FALSE))</f>
        <v>#N/A</v>
      </c>
      <c r="P83" s="55">
        <f>'QRA Models'!P214</f>
        <v>0</v>
      </c>
      <c r="Q83" s="22" t="e">
        <f>IF(LEN(VLOOKUP(P83,A2:D500,4,FALSE))=0,,VLOOKUP(P83,A2:D500,4,FALSE))</f>
        <v>#N/A</v>
      </c>
      <c r="R83" s="56">
        <f>'Health metrics Models'!Q197</f>
        <v>0</v>
      </c>
      <c r="S83" s="22" t="e">
        <f>IF(LEN(VLOOKUP(R83,A2:D500,4,FALSE))=0,,VLOOKUP(R83,A2:D500,4,FALSE))</f>
        <v>#N/A</v>
      </c>
      <c r="T83" s="56">
        <f>'Process Model'!O195</f>
        <v>0</v>
      </c>
      <c r="U83" s="22" t="e">
        <f>IF(LEN(VLOOKUP(T83,A2:D500,4,FALSE))=0,,VLOOKUP(T83,A2:D500,4,FALSE))</f>
        <v>#N/A</v>
      </c>
      <c r="V83" s="56">
        <f>'Toxicological reference value M'!P197</f>
        <v>0</v>
      </c>
      <c r="W83" s="22" t="e">
        <f>IF(LEN(VLOOKUP(V83,A2:D500,4,FALSE))=0,,VLOOKUP(V83,A2:D500,4,FALSE))</f>
        <v>#N/A</v>
      </c>
      <c r="Y83" s="56">
        <f>'Other Empirical Model'!P208</f>
        <v>0</v>
      </c>
      <c r="Z83" s="22" t="e">
        <f>IF(LEN(VLOOKUP(Y83,A2:D500,4,FALSE))=0,,VLOOKUP(Y83,A2:D500,4,FALSE))</f>
        <v>#N/A</v>
      </c>
      <c r="AA83" s="56">
        <f>'Predictive Model'!P195</f>
        <v>0</v>
      </c>
      <c r="AB83" s="22" t="e">
        <f>IF(LEN(VLOOKUP(AA83,A2:D500,4,FALSE))=0,,VLOOKUP(AA83,A2:D500,4,FALSE))</f>
        <v>#N/A</v>
      </c>
      <c r="AC83" s="56">
        <f>'Consumption Model'!P200</f>
        <v>0</v>
      </c>
      <c r="AD83" s="22" t="e">
        <f>IF(LEN(VLOOKUP(AC83,A2:D500,4,FALSE))=0,,VLOOKUP(AC83,A2:D500,4,FALSE))</f>
        <v>#N/A</v>
      </c>
      <c r="AE83" s="22">
        <f>'(Data)'!P196</f>
        <v>0</v>
      </c>
      <c r="AF83" s="22" t="e">
        <f>IF(LEN(VLOOKUP(AE82:AE83,A2:D500,4,FALSE))=0,,VLOOKUP(AE82:AE83,A2:D500,4,FALSE))</f>
        <v>#N/A</v>
      </c>
      <c r="AH83" s="45">
        <f>'Risk Charact Model'!P214</f>
        <v>0</v>
      </c>
      <c r="AI83" s="58" t="e">
        <f>IF(LEN(VLOOKUP(AH83,A2:D500,4,FALSE))=0,,VLOOKUP(AH83,A2:D500,4,FALSE))</f>
        <v>#N/A</v>
      </c>
    </row>
    <row r="84" spans="9:35" ht="14" x14ac:dyDescent="0.3">
      <c r="I84" s="60">
        <f>'Generic Metadata Schema'!P214</f>
        <v>0</v>
      </c>
      <c r="J84" s="22" t="e">
        <f>IF(LEN(VLOOKUP(I84,A2:D500,4,FALSE))=0,"",VLOOKUP(I84,A2:D500,4,FALSE))</f>
        <v>#N/A</v>
      </c>
      <c r="L84" s="56">
        <f>'Dose-response Model'!O198</f>
        <v>0</v>
      </c>
      <c r="M84" s="22" t="e">
        <f>IF(LEN(VLOOKUP(L84,A2:D500,4,FALSE))=0,,VLOOKUP(L84,A2:D500,4,FALSE))</f>
        <v>#N/A</v>
      </c>
      <c r="N84" s="22">
        <f>'Exposure Model'!O215</f>
        <v>0</v>
      </c>
      <c r="O84" s="22" t="e">
        <f>IF(LEN(VLOOKUP(N84,A2:D500,4,FALSE))=0,,VLOOKUP(N84,A2:D500,4,FALSE))</f>
        <v>#N/A</v>
      </c>
      <c r="P84" s="55">
        <f>'QRA Models'!P215</f>
        <v>0</v>
      </c>
      <c r="Q84" s="22" t="e">
        <f>IF(LEN(VLOOKUP(P84,A2:D500,4,FALSE))=0,,VLOOKUP(P84,A2:D500,4,FALSE))</f>
        <v>#N/A</v>
      </c>
      <c r="R84" s="56">
        <f>'Health metrics Models'!Q198</f>
        <v>0</v>
      </c>
      <c r="S84" s="22" t="e">
        <f>IF(LEN(VLOOKUP(R84,A2:D500,4,FALSE))=0,,VLOOKUP(R84,A2:D500,4,FALSE))</f>
        <v>#N/A</v>
      </c>
      <c r="T84" s="56">
        <f>'Process Model'!O196</f>
        <v>0</v>
      </c>
      <c r="U84" s="22" t="e">
        <f>IF(LEN(VLOOKUP(T84,A2:D500,4,FALSE))=0,,VLOOKUP(T84,A2:D500,4,FALSE))</f>
        <v>#N/A</v>
      </c>
      <c r="V84" s="56">
        <f>'Toxicological reference value M'!P198</f>
        <v>0</v>
      </c>
      <c r="W84" s="22" t="e">
        <f>IF(LEN(VLOOKUP(V84,A2:D500,4,FALSE))=0,,VLOOKUP(V84,A2:D500,4,FALSE))</f>
        <v>#N/A</v>
      </c>
      <c r="Y84" s="56">
        <f>'Other Empirical Model'!P209</f>
        <v>0</v>
      </c>
      <c r="Z84" s="22" t="e">
        <f>IF(LEN(VLOOKUP(Y84,A2:D500,4,FALSE))=0,,VLOOKUP(Y84,A2:D500,4,FALSE))</f>
        <v>#N/A</v>
      </c>
      <c r="AA84" s="56">
        <f>'Predictive Model'!P196</f>
        <v>0</v>
      </c>
      <c r="AB84" s="22" t="e">
        <f>IF(LEN(VLOOKUP(AA84,A2:D500,4,FALSE))=0,,VLOOKUP(AA84,A2:D500,4,FALSE))</f>
        <v>#N/A</v>
      </c>
      <c r="AC84" s="56">
        <f>'Consumption Model'!P201</f>
        <v>0</v>
      </c>
      <c r="AD84" s="22" t="e">
        <f>IF(LEN(VLOOKUP(AC84,A2:D500,4,FALSE))=0,,VLOOKUP(AC84,A2:D500,4,FALSE))</f>
        <v>#N/A</v>
      </c>
      <c r="AE84" s="22">
        <f>'(Data)'!P197</f>
        <v>0</v>
      </c>
      <c r="AF84" s="22" t="e">
        <f>IF(LEN(VLOOKUP(AE83:AE84,A2:D500,4,FALSE))=0,,VLOOKUP(AE83:AE84,A2:D500,4,FALSE))</f>
        <v>#N/A</v>
      </c>
      <c r="AH84" s="45">
        <f>'Risk Charact Model'!P215</f>
        <v>0</v>
      </c>
      <c r="AI84" s="58" t="e">
        <f>IF(LEN(VLOOKUP(AH84,A2:D500,4,FALSE))=0,,VLOOKUP(AH84,A2:D500,4,FALSE))</f>
        <v>#N/A</v>
      </c>
    </row>
    <row r="85" spans="9:35" ht="14" x14ac:dyDescent="0.3">
      <c r="I85" s="60">
        <f>'Generic Metadata Schema'!P215</f>
        <v>0</v>
      </c>
      <c r="J85" s="22" t="e">
        <f>IF(LEN(VLOOKUP(I85,A2:D500,4,FALSE))=0,"",VLOOKUP(I85,A2:D500,4,FALSE))</f>
        <v>#N/A</v>
      </c>
      <c r="L85" s="56">
        <f>'Dose-response Model'!O199</f>
        <v>0</v>
      </c>
      <c r="M85" s="22" t="e">
        <f>IF(LEN(VLOOKUP(L85,A2:D500,4,FALSE))=0,,VLOOKUP(L85,A2:D500,4,FALSE))</f>
        <v>#N/A</v>
      </c>
      <c r="N85" s="22">
        <f>'Exposure Model'!O216</f>
        <v>0</v>
      </c>
      <c r="O85" s="22" t="e">
        <f>IF(LEN(VLOOKUP(N85,A2:D500,4,FALSE))=0,,VLOOKUP(N85,A2:D500,4,FALSE))</f>
        <v>#N/A</v>
      </c>
      <c r="P85" s="55">
        <f>'QRA Models'!P216</f>
        <v>0</v>
      </c>
      <c r="Q85" s="22" t="e">
        <f>IF(LEN(VLOOKUP(P85,A2:D500,4,FALSE))=0,,VLOOKUP(P85,A2:D500,4,FALSE))</f>
        <v>#N/A</v>
      </c>
      <c r="R85" s="56">
        <f>'Health metrics Models'!Q199</f>
        <v>0</v>
      </c>
      <c r="S85" s="22" t="e">
        <f>IF(LEN(VLOOKUP(R85,A2:D500,4,FALSE))=0,,VLOOKUP(R85,A2:D500,4,FALSE))</f>
        <v>#N/A</v>
      </c>
      <c r="T85" s="56">
        <f>'Process Model'!O197</f>
        <v>0</v>
      </c>
      <c r="U85" s="22" t="e">
        <f>IF(LEN(VLOOKUP(T85,A2:D500,4,FALSE))=0,,VLOOKUP(T85,A2:D500,4,FALSE))</f>
        <v>#N/A</v>
      </c>
      <c r="V85" s="56">
        <f>'Toxicological reference value M'!P199</f>
        <v>0</v>
      </c>
      <c r="W85" s="22" t="e">
        <f>IF(LEN(VLOOKUP(V85,A2:D500,4,FALSE))=0,,VLOOKUP(V85,A2:D500,4,FALSE))</f>
        <v>#N/A</v>
      </c>
      <c r="Y85" s="56">
        <f>'Other Empirical Model'!P210</f>
        <v>0</v>
      </c>
      <c r="Z85" s="22" t="e">
        <f>IF(LEN(VLOOKUP(Y85,A2:D500,4,FALSE))=0,,VLOOKUP(Y85,A2:D500,4,FALSE))</f>
        <v>#N/A</v>
      </c>
      <c r="AA85" s="56">
        <f>'Predictive Model'!P197</f>
        <v>0</v>
      </c>
      <c r="AB85" s="22" t="e">
        <f>IF(LEN(VLOOKUP(AA85,A2:D500,4,FALSE))=0,,VLOOKUP(AA85,A2:D500,4,FALSE))</f>
        <v>#N/A</v>
      </c>
      <c r="AC85" s="56">
        <f>'Consumption Model'!P202</f>
        <v>0</v>
      </c>
      <c r="AD85" s="22" t="e">
        <f>IF(LEN(VLOOKUP(AC85,A2:D500,4,FALSE))=0,,VLOOKUP(AC85,A2:D500,4,FALSE))</f>
        <v>#N/A</v>
      </c>
      <c r="AE85" s="22">
        <f>'(Data)'!P198</f>
        <v>0</v>
      </c>
      <c r="AF85" s="22" t="e">
        <f>IF(LEN(VLOOKUP(AE84:AE85,A2:D500,4,FALSE))=0,,VLOOKUP(AE84:AE85,A2:D500,4,FALSE))</f>
        <v>#N/A</v>
      </c>
      <c r="AH85" s="45">
        <f>'Risk Charact Model'!P216</f>
        <v>0</v>
      </c>
      <c r="AI85" s="58" t="e">
        <f>IF(LEN(VLOOKUP(AH85,A2:D500,4,FALSE))=0,,VLOOKUP(AH85,A2:D500,4,FALSE))</f>
        <v>#N/A</v>
      </c>
    </row>
    <row r="86" spans="9:35" ht="14" x14ac:dyDescent="0.3">
      <c r="I86" s="60">
        <f>'Generic Metadata Schema'!P216</f>
        <v>0</v>
      </c>
      <c r="J86" s="22" t="e">
        <f>IF(LEN(VLOOKUP(I86,A2:D500,4,FALSE))=0,"",VLOOKUP(I86,A2:D500,4,FALSE))</f>
        <v>#N/A</v>
      </c>
      <c r="L86" s="56">
        <f>'Dose-response Model'!O200</f>
        <v>0</v>
      </c>
      <c r="M86" s="22" t="e">
        <f>IF(LEN(VLOOKUP(L86,A2:D500,4,FALSE))=0,,VLOOKUP(L86,A2:D500,4,FALSE))</f>
        <v>#N/A</v>
      </c>
      <c r="N86" s="22">
        <f>'Exposure Model'!O217</f>
        <v>0</v>
      </c>
      <c r="O86" s="22" t="e">
        <f>IF(LEN(VLOOKUP(N86,A2:D500,4,FALSE))=0,,VLOOKUP(N86,A2:D500,4,FALSE))</f>
        <v>#N/A</v>
      </c>
      <c r="P86" s="55">
        <f>'QRA Models'!P217</f>
        <v>0</v>
      </c>
      <c r="Q86" s="22" t="e">
        <f>IF(LEN(VLOOKUP(P86,A2:D500,4,FALSE))=0,,VLOOKUP(P86,A2:D500,4,FALSE))</f>
        <v>#N/A</v>
      </c>
      <c r="R86" s="56">
        <f>'Health metrics Models'!Q200</f>
        <v>0</v>
      </c>
      <c r="S86" s="22" t="e">
        <f>IF(LEN(VLOOKUP(R86,A2:D500,4,FALSE))=0,,VLOOKUP(R86,A2:D500,4,FALSE))</f>
        <v>#N/A</v>
      </c>
      <c r="T86" s="56">
        <f>'Process Model'!O198</f>
        <v>0</v>
      </c>
      <c r="U86" s="22" t="e">
        <f>IF(LEN(VLOOKUP(T86,A2:D500,4,FALSE))=0,,VLOOKUP(T86,A2:D500,4,FALSE))</f>
        <v>#N/A</v>
      </c>
      <c r="V86" s="56">
        <f>'Toxicological reference value M'!P200</f>
        <v>0</v>
      </c>
      <c r="W86" s="22" t="e">
        <f>IF(LEN(VLOOKUP(V86,A2:D500,4,FALSE))=0,,VLOOKUP(V86,A2:D500,4,FALSE))</f>
        <v>#N/A</v>
      </c>
      <c r="Y86" s="56">
        <f>'Other Empirical Model'!P211</f>
        <v>0</v>
      </c>
      <c r="Z86" s="22" t="e">
        <f>IF(LEN(VLOOKUP(Y86,A2:D500,4,FALSE))=0,,VLOOKUP(Y86,A2:D500,4,FALSE))</f>
        <v>#N/A</v>
      </c>
      <c r="AA86" s="56">
        <f>'Predictive Model'!P198</f>
        <v>0</v>
      </c>
      <c r="AB86" s="22" t="e">
        <f>IF(LEN(VLOOKUP(AA86,A2:D500,4,FALSE))=0,,VLOOKUP(AA86,A2:D500,4,FALSE))</f>
        <v>#N/A</v>
      </c>
      <c r="AC86" s="56">
        <f>'Consumption Model'!P203</f>
        <v>0</v>
      </c>
      <c r="AD86" s="22" t="e">
        <f>IF(LEN(VLOOKUP(AC86,A2:D500,4,FALSE))=0,,VLOOKUP(AC86,A2:D500,4,FALSE))</f>
        <v>#N/A</v>
      </c>
      <c r="AE86" s="22">
        <f>'(Data)'!P199</f>
        <v>0</v>
      </c>
      <c r="AF86" s="22" t="e">
        <f>IF(LEN(VLOOKUP(AE85:AE86,A2:D500,4,FALSE))=0,,VLOOKUP(AE85:AE86,A2:D500,4,FALSE))</f>
        <v>#N/A</v>
      </c>
      <c r="AH86" s="45">
        <f>'Risk Charact Model'!P217</f>
        <v>0</v>
      </c>
      <c r="AI86" s="58" t="e">
        <f>IF(LEN(VLOOKUP(AH86,A2:D500,4,FALSE))=0,,VLOOKUP(AH86,A2:D500,4,FALSE))</f>
        <v>#N/A</v>
      </c>
    </row>
    <row r="87" spans="9:35" ht="14" x14ac:dyDescent="0.3">
      <c r="I87" s="60">
        <f>'Generic Metadata Schema'!P217</f>
        <v>0</v>
      </c>
      <c r="J87" s="22" t="e">
        <f>IF(LEN(VLOOKUP(I87,A2:D500,4,FALSE))=0,"",VLOOKUP(I87,A2:D500,4,FALSE))</f>
        <v>#N/A</v>
      </c>
      <c r="L87" s="56">
        <f>'Dose-response Model'!O201</f>
        <v>0</v>
      </c>
      <c r="M87" s="22" t="e">
        <f>IF(LEN(VLOOKUP(L87,A2:D500,4,FALSE))=0,,VLOOKUP(L87,A2:D500,4,FALSE))</f>
        <v>#N/A</v>
      </c>
      <c r="N87" s="22">
        <f>'Exposure Model'!O218</f>
        <v>0</v>
      </c>
      <c r="O87" s="22" t="e">
        <f>IF(LEN(VLOOKUP(N87,A2:D500,4,FALSE))=0,,VLOOKUP(N87,A2:D500,4,FALSE))</f>
        <v>#N/A</v>
      </c>
      <c r="P87" s="55">
        <f>'QRA Models'!P218</f>
        <v>0</v>
      </c>
      <c r="Q87" s="22" t="e">
        <f>IF(LEN(VLOOKUP(P87,A2:D500,4,FALSE))=0,,VLOOKUP(P87,A2:D500,4,FALSE))</f>
        <v>#N/A</v>
      </c>
      <c r="R87" s="56">
        <f>'Health metrics Models'!Q201</f>
        <v>0</v>
      </c>
      <c r="S87" s="22" t="e">
        <f>IF(LEN(VLOOKUP(R87,A2:D500,4,FALSE))=0,,VLOOKUP(R87,A2:D500,4,FALSE))</f>
        <v>#N/A</v>
      </c>
      <c r="T87" s="56">
        <f>'Process Model'!O199</f>
        <v>0</v>
      </c>
      <c r="U87" s="22" t="e">
        <f>IF(LEN(VLOOKUP(T87,A2:D500,4,FALSE))=0,,VLOOKUP(T87,A2:D500,4,FALSE))</f>
        <v>#N/A</v>
      </c>
      <c r="V87" s="56">
        <f>'Toxicological reference value M'!P201</f>
        <v>0</v>
      </c>
      <c r="W87" s="22" t="e">
        <f>IF(LEN(VLOOKUP(V87,A2:D500,4,FALSE))=0,,VLOOKUP(V87,A2:D500,4,FALSE))</f>
        <v>#N/A</v>
      </c>
      <c r="Y87" s="56">
        <f>'Other Empirical Model'!P212</f>
        <v>0</v>
      </c>
      <c r="Z87" s="22" t="e">
        <f>IF(LEN(VLOOKUP(Y87,A2:D500,4,FALSE))=0,,VLOOKUP(Y87,A2:D500,4,FALSE))</f>
        <v>#N/A</v>
      </c>
      <c r="AA87" s="56">
        <f>'Predictive Model'!P199</f>
        <v>0</v>
      </c>
      <c r="AB87" s="22" t="e">
        <f>IF(LEN(VLOOKUP(AA87,A2:D500,4,FALSE))=0,,VLOOKUP(AA87,A2:D500,4,FALSE))</f>
        <v>#N/A</v>
      </c>
      <c r="AC87" s="56">
        <f>'Consumption Model'!P204</f>
        <v>0</v>
      </c>
      <c r="AD87" s="22" t="e">
        <f>IF(LEN(VLOOKUP(AC87,A2:D500,4,FALSE))=0,,VLOOKUP(AC87,A2:D500,4,FALSE))</f>
        <v>#N/A</v>
      </c>
      <c r="AE87" s="22">
        <f>'(Data)'!P200</f>
        <v>0</v>
      </c>
      <c r="AF87" s="22" t="e">
        <f>IF(LEN(VLOOKUP(AE86:AE87,A2:D500,4,FALSE))=0,,VLOOKUP(AE86:AE87,A2:D500,4,FALSE))</f>
        <v>#N/A</v>
      </c>
      <c r="AH87" s="45">
        <f>'Risk Charact Model'!P218</f>
        <v>0</v>
      </c>
      <c r="AI87" s="58" t="e">
        <f>IF(LEN(VLOOKUP(AH87,A2:D500,4,FALSE))=0,,VLOOKUP(AH87,A2:D500,4,FALSE))</f>
        <v>#N/A</v>
      </c>
    </row>
    <row r="88" spans="9:35" ht="14" x14ac:dyDescent="0.3">
      <c r="I88" s="60">
        <f>'Generic Metadata Schema'!P218</f>
        <v>0</v>
      </c>
      <c r="J88" s="22" t="e">
        <f>IF(LEN(VLOOKUP(I88,A2:D500,4,FALSE))=0,"",VLOOKUP(I88,A2:D500,4,FALSE))</f>
        <v>#N/A</v>
      </c>
      <c r="L88" s="56">
        <f>'Dose-response Model'!O202</f>
        <v>0</v>
      </c>
      <c r="M88" s="22" t="e">
        <f>IF(LEN(VLOOKUP(L88,A2:D500,4,FALSE))=0,,VLOOKUP(L88,A2:D500,4,FALSE))</f>
        <v>#N/A</v>
      </c>
      <c r="N88" s="22">
        <f>'Exposure Model'!O219</f>
        <v>0</v>
      </c>
      <c r="O88" s="22" t="e">
        <f>IF(LEN(VLOOKUP(N88,A2:D500,4,FALSE))=0,,VLOOKUP(N88,A2:D500,4,FALSE))</f>
        <v>#N/A</v>
      </c>
      <c r="P88" s="55">
        <f>'QRA Models'!P219</f>
        <v>0</v>
      </c>
      <c r="Q88" s="22" t="e">
        <f>IF(LEN(VLOOKUP(P88,A2:D500,4,FALSE))=0,,VLOOKUP(P88,A2:D500,4,FALSE))</f>
        <v>#N/A</v>
      </c>
      <c r="R88" s="56">
        <f>'Health metrics Models'!Q202</f>
        <v>0</v>
      </c>
      <c r="S88" s="22" t="e">
        <f>IF(LEN(VLOOKUP(R88,A2:D500,4,FALSE))=0,,VLOOKUP(R88,A2:D500,4,FALSE))</f>
        <v>#N/A</v>
      </c>
      <c r="T88" s="56">
        <f>'Process Model'!O200</f>
        <v>0</v>
      </c>
      <c r="U88" s="22" t="e">
        <f>IF(LEN(VLOOKUP(T88,A2:D500,4,FALSE))=0,,VLOOKUP(T88,A2:D500,4,FALSE))</f>
        <v>#N/A</v>
      </c>
      <c r="V88" s="56">
        <f>'Toxicological reference value M'!P202</f>
        <v>0</v>
      </c>
      <c r="W88" s="22" t="e">
        <f>IF(LEN(VLOOKUP(V88,A2:D500,4,FALSE))=0,,VLOOKUP(V88,A2:D500,4,FALSE))</f>
        <v>#N/A</v>
      </c>
      <c r="Y88" s="56">
        <f>'Other Empirical Model'!P213</f>
        <v>0</v>
      </c>
      <c r="Z88" s="22" t="e">
        <f>IF(LEN(VLOOKUP(Y88,A2:D500,4,FALSE))=0,,VLOOKUP(Y88,A2:D500,4,FALSE))</f>
        <v>#N/A</v>
      </c>
      <c r="AA88" s="56">
        <f>'Predictive Model'!P200</f>
        <v>0</v>
      </c>
      <c r="AB88" s="22" t="e">
        <f>IF(LEN(VLOOKUP(AA88,A2:D500,4,FALSE))=0,,VLOOKUP(AA88,A2:D500,4,FALSE))</f>
        <v>#N/A</v>
      </c>
      <c r="AC88" s="56">
        <f>'Consumption Model'!P205</f>
        <v>0</v>
      </c>
      <c r="AD88" s="22" t="e">
        <f>IF(LEN(VLOOKUP(AC88,A2:D500,4,FALSE))=0,,VLOOKUP(AC88,A2:D500,4,FALSE))</f>
        <v>#N/A</v>
      </c>
      <c r="AE88" s="22">
        <f>'(Data)'!P201</f>
        <v>0</v>
      </c>
      <c r="AF88" s="22" t="e">
        <f>IF(LEN(VLOOKUP(AE87:AE88,A2:D500,4,FALSE))=0,,VLOOKUP(AE87:AE88,A2:D500,4,FALSE))</f>
        <v>#N/A</v>
      </c>
      <c r="AH88" s="45">
        <f>'Risk Charact Model'!P219</f>
        <v>0</v>
      </c>
      <c r="AI88" s="58" t="e">
        <f>IF(LEN(VLOOKUP(AH88,A2:D500,4,FALSE))=0,,VLOOKUP(AH88,A2:D500,4,FALSE))</f>
        <v>#N/A</v>
      </c>
    </row>
    <row r="89" spans="9:35" ht="14" x14ac:dyDescent="0.3">
      <c r="I89" s="60">
        <f>'Generic Metadata Schema'!P219</f>
        <v>0</v>
      </c>
      <c r="J89" s="22" t="e">
        <f>IF(LEN(VLOOKUP(I89,A2:D500,4,FALSE))=0,"",VLOOKUP(I89,A2:D500,4,FALSE))</f>
        <v>#N/A</v>
      </c>
      <c r="L89" s="56">
        <f>'Dose-response Model'!O203</f>
        <v>0</v>
      </c>
      <c r="M89" s="22" t="e">
        <f>IF(LEN(VLOOKUP(L89,A2:D500,4,FALSE))=0,,VLOOKUP(L89,A2:D500,4,FALSE))</f>
        <v>#N/A</v>
      </c>
      <c r="N89" s="22">
        <f>'Exposure Model'!O220</f>
        <v>0</v>
      </c>
      <c r="O89" s="22" t="e">
        <f>IF(LEN(VLOOKUP(N89,A2:D500,4,FALSE))=0,,VLOOKUP(N89,A2:D500,4,FALSE))</f>
        <v>#N/A</v>
      </c>
      <c r="P89" s="55">
        <f>'QRA Models'!P220</f>
        <v>0</v>
      </c>
      <c r="Q89" s="22" t="e">
        <f>IF(LEN(VLOOKUP(P89,A2:D500,4,FALSE))=0,,VLOOKUP(P89,A2:D500,4,FALSE))</f>
        <v>#N/A</v>
      </c>
      <c r="R89" s="56">
        <f>'Health metrics Models'!Q203</f>
        <v>0</v>
      </c>
      <c r="S89" s="22" t="e">
        <f>IF(LEN(VLOOKUP(R89,A2:D500,4,FALSE))=0,,VLOOKUP(R89,A2:D500,4,FALSE))</f>
        <v>#N/A</v>
      </c>
      <c r="T89" s="56">
        <f>'Process Model'!O201</f>
        <v>0</v>
      </c>
      <c r="U89" s="22" t="e">
        <f>IF(LEN(VLOOKUP(T89,A2:D500,4,FALSE))=0,,VLOOKUP(T89,A2:D500,4,FALSE))</f>
        <v>#N/A</v>
      </c>
      <c r="V89" s="56">
        <f>'Toxicological reference value M'!P203</f>
        <v>0</v>
      </c>
      <c r="W89" s="22" t="e">
        <f>IF(LEN(VLOOKUP(V89,A2:D500,4,FALSE))=0,,VLOOKUP(V89,A2:D500,4,FALSE))</f>
        <v>#N/A</v>
      </c>
      <c r="Y89" s="56">
        <f>'Other Empirical Model'!P214</f>
        <v>0</v>
      </c>
      <c r="Z89" s="22" t="e">
        <f>IF(LEN(VLOOKUP(Y89,A2:D500,4,FALSE))=0,,VLOOKUP(Y89,A2:D500,4,FALSE))</f>
        <v>#N/A</v>
      </c>
      <c r="AA89" s="56">
        <f>'Predictive Model'!P201</f>
        <v>0</v>
      </c>
      <c r="AB89" s="22" t="e">
        <f>IF(LEN(VLOOKUP(AA89,A2:D500,4,FALSE))=0,,VLOOKUP(AA89,A2:D500,4,FALSE))</f>
        <v>#N/A</v>
      </c>
      <c r="AC89" s="56">
        <f>'Consumption Model'!P206</f>
        <v>0</v>
      </c>
      <c r="AD89" s="22" t="e">
        <f>IF(LEN(VLOOKUP(AC89,A2:D500,4,FALSE))=0,,VLOOKUP(AC89,A2:D500,4,FALSE))</f>
        <v>#N/A</v>
      </c>
      <c r="AE89" s="22">
        <f>'(Data)'!P202</f>
        <v>0</v>
      </c>
      <c r="AF89" s="22" t="e">
        <f>IF(LEN(VLOOKUP(AE88:AE89,A2:D500,4,FALSE))=0,,VLOOKUP(AE88:AE89,A2:D500,4,FALSE))</f>
        <v>#N/A</v>
      </c>
      <c r="AH89" s="45">
        <f>'Risk Charact Model'!P220</f>
        <v>0</v>
      </c>
      <c r="AI89" s="58" t="e">
        <f>IF(LEN(VLOOKUP(AH89,A2:D500,4,FALSE))=0,,VLOOKUP(AH89,A2:D500,4,FALSE))</f>
        <v>#N/A</v>
      </c>
    </row>
    <row r="90" spans="9:35" ht="14" x14ac:dyDescent="0.3">
      <c r="I90" s="60">
        <f>'Generic Metadata Schema'!P220</f>
        <v>0</v>
      </c>
      <c r="J90" s="22" t="e">
        <f>IF(LEN(VLOOKUP(I90,A2:D500,4,FALSE))=0,"",VLOOKUP(I90,A2:D500,4,FALSE))</f>
        <v>#N/A</v>
      </c>
      <c r="L90" s="56">
        <f>'Dose-response Model'!O204</f>
        <v>0</v>
      </c>
      <c r="M90" s="22" t="e">
        <f>IF(LEN(VLOOKUP(L90,A2:D500,4,FALSE))=0,,VLOOKUP(L90,A2:D500,4,FALSE))</f>
        <v>#N/A</v>
      </c>
      <c r="N90" s="22">
        <f>'Exposure Model'!O221</f>
        <v>0</v>
      </c>
      <c r="O90" s="22" t="e">
        <f>IF(LEN(VLOOKUP(N90,A2:D500,4,FALSE))=0,,VLOOKUP(N90,A2:D500,4,FALSE))</f>
        <v>#N/A</v>
      </c>
      <c r="P90" s="55">
        <f>'QRA Models'!P221</f>
        <v>0</v>
      </c>
      <c r="Q90" s="22" t="e">
        <f>IF(LEN(VLOOKUP(P90,A2:D500,4,FALSE))=0,,VLOOKUP(P90,A2:D500,4,FALSE))</f>
        <v>#N/A</v>
      </c>
      <c r="R90" s="56">
        <f>'Health metrics Models'!Q204</f>
        <v>0</v>
      </c>
      <c r="S90" s="22" t="e">
        <f>IF(LEN(VLOOKUP(R90,A2:D500,4,FALSE))=0,,VLOOKUP(R90,A2:D500,4,FALSE))</f>
        <v>#N/A</v>
      </c>
      <c r="T90" s="56">
        <f>'Process Model'!O202</f>
        <v>0</v>
      </c>
      <c r="U90" s="22" t="e">
        <f>IF(LEN(VLOOKUP(T90,A2:D500,4,FALSE))=0,,VLOOKUP(T90,A2:D500,4,FALSE))</f>
        <v>#N/A</v>
      </c>
      <c r="V90" s="56">
        <f>'Toxicological reference value M'!P204</f>
        <v>0</v>
      </c>
      <c r="W90" s="22" t="e">
        <f>IF(LEN(VLOOKUP(V90,A2:D500,4,FALSE))=0,,VLOOKUP(V90,A2:D500,4,FALSE))</f>
        <v>#N/A</v>
      </c>
      <c r="Y90" s="56">
        <f>'Other Empirical Model'!P215</f>
        <v>0</v>
      </c>
      <c r="Z90" s="22" t="e">
        <f>IF(LEN(VLOOKUP(Y90,A2:D500,4,FALSE))=0,,VLOOKUP(Y90,A2:D500,4,FALSE))</f>
        <v>#N/A</v>
      </c>
      <c r="AA90" s="56">
        <f>'Predictive Model'!P202</f>
        <v>0</v>
      </c>
      <c r="AB90" s="22" t="e">
        <f>IF(LEN(VLOOKUP(AA90,A2:D500,4,FALSE))=0,,VLOOKUP(AA90,A2:D500,4,FALSE))</f>
        <v>#N/A</v>
      </c>
      <c r="AC90" s="56">
        <f>'Consumption Model'!P207</f>
        <v>0</v>
      </c>
      <c r="AD90" s="22" t="e">
        <f>IF(LEN(VLOOKUP(AC90,A2:D500,4,FALSE))=0,,VLOOKUP(AC90,A2:D500,4,FALSE))</f>
        <v>#N/A</v>
      </c>
      <c r="AE90" s="22">
        <f>'(Data)'!P203</f>
        <v>0</v>
      </c>
      <c r="AF90" s="22" t="e">
        <f>IF(LEN(VLOOKUP(AE89:AE90,A2:D500,4,FALSE))=0,,VLOOKUP(AE89:AE90,A2:D500,4,FALSE))</f>
        <v>#N/A</v>
      </c>
      <c r="AH90" s="45">
        <f>'Risk Charact Model'!P221</f>
        <v>0</v>
      </c>
      <c r="AI90" s="58" t="e">
        <f>IF(LEN(VLOOKUP(AH90,A2:D500,4,FALSE))=0,,VLOOKUP(AH90,A2:D500,4,FALSE))</f>
        <v>#N/A</v>
      </c>
    </row>
    <row r="91" spans="9:35" ht="14" x14ac:dyDescent="0.3">
      <c r="I91" s="60">
        <f>'Generic Metadata Schema'!P221</f>
        <v>0</v>
      </c>
      <c r="J91" s="22" t="e">
        <f>IF(LEN(VLOOKUP(I91,A2:D500,4,FALSE))=0,"",VLOOKUP(I91,A2:D500,4,FALSE))</f>
        <v>#N/A</v>
      </c>
      <c r="L91" s="56">
        <f>'Dose-response Model'!O205</f>
        <v>0</v>
      </c>
      <c r="M91" s="22" t="e">
        <f>IF(LEN(VLOOKUP(L91,A2:D500,4,FALSE))=0,,VLOOKUP(L91,A2:D500,4,FALSE))</f>
        <v>#N/A</v>
      </c>
      <c r="N91" s="22">
        <f>'Exposure Model'!O222</f>
        <v>0</v>
      </c>
      <c r="O91" s="22" t="e">
        <f>IF(LEN(VLOOKUP(N91,A2:D500,4,FALSE))=0,,VLOOKUP(N91,A2:D500,4,FALSE))</f>
        <v>#N/A</v>
      </c>
      <c r="P91" s="55">
        <f>'QRA Models'!P222</f>
        <v>0</v>
      </c>
      <c r="Q91" s="22" t="e">
        <f>IF(LEN(VLOOKUP(P91,A2:D500,4,FALSE))=0,,VLOOKUP(P91,A2:D500,4,FALSE))</f>
        <v>#N/A</v>
      </c>
      <c r="R91" s="56">
        <f>'Health metrics Models'!Q205</f>
        <v>0</v>
      </c>
      <c r="S91" s="22" t="e">
        <f>IF(LEN(VLOOKUP(R91,A2:D500,4,FALSE))=0,,VLOOKUP(R91,A2:D500,4,FALSE))</f>
        <v>#N/A</v>
      </c>
      <c r="T91" s="56">
        <f>'Process Model'!O203</f>
        <v>0</v>
      </c>
      <c r="U91" s="22" t="e">
        <f>IF(LEN(VLOOKUP(T91,A2:D500,4,FALSE))=0,,VLOOKUP(T91,A2:D500,4,FALSE))</f>
        <v>#N/A</v>
      </c>
      <c r="V91" s="56">
        <f>'Toxicological reference value M'!P205</f>
        <v>0</v>
      </c>
      <c r="W91" s="22" t="e">
        <f>IF(LEN(VLOOKUP(V91,A2:D500,4,FALSE))=0,,VLOOKUP(V91,A2:D500,4,FALSE))</f>
        <v>#N/A</v>
      </c>
      <c r="Y91" s="56">
        <f>'Other Empirical Model'!P216</f>
        <v>0</v>
      </c>
      <c r="Z91" s="22" t="e">
        <f>IF(LEN(VLOOKUP(Y91,A2:D500,4,FALSE))=0,,VLOOKUP(Y91,A2:D500,4,FALSE))</f>
        <v>#N/A</v>
      </c>
      <c r="AA91" s="56">
        <f>'Predictive Model'!P203</f>
        <v>0</v>
      </c>
      <c r="AB91" s="22" t="e">
        <f>IF(LEN(VLOOKUP(AA91,A2:D500,4,FALSE))=0,,VLOOKUP(AA91,A2:D500,4,FALSE))</f>
        <v>#N/A</v>
      </c>
      <c r="AC91" s="56">
        <f>'Consumption Model'!P208</f>
        <v>0</v>
      </c>
      <c r="AD91" s="22" t="e">
        <f>IF(LEN(VLOOKUP(AC91,A2:D500,4,FALSE))=0,,VLOOKUP(AC91,A2:D500,4,FALSE))</f>
        <v>#N/A</v>
      </c>
      <c r="AE91" s="22">
        <f>'(Data)'!P204</f>
        <v>0</v>
      </c>
      <c r="AF91" s="22" t="e">
        <f>IF(LEN(VLOOKUP(AE90:AE91,A2:D500,4,FALSE))=0,,VLOOKUP(AE90:AE91,A2:D500,4,FALSE))</f>
        <v>#N/A</v>
      </c>
      <c r="AH91" s="45">
        <f>'Risk Charact Model'!P222</f>
        <v>0</v>
      </c>
      <c r="AI91" s="58" t="e">
        <f>IF(LEN(VLOOKUP(AH91,A2:D500,4,FALSE))=0,,VLOOKUP(AH91,A2:D500,4,FALSE))</f>
        <v>#N/A</v>
      </c>
    </row>
    <row r="92" spans="9:35" ht="14" x14ac:dyDescent="0.3">
      <c r="I92" s="60">
        <f>'Generic Metadata Schema'!P222</f>
        <v>0</v>
      </c>
      <c r="J92" s="22" t="e">
        <f>IF(LEN(VLOOKUP(I92,A2:D500,4,FALSE))=0,"",VLOOKUP(I92,A2:D500,4,FALSE))</f>
        <v>#N/A</v>
      </c>
      <c r="L92" s="56">
        <f>'Dose-response Model'!O206</f>
        <v>0</v>
      </c>
      <c r="M92" s="22" t="e">
        <f>IF(LEN(VLOOKUP(L92,A2:D500,4,FALSE))=0,,VLOOKUP(L92,A2:D500,4,FALSE))</f>
        <v>#N/A</v>
      </c>
      <c r="N92" s="22">
        <f>'Exposure Model'!O223</f>
        <v>0</v>
      </c>
      <c r="O92" s="22" t="e">
        <f>IF(LEN(VLOOKUP(N92,A2:D500,4,FALSE))=0,,VLOOKUP(N92,A2:D500,4,FALSE))</f>
        <v>#N/A</v>
      </c>
      <c r="P92" s="55">
        <f>'QRA Models'!P223</f>
        <v>0</v>
      </c>
      <c r="Q92" s="22" t="e">
        <f>IF(LEN(VLOOKUP(P92,A2:D500,4,FALSE))=0,,VLOOKUP(P92,A2:D500,4,FALSE))</f>
        <v>#N/A</v>
      </c>
      <c r="R92" s="56">
        <f>'Health metrics Models'!Q206</f>
        <v>0</v>
      </c>
      <c r="S92" s="22" t="e">
        <f>IF(LEN(VLOOKUP(R92,A2:D500,4,FALSE))=0,,VLOOKUP(R92,A2:D500,4,FALSE))</f>
        <v>#N/A</v>
      </c>
      <c r="T92" s="56">
        <f>'Process Model'!O204</f>
        <v>0</v>
      </c>
      <c r="U92" s="22" t="e">
        <f>IF(LEN(VLOOKUP(T92,A2:D500,4,FALSE))=0,,VLOOKUP(T92,A2:D500,4,FALSE))</f>
        <v>#N/A</v>
      </c>
      <c r="V92" s="56">
        <f>'Toxicological reference value M'!P206</f>
        <v>0</v>
      </c>
      <c r="W92" s="22" t="e">
        <f>IF(LEN(VLOOKUP(V92,A2:D500,4,FALSE))=0,,VLOOKUP(V92,A2:D500,4,FALSE))</f>
        <v>#N/A</v>
      </c>
      <c r="Y92" s="56">
        <f>'Other Empirical Model'!P217</f>
        <v>0</v>
      </c>
      <c r="Z92" s="22" t="e">
        <f>IF(LEN(VLOOKUP(Y92,A2:D500,4,FALSE))=0,,VLOOKUP(Y92,A2:D500,4,FALSE))</f>
        <v>#N/A</v>
      </c>
      <c r="AA92" s="56">
        <f>'Predictive Model'!P204</f>
        <v>0</v>
      </c>
      <c r="AB92" s="22" t="e">
        <f>IF(LEN(VLOOKUP(AA92,A2:D500,4,FALSE))=0,,VLOOKUP(AA92,A2:D500,4,FALSE))</f>
        <v>#N/A</v>
      </c>
      <c r="AC92" s="56">
        <f>'Consumption Model'!P209</f>
        <v>0</v>
      </c>
      <c r="AD92" s="22" t="e">
        <f>IF(LEN(VLOOKUP(AC92,A2:D500,4,FALSE))=0,,VLOOKUP(AC92,A2:D500,4,FALSE))</f>
        <v>#N/A</v>
      </c>
      <c r="AE92" s="22">
        <f>'(Data)'!P205</f>
        <v>0</v>
      </c>
      <c r="AF92" s="22" t="e">
        <f>IF(LEN(VLOOKUP(AE91:AE92,A2:D500,4,FALSE))=0,,VLOOKUP(AE91:AE92,A2:D500,4,FALSE))</f>
        <v>#N/A</v>
      </c>
      <c r="AH92" s="45">
        <f>'Risk Charact Model'!P223</f>
        <v>0</v>
      </c>
      <c r="AI92" s="58" t="e">
        <f>IF(LEN(VLOOKUP(AH92,A2:D500,4,FALSE))=0,,VLOOKUP(AH92,A2:D500,4,FALSE))</f>
        <v>#N/A</v>
      </c>
    </row>
    <row r="93" spans="9:35" ht="14" x14ac:dyDescent="0.3">
      <c r="I93" s="60">
        <f>'Generic Metadata Schema'!P223</f>
        <v>0</v>
      </c>
      <c r="J93" s="22" t="e">
        <f>IF(LEN(VLOOKUP(I93,A2:D500,4,FALSE))=0,"",VLOOKUP(I93,A2:D500,4,FALSE))</f>
        <v>#N/A</v>
      </c>
      <c r="L93" s="56">
        <f>'Dose-response Model'!O207</f>
        <v>0</v>
      </c>
      <c r="M93" s="22" t="e">
        <f>IF(LEN(VLOOKUP(L93,A2:D500,4,FALSE))=0,,VLOOKUP(L93,A2:D500,4,FALSE))</f>
        <v>#N/A</v>
      </c>
      <c r="N93" s="22">
        <f>'Exposure Model'!O224</f>
        <v>0</v>
      </c>
      <c r="O93" s="22" t="e">
        <f>IF(LEN(VLOOKUP(N93,A2:D500,4,FALSE))=0,,VLOOKUP(N93,A2:D500,4,FALSE))</f>
        <v>#N/A</v>
      </c>
      <c r="P93" s="55">
        <f>'QRA Models'!P224</f>
        <v>0</v>
      </c>
      <c r="Q93" s="22" t="e">
        <f>IF(LEN(VLOOKUP(P93,A2:D500,4,FALSE))=0,,VLOOKUP(P93,A2:D500,4,FALSE))</f>
        <v>#N/A</v>
      </c>
      <c r="R93" s="56">
        <f>'Health metrics Models'!Q207</f>
        <v>0</v>
      </c>
      <c r="S93" s="22" t="e">
        <f>IF(LEN(VLOOKUP(R93,A2:D500,4,FALSE))=0,,VLOOKUP(R93,A2:D500,4,FALSE))</f>
        <v>#N/A</v>
      </c>
      <c r="T93" s="56">
        <f>'Process Model'!O205</f>
        <v>0</v>
      </c>
      <c r="U93" s="22" t="e">
        <f>IF(LEN(VLOOKUP(T93,A2:D500,4,FALSE))=0,,VLOOKUP(T93,A2:D500,4,FALSE))</f>
        <v>#N/A</v>
      </c>
      <c r="V93" s="56">
        <f>'Toxicological reference value M'!P207</f>
        <v>0</v>
      </c>
      <c r="W93" s="22" t="e">
        <f>IF(LEN(VLOOKUP(V93,A2:D500,4,FALSE))=0,,VLOOKUP(V93,A2:D500,4,FALSE))</f>
        <v>#N/A</v>
      </c>
      <c r="Y93" s="56">
        <f>'Other Empirical Model'!P218</f>
        <v>0</v>
      </c>
      <c r="Z93" s="22" t="e">
        <f>IF(LEN(VLOOKUP(Y93,A2:D500,4,FALSE))=0,,VLOOKUP(Y93,A2:D500,4,FALSE))</f>
        <v>#N/A</v>
      </c>
      <c r="AA93" s="56">
        <f>'Predictive Model'!P205</f>
        <v>0</v>
      </c>
      <c r="AB93" s="22" t="e">
        <f>IF(LEN(VLOOKUP(AA93,A2:D500,4,FALSE))=0,,VLOOKUP(AA93,A2:D500,4,FALSE))</f>
        <v>#N/A</v>
      </c>
      <c r="AC93" s="56">
        <f>'Consumption Model'!P210</f>
        <v>0</v>
      </c>
      <c r="AD93" s="22" t="e">
        <f>IF(LEN(VLOOKUP(AC93,A2:D500,4,FALSE))=0,,VLOOKUP(AC93,A2:D500,4,FALSE))</f>
        <v>#N/A</v>
      </c>
      <c r="AE93" s="22">
        <f>'(Data)'!P206</f>
        <v>0</v>
      </c>
      <c r="AF93" s="22" t="e">
        <f>IF(LEN(VLOOKUP(AE92:AE93,A2:D500,4,FALSE))=0,,VLOOKUP(AE92:AE93,A2:D500,4,FALSE))</f>
        <v>#N/A</v>
      </c>
      <c r="AH93" s="45">
        <f>'Risk Charact Model'!P224</f>
        <v>0</v>
      </c>
      <c r="AI93" s="58" t="e">
        <f>IF(LEN(VLOOKUP(AH93,A2:D500,4,FALSE))=0,,VLOOKUP(AH93,A2:D500,4,FALSE))</f>
        <v>#N/A</v>
      </c>
    </row>
    <row r="94" spans="9:35" ht="14" x14ac:dyDescent="0.3">
      <c r="I94" s="60">
        <f>'Generic Metadata Schema'!P224</f>
        <v>0</v>
      </c>
      <c r="J94" s="22" t="e">
        <f>IF(LEN(VLOOKUP(I94,A2:D500,4,FALSE))=0,"",VLOOKUP(I94,A2:D500,4,FALSE))</f>
        <v>#N/A</v>
      </c>
      <c r="L94" s="56">
        <f>'Dose-response Model'!O208</f>
        <v>0</v>
      </c>
      <c r="M94" s="22" t="e">
        <f>IF(LEN(VLOOKUP(L94,A2:D500,4,FALSE))=0,,VLOOKUP(L94,A2:D500,4,FALSE))</f>
        <v>#N/A</v>
      </c>
      <c r="N94" s="22">
        <f>'Exposure Model'!O225</f>
        <v>0</v>
      </c>
      <c r="O94" s="22" t="e">
        <f>IF(LEN(VLOOKUP(N94,A2:D500,4,FALSE))=0,,VLOOKUP(N94,A2:D500,4,FALSE))</f>
        <v>#N/A</v>
      </c>
      <c r="P94" s="55">
        <f>'QRA Models'!P225</f>
        <v>0</v>
      </c>
      <c r="Q94" s="22" t="e">
        <f>IF(LEN(VLOOKUP(P94,A2:D500,4,FALSE))=0,,VLOOKUP(P94,A2:D500,4,FALSE))</f>
        <v>#N/A</v>
      </c>
      <c r="R94" s="56">
        <f>'Health metrics Models'!Q208</f>
        <v>0</v>
      </c>
      <c r="S94" s="22" t="e">
        <f>IF(LEN(VLOOKUP(R94,A2:D500,4,FALSE))=0,,VLOOKUP(R94,A2:D500,4,FALSE))</f>
        <v>#N/A</v>
      </c>
      <c r="T94" s="56">
        <f>'Process Model'!O206</f>
        <v>0</v>
      </c>
      <c r="U94" s="22" t="e">
        <f>IF(LEN(VLOOKUP(T94,A2:D500,4,FALSE))=0,,VLOOKUP(T94,A2:D500,4,FALSE))</f>
        <v>#N/A</v>
      </c>
      <c r="V94" s="56">
        <f>'Toxicological reference value M'!P208</f>
        <v>0</v>
      </c>
      <c r="W94" s="22" t="e">
        <f>IF(LEN(VLOOKUP(V94,A2:D500,4,FALSE))=0,,VLOOKUP(V94,A2:D500,4,FALSE))</f>
        <v>#N/A</v>
      </c>
      <c r="Y94" s="56">
        <f>'Other Empirical Model'!P219</f>
        <v>0</v>
      </c>
      <c r="Z94" s="22" t="e">
        <f>IF(LEN(VLOOKUP(Y94,A2:D500,4,FALSE))=0,,VLOOKUP(Y94,A2:D500,4,FALSE))</f>
        <v>#N/A</v>
      </c>
      <c r="AA94" s="56">
        <f>'Predictive Model'!P206</f>
        <v>0</v>
      </c>
      <c r="AB94" s="22" t="e">
        <f>IF(LEN(VLOOKUP(AA94,A2:D500,4,FALSE))=0,,VLOOKUP(AA94,A2:D500,4,FALSE))</f>
        <v>#N/A</v>
      </c>
      <c r="AC94" s="56">
        <f>'Consumption Model'!P211</f>
        <v>0</v>
      </c>
      <c r="AD94" s="22" t="e">
        <f>IF(LEN(VLOOKUP(AC94,A2:D500,4,FALSE))=0,,VLOOKUP(AC94,A2:D500,4,FALSE))</f>
        <v>#N/A</v>
      </c>
      <c r="AE94" s="22">
        <f>'(Data)'!P207</f>
        <v>0</v>
      </c>
      <c r="AF94" s="22" t="e">
        <f>IF(LEN(VLOOKUP(AE93:AE94,A2:D500,4,FALSE))=0,,VLOOKUP(AE93:AE94,A2:D500,4,FALSE))</f>
        <v>#N/A</v>
      </c>
      <c r="AH94" s="45">
        <f>'Risk Charact Model'!P225</f>
        <v>0</v>
      </c>
      <c r="AI94" s="58" t="e">
        <f>IF(LEN(VLOOKUP(AH94,A2:D500,4,FALSE))=0,,VLOOKUP(AH94,A2:D500,4,FALSE))</f>
        <v>#N/A</v>
      </c>
    </row>
    <row r="95" spans="9:35" ht="14" x14ac:dyDescent="0.3">
      <c r="I95" s="60">
        <f>'Generic Metadata Schema'!P225</f>
        <v>0</v>
      </c>
      <c r="J95" s="22" t="e">
        <f>IF(LEN(VLOOKUP(I95,A2:D500,4,FALSE))=0,"",VLOOKUP(I95,A2:D500,4,FALSE))</f>
        <v>#N/A</v>
      </c>
      <c r="L95" s="56">
        <f>'Dose-response Model'!O209</f>
        <v>0</v>
      </c>
      <c r="M95" s="22" t="e">
        <f>IF(LEN(VLOOKUP(L95,A2:D500,4,FALSE))=0,,VLOOKUP(L95,A2:D500,4,FALSE))</f>
        <v>#N/A</v>
      </c>
      <c r="N95" s="22">
        <f>'Exposure Model'!O226</f>
        <v>0</v>
      </c>
      <c r="O95" s="22" t="e">
        <f>IF(LEN(VLOOKUP(N95,A2:D500,4,FALSE))=0,,VLOOKUP(N95,A2:D500,4,FALSE))</f>
        <v>#N/A</v>
      </c>
      <c r="P95" s="55">
        <f>'QRA Models'!P226</f>
        <v>0</v>
      </c>
      <c r="Q95" s="22" t="e">
        <f>IF(LEN(VLOOKUP(P95,A2:D500,4,FALSE))=0,,VLOOKUP(P95,A2:D500,4,FALSE))</f>
        <v>#N/A</v>
      </c>
      <c r="R95" s="56">
        <f>'Health metrics Models'!Q209</f>
        <v>0</v>
      </c>
      <c r="S95" s="22" t="e">
        <f>IF(LEN(VLOOKUP(R95,A2:D500,4,FALSE))=0,,VLOOKUP(R95,A2:D500,4,FALSE))</f>
        <v>#N/A</v>
      </c>
      <c r="T95" s="56">
        <f>'Process Model'!O207</f>
        <v>0</v>
      </c>
      <c r="U95" s="22" t="e">
        <f>IF(LEN(VLOOKUP(T95,A2:D500,4,FALSE))=0,,VLOOKUP(T95,A2:D500,4,FALSE))</f>
        <v>#N/A</v>
      </c>
      <c r="V95" s="56">
        <f>'Toxicological reference value M'!P209</f>
        <v>0</v>
      </c>
      <c r="W95" s="22" t="e">
        <f>IF(LEN(VLOOKUP(V95,A2:D500,4,FALSE))=0,,VLOOKUP(V95,A2:D500,4,FALSE))</f>
        <v>#N/A</v>
      </c>
      <c r="Y95" s="56">
        <f>'Other Empirical Model'!P220</f>
        <v>0</v>
      </c>
      <c r="Z95" s="22" t="e">
        <f>IF(LEN(VLOOKUP(Y95,A2:D500,4,FALSE))=0,,VLOOKUP(Y95,A2:D500,4,FALSE))</f>
        <v>#N/A</v>
      </c>
      <c r="AA95" s="56">
        <f>'Predictive Model'!P207</f>
        <v>0</v>
      </c>
      <c r="AB95" s="22" t="e">
        <f>IF(LEN(VLOOKUP(AA95,A2:D500,4,FALSE))=0,,VLOOKUP(AA95,A2:D500,4,FALSE))</f>
        <v>#N/A</v>
      </c>
      <c r="AC95" s="56">
        <f>'Consumption Model'!P212</f>
        <v>0</v>
      </c>
      <c r="AD95" s="22" t="e">
        <f>IF(LEN(VLOOKUP(AC95,A2:D500,4,FALSE))=0,,VLOOKUP(AC95,A2:D500,4,FALSE))</f>
        <v>#N/A</v>
      </c>
      <c r="AE95" s="22">
        <f>'(Data)'!P208</f>
        <v>0</v>
      </c>
      <c r="AF95" s="22" t="e">
        <f>IF(LEN(VLOOKUP(AE94:AE95,A2:D500,4,FALSE))=0,,VLOOKUP(AE94:AE95,A2:D500,4,FALSE))</f>
        <v>#N/A</v>
      </c>
      <c r="AH95" s="45">
        <f>'Risk Charact Model'!P226</f>
        <v>0</v>
      </c>
      <c r="AI95" s="58" t="e">
        <f>IF(LEN(VLOOKUP(AH95,A2:D500,4,FALSE))=0,,VLOOKUP(AH95,A2:D500,4,FALSE))</f>
        <v>#N/A</v>
      </c>
    </row>
    <row r="96" spans="9:35" ht="14" x14ac:dyDescent="0.3">
      <c r="I96" s="60">
        <f>'Generic Metadata Schema'!P226</f>
        <v>0</v>
      </c>
      <c r="J96" s="22" t="e">
        <f>IF(LEN(VLOOKUP(I96,A2:D500,4,FALSE))=0,"",VLOOKUP(I96,A2:D500,4,FALSE))</f>
        <v>#N/A</v>
      </c>
      <c r="L96" s="56">
        <f>'Dose-response Model'!O210</f>
        <v>0</v>
      </c>
      <c r="M96" s="22" t="e">
        <f>IF(LEN(VLOOKUP(L96,A2:D500,4,FALSE))=0,,VLOOKUP(L96,A2:D500,4,FALSE))</f>
        <v>#N/A</v>
      </c>
      <c r="N96" s="22">
        <f>'Exposure Model'!O227</f>
        <v>0</v>
      </c>
      <c r="O96" s="22" t="e">
        <f>IF(LEN(VLOOKUP(N96,A2:D500,4,FALSE))=0,,VLOOKUP(N96,A2:D500,4,FALSE))</f>
        <v>#N/A</v>
      </c>
      <c r="P96" s="55">
        <f>'QRA Models'!P227</f>
        <v>0</v>
      </c>
      <c r="Q96" s="22" t="e">
        <f>IF(LEN(VLOOKUP(P96,A2:D500,4,FALSE))=0,,VLOOKUP(P96,A2:D500,4,FALSE))</f>
        <v>#N/A</v>
      </c>
      <c r="R96" s="56">
        <f>'Health metrics Models'!Q210</f>
        <v>0</v>
      </c>
      <c r="S96" s="22" t="e">
        <f>IF(LEN(VLOOKUP(R96,A2:D500,4,FALSE))=0,,VLOOKUP(R96,A2:D500,4,FALSE))</f>
        <v>#N/A</v>
      </c>
      <c r="T96" s="56">
        <f>'Process Model'!O208</f>
        <v>0</v>
      </c>
      <c r="U96" s="22" t="e">
        <f>IF(LEN(VLOOKUP(T96,A2:D500,4,FALSE))=0,,VLOOKUP(T96,A2:D500,4,FALSE))</f>
        <v>#N/A</v>
      </c>
      <c r="V96" s="56">
        <f>'Toxicological reference value M'!P210</f>
        <v>0</v>
      </c>
      <c r="W96" s="22" t="e">
        <f>IF(LEN(VLOOKUP(V96,A2:D500,4,FALSE))=0,,VLOOKUP(V96,A2:D500,4,FALSE))</f>
        <v>#N/A</v>
      </c>
      <c r="Y96" s="56">
        <f>'Other Empirical Model'!P221</f>
        <v>0</v>
      </c>
      <c r="Z96" s="22" t="e">
        <f>IF(LEN(VLOOKUP(Y96,A2:D500,4,FALSE))=0,,VLOOKUP(Y96,A2:D500,4,FALSE))</f>
        <v>#N/A</v>
      </c>
      <c r="AA96" s="56">
        <f>'Predictive Model'!P208</f>
        <v>0</v>
      </c>
      <c r="AB96" s="22" t="e">
        <f>IF(LEN(VLOOKUP(AA96,A2:D500,4,FALSE))=0,,VLOOKUP(AA96,A2:D500,4,FALSE))</f>
        <v>#N/A</v>
      </c>
      <c r="AC96" s="56">
        <f>'Consumption Model'!P213</f>
        <v>0</v>
      </c>
      <c r="AD96" s="22" t="e">
        <f>IF(LEN(VLOOKUP(AC96,A2:D500,4,FALSE))=0,,VLOOKUP(AC96,A2:D500,4,FALSE))</f>
        <v>#N/A</v>
      </c>
      <c r="AE96" s="22">
        <f>'(Data)'!P209</f>
        <v>0</v>
      </c>
      <c r="AF96" s="22" t="e">
        <f>IF(LEN(VLOOKUP(AE95:AE96,A2:D500,4,FALSE))=0,,VLOOKUP(AE95:AE96,A2:D500,4,FALSE))</f>
        <v>#N/A</v>
      </c>
      <c r="AH96" s="45">
        <f>'Risk Charact Model'!P227</f>
        <v>0</v>
      </c>
      <c r="AI96" s="58" t="e">
        <f>IF(LEN(VLOOKUP(AH96,A2:D500,4,FALSE))=0,,VLOOKUP(AH96,A2:D500,4,FALSE))</f>
        <v>#N/A</v>
      </c>
    </row>
    <row r="97" spans="9:35" ht="14" x14ac:dyDescent="0.3">
      <c r="I97" s="60">
        <f>'Generic Metadata Schema'!P227</f>
        <v>0</v>
      </c>
      <c r="J97" s="22" t="e">
        <f>IF(LEN(VLOOKUP(I97,A2:D500,4,FALSE))=0,"",VLOOKUP(I97,A2:D500,4,FALSE))</f>
        <v>#N/A</v>
      </c>
      <c r="L97" s="56">
        <f>'Dose-response Model'!O211</f>
        <v>0</v>
      </c>
      <c r="M97" s="22" t="e">
        <f>IF(LEN(VLOOKUP(L97,A2:D500,4,FALSE))=0,,VLOOKUP(L97,A2:D500,4,FALSE))</f>
        <v>#N/A</v>
      </c>
      <c r="N97" s="22">
        <f>'Exposure Model'!O228</f>
        <v>0</v>
      </c>
      <c r="O97" s="22" t="e">
        <f>IF(LEN(VLOOKUP(N97,A2:D500,4,FALSE))=0,,VLOOKUP(N97,A2:D500,4,FALSE))</f>
        <v>#N/A</v>
      </c>
      <c r="P97" s="55">
        <f>'QRA Models'!P228</f>
        <v>0</v>
      </c>
      <c r="Q97" s="22" t="e">
        <f>IF(LEN(VLOOKUP(P97,A2:D500,4,FALSE))=0,,VLOOKUP(P97,A2:D500,4,FALSE))</f>
        <v>#N/A</v>
      </c>
      <c r="R97" s="56">
        <f>'Health metrics Models'!Q211</f>
        <v>0</v>
      </c>
      <c r="S97" s="22" t="e">
        <f>IF(LEN(VLOOKUP(R97,A2:D500,4,FALSE))=0,,VLOOKUP(R97,A2:D500,4,FALSE))</f>
        <v>#N/A</v>
      </c>
      <c r="T97" s="56">
        <f>'Process Model'!O209</f>
        <v>0</v>
      </c>
      <c r="U97" s="22" t="e">
        <f>IF(LEN(VLOOKUP(T97,A2:D500,4,FALSE))=0,,VLOOKUP(T97,A2:D500,4,FALSE))</f>
        <v>#N/A</v>
      </c>
      <c r="V97" s="56">
        <f>'Toxicological reference value M'!P211</f>
        <v>0</v>
      </c>
      <c r="W97" s="22" t="e">
        <f>IF(LEN(VLOOKUP(V97,A2:D500,4,FALSE))=0,,VLOOKUP(V97,A2:D500,4,FALSE))</f>
        <v>#N/A</v>
      </c>
      <c r="Y97" s="56">
        <f>'Other Empirical Model'!P222</f>
        <v>0</v>
      </c>
      <c r="Z97" s="22" t="e">
        <f>IF(LEN(VLOOKUP(Y97,A2:D500,4,FALSE))=0,,VLOOKUP(Y97,A2:D500,4,FALSE))</f>
        <v>#N/A</v>
      </c>
      <c r="AA97" s="56">
        <f>'Predictive Model'!P209</f>
        <v>0</v>
      </c>
      <c r="AB97" s="22" t="e">
        <f>IF(LEN(VLOOKUP(AA97,A2:D500,4,FALSE))=0,,VLOOKUP(AA97,A2:D500,4,FALSE))</f>
        <v>#N/A</v>
      </c>
      <c r="AC97" s="56">
        <f>'Consumption Model'!P214</f>
        <v>0</v>
      </c>
      <c r="AD97" s="22" t="e">
        <f>IF(LEN(VLOOKUP(AC97,A2:D500,4,FALSE))=0,,VLOOKUP(AC97,A2:D500,4,FALSE))</f>
        <v>#N/A</v>
      </c>
      <c r="AE97" s="22">
        <f>'(Data)'!P210</f>
        <v>0</v>
      </c>
      <c r="AF97" s="22" t="e">
        <f>IF(LEN(VLOOKUP(AE96:AE97,A2:D500,4,FALSE))=0,,VLOOKUP(AE96:AE97,A2:D500,4,FALSE))</f>
        <v>#N/A</v>
      </c>
      <c r="AH97" s="45">
        <f>'Risk Charact Model'!P228</f>
        <v>0</v>
      </c>
      <c r="AI97" s="58" t="e">
        <f>IF(LEN(VLOOKUP(AH97,A2:D500,4,FALSE))=0,,VLOOKUP(AH97,A2:D500,4,FALSE))</f>
        <v>#N/A</v>
      </c>
    </row>
    <row r="98" spans="9:35" ht="14" x14ac:dyDescent="0.3">
      <c r="I98" s="60">
        <f>'Generic Metadata Schema'!P228</f>
        <v>0</v>
      </c>
      <c r="J98" s="22" t="e">
        <f>IF(LEN(VLOOKUP(I98,A2:D500,4,FALSE))=0,"",VLOOKUP(I98,A2:D500,4,FALSE))</f>
        <v>#N/A</v>
      </c>
      <c r="L98" s="56">
        <f>'Dose-response Model'!O212</f>
        <v>0</v>
      </c>
      <c r="M98" s="22" t="e">
        <f>IF(LEN(VLOOKUP(L98,A2:D500,4,FALSE))=0,,VLOOKUP(L98,A2:D500,4,FALSE))</f>
        <v>#N/A</v>
      </c>
      <c r="N98" s="22">
        <f>'Exposure Model'!O229</f>
        <v>0</v>
      </c>
      <c r="O98" s="22" t="e">
        <f>IF(LEN(VLOOKUP(N98,A2:D500,4,FALSE))=0,,VLOOKUP(N98,A2:D500,4,FALSE))</f>
        <v>#N/A</v>
      </c>
      <c r="P98" s="55">
        <f>'QRA Models'!P229</f>
        <v>0</v>
      </c>
      <c r="Q98" s="22" t="e">
        <f>IF(LEN(VLOOKUP(P98,A2:D500,4,FALSE))=0,,VLOOKUP(P98,A2:D500,4,FALSE))</f>
        <v>#N/A</v>
      </c>
      <c r="R98" s="56">
        <f>'Health metrics Models'!Q212</f>
        <v>0</v>
      </c>
      <c r="S98" s="22" t="e">
        <f>IF(LEN(VLOOKUP(R98,A2:D500,4,FALSE))=0,,VLOOKUP(R98,A2:D500,4,FALSE))</f>
        <v>#N/A</v>
      </c>
      <c r="T98" s="56">
        <f>'Process Model'!O210</f>
        <v>0</v>
      </c>
      <c r="U98" s="22" t="e">
        <f>IF(LEN(VLOOKUP(T98,A2:D500,4,FALSE))=0,,VLOOKUP(T98,A2:D500,4,FALSE))</f>
        <v>#N/A</v>
      </c>
      <c r="V98" s="56">
        <f>'Toxicological reference value M'!P212</f>
        <v>0</v>
      </c>
      <c r="W98" s="22" t="e">
        <f>IF(LEN(VLOOKUP(V98,A2:D500,4,FALSE))=0,,VLOOKUP(V98,A2:D500,4,FALSE))</f>
        <v>#N/A</v>
      </c>
      <c r="Y98" s="56">
        <f>'Other Empirical Model'!P223</f>
        <v>0</v>
      </c>
      <c r="Z98" s="22" t="e">
        <f>IF(LEN(VLOOKUP(Y98,A2:D500,4,FALSE))=0,,VLOOKUP(Y98,A2:D500,4,FALSE))</f>
        <v>#N/A</v>
      </c>
      <c r="AA98" s="56">
        <f>'Predictive Model'!P210</f>
        <v>0</v>
      </c>
      <c r="AB98" s="22" t="e">
        <f>IF(LEN(VLOOKUP(AA98,A2:D500,4,FALSE))=0,,VLOOKUP(AA98,A2:D500,4,FALSE))</f>
        <v>#N/A</v>
      </c>
      <c r="AC98" s="56">
        <f>'Consumption Model'!P215</f>
        <v>0</v>
      </c>
      <c r="AD98" s="22" t="e">
        <f>IF(LEN(VLOOKUP(AC98,A2:D500,4,FALSE))=0,,VLOOKUP(AC98,A2:D500,4,FALSE))</f>
        <v>#N/A</v>
      </c>
      <c r="AE98" s="22">
        <f>'(Data)'!P211</f>
        <v>0</v>
      </c>
      <c r="AF98" s="22" t="e">
        <f>IF(LEN(VLOOKUP(AE97:AE98,A2:D500,4,FALSE))=0,,VLOOKUP(AE97:AE98,A2:D500,4,FALSE))</f>
        <v>#N/A</v>
      </c>
      <c r="AH98" s="45">
        <f>'Risk Charact Model'!P229</f>
        <v>0</v>
      </c>
      <c r="AI98" s="58" t="e">
        <f>IF(LEN(VLOOKUP(AH98,A2:D500,4,FALSE))=0,,VLOOKUP(AH98,A2:D500,4,FALSE))</f>
        <v>#N/A</v>
      </c>
    </row>
    <row r="99" spans="9:35" ht="14" x14ac:dyDescent="0.3">
      <c r="I99" s="60">
        <f>'Generic Metadata Schema'!P229</f>
        <v>0</v>
      </c>
      <c r="J99" s="22" t="e">
        <f>IF(LEN(VLOOKUP(I99,A2:D500,4,FALSE))=0,"",VLOOKUP(I99,A2:D500,4,FALSE))</f>
        <v>#N/A</v>
      </c>
      <c r="L99" s="56">
        <f>'Dose-response Model'!O213</f>
        <v>0</v>
      </c>
      <c r="M99" s="22" t="e">
        <f>IF(LEN(VLOOKUP(L99,A2:D500,4,FALSE))=0,,VLOOKUP(L99,A2:D500,4,FALSE))</f>
        <v>#N/A</v>
      </c>
      <c r="N99" s="22">
        <f>'Exposure Model'!O230</f>
        <v>0</v>
      </c>
      <c r="O99" s="22" t="e">
        <f>IF(LEN(VLOOKUP(N99,A2:D500,4,FALSE))=0,,VLOOKUP(N99,A2:D500,4,FALSE))</f>
        <v>#N/A</v>
      </c>
      <c r="P99" s="55">
        <f>'QRA Models'!P230</f>
        <v>0</v>
      </c>
      <c r="Q99" s="22" t="e">
        <f>IF(LEN(VLOOKUP(P99,A2:D500,4,FALSE))=0,,VLOOKUP(P99,A2:D500,4,FALSE))</f>
        <v>#N/A</v>
      </c>
      <c r="R99" s="56">
        <f>'Health metrics Models'!Q213</f>
        <v>0</v>
      </c>
      <c r="S99" s="22" t="e">
        <f>IF(LEN(VLOOKUP(R99,A2:D500,4,FALSE))=0,,VLOOKUP(R99,A2:D500,4,FALSE))</f>
        <v>#N/A</v>
      </c>
      <c r="T99" s="56">
        <f>'Process Model'!O211</f>
        <v>0</v>
      </c>
      <c r="U99" s="22" t="e">
        <f>IF(LEN(VLOOKUP(T99,A2:D500,4,FALSE))=0,,VLOOKUP(T99,A2:D500,4,FALSE))</f>
        <v>#N/A</v>
      </c>
      <c r="V99" s="56">
        <f>'Toxicological reference value M'!P213</f>
        <v>0</v>
      </c>
      <c r="W99" s="22" t="e">
        <f>IF(LEN(VLOOKUP(V99,A2:D500,4,FALSE))=0,,VLOOKUP(V99,A2:D500,4,FALSE))</f>
        <v>#N/A</v>
      </c>
      <c r="Y99" s="56">
        <f>'Other Empirical Model'!P224</f>
        <v>0</v>
      </c>
      <c r="Z99" s="22" t="e">
        <f>IF(LEN(VLOOKUP(Y99,A2:D500,4,FALSE))=0,,VLOOKUP(Y99,A2:D500,4,FALSE))</f>
        <v>#N/A</v>
      </c>
      <c r="AA99" s="56">
        <f>'Predictive Model'!P211</f>
        <v>0</v>
      </c>
      <c r="AB99" s="22" t="e">
        <f>IF(LEN(VLOOKUP(AA99,A2:D500,4,FALSE))=0,,VLOOKUP(AA99,A2:D500,4,FALSE))</f>
        <v>#N/A</v>
      </c>
      <c r="AC99" s="56">
        <f>'Consumption Model'!P216</f>
        <v>0</v>
      </c>
      <c r="AD99" s="22" t="e">
        <f>IF(LEN(VLOOKUP(AC99,A2:D500,4,FALSE))=0,,VLOOKUP(AC99,A2:D500,4,FALSE))</f>
        <v>#N/A</v>
      </c>
      <c r="AE99" s="22">
        <f>'(Data)'!P212</f>
        <v>0</v>
      </c>
      <c r="AF99" s="22" t="e">
        <f>IF(LEN(VLOOKUP(AE98:AE99,A2:D500,4,FALSE))=0,,VLOOKUP(AE98:AE99,A2:D500,4,FALSE))</f>
        <v>#N/A</v>
      </c>
      <c r="AH99" s="45">
        <f>'Risk Charact Model'!P230</f>
        <v>0</v>
      </c>
      <c r="AI99" s="58" t="e">
        <f>IF(LEN(VLOOKUP(AH99,A2:D500,4,FALSE))=0,,VLOOKUP(AH99,A2:D500,4,FALSE))</f>
        <v>#N/A</v>
      </c>
    </row>
    <row r="100" spans="9:35" ht="14" x14ac:dyDescent="0.3">
      <c r="I100" s="60">
        <f>'Generic Metadata Schema'!P230</f>
        <v>0</v>
      </c>
      <c r="J100" s="22" t="e">
        <f>IF(LEN(VLOOKUP(I100,A2:D500,4,FALSE))=0,"",VLOOKUP(I100,A2:D500,4,FALSE))</f>
        <v>#N/A</v>
      </c>
      <c r="L100" s="56">
        <f>'Dose-response Model'!O214</f>
        <v>0</v>
      </c>
      <c r="M100" s="22" t="e">
        <f>IF(LEN(VLOOKUP(L100,A2:D500,4,FALSE))=0,,VLOOKUP(L100,A2:D500,4,FALSE))</f>
        <v>#N/A</v>
      </c>
      <c r="N100" s="22">
        <f>'Exposure Model'!O231</f>
        <v>0</v>
      </c>
      <c r="O100" s="22" t="e">
        <f>IF(LEN(VLOOKUP(N100,A2:D500,4,FALSE))=0,,VLOOKUP(N100,A2:D500,4,FALSE))</f>
        <v>#N/A</v>
      </c>
      <c r="P100" s="55">
        <f>'QRA Models'!P231</f>
        <v>0</v>
      </c>
      <c r="Q100" s="22" t="e">
        <f>IF(LEN(VLOOKUP(P100,A2:D500,4,FALSE))=0,,VLOOKUP(P100,A2:D500,4,FALSE))</f>
        <v>#N/A</v>
      </c>
      <c r="R100" s="56">
        <f>'Health metrics Models'!Q214</f>
        <v>0</v>
      </c>
      <c r="S100" s="22" t="e">
        <f>IF(LEN(VLOOKUP(R100,A2:D500,4,FALSE))=0,,VLOOKUP(R100,A2:D500,4,FALSE))</f>
        <v>#N/A</v>
      </c>
      <c r="T100" s="56">
        <f>'Process Model'!O212</f>
        <v>0</v>
      </c>
      <c r="U100" s="22" t="e">
        <f>IF(LEN(VLOOKUP(T100,A2:D500,4,FALSE))=0,,VLOOKUP(T100,A2:D500,4,FALSE))</f>
        <v>#N/A</v>
      </c>
      <c r="V100" s="56">
        <f>'Toxicological reference value M'!P214</f>
        <v>0</v>
      </c>
      <c r="W100" s="22" t="e">
        <f>IF(LEN(VLOOKUP(V100,A2:D500,4,FALSE))=0,,VLOOKUP(V100,A2:D500,4,FALSE))</f>
        <v>#N/A</v>
      </c>
      <c r="Y100" s="56">
        <f>'Other Empirical Model'!P225</f>
        <v>0</v>
      </c>
      <c r="Z100" s="22" t="e">
        <f>IF(LEN(VLOOKUP(Y100,A2:D500,4,FALSE))=0,,VLOOKUP(Y100,A2:D500,4,FALSE))</f>
        <v>#N/A</v>
      </c>
      <c r="AA100" s="56">
        <f>'Predictive Model'!P212</f>
        <v>0</v>
      </c>
      <c r="AB100" s="22" t="e">
        <f>IF(LEN(VLOOKUP(AA100,A2:D500,4,FALSE))=0,,VLOOKUP(AA100,A2:D500,4,FALSE))</f>
        <v>#N/A</v>
      </c>
      <c r="AC100" s="56">
        <f>'Consumption Model'!P217</f>
        <v>0</v>
      </c>
      <c r="AD100" s="22" t="e">
        <f>IF(LEN(VLOOKUP(AC100,A2:D500,4,FALSE))=0,,VLOOKUP(AC100,A2:D500,4,FALSE))</f>
        <v>#N/A</v>
      </c>
      <c r="AE100" s="22">
        <f>'(Data)'!P213</f>
        <v>0</v>
      </c>
      <c r="AF100" s="22" t="e">
        <f>IF(LEN(VLOOKUP(AE99:AE100,A2:D500,4,FALSE))=0,,VLOOKUP(AE99:AE100,A2:D500,4,FALSE))</f>
        <v>#N/A</v>
      </c>
      <c r="AH100" s="45">
        <f>'Risk Charact Model'!P231</f>
        <v>0</v>
      </c>
      <c r="AI100" s="58" t="e">
        <f>IF(LEN(VLOOKUP(AH100,A2:D500,4,FALSE))=0,,VLOOKUP(AH100,A2:D500,4,FALSE))</f>
        <v>#N/A</v>
      </c>
    </row>
    <row r="101" spans="9:35" ht="14" x14ac:dyDescent="0.3">
      <c r="I101" s="60">
        <f>'Generic Metadata Schema'!P231</f>
        <v>0</v>
      </c>
      <c r="J101" s="22" t="e">
        <f>IF(LEN(VLOOKUP(I101,A2:D500,4,FALSE))=0,"",VLOOKUP(I101,A2:D500,4,FALSE))</f>
        <v>#N/A</v>
      </c>
      <c r="L101" s="56">
        <f>'Dose-response Model'!O215</f>
        <v>0</v>
      </c>
      <c r="M101" s="22" t="e">
        <f>IF(LEN(VLOOKUP(L101,A2:D500,4,FALSE))=0,,VLOOKUP(L101,A2:D500,4,FALSE))</f>
        <v>#N/A</v>
      </c>
      <c r="N101" s="22">
        <f>'Exposure Model'!O232</f>
        <v>0</v>
      </c>
      <c r="O101" s="22" t="e">
        <f>IF(LEN(VLOOKUP(N101,A2:D500,4,FALSE))=0,,VLOOKUP(N101,A2:D500,4,FALSE))</f>
        <v>#N/A</v>
      </c>
      <c r="P101" s="55">
        <f>'QRA Models'!P232</f>
        <v>0</v>
      </c>
      <c r="Q101" s="22" t="e">
        <f>IF(LEN(VLOOKUP(P101,A2:D500,4,FALSE))=0,,VLOOKUP(P101,A2:D500,4,FALSE))</f>
        <v>#N/A</v>
      </c>
      <c r="R101" s="56">
        <f>'Health metrics Models'!Q215</f>
        <v>0</v>
      </c>
      <c r="S101" s="22" t="e">
        <f>IF(LEN(VLOOKUP(R101,A2:D500,4,FALSE))=0,,VLOOKUP(R101,A2:D500,4,FALSE))</f>
        <v>#N/A</v>
      </c>
      <c r="T101" s="56">
        <f>'Process Model'!O213</f>
        <v>0</v>
      </c>
      <c r="U101" s="22" t="e">
        <f>IF(LEN(VLOOKUP(T101,A2:D500,4,FALSE))=0,,VLOOKUP(T101,A2:D500,4,FALSE))</f>
        <v>#N/A</v>
      </c>
      <c r="V101" s="56">
        <f>'Toxicological reference value M'!P215</f>
        <v>0</v>
      </c>
      <c r="W101" s="22" t="e">
        <f>IF(LEN(VLOOKUP(V101,A2:D500,4,FALSE))=0,,VLOOKUP(V101,A2:D500,4,FALSE))</f>
        <v>#N/A</v>
      </c>
      <c r="Y101" s="56">
        <f>'Other Empirical Model'!P226</f>
        <v>0</v>
      </c>
      <c r="Z101" s="22" t="e">
        <f>IF(LEN(VLOOKUP(Y101,A2:D500,4,FALSE))=0,,VLOOKUP(Y101,A2:D500,4,FALSE))</f>
        <v>#N/A</v>
      </c>
      <c r="AA101" s="56">
        <f>'Predictive Model'!P213</f>
        <v>0</v>
      </c>
      <c r="AB101" s="22" t="e">
        <f>IF(LEN(VLOOKUP(AA101,A2:D500,4,FALSE))=0,,VLOOKUP(AA101,A2:D500,4,FALSE))</f>
        <v>#N/A</v>
      </c>
      <c r="AC101" s="56">
        <f>'Consumption Model'!P218</f>
        <v>0</v>
      </c>
      <c r="AD101" s="22" t="e">
        <f>IF(LEN(VLOOKUP(AC101,A2:D500,4,FALSE))=0,,VLOOKUP(AC101,A2:D500,4,FALSE))</f>
        <v>#N/A</v>
      </c>
      <c r="AE101" s="22">
        <f>'(Data)'!P214</f>
        <v>0</v>
      </c>
      <c r="AF101" s="22" t="e">
        <f>IF(LEN(VLOOKUP(AE100:AE101,A2:D500,4,FALSE))=0,,VLOOKUP(AE100:AE101,A2:D500,4,FALSE))</f>
        <v>#N/A</v>
      </c>
      <c r="AH101" s="45">
        <f>'Risk Charact Model'!P232</f>
        <v>0</v>
      </c>
      <c r="AI101" s="58" t="e">
        <f>IF(LEN(VLOOKUP(AH101,A2:D500,4,FALSE))=0,,VLOOKUP(AH101,A2:D500,4,FALSE))</f>
        <v>#N/A</v>
      </c>
    </row>
    <row r="102" spans="9:35" ht="14" x14ac:dyDescent="0.3">
      <c r="I102" s="60">
        <f>'Generic Metadata Schema'!P232</f>
        <v>0</v>
      </c>
      <c r="J102" s="22" t="e">
        <f>IF(LEN(VLOOKUP(I102,A2:D500,4,FALSE))=0,"",VLOOKUP(I102,A2:D500,4,FALSE))</f>
        <v>#N/A</v>
      </c>
      <c r="L102" s="56">
        <f>'Dose-response Model'!O216</f>
        <v>0</v>
      </c>
      <c r="M102" s="22" t="e">
        <f>IF(LEN(VLOOKUP(L102,A2:D500,4,FALSE))=0,,VLOOKUP(L102,A2:D500,4,FALSE))</f>
        <v>#N/A</v>
      </c>
      <c r="N102" s="22">
        <f>'Exposure Model'!O233</f>
        <v>0</v>
      </c>
      <c r="O102" s="22" t="e">
        <f>IF(LEN(VLOOKUP(N102,A2:D500,4,FALSE))=0,,VLOOKUP(N102,A2:D500,4,FALSE))</f>
        <v>#N/A</v>
      </c>
      <c r="P102" s="55">
        <f>'QRA Models'!P233</f>
        <v>0</v>
      </c>
      <c r="Q102" s="22" t="e">
        <f>IF(LEN(VLOOKUP(P102,A2:D500,4,FALSE))=0,,VLOOKUP(P102,A2:D500,4,FALSE))</f>
        <v>#N/A</v>
      </c>
      <c r="R102" s="56">
        <f>'Health metrics Models'!Q216</f>
        <v>0</v>
      </c>
      <c r="S102" s="22" t="e">
        <f>IF(LEN(VLOOKUP(R102,A2:D500,4,FALSE))=0,,VLOOKUP(R102,A2:D500,4,FALSE))</f>
        <v>#N/A</v>
      </c>
      <c r="T102" s="56">
        <f>'Process Model'!O214</f>
        <v>0</v>
      </c>
      <c r="U102" s="22" t="e">
        <f>IF(LEN(VLOOKUP(T102,A2:D500,4,FALSE))=0,,VLOOKUP(T102,A2:D500,4,FALSE))</f>
        <v>#N/A</v>
      </c>
      <c r="V102" s="56">
        <f>'Toxicological reference value M'!P216</f>
        <v>0</v>
      </c>
      <c r="W102" s="22" t="e">
        <f>IF(LEN(VLOOKUP(V102,A2:D500,4,FALSE))=0,,VLOOKUP(V102,A2:D500,4,FALSE))</f>
        <v>#N/A</v>
      </c>
      <c r="Y102" s="56">
        <f>'Other Empirical Model'!P227</f>
        <v>0</v>
      </c>
      <c r="Z102" s="22" t="e">
        <f>IF(LEN(VLOOKUP(Y102,A2:D500,4,FALSE))=0,,VLOOKUP(Y102,A2:D500,4,FALSE))</f>
        <v>#N/A</v>
      </c>
      <c r="AA102" s="56">
        <f>'Predictive Model'!P214</f>
        <v>0</v>
      </c>
      <c r="AB102" s="22" t="e">
        <f>IF(LEN(VLOOKUP(AA102,A2:D500,4,FALSE))=0,,VLOOKUP(AA102,A2:D500,4,FALSE))</f>
        <v>#N/A</v>
      </c>
      <c r="AC102" s="56">
        <f>'Consumption Model'!P219</f>
        <v>0</v>
      </c>
      <c r="AD102" s="22" t="e">
        <f>IF(LEN(VLOOKUP(AC102,A2:D500,4,FALSE))=0,,VLOOKUP(AC102,A2:D500,4,FALSE))</f>
        <v>#N/A</v>
      </c>
      <c r="AE102" s="22">
        <f>'(Data)'!P215</f>
        <v>0</v>
      </c>
      <c r="AF102" s="22" t="e">
        <f>IF(LEN(VLOOKUP(AE101:AE102,A2:D500,4,FALSE))=0,,VLOOKUP(AE101:AE102,A2:D500,4,FALSE))</f>
        <v>#N/A</v>
      </c>
      <c r="AH102" s="45">
        <f>'Risk Charact Model'!P233</f>
        <v>0</v>
      </c>
      <c r="AI102" s="58" t="e">
        <f>IF(LEN(VLOOKUP(AH102,A2:D500,4,FALSE))=0,,VLOOKUP(AH102,A2:D500,4,FALSE))</f>
        <v>#N/A</v>
      </c>
    </row>
    <row r="103" spans="9:35" ht="14" x14ac:dyDescent="0.3">
      <c r="I103" s="60">
        <f>'Generic Metadata Schema'!P233</f>
        <v>0</v>
      </c>
      <c r="J103" s="22" t="e">
        <f>IF(LEN(VLOOKUP(I103,A2:D500,4,FALSE))=0,"",VLOOKUP(I103,A2:D500,4,FALSE))</f>
        <v>#N/A</v>
      </c>
      <c r="L103" s="56">
        <f>'Dose-response Model'!O217</f>
        <v>0</v>
      </c>
      <c r="M103" s="22" t="e">
        <f>IF(LEN(VLOOKUP(L103,A2:D500,4,FALSE))=0,,VLOOKUP(L103,A2:D500,4,FALSE))</f>
        <v>#N/A</v>
      </c>
      <c r="N103" s="22">
        <f>'Exposure Model'!O234</f>
        <v>0</v>
      </c>
      <c r="O103" s="22" t="e">
        <f>IF(LEN(VLOOKUP(N103,A2:D500,4,FALSE))=0,,VLOOKUP(N103,A2:D500,4,FALSE))</f>
        <v>#N/A</v>
      </c>
      <c r="P103" s="55">
        <f>'QRA Models'!P234</f>
        <v>0</v>
      </c>
      <c r="Q103" s="22" t="e">
        <f>IF(LEN(VLOOKUP(P103,A2:D500,4,FALSE))=0,,VLOOKUP(P103,A2:D500,4,FALSE))</f>
        <v>#N/A</v>
      </c>
      <c r="R103" s="56">
        <f>'Health metrics Models'!Q217</f>
        <v>0</v>
      </c>
      <c r="S103" s="22" t="e">
        <f>IF(LEN(VLOOKUP(R103,A2:D500,4,FALSE))=0,,VLOOKUP(R103,A2:D500,4,FALSE))</f>
        <v>#N/A</v>
      </c>
      <c r="T103" s="56">
        <f>'Process Model'!O215</f>
        <v>0</v>
      </c>
      <c r="U103" s="22" t="e">
        <f>IF(LEN(VLOOKUP(T103,A2:D500,4,FALSE))=0,,VLOOKUP(T103,A2:D500,4,FALSE))</f>
        <v>#N/A</v>
      </c>
      <c r="V103" s="56">
        <f>'Toxicological reference value M'!P217</f>
        <v>0</v>
      </c>
      <c r="W103" s="22" t="e">
        <f>IF(LEN(VLOOKUP(V103,A2:D500,4,FALSE))=0,,VLOOKUP(V103,A2:D500,4,FALSE))</f>
        <v>#N/A</v>
      </c>
      <c r="Y103" s="56">
        <f>'Other Empirical Model'!P228</f>
        <v>0</v>
      </c>
      <c r="Z103" s="22" t="e">
        <f>IF(LEN(VLOOKUP(Y103,A2:D500,4,FALSE))=0,,VLOOKUP(Y103,A2:D500,4,FALSE))</f>
        <v>#N/A</v>
      </c>
      <c r="AA103" s="56">
        <f>'Predictive Model'!P215</f>
        <v>0</v>
      </c>
      <c r="AB103" s="22" t="e">
        <f>IF(LEN(VLOOKUP(AA103,A2:D500,4,FALSE))=0,,VLOOKUP(AA103,A2:D500,4,FALSE))</f>
        <v>#N/A</v>
      </c>
      <c r="AC103" s="56">
        <f>'Consumption Model'!P220</f>
        <v>0</v>
      </c>
      <c r="AD103" s="22" t="e">
        <f>IF(LEN(VLOOKUP(AC103,A2:D500,4,FALSE))=0,,VLOOKUP(AC103,A2:D500,4,FALSE))</f>
        <v>#N/A</v>
      </c>
      <c r="AE103" s="22">
        <f>'(Data)'!P216</f>
        <v>0</v>
      </c>
      <c r="AF103" s="22" t="e">
        <f>IF(LEN(VLOOKUP(AE102:AE103,A2:D500,4,FALSE))=0,,VLOOKUP(AE102:AE103,A2:D500,4,FALSE))</f>
        <v>#N/A</v>
      </c>
      <c r="AH103" s="45">
        <f>'Risk Charact Model'!P234</f>
        <v>0</v>
      </c>
      <c r="AI103" s="58" t="e">
        <f>IF(LEN(VLOOKUP(AH103,A2:D500,4,FALSE))=0,,VLOOKUP(AH103,A2:D500,4,FALSE))</f>
        <v>#N/A</v>
      </c>
    </row>
    <row r="104" spans="9:35" ht="14" x14ac:dyDescent="0.3">
      <c r="I104" s="60">
        <f>'Generic Metadata Schema'!P234</f>
        <v>0</v>
      </c>
      <c r="J104" s="22" t="e">
        <f>IF(LEN(VLOOKUP(I104,A2:D500,4,FALSE))=0,"",VLOOKUP(I104,A2:D500,4,FALSE))</f>
        <v>#N/A</v>
      </c>
      <c r="L104" s="56">
        <f>'Dose-response Model'!O218</f>
        <v>0</v>
      </c>
      <c r="M104" s="22" t="e">
        <f>IF(LEN(VLOOKUP(L104,A2:D500,4,FALSE))=0,,VLOOKUP(L104,A2:D500,4,FALSE))</f>
        <v>#N/A</v>
      </c>
      <c r="N104" s="22">
        <f>'Exposure Model'!O235</f>
        <v>0</v>
      </c>
      <c r="O104" s="22" t="e">
        <f>IF(LEN(VLOOKUP(N104,A2:D500,4,FALSE))=0,,VLOOKUP(N104,A2:D500,4,FALSE))</f>
        <v>#N/A</v>
      </c>
      <c r="P104" s="55">
        <f>'QRA Models'!P235</f>
        <v>0</v>
      </c>
      <c r="Q104" s="22" t="e">
        <f>IF(LEN(VLOOKUP(P104,A2:D500,4,FALSE))=0,,VLOOKUP(P104,A2:D500,4,FALSE))</f>
        <v>#N/A</v>
      </c>
      <c r="R104" s="56">
        <f>'Health metrics Models'!Q218</f>
        <v>0</v>
      </c>
      <c r="S104" s="22" t="e">
        <f>IF(LEN(VLOOKUP(R104,A2:D500,4,FALSE))=0,,VLOOKUP(R104,A2:D500,4,FALSE))</f>
        <v>#N/A</v>
      </c>
      <c r="T104" s="56">
        <f>'Process Model'!O216</f>
        <v>0</v>
      </c>
      <c r="U104" s="22" t="e">
        <f>IF(LEN(VLOOKUP(T104,A2:D500,4,FALSE))=0,,VLOOKUP(T104,A2:D500,4,FALSE))</f>
        <v>#N/A</v>
      </c>
      <c r="V104" s="56">
        <f>'Toxicological reference value M'!P218</f>
        <v>0</v>
      </c>
      <c r="W104" s="22" t="e">
        <f>IF(LEN(VLOOKUP(V104,A2:D500,4,FALSE))=0,,VLOOKUP(V104,A2:D500,4,FALSE))</f>
        <v>#N/A</v>
      </c>
      <c r="Y104" s="56">
        <f>'Other Empirical Model'!P229</f>
        <v>0</v>
      </c>
      <c r="Z104" s="22" t="e">
        <f>IF(LEN(VLOOKUP(Y104,A2:D500,4,FALSE))=0,,VLOOKUP(Y104,A2:D500,4,FALSE))</f>
        <v>#N/A</v>
      </c>
      <c r="AA104" s="56">
        <f>'Predictive Model'!P216</f>
        <v>0</v>
      </c>
      <c r="AB104" s="22" t="e">
        <f>IF(LEN(VLOOKUP(AA104,A2:D500,4,FALSE))=0,,VLOOKUP(AA104,A2:D500,4,FALSE))</f>
        <v>#N/A</v>
      </c>
      <c r="AC104" s="56">
        <f>'Consumption Model'!P221</f>
        <v>0</v>
      </c>
      <c r="AD104" s="22" t="e">
        <f>IF(LEN(VLOOKUP(AC104,A2:D500,4,FALSE))=0,,VLOOKUP(AC104,A2:D500,4,FALSE))</f>
        <v>#N/A</v>
      </c>
      <c r="AE104" s="22">
        <f>'(Data)'!P217</f>
        <v>0</v>
      </c>
      <c r="AF104" s="22" t="e">
        <f>IF(LEN(VLOOKUP(AE103:AE104,A2:D500,4,FALSE))=0,,VLOOKUP(AE103:AE104,A2:D500,4,FALSE))</f>
        <v>#N/A</v>
      </c>
      <c r="AH104" s="45">
        <f>'Risk Charact Model'!P235</f>
        <v>0</v>
      </c>
      <c r="AI104" s="58" t="e">
        <f>IF(LEN(VLOOKUP(AH104,A2:D500,4,FALSE))=0,,VLOOKUP(AH104,A2:D500,4,FALSE))</f>
        <v>#N/A</v>
      </c>
    </row>
    <row r="105" spans="9:35" ht="14" x14ac:dyDescent="0.3">
      <c r="I105" s="60">
        <f>'Generic Metadata Schema'!P235</f>
        <v>0</v>
      </c>
      <c r="J105" s="22" t="e">
        <f>IF(LEN(VLOOKUP(I105,A2:D500,4,FALSE))=0,"",VLOOKUP(I105,A2:D500,4,FALSE))</f>
        <v>#N/A</v>
      </c>
      <c r="L105" s="56">
        <f>'Dose-response Model'!O219</f>
        <v>0</v>
      </c>
      <c r="M105" s="22" t="e">
        <f>IF(LEN(VLOOKUP(L105,A2:D500,4,FALSE))=0,,VLOOKUP(L105,A2:D500,4,FALSE))</f>
        <v>#N/A</v>
      </c>
      <c r="N105" s="22">
        <f>'Exposure Model'!O236</f>
        <v>0</v>
      </c>
      <c r="O105" s="22" t="e">
        <f>IF(LEN(VLOOKUP(N105,A2:D500,4,FALSE))=0,,VLOOKUP(N105,A2:D500,4,FALSE))</f>
        <v>#N/A</v>
      </c>
      <c r="P105" s="55">
        <f>'QRA Models'!P236</f>
        <v>0</v>
      </c>
      <c r="Q105" s="22" t="e">
        <f>IF(LEN(VLOOKUP(P105,A2:D500,4,FALSE))=0,,VLOOKUP(P105,A2:D500,4,FALSE))</f>
        <v>#N/A</v>
      </c>
      <c r="R105" s="56">
        <f>'Health metrics Models'!Q219</f>
        <v>0</v>
      </c>
      <c r="S105" s="22" t="e">
        <f>IF(LEN(VLOOKUP(R105,A2:D500,4,FALSE))=0,,VLOOKUP(R105,A2:D500,4,FALSE))</f>
        <v>#N/A</v>
      </c>
      <c r="T105" s="56">
        <f>'Process Model'!O217</f>
        <v>0</v>
      </c>
      <c r="U105" s="22" t="e">
        <f>IF(LEN(VLOOKUP(T105,A2:D500,4,FALSE))=0,,VLOOKUP(T105,A2:D500,4,FALSE))</f>
        <v>#N/A</v>
      </c>
      <c r="V105" s="56">
        <f>'Toxicological reference value M'!P219</f>
        <v>0</v>
      </c>
      <c r="W105" s="22" t="e">
        <f>IF(LEN(VLOOKUP(V105,A2:D500,4,FALSE))=0,,VLOOKUP(V105,A2:D500,4,FALSE))</f>
        <v>#N/A</v>
      </c>
      <c r="Y105" s="56">
        <f>'Other Empirical Model'!P230</f>
        <v>0</v>
      </c>
      <c r="Z105" s="22" t="e">
        <f>IF(LEN(VLOOKUP(Y105,A2:D500,4,FALSE))=0,,VLOOKUP(Y105,A2:D500,4,FALSE))</f>
        <v>#N/A</v>
      </c>
      <c r="AA105" s="56">
        <f>'Predictive Model'!P217</f>
        <v>0</v>
      </c>
      <c r="AB105" s="22" t="e">
        <f>IF(LEN(VLOOKUP(AA105,A2:D500,4,FALSE))=0,,VLOOKUP(AA105,A2:D500,4,FALSE))</f>
        <v>#N/A</v>
      </c>
      <c r="AC105" s="56">
        <f>'Consumption Model'!P222</f>
        <v>0</v>
      </c>
      <c r="AD105" s="22" t="e">
        <f>IF(LEN(VLOOKUP(AC105,A2:D500,4,FALSE))=0,,VLOOKUP(AC105,A2:D500,4,FALSE))</f>
        <v>#N/A</v>
      </c>
      <c r="AE105" s="22">
        <f>'(Data)'!P218</f>
        <v>0</v>
      </c>
      <c r="AF105" s="22" t="e">
        <f>IF(LEN(VLOOKUP(AE104:AE105,A2:D500,4,FALSE))=0,,VLOOKUP(AE104:AE105,A2:D500,4,FALSE))</f>
        <v>#N/A</v>
      </c>
      <c r="AH105" s="45">
        <f>'Risk Charact Model'!P236</f>
        <v>0</v>
      </c>
      <c r="AI105" s="58" t="e">
        <f>IF(LEN(VLOOKUP(AH105,A2:D500,4,FALSE))=0,,VLOOKUP(AH105,A2:D500,4,FALSE))</f>
        <v>#N/A</v>
      </c>
    </row>
    <row r="106" spans="9:35" ht="14" x14ac:dyDescent="0.3">
      <c r="I106" s="60">
        <f>'Generic Metadata Schema'!P236</f>
        <v>0</v>
      </c>
      <c r="J106" s="22" t="e">
        <f>IF(LEN(VLOOKUP(I106,A2:D500,4,FALSE))=0,"",VLOOKUP(I106,A2:D500,4,FALSE))</f>
        <v>#N/A</v>
      </c>
      <c r="L106" s="56">
        <f>'Dose-response Model'!O220</f>
        <v>0</v>
      </c>
      <c r="M106" s="22" t="e">
        <f>IF(LEN(VLOOKUP(L106,A2:D500,4,FALSE))=0,,VLOOKUP(L106,A2:D500,4,FALSE))</f>
        <v>#N/A</v>
      </c>
      <c r="N106" s="22">
        <f>'Exposure Model'!O237</f>
        <v>0</v>
      </c>
      <c r="O106" s="22" t="e">
        <f>IF(LEN(VLOOKUP(N106,A2:D500,4,FALSE))=0,,VLOOKUP(N106,A2:D500,4,FALSE))</f>
        <v>#N/A</v>
      </c>
      <c r="P106" s="55">
        <f>'QRA Models'!P237</f>
        <v>0</v>
      </c>
      <c r="Q106" s="22" t="e">
        <f>IF(LEN(VLOOKUP(P106,A2:D500,4,FALSE))=0,,VLOOKUP(P106,A2:D500,4,FALSE))</f>
        <v>#N/A</v>
      </c>
      <c r="R106" s="56">
        <f>'Health metrics Models'!Q220</f>
        <v>0</v>
      </c>
      <c r="S106" s="22" t="e">
        <f>IF(LEN(VLOOKUP(R106,A2:D500,4,FALSE))=0,,VLOOKUP(R106,A2:D500,4,FALSE))</f>
        <v>#N/A</v>
      </c>
      <c r="T106" s="56">
        <f>'Process Model'!O218</f>
        <v>0</v>
      </c>
      <c r="U106" s="22" t="e">
        <f>IF(LEN(VLOOKUP(T106,A2:D500,4,FALSE))=0,,VLOOKUP(T106,A2:D500,4,FALSE))</f>
        <v>#N/A</v>
      </c>
      <c r="V106" s="56">
        <f>'Toxicological reference value M'!P220</f>
        <v>0</v>
      </c>
      <c r="W106" s="22" t="e">
        <f>IF(LEN(VLOOKUP(V106,A2:D500,4,FALSE))=0,,VLOOKUP(V106,A2:D500,4,FALSE))</f>
        <v>#N/A</v>
      </c>
      <c r="Y106" s="56">
        <f>'Other Empirical Model'!P231</f>
        <v>0</v>
      </c>
      <c r="Z106" s="22" t="e">
        <f>IF(LEN(VLOOKUP(Y106,A2:D500,4,FALSE))=0,,VLOOKUP(Y106,A2:D500,4,FALSE))</f>
        <v>#N/A</v>
      </c>
      <c r="AA106" s="56">
        <f>'Predictive Model'!P218</f>
        <v>0</v>
      </c>
      <c r="AB106" s="22" t="e">
        <f>IF(LEN(VLOOKUP(AA106,A2:D500,4,FALSE))=0,,VLOOKUP(AA106,A2:D500,4,FALSE))</f>
        <v>#N/A</v>
      </c>
      <c r="AC106" s="56">
        <f>'Consumption Model'!P223</f>
        <v>0</v>
      </c>
      <c r="AD106" s="22" t="e">
        <f>IF(LEN(VLOOKUP(AC106,A2:D500,4,FALSE))=0,,VLOOKUP(AC106,A2:D500,4,FALSE))</f>
        <v>#N/A</v>
      </c>
      <c r="AE106" s="22">
        <f>'(Data)'!P219</f>
        <v>0</v>
      </c>
      <c r="AF106" s="22" t="e">
        <f>IF(LEN(VLOOKUP(AE105:AE106,A2:D500,4,FALSE))=0,,VLOOKUP(AE105:AE106,A2:D500,4,FALSE))</f>
        <v>#N/A</v>
      </c>
      <c r="AH106" s="45">
        <f>'Risk Charact Model'!P237</f>
        <v>0</v>
      </c>
      <c r="AI106" s="58" t="e">
        <f>IF(LEN(VLOOKUP(AH106,A2:D500,4,FALSE))=0,,VLOOKUP(AH106,A2:D500,4,FALSE))</f>
        <v>#N/A</v>
      </c>
    </row>
    <row r="107" spans="9:35" ht="14" x14ac:dyDescent="0.3">
      <c r="I107" s="60">
        <f>'Generic Metadata Schema'!P237</f>
        <v>0</v>
      </c>
      <c r="J107" s="22" t="e">
        <f>IF(LEN(VLOOKUP(I107,A2:D500,4,FALSE))=0,"",VLOOKUP(I107,A2:D500,4,FALSE))</f>
        <v>#N/A</v>
      </c>
      <c r="L107" s="56">
        <f>'Dose-response Model'!O221</f>
        <v>0</v>
      </c>
      <c r="M107" s="22" t="e">
        <f>IF(LEN(VLOOKUP(L107,A2:D500,4,FALSE))=0,,VLOOKUP(L107,A2:D500,4,FALSE))</f>
        <v>#N/A</v>
      </c>
      <c r="N107" s="22">
        <f>'Exposure Model'!O238</f>
        <v>0</v>
      </c>
      <c r="O107" s="22" t="e">
        <f>IF(LEN(VLOOKUP(N107,A2:D500,4,FALSE))=0,,VLOOKUP(N107,A2:D500,4,FALSE))</f>
        <v>#N/A</v>
      </c>
      <c r="P107" s="55">
        <f>'QRA Models'!P238</f>
        <v>0</v>
      </c>
      <c r="Q107" s="22" t="e">
        <f>IF(LEN(VLOOKUP(P107,A2:D500,4,FALSE))=0,,VLOOKUP(P107,A2:D500,4,FALSE))</f>
        <v>#N/A</v>
      </c>
      <c r="R107" s="56">
        <f>'Health metrics Models'!Q221</f>
        <v>0</v>
      </c>
      <c r="S107" s="22" t="e">
        <f>IF(LEN(VLOOKUP(R107,A2:D500,4,FALSE))=0,,VLOOKUP(R107,A2:D500,4,FALSE))</f>
        <v>#N/A</v>
      </c>
      <c r="T107" s="56">
        <f>'Process Model'!O219</f>
        <v>0</v>
      </c>
      <c r="U107" s="22" t="e">
        <f>IF(LEN(VLOOKUP(T107,A2:D500,4,FALSE))=0,,VLOOKUP(T107,A2:D500,4,FALSE))</f>
        <v>#N/A</v>
      </c>
      <c r="V107" s="56">
        <f>'Toxicological reference value M'!P221</f>
        <v>0</v>
      </c>
      <c r="W107" s="22" t="e">
        <f>IF(LEN(VLOOKUP(V107,A2:D500,4,FALSE))=0,,VLOOKUP(V107,A2:D500,4,FALSE))</f>
        <v>#N/A</v>
      </c>
      <c r="Y107" s="56">
        <f>'Other Empirical Model'!P232</f>
        <v>0</v>
      </c>
      <c r="Z107" s="22" t="e">
        <f>IF(LEN(VLOOKUP(Y107,A2:D500,4,FALSE))=0,,VLOOKUP(Y107,A2:D500,4,FALSE))</f>
        <v>#N/A</v>
      </c>
      <c r="AA107" s="56">
        <f>'Predictive Model'!P219</f>
        <v>0</v>
      </c>
      <c r="AB107" s="22" t="e">
        <f>IF(LEN(VLOOKUP(AA107,A2:D500,4,FALSE))=0,,VLOOKUP(AA107,A2:D500,4,FALSE))</f>
        <v>#N/A</v>
      </c>
      <c r="AC107" s="56">
        <f>'Consumption Model'!P224</f>
        <v>0</v>
      </c>
      <c r="AD107" s="22" t="e">
        <f>IF(LEN(VLOOKUP(AC107,A2:D500,4,FALSE))=0,,VLOOKUP(AC107,A2:D500,4,FALSE))</f>
        <v>#N/A</v>
      </c>
      <c r="AE107" s="22">
        <f>'(Data)'!P220</f>
        <v>0</v>
      </c>
      <c r="AF107" s="22" t="e">
        <f>IF(LEN(VLOOKUP(AE106:AE107,A2:D500,4,FALSE))=0,,VLOOKUP(AE106:AE107,A2:D500,4,FALSE))</f>
        <v>#N/A</v>
      </c>
      <c r="AH107" s="45">
        <f>'Risk Charact Model'!P238</f>
        <v>0</v>
      </c>
      <c r="AI107" s="58" t="e">
        <f>IF(LEN(VLOOKUP(AH107,A2:D500,4,FALSE))=0,,VLOOKUP(AH107,A2:D500,4,FALSE))</f>
        <v>#N/A</v>
      </c>
    </row>
    <row r="108" spans="9:35" ht="14" x14ac:dyDescent="0.3">
      <c r="I108" s="60">
        <f>'Generic Metadata Schema'!P238</f>
        <v>0</v>
      </c>
      <c r="J108" s="22" t="e">
        <f>IF(LEN(VLOOKUP(I108,A2:D500,4,FALSE))=0,"",VLOOKUP(I108,A2:D500,4,FALSE))</f>
        <v>#N/A</v>
      </c>
      <c r="L108" s="56">
        <f>'Dose-response Model'!O222</f>
        <v>0</v>
      </c>
      <c r="M108" s="22" t="e">
        <f>IF(LEN(VLOOKUP(L108,A2:D500,4,FALSE))=0,,VLOOKUP(L108,A2:D500,4,FALSE))</f>
        <v>#N/A</v>
      </c>
      <c r="N108" s="22">
        <f>'Exposure Model'!O239</f>
        <v>0</v>
      </c>
      <c r="O108" s="22" t="e">
        <f>IF(LEN(VLOOKUP(N108,A2:D500,4,FALSE))=0,,VLOOKUP(N108,A2:D500,4,FALSE))</f>
        <v>#N/A</v>
      </c>
      <c r="P108" s="55">
        <f>'QRA Models'!P239</f>
        <v>0</v>
      </c>
      <c r="Q108" s="22" t="e">
        <f>IF(LEN(VLOOKUP(P108,A2:D500,4,FALSE))=0,,VLOOKUP(P108,A2:D500,4,FALSE))</f>
        <v>#N/A</v>
      </c>
      <c r="R108" s="56">
        <f>'Health metrics Models'!Q222</f>
        <v>0</v>
      </c>
      <c r="S108" s="22" t="e">
        <f>IF(LEN(VLOOKUP(R108,A2:D500,4,FALSE))=0,,VLOOKUP(R108,A2:D500,4,FALSE))</f>
        <v>#N/A</v>
      </c>
      <c r="T108" s="56">
        <f>'Process Model'!O220</f>
        <v>0</v>
      </c>
      <c r="U108" s="22" t="e">
        <f>IF(LEN(VLOOKUP(T108,A2:D500,4,FALSE))=0,,VLOOKUP(T108,A2:D500,4,FALSE))</f>
        <v>#N/A</v>
      </c>
      <c r="V108" s="56">
        <f>'Toxicological reference value M'!P222</f>
        <v>0</v>
      </c>
      <c r="W108" s="22" t="e">
        <f>IF(LEN(VLOOKUP(V108,A2:D500,4,FALSE))=0,,VLOOKUP(V108,A2:D500,4,FALSE))</f>
        <v>#N/A</v>
      </c>
      <c r="Y108" s="56">
        <f>'Other Empirical Model'!P233</f>
        <v>0</v>
      </c>
      <c r="Z108" s="22" t="e">
        <f>IF(LEN(VLOOKUP(Y108,A2:D500,4,FALSE))=0,,VLOOKUP(Y108,A2:D500,4,FALSE))</f>
        <v>#N/A</v>
      </c>
      <c r="AA108" s="56">
        <f>'Predictive Model'!P220</f>
        <v>0</v>
      </c>
      <c r="AB108" s="22" t="e">
        <f>IF(LEN(VLOOKUP(AA108,A2:D500,4,FALSE))=0,,VLOOKUP(AA108,A2:D500,4,FALSE))</f>
        <v>#N/A</v>
      </c>
      <c r="AC108" s="56">
        <f>'Consumption Model'!P225</f>
        <v>0</v>
      </c>
      <c r="AD108" s="22" t="e">
        <f>IF(LEN(VLOOKUP(AC108,A2:D500,4,FALSE))=0,,VLOOKUP(AC108,A2:D500,4,FALSE))</f>
        <v>#N/A</v>
      </c>
      <c r="AE108" s="22">
        <f>'(Data)'!P221</f>
        <v>0</v>
      </c>
      <c r="AF108" s="22" t="e">
        <f>IF(LEN(VLOOKUP(AE107:AE108,A2:D500,4,FALSE))=0,,VLOOKUP(AE107:AE108,A2:D500,4,FALSE))</f>
        <v>#N/A</v>
      </c>
      <c r="AH108" s="45">
        <f>'Risk Charact Model'!P239</f>
        <v>0</v>
      </c>
      <c r="AI108" s="58" t="e">
        <f>IF(LEN(VLOOKUP(AH108,A2:D500,4,FALSE))=0,,VLOOKUP(AH108,A2:D500,4,FALSE))</f>
        <v>#N/A</v>
      </c>
    </row>
    <row r="109" spans="9:35" ht="14" x14ac:dyDescent="0.3">
      <c r="I109" s="60">
        <f>'Generic Metadata Schema'!P239</f>
        <v>0</v>
      </c>
      <c r="J109" s="22" t="e">
        <f>IF(LEN(VLOOKUP(I109,A2:D500,4,FALSE))=0,"",VLOOKUP(I109,A2:D500,4,FALSE))</f>
        <v>#N/A</v>
      </c>
      <c r="L109" s="56">
        <f>'Dose-response Model'!O223</f>
        <v>0</v>
      </c>
      <c r="M109" s="22" t="e">
        <f>IF(LEN(VLOOKUP(L109,A2:D500,4,FALSE))=0,,VLOOKUP(L109,A2:D500,4,FALSE))</f>
        <v>#N/A</v>
      </c>
      <c r="N109" s="22">
        <f>'Exposure Model'!O240</f>
        <v>0</v>
      </c>
      <c r="O109" s="22" t="e">
        <f>IF(LEN(VLOOKUP(N109,A2:D500,4,FALSE))=0,,VLOOKUP(N109,A2:D500,4,FALSE))</f>
        <v>#N/A</v>
      </c>
      <c r="P109" s="55">
        <f>'QRA Models'!P240</f>
        <v>0</v>
      </c>
      <c r="Q109" s="22" t="e">
        <f>IF(LEN(VLOOKUP(P109,A2:D500,4,FALSE))=0,,VLOOKUP(P109,A2:D500,4,FALSE))</f>
        <v>#N/A</v>
      </c>
      <c r="R109" s="56">
        <f>'Health metrics Models'!Q223</f>
        <v>0</v>
      </c>
      <c r="S109" s="22" t="e">
        <f>IF(LEN(VLOOKUP(R109,A2:D500,4,FALSE))=0,,VLOOKUP(R109,A2:D500,4,FALSE))</f>
        <v>#N/A</v>
      </c>
      <c r="T109" s="56">
        <f>'Process Model'!O221</f>
        <v>0</v>
      </c>
      <c r="U109" s="22" t="e">
        <f>IF(LEN(VLOOKUP(T109,A2:D500,4,FALSE))=0,,VLOOKUP(T109,A2:D500,4,FALSE))</f>
        <v>#N/A</v>
      </c>
      <c r="V109" s="56">
        <f>'Toxicological reference value M'!P223</f>
        <v>0</v>
      </c>
      <c r="W109" s="22" t="e">
        <f>IF(LEN(VLOOKUP(V109,A2:D500,4,FALSE))=0,,VLOOKUP(V109,A2:D500,4,FALSE))</f>
        <v>#N/A</v>
      </c>
      <c r="Y109" s="56">
        <f>'Other Empirical Model'!P234</f>
        <v>0</v>
      </c>
      <c r="Z109" s="22" t="e">
        <f>IF(LEN(VLOOKUP(Y109,A2:D500,4,FALSE))=0,,VLOOKUP(Y109,A2:D500,4,FALSE))</f>
        <v>#N/A</v>
      </c>
      <c r="AA109" s="56">
        <f>'Predictive Model'!P221</f>
        <v>0</v>
      </c>
      <c r="AB109" s="22" t="e">
        <f>IF(LEN(VLOOKUP(AA109,A2:D500,4,FALSE))=0,,VLOOKUP(AA109,A2:D500,4,FALSE))</f>
        <v>#N/A</v>
      </c>
      <c r="AC109" s="56">
        <f>'Consumption Model'!P226</f>
        <v>0</v>
      </c>
      <c r="AD109" s="22" t="e">
        <f>IF(LEN(VLOOKUP(AC109,A2:D500,4,FALSE))=0,,VLOOKUP(AC109,A2:D500,4,FALSE))</f>
        <v>#N/A</v>
      </c>
      <c r="AE109" s="22">
        <f>'(Data)'!P222</f>
        <v>0</v>
      </c>
      <c r="AF109" s="22" t="e">
        <f>IF(LEN(VLOOKUP(AE108:AE109,A2:D500,4,FALSE))=0,,VLOOKUP(AE108:AE109,A2:D500,4,FALSE))</f>
        <v>#N/A</v>
      </c>
      <c r="AH109" s="45">
        <f>'Risk Charact Model'!P240</f>
        <v>0</v>
      </c>
      <c r="AI109" s="58" t="e">
        <f>IF(LEN(VLOOKUP(AH109,A2:D500,4,FALSE))=0,,VLOOKUP(AH109,A2:D500,4,FALSE))</f>
        <v>#N/A</v>
      </c>
    </row>
    <row r="110" spans="9:35" ht="14" x14ac:dyDescent="0.3">
      <c r="I110" s="60">
        <f>'Generic Metadata Schema'!P240</f>
        <v>0</v>
      </c>
      <c r="J110" s="22" t="e">
        <f>IF(LEN(VLOOKUP(I110,A2:D500,4,FALSE))=0,"",VLOOKUP(I110,A2:D500,4,FALSE))</f>
        <v>#N/A</v>
      </c>
      <c r="L110" s="56">
        <f>'Dose-response Model'!O224</f>
        <v>0</v>
      </c>
      <c r="M110" s="22" t="e">
        <f>IF(LEN(VLOOKUP(L110,A2:D500,4,FALSE))=0,,VLOOKUP(L110,A2:D500,4,FALSE))</f>
        <v>#N/A</v>
      </c>
      <c r="N110" s="22">
        <f>'Exposure Model'!O241</f>
        <v>0</v>
      </c>
      <c r="O110" s="22" t="e">
        <f>IF(LEN(VLOOKUP(N110,A2:D500,4,FALSE))=0,,VLOOKUP(N110,A2:D500,4,FALSE))</f>
        <v>#N/A</v>
      </c>
      <c r="P110" s="55">
        <f>'QRA Models'!P241</f>
        <v>0</v>
      </c>
      <c r="Q110" s="22" t="e">
        <f>IF(LEN(VLOOKUP(P110,A2:D500,4,FALSE))=0,,VLOOKUP(P110,A2:D500,4,FALSE))</f>
        <v>#N/A</v>
      </c>
      <c r="R110" s="56">
        <f>'Health metrics Models'!Q224</f>
        <v>0</v>
      </c>
      <c r="S110" s="22" t="e">
        <f>IF(LEN(VLOOKUP(R110,A2:D500,4,FALSE))=0,,VLOOKUP(R110,A2:D500,4,FALSE))</f>
        <v>#N/A</v>
      </c>
      <c r="T110" s="56">
        <f>'Process Model'!O222</f>
        <v>0</v>
      </c>
      <c r="U110" s="22" t="e">
        <f>IF(LEN(VLOOKUP(T110,A2:D500,4,FALSE))=0,,VLOOKUP(T110,A2:D500,4,FALSE))</f>
        <v>#N/A</v>
      </c>
      <c r="V110" s="56">
        <f>'Toxicological reference value M'!P224</f>
        <v>0</v>
      </c>
      <c r="W110" s="22" t="e">
        <f>IF(LEN(VLOOKUP(V110,A2:D500,4,FALSE))=0,,VLOOKUP(V110,A2:D500,4,FALSE))</f>
        <v>#N/A</v>
      </c>
      <c r="Y110" s="56">
        <f>'Other Empirical Model'!P235</f>
        <v>0</v>
      </c>
      <c r="Z110" s="22" t="e">
        <f>IF(LEN(VLOOKUP(Y110,A2:D500,4,FALSE))=0,,VLOOKUP(Y110,A2:D500,4,FALSE))</f>
        <v>#N/A</v>
      </c>
      <c r="AA110" s="56">
        <f>'Predictive Model'!P222</f>
        <v>0</v>
      </c>
      <c r="AB110" s="22" t="e">
        <f>IF(LEN(VLOOKUP(AA110,A2:D500,4,FALSE))=0,,VLOOKUP(AA110,A2:D500,4,FALSE))</f>
        <v>#N/A</v>
      </c>
      <c r="AC110" s="56">
        <f>'Consumption Model'!P227</f>
        <v>0</v>
      </c>
      <c r="AD110" s="22" t="e">
        <f>IF(LEN(VLOOKUP(AC110,A2:D500,4,FALSE))=0,,VLOOKUP(AC110,A2:D500,4,FALSE))</f>
        <v>#N/A</v>
      </c>
      <c r="AE110" s="22">
        <f>'(Data)'!P223</f>
        <v>0</v>
      </c>
      <c r="AF110" s="22" t="e">
        <f>IF(LEN(VLOOKUP(AE109:AE110,A2:D500,4,FALSE))=0,,VLOOKUP(AE109:AE110,A2:D500,4,FALSE))</f>
        <v>#N/A</v>
      </c>
      <c r="AH110" s="45">
        <f>'Risk Charact Model'!P241</f>
        <v>0</v>
      </c>
      <c r="AI110" s="58" t="e">
        <f>IF(LEN(VLOOKUP(AH110,A2:D500,4,FALSE))=0,,VLOOKUP(AH110,A2:D500,4,FALSE))</f>
        <v>#N/A</v>
      </c>
    </row>
    <row r="111" spans="9:35" ht="14" x14ac:dyDescent="0.3">
      <c r="I111" s="60">
        <f>'Generic Metadata Schema'!P241</f>
        <v>0</v>
      </c>
      <c r="J111" s="22" t="e">
        <f>IF(LEN(VLOOKUP(I111,A2:D500,4,FALSE))=0,"",VLOOKUP(I111,A2:D500,4,FALSE))</f>
        <v>#N/A</v>
      </c>
      <c r="L111" s="56">
        <f>'Dose-response Model'!O225</f>
        <v>0</v>
      </c>
      <c r="M111" s="22" t="e">
        <f>IF(LEN(VLOOKUP(L111,A2:D500,4,FALSE))=0,,VLOOKUP(L111,A2:D500,4,FALSE))</f>
        <v>#N/A</v>
      </c>
      <c r="N111" s="22">
        <f>'Exposure Model'!O242</f>
        <v>0</v>
      </c>
      <c r="O111" s="22" t="e">
        <f>IF(LEN(VLOOKUP(N111,A2:D500,4,FALSE))=0,,VLOOKUP(N111,A2:D500,4,FALSE))</f>
        <v>#N/A</v>
      </c>
      <c r="P111" s="55">
        <f>'QRA Models'!P242</f>
        <v>0</v>
      </c>
      <c r="Q111" s="22" t="e">
        <f>IF(LEN(VLOOKUP(P111,A2:D500,4,FALSE))=0,,VLOOKUP(P111,A2:D500,4,FALSE))</f>
        <v>#N/A</v>
      </c>
      <c r="R111" s="56">
        <f>'Health metrics Models'!Q225</f>
        <v>0</v>
      </c>
      <c r="S111" s="22" t="e">
        <f>IF(LEN(VLOOKUP(R111,A2:D500,4,FALSE))=0,,VLOOKUP(R111,A2:D500,4,FALSE))</f>
        <v>#N/A</v>
      </c>
      <c r="T111" s="56">
        <f>'Process Model'!O223</f>
        <v>0</v>
      </c>
      <c r="U111" s="22" t="e">
        <f>IF(LEN(VLOOKUP(T111,A2:D500,4,FALSE))=0,,VLOOKUP(T111,A2:D500,4,FALSE))</f>
        <v>#N/A</v>
      </c>
      <c r="V111" s="56">
        <f>'Toxicological reference value M'!P225</f>
        <v>0</v>
      </c>
      <c r="W111" s="22" t="e">
        <f>IF(LEN(VLOOKUP(V111,A2:D500,4,FALSE))=0,,VLOOKUP(V111,A2:D500,4,FALSE))</f>
        <v>#N/A</v>
      </c>
      <c r="Y111" s="56">
        <f>'Other Empirical Model'!P236</f>
        <v>0</v>
      </c>
      <c r="Z111" s="22" t="e">
        <f>IF(LEN(VLOOKUP(Y111,A2:D500,4,FALSE))=0,,VLOOKUP(Y111,A2:D500,4,FALSE))</f>
        <v>#N/A</v>
      </c>
      <c r="AA111" s="56">
        <f>'Predictive Model'!P223</f>
        <v>0</v>
      </c>
      <c r="AB111" s="22" t="e">
        <f>IF(LEN(VLOOKUP(AA111,A2:D500,4,FALSE))=0,,VLOOKUP(AA111,A2:D500,4,FALSE))</f>
        <v>#N/A</v>
      </c>
      <c r="AC111" s="56">
        <f>'Consumption Model'!P228</f>
        <v>0</v>
      </c>
      <c r="AD111" s="22" t="e">
        <f>IF(LEN(VLOOKUP(AC111,A2:D500,4,FALSE))=0,,VLOOKUP(AC111,A2:D500,4,FALSE))</f>
        <v>#N/A</v>
      </c>
      <c r="AE111" s="22">
        <f>'(Data)'!P224</f>
        <v>0</v>
      </c>
      <c r="AF111" s="22" t="e">
        <f>IF(LEN(VLOOKUP(AE110:AE111,A2:D500,4,FALSE))=0,,VLOOKUP(AE110:AE111,A2:D500,4,FALSE))</f>
        <v>#N/A</v>
      </c>
      <c r="AH111" s="45">
        <f>'Risk Charact Model'!P242</f>
        <v>0</v>
      </c>
      <c r="AI111" s="58" t="e">
        <f>IF(LEN(VLOOKUP(AH111,A2:D500,4,FALSE))=0,,VLOOKUP(AH111,A2:D500,4,FALSE))</f>
        <v>#N/A</v>
      </c>
    </row>
    <row r="112" spans="9:35" ht="14" x14ac:dyDescent="0.3">
      <c r="I112" s="60">
        <f>'Generic Metadata Schema'!P242</f>
        <v>0</v>
      </c>
      <c r="J112" s="22" t="e">
        <f>IF(LEN(VLOOKUP(I112,A2:D500,4,FALSE))=0,"",VLOOKUP(I112,A2:D500,4,FALSE))</f>
        <v>#N/A</v>
      </c>
      <c r="L112" s="56">
        <f>'Dose-response Model'!O226</f>
        <v>0</v>
      </c>
      <c r="M112" s="22" t="e">
        <f>IF(LEN(VLOOKUP(L112,A2:D500,4,FALSE))=0,,VLOOKUP(L112,A2:D500,4,FALSE))</f>
        <v>#N/A</v>
      </c>
      <c r="N112" s="22">
        <f>'Exposure Model'!O243</f>
        <v>0</v>
      </c>
      <c r="O112" s="22" t="e">
        <f>IF(LEN(VLOOKUP(N112,A2:D500,4,FALSE))=0,,VLOOKUP(N112,A2:D500,4,FALSE))</f>
        <v>#N/A</v>
      </c>
      <c r="P112" s="55">
        <f>'QRA Models'!P243</f>
        <v>0</v>
      </c>
      <c r="Q112" s="22" t="e">
        <f>IF(LEN(VLOOKUP(P112,A2:D500,4,FALSE))=0,,VLOOKUP(P112,A2:D500,4,FALSE))</f>
        <v>#N/A</v>
      </c>
      <c r="R112" s="56">
        <f>'Health metrics Models'!Q226</f>
        <v>0</v>
      </c>
      <c r="S112" s="22" t="e">
        <f>IF(LEN(VLOOKUP(R112,A2:D500,4,FALSE))=0,,VLOOKUP(R112,A2:D500,4,FALSE))</f>
        <v>#N/A</v>
      </c>
      <c r="T112" s="56">
        <f>'Process Model'!O224</f>
        <v>0</v>
      </c>
      <c r="U112" s="22" t="e">
        <f>IF(LEN(VLOOKUP(T112,A2:D500,4,FALSE))=0,,VLOOKUP(T112,A2:D500,4,FALSE))</f>
        <v>#N/A</v>
      </c>
      <c r="V112" s="56">
        <f>'Toxicological reference value M'!P226</f>
        <v>0</v>
      </c>
      <c r="W112" s="22" t="e">
        <f>IF(LEN(VLOOKUP(V112,A2:D500,4,FALSE))=0,,VLOOKUP(V112,A2:D500,4,FALSE))</f>
        <v>#N/A</v>
      </c>
      <c r="Y112" s="56">
        <f>'Other Empirical Model'!P237</f>
        <v>0</v>
      </c>
      <c r="Z112" s="22" t="e">
        <f>IF(LEN(VLOOKUP(Y112,A2:D500,4,FALSE))=0,,VLOOKUP(Y112,A2:D500,4,FALSE))</f>
        <v>#N/A</v>
      </c>
      <c r="AA112" s="56">
        <f>'Predictive Model'!P224</f>
        <v>0</v>
      </c>
      <c r="AB112" s="22" t="e">
        <f>IF(LEN(VLOOKUP(AA112,A2:D500,4,FALSE))=0,,VLOOKUP(AA112,A2:D500,4,FALSE))</f>
        <v>#N/A</v>
      </c>
      <c r="AC112" s="56">
        <f>'Consumption Model'!P229</f>
        <v>0</v>
      </c>
      <c r="AD112" s="22" t="e">
        <f>IF(LEN(VLOOKUP(AC112,A2:D500,4,FALSE))=0,,VLOOKUP(AC112,A2:D500,4,FALSE))</f>
        <v>#N/A</v>
      </c>
      <c r="AE112" s="22">
        <f>'(Data)'!P225</f>
        <v>0</v>
      </c>
      <c r="AF112" s="22" t="e">
        <f>IF(LEN(VLOOKUP(AE111:AE112,A2:D500,4,FALSE))=0,,VLOOKUP(AE111:AE112,A2:D500,4,FALSE))</f>
        <v>#N/A</v>
      </c>
      <c r="AH112" s="45">
        <f>'Risk Charact Model'!P243</f>
        <v>0</v>
      </c>
      <c r="AI112" s="58" t="e">
        <f>IF(LEN(VLOOKUP(AH112,A2:D500,4,FALSE))=0,,VLOOKUP(AH112,A2:D500,4,FALSE))</f>
        <v>#N/A</v>
      </c>
    </row>
    <row r="113" spans="9:35" ht="14" x14ac:dyDescent="0.3">
      <c r="I113" s="60">
        <f>'Generic Metadata Schema'!P243</f>
        <v>0</v>
      </c>
      <c r="J113" s="22" t="e">
        <f>IF(LEN(VLOOKUP(I113,A2:D500,4,FALSE))=0,"",VLOOKUP(I113,A2:D500,4,FALSE))</f>
        <v>#N/A</v>
      </c>
      <c r="L113" s="56">
        <f>'Dose-response Model'!O227</f>
        <v>0</v>
      </c>
      <c r="M113" s="22" t="e">
        <f>IF(LEN(VLOOKUP(L113,A2:D500,4,FALSE))=0,,VLOOKUP(L113,A2:D500,4,FALSE))</f>
        <v>#N/A</v>
      </c>
      <c r="N113" s="22">
        <f>'Exposure Model'!O244</f>
        <v>0</v>
      </c>
      <c r="O113" s="22" t="e">
        <f>IF(LEN(VLOOKUP(N113,A2:D500,4,FALSE))=0,,VLOOKUP(N113,A2:D500,4,FALSE))</f>
        <v>#N/A</v>
      </c>
      <c r="P113" s="55">
        <f>'QRA Models'!P244</f>
        <v>0</v>
      </c>
      <c r="Q113" s="22" t="e">
        <f>IF(LEN(VLOOKUP(P113,A2:D500,4,FALSE))=0,,VLOOKUP(P113,A2:D500,4,FALSE))</f>
        <v>#N/A</v>
      </c>
      <c r="R113" s="56">
        <f>'Health metrics Models'!Q227</f>
        <v>0</v>
      </c>
      <c r="S113" s="22" t="e">
        <f>IF(LEN(VLOOKUP(R113,A2:D500,4,FALSE))=0,,VLOOKUP(R113,A2:D500,4,FALSE))</f>
        <v>#N/A</v>
      </c>
      <c r="T113" s="56">
        <f>'Process Model'!O225</f>
        <v>0</v>
      </c>
      <c r="U113" s="22" t="e">
        <f>IF(LEN(VLOOKUP(T113,A2:D500,4,FALSE))=0,,VLOOKUP(T113,A2:D500,4,FALSE))</f>
        <v>#N/A</v>
      </c>
      <c r="V113" s="56">
        <f>'Toxicological reference value M'!P227</f>
        <v>0</v>
      </c>
      <c r="W113" s="22" t="e">
        <f>IF(LEN(VLOOKUP(V113,A2:D500,4,FALSE))=0,,VLOOKUP(V113,A2:D500,4,FALSE))</f>
        <v>#N/A</v>
      </c>
      <c r="Y113" s="56">
        <f>'Other Empirical Model'!P238</f>
        <v>0</v>
      </c>
      <c r="Z113" s="22" t="e">
        <f>IF(LEN(VLOOKUP(Y113,A2:D500,4,FALSE))=0,,VLOOKUP(Y113,A2:D500,4,FALSE))</f>
        <v>#N/A</v>
      </c>
      <c r="AA113" s="56">
        <f>'Predictive Model'!P225</f>
        <v>0</v>
      </c>
      <c r="AB113" s="22" t="e">
        <f>IF(LEN(VLOOKUP(AA113,A2:D500,4,FALSE))=0,,VLOOKUP(AA113,A2:D500,4,FALSE))</f>
        <v>#N/A</v>
      </c>
      <c r="AC113" s="56">
        <f>'Consumption Model'!P230</f>
        <v>0</v>
      </c>
      <c r="AD113" s="22" t="e">
        <f>IF(LEN(VLOOKUP(AC113,A2:D500,4,FALSE))=0,,VLOOKUP(AC113,A2:D500,4,FALSE))</f>
        <v>#N/A</v>
      </c>
      <c r="AE113" s="22">
        <f>'(Data)'!P226</f>
        <v>0</v>
      </c>
      <c r="AF113" s="22" t="e">
        <f>IF(LEN(VLOOKUP(AE112:AE113,A2:D500,4,FALSE))=0,,VLOOKUP(AE112:AE113,A2:D500,4,FALSE))</f>
        <v>#N/A</v>
      </c>
      <c r="AH113" s="45">
        <f>'Risk Charact Model'!P244</f>
        <v>0</v>
      </c>
      <c r="AI113" s="58" t="e">
        <f>IF(LEN(VLOOKUP(AH113,A2:D500,4,FALSE))=0,,VLOOKUP(AH113,A2:D500,4,FALSE))</f>
        <v>#N/A</v>
      </c>
    </row>
    <row r="114" spans="9:35" ht="14" x14ac:dyDescent="0.3">
      <c r="I114" s="60">
        <f>'Generic Metadata Schema'!P244</f>
        <v>0</v>
      </c>
      <c r="J114" s="22" t="e">
        <f>IF(LEN(VLOOKUP(I114,A2:D500,4,FALSE))=0,"",VLOOKUP(I114,A2:D500,4,FALSE))</f>
        <v>#N/A</v>
      </c>
      <c r="L114" s="56">
        <f>'Dose-response Model'!O228</f>
        <v>0</v>
      </c>
      <c r="M114" s="22" t="e">
        <f>IF(LEN(VLOOKUP(L114,A2:D500,4,FALSE))=0,,VLOOKUP(L114,A2:D500,4,FALSE))</f>
        <v>#N/A</v>
      </c>
      <c r="N114" s="22">
        <f>'Exposure Model'!O245</f>
        <v>0</v>
      </c>
      <c r="O114" s="22" t="e">
        <f>IF(LEN(VLOOKUP(N114,A2:D500,4,FALSE))=0,,VLOOKUP(N114,A2:D500,4,FALSE))</f>
        <v>#N/A</v>
      </c>
      <c r="P114" s="55">
        <f>'QRA Models'!P245</f>
        <v>0</v>
      </c>
      <c r="Q114" s="22" t="e">
        <f>IF(LEN(VLOOKUP(P114,A2:D500,4,FALSE))=0,,VLOOKUP(P114,A2:D500,4,FALSE))</f>
        <v>#N/A</v>
      </c>
      <c r="R114" s="56">
        <f>'Health metrics Models'!Q228</f>
        <v>0</v>
      </c>
      <c r="S114" s="22" t="e">
        <f>IF(LEN(VLOOKUP(R114,A2:D500,4,FALSE))=0,,VLOOKUP(R114,A2:D500,4,FALSE))</f>
        <v>#N/A</v>
      </c>
      <c r="T114" s="56">
        <f>'Process Model'!O226</f>
        <v>0</v>
      </c>
      <c r="U114" s="22" t="e">
        <f>IF(LEN(VLOOKUP(T114,A2:D500,4,FALSE))=0,,VLOOKUP(T114,A2:D500,4,FALSE))</f>
        <v>#N/A</v>
      </c>
      <c r="V114" s="56">
        <f>'Toxicological reference value M'!P228</f>
        <v>0</v>
      </c>
      <c r="W114" s="22" t="e">
        <f>IF(LEN(VLOOKUP(V114,A2:D500,4,FALSE))=0,,VLOOKUP(V114,A2:D500,4,FALSE))</f>
        <v>#N/A</v>
      </c>
      <c r="Y114" s="56">
        <f>'Other Empirical Model'!P239</f>
        <v>0</v>
      </c>
      <c r="Z114" s="22" t="e">
        <f>IF(LEN(VLOOKUP(Y114,A2:D500,4,FALSE))=0,,VLOOKUP(Y114,A2:D500,4,FALSE))</f>
        <v>#N/A</v>
      </c>
      <c r="AA114" s="56">
        <f>'Predictive Model'!P226</f>
        <v>0</v>
      </c>
      <c r="AB114" s="22" t="e">
        <f>IF(LEN(VLOOKUP(AA114,A2:D500,4,FALSE))=0,,VLOOKUP(AA114,A2:D500,4,FALSE))</f>
        <v>#N/A</v>
      </c>
      <c r="AC114" s="56">
        <f>'Consumption Model'!P231</f>
        <v>0</v>
      </c>
      <c r="AD114" s="22" t="e">
        <f>IF(LEN(VLOOKUP(AC114,A2:D500,4,FALSE))=0,,VLOOKUP(AC114,A2:D500,4,FALSE))</f>
        <v>#N/A</v>
      </c>
      <c r="AE114" s="22">
        <f>'(Data)'!P227</f>
        <v>0</v>
      </c>
      <c r="AF114" s="22" t="e">
        <f>IF(LEN(VLOOKUP(AE113:AE114,A2:D500,4,FALSE))=0,,VLOOKUP(AE113:AE114,A2:D500,4,FALSE))</f>
        <v>#N/A</v>
      </c>
      <c r="AH114" s="45">
        <f>'Risk Charact Model'!P245</f>
        <v>0</v>
      </c>
      <c r="AI114" s="58" t="e">
        <f>IF(LEN(VLOOKUP(AH114,A2:D500,4,FALSE))=0,,VLOOKUP(AH114,A2:D500,4,FALSE))</f>
        <v>#N/A</v>
      </c>
    </row>
    <row r="115" spans="9:35" ht="14" x14ac:dyDescent="0.3">
      <c r="I115" s="60">
        <f>'Generic Metadata Schema'!P245</f>
        <v>0</v>
      </c>
      <c r="J115" s="22" t="e">
        <f>IF(LEN(VLOOKUP(I115,A2:D500,4,FALSE))=0,"",VLOOKUP(I115,A2:D500,4,FALSE))</f>
        <v>#N/A</v>
      </c>
      <c r="L115" s="56">
        <f>'Dose-response Model'!O229</f>
        <v>0</v>
      </c>
      <c r="M115" s="22" t="e">
        <f>IF(LEN(VLOOKUP(L115,A2:D500,4,FALSE))=0,,VLOOKUP(L115,A2:D500,4,FALSE))</f>
        <v>#N/A</v>
      </c>
      <c r="N115" s="22">
        <f>'Exposure Model'!O246</f>
        <v>0</v>
      </c>
      <c r="O115" s="22" t="e">
        <f>IF(LEN(VLOOKUP(N115,A2:D500,4,FALSE))=0,,VLOOKUP(N115,A2:D500,4,FALSE))</f>
        <v>#N/A</v>
      </c>
      <c r="P115" s="55">
        <f>'QRA Models'!P246</f>
        <v>0</v>
      </c>
      <c r="Q115" s="22" t="e">
        <f>IF(LEN(VLOOKUP(P115,A2:D500,4,FALSE))=0,,VLOOKUP(P115,A2:D500,4,FALSE))</f>
        <v>#N/A</v>
      </c>
      <c r="R115" s="56">
        <f>'Health metrics Models'!Q229</f>
        <v>0</v>
      </c>
      <c r="S115" s="22" t="e">
        <f>IF(LEN(VLOOKUP(R115,A2:D500,4,FALSE))=0,,VLOOKUP(R115,A2:D500,4,FALSE))</f>
        <v>#N/A</v>
      </c>
      <c r="T115" s="56">
        <f>'Process Model'!O227</f>
        <v>0</v>
      </c>
      <c r="U115" s="22" t="e">
        <f>IF(LEN(VLOOKUP(T115,A2:D500,4,FALSE))=0,,VLOOKUP(T115,A2:D500,4,FALSE))</f>
        <v>#N/A</v>
      </c>
      <c r="V115" s="56">
        <f>'Toxicological reference value M'!P229</f>
        <v>0</v>
      </c>
      <c r="W115" s="22" t="e">
        <f>IF(LEN(VLOOKUP(V115,A2:D500,4,FALSE))=0,,VLOOKUP(V115,A2:D500,4,FALSE))</f>
        <v>#N/A</v>
      </c>
      <c r="Y115" s="56">
        <f>'Other Empirical Model'!P240</f>
        <v>0</v>
      </c>
      <c r="Z115" s="22" t="e">
        <f>IF(LEN(VLOOKUP(Y115,A2:D500,4,FALSE))=0,,VLOOKUP(Y115,A2:D500,4,FALSE))</f>
        <v>#N/A</v>
      </c>
      <c r="AA115" s="56">
        <f>'Predictive Model'!P227</f>
        <v>0</v>
      </c>
      <c r="AB115" s="22" t="e">
        <f>IF(LEN(VLOOKUP(AA115,A2:D500,4,FALSE))=0,,VLOOKUP(AA115,A2:D500,4,FALSE))</f>
        <v>#N/A</v>
      </c>
      <c r="AC115" s="56">
        <f>'Consumption Model'!P232</f>
        <v>0</v>
      </c>
      <c r="AD115" s="22" t="e">
        <f>IF(LEN(VLOOKUP(AC115,A2:D500,4,FALSE))=0,,VLOOKUP(AC115,A2:D500,4,FALSE))</f>
        <v>#N/A</v>
      </c>
      <c r="AE115" s="22">
        <f>'(Data)'!P228</f>
        <v>0</v>
      </c>
      <c r="AF115" s="22" t="e">
        <f>IF(LEN(VLOOKUP(AE114:AE115,A2:D500,4,FALSE))=0,,VLOOKUP(AE114:AE115,A2:D500,4,FALSE))</f>
        <v>#N/A</v>
      </c>
      <c r="AH115" s="45">
        <f>'Risk Charact Model'!P246</f>
        <v>0</v>
      </c>
      <c r="AI115" s="58" t="e">
        <f>IF(LEN(VLOOKUP(AH115,A2:D500,4,FALSE))=0,,VLOOKUP(AH115,A2:D500,4,FALSE))</f>
        <v>#N/A</v>
      </c>
    </row>
    <row r="116" spans="9:35" ht="14" x14ac:dyDescent="0.3">
      <c r="I116" s="60">
        <f>'Generic Metadata Schema'!P246</f>
        <v>0</v>
      </c>
      <c r="J116" s="22" t="e">
        <f>IF(LEN(VLOOKUP(I116,A2:D500,4,FALSE))=0,"",VLOOKUP(I116,A2:D500,4,FALSE))</f>
        <v>#N/A</v>
      </c>
      <c r="L116" s="56">
        <f>'Dose-response Model'!O230</f>
        <v>0</v>
      </c>
      <c r="M116" s="22" t="e">
        <f>IF(LEN(VLOOKUP(L116,A2:D500,4,FALSE))=0,,VLOOKUP(L116,A2:D500,4,FALSE))</f>
        <v>#N/A</v>
      </c>
      <c r="N116" s="22">
        <f>'Exposure Model'!O247</f>
        <v>0</v>
      </c>
      <c r="O116" s="22" t="e">
        <f>IF(LEN(VLOOKUP(N116,A2:D500,4,FALSE))=0,,VLOOKUP(N116,A2:D500,4,FALSE))</f>
        <v>#N/A</v>
      </c>
      <c r="P116" s="55">
        <f>'QRA Models'!P247</f>
        <v>0</v>
      </c>
      <c r="Q116" s="22" t="e">
        <f>IF(LEN(VLOOKUP(P116,A2:D500,4,FALSE))=0,,VLOOKUP(P116,A2:D500,4,FALSE))</f>
        <v>#N/A</v>
      </c>
      <c r="R116" s="56">
        <f>'Health metrics Models'!Q230</f>
        <v>0</v>
      </c>
      <c r="S116" s="22" t="e">
        <f>IF(LEN(VLOOKUP(R116,A2:D500,4,FALSE))=0,,VLOOKUP(R116,A2:D500,4,FALSE))</f>
        <v>#N/A</v>
      </c>
      <c r="T116" s="56">
        <f>'Process Model'!O228</f>
        <v>0</v>
      </c>
      <c r="U116" s="22" t="e">
        <f>IF(LEN(VLOOKUP(T116,A2:D500,4,FALSE))=0,,VLOOKUP(T116,A2:D500,4,FALSE))</f>
        <v>#N/A</v>
      </c>
      <c r="V116" s="56">
        <f>'Toxicological reference value M'!P230</f>
        <v>0</v>
      </c>
      <c r="W116" s="22" t="e">
        <f>IF(LEN(VLOOKUP(V116,A2:D500,4,FALSE))=0,,VLOOKUP(V116,A2:D500,4,FALSE))</f>
        <v>#N/A</v>
      </c>
      <c r="Y116" s="56">
        <f>'Other Empirical Model'!P241</f>
        <v>0</v>
      </c>
      <c r="Z116" s="22" t="e">
        <f>IF(LEN(VLOOKUP(Y116,A2:D500,4,FALSE))=0,,VLOOKUP(Y116,A2:D500,4,FALSE))</f>
        <v>#N/A</v>
      </c>
      <c r="AA116" s="56">
        <f>'Predictive Model'!P228</f>
        <v>0</v>
      </c>
      <c r="AB116" s="22" t="e">
        <f>IF(LEN(VLOOKUP(AA116,A2:D500,4,FALSE))=0,,VLOOKUP(AA116,A2:D500,4,FALSE))</f>
        <v>#N/A</v>
      </c>
      <c r="AC116" s="56">
        <f>'Consumption Model'!P233</f>
        <v>0</v>
      </c>
      <c r="AD116" s="22" t="e">
        <f>IF(LEN(VLOOKUP(AC116,A2:D500,4,FALSE))=0,,VLOOKUP(AC116,A2:D500,4,FALSE))</f>
        <v>#N/A</v>
      </c>
      <c r="AE116" s="22">
        <f>'(Data)'!P229</f>
        <v>0</v>
      </c>
      <c r="AF116" s="22" t="e">
        <f>IF(LEN(VLOOKUP(AE115:AE116,A2:D500,4,FALSE))=0,,VLOOKUP(AE115:AE116,A2:D500,4,FALSE))</f>
        <v>#N/A</v>
      </c>
      <c r="AH116" s="45">
        <f>'Risk Charact Model'!P247</f>
        <v>0</v>
      </c>
      <c r="AI116" s="58" t="e">
        <f>IF(LEN(VLOOKUP(AH116,A2:D500,4,FALSE))=0,,VLOOKUP(AH116,A2:D500,4,FALSE))</f>
        <v>#N/A</v>
      </c>
    </row>
    <row r="117" spans="9:35" ht="14" x14ac:dyDescent="0.3">
      <c r="I117" s="60">
        <f>'Generic Metadata Schema'!P247</f>
        <v>0</v>
      </c>
      <c r="J117" s="22" t="e">
        <f>IF(LEN(VLOOKUP(I117,A2:D500,4,FALSE))=0,"",VLOOKUP(I117,A2:D500,4,FALSE))</f>
        <v>#N/A</v>
      </c>
      <c r="L117" s="56">
        <f>'Dose-response Model'!O231</f>
        <v>0</v>
      </c>
      <c r="M117" s="22" t="e">
        <f>IF(LEN(VLOOKUP(L117,A2:D500,4,FALSE))=0,,VLOOKUP(L117,A2:D500,4,FALSE))</f>
        <v>#N/A</v>
      </c>
      <c r="N117" s="22">
        <f>'Exposure Model'!O248</f>
        <v>0</v>
      </c>
      <c r="O117" s="22" t="e">
        <f>IF(LEN(VLOOKUP(N117,A2:D500,4,FALSE))=0,,VLOOKUP(N117,A2:D500,4,FALSE))</f>
        <v>#N/A</v>
      </c>
      <c r="P117" s="55">
        <f>'QRA Models'!P248</f>
        <v>0</v>
      </c>
      <c r="Q117" s="22" t="e">
        <f>IF(LEN(VLOOKUP(P117,A2:D500,4,FALSE))=0,,VLOOKUP(P117,A2:D500,4,FALSE))</f>
        <v>#N/A</v>
      </c>
      <c r="R117" s="56">
        <f>'Health metrics Models'!Q231</f>
        <v>0</v>
      </c>
      <c r="S117" s="22" t="e">
        <f>IF(LEN(VLOOKUP(R117,A2:D500,4,FALSE))=0,,VLOOKUP(R117,A2:D500,4,FALSE))</f>
        <v>#N/A</v>
      </c>
      <c r="T117" s="56">
        <f>'Process Model'!O229</f>
        <v>0</v>
      </c>
      <c r="U117" s="22" t="e">
        <f>IF(LEN(VLOOKUP(T117,A2:D500,4,FALSE))=0,,VLOOKUP(T117,A2:D500,4,FALSE))</f>
        <v>#N/A</v>
      </c>
      <c r="V117" s="56">
        <f>'Toxicological reference value M'!P231</f>
        <v>0</v>
      </c>
      <c r="W117" s="22" t="e">
        <f>IF(LEN(VLOOKUP(V117,A2:D500,4,FALSE))=0,,VLOOKUP(V117,A2:D500,4,FALSE))</f>
        <v>#N/A</v>
      </c>
      <c r="Y117" s="56">
        <f>'Other Empirical Model'!P242</f>
        <v>0</v>
      </c>
      <c r="Z117" s="22" t="e">
        <f>IF(LEN(VLOOKUP(Y117,A2:D500,4,FALSE))=0,,VLOOKUP(Y117,A2:D500,4,FALSE))</f>
        <v>#N/A</v>
      </c>
      <c r="AA117" s="56">
        <f>'Predictive Model'!P229</f>
        <v>0</v>
      </c>
      <c r="AB117" s="22" t="e">
        <f>IF(LEN(VLOOKUP(AA117,A2:D500,4,FALSE))=0,,VLOOKUP(AA117,A2:D500,4,FALSE))</f>
        <v>#N/A</v>
      </c>
      <c r="AC117" s="56">
        <f>'Consumption Model'!P234</f>
        <v>0</v>
      </c>
      <c r="AD117" s="22" t="e">
        <f>IF(LEN(VLOOKUP(AC117,A2:D500,4,FALSE))=0,,VLOOKUP(AC117,A2:D500,4,FALSE))</f>
        <v>#N/A</v>
      </c>
      <c r="AE117" s="22">
        <f>'(Data)'!P230</f>
        <v>0</v>
      </c>
      <c r="AF117" s="22" t="e">
        <f>IF(LEN(VLOOKUP(AE116:AE117,A2:D500,4,FALSE))=0,,VLOOKUP(AE116:AE117,A2:D500,4,FALSE))</f>
        <v>#N/A</v>
      </c>
      <c r="AH117" s="45">
        <f>'Risk Charact Model'!P248</f>
        <v>0</v>
      </c>
      <c r="AI117" s="58" t="e">
        <f>IF(LEN(VLOOKUP(AH117,A2:D500,4,FALSE))=0,,VLOOKUP(AH117,A2:D500,4,FALSE))</f>
        <v>#N/A</v>
      </c>
    </row>
    <row r="118" spans="9:35" ht="14" x14ac:dyDescent="0.3">
      <c r="I118" s="60">
        <f>'Generic Metadata Schema'!P248</f>
        <v>0</v>
      </c>
      <c r="J118" s="22" t="e">
        <f>IF(LEN(VLOOKUP(I118,A2:D500,4,FALSE))=0,"",VLOOKUP(I118,A2:D500,4,FALSE))</f>
        <v>#N/A</v>
      </c>
      <c r="L118" s="56">
        <f>'Dose-response Model'!O232</f>
        <v>0</v>
      </c>
      <c r="M118" s="22" t="e">
        <f>IF(LEN(VLOOKUP(L118,A2:D500,4,FALSE))=0,,VLOOKUP(L118,A2:D500,4,FALSE))</f>
        <v>#N/A</v>
      </c>
      <c r="N118" s="22">
        <f>'Exposure Model'!O249</f>
        <v>0</v>
      </c>
      <c r="O118" s="22" t="e">
        <f>IF(LEN(VLOOKUP(N118,A2:D500,4,FALSE))=0,,VLOOKUP(N118,A2:D500,4,FALSE))</f>
        <v>#N/A</v>
      </c>
      <c r="P118" s="55">
        <f>'QRA Models'!P249</f>
        <v>0</v>
      </c>
      <c r="Q118" s="22" t="e">
        <f>IF(LEN(VLOOKUP(P118,A2:D500,4,FALSE))=0,,VLOOKUP(P118,A2:D500,4,FALSE))</f>
        <v>#N/A</v>
      </c>
      <c r="R118" s="56">
        <f>'Health metrics Models'!Q232</f>
        <v>0</v>
      </c>
      <c r="S118" s="22" t="e">
        <f>IF(LEN(VLOOKUP(R118,A2:D500,4,FALSE))=0,,VLOOKUP(R118,A2:D500,4,FALSE))</f>
        <v>#N/A</v>
      </c>
      <c r="T118" s="56">
        <f>'Process Model'!O230</f>
        <v>0</v>
      </c>
      <c r="U118" s="22" t="e">
        <f>IF(LEN(VLOOKUP(T118,A2:D500,4,FALSE))=0,,VLOOKUP(T118,A2:D500,4,FALSE))</f>
        <v>#N/A</v>
      </c>
      <c r="V118" s="56">
        <f>'Toxicological reference value M'!P232</f>
        <v>0</v>
      </c>
      <c r="W118" s="22" t="e">
        <f>IF(LEN(VLOOKUP(V118,A2:D500,4,FALSE))=0,,VLOOKUP(V118,A2:D500,4,FALSE))</f>
        <v>#N/A</v>
      </c>
      <c r="Y118" s="56">
        <f>'Other Empirical Model'!P243</f>
        <v>0</v>
      </c>
      <c r="Z118" s="22" t="e">
        <f>IF(LEN(VLOOKUP(Y118,A2:D500,4,FALSE))=0,,VLOOKUP(Y118,A2:D500,4,FALSE))</f>
        <v>#N/A</v>
      </c>
      <c r="AA118" s="56">
        <f>'Predictive Model'!P230</f>
        <v>0</v>
      </c>
      <c r="AB118" s="22" t="e">
        <f>IF(LEN(VLOOKUP(AA118,A2:D500,4,FALSE))=0,,VLOOKUP(AA118,A2:D500,4,FALSE))</f>
        <v>#N/A</v>
      </c>
      <c r="AC118" s="56">
        <f>'Consumption Model'!P235</f>
        <v>0</v>
      </c>
      <c r="AD118" s="22" t="e">
        <f>IF(LEN(VLOOKUP(AC118,A2:D500,4,FALSE))=0,,VLOOKUP(AC118,A2:D500,4,FALSE))</f>
        <v>#N/A</v>
      </c>
      <c r="AE118" s="22">
        <f>'(Data)'!P231</f>
        <v>0</v>
      </c>
      <c r="AF118" s="22" t="e">
        <f>IF(LEN(VLOOKUP(AE117:AE118,A2:D500,4,FALSE))=0,,VLOOKUP(AE117:AE118,A2:D500,4,FALSE))</f>
        <v>#N/A</v>
      </c>
      <c r="AH118" s="45">
        <f>'Risk Charact Model'!P249</f>
        <v>0</v>
      </c>
      <c r="AI118" s="58" t="e">
        <f>IF(LEN(VLOOKUP(AH118,A2:D500,4,FALSE))=0,,VLOOKUP(AH118,A2:D500,4,FALSE))</f>
        <v>#N/A</v>
      </c>
    </row>
    <row r="119" spans="9:35" ht="14" x14ac:dyDescent="0.3">
      <c r="I119" s="60">
        <f>'Generic Metadata Schema'!P249</f>
        <v>0</v>
      </c>
      <c r="J119" s="22" t="e">
        <f>IF(LEN(VLOOKUP(I119,A2:D500,4,FALSE))=0,"",VLOOKUP(I119,A2:D500,4,FALSE))</f>
        <v>#N/A</v>
      </c>
      <c r="L119" s="56">
        <f>'Dose-response Model'!O233</f>
        <v>0</v>
      </c>
      <c r="M119" s="22" t="e">
        <f>IF(LEN(VLOOKUP(L119,A2:D500,4,FALSE))=0,,VLOOKUP(L119,A2:D500,4,FALSE))</f>
        <v>#N/A</v>
      </c>
      <c r="N119" s="22">
        <f>'Exposure Model'!O250</f>
        <v>0</v>
      </c>
      <c r="O119" s="22" t="e">
        <f>IF(LEN(VLOOKUP(N119,A2:D500,4,FALSE))=0,,VLOOKUP(N119,A2:D500,4,FALSE))</f>
        <v>#N/A</v>
      </c>
      <c r="P119" s="55">
        <f>'QRA Models'!P250</f>
        <v>0</v>
      </c>
      <c r="Q119" s="22" t="e">
        <f>IF(LEN(VLOOKUP(P119,A2:D500,4,FALSE))=0,,VLOOKUP(P119,A2:D500,4,FALSE))</f>
        <v>#N/A</v>
      </c>
      <c r="R119" s="56">
        <f>'Health metrics Models'!Q233</f>
        <v>0</v>
      </c>
      <c r="S119" s="22" t="e">
        <f>IF(LEN(VLOOKUP(R119,A2:D500,4,FALSE))=0,,VLOOKUP(R119,A2:D500,4,FALSE))</f>
        <v>#N/A</v>
      </c>
      <c r="T119" s="56">
        <f>'Process Model'!O231</f>
        <v>0</v>
      </c>
      <c r="U119" s="22" t="e">
        <f>IF(LEN(VLOOKUP(T119,A2:D500,4,FALSE))=0,,VLOOKUP(T119,A2:D500,4,FALSE))</f>
        <v>#N/A</v>
      </c>
      <c r="V119" s="56">
        <f>'Toxicological reference value M'!P233</f>
        <v>0</v>
      </c>
      <c r="W119" s="22" t="e">
        <f>IF(LEN(VLOOKUP(V119,A2:D500,4,FALSE))=0,,VLOOKUP(V119,A2:D500,4,FALSE))</f>
        <v>#N/A</v>
      </c>
      <c r="Y119" s="56">
        <f>'Other Empirical Model'!P244</f>
        <v>0</v>
      </c>
      <c r="Z119" s="22" t="e">
        <f>IF(LEN(VLOOKUP(Y119,A2:D500,4,FALSE))=0,,VLOOKUP(Y119,A2:D500,4,FALSE))</f>
        <v>#N/A</v>
      </c>
      <c r="AA119" s="56">
        <f>'Predictive Model'!P231</f>
        <v>0</v>
      </c>
      <c r="AB119" s="22" t="e">
        <f>IF(LEN(VLOOKUP(AA119,A2:D500,4,FALSE))=0,,VLOOKUP(AA119,A2:D500,4,FALSE))</f>
        <v>#N/A</v>
      </c>
      <c r="AC119" s="56">
        <f>'Consumption Model'!P236</f>
        <v>0</v>
      </c>
      <c r="AD119" s="22" t="e">
        <f>IF(LEN(VLOOKUP(AC119,A2:D500,4,FALSE))=0,,VLOOKUP(AC119,A2:D500,4,FALSE))</f>
        <v>#N/A</v>
      </c>
      <c r="AE119" s="22">
        <f>'(Data)'!Q232</f>
        <v>0</v>
      </c>
      <c r="AF119" s="22" t="e">
        <f>IF(LEN(VLOOKUP(AE118:AE119,A2:D500,4,FALSE))=0,,VLOOKUP(AE118:AE119,A2:D500,4,FALSE))</f>
        <v>#N/A</v>
      </c>
      <c r="AH119" s="45">
        <f>'Risk Charact Model'!P250</f>
        <v>0</v>
      </c>
      <c r="AI119" s="58" t="e">
        <f>IF(LEN(VLOOKUP(AH119,A2:D500,4,FALSE))=0,,VLOOKUP(AH119,A2:D500,4,FALSE))</f>
        <v>#N/A</v>
      </c>
    </row>
    <row r="120" spans="9:35" ht="14" x14ac:dyDescent="0.3">
      <c r="I120" s="60">
        <f>'Generic Metadata Schema'!P250</f>
        <v>0</v>
      </c>
      <c r="J120" s="22" t="e">
        <f>IF(LEN(VLOOKUP(I120,A2:D500,4,FALSE))=0,"",VLOOKUP(I120,A2:D500,4,FALSE))</f>
        <v>#N/A</v>
      </c>
      <c r="L120" s="56">
        <f>'Dose-response Model'!O234</f>
        <v>0</v>
      </c>
      <c r="M120" s="22" t="e">
        <f>IF(LEN(VLOOKUP(L120,A2:D500,4,FALSE))=0,,VLOOKUP(L120,A2:D500,4,FALSE))</f>
        <v>#N/A</v>
      </c>
      <c r="N120" s="22">
        <f>'Exposure Model'!O251</f>
        <v>0</v>
      </c>
      <c r="O120" s="22" t="e">
        <f>IF(LEN(VLOOKUP(N120,A2:D500,4,FALSE))=0,,VLOOKUP(N120,A2:D500,4,FALSE))</f>
        <v>#N/A</v>
      </c>
      <c r="P120" s="55">
        <f>'QRA Models'!P251</f>
        <v>0</v>
      </c>
      <c r="Q120" s="22" t="e">
        <f>IF(LEN(VLOOKUP(P120,A2:D500,4,FALSE))=0,,VLOOKUP(P120,A2:D500,4,FALSE))</f>
        <v>#N/A</v>
      </c>
      <c r="R120" s="56">
        <f>'Health metrics Models'!Q234</f>
        <v>0</v>
      </c>
      <c r="S120" s="22" t="e">
        <f>IF(LEN(VLOOKUP(R120,A2:D500,4,FALSE))=0,,VLOOKUP(R120,A2:D500,4,FALSE))</f>
        <v>#N/A</v>
      </c>
      <c r="T120" s="56">
        <f>'Process Model'!O232</f>
        <v>0</v>
      </c>
      <c r="U120" s="22" t="e">
        <f>IF(LEN(VLOOKUP(T120,A2:D500,4,FALSE))=0,,VLOOKUP(T120,A2:D500,4,FALSE))</f>
        <v>#N/A</v>
      </c>
      <c r="V120" s="56">
        <f>'Toxicological reference value M'!P234</f>
        <v>0</v>
      </c>
      <c r="W120" s="22" t="e">
        <f>IF(LEN(VLOOKUP(V120,A2:D500,4,FALSE))=0,,VLOOKUP(V120,A2:D500,4,FALSE))</f>
        <v>#N/A</v>
      </c>
      <c r="Y120" s="56">
        <f>'Other Empirical Model'!P245</f>
        <v>0</v>
      </c>
      <c r="Z120" s="22" t="e">
        <f>IF(LEN(VLOOKUP(Y120,A2:D500,4,FALSE))=0,,VLOOKUP(Y120,A2:D500,4,FALSE))</f>
        <v>#N/A</v>
      </c>
      <c r="AA120" s="56">
        <f>'Predictive Model'!P232</f>
        <v>0</v>
      </c>
      <c r="AB120" s="22" t="e">
        <f>IF(LEN(VLOOKUP(AA120,A2:D500,4,FALSE))=0,,VLOOKUP(AA120,A2:D500,4,FALSE))</f>
        <v>#N/A</v>
      </c>
      <c r="AC120" s="56">
        <f>'Consumption Model'!P237</f>
        <v>0</v>
      </c>
      <c r="AD120" s="22" t="e">
        <f>IF(LEN(VLOOKUP(AC120,A2:D500,4,FALSE))=0,,VLOOKUP(AC120,A2:D500,4,FALSE))</f>
        <v>#N/A</v>
      </c>
      <c r="AE120" s="22">
        <f>'(Data)'!Q233</f>
        <v>0</v>
      </c>
      <c r="AF120" s="22" t="e">
        <f>IF(LEN(VLOOKUP(AE119:AE120,A2:D500,4,FALSE))=0,,VLOOKUP(AE119:AE120,A2:D500,4,FALSE))</f>
        <v>#N/A</v>
      </c>
      <c r="AH120" s="45">
        <f>'Risk Charact Model'!P251</f>
        <v>0</v>
      </c>
      <c r="AI120" s="58" t="e">
        <f>IF(LEN(VLOOKUP(AH120,A2:D500,4,FALSE))=0,,VLOOKUP(AH120,A2:D500,4,FALSE))</f>
        <v>#N/A</v>
      </c>
    </row>
    <row r="121" spans="9:35" ht="14" x14ac:dyDescent="0.3">
      <c r="I121" s="60">
        <f>'Generic Metadata Schema'!P251</f>
        <v>0</v>
      </c>
      <c r="J121" s="22" t="e">
        <f>IF(LEN(VLOOKUP(I121,A2:D500,4,FALSE))=0,"",VLOOKUP(I121,A2:D500,4,FALSE))</f>
        <v>#N/A</v>
      </c>
      <c r="L121" s="56">
        <f>'Dose-response Model'!O235</f>
        <v>0</v>
      </c>
      <c r="M121" s="22" t="e">
        <f>IF(LEN(VLOOKUP(L121,A2:D500,4,FALSE))=0,,VLOOKUP(L121,A2:D500,4,FALSE))</f>
        <v>#N/A</v>
      </c>
      <c r="N121" s="22">
        <f>'Exposure Model'!O252</f>
        <v>0</v>
      </c>
      <c r="O121" s="22" t="e">
        <f>IF(LEN(VLOOKUP(N121,A2:D500,4,FALSE))=0,,VLOOKUP(N121,A2:D500,4,FALSE))</f>
        <v>#N/A</v>
      </c>
      <c r="P121" s="55">
        <f>'QRA Models'!P252</f>
        <v>0</v>
      </c>
      <c r="Q121" s="22" t="e">
        <f>IF(LEN(VLOOKUP(P121,A2:D500,4,FALSE))=0,,VLOOKUP(P121,A2:D500,4,FALSE))</f>
        <v>#N/A</v>
      </c>
      <c r="R121" s="56">
        <f>'Health metrics Models'!Q235</f>
        <v>0</v>
      </c>
      <c r="S121" s="22" t="e">
        <f>IF(LEN(VLOOKUP(R121,A2:D500,4,FALSE))=0,,VLOOKUP(R121,A2:D500,4,FALSE))</f>
        <v>#N/A</v>
      </c>
      <c r="T121" s="56">
        <f>'Process Model'!O233</f>
        <v>0</v>
      </c>
      <c r="U121" s="22" t="e">
        <f>IF(LEN(VLOOKUP(T121,A2:D500,4,FALSE))=0,,VLOOKUP(T121,A2:D500,4,FALSE))</f>
        <v>#N/A</v>
      </c>
      <c r="V121" s="56">
        <f>'Toxicological reference value M'!P235</f>
        <v>0</v>
      </c>
      <c r="W121" s="22" t="e">
        <f>IF(LEN(VLOOKUP(V121,A2:D500,4,FALSE))=0,,VLOOKUP(V121,A2:D500,4,FALSE))</f>
        <v>#N/A</v>
      </c>
      <c r="Y121" s="56">
        <f>'Other Empirical Model'!P246</f>
        <v>0</v>
      </c>
      <c r="Z121" s="22" t="e">
        <f>IF(LEN(VLOOKUP(Y121,A2:D500,4,FALSE))=0,,VLOOKUP(Y121,A2:D500,4,FALSE))</f>
        <v>#N/A</v>
      </c>
      <c r="AA121" s="56">
        <f>'Predictive Model'!P233</f>
        <v>0</v>
      </c>
      <c r="AB121" s="22" t="e">
        <f>IF(LEN(VLOOKUP(AA121,A2:D500,4,FALSE))=0,,VLOOKUP(AA121,A2:D500,4,FALSE))</f>
        <v>#N/A</v>
      </c>
      <c r="AC121" s="56">
        <f>'Consumption Model'!P238</f>
        <v>0</v>
      </c>
      <c r="AD121" s="22" t="e">
        <f>IF(LEN(VLOOKUP(AC121,A2:D500,4,FALSE))=0,,VLOOKUP(AC121,A2:D500,4,FALSE))</f>
        <v>#N/A</v>
      </c>
      <c r="AE121" s="22">
        <f>'(Data)'!Q234</f>
        <v>0</v>
      </c>
      <c r="AF121" s="22" t="e">
        <f>IF(LEN(VLOOKUP(AE120:AE121,A2:D500,4,FALSE))=0,,VLOOKUP(AE120:AE121,A2:D500,4,FALSE))</f>
        <v>#N/A</v>
      </c>
      <c r="AH121" s="45">
        <f>'Risk Charact Model'!P252</f>
        <v>0</v>
      </c>
      <c r="AI121" s="58" t="e">
        <f>IF(LEN(VLOOKUP(AH121,A2:D500,4,FALSE))=0,,VLOOKUP(AH121,A2:D500,4,FALSE))</f>
        <v>#N/A</v>
      </c>
    </row>
    <row r="122" spans="9:35" ht="14" x14ac:dyDescent="0.3">
      <c r="I122" s="60">
        <f>'Generic Metadata Schema'!P252</f>
        <v>0</v>
      </c>
      <c r="J122" s="22" t="e">
        <f>IF(LEN(VLOOKUP(I122,A2:D500,4,FALSE))=0,"",VLOOKUP(I122,A2:D500,4,FALSE))</f>
        <v>#N/A</v>
      </c>
      <c r="L122" s="56">
        <f>'Dose-response Model'!O236</f>
        <v>0</v>
      </c>
      <c r="M122" s="22" t="e">
        <f>IF(LEN(VLOOKUP(L122,A2:D500,4,FALSE))=0,,VLOOKUP(L122,A2:D500,4,FALSE))</f>
        <v>#N/A</v>
      </c>
      <c r="N122" s="22">
        <f>'Exposure Model'!O253</f>
        <v>0</v>
      </c>
      <c r="O122" s="22" t="e">
        <f>IF(LEN(VLOOKUP(N122,A2:D500,4,FALSE))=0,,VLOOKUP(N122,A2:D500,4,FALSE))</f>
        <v>#N/A</v>
      </c>
      <c r="P122" s="55">
        <f>'QRA Models'!P253</f>
        <v>0</v>
      </c>
      <c r="Q122" s="22" t="e">
        <f>IF(LEN(VLOOKUP(P122,A2:D500,4,FALSE))=0,,VLOOKUP(P122,A2:D500,4,FALSE))</f>
        <v>#N/A</v>
      </c>
      <c r="R122" s="56">
        <f>'Health metrics Models'!Q236</f>
        <v>0</v>
      </c>
      <c r="S122" s="22" t="e">
        <f>IF(LEN(VLOOKUP(R122,A2:D500,4,FALSE))=0,,VLOOKUP(R122,A2:D500,4,FALSE))</f>
        <v>#N/A</v>
      </c>
      <c r="T122" s="56">
        <f>'Process Model'!O234</f>
        <v>0</v>
      </c>
      <c r="U122" s="22" t="e">
        <f>IF(LEN(VLOOKUP(T122,A2:D500,4,FALSE))=0,,VLOOKUP(T122,A2:D500,4,FALSE))</f>
        <v>#N/A</v>
      </c>
      <c r="V122" s="56">
        <f>'Toxicological reference value M'!P236</f>
        <v>0</v>
      </c>
      <c r="W122" s="22" t="e">
        <f>IF(LEN(VLOOKUP(V122,A2:D500,4,FALSE))=0,,VLOOKUP(V122,A2:D500,4,FALSE))</f>
        <v>#N/A</v>
      </c>
      <c r="Y122" s="56">
        <f>'Other Empirical Model'!P247</f>
        <v>0</v>
      </c>
      <c r="Z122" s="22" t="e">
        <f>IF(LEN(VLOOKUP(Y122,A2:D500,4,FALSE))=0,,VLOOKUP(Y122,A2:D500,4,FALSE))</f>
        <v>#N/A</v>
      </c>
      <c r="AA122" s="56">
        <f>'Predictive Model'!P234</f>
        <v>0</v>
      </c>
      <c r="AB122" s="22" t="e">
        <f>IF(LEN(VLOOKUP(AA122,A2:D500,4,FALSE))=0,,VLOOKUP(AA122,A2:D500,4,FALSE))</f>
        <v>#N/A</v>
      </c>
      <c r="AC122" s="56">
        <f>'Consumption Model'!P239</f>
        <v>0</v>
      </c>
      <c r="AD122" s="22" t="e">
        <f>IF(LEN(VLOOKUP(AC122,A2:D500,4,FALSE))=0,,VLOOKUP(AC122,A2:D500,4,FALSE))</f>
        <v>#N/A</v>
      </c>
      <c r="AE122" s="22">
        <f>'(Data)'!Q235</f>
        <v>0</v>
      </c>
      <c r="AF122" s="22" t="e">
        <f>IF(LEN(VLOOKUP(AE121:AE122,A2:D500,4,FALSE))=0,,VLOOKUP(AE121:AE122,A2:D500,4,FALSE))</f>
        <v>#N/A</v>
      </c>
      <c r="AH122" s="45">
        <f>'Risk Charact Model'!P253</f>
        <v>0</v>
      </c>
      <c r="AI122" s="58" t="e">
        <f>IF(LEN(VLOOKUP(AH122,A2:D500,4,FALSE))=0,,VLOOKUP(AH122,A2:D500,4,FALSE))</f>
        <v>#N/A</v>
      </c>
    </row>
    <row r="123" spans="9:35" ht="14" x14ac:dyDescent="0.3">
      <c r="I123" s="60">
        <f>'Generic Metadata Schema'!P253</f>
        <v>0</v>
      </c>
      <c r="J123" s="22" t="e">
        <f>IF(LEN(VLOOKUP(I123,A2:D500,4,FALSE))=0,"",VLOOKUP(I123,A2:D500,4,FALSE))</f>
        <v>#N/A</v>
      </c>
      <c r="L123" s="56">
        <f>'Dose-response Model'!O237</f>
        <v>0</v>
      </c>
      <c r="M123" s="22" t="e">
        <f>IF(LEN(VLOOKUP(L123,A2:D500,4,FALSE))=0,,VLOOKUP(L123,A2:D500,4,FALSE))</f>
        <v>#N/A</v>
      </c>
      <c r="N123" s="22">
        <f>'Exposure Model'!O254</f>
        <v>0</v>
      </c>
      <c r="O123" s="22" t="e">
        <f>IF(LEN(VLOOKUP(N123,A2:D500,4,FALSE))=0,,VLOOKUP(N123,A2:D500,4,FALSE))</f>
        <v>#N/A</v>
      </c>
      <c r="P123" s="55">
        <f>'QRA Models'!P254</f>
        <v>0</v>
      </c>
      <c r="Q123" s="22" t="e">
        <f>IF(LEN(VLOOKUP(P123,A2:D500,4,FALSE))=0,,VLOOKUP(P123,A2:D500,4,FALSE))</f>
        <v>#N/A</v>
      </c>
      <c r="R123" s="56">
        <f>'Health metrics Models'!Q237</f>
        <v>0</v>
      </c>
      <c r="S123" s="22" t="e">
        <f>IF(LEN(VLOOKUP(R123,A2:D500,4,FALSE))=0,,VLOOKUP(R123,A2:D500,4,FALSE))</f>
        <v>#N/A</v>
      </c>
      <c r="T123" s="56">
        <f>'Process Model'!O235</f>
        <v>0</v>
      </c>
      <c r="U123" s="22" t="e">
        <f>IF(LEN(VLOOKUP(T123,A2:D500,4,FALSE))=0,,VLOOKUP(T123,A2:D500,4,FALSE))</f>
        <v>#N/A</v>
      </c>
      <c r="V123" s="56">
        <f>'Toxicological reference value M'!P237</f>
        <v>0</v>
      </c>
      <c r="W123" s="22" t="e">
        <f>IF(LEN(VLOOKUP(V123,A2:D500,4,FALSE))=0,,VLOOKUP(V123,A2:D500,4,FALSE))</f>
        <v>#N/A</v>
      </c>
      <c r="Y123" s="56">
        <f>'Other Empirical Model'!P248</f>
        <v>0</v>
      </c>
      <c r="Z123" s="22" t="e">
        <f>IF(LEN(VLOOKUP(Y123,A2:D500,4,FALSE))=0,,VLOOKUP(Y123,A2:D500,4,FALSE))</f>
        <v>#N/A</v>
      </c>
      <c r="AA123" s="56">
        <f>'Predictive Model'!P235</f>
        <v>0</v>
      </c>
      <c r="AB123" s="22" t="e">
        <f>IF(LEN(VLOOKUP(AA123,A2:D500,4,FALSE))=0,,VLOOKUP(AA123,A2:D500,4,FALSE))</f>
        <v>#N/A</v>
      </c>
      <c r="AC123" s="56">
        <f>'Consumption Model'!P240</f>
        <v>0</v>
      </c>
      <c r="AD123" s="22" t="e">
        <f>IF(LEN(VLOOKUP(AC123,A2:D500,4,FALSE))=0,,VLOOKUP(AC123,A2:D500,4,FALSE))</f>
        <v>#N/A</v>
      </c>
      <c r="AE123" s="22">
        <f>'(Data)'!Q236</f>
        <v>0</v>
      </c>
      <c r="AF123" s="22" t="e">
        <f>IF(LEN(VLOOKUP(AE122:AE123,A2:D500,4,FALSE))=0,,VLOOKUP(AE122:AE123,A2:D500,4,FALSE))</f>
        <v>#N/A</v>
      </c>
      <c r="AH123" s="45">
        <f>'Risk Charact Model'!P254</f>
        <v>0</v>
      </c>
      <c r="AI123" s="58" t="e">
        <f>IF(LEN(VLOOKUP(AH123,A2:D500,4,FALSE))=0,,VLOOKUP(AH123,A2:D500,4,FALSE))</f>
        <v>#N/A</v>
      </c>
    </row>
    <row r="124" spans="9:35" ht="14" x14ac:dyDescent="0.3">
      <c r="I124" s="60">
        <f>'Generic Metadata Schema'!P254</f>
        <v>0</v>
      </c>
      <c r="J124" s="22" t="e">
        <f>IF(LEN(VLOOKUP(I124,A2:D500,4,FALSE))=0,"",VLOOKUP(I124,A2:D500,4,FALSE))</f>
        <v>#N/A</v>
      </c>
      <c r="L124" s="56">
        <f>'Dose-response Model'!O238</f>
        <v>0</v>
      </c>
      <c r="M124" s="22" t="e">
        <f>IF(LEN(VLOOKUP(L124,A2:D500,4,FALSE))=0,,VLOOKUP(L124,A2:D500,4,FALSE))</f>
        <v>#N/A</v>
      </c>
      <c r="N124" s="22">
        <f>'Exposure Model'!O255</f>
        <v>0</v>
      </c>
      <c r="O124" s="22" t="e">
        <f>IF(LEN(VLOOKUP(N124,A2:D500,4,FALSE))=0,,VLOOKUP(N124,A2:D500,4,FALSE))</f>
        <v>#N/A</v>
      </c>
      <c r="P124" s="55">
        <f>'QRA Models'!P255</f>
        <v>0</v>
      </c>
      <c r="Q124" s="22" t="e">
        <f>IF(LEN(VLOOKUP(P124,A2:D500,4,FALSE))=0,,VLOOKUP(P124,A2:D500,4,FALSE))</f>
        <v>#N/A</v>
      </c>
      <c r="R124" s="56">
        <f>'Health metrics Models'!Q238</f>
        <v>0</v>
      </c>
      <c r="S124" s="22" t="e">
        <f>IF(LEN(VLOOKUP(R124,A2:D500,4,FALSE))=0,,VLOOKUP(R124,A2:D500,4,FALSE))</f>
        <v>#N/A</v>
      </c>
      <c r="T124" s="56">
        <f>'Process Model'!P236</f>
        <v>0</v>
      </c>
      <c r="U124" s="22" t="e">
        <f>IF(LEN(VLOOKUP(T124,A2:D500,4,FALSE))=0,,VLOOKUP(T124,A2:D500,4,FALSE))</f>
        <v>#N/A</v>
      </c>
      <c r="V124" s="56">
        <f>'Toxicological reference value M'!P238</f>
        <v>0</v>
      </c>
      <c r="W124" s="22" t="e">
        <f>IF(LEN(VLOOKUP(V124,A2:D500,4,FALSE))=0,,VLOOKUP(V124,A2:D500,4,FALSE))</f>
        <v>#N/A</v>
      </c>
      <c r="Y124" s="56">
        <f>'Other Empirical Model'!P249</f>
        <v>0</v>
      </c>
      <c r="Z124" s="22" t="e">
        <f>IF(LEN(VLOOKUP(Y124,A2:D500,4,FALSE))=0,,VLOOKUP(Y124,A2:D500,4,FALSE))</f>
        <v>#N/A</v>
      </c>
      <c r="AA124" s="56">
        <f>'Predictive Model'!P236</f>
        <v>0</v>
      </c>
      <c r="AB124" s="22" t="e">
        <f>IF(LEN(VLOOKUP(AA124,A2:D500,4,FALSE))=0,,VLOOKUP(AA124,A2:D500,4,FALSE))</f>
        <v>#N/A</v>
      </c>
      <c r="AC124" s="56">
        <f>'Consumption Model'!P241</f>
        <v>0</v>
      </c>
      <c r="AD124" s="22" t="e">
        <f>IF(LEN(VLOOKUP(AC124,A2:D500,4,FALSE))=0,,VLOOKUP(AC124,A2:D500,4,FALSE))</f>
        <v>#N/A</v>
      </c>
      <c r="AE124" s="22">
        <f>'(Data)'!Q237</f>
        <v>0</v>
      </c>
      <c r="AF124" s="22" t="e">
        <f>IF(LEN(VLOOKUP(AE123:AE124,A2:D500,4,FALSE))=0,,VLOOKUP(AE123:AE124,A2:D500,4,FALSE))</f>
        <v>#N/A</v>
      </c>
      <c r="AH124" s="45">
        <f>'Risk Charact Model'!P255</f>
        <v>0</v>
      </c>
      <c r="AI124" s="58" t="e">
        <f>IF(LEN(VLOOKUP(AH124,A2:D500,4,FALSE))=0,,VLOOKUP(AH124,A2:D500,4,FALSE))</f>
        <v>#N/A</v>
      </c>
    </row>
    <row r="125" spans="9:35" ht="14" x14ac:dyDescent="0.3">
      <c r="I125" s="60">
        <f>'Generic Metadata Schema'!P255</f>
        <v>0</v>
      </c>
      <c r="J125" s="22" t="e">
        <f>IF(LEN(VLOOKUP(I125,A2:D500,4,FALSE))=0,"",VLOOKUP(I125,A2:D500,4,FALSE))</f>
        <v>#N/A</v>
      </c>
      <c r="L125" s="56">
        <f>'Dose-response Model'!O239</f>
        <v>0</v>
      </c>
      <c r="M125" s="22" t="e">
        <f>IF(LEN(VLOOKUP(L125,A2:D500,4,FALSE))=0,,VLOOKUP(L125,A2:D500,4,FALSE))</f>
        <v>#N/A</v>
      </c>
      <c r="N125" s="22">
        <f>'Exposure Model'!O256</f>
        <v>0</v>
      </c>
      <c r="O125" s="22" t="e">
        <f>IF(LEN(VLOOKUP(N125,A2:D500,4,FALSE))=0,,VLOOKUP(N125,A2:D500,4,FALSE))</f>
        <v>#N/A</v>
      </c>
      <c r="P125" s="55">
        <f>'QRA Models'!P256</f>
        <v>0</v>
      </c>
      <c r="Q125" s="22" t="e">
        <f>IF(LEN(VLOOKUP(P125,A2:D500,4,FALSE))=0,,VLOOKUP(P125,A2:D500,4,FALSE))</f>
        <v>#N/A</v>
      </c>
      <c r="R125" s="56">
        <f>'Health metrics Models'!Q239</f>
        <v>0</v>
      </c>
      <c r="S125" s="22" t="e">
        <f>IF(LEN(VLOOKUP(R125,A2:D500,4,FALSE))=0,,VLOOKUP(R125,A2:D500,4,FALSE))</f>
        <v>#N/A</v>
      </c>
      <c r="T125" s="56">
        <f>'Process Model'!P237</f>
        <v>0</v>
      </c>
      <c r="U125" s="22" t="e">
        <f>IF(LEN(VLOOKUP(T125,A2:D500,4,FALSE))=0,,VLOOKUP(T125,A2:D500,4,FALSE))</f>
        <v>#N/A</v>
      </c>
      <c r="V125" s="56">
        <f>'Toxicological reference value M'!P239</f>
        <v>0</v>
      </c>
      <c r="W125" s="22" t="e">
        <f>IF(LEN(VLOOKUP(V125,A2:D500,4,FALSE))=0,,VLOOKUP(V125,A2:D500,4,FALSE))</f>
        <v>#N/A</v>
      </c>
      <c r="Y125" s="56">
        <f>'Other Empirical Model'!P250</f>
        <v>0</v>
      </c>
      <c r="Z125" s="22" t="e">
        <f>IF(LEN(VLOOKUP(Y125,A2:D500,4,FALSE))=0,,VLOOKUP(Y125,A2:D500,4,FALSE))</f>
        <v>#N/A</v>
      </c>
      <c r="AA125" s="56">
        <f>'Predictive Model'!P237</f>
        <v>0</v>
      </c>
      <c r="AB125" s="22" t="e">
        <f>IF(LEN(VLOOKUP(AA125,A2:D500,4,FALSE))=0,,VLOOKUP(AA125,A2:D500,4,FALSE))</f>
        <v>#N/A</v>
      </c>
      <c r="AC125" s="56">
        <f>'Consumption Model'!P242</f>
        <v>0</v>
      </c>
      <c r="AD125" s="22" t="e">
        <f>IF(LEN(VLOOKUP(AC125,A2:D500,4,FALSE))=0,,VLOOKUP(AC125,A2:D500,4,FALSE))</f>
        <v>#N/A</v>
      </c>
      <c r="AE125" s="22">
        <f>'(Data)'!Q238</f>
        <v>0</v>
      </c>
      <c r="AF125" s="22" t="e">
        <f>IF(LEN(VLOOKUP(AE124:AE125,A2:D500,4,FALSE))=0,,VLOOKUP(AE124:AE125,A2:D500,4,FALSE))</f>
        <v>#N/A</v>
      </c>
      <c r="AH125" s="45">
        <f>'Risk Charact Model'!P256</f>
        <v>0</v>
      </c>
      <c r="AI125" s="58" t="e">
        <f>IF(LEN(VLOOKUP(AH125,A2:D500,4,FALSE))=0,,VLOOKUP(AH125,A2:D500,4,FALSE))</f>
        <v>#N/A</v>
      </c>
    </row>
    <row r="126" spans="9:35" ht="14" x14ac:dyDescent="0.3">
      <c r="I126" s="60">
        <f>'Generic Metadata Schema'!P256</f>
        <v>0</v>
      </c>
      <c r="J126" s="22" t="e">
        <f>IF(LEN(VLOOKUP(I126,A2:D500,4,FALSE))=0,"",VLOOKUP(I126,A2:D500,4,FALSE))</f>
        <v>#N/A</v>
      </c>
      <c r="L126" s="56">
        <f>'Dose-response Model'!O240</f>
        <v>0</v>
      </c>
      <c r="M126" s="22" t="e">
        <f>IF(LEN(VLOOKUP(L126,A2:D500,4,FALSE))=0,,VLOOKUP(L126,A2:D500,4,FALSE))</f>
        <v>#N/A</v>
      </c>
      <c r="N126" s="22">
        <f>'Exposure Model'!O257</f>
        <v>0</v>
      </c>
      <c r="O126" s="22" t="e">
        <f>IF(LEN(VLOOKUP(N126,A2:D500,4,FALSE))=0,,VLOOKUP(N126,A2:D500,4,FALSE))</f>
        <v>#N/A</v>
      </c>
      <c r="P126" s="55">
        <f>'QRA Models'!P257</f>
        <v>0</v>
      </c>
      <c r="Q126" s="22" t="e">
        <f>IF(LEN(VLOOKUP(P126,A2:D500,4,FALSE))=0,,VLOOKUP(P126,A2:D500,4,FALSE))</f>
        <v>#N/A</v>
      </c>
      <c r="R126" s="56">
        <f>'Health metrics Models'!Q240</f>
        <v>0</v>
      </c>
      <c r="S126" s="22" t="e">
        <f>IF(LEN(VLOOKUP(R126,A2:D500,4,FALSE))=0,,VLOOKUP(R126,A2:D500,4,FALSE))</f>
        <v>#N/A</v>
      </c>
      <c r="T126" s="56">
        <f>'Process Model'!P238</f>
        <v>0</v>
      </c>
      <c r="U126" s="22" t="e">
        <f>IF(LEN(VLOOKUP(T126,A2:D500,4,FALSE))=0,,VLOOKUP(T126,A2:D500,4,FALSE))</f>
        <v>#N/A</v>
      </c>
      <c r="V126" s="56">
        <f>'Toxicological reference value M'!P240</f>
        <v>0</v>
      </c>
      <c r="W126" s="22" t="e">
        <f>IF(LEN(VLOOKUP(V126,A2:D500,4,FALSE))=0,,VLOOKUP(V126,A2:D500,4,FALSE))</f>
        <v>#N/A</v>
      </c>
      <c r="Y126" s="56">
        <f>'Other Empirical Model'!P251</f>
        <v>0</v>
      </c>
      <c r="Z126" s="22" t="e">
        <f>IF(LEN(VLOOKUP(Y126,A2:D500,4,FALSE))=0,,VLOOKUP(Y126,A2:D500,4,FALSE))</f>
        <v>#N/A</v>
      </c>
      <c r="AA126" s="56">
        <f>'Predictive Model'!P238</f>
        <v>0</v>
      </c>
      <c r="AB126" s="22" t="e">
        <f>IF(LEN(VLOOKUP(AA126,A2:D500,4,FALSE))=0,,VLOOKUP(AA126,A2:D500,4,FALSE))</f>
        <v>#N/A</v>
      </c>
      <c r="AC126" s="56">
        <f>'Consumption Model'!P243</f>
        <v>0</v>
      </c>
      <c r="AD126" s="22" t="e">
        <f>IF(LEN(VLOOKUP(AC126,A2:D500,4,FALSE))=0,,VLOOKUP(AC126,A2:D500,4,FALSE))</f>
        <v>#N/A</v>
      </c>
      <c r="AE126" s="22">
        <f>'(Data)'!Q239</f>
        <v>0</v>
      </c>
      <c r="AF126" s="22" t="e">
        <f>IF(LEN(VLOOKUP(AE125:AE126,A2:D500,4,FALSE))=0,,VLOOKUP(AE125:AE126,A2:D500,4,FALSE))</f>
        <v>#N/A</v>
      </c>
      <c r="AH126" s="45">
        <f>'Risk Charact Model'!P257</f>
        <v>0</v>
      </c>
      <c r="AI126" s="58" t="e">
        <f>IF(LEN(VLOOKUP(AH126,A2:D500,4,FALSE))=0,,VLOOKUP(AH126,A2:D500,4,FALSE))</f>
        <v>#N/A</v>
      </c>
    </row>
    <row r="127" spans="9:35" ht="14" x14ac:dyDescent="0.3">
      <c r="I127" s="60">
        <f>'Generic Metadata Schema'!P257</f>
        <v>0</v>
      </c>
      <c r="J127" s="22" t="e">
        <f>IF(LEN(VLOOKUP(I127,A2:D500,4,FALSE))=0,"",VLOOKUP(I127,A2:D500,4,FALSE))</f>
        <v>#N/A</v>
      </c>
      <c r="L127" s="56">
        <f>'Dose-response Model'!O241</f>
        <v>0</v>
      </c>
      <c r="M127" s="22" t="e">
        <f>IF(LEN(VLOOKUP(L127,A2:D500,4,FALSE))=0,,VLOOKUP(L127,A2:D500,4,FALSE))</f>
        <v>#N/A</v>
      </c>
      <c r="N127" s="22">
        <f>'Exposure Model'!O258</f>
        <v>0</v>
      </c>
      <c r="O127" s="22" t="e">
        <f>IF(LEN(VLOOKUP(N127,A2:D500,4,FALSE))=0,,VLOOKUP(N127,A2:D500,4,FALSE))</f>
        <v>#N/A</v>
      </c>
      <c r="P127" s="55">
        <f>'QRA Models'!P258</f>
        <v>0</v>
      </c>
      <c r="Q127" s="22" t="e">
        <f>IF(LEN(VLOOKUP(P127,A2:D500,4,FALSE))=0,,VLOOKUP(P127,A2:D500,4,FALSE))</f>
        <v>#N/A</v>
      </c>
      <c r="R127" s="56">
        <f>'Health metrics Models'!Q241</f>
        <v>0</v>
      </c>
      <c r="S127" s="22" t="e">
        <f>IF(LEN(VLOOKUP(R127,A2:D500,4,FALSE))=0,,VLOOKUP(R127,A2:D500,4,FALSE))</f>
        <v>#N/A</v>
      </c>
      <c r="T127" s="56">
        <f>'Process Model'!P239</f>
        <v>0</v>
      </c>
      <c r="U127" s="22" t="e">
        <f>IF(LEN(VLOOKUP(T127,A2:D500,4,FALSE))=0,,VLOOKUP(T127,A2:D500,4,FALSE))</f>
        <v>#N/A</v>
      </c>
      <c r="V127" s="56">
        <f>'Toxicological reference value M'!P241</f>
        <v>0</v>
      </c>
      <c r="W127" s="22" t="e">
        <f>IF(LEN(VLOOKUP(V127,A2:D500,4,FALSE))=0,,VLOOKUP(V127,A2:D500,4,FALSE))</f>
        <v>#N/A</v>
      </c>
      <c r="Y127" s="56">
        <f>'Other Empirical Model'!P252</f>
        <v>0</v>
      </c>
      <c r="Z127" s="22" t="e">
        <f>IF(LEN(VLOOKUP(Y127,A2:D500,4,FALSE))=0,,VLOOKUP(Y127,A2:D500,4,FALSE))</f>
        <v>#N/A</v>
      </c>
      <c r="AA127" s="56">
        <f>'Predictive Model'!P239</f>
        <v>0</v>
      </c>
      <c r="AB127" s="22" t="e">
        <f>IF(LEN(VLOOKUP(AA127,A2:D500,4,FALSE))=0,,VLOOKUP(AA127,A2:D500,4,FALSE))</f>
        <v>#N/A</v>
      </c>
      <c r="AC127" s="56">
        <f>'Consumption Model'!P244</f>
        <v>0</v>
      </c>
      <c r="AD127" s="22" t="e">
        <f>IF(LEN(VLOOKUP(AC127,A2:D500,4,FALSE))=0,,VLOOKUP(AC127,A2:D500,4,FALSE))</f>
        <v>#N/A</v>
      </c>
      <c r="AE127" s="22">
        <f>'(Data)'!Q240</f>
        <v>0</v>
      </c>
      <c r="AF127" s="22" t="e">
        <f>IF(LEN(VLOOKUP(AE126:AE127,A2:D500,4,FALSE))=0,,VLOOKUP(AE126:AE127,A2:D500,4,FALSE))</f>
        <v>#N/A</v>
      </c>
      <c r="AH127" s="45">
        <f>'Risk Charact Model'!P258</f>
        <v>0</v>
      </c>
      <c r="AI127" s="58" t="e">
        <f>IF(LEN(VLOOKUP(AH127,A2:D500,4,FALSE))=0,,VLOOKUP(AH127,A2:D500,4,FALSE))</f>
        <v>#N/A</v>
      </c>
    </row>
    <row r="128" spans="9:35" ht="14" x14ac:dyDescent="0.3">
      <c r="I128" s="60">
        <f>'Generic Metadata Schema'!P258</f>
        <v>0</v>
      </c>
      <c r="J128" s="22" t="e">
        <f>IF(LEN(VLOOKUP(I128,A2:D500,4,FALSE))=0,"",VLOOKUP(I128,A2:D500,4,FALSE))</f>
        <v>#N/A</v>
      </c>
      <c r="L128" s="56">
        <f>'Dose-response Model'!O242</f>
        <v>0</v>
      </c>
      <c r="M128" s="22" t="e">
        <f>IF(LEN(VLOOKUP(L128,A2:D500,4,FALSE))=0,,VLOOKUP(L128,A2:D500,4,FALSE))</f>
        <v>#N/A</v>
      </c>
      <c r="N128" s="22">
        <f>'Exposure Model'!O259</f>
        <v>0</v>
      </c>
      <c r="O128" s="22" t="e">
        <f>IF(LEN(VLOOKUP(N128,A2:D500,4,FALSE))=0,,VLOOKUP(N128,A2:D500,4,FALSE))</f>
        <v>#N/A</v>
      </c>
      <c r="P128" s="55">
        <f>'QRA Models'!P259</f>
        <v>0</v>
      </c>
      <c r="Q128" s="22" t="e">
        <f>IF(LEN(VLOOKUP(P128,A2:D500,4,FALSE))=0,,VLOOKUP(P128,A2:D500,4,FALSE))</f>
        <v>#N/A</v>
      </c>
      <c r="R128" s="56">
        <f>'Health metrics Models'!Q242</f>
        <v>0</v>
      </c>
      <c r="S128" s="22" t="e">
        <f>IF(LEN(VLOOKUP(R128,A2:D500,4,FALSE))=0,,VLOOKUP(R128,A2:D500,4,FALSE))</f>
        <v>#N/A</v>
      </c>
      <c r="T128" s="56">
        <f>'Process Model'!P240</f>
        <v>0</v>
      </c>
      <c r="U128" s="22" t="e">
        <f>IF(LEN(VLOOKUP(T128,A2:D500,4,FALSE))=0,,VLOOKUP(T128,A2:D500,4,FALSE))</f>
        <v>#N/A</v>
      </c>
      <c r="V128" s="56">
        <f>'Toxicological reference value M'!P242</f>
        <v>0</v>
      </c>
      <c r="W128" s="22" t="e">
        <f>IF(LEN(VLOOKUP(V128,A2:D500,4,FALSE))=0,,VLOOKUP(V128,A2:D500,4,FALSE))</f>
        <v>#N/A</v>
      </c>
      <c r="Y128" s="56">
        <f>'Other Empirical Model'!P253</f>
        <v>0</v>
      </c>
      <c r="Z128" s="22" t="e">
        <f>IF(LEN(VLOOKUP(Y128,A2:D500,4,FALSE))=0,,VLOOKUP(Y128,A2:D500,4,FALSE))</f>
        <v>#N/A</v>
      </c>
      <c r="AA128" s="56">
        <f>'Predictive Model'!P240</f>
        <v>0</v>
      </c>
      <c r="AB128" s="22" t="e">
        <f>IF(LEN(VLOOKUP(AA128,A2:D500,4,FALSE))=0,,VLOOKUP(AA128,A2:D500,4,FALSE))</f>
        <v>#N/A</v>
      </c>
      <c r="AC128" s="56">
        <f>'Consumption Model'!P245</f>
        <v>0</v>
      </c>
      <c r="AD128" s="22" t="e">
        <f>IF(LEN(VLOOKUP(AC128,A2:D500,4,FALSE))=0,,VLOOKUP(AC128,A2:D500,4,FALSE))</f>
        <v>#N/A</v>
      </c>
      <c r="AE128" s="22">
        <f>'(Data)'!Q241</f>
        <v>0</v>
      </c>
      <c r="AF128" s="22" t="e">
        <f>IF(LEN(VLOOKUP(AE127:AE128,A2:D500,4,FALSE))=0,,VLOOKUP(AE127:AE128,A2:D500,4,FALSE))</f>
        <v>#N/A</v>
      </c>
      <c r="AH128" s="45">
        <f>'Risk Charact Model'!P259</f>
        <v>0</v>
      </c>
      <c r="AI128" s="58" t="e">
        <f>IF(LEN(VLOOKUP(AH128,A2:D500,4,FALSE))=0,,VLOOKUP(AH128,A2:D500,4,FALSE))</f>
        <v>#N/A</v>
      </c>
    </row>
    <row r="129" spans="9:35" ht="14" x14ac:dyDescent="0.3">
      <c r="I129" s="60">
        <f>'Generic Metadata Schema'!P259</f>
        <v>0</v>
      </c>
      <c r="J129" s="22" t="e">
        <f>IF(LEN(VLOOKUP(I129,A2:D500,4,FALSE))=0,"",VLOOKUP(I129,A2:D500,4,FALSE))</f>
        <v>#N/A</v>
      </c>
      <c r="L129" s="56">
        <f>'Dose-response Model'!O243</f>
        <v>0</v>
      </c>
      <c r="M129" s="22" t="e">
        <f>IF(LEN(VLOOKUP(L129,A2:D500,4,FALSE))=0,,VLOOKUP(L129,A2:D500,4,FALSE))</f>
        <v>#N/A</v>
      </c>
      <c r="N129" s="22">
        <f>'Exposure Model'!O260</f>
        <v>0</v>
      </c>
      <c r="O129" s="22" t="e">
        <f>IF(LEN(VLOOKUP(N129,A2:D500,4,FALSE))=0,,VLOOKUP(N129,A2:D500,4,FALSE))</f>
        <v>#N/A</v>
      </c>
      <c r="P129" s="55">
        <f>'QRA Models'!P260</f>
        <v>0</v>
      </c>
      <c r="Q129" s="22" t="e">
        <f>IF(LEN(VLOOKUP(P129,A2:D500,4,FALSE))=0,,VLOOKUP(P129,A2:D500,4,FALSE))</f>
        <v>#N/A</v>
      </c>
      <c r="R129" s="56">
        <f>'Health metrics Models'!Q243</f>
        <v>0</v>
      </c>
      <c r="S129" s="22" t="e">
        <f>IF(LEN(VLOOKUP(R129,A2:D500,4,FALSE))=0,,VLOOKUP(R129,A2:D500,4,FALSE))</f>
        <v>#N/A</v>
      </c>
      <c r="T129" s="56">
        <f>'Process Model'!P241</f>
        <v>0</v>
      </c>
      <c r="U129" s="22" t="e">
        <f>IF(LEN(VLOOKUP(T129,A2:D500,4,FALSE))=0,,VLOOKUP(T129,A2:D500,4,FALSE))</f>
        <v>#N/A</v>
      </c>
      <c r="V129" s="56">
        <f>'Toxicological reference value M'!P243</f>
        <v>0</v>
      </c>
      <c r="W129" s="22" t="e">
        <f>IF(LEN(VLOOKUP(V129,A2:D500,4,FALSE))=0,,VLOOKUP(V129,A2:D500,4,FALSE))</f>
        <v>#N/A</v>
      </c>
      <c r="Y129" s="56">
        <f>'Other Empirical Model'!P254</f>
        <v>0</v>
      </c>
      <c r="Z129" s="22" t="e">
        <f>IF(LEN(VLOOKUP(Y129,A2:D500,4,FALSE))=0,,VLOOKUP(Y129,A2:D500,4,FALSE))</f>
        <v>#N/A</v>
      </c>
      <c r="AA129" s="56">
        <f>'Predictive Model'!P241</f>
        <v>0</v>
      </c>
      <c r="AB129" s="22" t="e">
        <f>IF(LEN(VLOOKUP(AA129,A2:D500,4,FALSE))=0,,VLOOKUP(AA129,A2:D500,4,FALSE))</f>
        <v>#N/A</v>
      </c>
      <c r="AC129" s="56">
        <f>'Consumption Model'!P246</f>
        <v>0</v>
      </c>
      <c r="AD129" s="22" t="e">
        <f>IF(LEN(VLOOKUP(AC129,A2:D500,4,FALSE))=0,,VLOOKUP(AC129,A2:D500,4,FALSE))</f>
        <v>#N/A</v>
      </c>
      <c r="AE129" s="22">
        <f>'(Data)'!Q242</f>
        <v>0</v>
      </c>
      <c r="AF129" s="22" t="e">
        <f>IF(LEN(VLOOKUP(AE128:AE129,A2:D500,4,FALSE))=0,,VLOOKUP(AE128:AE129,A2:D500,4,FALSE))</f>
        <v>#N/A</v>
      </c>
      <c r="AH129" s="45">
        <f>'Risk Charact Model'!P260</f>
        <v>0</v>
      </c>
      <c r="AI129" s="58" t="e">
        <f>IF(LEN(VLOOKUP(AH129,A2:D500,4,FALSE))=0,,VLOOKUP(AH129,A2:D500,4,FALSE))</f>
        <v>#N/A</v>
      </c>
    </row>
    <row r="130" spans="9:35" ht="14" x14ac:dyDescent="0.3">
      <c r="I130" s="60">
        <f>'Generic Metadata Schema'!P260</f>
        <v>0</v>
      </c>
      <c r="J130" s="22" t="e">
        <f>IF(LEN(VLOOKUP(I130,A2:D500,4,FALSE))=0,"",VLOOKUP(I130,A2:D500,4,FALSE))</f>
        <v>#N/A</v>
      </c>
      <c r="L130" s="56">
        <f>'Dose-response Model'!O244</f>
        <v>0</v>
      </c>
      <c r="M130" s="22" t="e">
        <f>IF(LEN(VLOOKUP(L130,A2:D500,4,FALSE))=0,,VLOOKUP(L130,A2:D500,4,FALSE))</f>
        <v>#N/A</v>
      </c>
      <c r="N130" s="22">
        <f>'Exposure Model'!O261</f>
        <v>0</v>
      </c>
      <c r="O130" s="22" t="e">
        <f>IF(LEN(VLOOKUP(N130,A2:D500,4,FALSE))=0,,VLOOKUP(N130,A2:D500,4,FALSE))</f>
        <v>#N/A</v>
      </c>
      <c r="P130" s="55">
        <f>'QRA Models'!P261</f>
        <v>0</v>
      </c>
      <c r="Q130" s="22" t="e">
        <f>IF(LEN(VLOOKUP(P130,A2:D500,4,FALSE))=0,,VLOOKUP(P130,A2:D500,4,FALSE))</f>
        <v>#N/A</v>
      </c>
      <c r="R130" s="56">
        <f>'Health metrics Models'!Q244</f>
        <v>0</v>
      </c>
      <c r="S130" s="22" t="e">
        <f>IF(LEN(VLOOKUP(R130,A2:D500,4,FALSE))=0,,VLOOKUP(R130,A2:D500,4,FALSE))</f>
        <v>#N/A</v>
      </c>
      <c r="T130" s="56">
        <f>'Process Model'!P242</f>
        <v>0</v>
      </c>
      <c r="U130" s="22" t="e">
        <f>IF(LEN(VLOOKUP(T130,A2:D500,4,FALSE))=0,,VLOOKUP(T130,A2:D500,4,FALSE))</f>
        <v>#N/A</v>
      </c>
      <c r="V130" s="56">
        <f>'Toxicological reference value M'!P244</f>
        <v>0</v>
      </c>
      <c r="W130" s="22" t="e">
        <f>IF(LEN(VLOOKUP(V130,A2:D500,4,FALSE))=0,,VLOOKUP(V130,A2:D500,4,FALSE))</f>
        <v>#N/A</v>
      </c>
      <c r="Y130" s="56">
        <f>'Other Empirical Model'!P255</f>
        <v>0</v>
      </c>
      <c r="Z130" s="22" t="e">
        <f>IF(LEN(VLOOKUP(Y130,A2:D500,4,FALSE))=0,,VLOOKUP(Y130,A2:D500,4,FALSE))</f>
        <v>#N/A</v>
      </c>
      <c r="AA130" s="56">
        <f>'Predictive Model'!P242</f>
        <v>0</v>
      </c>
      <c r="AB130" s="22" t="e">
        <f>IF(LEN(VLOOKUP(AA130,A2:D500,4,FALSE))=0,,VLOOKUP(AA130,A2:D500,4,FALSE))</f>
        <v>#N/A</v>
      </c>
      <c r="AC130" s="56">
        <f>'Consumption Model'!P247</f>
        <v>0</v>
      </c>
      <c r="AD130" s="22" t="e">
        <f>IF(LEN(VLOOKUP(AC130,A2:D500,4,FALSE))=0,,VLOOKUP(AC130,A2:D500,4,FALSE))</f>
        <v>#N/A</v>
      </c>
      <c r="AE130" s="22">
        <f>'(Data)'!Q243</f>
        <v>0</v>
      </c>
      <c r="AF130" s="22" t="e">
        <f>IF(LEN(VLOOKUP(AE129:AE130,A2:D500,4,FALSE))=0,,VLOOKUP(AE129:AE130,A2:D500,4,FALSE))</f>
        <v>#N/A</v>
      </c>
      <c r="AH130" s="45">
        <f>'Risk Charact Model'!P261</f>
        <v>0</v>
      </c>
      <c r="AI130" s="58" t="e">
        <f>IF(LEN(VLOOKUP(AH130,A2:D500,4,FALSE))=0,,VLOOKUP(AH130,A2:D500,4,FALSE))</f>
        <v>#N/A</v>
      </c>
    </row>
    <row r="131" spans="9:35" ht="14" x14ac:dyDescent="0.3">
      <c r="I131" s="60">
        <f>'Generic Metadata Schema'!P261</f>
        <v>0</v>
      </c>
      <c r="J131" s="22" t="e">
        <f>IF(LEN(VLOOKUP(I131,A2:D500,4,FALSE))=0,"",VLOOKUP(I131,A2:D500,4,FALSE))</f>
        <v>#N/A</v>
      </c>
      <c r="L131" s="56">
        <f>'Dose-response Model'!O245</f>
        <v>0</v>
      </c>
      <c r="M131" s="22" t="e">
        <f>IF(LEN(VLOOKUP(L131,A2:D500,4,FALSE))=0,,VLOOKUP(L131,A2:D500,4,FALSE))</f>
        <v>#N/A</v>
      </c>
      <c r="N131" s="22">
        <f>'Exposure Model'!O262</f>
        <v>0</v>
      </c>
      <c r="O131" s="22" t="e">
        <f>IF(LEN(VLOOKUP(N131,A2:D500,4,FALSE))=0,,VLOOKUP(N131,A2:D500,4,FALSE))</f>
        <v>#N/A</v>
      </c>
      <c r="P131" s="55">
        <f>'QRA Models'!P262</f>
        <v>0</v>
      </c>
      <c r="Q131" s="22" t="e">
        <f>IF(LEN(VLOOKUP(P131,A2:D500,4,FALSE))=0,,VLOOKUP(P131,A2:D500,4,FALSE))</f>
        <v>#N/A</v>
      </c>
      <c r="R131" s="56">
        <f>'Health metrics Models'!Q245</f>
        <v>0</v>
      </c>
      <c r="S131" s="22" t="e">
        <f>IF(LEN(VLOOKUP(R131,A2:D500,4,FALSE))=0,,VLOOKUP(R131,A2:D500,4,FALSE))</f>
        <v>#N/A</v>
      </c>
      <c r="T131" s="56">
        <f>'Process Model'!P243</f>
        <v>0</v>
      </c>
      <c r="U131" s="22" t="e">
        <f>IF(LEN(VLOOKUP(T131,A2:D500,4,FALSE))=0,,VLOOKUP(T131,A2:D500,4,FALSE))</f>
        <v>#N/A</v>
      </c>
      <c r="V131" s="56">
        <f>'Toxicological reference value M'!P245</f>
        <v>0</v>
      </c>
      <c r="W131" s="22" t="e">
        <f>IF(LEN(VLOOKUP(V131,A2:D500,4,FALSE))=0,,VLOOKUP(V131,A2:D500,4,FALSE))</f>
        <v>#N/A</v>
      </c>
      <c r="Y131" s="56">
        <f>'Other Empirical Model'!P256</f>
        <v>0</v>
      </c>
      <c r="Z131" s="22" t="e">
        <f>IF(LEN(VLOOKUP(Y131,A2:D500,4,FALSE))=0,,VLOOKUP(Y131,A2:D500,4,FALSE))</f>
        <v>#N/A</v>
      </c>
      <c r="AA131" s="56">
        <f>'Predictive Model'!P243</f>
        <v>0</v>
      </c>
      <c r="AB131" s="22" t="e">
        <f>IF(LEN(VLOOKUP(AA131,A2:D500,4,FALSE))=0,,VLOOKUP(AA131,A2:D500,4,FALSE))</f>
        <v>#N/A</v>
      </c>
      <c r="AC131" s="56">
        <f>'Consumption Model'!P248</f>
        <v>0</v>
      </c>
      <c r="AD131" s="22" t="e">
        <f>IF(LEN(VLOOKUP(AC131,A2:D500,4,FALSE))=0,,VLOOKUP(AC131,A2:D500,4,FALSE))</f>
        <v>#N/A</v>
      </c>
      <c r="AE131" s="22">
        <f>'(Data)'!Q244</f>
        <v>0</v>
      </c>
      <c r="AF131" s="22" t="e">
        <f>IF(LEN(VLOOKUP(AE130:AE131,A2:D500,4,FALSE))=0,,VLOOKUP(AE130:AE131,A2:D500,4,FALSE))</f>
        <v>#N/A</v>
      </c>
      <c r="AH131" s="45">
        <f>'Risk Charact Model'!P262</f>
        <v>0</v>
      </c>
      <c r="AI131" s="58" t="e">
        <f>IF(LEN(VLOOKUP(AH131,A2:D500,4,FALSE))=0,,VLOOKUP(AH131,A2:D500,4,FALSE))</f>
        <v>#N/A</v>
      </c>
    </row>
    <row r="132" spans="9:35" ht="14" x14ac:dyDescent="0.3">
      <c r="I132" s="60">
        <f>'Generic Metadata Schema'!P262</f>
        <v>0</v>
      </c>
      <c r="J132" s="22" t="e">
        <f>IF(LEN(VLOOKUP(I132,A2:D500,4,FALSE))=0,"",VLOOKUP(I132,A2:D500,4,FALSE))</f>
        <v>#N/A</v>
      </c>
      <c r="L132" s="56">
        <f>'Dose-response Model'!O246</f>
        <v>0</v>
      </c>
      <c r="M132" s="22" t="e">
        <f>IF(LEN(VLOOKUP(L132,A2:D500,4,FALSE))=0,,VLOOKUP(L132,A2:D500,4,FALSE))</f>
        <v>#N/A</v>
      </c>
      <c r="N132" s="22">
        <f>'Exposure Model'!O263</f>
        <v>0</v>
      </c>
      <c r="O132" s="22" t="e">
        <f>IF(LEN(VLOOKUP(N132,A2:D500,4,FALSE))=0,,VLOOKUP(N132,A2:D500,4,FALSE))</f>
        <v>#N/A</v>
      </c>
      <c r="P132" s="55">
        <f>'QRA Models'!P263</f>
        <v>0</v>
      </c>
      <c r="Q132" s="22" t="e">
        <f>IF(LEN(VLOOKUP(P132,A2:D500,4,FALSE))=0,,VLOOKUP(P132,A2:D500,4,FALSE))</f>
        <v>#N/A</v>
      </c>
      <c r="R132" s="56">
        <f>'Health metrics Models'!Q246</f>
        <v>0</v>
      </c>
      <c r="S132" s="22" t="e">
        <f>IF(LEN(VLOOKUP(R132,A2:D500,4,FALSE))=0,,VLOOKUP(R132,A2:D500,4,FALSE))</f>
        <v>#N/A</v>
      </c>
      <c r="T132" s="56">
        <f>'Process Model'!P244</f>
        <v>0</v>
      </c>
      <c r="U132" s="22" t="e">
        <f>IF(LEN(VLOOKUP(T132,A2:D500,4,FALSE))=0,,VLOOKUP(T132,A2:D500,4,FALSE))</f>
        <v>#N/A</v>
      </c>
      <c r="V132" s="56">
        <f>'Toxicological reference value M'!P246</f>
        <v>0</v>
      </c>
      <c r="W132" s="22" t="e">
        <f>IF(LEN(VLOOKUP(V132,A2:D500,4,FALSE))=0,,VLOOKUP(V132,A2:D500,4,FALSE))</f>
        <v>#N/A</v>
      </c>
      <c r="Y132" s="56">
        <f>'Other Empirical Model'!P257</f>
        <v>0</v>
      </c>
      <c r="Z132" s="22" t="e">
        <f>IF(LEN(VLOOKUP(Y132,A2:D500,4,FALSE))=0,,VLOOKUP(Y132,A2:D500,4,FALSE))</f>
        <v>#N/A</v>
      </c>
      <c r="AA132" s="56">
        <f>'Predictive Model'!P244</f>
        <v>0</v>
      </c>
      <c r="AB132" s="22" t="e">
        <f>IF(LEN(VLOOKUP(AA132,A2:D500,4,FALSE))=0,,VLOOKUP(AA132,A2:D500,4,FALSE))</f>
        <v>#N/A</v>
      </c>
      <c r="AC132" s="56">
        <f>'Consumption Model'!P249</f>
        <v>0</v>
      </c>
      <c r="AD132" s="22" t="e">
        <f>IF(LEN(VLOOKUP(AC132,A2:D500,4,FALSE))=0,,VLOOKUP(AC132,A2:D500,4,FALSE))</f>
        <v>#N/A</v>
      </c>
      <c r="AE132" s="22">
        <f>'(Data)'!Q245</f>
        <v>0</v>
      </c>
      <c r="AF132" s="22" t="e">
        <f>IF(LEN(VLOOKUP(AE131:AE132,A2:D500,4,FALSE))=0,,VLOOKUP(AE131:AE132,A2:D500,4,FALSE))</f>
        <v>#N/A</v>
      </c>
      <c r="AH132" s="45">
        <f>'Risk Charact Model'!P263</f>
        <v>0</v>
      </c>
      <c r="AI132" s="58" t="e">
        <f>IF(LEN(VLOOKUP(AH132,A2:D500,4,FALSE))=0,,VLOOKUP(AH132,A2:D500,4,FALSE))</f>
        <v>#N/A</v>
      </c>
    </row>
    <row r="133" spans="9:35" ht="14" x14ac:dyDescent="0.3">
      <c r="I133" s="60">
        <f>'Generic Metadata Schema'!P263</f>
        <v>0</v>
      </c>
      <c r="J133" s="22" t="e">
        <f>IF(LEN(VLOOKUP(I133,A2:D500,4,FALSE))=0,"",VLOOKUP(I133,A2:D500,4,FALSE))</f>
        <v>#N/A</v>
      </c>
      <c r="L133" s="56">
        <f>'Dose-response Model'!O247</f>
        <v>0</v>
      </c>
      <c r="M133" s="22" t="e">
        <f>IF(LEN(VLOOKUP(L133,A2:D500,4,FALSE))=0,,VLOOKUP(L133,A2:D500,4,FALSE))</f>
        <v>#N/A</v>
      </c>
      <c r="N133" s="22">
        <f>'Exposure Model'!O264</f>
        <v>0</v>
      </c>
      <c r="O133" s="22" t="e">
        <f>IF(LEN(VLOOKUP(N133,A2:D500,4,FALSE))=0,,VLOOKUP(N133,A2:D500,4,FALSE))</f>
        <v>#N/A</v>
      </c>
      <c r="P133" s="55">
        <f>'QRA Models'!P264</f>
        <v>0</v>
      </c>
      <c r="Q133" s="22" t="e">
        <f>IF(LEN(VLOOKUP(P133,A2:D500,4,FALSE))=0,,VLOOKUP(P133,A2:D500,4,FALSE))</f>
        <v>#N/A</v>
      </c>
      <c r="R133" s="56">
        <f>'Health metrics Models'!Q247</f>
        <v>0</v>
      </c>
      <c r="S133" s="22" t="e">
        <f>IF(LEN(VLOOKUP(R133,A2:D500,4,FALSE))=0,,VLOOKUP(R133,A2:D500,4,FALSE))</f>
        <v>#N/A</v>
      </c>
      <c r="T133" s="56">
        <f>'Process Model'!P245</f>
        <v>0</v>
      </c>
      <c r="U133" s="22" t="e">
        <f>IF(LEN(VLOOKUP(T133,A2:D500,4,FALSE))=0,,VLOOKUP(T133,A2:D500,4,FALSE))</f>
        <v>#N/A</v>
      </c>
      <c r="V133" s="56">
        <f>'Toxicological reference value M'!P247</f>
        <v>0</v>
      </c>
      <c r="W133" s="22" t="e">
        <f>IF(LEN(VLOOKUP(V133,A2:D500,4,FALSE))=0,,VLOOKUP(V133,A2:D500,4,FALSE))</f>
        <v>#N/A</v>
      </c>
      <c r="Y133" s="56">
        <f>'Other Empirical Model'!P258</f>
        <v>0</v>
      </c>
      <c r="Z133" s="22" t="e">
        <f>IF(LEN(VLOOKUP(Y133,A2:D500,4,FALSE))=0,,VLOOKUP(Y133,A2:D500,4,FALSE))</f>
        <v>#N/A</v>
      </c>
      <c r="AA133" s="56">
        <f>'Predictive Model'!P245</f>
        <v>0</v>
      </c>
      <c r="AB133" s="22" t="e">
        <f>IF(LEN(VLOOKUP(AA133,A2:D500,4,FALSE))=0,,VLOOKUP(AA133,A2:D500,4,FALSE))</f>
        <v>#N/A</v>
      </c>
      <c r="AC133" s="56">
        <f>'Consumption Model'!P250</f>
        <v>0</v>
      </c>
      <c r="AD133" s="22" t="e">
        <f>IF(LEN(VLOOKUP(AC133,A2:D500,4,FALSE))=0,,VLOOKUP(AC133,A2:D500,4,FALSE))</f>
        <v>#N/A</v>
      </c>
      <c r="AE133" s="22">
        <f>'(Data)'!Q246</f>
        <v>0</v>
      </c>
      <c r="AF133" s="22" t="e">
        <f>IF(LEN(VLOOKUP(AE132:AE133,A2:D500,4,FALSE))=0,,VLOOKUP(AE132:AE133,A2:D500,4,FALSE))</f>
        <v>#N/A</v>
      </c>
      <c r="AH133" s="45">
        <f>'Risk Charact Model'!P264</f>
        <v>0</v>
      </c>
      <c r="AI133" s="58" t="e">
        <f>IF(LEN(VLOOKUP(AH133,A2:D500,4,FALSE))=0,,VLOOKUP(AH133,A2:D500,4,FALSE))</f>
        <v>#N/A</v>
      </c>
    </row>
    <row r="134" spans="9:35" ht="14" x14ac:dyDescent="0.3">
      <c r="I134" s="60">
        <f>'Generic Metadata Schema'!P264</f>
        <v>0</v>
      </c>
      <c r="J134" s="22" t="e">
        <f>IF(LEN(VLOOKUP(I134,A2:D500,4,FALSE))=0,"",VLOOKUP(I134,A2:D500,4,FALSE))</f>
        <v>#N/A</v>
      </c>
      <c r="L134" s="56">
        <f>'Dose-response Model'!O248</f>
        <v>0</v>
      </c>
      <c r="M134" s="22" t="e">
        <f>IF(LEN(VLOOKUP(L134,A2:D500,4,FALSE))=0,,VLOOKUP(L134,A2:D500,4,FALSE))</f>
        <v>#N/A</v>
      </c>
      <c r="N134" s="22">
        <f>'Exposure Model'!O265</f>
        <v>0</v>
      </c>
      <c r="O134" s="22" t="e">
        <f>IF(LEN(VLOOKUP(N134,A2:D500,4,FALSE))=0,,VLOOKUP(N134,A2:D500,4,FALSE))</f>
        <v>#N/A</v>
      </c>
      <c r="P134" s="55">
        <f>'QRA Models'!P265</f>
        <v>0</v>
      </c>
      <c r="Q134" s="22" t="e">
        <f>IF(LEN(VLOOKUP(P134,A2:D500,4,FALSE))=0,,VLOOKUP(P134,A2:D500,4,FALSE))</f>
        <v>#N/A</v>
      </c>
      <c r="R134" s="56">
        <f>'Health metrics Models'!Q248</f>
        <v>0</v>
      </c>
      <c r="S134" s="22" t="e">
        <f>IF(LEN(VLOOKUP(R134,A2:D500,4,FALSE))=0,,VLOOKUP(R134,A2:D500,4,FALSE))</f>
        <v>#N/A</v>
      </c>
      <c r="T134" s="56">
        <f>'Process Model'!P246</f>
        <v>0</v>
      </c>
      <c r="U134" s="22" t="e">
        <f>IF(LEN(VLOOKUP(T134,A2:D500,4,FALSE))=0,,VLOOKUP(T134,A2:D500,4,FALSE))</f>
        <v>#N/A</v>
      </c>
      <c r="V134" s="56">
        <f>'Toxicological reference value M'!P248</f>
        <v>0</v>
      </c>
      <c r="W134" s="22" t="e">
        <f>IF(LEN(VLOOKUP(V134,A2:D500,4,FALSE))=0,,VLOOKUP(V134,A2:D500,4,FALSE))</f>
        <v>#N/A</v>
      </c>
      <c r="Y134" s="56">
        <f>'Other Empirical Model'!P259</f>
        <v>0</v>
      </c>
      <c r="Z134" s="22" t="e">
        <f>IF(LEN(VLOOKUP(Y134,A2:D500,4,FALSE))=0,,VLOOKUP(Y134,A2:D500,4,FALSE))</f>
        <v>#N/A</v>
      </c>
      <c r="AA134" s="56">
        <f>'Predictive Model'!P246</f>
        <v>0</v>
      </c>
      <c r="AB134" s="22" t="e">
        <f>IF(LEN(VLOOKUP(AA134,A2:D500,4,FALSE))=0,,VLOOKUP(AA134,A2:D500,4,FALSE))</f>
        <v>#N/A</v>
      </c>
      <c r="AC134" s="56">
        <f>'Consumption Model'!P251</f>
        <v>0</v>
      </c>
      <c r="AD134" s="22" t="e">
        <f>IF(LEN(VLOOKUP(AC134,A2:D500,4,FALSE))=0,,VLOOKUP(AC134,A2:D500,4,FALSE))</f>
        <v>#N/A</v>
      </c>
      <c r="AE134" s="22">
        <f>'(Data)'!Q247</f>
        <v>0</v>
      </c>
      <c r="AF134" s="22" t="e">
        <f>IF(LEN(VLOOKUP(AE133:AE134,A2:D500,4,FALSE))=0,,VLOOKUP(AE133:AE134,A2:D500,4,FALSE))</f>
        <v>#N/A</v>
      </c>
      <c r="AH134" s="45">
        <f>'Risk Charact Model'!P265</f>
        <v>0</v>
      </c>
      <c r="AI134" s="58" t="e">
        <f>IF(LEN(VLOOKUP(AH134,A2:D500,4,FALSE))=0,,VLOOKUP(AH134,A2:D500,4,FALSE))</f>
        <v>#N/A</v>
      </c>
    </row>
    <row r="135" spans="9:35" ht="14" x14ac:dyDescent="0.3">
      <c r="I135" s="60">
        <f>'Generic Metadata Schema'!P265</f>
        <v>0</v>
      </c>
      <c r="J135" s="22" t="e">
        <f>IF(LEN(VLOOKUP(I135,A2:D500,4,FALSE))=0,"",VLOOKUP(I135,A2:D500,4,FALSE))</f>
        <v>#N/A</v>
      </c>
      <c r="L135" s="56">
        <f>'Dose-response Model'!O249</f>
        <v>0</v>
      </c>
      <c r="M135" s="22" t="e">
        <f>IF(LEN(VLOOKUP(L135,A2:D500,4,FALSE))=0,,VLOOKUP(L135,A2:D500,4,FALSE))</f>
        <v>#N/A</v>
      </c>
      <c r="N135" s="22">
        <f>'Exposure Model'!O266</f>
        <v>0</v>
      </c>
      <c r="O135" s="22" t="e">
        <f>IF(LEN(VLOOKUP(N135,A2:D500,4,FALSE))=0,,VLOOKUP(N135,A2:D500,4,FALSE))</f>
        <v>#N/A</v>
      </c>
      <c r="P135" s="55">
        <f>'QRA Models'!P266</f>
        <v>0</v>
      </c>
      <c r="Q135" s="22" t="e">
        <f>IF(LEN(VLOOKUP(P135,A2:D500,4,FALSE))=0,,VLOOKUP(P135,A2:D500,4,FALSE))</f>
        <v>#N/A</v>
      </c>
      <c r="R135" s="56">
        <f>'Health metrics Models'!Q249</f>
        <v>0</v>
      </c>
      <c r="S135" s="22" t="e">
        <f>IF(LEN(VLOOKUP(R135,A2:D500,4,FALSE))=0,,VLOOKUP(R135,A2:D500,4,FALSE))</f>
        <v>#N/A</v>
      </c>
      <c r="T135" s="56">
        <f>'Process Model'!P247</f>
        <v>0</v>
      </c>
      <c r="U135" s="22" t="e">
        <f>IF(LEN(VLOOKUP(T135,A2:D500,4,FALSE))=0,,VLOOKUP(T135,A2:D500,4,FALSE))</f>
        <v>#N/A</v>
      </c>
      <c r="V135" s="56">
        <f>'Toxicological reference value M'!P249</f>
        <v>0</v>
      </c>
      <c r="W135" s="22" t="e">
        <f>IF(LEN(VLOOKUP(V135,A2:D500,4,FALSE))=0,,VLOOKUP(V135,A2:D500,4,FALSE))</f>
        <v>#N/A</v>
      </c>
      <c r="Y135" s="56">
        <f>'Other Empirical Model'!P260</f>
        <v>0</v>
      </c>
      <c r="Z135" s="22" t="e">
        <f>IF(LEN(VLOOKUP(Y135,A2:D500,4,FALSE))=0,,VLOOKUP(Y135,A2:D500,4,FALSE))</f>
        <v>#N/A</v>
      </c>
      <c r="AA135" s="56">
        <f>'Predictive Model'!P247</f>
        <v>0</v>
      </c>
      <c r="AB135" s="22" t="e">
        <f>IF(LEN(VLOOKUP(AA135,A2:D500,4,FALSE))=0,,VLOOKUP(AA135,A2:D500,4,FALSE))</f>
        <v>#N/A</v>
      </c>
      <c r="AC135" s="56">
        <f>'Consumption Model'!P252</f>
        <v>0</v>
      </c>
      <c r="AD135" s="22" t="e">
        <f>IF(LEN(VLOOKUP(AC135,A2:D500,4,FALSE))=0,,VLOOKUP(AC135,A2:D500,4,FALSE))</f>
        <v>#N/A</v>
      </c>
      <c r="AE135" s="22">
        <f>'(Data)'!Q248</f>
        <v>0</v>
      </c>
      <c r="AF135" s="22" t="e">
        <f>IF(LEN(VLOOKUP(AE134:AE135,A2:D500,4,FALSE))=0,,VLOOKUP(AE134:AE135,A2:D500,4,FALSE))</f>
        <v>#N/A</v>
      </c>
      <c r="AH135" s="45">
        <f>'Risk Charact Model'!P266</f>
        <v>0</v>
      </c>
      <c r="AI135" s="58" t="e">
        <f>IF(LEN(VLOOKUP(AH135,A2:D500,4,FALSE))=0,,VLOOKUP(AH135,A2:D500,4,FALSE))</f>
        <v>#N/A</v>
      </c>
    </row>
    <row r="136" spans="9:35" ht="14" x14ac:dyDescent="0.3">
      <c r="I136" s="60">
        <f>'Generic Metadata Schema'!P266</f>
        <v>0</v>
      </c>
      <c r="J136" s="22" t="e">
        <f>IF(LEN(VLOOKUP(I136,A2:D500,4,FALSE))=0,"",VLOOKUP(I136,A2:D500,4,FALSE))</f>
        <v>#N/A</v>
      </c>
      <c r="L136" s="56">
        <f>'Dose-response Model'!O250</f>
        <v>0</v>
      </c>
      <c r="M136" s="22" t="e">
        <f>IF(LEN(VLOOKUP(L136,A2:D500,4,FALSE))=0,,VLOOKUP(L136,A2:D500,4,FALSE))</f>
        <v>#N/A</v>
      </c>
      <c r="N136" s="22">
        <f>'Exposure Model'!O267</f>
        <v>0</v>
      </c>
      <c r="O136" s="22" t="e">
        <f>IF(LEN(VLOOKUP(N136,A2:D500,4,FALSE))=0,,VLOOKUP(N136,A2:D500,4,FALSE))</f>
        <v>#N/A</v>
      </c>
      <c r="P136" s="55">
        <f>'QRA Models'!P267</f>
        <v>0</v>
      </c>
      <c r="Q136" s="22" t="e">
        <f>IF(LEN(VLOOKUP(P136,A2:D500,4,FALSE))=0,,VLOOKUP(P136,A2:D500,4,FALSE))</f>
        <v>#N/A</v>
      </c>
      <c r="R136" s="56">
        <f>'Health metrics Models'!Q250</f>
        <v>0</v>
      </c>
      <c r="S136" s="22" t="e">
        <f>IF(LEN(VLOOKUP(R136,A2:D500,4,FALSE))=0,,VLOOKUP(R136,A2:D500,4,FALSE))</f>
        <v>#N/A</v>
      </c>
      <c r="T136" s="56">
        <f>'Process Model'!P248</f>
        <v>0</v>
      </c>
      <c r="U136" s="22" t="e">
        <f>IF(LEN(VLOOKUP(T136,A2:D500,4,FALSE))=0,,VLOOKUP(T136,A2:D500,4,FALSE))</f>
        <v>#N/A</v>
      </c>
      <c r="V136" s="56">
        <f>'Toxicological reference value M'!P250</f>
        <v>0</v>
      </c>
      <c r="W136" s="22" t="e">
        <f>IF(LEN(VLOOKUP(V136,A2:D500,4,FALSE))=0,,VLOOKUP(V136,A2:D500,4,FALSE))</f>
        <v>#N/A</v>
      </c>
      <c r="Y136" s="56">
        <f>'Other Empirical Model'!P261</f>
        <v>0</v>
      </c>
      <c r="Z136" s="22" t="e">
        <f>IF(LEN(VLOOKUP(Y136,A2:D500,4,FALSE))=0,,VLOOKUP(Y136,A2:D500,4,FALSE))</f>
        <v>#N/A</v>
      </c>
      <c r="AA136" s="56">
        <f>'Predictive Model'!P248</f>
        <v>0</v>
      </c>
      <c r="AB136" s="22" t="e">
        <f>IF(LEN(VLOOKUP(AA136,A2:D500,4,FALSE))=0,,VLOOKUP(AA136,A2:D500,4,FALSE))</f>
        <v>#N/A</v>
      </c>
      <c r="AC136" s="56">
        <f>'Consumption Model'!P253</f>
        <v>0</v>
      </c>
      <c r="AD136" s="22" t="e">
        <f>IF(LEN(VLOOKUP(AC136,A2:D500,4,FALSE))=0,,VLOOKUP(AC136,A2:D500,4,FALSE))</f>
        <v>#N/A</v>
      </c>
      <c r="AE136" s="22">
        <f>'(Data)'!Q249</f>
        <v>0</v>
      </c>
      <c r="AF136" s="22" t="e">
        <f>IF(LEN(VLOOKUP(AE135:AE136,A2:D500,4,FALSE))=0,,VLOOKUP(AE135:AE136,A2:D500,4,FALSE))</f>
        <v>#N/A</v>
      </c>
      <c r="AH136" s="45">
        <f>'Risk Charact Model'!P267</f>
        <v>0</v>
      </c>
      <c r="AI136" s="58" t="e">
        <f>IF(LEN(VLOOKUP(AH136,A2:D500,4,FALSE))=0,,VLOOKUP(AH136,A2:D500,4,FALSE))</f>
        <v>#N/A</v>
      </c>
    </row>
    <row r="137" spans="9:35" ht="14" x14ac:dyDescent="0.3">
      <c r="I137" s="60">
        <f>'Generic Metadata Schema'!P267</f>
        <v>0</v>
      </c>
      <c r="J137" s="22" t="e">
        <f>IF(LEN(VLOOKUP(I137,A2:D500,4,FALSE))=0,"",VLOOKUP(I137,A2:D500,4,FALSE))</f>
        <v>#N/A</v>
      </c>
      <c r="L137" s="56">
        <f>'Dose-response Model'!O251</f>
        <v>0</v>
      </c>
      <c r="M137" s="22" t="e">
        <f>IF(LEN(VLOOKUP(L137,A2:D500,4,FALSE))=0,,VLOOKUP(L137,A2:D500,4,FALSE))</f>
        <v>#N/A</v>
      </c>
      <c r="N137" s="22">
        <f>'Exposure Model'!O268</f>
        <v>0</v>
      </c>
      <c r="O137" s="22" t="e">
        <f>IF(LEN(VLOOKUP(N137,A2:D500,4,FALSE))=0,,VLOOKUP(N137,A2:D500,4,FALSE))</f>
        <v>#N/A</v>
      </c>
      <c r="P137" s="55">
        <f>'QRA Models'!P268</f>
        <v>0</v>
      </c>
      <c r="Q137" s="22" t="e">
        <f>IF(LEN(VLOOKUP(P137,A2:D500,4,FALSE))=0,,VLOOKUP(P137,A2:D500,4,FALSE))</f>
        <v>#N/A</v>
      </c>
      <c r="R137" s="56">
        <f>'Health metrics Models'!Q251</f>
        <v>0</v>
      </c>
      <c r="S137" s="22" t="e">
        <f>IF(LEN(VLOOKUP(R137,A2:D500,4,FALSE))=0,,VLOOKUP(R137,A2:D500,4,FALSE))</f>
        <v>#N/A</v>
      </c>
      <c r="T137" s="56">
        <f>'Process Model'!P249</f>
        <v>0</v>
      </c>
      <c r="U137" s="22" t="e">
        <f>IF(LEN(VLOOKUP(T137,A2:D500,4,FALSE))=0,,VLOOKUP(T137,A2:D500,4,FALSE))</f>
        <v>#N/A</v>
      </c>
      <c r="V137" s="56">
        <f>'Toxicological reference value M'!P251</f>
        <v>0</v>
      </c>
      <c r="W137" s="22" t="e">
        <f>IF(LEN(VLOOKUP(V137,A2:D500,4,FALSE))=0,,VLOOKUP(V137,A2:D500,4,FALSE))</f>
        <v>#N/A</v>
      </c>
      <c r="Y137" s="56">
        <f>'Other Empirical Model'!P262</f>
        <v>0</v>
      </c>
      <c r="Z137" s="22" t="e">
        <f>IF(LEN(VLOOKUP(Y137,A2:D500,4,FALSE))=0,,VLOOKUP(Y137,A2:D500,4,FALSE))</f>
        <v>#N/A</v>
      </c>
      <c r="AA137" s="56">
        <f>'Predictive Model'!P249</f>
        <v>0</v>
      </c>
      <c r="AB137" s="22" t="e">
        <f>IF(LEN(VLOOKUP(AA137,A2:D500,4,FALSE))=0,,VLOOKUP(AA137,A2:D500,4,FALSE))</f>
        <v>#N/A</v>
      </c>
      <c r="AC137" s="56">
        <f>'Consumption Model'!P254</f>
        <v>0</v>
      </c>
      <c r="AD137" s="22" t="e">
        <f>IF(LEN(VLOOKUP(AC137,A2:D500,4,FALSE))=0,,VLOOKUP(AC137,A2:D500,4,FALSE))</f>
        <v>#N/A</v>
      </c>
      <c r="AE137" s="22">
        <f>'(Data)'!Q250</f>
        <v>0</v>
      </c>
      <c r="AF137" s="22" t="e">
        <f>IF(LEN(VLOOKUP(AE136:AE137,A2:D500,4,FALSE))=0,,VLOOKUP(AE136:AE137,A2:D500,4,FALSE))</f>
        <v>#N/A</v>
      </c>
      <c r="AH137" s="45">
        <f>'Risk Charact Model'!P268</f>
        <v>0</v>
      </c>
      <c r="AI137" s="58" t="e">
        <f>IF(LEN(VLOOKUP(AH137,A2:D500,4,FALSE))=0,,VLOOKUP(AH137,A2:D500,4,FALSE))</f>
        <v>#N/A</v>
      </c>
    </row>
    <row r="138" spans="9:35" ht="14" x14ac:dyDescent="0.3">
      <c r="I138" s="60">
        <f>'Generic Metadata Schema'!P268</f>
        <v>0</v>
      </c>
      <c r="J138" s="22" t="e">
        <f>IF(LEN(VLOOKUP(I138,A2:D500,4,FALSE))=0,"",VLOOKUP(I138,A2:D500,4,FALSE))</f>
        <v>#N/A</v>
      </c>
      <c r="L138" s="56">
        <f>'Dose-response Model'!O252</f>
        <v>0</v>
      </c>
      <c r="M138" s="22" t="e">
        <f>IF(LEN(VLOOKUP(L138,A2:D500,4,FALSE))=0,,VLOOKUP(L138,A2:D500,4,FALSE))</f>
        <v>#N/A</v>
      </c>
      <c r="N138" s="22">
        <f>'Exposure Model'!O269</f>
        <v>0</v>
      </c>
      <c r="O138" s="22" t="e">
        <f>IF(LEN(VLOOKUP(N138,A2:D500,4,FALSE))=0,,VLOOKUP(N138,A2:D500,4,FALSE))</f>
        <v>#N/A</v>
      </c>
      <c r="P138" s="55">
        <f>'QRA Models'!P269</f>
        <v>0</v>
      </c>
      <c r="Q138" s="22" t="e">
        <f>IF(LEN(VLOOKUP(P138,A2:D500,4,FALSE))=0,,VLOOKUP(P138,A2:D500,4,FALSE))</f>
        <v>#N/A</v>
      </c>
      <c r="R138" s="56">
        <f>'Health metrics Models'!Q252</f>
        <v>0</v>
      </c>
      <c r="S138" s="22" t="e">
        <f>IF(LEN(VLOOKUP(R138,A2:D500,4,FALSE))=0,,VLOOKUP(R138,A2:D500,4,FALSE))</f>
        <v>#N/A</v>
      </c>
      <c r="T138" s="56">
        <f>'Process Model'!P250</f>
        <v>0</v>
      </c>
      <c r="U138" s="22" t="e">
        <f>IF(LEN(VLOOKUP(T138,A2:D500,4,FALSE))=0,,VLOOKUP(T138,A2:D500,4,FALSE))</f>
        <v>#N/A</v>
      </c>
      <c r="V138" s="56">
        <f>'Toxicological reference value M'!P252</f>
        <v>0</v>
      </c>
      <c r="W138" s="22" t="e">
        <f>IF(LEN(VLOOKUP(V138,A2:D500,4,FALSE))=0,,VLOOKUP(V138,A2:D500,4,FALSE))</f>
        <v>#N/A</v>
      </c>
      <c r="Y138" s="56">
        <f>'Other Empirical Model'!P263</f>
        <v>0</v>
      </c>
      <c r="Z138" s="22" t="e">
        <f>IF(LEN(VLOOKUP(Y138,A2:D500,4,FALSE))=0,,VLOOKUP(Y138,A2:D500,4,FALSE))</f>
        <v>#N/A</v>
      </c>
      <c r="AA138" s="56">
        <f>'Predictive Model'!P250</f>
        <v>0</v>
      </c>
      <c r="AB138" s="22" t="e">
        <f>IF(LEN(VLOOKUP(AA138,A2:D500,4,FALSE))=0,,VLOOKUP(AA138,A2:D500,4,FALSE))</f>
        <v>#N/A</v>
      </c>
      <c r="AC138" s="56">
        <f>'Consumption Model'!P255</f>
        <v>0</v>
      </c>
      <c r="AD138" s="22" t="e">
        <f>IF(LEN(VLOOKUP(AC138,A2:D500,4,FALSE))=0,,VLOOKUP(AC138,A2:D500,4,FALSE))</f>
        <v>#N/A</v>
      </c>
      <c r="AE138" s="22">
        <f>'(Data)'!Q251</f>
        <v>0</v>
      </c>
      <c r="AF138" s="22" t="e">
        <f>IF(LEN(VLOOKUP(AE137:AE138,A2:D500,4,FALSE))=0,,VLOOKUP(AE137:AE138,A2:D500,4,FALSE))</f>
        <v>#N/A</v>
      </c>
      <c r="AH138" s="45">
        <f>'Risk Charact Model'!P269</f>
        <v>0</v>
      </c>
      <c r="AI138" s="58" t="e">
        <f>IF(LEN(VLOOKUP(AH138,A2:D500,4,FALSE))=0,,VLOOKUP(AH138,A2:D500,4,FALSE))</f>
        <v>#N/A</v>
      </c>
    </row>
    <row r="139" spans="9:35" ht="14" x14ac:dyDescent="0.3">
      <c r="I139" s="60">
        <f>'Generic Metadata Schema'!P269</f>
        <v>0</v>
      </c>
      <c r="J139" s="22" t="e">
        <f>IF(LEN(VLOOKUP(I139,A2:D500,4,FALSE))=0,"",VLOOKUP(I139,A2:D500,4,FALSE))</f>
        <v>#N/A</v>
      </c>
      <c r="L139" s="56">
        <f>'Dose-response Model'!O253</f>
        <v>0</v>
      </c>
      <c r="M139" s="22" t="e">
        <f>IF(LEN(VLOOKUP(L139,A2:D500,4,FALSE))=0,,VLOOKUP(L139,A2:D500,4,FALSE))</f>
        <v>#N/A</v>
      </c>
      <c r="N139" s="22">
        <f>'Exposure Model'!O270</f>
        <v>0</v>
      </c>
      <c r="O139" s="22" t="e">
        <f>IF(LEN(VLOOKUP(N139,A2:D500,4,FALSE))=0,,VLOOKUP(N139,A2:D500,4,FALSE))</f>
        <v>#N/A</v>
      </c>
      <c r="P139" s="55">
        <f>'QRA Models'!P270</f>
        <v>0</v>
      </c>
      <c r="Q139" s="22" t="e">
        <f>IF(LEN(VLOOKUP(P139,A2:D500,4,FALSE))=0,,VLOOKUP(P139,A2:D500,4,FALSE))</f>
        <v>#N/A</v>
      </c>
      <c r="R139" s="56">
        <f>'Health metrics Models'!Q253</f>
        <v>0</v>
      </c>
      <c r="S139" s="22" t="e">
        <f>IF(LEN(VLOOKUP(R139,A2:D500,4,FALSE))=0,,VLOOKUP(R139,A2:D500,4,FALSE))</f>
        <v>#N/A</v>
      </c>
      <c r="T139" s="56">
        <f>'Process Model'!P251</f>
        <v>0</v>
      </c>
      <c r="U139" s="22" t="e">
        <f>IF(LEN(VLOOKUP(T139,A2:D500,4,FALSE))=0,,VLOOKUP(T139,A2:D500,4,FALSE))</f>
        <v>#N/A</v>
      </c>
      <c r="V139" s="56">
        <f>'Toxicological reference value M'!P253</f>
        <v>0</v>
      </c>
      <c r="W139" s="22" t="e">
        <f>IF(LEN(VLOOKUP(V139,A2:D500,4,FALSE))=0,,VLOOKUP(V139,A2:D500,4,FALSE))</f>
        <v>#N/A</v>
      </c>
      <c r="Y139" s="56">
        <f>'Other Empirical Model'!P264</f>
        <v>0</v>
      </c>
      <c r="Z139" s="22" t="e">
        <f>IF(LEN(VLOOKUP(Y139,A2:D500,4,FALSE))=0,,VLOOKUP(Y139,A2:D500,4,FALSE))</f>
        <v>#N/A</v>
      </c>
      <c r="AA139" s="56">
        <f>'Predictive Model'!P251</f>
        <v>0</v>
      </c>
      <c r="AB139" s="22" t="e">
        <f>IF(LEN(VLOOKUP(AA139,A2:D500,4,FALSE))=0,,VLOOKUP(AA139,A2:D500,4,FALSE))</f>
        <v>#N/A</v>
      </c>
      <c r="AC139" s="56">
        <f>'Consumption Model'!P256</f>
        <v>0</v>
      </c>
      <c r="AD139" s="22" t="e">
        <f>IF(LEN(VLOOKUP(AC139,A2:D500,4,FALSE))=0,,VLOOKUP(AC139,A2:D500,4,FALSE))</f>
        <v>#N/A</v>
      </c>
      <c r="AE139" s="22">
        <f>'(Data)'!Q252</f>
        <v>0</v>
      </c>
      <c r="AF139" s="22" t="e">
        <f>IF(LEN(VLOOKUP(AE138:AE139,A2:D500,4,FALSE))=0,,VLOOKUP(AE138:AE139,A2:D500,4,FALSE))</f>
        <v>#N/A</v>
      </c>
      <c r="AH139" s="45">
        <f>'Risk Charact Model'!P270</f>
        <v>0</v>
      </c>
      <c r="AI139" s="58" t="e">
        <f>IF(LEN(VLOOKUP(AH139,A2:D500,4,FALSE))=0,,VLOOKUP(AH139,A2:D500,4,FALSE))</f>
        <v>#N/A</v>
      </c>
    </row>
    <row r="140" spans="9:35" ht="14" x14ac:dyDescent="0.3">
      <c r="I140" s="60">
        <f>'Generic Metadata Schema'!P270</f>
        <v>0</v>
      </c>
      <c r="J140" s="22" t="e">
        <f>IF(LEN(VLOOKUP(I140,A2:D500,4,FALSE))=0,"",VLOOKUP(I140,A2:D500,4,FALSE))</f>
        <v>#N/A</v>
      </c>
      <c r="L140" s="56">
        <f>'Dose-response Model'!O254</f>
        <v>0</v>
      </c>
      <c r="M140" s="22" t="e">
        <f>IF(LEN(VLOOKUP(L140,A2:D500,4,FALSE))=0,,VLOOKUP(L140,A2:D500,4,FALSE))</f>
        <v>#N/A</v>
      </c>
      <c r="N140" s="22">
        <f>'Exposure Model'!O271</f>
        <v>0</v>
      </c>
      <c r="O140" s="22" t="e">
        <f>IF(LEN(VLOOKUP(N140,A2:D500,4,FALSE))=0,,VLOOKUP(N140,A2:D500,4,FALSE))</f>
        <v>#N/A</v>
      </c>
      <c r="P140" s="55">
        <f>'QRA Models'!P271</f>
        <v>0</v>
      </c>
      <c r="Q140" s="22" t="e">
        <f>IF(LEN(VLOOKUP(P140,A2:D500,4,FALSE))=0,,VLOOKUP(P140,A2:D500,4,FALSE))</f>
        <v>#N/A</v>
      </c>
      <c r="R140" s="56">
        <f>'Health metrics Models'!Q254</f>
        <v>0</v>
      </c>
      <c r="S140" s="22" t="e">
        <f>IF(LEN(VLOOKUP(R140,A2:D500,4,FALSE))=0,,VLOOKUP(R140,A2:D500,4,FALSE))</f>
        <v>#N/A</v>
      </c>
      <c r="T140" s="56">
        <f>'Process Model'!P252</f>
        <v>0</v>
      </c>
      <c r="U140" s="22" t="e">
        <f>IF(LEN(VLOOKUP(T140,A2:D500,4,FALSE))=0,,VLOOKUP(T140,A2:D500,4,FALSE))</f>
        <v>#N/A</v>
      </c>
      <c r="V140" s="56">
        <f>'Toxicological reference value M'!P254</f>
        <v>0</v>
      </c>
      <c r="W140" s="22" t="e">
        <f>IF(LEN(VLOOKUP(V140,A2:D500,4,FALSE))=0,,VLOOKUP(V140,A2:D500,4,FALSE))</f>
        <v>#N/A</v>
      </c>
      <c r="Y140" s="56">
        <f>'Other Empirical Model'!P265</f>
        <v>0</v>
      </c>
      <c r="Z140" s="22" t="e">
        <f>IF(LEN(VLOOKUP(Y140,A2:D500,4,FALSE))=0,,VLOOKUP(Y140,A2:D500,4,FALSE))</f>
        <v>#N/A</v>
      </c>
      <c r="AA140" s="56">
        <f>'Predictive Model'!P252</f>
        <v>0</v>
      </c>
      <c r="AB140" s="22" t="e">
        <f>IF(LEN(VLOOKUP(AA140,A2:D500,4,FALSE))=0,,VLOOKUP(AA140,A2:D500,4,FALSE))</f>
        <v>#N/A</v>
      </c>
      <c r="AC140" s="56">
        <f>'Consumption Model'!P257</f>
        <v>0</v>
      </c>
      <c r="AD140" s="22" t="e">
        <f>IF(LEN(VLOOKUP(AC140,A2:D500,4,FALSE))=0,,VLOOKUP(AC140,A2:D500,4,FALSE))</f>
        <v>#N/A</v>
      </c>
      <c r="AE140" s="22">
        <f>'(Data)'!Q253</f>
        <v>0</v>
      </c>
      <c r="AF140" s="22" t="e">
        <f>IF(LEN(VLOOKUP(AE139:AE140,A2:D500,4,FALSE))=0,,VLOOKUP(AE139:AE140,A2:D500,4,FALSE))</f>
        <v>#N/A</v>
      </c>
      <c r="AH140" s="45">
        <f>'Risk Charact Model'!P271</f>
        <v>0</v>
      </c>
      <c r="AI140" s="58" t="e">
        <f>IF(LEN(VLOOKUP(AH140,A2:D500,4,FALSE))=0,,VLOOKUP(AH140,A2:D500,4,FALSE))</f>
        <v>#N/A</v>
      </c>
    </row>
    <row r="141" spans="9:35" ht="14" x14ac:dyDescent="0.3">
      <c r="I141" s="60">
        <f>'Generic Metadata Schema'!P271</f>
        <v>0</v>
      </c>
      <c r="J141" s="22" t="e">
        <f>IF(LEN(VLOOKUP(I141,A2:D500,4,FALSE))=0,"",VLOOKUP(I141,A2:D500,4,FALSE))</f>
        <v>#N/A</v>
      </c>
      <c r="L141" s="56">
        <f>'Dose-response Model'!O255</f>
        <v>0</v>
      </c>
      <c r="M141" s="22" t="e">
        <f>IF(LEN(VLOOKUP(L141,A2:D500,4,FALSE))=0,,VLOOKUP(L141,A2:D500,4,FALSE))</f>
        <v>#N/A</v>
      </c>
      <c r="N141" s="22">
        <f>'Exposure Model'!O272</f>
        <v>0</v>
      </c>
      <c r="O141" s="22" t="e">
        <f>IF(LEN(VLOOKUP(N141,A2:D500,4,FALSE))=0,,VLOOKUP(N141,A2:D500,4,FALSE))</f>
        <v>#N/A</v>
      </c>
      <c r="P141" s="55">
        <f>'QRA Models'!P272</f>
        <v>0</v>
      </c>
      <c r="Q141" s="22" t="e">
        <f>IF(LEN(VLOOKUP(P141,A2:D500,4,FALSE))=0,,VLOOKUP(P141,A2:D500,4,FALSE))</f>
        <v>#N/A</v>
      </c>
      <c r="R141" s="56">
        <f>'Health metrics Models'!Q255</f>
        <v>0</v>
      </c>
      <c r="S141" s="22" t="e">
        <f>IF(LEN(VLOOKUP(R141,A2:D500,4,FALSE))=0,,VLOOKUP(R141,A2:D500,4,FALSE))</f>
        <v>#N/A</v>
      </c>
      <c r="T141" s="56">
        <f>'Process Model'!P253</f>
        <v>0</v>
      </c>
      <c r="U141" s="22" t="e">
        <f>IF(LEN(VLOOKUP(T141,A2:D500,4,FALSE))=0,,VLOOKUP(T141,A2:D500,4,FALSE))</f>
        <v>#N/A</v>
      </c>
      <c r="V141" s="56">
        <f>'Toxicological reference value M'!P255</f>
        <v>0</v>
      </c>
      <c r="W141" s="22" t="e">
        <f>IF(LEN(VLOOKUP(V141,A2:D500,4,FALSE))=0,,VLOOKUP(V141,A2:D500,4,FALSE))</f>
        <v>#N/A</v>
      </c>
      <c r="Y141" s="56">
        <f>'Other Empirical Model'!P266</f>
        <v>0</v>
      </c>
      <c r="Z141" s="22" t="e">
        <f>IF(LEN(VLOOKUP(Y141,A2:D500,4,FALSE))=0,,VLOOKUP(Y141,A2:D500,4,FALSE))</f>
        <v>#N/A</v>
      </c>
      <c r="AA141" s="56">
        <f>'Predictive Model'!P253</f>
        <v>0</v>
      </c>
      <c r="AB141" s="22" t="e">
        <f>IF(LEN(VLOOKUP(AA141,A2:D500,4,FALSE))=0,,VLOOKUP(AA141,A2:D500,4,FALSE))</f>
        <v>#N/A</v>
      </c>
      <c r="AC141" s="56">
        <f>'Consumption Model'!P258</f>
        <v>0</v>
      </c>
      <c r="AD141" s="22" t="e">
        <f>IF(LEN(VLOOKUP(AC141,A2:D500,4,FALSE))=0,,VLOOKUP(AC141,A2:D500,4,FALSE))</f>
        <v>#N/A</v>
      </c>
      <c r="AE141" s="22">
        <f>'(Data)'!Q254</f>
        <v>0</v>
      </c>
      <c r="AF141" s="22" t="e">
        <f>IF(LEN(VLOOKUP(AE140:AE141,A2:D500,4,FALSE))=0,,VLOOKUP(AE140:AE141,A2:D500,4,FALSE))</f>
        <v>#N/A</v>
      </c>
      <c r="AH141" s="45">
        <f>'Risk Charact Model'!P272</f>
        <v>0</v>
      </c>
      <c r="AI141" s="58" t="e">
        <f>IF(LEN(VLOOKUP(AH141,A2:D500,4,FALSE))=0,,VLOOKUP(AH141,A2:D500,4,FALSE))</f>
        <v>#N/A</v>
      </c>
    </row>
    <row r="142" spans="9:35" ht="14" x14ac:dyDescent="0.3">
      <c r="I142" s="60">
        <f>'Generic Metadata Schema'!P272</f>
        <v>0</v>
      </c>
      <c r="J142" s="22" t="e">
        <f>IF(LEN(VLOOKUP(I142,A2:D500,4,FALSE))=0,"",VLOOKUP(I142,A2:D500,4,FALSE))</f>
        <v>#N/A</v>
      </c>
      <c r="L142" s="56">
        <f>'Dose-response Model'!O256</f>
        <v>0</v>
      </c>
      <c r="M142" s="22" t="e">
        <f>IF(LEN(VLOOKUP(L142,A2:D500,4,FALSE))=0,,VLOOKUP(L142,A2:D500,4,FALSE))</f>
        <v>#N/A</v>
      </c>
      <c r="N142" s="22">
        <f>'Exposure Model'!O273</f>
        <v>0</v>
      </c>
      <c r="O142" s="22" t="e">
        <f>IF(LEN(VLOOKUP(N142,A2:D500,4,FALSE))=0,,VLOOKUP(N142,A2:D500,4,FALSE))</f>
        <v>#N/A</v>
      </c>
      <c r="P142" s="55">
        <f>'QRA Models'!P273</f>
        <v>0</v>
      </c>
      <c r="Q142" s="22" t="e">
        <f>IF(LEN(VLOOKUP(P142,A2:D500,4,FALSE))=0,,VLOOKUP(P142,A2:D500,4,FALSE))</f>
        <v>#N/A</v>
      </c>
      <c r="R142" s="56">
        <f>'Health metrics Models'!Q256</f>
        <v>0</v>
      </c>
      <c r="S142" s="22" t="e">
        <f>IF(LEN(VLOOKUP(R142,A2:D500,4,FALSE))=0,,VLOOKUP(R142,A2:D500,4,FALSE))</f>
        <v>#N/A</v>
      </c>
      <c r="T142" s="56">
        <f>'Process Model'!P254</f>
        <v>0</v>
      </c>
      <c r="U142" s="22" t="e">
        <f>IF(LEN(VLOOKUP(T142,A2:D500,4,FALSE))=0,,VLOOKUP(T142,A2:D500,4,FALSE))</f>
        <v>#N/A</v>
      </c>
      <c r="V142" s="56">
        <f>'Toxicological reference value M'!P256</f>
        <v>0</v>
      </c>
      <c r="W142" s="22" t="e">
        <f>IF(LEN(VLOOKUP(V142,A2:D500,4,FALSE))=0,,VLOOKUP(V142,A2:D500,4,FALSE))</f>
        <v>#N/A</v>
      </c>
      <c r="Y142" s="56">
        <f>'Other Empirical Model'!P267</f>
        <v>0</v>
      </c>
      <c r="Z142" s="22" t="e">
        <f>IF(LEN(VLOOKUP(Y142,A2:D500,4,FALSE))=0,,VLOOKUP(Y142,A2:D500,4,FALSE))</f>
        <v>#N/A</v>
      </c>
      <c r="AA142" s="56">
        <f>'Predictive Model'!P254</f>
        <v>0</v>
      </c>
      <c r="AB142" s="22" t="e">
        <f>IF(LEN(VLOOKUP(AA142,A2:D500,4,FALSE))=0,,VLOOKUP(AA142,A2:D500,4,FALSE))</f>
        <v>#N/A</v>
      </c>
      <c r="AC142" s="56">
        <f>'Consumption Model'!P259</f>
        <v>0</v>
      </c>
      <c r="AD142" s="22" t="e">
        <f>IF(LEN(VLOOKUP(AC142,A2:D500,4,FALSE))=0,,VLOOKUP(AC142,A2:D500,4,FALSE))</f>
        <v>#N/A</v>
      </c>
      <c r="AE142" s="22">
        <f>'(Data)'!Q255</f>
        <v>0</v>
      </c>
      <c r="AF142" s="22" t="e">
        <f>IF(LEN(VLOOKUP(AE141:AE142,A2:D500,4,FALSE))=0,,VLOOKUP(AE141:AE142,A2:D500,4,FALSE))</f>
        <v>#N/A</v>
      </c>
      <c r="AH142" s="45">
        <f>'Risk Charact Model'!P273</f>
        <v>0</v>
      </c>
      <c r="AI142" s="58" t="e">
        <f>IF(LEN(VLOOKUP(AH142,A2:D500,4,FALSE))=0,,VLOOKUP(AH142,A2:D500,4,FALSE))</f>
        <v>#N/A</v>
      </c>
    </row>
    <row r="143" spans="9:35" ht="14" x14ac:dyDescent="0.3">
      <c r="I143" s="60">
        <f>'Generic Metadata Schema'!P273</f>
        <v>0</v>
      </c>
      <c r="J143" s="22" t="e">
        <f>IF(LEN(VLOOKUP(I143,A2:D500,4,FALSE))=0,"",VLOOKUP(I143,A2:D500,4,FALSE))</f>
        <v>#N/A</v>
      </c>
      <c r="L143" s="56">
        <f>'Dose-response Model'!O257</f>
        <v>0</v>
      </c>
      <c r="M143" s="22" t="e">
        <f>IF(LEN(VLOOKUP(L143,A2:D500,4,FALSE))=0,,VLOOKUP(L143,A2:D500,4,FALSE))</f>
        <v>#N/A</v>
      </c>
      <c r="N143" s="22">
        <f>'Exposure Model'!O274</f>
        <v>0</v>
      </c>
      <c r="O143" s="22" t="e">
        <f>IF(LEN(VLOOKUP(N143,A2:D500,4,FALSE))=0,,VLOOKUP(N143,A2:D500,4,FALSE))</f>
        <v>#N/A</v>
      </c>
      <c r="P143" s="55">
        <f>'QRA Models'!P274</f>
        <v>0</v>
      </c>
      <c r="Q143" s="22" t="e">
        <f>IF(LEN(VLOOKUP(P143,A2:D500,4,FALSE))=0,,VLOOKUP(P143,A2:D500,4,FALSE))</f>
        <v>#N/A</v>
      </c>
      <c r="R143" s="56">
        <f>'Health metrics Models'!Q257</f>
        <v>0</v>
      </c>
      <c r="S143" s="22" t="e">
        <f>IF(LEN(VLOOKUP(R143,A2:D500,4,FALSE))=0,,VLOOKUP(R143,A2:D500,4,FALSE))</f>
        <v>#N/A</v>
      </c>
      <c r="T143" s="56">
        <f>'Process Model'!P255</f>
        <v>0</v>
      </c>
      <c r="U143" s="22" t="e">
        <f>IF(LEN(VLOOKUP(T143,A2:D500,4,FALSE))=0,,VLOOKUP(T143,A2:D500,4,FALSE))</f>
        <v>#N/A</v>
      </c>
      <c r="V143" s="56">
        <f>'Toxicological reference value M'!P257</f>
        <v>0</v>
      </c>
      <c r="W143" s="22" t="e">
        <f>IF(LEN(VLOOKUP(V143,A2:D500,4,FALSE))=0,,VLOOKUP(V143,A2:D500,4,FALSE))</f>
        <v>#N/A</v>
      </c>
      <c r="Y143" s="56">
        <f>'Other Empirical Model'!P268</f>
        <v>0</v>
      </c>
      <c r="Z143" s="22" t="e">
        <f>IF(LEN(VLOOKUP(Y143,A2:D500,4,FALSE))=0,,VLOOKUP(Y143,A2:D500,4,FALSE))</f>
        <v>#N/A</v>
      </c>
      <c r="AA143" s="56">
        <f>'Predictive Model'!P255</f>
        <v>0</v>
      </c>
      <c r="AB143" s="22" t="e">
        <f>IF(LEN(VLOOKUP(AA143,A2:D500,4,FALSE))=0,,VLOOKUP(AA143,A2:D500,4,FALSE))</f>
        <v>#N/A</v>
      </c>
      <c r="AC143" s="56">
        <f>'Consumption Model'!P260</f>
        <v>0</v>
      </c>
      <c r="AD143" s="22" t="e">
        <f>IF(LEN(VLOOKUP(AC143,A2:D500,4,FALSE))=0,,VLOOKUP(AC143,A2:D500,4,FALSE))</f>
        <v>#N/A</v>
      </c>
      <c r="AE143" s="22">
        <f>'(Data)'!Q256</f>
        <v>0</v>
      </c>
      <c r="AF143" s="22" t="e">
        <f>IF(LEN(VLOOKUP(AE142:AE143,A2:D500,4,FALSE))=0,,VLOOKUP(AE142:AE143,A2:D500,4,FALSE))</f>
        <v>#N/A</v>
      </c>
      <c r="AH143" s="45">
        <f>'Risk Charact Model'!P274</f>
        <v>0</v>
      </c>
      <c r="AI143" s="58" t="e">
        <f>IF(LEN(VLOOKUP(AH143,A2:D500,4,FALSE))=0,,VLOOKUP(AH143,A2:D500,4,FALSE))</f>
        <v>#N/A</v>
      </c>
    </row>
    <row r="144" spans="9:35" ht="14" x14ac:dyDescent="0.3">
      <c r="I144" s="60">
        <f>'Generic Metadata Schema'!P274</f>
        <v>0</v>
      </c>
      <c r="J144" s="22" t="e">
        <f>IF(LEN(VLOOKUP(I144,A2:D500,4,FALSE))=0,"",VLOOKUP(I144,A2:D500,4,FALSE))</f>
        <v>#N/A</v>
      </c>
      <c r="L144" s="56">
        <f>'Dose-response Model'!O258</f>
        <v>0</v>
      </c>
      <c r="M144" s="22" t="e">
        <f>IF(LEN(VLOOKUP(L144,A2:D500,4,FALSE))=0,,VLOOKUP(L144,A2:D500,4,FALSE))</f>
        <v>#N/A</v>
      </c>
      <c r="N144" s="22">
        <f>'Exposure Model'!O275</f>
        <v>0</v>
      </c>
      <c r="O144" s="22" t="e">
        <f>IF(LEN(VLOOKUP(N144,A2:D500,4,FALSE))=0,,VLOOKUP(N144,A2:D500,4,FALSE))</f>
        <v>#N/A</v>
      </c>
      <c r="P144" s="55">
        <f>'QRA Models'!P275</f>
        <v>0</v>
      </c>
      <c r="Q144" s="22" t="e">
        <f>IF(LEN(VLOOKUP(P144,A2:D500,4,FALSE))=0,,VLOOKUP(P144,A2:D500,4,FALSE))</f>
        <v>#N/A</v>
      </c>
      <c r="R144" s="56">
        <f>'Health metrics Models'!Q258</f>
        <v>0</v>
      </c>
      <c r="S144" s="22" t="e">
        <f>IF(LEN(VLOOKUP(R144,A2:D500,4,FALSE))=0,,VLOOKUP(R144,A2:D500,4,FALSE))</f>
        <v>#N/A</v>
      </c>
      <c r="T144" s="56">
        <f>'Process Model'!P256</f>
        <v>0</v>
      </c>
      <c r="U144" s="22" t="e">
        <f>IF(LEN(VLOOKUP(T144,A2:D500,4,FALSE))=0,,VLOOKUP(T144,A2:D500,4,FALSE))</f>
        <v>#N/A</v>
      </c>
      <c r="V144" s="56">
        <f>'Toxicological reference value M'!P258</f>
        <v>0</v>
      </c>
      <c r="W144" s="22" t="e">
        <f>IF(LEN(VLOOKUP(V144,A2:D500,4,FALSE))=0,,VLOOKUP(V144,A2:D500,4,FALSE))</f>
        <v>#N/A</v>
      </c>
      <c r="Y144" s="56">
        <f>'Other Empirical Model'!P269</f>
        <v>0</v>
      </c>
      <c r="Z144" s="22" t="e">
        <f>IF(LEN(VLOOKUP(Y144,A2:D500,4,FALSE))=0,,VLOOKUP(Y144,A2:D500,4,FALSE))</f>
        <v>#N/A</v>
      </c>
      <c r="AA144" s="56">
        <f>'Predictive Model'!P256</f>
        <v>0</v>
      </c>
      <c r="AB144" s="22" t="e">
        <f>IF(LEN(VLOOKUP(AA144,A2:D500,4,FALSE))=0,,VLOOKUP(AA144,A2:D500,4,FALSE))</f>
        <v>#N/A</v>
      </c>
      <c r="AC144" s="56">
        <f>'Consumption Model'!P261</f>
        <v>0</v>
      </c>
      <c r="AD144" s="22" t="e">
        <f>IF(LEN(VLOOKUP(AC144,A2:D500,4,FALSE))=0,,VLOOKUP(AC144,A2:D500,4,FALSE))</f>
        <v>#N/A</v>
      </c>
      <c r="AE144" s="22">
        <f>'(Data)'!Q257</f>
        <v>0</v>
      </c>
      <c r="AF144" s="22" t="e">
        <f>IF(LEN(VLOOKUP(AE143:AE144,A2:D500,4,FALSE))=0,,VLOOKUP(AE143:AE144,A2:D500,4,FALSE))</f>
        <v>#N/A</v>
      </c>
      <c r="AH144" s="45">
        <f>'Risk Charact Model'!P275</f>
        <v>0</v>
      </c>
      <c r="AI144" s="58" t="e">
        <f>IF(LEN(VLOOKUP(AH144,A2:D500,4,FALSE))=0,,VLOOKUP(AH144,A2:D500,4,FALSE))</f>
        <v>#N/A</v>
      </c>
    </row>
    <row r="145" spans="9:35" ht="14" x14ac:dyDescent="0.3">
      <c r="I145" s="60">
        <f>'Generic Metadata Schema'!P275</f>
        <v>0</v>
      </c>
      <c r="J145" s="22" t="e">
        <f>IF(LEN(VLOOKUP(I145,A2:D500,4,FALSE))=0,"",VLOOKUP(I145,A2:D500,4,FALSE))</f>
        <v>#N/A</v>
      </c>
      <c r="L145" s="56">
        <f>'Dose-response Model'!O259</f>
        <v>0</v>
      </c>
      <c r="M145" s="22" t="e">
        <f>IF(LEN(VLOOKUP(L145,A2:D500,4,FALSE))=0,,VLOOKUP(L145,A2:D500,4,FALSE))</f>
        <v>#N/A</v>
      </c>
      <c r="N145" s="22">
        <f>'Exposure Model'!O276</f>
        <v>0</v>
      </c>
      <c r="O145" s="22" t="e">
        <f>IF(LEN(VLOOKUP(N145,A2:D500,4,FALSE))=0,,VLOOKUP(N145,A2:D500,4,FALSE))</f>
        <v>#N/A</v>
      </c>
      <c r="P145" s="55">
        <f>'QRA Models'!P276</f>
        <v>0</v>
      </c>
      <c r="Q145" s="22" t="e">
        <f>IF(LEN(VLOOKUP(P145,A2:D500,4,FALSE))=0,,VLOOKUP(P145,A2:D500,4,FALSE))</f>
        <v>#N/A</v>
      </c>
      <c r="R145" s="56">
        <f>'Health metrics Models'!Q259</f>
        <v>0</v>
      </c>
      <c r="S145" s="22" t="e">
        <f>IF(LEN(VLOOKUP(R145,A2:D500,4,FALSE))=0,,VLOOKUP(R145,A2:D500,4,FALSE))</f>
        <v>#N/A</v>
      </c>
      <c r="T145" s="56">
        <f>'Process Model'!P257</f>
        <v>0</v>
      </c>
      <c r="U145" s="22" t="e">
        <f>IF(LEN(VLOOKUP(T145,A2:D500,4,FALSE))=0,,VLOOKUP(T145,A2:D500,4,FALSE))</f>
        <v>#N/A</v>
      </c>
      <c r="V145" s="56">
        <f>'Toxicological reference value M'!P259</f>
        <v>0</v>
      </c>
      <c r="W145" s="22" t="e">
        <f>IF(LEN(VLOOKUP(V145,A2:D500,4,FALSE))=0,,VLOOKUP(V145,A2:D500,4,FALSE))</f>
        <v>#N/A</v>
      </c>
      <c r="Y145" s="56">
        <f>'Other Empirical Model'!P270</f>
        <v>0</v>
      </c>
      <c r="Z145" s="22" t="e">
        <f>IF(LEN(VLOOKUP(Y145,A2:D500,4,FALSE))=0,,VLOOKUP(Y145,A2:D500,4,FALSE))</f>
        <v>#N/A</v>
      </c>
      <c r="AA145" s="56">
        <f>'Predictive Model'!P257</f>
        <v>0</v>
      </c>
      <c r="AB145" s="22" t="e">
        <f>IF(LEN(VLOOKUP(AA145,A2:D500,4,FALSE))=0,,VLOOKUP(AA145,A2:D500,4,FALSE))</f>
        <v>#N/A</v>
      </c>
      <c r="AC145" s="56">
        <f>'Consumption Model'!P262</f>
        <v>0</v>
      </c>
      <c r="AD145" s="22" t="e">
        <f>IF(LEN(VLOOKUP(AC145,A2:D500,4,FALSE))=0,,VLOOKUP(AC145,A2:D500,4,FALSE))</f>
        <v>#N/A</v>
      </c>
      <c r="AE145" s="22">
        <f>'(Data)'!Q258</f>
        <v>0</v>
      </c>
      <c r="AF145" s="22" t="e">
        <f>IF(LEN(VLOOKUP(AE144:AE145,A2:D500,4,FALSE))=0,,VLOOKUP(AE144:AE145,A2:D500,4,FALSE))</f>
        <v>#N/A</v>
      </c>
      <c r="AH145" s="45">
        <f>'Risk Charact Model'!P276</f>
        <v>0</v>
      </c>
      <c r="AI145" s="58" t="e">
        <f>IF(LEN(VLOOKUP(AH145,A2:D500,4,FALSE))=0,,VLOOKUP(AH145,A2:D500,4,FALSE))</f>
        <v>#N/A</v>
      </c>
    </row>
    <row r="146" spans="9:35" ht="14" x14ac:dyDescent="0.3">
      <c r="I146" s="60">
        <f>'Generic Metadata Schema'!P276</f>
        <v>0</v>
      </c>
      <c r="J146" s="22" t="e">
        <f>IF(LEN(VLOOKUP(I146,A2:D500,4,FALSE))=0,"",VLOOKUP(I146,A2:D500,4,FALSE))</f>
        <v>#N/A</v>
      </c>
      <c r="L146" s="56">
        <f>'Dose-response Model'!O260</f>
        <v>0</v>
      </c>
      <c r="M146" s="22" t="e">
        <f>IF(LEN(VLOOKUP(L146,A2:D500,4,FALSE))=0,,VLOOKUP(L146,A2:D500,4,FALSE))</f>
        <v>#N/A</v>
      </c>
      <c r="N146" s="22">
        <f>'Exposure Model'!O277</f>
        <v>0</v>
      </c>
      <c r="O146" s="22" t="e">
        <f>IF(LEN(VLOOKUP(N146,A2:D500,4,FALSE))=0,,VLOOKUP(N146,A2:D500,4,FALSE))</f>
        <v>#N/A</v>
      </c>
      <c r="P146" s="55">
        <f>'QRA Models'!P277</f>
        <v>0</v>
      </c>
      <c r="Q146" s="22" t="e">
        <f>IF(LEN(VLOOKUP(P146,A2:D500,4,FALSE))=0,,VLOOKUP(P146,A2:D500,4,FALSE))</f>
        <v>#N/A</v>
      </c>
      <c r="R146" s="56">
        <f>'Health metrics Models'!Q260</f>
        <v>0</v>
      </c>
      <c r="S146" s="22" t="e">
        <f>IF(LEN(VLOOKUP(R146,A2:D500,4,FALSE))=0,,VLOOKUP(R146,A2:D500,4,FALSE))</f>
        <v>#N/A</v>
      </c>
      <c r="T146" s="56">
        <f>'Process Model'!P258</f>
        <v>0</v>
      </c>
      <c r="U146" s="22" t="e">
        <f>IF(LEN(VLOOKUP(T146,A2:D500,4,FALSE))=0,,VLOOKUP(T146,A2:D500,4,FALSE))</f>
        <v>#N/A</v>
      </c>
      <c r="V146" s="56">
        <f>'Toxicological reference value M'!P260</f>
        <v>0</v>
      </c>
      <c r="W146" s="22" t="e">
        <f>IF(LEN(VLOOKUP(V146,A2:D500,4,FALSE))=0,,VLOOKUP(V146,A2:D500,4,FALSE))</f>
        <v>#N/A</v>
      </c>
      <c r="Y146" s="56">
        <f>'Other Empirical Model'!P271</f>
        <v>0</v>
      </c>
      <c r="Z146" s="22" t="e">
        <f>IF(LEN(VLOOKUP(Y146,A2:D500,4,FALSE))=0,,VLOOKUP(Y146,A2:D500,4,FALSE))</f>
        <v>#N/A</v>
      </c>
      <c r="AA146" s="56">
        <f>'Predictive Model'!P258</f>
        <v>0</v>
      </c>
      <c r="AB146" s="22" t="e">
        <f>IF(LEN(VLOOKUP(AA146,A2:D500,4,FALSE))=0,,VLOOKUP(AA146,A2:D500,4,FALSE))</f>
        <v>#N/A</v>
      </c>
      <c r="AC146" s="56">
        <f>'Consumption Model'!P263</f>
        <v>0</v>
      </c>
      <c r="AD146" s="22" t="e">
        <f>IF(LEN(VLOOKUP(AC146,A2:D500,4,FALSE))=0,,VLOOKUP(AC146,A2:D500,4,FALSE))</f>
        <v>#N/A</v>
      </c>
      <c r="AE146" s="22">
        <f>'(Data)'!Q259</f>
        <v>0</v>
      </c>
      <c r="AF146" s="22" t="e">
        <f>IF(LEN(VLOOKUP(AE145:AE146,A2:D500,4,FALSE))=0,,VLOOKUP(AE145:AE146,A2:D500,4,FALSE))</f>
        <v>#N/A</v>
      </c>
      <c r="AH146" s="45">
        <f>'Risk Charact Model'!P277</f>
        <v>0</v>
      </c>
      <c r="AI146" s="58" t="e">
        <f>IF(LEN(VLOOKUP(AH146,A2:D500,4,FALSE))=0,,VLOOKUP(AH146,A2:D500,4,FALSE))</f>
        <v>#N/A</v>
      </c>
    </row>
    <row r="147" spans="9:35" ht="14" x14ac:dyDescent="0.3">
      <c r="I147" s="60">
        <f>'Generic Metadata Schema'!P277</f>
        <v>0</v>
      </c>
      <c r="J147" s="22" t="e">
        <f>IF(LEN(VLOOKUP(I147,A2:D500,4,FALSE))=0,"",VLOOKUP(I147,A2:D500,4,FALSE))</f>
        <v>#N/A</v>
      </c>
      <c r="L147" s="56">
        <f>'Dose-response Model'!O261</f>
        <v>0</v>
      </c>
      <c r="M147" s="22" t="e">
        <f>IF(LEN(VLOOKUP(L147,A2:D500,4,FALSE))=0,,VLOOKUP(L147,A2:D500,4,FALSE))</f>
        <v>#N/A</v>
      </c>
      <c r="N147" s="22">
        <f>'Exposure Model'!O278</f>
        <v>0</v>
      </c>
      <c r="O147" s="22" t="e">
        <f>IF(LEN(VLOOKUP(N147,A2:D500,4,FALSE))=0,,VLOOKUP(N147,A2:D500,4,FALSE))</f>
        <v>#N/A</v>
      </c>
      <c r="P147" s="55">
        <f>'QRA Models'!P278</f>
        <v>0</v>
      </c>
      <c r="Q147" s="22" t="e">
        <f>IF(LEN(VLOOKUP(P147,A2:D500,4,FALSE))=0,,VLOOKUP(P147,A2:D500,4,FALSE))</f>
        <v>#N/A</v>
      </c>
      <c r="R147" s="56">
        <f>'Health metrics Models'!Q261</f>
        <v>0</v>
      </c>
      <c r="S147" s="22" t="e">
        <f>IF(LEN(VLOOKUP(R147,A2:D500,4,FALSE))=0,,VLOOKUP(R147,A2:D500,4,FALSE))</f>
        <v>#N/A</v>
      </c>
      <c r="T147" s="56">
        <f>'Process Model'!P259</f>
        <v>0</v>
      </c>
      <c r="U147" s="22" t="e">
        <f>IF(LEN(VLOOKUP(T147,A2:D500,4,FALSE))=0,,VLOOKUP(T147,A2:D500,4,FALSE))</f>
        <v>#N/A</v>
      </c>
      <c r="V147" s="56">
        <f>'Toxicological reference value M'!P261</f>
        <v>0</v>
      </c>
      <c r="W147" s="22" t="e">
        <f>IF(LEN(VLOOKUP(V147,A2:D500,4,FALSE))=0,,VLOOKUP(V147,A2:D500,4,FALSE))</f>
        <v>#N/A</v>
      </c>
      <c r="Y147" s="56">
        <f>'Other Empirical Model'!P272</f>
        <v>0</v>
      </c>
      <c r="Z147" s="22" t="e">
        <f>IF(LEN(VLOOKUP(Y147,A2:D500,4,FALSE))=0,,VLOOKUP(Y147,A2:D500,4,FALSE))</f>
        <v>#N/A</v>
      </c>
      <c r="AA147" s="56">
        <f>'Predictive Model'!P259</f>
        <v>0</v>
      </c>
      <c r="AB147" s="22" t="e">
        <f>IF(LEN(VLOOKUP(AA147,A2:D500,4,FALSE))=0,,VLOOKUP(AA147,A2:D500,4,FALSE))</f>
        <v>#N/A</v>
      </c>
      <c r="AC147" s="56">
        <f>'Consumption Model'!P264</f>
        <v>0</v>
      </c>
      <c r="AD147" s="22" t="e">
        <f>IF(LEN(VLOOKUP(AC147,A2:D500,4,FALSE))=0,,VLOOKUP(AC147,A2:D500,4,FALSE))</f>
        <v>#N/A</v>
      </c>
      <c r="AE147" s="22">
        <f>'(Data)'!Q260</f>
        <v>0</v>
      </c>
      <c r="AF147" s="22" t="e">
        <f>IF(LEN(VLOOKUP(AE146:AE147,A2:D500,4,FALSE))=0,,VLOOKUP(AE146:AE147,A2:D500,4,FALSE))</f>
        <v>#N/A</v>
      </c>
      <c r="AH147" s="45">
        <f>'Risk Charact Model'!P278</f>
        <v>0</v>
      </c>
      <c r="AI147" s="58" t="e">
        <f>IF(LEN(VLOOKUP(AH147,A2:D500,4,FALSE))=0,,VLOOKUP(AH147,A2:D500,4,FALSE))</f>
        <v>#N/A</v>
      </c>
    </row>
    <row r="148" spans="9:35" ht="14" x14ac:dyDescent="0.3">
      <c r="I148" s="60">
        <f>'Generic Metadata Schema'!P278</f>
        <v>0</v>
      </c>
      <c r="J148" s="22" t="e">
        <f>IF(LEN(VLOOKUP(I148,A2:D500,4,FALSE))=0,"",VLOOKUP(I148,A2:D500,4,FALSE))</f>
        <v>#N/A</v>
      </c>
      <c r="L148" s="56">
        <f>'Dose-response Model'!O262</f>
        <v>0</v>
      </c>
      <c r="M148" s="22" t="e">
        <f>IF(LEN(VLOOKUP(L148,A2:D500,4,FALSE))=0,,VLOOKUP(L148,A2:D500,4,FALSE))</f>
        <v>#N/A</v>
      </c>
      <c r="N148" s="22">
        <f>'Exposure Model'!O279</f>
        <v>0</v>
      </c>
      <c r="O148" s="22" t="e">
        <f>IF(LEN(VLOOKUP(N148,A2:D500,4,FALSE))=0,,VLOOKUP(N148,A2:D500,4,FALSE))</f>
        <v>#N/A</v>
      </c>
      <c r="P148" s="55">
        <f>'QRA Models'!P279</f>
        <v>0</v>
      </c>
      <c r="Q148" s="22" t="e">
        <f>IF(LEN(VLOOKUP(P148,A2:D500,4,FALSE))=0,,VLOOKUP(P148,A2:D500,4,FALSE))</f>
        <v>#N/A</v>
      </c>
      <c r="R148" s="56">
        <f>'Health metrics Models'!Q262</f>
        <v>0</v>
      </c>
      <c r="S148" s="22" t="e">
        <f>IF(LEN(VLOOKUP(R148,A2:D500,4,FALSE))=0,,VLOOKUP(R148,A2:D500,4,FALSE))</f>
        <v>#N/A</v>
      </c>
      <c r="T148" s="56">
        <f>'Process Model'!P260</f>
        <v>0</v>
      </c>
      <c r="U148" s="22" t="e">
        <f>IF(LEN(VLOOKUP(T148,A2:D500,4,FALSE))=0,,VLOOKUP(T148,A2:D500,4,FALSE))</f>
        <v>#N/A</v>
      </c>
      <c r="V148" s="56">
        <f>'Toxicological reference value M'!P262</f>
        <v>0</v>
      </c>
      <c r="W148" s="22" t="e">
        <f>IF(LEN(VLOOKUP(V148,A2:D500,4,FALSE))=0,,VLOOKUP(V148,A2:D500,4,FALSE))</f>
        <v>#N/A</v>
      </c>
      <c r="Y148" s="56">
        <f>'Other Empirical Model'!P273</f>
        <v>0</v>
      </c>
      <c r="Z148" s="22" t="e">
        <f>IF(LEN(VLOOKUP(Y148,A2:D500,4,FALSE))=0,,VLOOKUP(Y148,A2:D500,4,FALSE))</f>
        <v>#N/A</v>
      </c>
      <c r="AA148" s="56">
        <f>'Predictive Model'!P260</f>
        <v>0</v>
      </c>
      <c r="AB148" s="22" t="e">
        <f>IF(LEN(VLOOKUP(AA148,A2:D500,4,FALSE))=0,,VLOOKUP(AA148,A2:D500,4,FALSE))</f>
        <v>#N/A</v>
      </c>
      <c r="AC148" s="56">
        <f>'Consumption Model'!P265</f>
        <v>0</v>
      </c>
      <c r="AD148" s="22" t="e">
        <f>IF(LEN(VLOOKUP(AC148,A2:D500,4,FALSE))=0,,VLOOKUP(AC148,A2:D500,4,FALSE))</f>
        <v>#N/A</v>
      </c>
      <c r="AE148" s="22">
        <f>'(Data)'!Q261</f>
        <v>0</v>
      </c>
      <c r="AF148" s="22" t="e">
        <f>IF(LEN(VLOOKUP(AE147:AE148,A2:D500,4,FALSE))=0,,VLOOKUP(AE147:AE148,A2:D500,4,FALSE))</f>
        <v>#N/A</v>
      </c>
      <c r="AH148" s="45">
        <f>'Risk Charact Model'!P279</f>
        <v>0</v>
      </c>
      <c r="AI148" s="58" t="e">
        <f>IF(LEN(VLOOKUP(AH148,A2:D500,4,FALSE))=0,,VLOOKUP(AH148,A2:D500,4,FALSE))</f>
        <v>#N/A</v>
      </c>
    </row>
    <row r="149" spans="9:35" ht="14" x14ac:dyDescent="0.3">
      <c r="I149" s="60">
        <f>'Generic Metadata Schema'!P279</f>
        <v>0</v>
      </c>
      <c r="J149" s="22" t="e">
        <f>IF(LEN(VLOOKUP(I149,A2:D500,4,FALSE))=0,"",VLOOKUP(I149,A2:D500,4,FALSE))</f>
        <v>#N/A</v>
      </c>
      <c r="L149" s="56">
        <f>'Dose-response Model'!O263</f>
        <v>0</v>
      </c>
      <c r="M149" s="22" t="e">
        <f>IF(LEN(VLOOKUP(L149,A2:D500,4,FALSE))=0,,VLOOKUP(L149,A2:D500,4,FALSE))</f>
        <v>#N/A</v>
      </c>
      <c r="N149" s="22">
        <f>'Exposure Model'!O280</f>
        <v>0</v>
      </c>
      <c r="O149" s="22" t="e">
        <f>IF(LEN(VLOOKUP(N149,A2:D500,4,FALSE))=0,,VLOOKUP(N149,A2:D500,4,FALSE))</f>
        <v>#N/A</v>
      </c>
      <c r="P149" s="55">
        <f>'QRA Models'!P280</f>
        <v>0</v>
      </c>
      <c r="Q149" s="22" t="e">
        <f>IF(LEN(VLOOKUP(P149,A2:D500,4,FALSE))=0,,VLOOKUP(P149,A2:D500,4,FALSE))</f>
        <v>#N/A</v>
      </c>
      <c r="R149" s="56">
        <f>'Health metrics Models'!Q263</f>
        <v>0</v>
      </c>
      <c r="S149" s="22" t="e">
        <f>IF(LEN(VLOOKUP(R149,A2:D500,4,FALSE))=0,,VLOOKUP(R149,A2:D500,4,FALSE))</f>
        <v>#N/A</v>
      </c>
      <c r="T149" s="56">
        <f>'Process Model'!P261</f>
        <v>0</v>
      </c>
      <c r="U149" s="22" t="e">
        <f>IF(LEN(VLOOKUP(T149,A2:D500,4,FALSE))=0,,VLOOKUP(T149,A2:D500,4,FALSE))</f>
        <v>#N/A</v>
      </c>
      <c r="V149" s="56">
        <f>'Toxicological reference value M'!P263</f>
        <v>0</v>
      </c>
      <c r="W149" s="22" t="e">
        <f>IF(LEN(VLOOKUP(V149,A2:D500,4,FALSE))=0,,VLOOKUP(V149,A2:D500,4,FALSE))</f>
        <v>#N/A</v>
      </c>
      <c r="Y149" s="56">
        <f>'Other Empirical Model'!P274</f>
        <v>0</v>
      </c>
      <c r="Z149" s="22" t="e">
        <f>IF(LEN(VLOOKUP(Y149,A2:D500,4,FALSE))=0,,VLOOKUP(Y149,A2:D500,4,FALSE))</f>
        <v>#N/A</v>
      </c>
      <c r="AA149" s="56">
        <f>'Predictive Model'!P261</f>
        <v>0</v>
      </c>
      <c r="AB149" s="22" t="e">
        <f>IF(LEN(VLOOKUP(AA149,A2:D500,4,FALSE))=0,,VLOOKUP(AA149,A2:D500,4,FALSE))</f>
        <v>#N/A</v>
      </c>
      <c r="AC149" s="56">
        <f>'Consumption Model'!P266</f>
        <v>0</v>
      </c>
      <c r="AD149" s="22" t="e">
        <f>IF(LEN(VLOOKUP(AC149,A2:D500,4,FALSE))=0,,VLOOKUP(AC149,A2:D500,4,FALSE))</f>
        <v>#N/A</v>
      </c>
      <c r="AE149" s="22">
        <f>'(Data)'!Q262</f>
        <v>0</v>
      </c>
      <c r="AF149" s="22" t="e">
        <f>IF(LEN(VLOOKUP(AE148:AE149,A2:D500,4,FALSE))=0,,VLOOKUP(AE148:AE149,A2:D500,4,FALSE))</f>
        <v>#N/A</v>
      </c>
      <c r="AH149" s="45">
        <f>'Risk Charact Model'!P280</f>
        <v>0</v>
      </c>
      <c r="AI149" s="58" t="e">
        <f>IF(LEN(VLOOKUP(AH149,A2:D500,4,FALSE))=0,,VLOOKUP(AH149,A2:D500,4,FALSE))</f>
        <v>#N/A</v>
      </c>
    </row>
    <row r="150" spans="9:35" ht="14" x14ac:dyDescent="0.3">
      <c r="I150" s="60">
        <f>'Generic Metadata Schema'!P280</f>
        <v>0</v>
      </c>
      <c r="J150" s="22" t="e">
        <f>IF(LEN(VLOOKUP(I150,A2:D500,4,FALSE))=0,"",VLOOKUP(I150,A2:D500,4,FALSE))</f>
        <v>#N/A</v>
      </c>
      <c r="L150" s="56">
        <f>'Dose-response Model'!O264</f>
        <v>0</v>
      </c>
      <c r="M150" s="22" t="e">
        <f>IF(LEN(VLOOKUP(L150,A2:D500,4,FALSE))=0,,VLOOKUP(L150,A2:D500,4,FALSE))</f>
        <v>#N/A</v>
      </c>
      <c r="N150" s="22">
        <f>'Exposure Model'!O281</f>
        <v>0</v>
      </c>
      <c r="O150" s="22" t="e">
        <f>IF(LEN(VLOOKUP(N150,A2:D500,4,FALSE))=0,,VLOOKUP(N150,A2:D500,4,FALSE))</f>
        <v>#N/A</v>
      </c>
      <c r="P150" s="55">
        <f>'QRA Models'!P281</f>
        <v>0</v>
      </c>
      <c r="Q150" s="22" t="e">
        <f>IF(LEN(VLOOKUP(P150,A2:D500,4,FALSE))=0,,VLOOKUP(P150,A2:D500,4,FALSE))</f>
        <v>#N/A</v>
      </c>
      <c r="R150" s="56">
        <f>'Health metrics Models'!Q264</f>
        <v>0</v>
      </c>
      <c r="S150" s="22" t="e">
        <f>IF(LEN(VLOOKUP(R150,A2:D500,4,FALSE))=0,,VLOOKUP(R150,A2:D500,4,FALSE))</f>
        <v>#N/A</v>
      </c>
      <c r="T150" s="56">
        <f>'Process Model'!P262</f>
        <v>0</v>
      </c>
      <c r="U150" s="22" t="e">
        <f>IF(LEN(VLOOKUP(T150,A2:D500,4,FALSE))=0,,VLOOKUP(T150,A2:D500,4,FALSE))</f>
        <v>#N/A</v>
      </c>
      <c r="V150" s="56">
        <f>'Toxicological reference value M'!P264</f>
        <v>0</v>
      </c>
      <c r="W150" s="22" t="e">
        <f>IF(LEN(VLOOKUP(V150,A2:D500,4,FALSE))=0,,VLOOKUP(V150,A2:D500,4,FALSE))</f>
        <v>#N/A</v>
      </c>
      <c r="Y150" s="56">
        <f>'Other Empirical Model'!P275</f>
        <v>0</v>
      </c>
      <c r="Z150" s="22" t="e">
        <f>IF(LEN(VLOOKUP(Y150,A2:D500,4,FALSE))=0,,VLOOKUP(Y150,A2:D500,4,FALSE))</f>
        <v>#N/A</v>
      </c>
      <c r="AA150" s="56">
        <f>'Predictive Model'!P262</f>
        <v>0</v>
      </c>
      <c r="AB150" s="22" t="e">
        <f>IF(LEN(VLOOKUP(AA150,A2:D500,4,FALSE))=0,,VLOOKUP(AA150,A2:D500,4,FALSE))</f>
        <v>#N/A</v>
      </c>
      <c r="AC150" s="56">
        <f>'Consumption Model'!P267</f>
        <v>0</v>
      </c>
      <c r="AD150" s="22" t="e">
        <f>IF(LEN(VLOOKUP(AC150,A2:D500,4,FALSE))=0,,VLOOKUP(AC150,A2:D500,4,FALSE))</f>
        <v>#N/A</v>
      </c>
      <c r="AE150" s="22">
        <f>'(Data)'!Q263</f>
        <v>0</v>
      </c>
      <c r="AF150" s="22" t="e">
        <f>IF(LEN(VLOOKUP(AE149:AE150,A2:D500,4,FALSE))=0,,VLOOKUP(AE149:AE150,A2:D500,4,FALSE))</f>
        <v>#N/A</v>
      </c>
      <c r="AH150" s="45">
        <f>'Risk Charact Model'!P281</f>
        <v>0</v>
      </c>
      <c r="AI150" s="58" t="e">
        <f>IF(LEN(VLOOKUP(AH150,A2:D500,4,FALSE))=0,,VLOOKUP(AH150,A2:D500,4,FALSE))</f>
        <v>#N/A</v>
      </c>
    </row>
    <row r="151" spans="9:35" ht="14" x14ac:dyDescent="0.3">
      <c r="I151" s="60">
        <f>'Generic Metadata Schema'!P281</f>
        <v>0</v>
      </c>
      <c r="J151" s="22" t="e">
        <f>IF(LEN(VLOOKUP(I151,A2:D500,4,FALSE))=0,"",VLOOKUP(I151,A2:D500,4,FALSE))</f>
        <v>#N/A</v>
      </c>
      <c r="L151" s="56">
        <f>'Dose-response Model'!O265</f>
        <v>0</v>
      </c>
      <c r="M151" s="22" t="e">
        <f>IF(LEN(VLOOKUP(L151,A2:D500,4,FALSE))=0,,VLOOKUP(L151,A2:D500,4,FALSE))</f>
        <v>#N/A</v>
      </c>
      <c r="N151" s="22">
        <f>'Exposure Model'!O282</f>
        <v>0</v>
      </c>
      <c r="O151" s="22" t="e">
        <f>IF(LEN(VLOOKUP(N151,A2:D500,4,FALSE))=0,,VLOOKUP(N151,A2:D500,4,FALSE))</f>
        <v>#N/A</v>
      </c>
      <c r="P151" s="55">
        <f>'QRA Models'!P282</f>
        <v>0</v>
      </c>
      <c r="Q151" s="22" t="e">
        <f>IF(LEN(VLOOKUP(P151,A2:D500,4,FALSE))=0,,VLOOKUP(P151,A2:D500,4,FALSE))</f>
        <v>#N/A</v>
      </c>
      <c r="R151" s="56">
        <f>'Health metrics Models'!Q265</f>
        <v>0</v>
      </c>
      <c r="S151" s="22" t="e">
        <f>IF(LEN(VLOOKUP(R151,A2:D500,4,FALSE))=0,,VLOOKUP(R151,A2:D500,4,FALSE))</f>
        <v>#N/A</v>
      </c>
      <c r="T151" s="56">
        <f>'Process Model'!P263</f>
        <v>0</v>
      </c>
      <c r="U151" s="22" t="e">
        <f>IF(LEN(VLOOKUP(T151,A2:D500,4,FALSE))=0,,VLOOKUP(T151,A2:D500,4,FALSE))</f>
        <v>#N/A</v>
      </c>
      <c r="V151" s="56">
        <f>'Toxicological reference value M'!P265</f>
        <v>0</v>
      </c>
      <c r="W151" s="22" t="e">
        <f>IF(LEN(VLOOKUP(V151,A2:D500,4,FALSE))=0,,VLOOKUP(V151,A2:D500,4,FALSE))</f>
        <v>#N/A</v>
      </c>
      <c r="Y151" s="56">
        <f>'Other Empirical Model'!P276</f>
        <v>0</v>
      </c>
      <c r="Z151" s="22" t="e">
        <f>IF(LEN(VLOOKUP(Y151,A2:D500,4,FALSE))=0,,VLOOKUP(Y151,A2:D500,4,FALSE))</f>
        <v>#N/A</v>
      </c>
      <c r="AA151" s="56">
        <f>'Predictive Model'!P263</f>
        <v>0</v>
      </c>
      <c r="AB151" s="22" t="e">
        <f>IF(LEN(VLOOKUP(AA151,A2:D500,4,FALSE))=0,,VLOOKUP(AA151,A2:D500,4,FALSE))</f>
        <v>#N/A</v>
      </c>
      <c r="AC151" s="56">
        <f>'Consumption Model'!P268</f>
        <v>0</v>
      </c>
      <c r="AD151" s="22" t="e">
        <f>IF(LEN(VLOOKUP(AC151,A2:D500,4,FALSE))=0,,VLOOKUP(AC151,A2:D500,4,FALSE))</f>
        <v>#N/A</v>
      </c>
      <c r="AE151" s="22">
        <f>'(Data)'!Q264</f>
        <v>0</v>
      </c>
      <c r="AF151" s="22" t="e">
        <f>IF(LEN(VLOOKUP(AE150:AE151,A2:D500,4,FALSE))=0,,VLOOKUP(AE150:AE151,A2:D500,4,FALSE))</f>
        <v>#N/A</v>
      </c>
      <c r="AH151" s="45">
        <f>'Risk Charact Model'!P282</f>
        <v>0</v>
      </c>
      <c r="AI151" s="58" t="e">
        <f>IF(LEN(VLOOKUP(AH151,A2:D500,4,FALSE))=0,,VLOOKUP(AH151,A2:D500,4,FALSE))</f>
        <v>#N/A</v>
      </c>
    </row>
    <row r="152" spans="9:35" ht="14" x14ac:dyDescent="0.3">
      <c r="I152" s="60">
        <f>'Generic Metadata Schema'!P282</f>
        <v>0</v>
      </c>
      <c r="J152" s="22" t="e">
        <f>IF(LEN(VLOOKUP(I152,A2:D500,4,FALSE))=0,"",VLOOKUP(I152,A2:D500,4,FALSE))</f>
        <v>#N/A</v>
      </c>
      <c r="L152" s="56">
        <f>'Dose-response Model'!O266</f>
        <v>0</v>
      </c>
      <c r="M152" s="22" t="e">
        <f>IF(LEN(VLOOKUP(L152,A2:D500,4,FALSE))=0,,VLOOKUP(L152,A2:D500,4,FALSE))</f>
        <v>#N/A</v>
      </c>
      <c r="N152" s="22">
        <f>'Exposure Model'!O283</f>
        <v>0</v>
      </c>
      <c r="O152" s="22" t="e">
        <f>IF(LEN(VLOOKUP(N152,A2:D500,4,FALSE))=0,,VLOOKUP(N152,A2:D500,4,FALSE))</f>
        <v>#N/A</v>
      </c>
      <c r="P152" s="55">
        <f>'QRA Models'!P283</f>
        <v>0</v>
      </c>
      <c r="Q152" s="22" t="e">
        <f>IF(LEN(VLOOKUP(P152,A2:D500,4,FALSE))=0,,VLOOKUP(P152,A2:D500,4,FALSE))</f>
        <v>#N/A</v>
      </c>
      <c r="R152" s="56">
        <f>'Health metrics Models'!Q266</f>
        <v>0</v>
      </c>
      <c r="S152" s="22" t="e">
        <f>IF(LEN(VLOOKUP(R152,A2:D500,4,FALSE))=0,,VLOOKUP(R152,A2:D500,4,FALSE))</f>
        <v>#N/A</v>
      </c>
      <c r="T152" s="56">
        <f>'Process Model'!P264</f>
        <v>0</v>
      </c>
      <c r="U152" s="22" t="e">
        <f>IF(LEN(VLOOKUP(T152,A2:D500,4,FALSE))=0,,VLOOKUP(T152,A2:D500,4,FALSE))</f>
        <v>#N/A</v>
      </c>
      <c r="V152" s="56">
        <f>'Toxicological reference value M'!P266</f>
        <v>0</v>
      </c>
      <c r="W152" s="22" t="e">
        <f>IF(LEN(VLOOKUP(V152,A2:D500,4,FALSE))=0,,VLOOKUP(V152,A2:D500,4,FALSE))</f>
        <v>#N/A</v>
      </c>
      <c r="Y152" s="56">
        <f>'Other Empirical Model'!P277</f>
        <v>0</v>
      </c>
      <c r="Z152" s="22" t="e">
        <f>IF(LEN(VLOOKUP(Y152,A2:D500,4,FALSE))=0,,VLOOKUP(Y152,A2:D500,4,FALSE))</f>
        <v>#N/A</v>
      </c>
      <c r="AA152" s="56">
        <f>'Predictive Model'!P264</f>
        <v>0</v>
      </c>
      <c r="AB152" s="22" t="e">
        <f>IF(LEN(VLOOKUP(AA152,A2:D500,4,FALSE))=0,,VLOOKUP(AA152,A2:D500,4,FALSE))</f>
        <v>#N/A</v>
      </c>
      <c r="AC152" s="56">
        <f>'Consumption Model'!P269</f>
        <v>0</v>
      </c>
      <c r="AD152" s="22" t="e">
        <f>IF(LEN(VLOOKUP(AC152,A2:D500,4,FALSE))=0,,VLOOKUP(AC152,A2:D500,4,FALSE))</f>
        <v>#N/A</v>
      </c>
      <c r="AE152" s="22">
        <f>'(Data)'!Q265</f>
        <v>0</v>
      </c>
      <c r="AF152" s="22" t="e">
        <f>IF(LEN(VLOOKUP(AE151:AE152,A2:D500,4,FALSE))=0,,VLOOKUP(AE151:AE152,A2:D500,4,FALSE))</f>
        <v>#N/A</v>
      </c>
      <c r="AH152" s="45">
        <f>'Risk Charact Model'!P283</f>
        <v>0</v>
      </c>
      <c r="AI152" s="58" t="e">
        <f>IF(LEN(VLOOKUP(AH152,A2:D500,4,FALSE))=0,,VLOOKUP(AH152,A2:D500,4,FALSE))</f>
        <v>#N/A</v>
      </c>
    </row>
    <row r="153" spans="9:35" ht="14" x14ac:dyDescent="0.3">
      <c r="I153" s="60">
        <f>'Generic Metadata Schema'!P283</f>
        <v>0</v>
      </c>
      <c r="J153" s="22" t="e">
        <f>IF(LEN(VLOOKUP(I153,A2:D500,4,FALSE))=0,"",VLOOKUP(I153,A2:D500,4,FALSE))</f>
        <v>#N/A</v>
      </c>
      <c r="L153" s="56">
        <f>'Dose-response Model'!O267</f>
        <v>0</v>
      </c>
      <c r="M153" s="22" t="e">
        <f>IF(LEN(VLOOKUP(L153,A2:D500,4,FALSE))=0,,VLOOKUP(L153,A2:D500,4,FALSE))</f>
        <v>#N/A</v>
      </c>
      <c r="N153" s="22">
        <f>'Exposure Model'!O284</f>
        <v>0</v>
      </c>
      <c r="O153" s="22" t="e">
        <f>IF(LEN(VLOOKUP(N153,A2:D500,4,FALSE))=0,,VLOOKUP(N153,A2:D500,4,FALSE))</f>
        <v>#N/A</v>
      </c>
      <c r="P153" s="55">
        <f>'QRA Models'!P284</f>
        <v>0</v>
      </c>
      <c r="Q153" s="22" t="e">
        <f>IF(LEN(VLOOKUP(P153,A2:D500,4,FALSE))=0,,VLOOKUP(P153,A2:D500,4,FALSE))</f>
        <v>#N/A</v>
      </c>
      <c r="R153" s="56">
        <f>'Health metrics Models'!Q267</f>
        <v>0</v>
      </c>
      <c r="S153" s="22" t="e">
        <f>IF(LEN(VLOOKUP(R153,A2:D500,4,FALSE))=0,,VLOOKUP(R153,A2:D500,4,FALSE))</f>
        <v>#N/A</v>
      </c>
      <c r="T153" s="56">
        <f>'Process Model'!P265</f>
        <v>0</v>
      </c>
      <c r="U153" s="22" t="e">
        <f>IF(LEN(VLOOKUP(T153,A2:D500,4,FALSE))=0,,VLOOKUP(T153,A2:D500,4,FALSE))</f>
        <v>#N/A</v>
      </c>
      <c r="V153" s="56">
        <f>'Toxicological reference value M'!P267</f>
        <v>0</v>
      </c>
      <c r="W153" s="22" t="e">
        <f>IF(LEN(VLOOKUP(V153,A2:D500,4,FALSE))=0,,VLOOKUP(V153,A2:D500,4,FALSE))</f>
        <v>#N/A</v>
      </c>
      <c r="Y153" s="56">
        <f>'Other Empirical Model'!P278</f>
        <v>0</v>
      </c>
      <c r="Z153" s="22" t="e">
        <f>IF(LEN(VLOOKUP(Y153,A2:D500,4,FALSE))=0,,VLOOKUP(Y153,A2:D500,4,FALSE))</f>
        <v>#N/A</v>
      </c>
      <c r="AA153" s="56">
        <f>'Predictive Model'!P265</f>
        <v>0</v>
      </c>
      <c r="AB153" s="22" t="e">
        <f>IF(LEN(VLOOKUP(AA153,A2:D500,4,FALSE))=0,,VLOOKUP(AA153,A2:D500,4,FALSE))</f>
        <v>#N/A</v>
      </c>
      <c r="AC153" s="56">
        <f>'Consumption Model'!P270</f>
        <v>0</v>
      </c>
      <c r="AD153" s="22" t="e">
        <f>IF(LEN(VLOOKUP(AC153,A2:D500,4,FALSE))=0,,VLOOKUP(AC153,A2:D500,4,FALSE))</f>
        <v>#N/A</v>
      </c>
      <c r="AE153" s="22">
        <f>'(Data)'!Q266</f>
        <v>0</v>
      </c>
      <c r="AF153" s="22" t="e">
        <f>IF(LEN(VLOOKUP(AE152:AE153,A2:D500,4,FALSE))=0,,VLOOKUP(AE152:AE153,A2:D500,4,FALSE))</f>
        <v>#N/A</v>
      </c>
      <c r="AH153" s="45">
        <f>'Risk Charact Model'!P284</f>
        <v>0</v>
      </c>
      <c r="AI153" s="58" t="e">
        <f>IF(LEN(VLOOKUP(AH153,A2:D500,4,FALSE))=0,,VLOOKUP(AH153,A2:D500,4,FALSE))</f>
        <v>#N/A</v>
      </c>
    </row>
    <row r="154" spans="9:35" ht="14" x14ac:dyDescent="0.3">
      <c r="I154" s="60">
        <f>'Generic Metadata Schema'!P284</f>
        <v>0</v>
      </c>
      <c r="J154" s="22" t="e">
        <f>IF(LEN(VLOOKUP(I154,A2:D500,4,FALSE))=0,"",VLOOKUP(I154,A2:D500,4,FALSE))</f>
        <v>#N/A</v>
      </c>
      <c r="L154" s="56">
        <f>'Dose-response Model'!O268</f>
        <v>0</v>
      </c>
      <c r="M154" s="22" t="e">
        <f>IF(LEN(VLOOKUP(L154,A2:D500,4,FALSE))=0,,VLOOKUP(L154,A2:D500,4,FALSE))</f>
        <v>#N/A</v>
      </c>
      <c r="N154" s="22">
        <f>'Exposure Model'!O285</f>
        <v>0</v>
      </c>
      <c r="O154" s="22" t="e">
        <f>IF(LEN(VLOOKUP(N154,A2:D500,4,FALSE))=0,,VLOOKUP(N154,A2:D500,4,FALSE))</f>
        <v>#N/A</v>
      </c>
      <c r="P154" s="55">
        <f>'QRA Models'!P285</f>
        <v>0</v>
      </c>
      <c r="Q154" s="22" t="e">
        <f>IF(LEN(VLOOKUP(P154,A2:D500,4,FALSE))=0,,VLOOKUP(P154,A2:D500,4,FALSE))</f>
        <v>#N/A</v>
      </c>
      <c r="R154" s="56">
        <f>'Health metrics Models'!Q268</f>
        <v>0</v>
      </c>
      <c r="S154" s="22" t="e">
        <f>IF(LEN(VLOOKUP(R154,A2:D500,4,FALSE))=0,,VLOOKUP(R154,A2:D500,4,FALSE))</f>
        <v>#N/A</v>
      </c>
      <c r="T154" s="56">
        <f>'Process Model'!P266</f>
        <v>0</v>
      </c>
      <c r="U154" s="22" t="e">
        <f>IF(LEN(VLOOKUP(T154,A2:D500,4,FALSE))=0,,VLOOKUP(T154,A2:D500,4,FALSE))</f>
        <v>#N/A</v>
      </c>
      <c r="V154" s="56">
        <f>'Toxicological reference value M'!P268</f>
        <v>0</v>
      </c>
      <c r="W154" s="22" t="e">
        <f>IF(LEN(VLOOKUP(V154,A2:D500,4,FALSE))=0,,VLOOKUP(V154,A2:D500,4,FALSE))</f>
        <v>#N/A</v>
      </c>
      <c r="Y154" s="56">
        <f>'Other Empirical Model'!P279</f>
        <v>0</v>
      </c>
      <c r="Z154" s="22" t="e">
        <f>IF(LEN(VLOOKUP(Y154,A2:D500,4,FALSE))=0,,VLOOKUP(Y154,A2:D500,4,FALSE))</f>
        <v>#N/A</v>
      </c>
      <c r="AA154" s="56">
        <f>'Predictive Model'!P266</f>
        <v>0</v>
      </c>
      <c r="AB154" s="22" t="e">
        <f>IF(LEN(VLOOKUP(AA154,A2:D500,4,FALSE))=0,,VLOOKUP(AA154,A2:D500,4,FALSE))</f>
        <v>#N/A</v>
      </c>
      <c r="AC154" s="56">
        <f>'Consumption Model'!P271</f>
        <v>0</v>
      </c>
      <c r="AD154" s="22" t="e">
        <f>IF(LEN(VLOOKUP(AC154,A2:D500,4,FALSE))=0,,VLOOKUP(AC154,A2:D500,4,FALSE))</f>
        <v>#N/A</v>
      </c>
      <c r="AE154" s="22">
        <f>'(Data)'!Q267</f>
        <v>0</v>
      </c>
      <c r="AF154" s="22" t="e">
        <f>IF(LEN(VLOOKUP(AE153:AE154,A2:D500,4,FALSE))=0,,VLOOKUP(AE153:AE154,A2:D500,4,FALSE))</f>
        <v>#N/A</v>
      </c>
      <c r="AH154" s="45">
        <f>'Risk Charact Model'!P285</f>
        <v>0</v>
      </c>
      <c r="AI154" s="58" t="e">
        <f>IF(LEN(VLOOKUP(AH154,A2:D500,4,FALSE))=0,,VLOOKUP(AH154,A2:D500,4,FALSE))</f>
        <v>#N/A</v>
      </c>
    </row>
    <row r="155" spans="9:35" ht="14" x14ac:dyDescent="0.3">
      <c r="I155" s="60">
        <f>'Generic Metadata Schema'!P285</f>
        <v>0</v>
      </c>
      <c r="J155" s="22" t="e">
        <f>IF(LEN(VLOOKUP(I155,A2:D500,4,FALSE))=0,"",VLOOKUP(I155,A2:D500,4,FALSE))</f>
        <v>#N/A</v>
      </c>
      <c r="L155" s="56">
        <f>'Dose-response Model'!O269</f>
        <v>0</v>
      </c>
      <c r="M155" s="22" t="e">
        <f>IF(LEN(VLOOKUP(L155,A2:D500,4,FALSE))=0,,VLOOKUP(L155,A2:D500,4,FALSE))</f>
        <v>#N/A</v>
      </c>
      <c r="N155" s="22">
        <f>'Exposure Model'!O286</f>
        <v>0</v>
      </c>
      <c r="O155" s="22" t="e">
        <f>IF(LEN(VLOOKUP(N155,A2:D500,4,FALSE))=0,,VLOOKUP(N155,A2:D500,4,FALSE))</f>
        <v>#N/A</v>
      </c>
      <c r="P155" s="55">
        <f>'QRA Models'!P286</f>
        <v>0</v>
      </c>
      <c r="Q155" s="22" t="e">
        <f>IF(LEN(VLOOKUP(P155,A2:D500,4,FALSE))=0,,VLOOKUP(P155,A2:D500,4,FALSE))</f>
        <v>#N/A</v>
      </c>
      <c r="R155" s="56">
        <f>'Health metrics Models'!Q269</f>
        <v>0</v>
      </c>
      <c r="S155" s="22" t="e">
        <f>IF(LEN(VLOOKUP(R155,A2:D500,4,FALSE))=0,,VLOOKUP(R155,A2:D500,4,FALSE))</f>
        <v>#N/A</v>
      </c>
      <c r="T155" s="56">
        <f>'Process Model'!P267</f>
        <v>0</v>
      </c>
      <c r="U155" s="22" t="e">
        <f>IF(LEN(VLOOKUP(T155,A2:D500,4,FALSE))=0,,VLOOKUP(T155,A2:D500,4,FALSE))</f>
        <v>#N/A</v>
      </c>
      <c r="V155" s="56">
        <f>'Toxicological reference value M'!P269</f>
        <v>0</v>
      </c>
      <c r="W155" s="22" t="e">
        <f>IF(LEN(VLOOKUP(V155,A2:D500,4,FALSE))=0,,VLOOKUP(V155,A2:D500,4,FALSE))</f>
        <v>#N/A</v>
      </c>
      <c r="Y155" s="56">
        <f>'Other Empirical Model'!P280</f>
        <v>0</v>
      </c>
      <c r="Z155" s="22" t="e">
        <f>IF(LEN(VLOOKUP(Y155,A2:D500,4,FALSE))=0,,VLOOKUP(Y155,A2:D500,4,FALSE))</f>
        <v>#N/A</v>
      </c>
      <c r="AA155" s="56">
        <f>'Predictive Model'!P267</f>
        <v>0</v>
      </c>
      <c r="AB155" s="22" t="e">
        <f>IF(LEN(VLOOKUP(AA155,A2:D500,4,FALSE))=0,,VLOOKUP(AA155,A2:D500,4,FALSE))</f>
        <v>#N/A</v>
      </c>
      <c r="AC155" s="56">
        <f>'Consumption Model'!P272</f>
        <v>0</v>
      </c>
      <c r="AD155" s="22" t="e">
        <f>IF(LEN(VLOOKUP(AC155,A2:D500,4,FALSE))=0,,VLOOKUP(AC155,A2:D500,4,FALSE))</f>
        <v>#N/A</v>
      </c>
      <c r="AE155" s="22">
        <f>'(Data)'!Q268</f>
        <v>0</v>
      </c>
      <c r="AF155" s="22" t="e">
        <f>IF(LEN(VLOOKUP(AE154:AE155,A2:D500,4,FALSE))=0,,VLOOKUP(AE154:AE155,A2:D500,4,FALSE))</f>
        <v>#N/A</v>
      </c>
      <c r="AH155" s="45">
        <f>'Risk Charact Model'!P286</f>
        <v>0</v>
      </c>
      <c r="AI155" s="58" t="e">
        <f>IF(LEN(VLOOKUP(AH155,A2:D500,4,FALSE))=0,,VLOOKUP(AH155,A2:D500,4,FALSE))</f>
        <v>#N/A</v>
      </c>
    </row>
    <row r="156" spans="9:35" ht="14" x14ac:dyDescent="0.3">
      <c r="I156" s="60">
        <f>'Generic Metadata Schema'!P286</f>
        <v>0</v>
      </c>
      <c r="J156" s="22" t="e">
        <f>IF(LEN(VLOOKUP(I156,A2:D500,4,FALSE))=0,"",VLOOKUP(I156,A2:D500,4,FALSE))</f>
        <v>#N/A</v>
      </c>
      <c r="L156" s="56">
        <f>'Dose-response Model'!O270</f>
        <v>0</v>
      </c>
      <c r="M156" s="22" t="e">
        <f>IF(LEN(VLOOKUP(L156,A2:D500,4,FALSE))=0,,VLOOKUP(L156,A2:D500,4,FALSE))</f>
        <v>#N/A</v>
      </c>
      <c r="N156" s="22">
        <f>'Exposure Model'!O287</f>
        <v>0</v>
      </c>
      <c r="O156" s="22" t="e">
        <f>IF(LEN(VLOOKUP(N156,A2:D500,4,FALSE))=0,,VLOOKUP(N156,A2:D500,4,FALSE))</f>
        <v>#N/A</v>
      </c>
      <c r="P156" s="55">
        <f>'QRA Models'!P287</f>
        <v>0</v>
      </c>
      <c r="Q156" s="22" t="e">
        <f>IF(LEN(VLOOKUP(P156,A2:D500,4,FALSE))=0,,VLOOKUP(P156,A2:D500,4,FALSE))</f>
        <v>#N/A</v>
      </c>
      <c r="R156" s="56">
        <f>'Health metrics Models'!Q270</f>
        <v>0</v>
      </c>
      <c r="S156" s="22" t="e">
        <f>IF(LEN(VLOOKUP(R156,A2:D500,4,FALSE))=0,,VLOOKUP(R156,A2:D500,4,FALSE))</f>
        <v>#N/A</v>
      </c>
      <c r="T156" s="56">
        <f>'Process Model'!P268</f>
        <v>0</v>
      </c>
      <c r="U156" s="22" t="e">
        <f>IF(LEN(VLOOKUP(T156,A2:D500,4,FALSE))=0,,VLOOKUP(T156,A2:D500,4,FALSE))</f>
        <v>#N/A</v>
      </c>
      <c r="V156" s="56">
        <f>'Toxicological reference value M'!P270</f>
        <v>0</v>
      </c>
      <c r="W156" s="22" t="e">
        <f>IF(LEN(VLOOKUP(V156,A2:D500,4,FALSE))=0,,VLOOKUP(V156,A2:D500,4,FALSE))</f>
        <v>#N/A</v>
      </c>
      <c r="Y156" s="56">
        <f>'Other Empirical Model'!P281</f>
        <v>0</v>
      </c>
      <c r="Z156" s="22" t="e">
        <f>IF(LEN(VLOOKUP(Y156,A2:D500,4,FALSE))=0,,VLOOKUP(Y156,A2:D500,4,FALSE))</f>
        <v>#N/A</v>
      </c>
      <c r="AA156" s="56">
        <f>'Predictive Model'!P268</f>
        <v>0</v>
      </c>
      <c r="AB156" s="22" t="e">
        <f>IF(LEN(VLOOKUP(AA156,A2:D500,4,FALSE))=0,,VLOOKUP(AA156,A2:D500,4,FALSE))</f>
        <v>#N/A</v>
      </c>
      <c r="AC156" s="56">
        <f>'Consumption Model'!P273</f>
        <v>0</v>
      </c>
      <c r="AD156" s="22" t="e">
        <f>IF(LEN(VLOOKUP(AC156,A2:D500,4,FALSE))=0,,VLOOKUP(AC156,A2:D500,4,FALSE))</f>
        <v>#N/A</v>
      </c>
      <c r="AE156" s="22">
        <f>'(Data)'!Q269</f>
        <v>0</v>
      </c>
      <c r="AF156" s="22" t="e">
        <f>IF(LEN(VLOOKUP(AE155:AE156,A2:D500,4,FALSE))=0,,VLOOKUP(AE155:AE156,A2:D500,4,FALSE))</f>
        <v>#N/A</v>
      </c>
      <c r="AH156" s="45">
        <f>'Risk Charact Model'!P287</f>
        <v>0</v>
      </c>
      <c r="AI156" s="58" t="e">
        <f>IF(LEN(VLOOKUP(AH156,A2:D500,4,FALSE))=0,,VLOOKUP(AH156,A2:D500,4,FALSE))</f>
        <v>#N/A</v>
      </c>
    </row>
    <row r="157" spans="9:35" ht="14" x14ac:dyDescent="0.3">
      <c r="I157" s="60">
        <f>'Generic Metadata Schema'!P287</f>
        <v>0</v>
      </c>
      <c r="J157" s="22" t="e">
        <f>IF(LEN(VLOOKUP(I157,A2:D500,4,FALSE))=0,"",VLOOKUP(I157,A2:D500,4,FALSE))</f>
        <v>#N/A</v>
      </c>
      <c r="L157" s="56">
        <f>'Dose-response Model'!O271</f>
        <v>0</v>
      </c>
      <c r="M157" s="22" t="e">
        <f>IF(LEN(VLOOKUP(L157,A2:D500,4,FALSE))=0,,VLOOKUP(L157,A2:D500,4,FALSE))</f>
        <v>#N/A</v>
      </c>
      <c r="N157" s="22">
        <f>'Exposure Model'!O288</f>
        <v>0</v>
      </c>
      <c r="O157" s="22" t="e">
        <f>IF(LEN(VLOOKUP(N157,A2:D500,4,FALSE))=0,,VLOOKUP(N157,A2:D500,4,FALSE))</f>
        <v>#N/A</v>
      </c>
      <c r="P157" s="55">
        <f>'QRA Models'!P288</f>
        <v>0</v>
      </c>
      <c r="Q157" s="22" t="e">
        <f>IF(LEN(VLOOKUP(P157,A2:D500,4,FALSE))=0,,VLOOKUP(P157,A2:D500,4,FALSE))</f>
        <v>#N/A</v>
      </c>
      <c r="R157" s="56">
        <f>'Health metrics Models'!Q271</f>
        <v>0</v>
      </c>
      <c r="S157" s="22" t="e">
        <f>IF(LEN(VLOOKUP(R157,A2:D500,4,FALSE))=0,,VLOOKUP(R157,A2:D500,4,FALSE))</f>
        <v>#N/A</v>
      </c>
      <c r="T157" s="56">
        <f>'Process Model'!P269</f>
        <v>0</v>
      </c>
      <c r="U157" s="22" t="e">
        <f>IF(LEN(VLOOKUP(T157,A2:D500,4,FALSE))=0,,VLOOKUP(T157,A2:D500,4,FALSE))</f>
        <v>#N/A</v>
      </c>
      <c r="V157" s="56">
        <f>'Toxicological reference value M'!P271</f>
        <v>0</v>
      </c>
      <c r="W157" s="22" t="e">
        <f>IF(LEN(VLOOKUP(V157,A2:D500,4,FALSE))=0,,VLOOKUP(V157,A2:D500,4,FALSE))</f>
        <v>#N/A</v>
      </c>
      <c r="Y157" s="56">
        <f>'Other Empirical Model'!P282</f>
        <v>0</v>
      </c>
      <c r="Z157" s="22" t="e">
        <f>IF(LEN(VLOOKUP(Y157,A2:D500,4,FALSE))=0,,VLOOKUP(Y157,A2:D500,4,FALSE))</f>
        <v>#N/A</v>
      </c>
      <c r="AA157" s="56">
        <f>'Predictive Model'!P269</f>
        <v>0</v>
      </c>
      <c r="AB157" s="22" t="e">
        <f>IF(LEN(VLOOKUP(AA157,A2:D500,4,FALSE))=0,,VLOOKUP(AA157,A2:D500,4,FALSE))</f>
        <v>#N/A</v>
      </c>
      <c r="AC157" s="56">
        <f>'Consumption Model'!P274</f>
        <v>0</v>
      </c>
      <c r="AD157" s="22" t="e">
        <f>IF(LEN(VLOOKUP(AC157,A2:D500,4,FALSE))=0,,VLOOKUP(AC157,A2:D500,4,FALSE))</f>
        <v>#N/A</v>
      </c>
      <c r="AE157" s="22">
        <f>'(Data)'!Q270</f>
        <v>0</v>
      </c>
      <c r="AF157" s="22" t="e">
        <f>IF(LEN(VLOOKUP(AE156:AE157,A2:D500,4,FALSE))=0,,VLOOKUP(AE156:AE157,A2:D500,4,FALSE))</f>
        <v>#N/A</v>
      </c>
      <c r="AH157" s="45">
        <f>'Risk Charact Model'!P288</f>
        <v>0</v>
      </c>
      <c r="AI157" s="58" t="e">
        <f>IF(LEN(VLOOKUP(AH157,A2:D500,4,FALSE))=0,,VLOOKUP(AH157,A2:D500,4,FALSE))</f>
        <v>#N/A</v>
      </c>
    </row>
    <row r="158" spans="9:35" ht="14" x14ac:dyDescent="0.3">
      <c r="I158" s="60">
        <f>'Generic Metadata Schema'!P288</f>
        <v>0</v>
      </c>
      <c r="J158" s="22" t="e">
        <f>IF(LEN(VLOOKUP(I158,A2:D500,4,FALSE))=0,"",VLOOKUP(I158,A2:D500,4,FALSE))</f>
        <v>#N/A</v>
      </c>
      <c r="L158" s="56">
        <f>'Dose-response Model'!O272</f>
        <v>0</v>
      </c>
      <c r="M158" s="22" t="e">
        <f>IF(LEN(VLOOKUP(L158,A2:D500,4,FALSE))=0,,VLOOKUP(L158,A2:D500,4,FALSE))</f>
        <v>#N/A</v>
      </c>
      <c r="N158" s="22">
        <f>'Exposure Model'!O289</f>
        <v>0</v>
      </c>
      <c r="O158" s="22" t="e">
        <f>IF(LEN(VLOOKUP(N158,A2:D500,4,FALSE))=0,,VLOOKUP(N158,A2:D500,4,FALSE))</f>
        <v>#N/A</v>
      </c>
      <c r="P158" s="55">
        <f>'QRA Models'!P289</f>
        <v>0</v>
      </c>
      <c r="Q158" s="22" t="e">
        <f>IF(LEN(VLOOKUP(P158,A2:D500,4,FALSE))=0,,VLOOKUP(P158,A2:D500,4,FALSE))</f>
        <v>#N/A</v>
      </c>
      <c r="R158" s="56">
        <f>'Health metrics Models'!Q272</f>
        <v>0</v>
      </c>
      <c r="S158" s="22" t="e">
        <f>IF(LEN(VLOOKUP(R158,A2:D500,4,FALSE))=0,,VLOOKUP(R158,A2:D500,4,FALSE))</f>
        <v>#N/A</v>
      </c>
      <c r="T158" s="56">
        <f>'Process Model'!P270</f>
        <v>0</v>
      </c>
      <c r="U158" s="22" t="e">
        <f>IF(LEN(VLOOKUP(T158,A2:D500,4,FALSE))=0,,VLOOKUP(T158,A2:D500,4,FALSE))</f>
        <v>#N/A</v>
      </c>
      <c r="V158" s="56">
        <f>'Toxicological reference value M'!P272</f>
        <v>0</v>
      </c>
      <c r="W158" s="22" t="e">
        <f>IF(LEN(VLOOKUP(V158,A2:D500,4,FALSE))=0,,VLOOKUP(V158,A2:D500,4,FALSE))</f>
        <v>#N/A</v>
      </c>
      <c r="Y158" s="56">
        <f>'Other Empirical Model'!P283</f>
        <v>0</v>
      </c>
      <c r="Z158" s="22" t="e">
        <f>IF(LEN(VLOOKUP(Y158,A2:D500,4,FALSE))=0,,VLOOKUP(Y158,A2:D500,4,FALSE))</f>
        <v>#N/A</v>
      </c>
      <c r="AA158" s="56">
        <f>'Predictive Model'!P270</f>
        <v>0</v>
      </c>
      <c r="AB158" s="22" t="e">
        <f>IF(LEN(VLOOKUP(AA158,A2:D500,4,FALSE))=0,,VLOOKUP(AA158,A2:D500,4,FALSE))</f>
        <v>#N/A</v>
      </c>
      <c r="AC158" s="56">
        <f>'Consumption Model'!P275</f>
        <v>0</v>
      </c>
      <c r="AD158" s="22" t="e">
        <f>IF(LEN(VLOOKUP(AC158,A2:D500,4,FALSE))=0,,VLOOKUP(AC158,A2:D500,4,FALSE))</f>
        <v>#N/A</v>
      </c>
      <c r="AE158" s="22">
        <f>'(Data)'!Q271</f>
        <v>0</v>
      </c>
      <c r="AF158" s="22" t="e">
        <f>IF(LEN(VLOOKUP(AE157:AE158,A2:D500,4,FALSE))=0,,VLOOKUP(AE157:AE158,A2:D500,4,FALSE))</f>
        <v>#N/A</v>
      </c>
      <c r="AH158" s="45">
        <f>'Risk Charact Model'!P289</f>
        <v>0</v>
      </c>
      <c r="AI158" s="58" t="e">
        <f>IF(LEN(VLOOKUP(AH158,A2:D500,4,FALSE))=0,,VLOOKUP(AH158,A2:D500,4,FALSE))</f>
        <v>#N/A</v>
      </c>
    </row>
    <row r="159" spans="9:35" ht="14" x14ac:dyDescent="0.3">
      <c r="I159" s="60">
        <f>'Generic Metadata Schema'!P289</f>
        <v>0</v>
      </c>
      <c r="J159" s="22" t="e">
        <f>IF(LEN(VLOOKUP(I159,A2:D500,4,FALSE))=0,"",VLOOKUP(I159,A2:D500,4,FALSE))</f>
        <v>#N/A</v>
      </c>
      <c r="L159" s="56">
        <f>'Dose-response Model'!O273</f>
        <v>0</v>
      </c>
      <c r="M159" s="22" t="e">
        <f>IF(LEN(VLOOKUP(L159,A2:D500,4,FALSE))=0,,VLOOKUP(L159,A2:D500,4,FALSE))</f>
        <v>#N/A</v>
      </c>
      <c r="N159" s="22">
        <f>'Exposure Model'!O290</f>
        <v>0</v>
      </c>
      <c r="O159" s="22" t="e">
        <f>IF(LEN(VLOOKUP(N159,A2:D500,4,FALSE))=0,,VLOOKUP(N159,A2:D500,4,FALSE))</f>
        <v>#N/A</v>
      </c>
      <c r="P159" s="55">
        <f>'QRA Models'!P290</f>
        <v>0</v>
      </c>
      <c r="Q159" s="22" t="e">
        <f>IF(LEN(VLOOKUP(P159,A2:D500,4,FALSE))=0,,VLOOKUP(P159,A2:D500,4,FALSE))</f>
        <v>#N/A</v>
      </c>
      <c r="R159" s="56">
        <f>'Health metrics Models'!Q273</f>
        <v>0</v>
      </c>
      <c r="S159" s="22" t="e">
        <f>IF(LEN(VLOOKUP(R159,A2:D500,4,FALSE))=0,,VLOOKUP(R159,A2:D500,4,FALSE))</f>
        <v>#N/A</v>
      </c>
      <c r="T159" s="56">
        <f>'Process Model'!P271</f>
        <v>0</v>
      </c>
      <c r="U159" s="22" t="e">
        <f>IF(LEN(VLOOKUP(T159,A2:D500,4,FALSE))=0,,VLOOKUP(T159,A2:D500,4,FALSE))</f>
        <v>#N/A</v>
      </c>
      <c r="V159" s="56">
        <f>'Toxicological reference value M'!P273</f>
        <v>0</v>
      </c>
      <c r="W159" s="22" t="e">
        <f>IF(LEN(VLOOKUP(V159,A2:D500,4,FALSE))=0,,VLOOKUP(V159,A2:D500,4,FALSE))</f>
        <v>#N/A</v>
      </c>
      <c r="Y159" s="56">
        <f>'Other Empirical Model'!P284</f>
        <v>0</v>
      </c>
      <c r="Z159" s="22" t="e">
        <f>IF(LEN(VLOOKUP(Y159,A2:D500,4,FALSE))=0,,VLOOKUP(Y159,A2:D500,4,FALSE))</f>
        <v>#N/A</v>
      </c>
      <c r="AA159" s="56">
        <f>'Predictive Model'!P271</f>
        <v>0</v>
      </c>
      <c r="AB159" s="22" t="e">
        <f>IF(LEN(VLOOKUP(AA159,A2:D500,4,FALSE))=0,,VLOOKUP(AA159,A2:D500,4,FALSE))</f>
        <v>#N/A</v>
      </c>
      <c r="AC159" s="56">
        <f>'Consumption Model'!P276</f>
        <v>0</v>
      </c>
      <c r="AD159" s="22" t="e">
        <f>IF(LEN(VLOOKUP(AC159,A2:D500,4,FALSE))=0,,VLOOKUP(AC159,A2:D500,4,FALSE))</f>
        <v>#N/A</v>
      </c>
      <c r="AE159" s="22">
        <f>'(Data)'!Q272</f>
        <v>0</v>
      </c>
      <c r="AF159" s="22" t="e">
        <f>IF(LEN(VLOOKUP(AE158:AE159,A2:D500,4,FALSE))=0,,VLOOKUP(AE158:AE159,A2:D500,4,FALSE))</f>
        <v>#N/A</v>
      </c>
      <c r="AH159" s="45">
        <f>'Risk Charact Model'!P290</f>
        <v>0</v>
      </c>
      <c r="AI159" s="58" t="e">
        <f>IF(LEN(VLOOKUP(AH159,A2:D500,4,FALSE))=0,,VLOOKUP(AH159,A2:D500,4,FALSE))</f>
        <v>#N/A</v>
      </c>
    </row>
    <row r="160" spans="9:35" ht="14" x14ac:dyDescent="0.3">
      <c r="I160" s="60">
        <f>'Generic Metadata Schema'!P290</f>
        <v>0</v>
      </c>
      <c r="J160" s="22" t="e">
        <f>IF(LEN(VLOOKUP(I160,A2:D500,4,FALSE))=0,"",VLOOKUP(I160,A2:D500,4,FALSE))</f>
        <v>#N/A</v>
      </c>
      <c r="L160" s="56">
        <f>'Dose-response Model'!O274</f>
        <v>0</v>
      </c>
      <c r="M160" s="22" t="e">
        <f>IF(LEN(VLOOKUP(L160,A2:D500,4,FALSE))=0,,VLOOKUP(L160,A2:D500,4,FALSE))</f>
        <v>#N/A</v>
      </c>
      <c r="N160" s="22">
        <f>'Exposure Model'!O291</f>
        <v>0</v>
      </c>
      <c r="O160" s="22" t="e">
        <f>IF(LEN(VLOOKUP(N160,A2:D500,4,FALSE))=0,,VLOOKUP(N160,A2:D500,4,FALSE))</f>
        <v>#N/A</v>
      </c>
      <c r="P160" s="55">
        <f>'QRA Models'!P291</f>
        <v>0</v>
      </c>
      <c r="Q160" s="22" t="e">
        <f>IF(LEN(VLOOKUP(P160,A2:D500,4,FALSE))=0,,VLOOKUP(P160,A2:D500,4,FALSE))</f>
        <v>#N/A</v>
      </c>
      <c r="R160" s="56">
        <f>'Health metrics Models'!Q274</f>
        <v>0</v>
      </c>
      <c r="S160" s="22" t="e">
        <f>IF(LEN(VLOOKUP(R160,A2:D500,4,FALSE))=0,,VLOOKUP(R160,A2:D500,4,FALSE))</f>
        <v>#N/A</v>
      </c>
      <c r="T160" s="56">
        <f>'Process Model'!P272</f>
        <v>0</v>
      </c>
      <c r="U160" s="22" t="e">
        <f>IF(LEN(VLOOKUP(T160,A2:D500,4,FALSE))=0,,VLOOKUP(T160,A2:D500,4,FALSE))</f>
        <v>#N/A</v>
      </c>
      <c r="V160" s="56">
        <f>'Toxicological reference value M'!P274</f>
        <v>0</v>
      </c>
      <c r="W160" s="22" t="e">
        <f>IF(LEN(VLOOKUP(V160,A2:D500,4,FALSE))=0,,VLOOKUP(V160,A2:D500,4,FALSE))</f>
        <v>#N/A</v>
      </c>
      <c r="Y160" s="56">
        <f>'Other Empirical Model'!P285</f>
        <v>0</v>
      </c>
      <c r="Z160" s="22" t="e">
        <f>IF(LEN(VLOOKUP(Y160,A2:D500,4,FALSE))=0,,VLOOKUP(Y160,A2:D500,4,FALSE))</f>
        <v>#N/A</v>
      </c>
      <c r="AA160" s="56">
        <f>'Predictive Model'!P272</f>
        <v>0</v>
      </c>
      <c r="AB160" s="22" t="e">
        <f>IF(LEN(VLOOKUP(AA160,A2:D500,4,FALSE))=0,,VLOOKUP(AA160,A2:D500,4,FALSE))</f>
        <v>#N/A</v>
      </c>
      <c r="AC160" s="56">
        <f>'Consumption Model'!P277</f>
        <v>0</v>
      </c>
      <c r="AD160" s="22" t="e">
        <f>IF(LEN(VLOOKUP(AC160,A2:D500,4,FALSE))=0,,VLOOKUP(AC160,A2:D500,4,FALSE))</f>
        <v>#N/A</v>
      </c>
      <c r="AE160" s="22">
        <f>'(Data)'!Q273</f>
        <v>0</v>
      </c>
      <c r="AF160" s="22" t="e">
        <f>IF(LEN(VLOOKUP(AE159:AE160,A2:D500,4,FALSE))=0,,VLOOKUP(AE159:AE160,A2:D500,4,FALSE))</f>
        <v>#N/A</v>
      </c>
      <c r="AH160" s="45">
        <f>'Risk Charact Model'!P291</f>
        <v>0</v>
      </c>
      <c r="AI160" s="58" t="e">
        <f>IF(LEN(VLOOKUP(AH160,A2:D500,4,FALSE))=0,,VLOOKUP(AH160,A2:D500,4,FALSE))</f>
        <v>#N/A</v>
      </c>
    </row>
    <row r="161" spans="9:35" ht="14" x14ac:dyDescent="0.3">
      <c r="I161" s="60">
        <f>'Generic Metadata Schema'!P291</f>
        <v>0</v>
      </c>
      <c r="J161" s="22" t="e">
        <f>IF(LEN(VLOOKUP(I161,A2:D500,4,FALSE))=0,"",VLOOKUP(I161,A2:D500,4,FALSE))</f>
        <v>#N/A</v>
      </c>
      <c r="L161" s="56">
        <f>'Dose-response Model'!O275</f>
        <v>0</v>
      </c>
      <c r="M161" s="22" t="e">
        <f>IF(LEN(VLOOKUP(L161,A2:D500,4,FALSE))=0,,VLOOKUP(L161,A2:D500,4,FALSE))</f>
        <v>#N/A</v>
      </c>
      <c r="N161" s="22">
        <f>'Exposure Model'!O292</f>
        <v>0</v>
      </c>
      <c r="O161" s="22" t="e">
        <f>IF(LEN(VLOOKUP(N161,A2:D500,4,FALSE))=0,,VLOOKUP(N161,A2:D500,4,FALSE))</f>
        <v>#N/A</v>
      </c>
      <c r="P161" s="55">
        <f>'QRA Models'!P292</f>
        <v>0</v>
      </c>
      <c r="Q161" s="22" t="e">
        <f>IF(LEN(VLOOKUP(P161,A2:D500,4,FALSE))=0,,VLOOKUP(P161,A2:D500,4,FALSE))</f>
        <v>#N/A</v>
      </c>
      <c r="R161" s="56">
        <f>'Health metrics Models'!Q275</f>
        <v>0</v>
      </c>
      <c r="S161" s="22" t="e">
        <f>IF(LEN(VLOOKUP(R161,A2:D500,4,FALSE))=0,,VLOOKUP(R161,A2:D500,4,FALSE))</f>
        <v>#N/A</v>
      </c>
      <c r="T161" s="56">
        <f>'Process Model'!P273</f>
        <v>0</v>
      </c>
      <c r="U161" s="22" t="e">
        <f>IF(LEN(VLOOKUP(T161,A2:D500,4,FALSE))=0,,VLOOKUP(T161,A2:D500,4,FALSE))</f>
        <v>#N/A</v>
      </c>
      <c r="V161" s="56">
        <f>'Toxicological reference value M'!P275</f>
        <v>0</v>
      </c>
      <c r="W161" s="22" t="e">
        <f>IF(LEN(VLOOKUP(V161,A2:D500,4,FALSE))=0,,VLOOKUP(V161,A2:D500,4,FALSE))</f>
        <v>#N/A</v>
      </c>
      <c r="Y161" s="56">
        <f>'Other Empirical Model'!P286</f>
        <v>0</v>
      </c>
      <c r="Z161" s="22" t="e">
        <f>IF(LEN(VLOOKUP(Y161,A2:D500,4,FALSE))=0,,VLOOKUP(Y161,A2:D500,4,FALSE))</f>
        <v>#N/A</v>
      </c>
      <c r="AA161" s="56">
        <f>'Predictive Model'!P273</f>
        <v>0</v>
      </c>
      <c r="AB161" s="22" t="e">
        <f>IF(LEN(VLOOKUP(AA161,A2:D500,4,FALSE))=0,,VLOOKUP(AA161,A2:D500,4,FALSE))</f>
        <v>#N/A</v>
      </c>
      <c r="AC161" s="56">
        <f>'Consumption Model'!P278</f>
        <v>0</v>
      </c>
      <c r="AD161" s="22" t="e">
        <f>IF(LEN(VLOOKUP(AC161,A2:D500,4,FALSE))=0,,VLOOKUP(AC161,A2:D500,4,FALSE))</f>
        <v>#N/A</v>
      </c>
      <c r="AE161" s="22">
        <f>'(Data)'!Q274</f>
        <v>0</v>
      </c>
      <c r="AF161" s="22" t="e">
        <f>IF(LEN(VLOOKUP(AE160:AE161,A2:D500,4,FALSE))=0,,VLOOKUP(AE160:AE161,A2:D500,4,FALSE))</f>
        <v>#N/A</v>
      </c>
      <c r="AH161" s="45">
        <f>'Risk Charact Model'!P292</f>
        <v>0</v>
      </c>
      <c r="AI161" s="58" t="e">
        <f>IF(LEN(VLOOKUP(AH161,A2:D500,4,FALSE))=0,,VLOOKUP(AH161,A2:D500,4,FALSE))</f>
        <v>#N/A</v>
      </c>
    </row>
    <row r="162" spans="9:35" ht="14" x14ac:dyDescent="0.3">
      <c r="I162" s="60">
        <f>'Generic Metadata Schema'!P292</f>
        <v>0</v>
      </c>
      <c r="J162" s="22" t="e">
        <f>IF(LEN(VLOOKUP(I162,A2:D500,4,FALSE))=0,"",VLOOKUP(I162,A2:D500,4,FALSE))</f>
        <v>#N/A</v>
      </c>
      <c r="L162" s="56">
        <f>'Dose-response Model'!O276</f>
        <v>0</v>
      </c>
      <c r="M162" s="22" t="e">
        <f>IF(LEN(VLOOKUP(L162,A2:D500,4,FALSE))=0,,VLOOKUP(L162,A2:D500,4,FALSE))</f>
        <v>#N/A</v>
      </c>
      <c r="N162" s="22">
        <f>'Exposure Model'!O293</f>
        <v>0</v>
      </c>
      <c r="O162" s="22" t="e">
        <f>IF(LEN(VLOOKUP(N162,A2:D500,4,FALSE))=0,,VLOOKUP(N162,A2:D500,4,FALSE))</f>
        <v>#N/A</v>
      </c>
      <c r="P162" s="55">
        <f>'QRA Models'!P293</f>
        <v>0</v>
      </c>
      <c r="Q162" s="22" t="e">
        <f>IF(LEN(VLOOKUP(P162,A2:D500,4,FALSE))=0,,VLOOKUP(P162,A2:D500,4,FALSE))</f>
        <v>#N/A</v>
      </c>
      <c r="R162" s="56">
        <f>'Health metrics Models'!Q276</f>
        <v>0</v>
      </c>
      <c r="S162" s="22" t="e">
        <f>IF(LEN(VLOOKUP(R162,A2:D500,4,FALSE))=0,,VLOOKUP(R162,A2:D500,4,FALSE))</f>
        <v>#N/A</v>
      </c>
      <c r="T162" s="56">
        <f>'Process Model'!P274</f>
        <v>0</v>
      </c>
      <c r="U162" s="22" t="e">
        <f>IF(LEN(VLOOKUP(T162,A2:D500,4,FALSE))=0,,VLOOKUP(T162,A2:D500,4,FALSE))</f>
        <v>#N/A</v>
      </c>
      <c r="V162" s="56">
        <f>'Toxicological reference value M'!P276</f>
        <v>0</v>
      </c>
      <c r="W162" s="22" t="e">
        <f>IF(LEN(VLOOKUP(V162,A2:D500,4,FALSE))=0,,VLOOKUP(V162,A2:D500,4,FALSE))</f>
        <v>#N/A</v>
      </c>
      <c r="Y162" s="56">
        <f>'Other Empirical Model'!P287</f>
        <v>0</v>
      </c>
      <c r="Z162" s="22" t="e">
        <f>IF(LEN(VLOOKUP(Y162,A2:D500,4,FALSE))=0,,VLOOKUP(Y162,A2:D500,4,FALSE))</f>
        <v>#N/A</v>
      </c>
      <c r="AA162" s="56">
        <f>'Predictive Model'!P274</f>
        <v>0</v>
      </c>
      <c r="AB162" s="22" t="e">
        <f>IF(LEN(VLOOKUP(AA162,A2:D500,4,FALSE))=0,,VLOOKUP(AA162,A2:D500,4,FALSE))</f>
        <v>#N/A</v>
      </c>
      <c r="AC162" s="56">
        <f>'Consumption Model'!P279</f>
        <v>0</v>
      </c>
      <c r="AD162" s="22" t="e">
        <f>IF(LEN(VLOOKUP(AC162,A2:D500,4,FALSE))=0,,VLOOKUP(AC162,A2:D500,4,FALSE))</f>
        <v>#N/A</v>
      </c>
      <c r="AE162" s="22">
        <f>'(Data)'!Q275</f>
        <v>0</v>
      </c>
      <c r="AF162" s="22" t="e">
        <f>IF(LEN(VLOOKUP(AE161:AE162,A2:D500,4,FALSE))=0,,VLOOKUP(AE161:AE162,A2:D500,4,FALSE))</f>
        <v>#N/A</v>
      </c>
      <c r="AH162" s="45">
        <f>'Risk Charact Model'!P293</f>
        <v>0</v>
      </c>
      <c r="AI162" s="58" t="e">
        <f>IF(LEN(VLOOKUP(AH162,A2:D500,4,FALSE))=0,,VLOOKUP(AH162,A2:D500,4,FALSE))</f>
        <v>#N/A</v>
      </c>
    </row>
    <row r="163" spans="9:35" ht="14" x14ac:dyDescent="0.3">
      <c r="I163" s="60">
        <f>'Generic Metadata Schema'!P293</f>
        <v>0</v>
      </c>
      <c r="J163" s="22" t="e">
        <f>IF(LEN(VLOOKUP(I163,A2:D500,4,FALSE))=0,"",VLOOKUP(I163,A2:D500,4,FALSE))</f>
        <v>#N/A</v>
      </c>
      <c r="L163" s="56">
        <f>'Dose-response Model'!O277</f>
        <v>0</v>
      </c>
      <c r="M163" s="22" t="e">
        <f>IF(LEN(VLOOKUP(L163,A2:D500,4,FALSE))=0,,VLOOKUP(L163,A2:D500,4,FALSE))</f>
        <v>#N/A</v>
      </c>
      <c r="N163" s="22">
        <f>'Exposure Model'!O294</f>
        <v>0</v>
      </c>
      <c r="O163" s="22" t="e">
        <f>IF(LEN(VLOOKUP(N163,A2:D500,4,FALSE))=0,,VLOOKUP(N163,A2:D500,4,FALSE))</f>
        <v>#N/A</v>
      </c>
      <c r="P163" s="55">
        <f>'QRA Models'!P294</f>
        <v>0</v>
      </c>
      <c r="Q163" s="22" t="e">
        <f>IF(LEN(VLOOKUP(P163,A2:D500,4,FALSE))=0,,VLOOKUP(P163,A2:D500,4,FALSE))</f>
        <v>#N/A</v>
      </c>
      <c r="R163" s="56">
        <f>'Health metrics Models'!Q277</f>
        <v>0</v>
      </c>
      <c r="S163" s="22" t="e">
        <f>IF(LEN(VLOOKUP(R163,A2:D500,4,FALSE))=0,,VLOOKUP(R163,A2:D500,4,FALSE))</f>
        <v>#N/A</v>
      </c>
      <c r="T163" s="56">
        <f>'Process Model'!P275</f>
        <v>0</v>
      </c>
      <c r="U163" s="22" t="e">
        <f>IF(LEN(VLOOKUP(T163,A2:D500,4,FALSE))=0,,VLOOKUP(T163,A2:D500,4,FALSE))</f>
        <v>#N/A</v>
      </c>
      <c r="V163" s="56">
        <f>'Toxicological reference value M'!P277</f>
        <v>0</v>
      </c>
      <c r="W163" s="22" t="e">
        <f>IF(LEN(VLOOKUP(V163,A2:D500,4,FALSE))=0,,VLOOKUP(V163,A2:D500,4,FALSE))</f>
        <v>#N/A</v>
      </c>
      <c r="Y163" s="56">
        <f>'Other Empirical Model'!P288</f>
        <v>0</v>
      </c>
      <c r="Z163" s="22" t="e">
        <f>IF(LEN(VLOOKUP(Y163,A2:D500,4,FALSE))=0,,VLOOKUP(Y163,A2:D500,4,FALSE))</f>
        <v>#N/A</v>
      </c>
      <c r="AA163" s="56">
        <f>'Predictive Model'!P275</f>
        <v>0</v>
      </c>
      <c r="AB163" s="22" t="e">
        <f>IF(LEN(VLOOKUP(AA163,A2:D500,4,FALSE))=0,,VLOOKUP(AA163,A2:D500,4,FALSE))</f>
        <v>#N/A</v>
      </c>
      <c r="AC163" s="56">
        <f>'Consumption Model'!P280</f>
        <v>0</v>
      </c>
      <c r="AD163" s="22" t="e">
        <f>IF(LEN(VLOOKUP(AC163,A2:D500,4,FALSE))=0,,VLOOKUP(AC163,A2:D500,4,FALSE))</f>
        <v>#N/A</v>
      </c>
      <c r="AE163" s="22">
        <f>'(Data)'!Q276</f>
        <v>0</v>
      </c>
      <c r="AF163" s="22" t="e">
        <f>IF(LEN(VLOOKUP(AE162:AE163,A2:D500,4,FALSE))=0,,VLOOKUP(AE162:AE163,A2:D500,4,FALSE))</f>
        <v>#N/A</v>
      </c>
      <c r="AH163" s="45">
        <f>'Risk Charact Model'!P294</f>
        <v>0</v>
      </c>
      <c r="AI163" s="58" t="e">
        <f>IF(LEN(VLOOKUP(AH163,A2:D500,4,FALSE))=0,,VLOOKUP(AH163,A2:D500,4,FALSE))</f>
        <v>#N/A</v>
      </c>
    </row>
    <row r="164" spans="9:35" ht="14" x14ac:dyDescent="0.3">
      <c r="I164" s="60">
        <f>'Generic Metadata Schema'!P294</f>
        <v>0</v>
      </c>
      <c r="J164" s="22" t="e">
        <f>IF(LEN(VLOOKUP(I164,A2:D500,4,FALSE))=0,"",VLOOKUP(I164,A2:D500,4,FALSE))</f>
        <v>#N/A</v>
      </c>
      <c r="L164" s="56">
        <f>'Dose-response Model'!O278</f>
        <v>0</v>
      </c>
      <c r="M164" s="22" t="e">
        <f>IF(LEN(VLOOKUP(L164,A2:D500,4,FALSE))=0,,VLOOKUP(L164,A2:D500,4,FALSE))</f>
        <v>#N/A</v>
      </c>
      <c r="N164" s="22">
        <f>'Exposure Model'!O295</f>
        <v>0</v>
      </c>
      <c r="O164" s="22" t="e">
        <f>IF(LEN(VLOOKUP(N164,A2:D500,4,FALSE))=0,,VLOOKUP(N164,A2:D500,4,FALSE))</f>
        <v>#N/A</v>
      </c>
      <c r="P164" s="55">
        <f>'QRA Models'!P295</f>
        <v>0</v>
      </c>
      <c r="Q164" s="22" t="e">
        <f>IF(LEN(VLOOKUP(P164,A2:D500,4,FALSE))=0,,VLOOKUP(P164,A2:D500,4,FALSE))</f>
        <v>#N/A</v>
      </c>
      <c r="R164" s="56">
        <f>'Health metrics Models'!Q278</f>
        <v>0</v>
      </c>
      <c r="S164" s="22" t="e">
        <f>IF(LEN(VLOOKUP(R164,A2:D500,4,FALSE))=0,,VLOOKUP(R164,A2:D500,4,FALSE))</f>
        <v>#N/A</v>
      </c>
      <c r="T164" s="56">
        <f>'Process Model'!P276</f>
        <v>0</v>
      </c>
      <c r="U164" s="22" t="e">
        <f>IF(LEN(VLOOKUP(T164,A2:D500,4,FALSE))=0,,VLOOKUP(T164,A2:D500,4,FALSE))</f>
        <v>#N/A</v>
      </c>
      <c r="V164" s="56">
        <f>'Toxicological reference value M'!P278</f>
        <v>0</v>
      </c>
      <c r="W164" s="22" t="e">
        <f>IF(LEN(VLOOKUP(V164,A2:D500,4,FALSE))=0,,VLOOKUP(V164,A2:D500,4,FALSE))</f>
        <v>#N/A</v>
      </c>
      <c r="Y164" s="56">
        <f>'Other Empirical Model'!P289</f>
        <v>0</v>
      </c>
      <c r="Z164" s="22" t="e">
        <f>IF(LEN(VLOOKUP(Y164,A2:D500,4,FALSE))=0,,VLOOKUP(Y164,A2:D500,4,FALSE))</f>
        <v>#N/A</v>
      </c>
      <c r="AA164" s="56">
        <f>'Predictive Model'!P276</f>
        <v>0</v>
      </c>
      <c r="AB164" s="22" t="e">
        <f>IF(LEN(VLOOKUP(AA164,A2:D500,4,FALSE))=0,,VLOOKUP(AA164,A2:D500,4,FALSE))</f>
        <v>#N/A</v>
      </c>
      <c r="AC164" s="56">
        <f>'Consumption Model'!P281</f>
        <v>0</v>
      </c>
      <c r="AD164" s="22" t="e">
        <f>IF(LEN(VLOOKUP(AC164,A2:D500,4,FALSE))=0,,VLOOKUP(AC164,A2:D500,4,FALSE))</f>
        <v>#N/A</v>
      </c>
      <c r="AE164" s="22">
        <f>'(Data)'!Q277</f>
        <v>0</v>
      </c>
      <c r="AF164" s="22" t="e">
        <f>IF(LEN(VLOOKUP(AE163:AE164,A2:D500,4,FALSE))=0,,VLOOKUP(AE163:AE164,A2:D500,4,FALSE))</f>
        <v>#N/A</v>
      </c>
      <c r="AH164" s="45">
        <f>'Risk Charact Model'!P295</f>
        <v>0</v>
      </c>
      <c r="AI164" s="58" t="e">
        <f>IF(LEN(VLOOKUP(AH164,A2:D500,4,FALSE))=0,,VLOOKUP(AH164,A2:D500,4,FALSE))</f>
        <v>#N/A</v>
      </c>
    </row>
    <row r="165" spans="9:35" ht="14" x14ac:dyDescent="0.3">
      <c r="I165" s="60">
        <f>'Generic Metadata Schema'!P295</f>
        <v>0</v>
      </c>
      <c r="J165" s="22" t="e">
        <f>IF(LEN(VLOOKUP(I165,A2:D500,4,FALSE))=0,"",VLOOKUP(I165,A2:D500,4,FALSE))</f>
        <v>#N/A</v>
      </c>
      <c r="L165" s="56">
        <f>'Dose-response Model'!O279</f>
        <v>0</v>
      </c>
      <c r="M165" s="22" t="e">
        <f>IF(LEN(VLOOKUP(L165,A2:D500,4,FALSE))=0,,VLOOKUP(L165,A2:D500,4,FALSE))</f>
        <v>#N/A</v>
      </c>
      <c r="N165" s="22">
        <f>'Exposure Model'!O296</f>
        <v>0</v>
      </c>
      <c r="O165" s="22" t="e">
        <f>IF(LEN(VLOOKUP(N165,A2:D500,4,FALSE))=0,,VLOOKUP(N165,A2:D500,4,FALSE))</f>
        <v>#N/A</v>
      </c>
      <c r="P165" s="55">
        <f>'QRA Models'!P296</f>
        <v>0</v>
      </c>
      <c r="Q165" s="22" t="e">
        <f>IF(LEN(VLOOKUP(P165,A2:D500,4,FALSE))=0,,VLOOKUP(P165,A2:D500,4,FALSE))</f>
        <v>#N/A</v>
      </c>
      <c r="R165" s="56">
        <f>'Health metrics Models'!Q279</f>
        <v>0</v>
      </c>
      <c r="S165" s="22" t="e">
        <f>IF(LEN(VLOOKUP(R165,A2:D500,4,FALSE))=0,,VLOOKUP(R165,A2:D500,4,FALSE))</f>
        <v>#N/A</v>
      </c>
      <c r="T165" s="56">
        <f>'Process Model'!P277</f>
        <v>0</v>
      </c>
      <c r="U165" s="22" t="e">
        <f>IF(LEN(VLOOKUP(T165,A2:D500,4,FALSE))=0,,VLOOKUP(T165,A2:D500,4,FALSE))</f>
        <v>#N/A</v>
      </c>
      <c r="V165" s="56">
        <f>'Toxicological reference value M'!P279</f>
        <v>0</v>
      </c>
      <c r="W165" s="22" t="e">
        <f>IF(LEN(VLOOKUP(V165,A2:D500,4,FALSE))=0,,VLOOKUP(V165,A2:D500,4,FALSE))</f>
        <v>#N/A</v>
      </c>
      <c r="Y165" s="56">
        <f>'Other Empirical Model'!P290</f>
        <v>0</v>
      </c>
      <c r="Z165" s="22" t="e">
        <f>IF(LEN(VLOOKUP(Y165,A2:D500,4,FALSE))=0,,VLOOKUP(Y165,A2:D500,4,FALSE))</f>
        <v>#N/A</v>
      </c>
      <c r="AA165" s="56">
        <f>'Predictive Model'!P277</f>
        <v>0</v>
      </c>
      <c r="AB165" s="22" t="e">
        <f>IF(LEN(VLOOKUP(AA165,A2:D500,4,FALSE))=0,,VLOOKUP(AA165,A2:D500,4,FALSE))</f>
        <v>#N/A</v>
      </c>
      <c r="AC165" s="56">
        <f>'Consumption Model'!P282</f>
        <v>0</v>
      </c>
      <c r="AD165" s="22" t="e">
        <f>IF(LEN(VLOOKUP(AC165,A2:D500,4,FALSE))=0,,VLOOKUP(AC165,A2:D500,4,FALSE))</f>
        <v>#N/A</v>
      </c>
      <c r="AE165" s="22">
        <f>'(Data)'!Q278</f>
        <v>0</v>
      </c>
      <c r="AF165" s="22" t="e">
        <f>IF(LEN(VLOOKUP(AE164:AE165,A2:D500,4,FALSE))=0,,VLOOKUP(AE164:AE165,A2:D500,4,FALSE))</f>
        <v>#N/A</v>
      </c>
      <c r="AH165" s="45">
        <f>'Risk Charact Model'!P296</f>
        <v>0</v>
      </c>
      <c r="AI165" s="58" t="e">
        <f>IF(LEN(VLOOKUP(AH165,A2:D500,4,FALSE))=0,,VLOOKUP(AH165,A2:D500,4,FALSE))</f>
        <v>#N/A</v>
      </c>
    </row>
    <row r="166" spans="9:35" ht="14" x14ac:dyDescent="0.3">
      <c r="I166" s="60">
        <f>'Generic Metadata Schema'!P296</f>
        <v>0</v>
      </c>
      <c r="J166" s="22" t="e">
        <f>IF(LEN(VLOOKUP(I166,A2:D500,4,FALSE))=0,"",VLOOKUP(I166,A2:D500,4,FALSE))</f>
        <v>#N/A</v>
      </c>
      <c r="L166" s="56">
        <f>'Dose-response Model'!O280</f>
        <v>0</v>
      </c>
      <c r="M166" s="22" t="e">
        <f>IF(LEN(VLOOKUP(L166,A2:D500,4,FALSE))=0,,VLOOKUP(L166,A2:D500,4,FALSE))</f>
        <v>#N/A</v>
      </c>
      <c r="N166" s="22">
        <f>'Exposure Model'!O297</f>
        <v>0</v>
      </c>
      <c r="O166" s="22" t="e">
        <f>IF(LEN(VLOOKUP(N166,A2:D500,4,FALSE))=0,,VLOOKUP(N166,A2:D500,4,FALSE))</f>
        <v>#N/A</v>
      </c>
      <c r="P166" s="55">
        <f>'QRA Models'!P297</f>
        <v>0</v>
      </c>
      <c r="Q166" s="22" t="e">
        <f>IF(LEN(VLOOKUP(P166,A2:D500,4,FALSE))=0,,VLOOKUP(P166,A2:D500,4,FALSE))</f>
        <v>#N/A</v>
      </c>
      <c r="R166" s="56">
        <f>'Health metrics Models'!Q280</f>
        <v>0</v>
      </c>
      <c r="S166" s="22" t="e">
        <f>IF(LEN(VLOOKUP(R166,A2:D500,4,FALSE))=0,,VLOOKUP(R166,A2:D500,4,FALSE))</f>
        <v>#N/A</v>
      </c>
      <c r="T166" s="56">
        <f>'Process Model'!P278</f>
        <v>0</v>
      </c>
      <c r="U166" s="22" t="e">
        <f>IF(LEN(VLOOKUP(T166,A2:D500,4,FALSE))=0,,VLOOKUP(T166,A2:D500,4,FALSE))</f>
        <v>#N/A</v>
      </c>
      <c r="V166" s="56">
        <f>'Toxicological reference value M'!P280</f>
        <v>0</v>
      </c>
      <c r="W166" s="22" t="e">
        <f>IF(LEN(VLOOKUP(V166,A2:D500,4,FALSE))=0,,VLOOKUP(V166,A2:D500,4,FALSE))</f>
        <v>#N/A</v>
      </c>
      <c r="Y166" s="56">
        <f>'Other Empirical Model'!P291</f>
        <v>0</v>
      </c>
      <c r="Z166" s="22" t="e">
        <f>IF(LEN(VLOOKUP(Y166,A2:D500,4,FALSE))=0,,VLOOKUP(Y166,A2:D500,4,FALSE))</f>
        <v>#N/A</v>
      </c>
      <c r="AA166" s="56">
        <f>'Predictive Model'!P278</f>
        <v>0</v>
      </c>
      <c r="AB166" s="22" t="e">
        <f>IF(LEN(VLOOKUP(AA166,A2:D500,4,FALSE))=0,,VLOOKUP(AA166,A2:D500,4,FALSE))</f>
        <v>#N/A</v>
      </c>
      <c r="AC166" s="56">
        <f>'Consumption Model'!P283</f>
        <v>0</v>
      </c>
      <c r="AD166" s="22" t="e">
        <f>IF(LEN(VLOOKUP(AC166,A2:D500,4,FALSE))=0,,VLOOKUP(AC166,A2:D500,4,FALSE))</f>
        <v>#N/A</v>
      </c>
      <c r="AE166" s="22">
        <f>'(Data)'!Q279</f>
        <v>0</v>
      </c>
      <c r="AF166" s="22" t="e">
        <f>IF(LEN(VLOOKUP(AE165:AE166,A2:D500,4,FALSE))=0,,VLOOKUP(AE165:AE166,A2:D500,4,FALSE))</f>
        <v>#N/A</v>
      </c>
      <c r="AH166" s="45">
        <f>'Risk Charact Model'!P297</f>
        <v>0</v>
      </c>
      <c r="AI166" s="58" t="e">
        <f>IF(LEN(VLOOKUP(AH166,A2:D500,4,FALSE))=0,,VLOOKUP(AH166,A2:D500,4,FALSE))</f>
        <v>#N/A</v>
      </c>
    </row>
    <row r="167" spans="9:35" ht="14" x14ac:dyDescent="0.3">
      <c r="I167" s="60">
        <f>'Generic Metadata Schema'!P297</f>
        <v>0</v>
      </c>
      <c r="J167" s="22" t="e">
        <f>IF(LEN(VLOOKUP(I167,A2:D500,4,FALSE))=0,"",VLOOKUP(I167,A2:D500,4,FALSE))</f>
        <v>#N/A</v>
      </c>
      <c r="L167" s="56">
        <f>'Dose-response Model'!O281</f>
        <v>0</v>
      </c>
      <c r="M167" s="22" t="e">
        <f>IF(LEN(VLOOKUP(L167,A2:D500,4,FALSE))=0,,VLOOKUP(L167,A2:D500,4,FALSE))</f>
        <v>#N/A</v>
      </c>
      <c r="N167" s="22">
        <f>'Exposure Model'!O298</f>
        <v>0</v>
      </c>
      <c r="O167" s="22" t="e">
        <f>IF(LEN(VLOOKUP(N167,A2:D500,4,FALSE))=0,,VLOOKUP(N167,A2:D500,4,FALSE))</f>
        <v>#N/A</v>
      </c>
      <c r="P167" s="55">
        <f>'QRA Models'!P298</f>
        <v>0</v>
      </c>
      <c r="Q167" s="22" t="e">
        <f>IF(LEN(VLOOKUP(P167,A2:D500,4,FALSE))=0,,VLOOKUP(P167,A2:D500,4,FALSE))</f>
        <v>#N/A</v>
      </c>
      <c r="R167" s="56">
        <f>'Health metrics Models'!Q281</f>
        <v>0</v>
      </c>
      <c r="S167" s="22" t="e">
        <f>IF(LEN(VLOOKUP(R167,A2:D500,4,FALSE))=0,,VLOOKUP(R167,A2:D500,4,FALSE))</f>
        <v>#N/A</v>
      </c>
      <c r="T167" s="56">
        <f>'Process Model'!P279</f>
        <v>0</v>
      </c>
      <c r="U167" s="22" t="e">
        <f>IF(LEN(VLOOKUP(T167,A2:D500,4,FALSE))=0,,VLOOKUP(T167,A2:D500,4,FALSE))</f>
        <v>#N/A</v>
      </c>
      <c r="V167" s="56">
        <f>'Toxicological reference value M'!P281</f>
        <v>0</v>
      </c>
      <c r="W167" s="22" t="e">
        <f>IF(LEN(VLOOKUP(V167,A2:D500,4,FALSE))=0,,VLOOKUP(V167,A2:D500,4,FALSE))</f>
        <v>#N/A</v>
      </c>
      <c r="Y167" s="56">
        <f>'Other Empirical Model'!P292</f>
        <v>0</v>
      </c>
      <c r="Z167" s="22" t="e">
        <f>IF(LEN(VLOOKUP(Y167,A2:D500,4,FALSE))=0,,VLOOKUP(Y167,A2:D500,4,FALSE))</f>
        <v>#N/A</v>
      </c>
      <c r="AA167" s="56">
        <f>'Predictive Model'!P279</f>
        <v>0</v>
      </c>
      <c r="AB167" s="22" t="e">
        <f>IF(LEN(VLOOKUP(AA167,A2:D500,4,FALSE))=0,,VLOOKUP(AA167,A2:D500,4,FALSE))</f>
        <v>#N/A</v>
      </c>
      <c r="AC167" s="56">
        <f>'Consumption Model'!P284</f>
        <v>0</v>
      </c>
      <c r="AD167" s="22" t="e">
        <f>IF(LEN(VLOOKUP(AC167,A2:D500,4,FALSE))=0,,VLOOKUP(AC167,A2:D500,4,FALSE))</f>
        <v>#N/A</v>
      </c>
      <c r="AE167" s="22">
        <f>'(Data)'!Q280</f>
        <v>0</v>
      </c>
      <c r="AF167" s="22" t="e">
        <f>IF(LEN(VLOOKUP(AE166:AE167,A2:D500,4,FALSE))=0,,VLOOKUP(AE166:AE167,A2:D500,4,FALSE))</f>
        <v>#N/A</v>
      </c>
      <c r="AH167" s="45">
        <f>'Risk Charact Model'!P298</f>
        <v>0</v>
      </c>
      <c r="AI167" s="58" t="e">
        <f>IF(LEN(VLOOKUP(AH167,A2:D500,4,FALSE))=0,,VLOOKUP(AH167,A2:D500,4,FALSE))</f>
        <v>#N/A</v>
      </c>
    </row>
    <row r="168" spans="9:35" ht="14" x14ac:dyDescent="0.3">
      <c r="I168" s="60">
        <f>'Generic Metadata Schema'!P298</f>
        <v>0</v>
      </c>
      <c r="J168" s="22" t="e">
        <f>IF(LEN(VLOOKUP(I168,A2:D500,4,FALSE))=0,"",VLOOKUP(I168,A2:D500,4,FALSE))</f>
        <v>#N/A</v>
      </c>
      <c r="L168" s="56">
        <f>'Dose-response Model'!O282</f>
        <v>0</v>
      </c>
      <c r="M168" s="22" t="e">
        <f>IF(LEN(VLOOKUP(L168,A2:D500,4,FALSE))=0,,VLOOKUP(L168,A2:D500,4,FALSE))</f>
        <v>#N/A</v>
      </c>
      <c r="N168" s="22">
        <f>'Exposure Model'!O299</f>
        <v>0</v>
      </c>
      <c r="O168" s="22" t="e">
        <f>IF(LEN(VLOOKUP(N168,A2:D500,4,FALSE))=0,,VLOOKUP(N168,A2:D500,4,FALSE))</f>
        <v>#N/A</v>
      </c>
      <c r="P168" s="55">
        <f>'QRA Models'!P299</f>
        <v>0</v>
      </c>
      <c r="Q168" s="22" t="e">
        <f>IF(LEN(VLOOKUP(P168,A2:D500,4,FALSE))=0,,VLOOKUP(P168,A2:D500,4,FALSE))</f>
        <v>#N/A</v>
      </c>
      <c r="R168" s="56">
        <f>'Health metrics Models'!Q282</f>
        <v>0</v>
      </c>
      <c r="S168" s="22" t="e">
        <f>IF(LEN(VLOOKUP(R168,A2:D500,4,FALSE))=0,,VLOOKUP(R168,A2:D500,4,FALSE))</f>
        <v>#N/A</v>
      </c>
      <c r="T168" s="56">
        <f>'Process Model'!P280</f>
        <v>0</v>
      </c>
      <c r="U168" s="22" t="e">
        <f>IF(LEN(VLOOKUP(T168,A2:D500,4,FALSE))=0,,VLOOKUP(T168,A2:D500,4,FALSE))</f>
        <v>#N/A</v>
      </c>
      <c r="V168" s="56">
        <f>'Toxicological reference value M'!P282</f>
        <v>0</v>
      </c>
      <c r="W168" s="22" t="e">
        <f>IF(LEN(VLOOKUP(V168,A2:D500,4,FALSE))=0,,VLOOKUP(V168,A2:D500,4,FALSE))</f>
        <v>#N/A</v>
      </c>
      <c r="Y168" s="56">
        <f>'Other Empirical Model'!P293</f>
        <v>0</v>
      </c>
      <c r="Z168" s="22" t="e">
        <f>IF(LEN(VLOOKUP(Y168,A2:D500,4,FALSE))=0,,VLOOKUP(Y168,A2:D500,4,FALSE))</f>
        <v>#N/A</v>
      </c>
      <c r="AA168" s="56">
        <f>'Predictive Model'!P280</f>
        <v>0</v>
      </c>
      <c r="AB168" s="22" t="e">
        <f>IF(LEN(VLOOKUP(AA168,A2:D500,4,FALSE))=0,,VLOOKUP(AA168,A2:D500,4,FALSE))</f>
        <v>#N/A</v>
      </c>
      <c r="AC168" s="56">
        <f>'Consumption Model'!P285</f>
        <v>0</v>
      </c>
      <c r="AD168" s="22" t="e">
        <f>IF(LEN(VLOOKUP(AC168,A2:D500,4,FALSE))=0,,VLOOKUP(AC168,A2:D500,4,FALSE))</f>
        <v>#N/A</v>
      </c>
      <c r="AE168" s="22">
        <f>'(Data)'!Q281</f>
        <v>0</v>
      </c>
      <c r="AF168" s="22" t="e">
        <f>IF(LEN(VLOOKUP(AE167:AE168,A2:D500,4,FALSE))=0,,VLOOKUP(AE167:AE168,A2:D500,4,FALSE))</f>
        <v>#N/A</v>
      </c>
      <c r="AH168" s="45">
        <f>'Risk Charact Model'!P299</f>
        <v>0</v>
      </c>
      <c r="AI168" s="58" t="e">
        <f>IF(LEN(VLOOKUP(AH168,A2:D500,4,FALSE))=0,,VLOOKUP(AH168,A2:D500,4,FALSE))</f>
        <v>#N/A</v>
      </c>
    </row>
    <row r="169" spans="9:35" ht="14" x14ac:dyDescent="0.3">
      <c r="I169" s="60">
        <f>'Generic Metadata Schema'!P299</f>
        <v>0</v>
      </c>
      <c r="J169" s="22" t="e">
        <f>IF(LEN(VLOOKUP(I169,A2:D500,4,FALSE))=0,"",VLOOKUP(I169,A2:D500,4,FALSE))</f>
        <v>#N/A</v>
      </c>
      <c r="L169" s="56">
        <f>'Dose-response Model'!O283</f>
        <v>0</v>
      </c>
      <c r="M169" s="22" t="e">
        <f>IF(LEN(VLOOKUP(L169,A2:D500,4,FALSE))=0,,VLOOKUP(L169,A2:D500,4,FALSE))</f>
        <v>#N/A</v>
      </c>
      <c r="N169" s="22">
        <f>'Exposure Model'!O300</f>
        <v>0</v>
      </c>
      <c r="O169" s="22" t="e">
        <f>IF(LEN(VLOOKUP(N169,A2:D500,4,FALSE))=0,,VLOOKUP(N169,A2:D500,4,FALSE))</f>
        <v>#N/A</v>
      </c>
      <c r="P169" s="55">
        <f>'QRA Models'!P300</f>
        <v>0</v>
      </c>
      <c r="Q169" s="22" t="e">
        <f>IF(LEN(VLOOKUP(P169,A2:D500,4,FALSE))=0,,VLOOKUP(P169,A2:D500,4,FALSE))</f>
        <v>#N/A</v>
      </c>
      <c r="R169" s="56">
        <f>'Health metrics Models'!Q283</f>
        <v>0</v>
      </c>
      <c r="S169" s="22" t="e">
        <f>IF(LEN(VLOOKUP(R169,A2:D500,4,FALSE))=0,,VLOOKUP(R169,A2:D500,4,FALSE))</f>
        <v>#N/A</v>
      </c>
      <c r="T169" s="56">
        <f>'Process Model'!P281</f>
        <v>0</v>
      </c>
      <c r="U169" s="22" t="e">
        <f>IF(LEN(VLOOKUP(T169,A2:D500,4,FALSE))=0,,VLOOKUP(T169,A2:D500,4,FALSE))</f>
        <v>#N/A</v>
      </c>
      <c r="V169" s="56">
        <f>'Toxicological reference value M'!P283</f>
        <v>0</v>
      </c>
      <c r="W169" s="22" t="e">
        <f>IF(LEN(VLOOKUP(V169,A2:D500,4,FALSE))=0,,VLOOKUP(V169,A2:D500,4,FALSE))</f>
        <v>#N/A</v>
      </c>
      <c r="Y169" s="56">
        <f>'Other Empirical Model'!P294</f>
        <v>0</v>
      </c>
      <c r="Z169" s="22" t="e">
        <f>IF(LEN(VLOOKUP(Y169,A2:D500,4,FALSE))=0,,VLOOKUP(Y169,A2:D500,4,FALSE))</f>
        <v>#N/A</v>
      </c>
      <c r="AA169" s="56">
        <f>'Predictive Model'!P281</f>
        <v>0</v>
      </c>
      <c r="AB169" s="22" t="e">
        <f>IF(LEN(VLOOKUP(AA169,A2:D500,4,FALSE))=0,,VLOOKUP(AA169,A2:D500,4,FALSE))</f>
        <v>#N/A</v>
      </c>
      <c r="AC169" s="56">
        <f>'Consumption Model'!P286</f>
        <v>0</v>
      </c>
      <c r="AD169" s="22" t="e">
        <f>IF(LEN(VLOOKUP(AC169,A2:D500,4,FALSE))=0,,VLOOKUP(AC169,A2:D500,4,FALSE))</f>
        <v>#N/A</v>
      </c>
      <c r="AE169" s="22">
        <f>'(Data)'!Q282</f>
        <v>0</v>
      </c>
      <c r="AF169" s="22" t="e">
        <f>IF(LEN(VLOOKUP(AE168:AE169,A2:D500,4,FALSE))=0,,VLOOKUP(AE168:AE169,A2:D500,4,FALSE))</f>
        <v>#N/A</v>
      </c>
      <c r="AH169" s="45">
        <f>'Risk Charact Model'!P300</f>
        <v>0</v>
      </c>
      <c r="AI169" s="58" t="e">
        <f>IF(LEN(VLOOKUP(AH169,A2:D500,4,FALSE))=0,,VLOOKUP(AH169,A2:D500,4,FALSE))</f>
        <v>#N/A</v>
      </c>
    </row>
    <row r="170" spans="9:35" ht="14" x14ac:dyDescent="0.3">
      <c r="I170" s="60">
        <f>'Generic Metadata Schema'!P300</f>
        <v>0</v>
      </c>
      <c r="J170" s="22" t="e">
        <f>IF(LEN(VLOOKUP(I170,A2:D500,4,FALSE))=0,"",VLOOKUP(I170,A2:D500,4,FALSE))</f>
        <v>#N/A</v>
      </c>
      <c r="L170" s="56">
        <f>'Dose-response Model'!O284</f>
        <v>0</v>
      </c>
      <c r="M170" s="22" t="e">
        <f>IF(LEN(VLOOKUP(L170,A2:D500,4,FALSE))=0,,VLOOKUP(L170,A2:D500,4,FALSE))</f>
        <v>#N/A</v>
      </c>
      <c r="N170" s="22">
        <f>'Exposure Model'!O301</f>
        <v>0</v>
      </c>
      <c r="O170" s="22" t="e">
        <f>IF(LEN(VLOOKUP(N170,A2:D500,4,FALSE))=0,,VLOOKUP(N170,A2:D500,4,FALSE))</f>
        <v>#N/A</v>
      </c>
      <c r="P170" s="55">
        <f>'QRA Models'!P301</f>
        <v>0</v>
      </c>
      <c r="Q170" s="22" t="e">
        <f>IF(LEN(VLOOKUP(P170,A2:D500,4,FALSE))=0,,VLOOKUP(P170,A2:D500,4,FALSE))</f>
        <v>#N/A</v>
      </c>
      <c r="R170" s="56">
        <f>'Health metrics Models'!Q284</f>
        <v>0</v>
      </c>
      <c r="S170" s="22" t="e">
        <f>IF(LEN(VLOOKUP(R170,A2:D500,4,FALSE))=0,,VLOOKUP(R170,A2:D500,4,FALSE))</f>
        <v>#N/A</v>
      </c>
      <c r="T170" s="56">
        <f>'Process Model'!P282</f>
        <v>0</v>
      </c>
      <c r="U170" s="22" t="e">
        <f>IF(LEN(VLOOKUP(T170,A2:D500,4,FALSE))=0,,VLOOKUP(T170,A2:D500,4,FALSE))</f>
        <v>#N/A</v>
      </c>
      <c r="V170" s="56">
        <f>'Toxicological reference value M'!P284</f>
        <v>0</v>
      </c>
      <c r="W170" s="22" t="e">
        <f>IF(LEN(VLOOKUP(V170,A2:D500,4,FALSE))=0,,VLOOKUP(V170,A2:D500,4,FALSE))</f>
        <v>#N/A</v>
      </c>
      <c r="Y170" s="56">
        <f>'Other Empirical Model'!P295</f>
        <v>0</v>
      </c>
      <c r="Z170" s="22" t="e">
        <f>IF(LEN(VLOOKUP(Y170,A2:D500,4,FALSE))=0,,VLOOKUP(Y170,A2:D500,4,FALSE))</f>
        <v>#N/A</v>
      </c>
      <c r="AA170" s="56">
        <f>'Predictive Model'!P282</f>
        <v>0</v>
      </c>
      <c r="AB170" s="22" t="e">
        <f>IF(LEN(VLOOKUP(AA170,A2:D500,4,FALSE))=0,,VLOOKUP(AA170,A2:D500,4,FALSE))</f>
        <v>#N/A</v>
      </c>
      <c r="AC170" s="56">
        <f>'Consumption Model'!P287</f>
        <v>0</v>
      </c>
      <c r="AD170" s="22" t="e">
        <f>IF(LEN(VLOOKUP(AC170,A2:D500,4,FALSE))=0,,VLOOKUP(AC170,A2:D500,4,FALSE))</f>
        <v>#N/A</v>
      </c>
      <c r="AE170" s="22">
        <f>'(Data)'!Q283</f>
        <v>0</v>
      </c>
      <c r="AF170" s="22" t="e">
        <f>IF(LEN(VLOOKUP(AE169:AE170,A2:D500,4,FALSE))=0,,VLOOKUP(AE169:AE170,A2:D500,4,FALSE))</f>
        <v>#N/A</v>
      </c>
      <c r="AH170" s="45">
        <f>'Risk Charact Model'!P301</f>
        <v>0</v>
      </c>
      <c r="AI170" s="58" t="e">
        <f>IF(LEN(VLOOKUP(AH170,A2:D500,4,FALSE))=0,,VLOOKUP(AH170,A2:D500,4,FALSE))</f>
        <v>#N/A</v>
      </c>
    </row>
    <row r="171" spans="9:35" ht="14" x14ac:dyDescent="0.3">
      <c r="I171" s="60">
        <f>'Generic Metadata Schema'!P301</f>
        <v>0</v>
      </c>
      <c r="J171" s="22" t="e">
        <f>IF(LEN(VLOOKUP(I171,A2:D500,4,FALSE))=0,"",VLOOKUP(I171,A2:D500,4,FALSE))</f>
        <v>#N/A</v>
      </c>
      <c r="L171" s="56">
        <f>'Dose-response Model'!O285</f>
        <v>0</v>
      </c>
      <c r="M171" s="22" t="e">
        <f>IF(LEN(VLOOKUP(L171,A2:D500,4,FALSE))=0,,VLOOKUP(L171,A2:D500,4,FALSE))</f>
        <v>#N/A</v>
      </c>
      <c r="N171" s="22">
        <f>'Exposure Model'!O302</f>
        <v>0</v>
      </c>
      <c r="O171" s="22" t="e">
        <f>IF(LEN(VLOOKUP(N171,A2:D500,4,FALSE))=0,,VLOOKUP(N171,A2:D500,4,FALSE))</f>
        <v>#N/A</v>
      </c>
      <c r="P171" s="55">
        <f>'QRA Models'!P302</f>
        <v>0</v>
      </c>
      <c r="Q171" s="22" t="e">
        <f>IF(LEN(VLOOKUP(P171,A2:D500,4,FALSE))=0,,VLOOKUP(P171,A2:D500,4,FALSE))</f>
        <v>#N/A</v>
      </c>
      <c r="R171" s="56">
        <f>'Health metrics Models'!Q285</f>
        <v>0</v>
      </c>
      <c r="S171" s="22" t="e">
        <f>IF(LEN(VLOOKUP(R171,A2:D500,4,FALSE))=0,,VLOOKUP(R171,A2:D500,4,FALSE))</f>
        <v>#N/A</v>
      </c>
      <c r="T171" s="56">
        <f>'Process Model'!P283</f>
        <v>0</v>
      </c>
      <c r="U171" s="22" t="e">
        <f>IF(LEN(VLOOKUP(T171,A2:D500,4,FALSE))=0,,VLOOKUP(T171,A2:D500,4,FALSE))</f>
        <v>#N/A</v>
      </c>
      <c r="V171" s="56">
        <f>'Toxicological reference value M'!P285</f>
        <v>0</v>
      </c>
      <c r="W171" s="22" t="e">
        <f>IF(LEN(VLOOKUP(V171,A2:D500,4,FALSE))=0,,VLOOKUP(V171,A2:D500,4,FALSE))</f>
        <v>#N/A</v>
      </c>
      <c r="Y171" s="56">
        <f>'Other Empirical Model'!P296</f>
        <v>0</v>
      </c>
      <c r="Z171" s="22" t="e">
        <f>IF(LEN(VLOOKUP(Y171,A2:D500,4,FALSE))=0,,VLOOKUP(Y171,A2:D500,4,FALSE))</f>
        <v>#N/A</v>
      </c>
      <c r="AA171" s="56">
        <f>'Predictive Model'!P283</f>
        <v>0</v>
      </c>
      <c r="AB171" s="22" t="e">
        <f>IF(LEN(VLOOKUP(AA171,A2:D500,4,FALSE))=0,,VLOOKUP(AA171,A2:D500,4,FALSE))</f>
        <v>#N/A</v>
      </c>
      <c r="AC171" s="56">
        <f>'Consumption Model'!P288</f>
        <v>0</v>
      </c>
      <c r="AD171" s="22" t="e">
        <f>IF(LEN(VLOOKUP(AC171,A2:D500,4,FALSE))=0,,VLOOKUP(AC171,A2:D500,4,FALSE))</f>
        <v>#N/A</v>
      </c>
      <c r="AE171" s="22">
        <f>'(Data)'!Q284</f>
        <v>0</v>
      </c>
      <c r="AF171" s="22" t="e">
        <f>IF(LEN(VLOOKUP(AE170:AE171,A2:D500,4,FALSE))=0,,VLOOKUP(AE170:AE171,A2:D500,4,FALSE))</f>
        <v>#N/A</v>
      </c>
      <c r="AH171" s="45">
        <f>'Risk Charact Model'!P302</f>
        <v>0</v>
      </c>
      <c r="AI171" s="58" t="e">
        <f>IF(LEN(VLOOKUP(AH171,A2:D500,4,FALSE))=0,,VLOOKUP(AH171,A2:D500,4,FALSE))</f>
        <v>#N/A</v>
      </c>
    </row>
    <row r="172" spans="9:35" ht="14" x14ac:dyDescent="0.3">
      <c r="I172" s="60">
        <f>'Generic Metadata Schema'!P302</f>
        <v>0</v>
      </c>
      <c r="J172" s="22" t="e">
        <f>IF(LEN(VLOOKUP(I172,A2:D500,4,FALSE))=0,"",VLOOKUP(I172,A2:D500,4,FALSE))</f>
        <v>#N/A</v>
      </c>
      <c r="L172" s="56">
        <f>'Dose-response Model'!O286</f>
        <v>0</v>
      </c>
      <c r="M172" s="22" t="e">
        <f>IF(LEN(VLOOKUP(L172,A2:D500,4,FALSE))=0,,VLOOKUP(L172,A2:D500,4,FALSE))</f>
        <v>#N/A</v>
      </c>
      <c r="N172" s="22">
        <f>'Exposure Model'!O303</f>
        <v>0</v>
      </c>
      <c r="O172" s="22" t="e">
        <f>IF(LEN(VLOOKUP(N172,A2:D500,4,FALSE))=0,,VLOOKUP(N172,A2:D500,4,FALSE))</f>
        <v>#N/A</v>
      </c>
      <c r="P172" s="55">
        <f>'QRA Models'!P303</f>
        <v>0</v>
      </c>
      <c r="Q172" s="22" t="e">
        <f>IF(LEN(VLOOKUP(P172,A2:D500,4,FALSE))=0,,VLOOKUP(P172,A2:D500,4,FALSE))</f>
        <v>#N/A</v>
      </c>
      <c r="R172" s="56">
        <f>'Health metrics Models'!Q286</f>
        <v>0</v>
      </c>
      <c r="S172" s="22" t="e">
        <f>IF(LEN(VLOOKUP(R172,A2:D500,4,FALSE))=0,,VLOOKUP(R172,A2:D500,4,FALSE))</f>
        <v>#N/A</v>
      </c>
      <c r="T172" s="56">
        <f>'Process Model'!P284</f>
        <v>0</v>
      </c>
      <c r="U172" s="22" t="e">
        <f>IF(LEN(VLOOKUP(T172,A2:D500,4,FALSE))=0,,VLOOKUP(T172,A2:D500,4,FALSE))</f>
        <v>#N/A</v>
      </c>
      <c r="V172" s="56">
        <f>'Toxicological reference value M'!P286</f>
        <v>0</v>
      </c>
      <c r="W172" s="22" t="e">
        <f>IF(LEN(VLOOKUP(V172,A2:D500,4,FALSE))=0,,VLOOKUP(V172,A2:D500,4,FALSE))</f>
        <v>#N/A</v>
      </c>
      <c r="Y172" s="56">
        <f>'Other Empirical Model'!P297</f>
        <v>0</v>
      </c>
      <c r="Z172" s="22" t="e">
        <f>IF(LEN(VLOOKUP(Y172,A2:D500,4,FALSE))=0,,VLOOKUP(Y172,A2:D500,4,FALSE))</f>
        <v>#N/A</v>
      </c>
      <c r="AA172" s="56">
        <f>'Predictive Model'!P284</f>
        <v>0</v>
      </c>
      <c r="AB172" s="22" t="e">
        <f>IF(LEN(VLOOKUP(AA172,A2:D500,4,FALSE))=0,,VLOOKUP(AA172,A2:D500,4,FALSE))</f>
        <v>#N/A</v>
      </c>
      <c r="AC172" s="56">
        <f>'Consumption Model'!P289</f>
        <v>0</v>
      </c>
      <c r="AD172" s="22" t="e">
        <f>IF(LEN(VLOOKUP(AC172,A2:D500,4,FALSE))=0,,VLOOKUP(AC172,A2:D500,4,FALSE))</f>
        <v>#N/A</v>
      </c>
      <c r="AE172" s="22">
        <f>'(Data)'!Q285</f>
        <v>0</v>
      </c>
      <c r="AF172" s="22" t="e">
        <f>IF(LEN(VLOOKUP(AE171:AE172,A2:D500,4,FALSE))=0,,VLOOKUP(AE171:AE172,A2:D500,4,FALSE))</f>
        <v>#N/A</v>
      </c>
      <c r="AH172" s="45">
        <f>'Risk Charact Model'!P303</f>
        <v>0</v>
      </c>
      <c r="AI172" s="58" t="e">
        <f>IF(LEN(VLOOKUP(AH172,A2:D500,4,FALSE))=0,,VLOOKUP(AH172,A2:D500,4,FALSE))</f>
        <v>#N/A</v>
      </c>
    </row>
    <row r="173" spans="9:35" ht="14" x14ac:dyDescent="0.3">
      <c r="I173" s="60">
        <f>'Generic Metadata Schema'!P303</f>
        <v>0</v>
      </c>
      <c r="J173" s="22" t="e">
        <f>IF(LEN(VLOOKUP(I173,A2:D500,4,FALSE))=0,"",VLOOKUP(I173,A2:D500,4,FALSE))</f>
        <v>#N/A</v>
      </c>
      <c r="L173" s="56">
        <f>'Dose-response Model'!O287</f>
        <v>0</v>
      </c>
      <c r="M173" s="22" t="e">
        <f>IF(LEN(VLOOKUP(L173,A2:D500,4,FALSE))=0,,VLOOKUP(L173,A2:D500,4,FALSE))</f>
        <v>#N/A</v>
      </c>
      <c r="N173" s="22">
        <f>'Exposure Model'!O304</f>
        <v>0</v>
      </c>
      <c r="O173" s="22" t="e">
        <f>IF(LEN(VLOOKUP(N173,A2:D500,4,FALSE))=0,,VLOOKUP(N173,A2:D500,4,FALSE))</f>
        <v>#N/A</v>
      </c>
      <c r="P173" s="55">
        <f>'QRA Models'!P304</f>
        <v>0</v>
      </c>
      <c r="Q173" s="22" t="e">
        <f>IF(LEN(VLOOKUP(P173,A2:D500,4,FALSE))=0,,VLOOKUP(P173,A2:D500,4,FALSE))</f>
        <v>#N/A</v>
      </c>
      <c r="R173" s="56">
        <f>'Health metrics Models'!Q287</f>
        <v>0</v>
      </c>
      <c r="S173" s="22" t="e">
        <f>IF(LEN(VLOOKUP(R173,A2:D500,4,FALSE))=0,,VLOOKUP(R173,A2:D500,4,FALSE))</f>
        <v>#N/A</v>
      </c>
      <c r="T173" s="56">
        <f>'Process Model'!P285</f>
        <v>0</v>
      </c>
      <c r="U173" s="22" t="e">
        <f>IF(LEN(VLOOKUP(T173,A2:D500,4,FALSE))=0,,VLOOKUP(T173,A2:D500,4,FALSE))</f>
        <v>#N/A</v>
      </c>
      <c r="V173" s="56">
        <f>'Toxicological reference value M'!P287</f>
        <v>0</v>
      </c>
      <c r="W173" s="22" t="e">
        <f>IF(LEN(VLOOKUP(V173,A2:D500,4,FALSE))=0,,VLOOKUP(V173,A2:D500,4,FALSE))</f>
        <v>#N/A</v>
      </c>
      <c r="Y173" s="56">
        <f>'Other Empirical Model'!P298</f>
        <v>0</v>
      </c>
      <c r="Z173" s="22" t="e">
        <f>IF(LEN(VLOOKUP(Y173,A2:D500,4,FALSE))=0,,VLOOKUP(Y173,A2:D500,4,FALSE))</f>
        <v>#N/A</v>
      </c>
      <c r="AA173" s="56">
        <f>'Predictive Model'!P285</f>
        <v>0</v>
      </c>
      <c r="AB173" s="22" t="e">
        <f>IF(LEN(VLOOKUP(AA173,A2:D500,4,FALSE))=0,,VLOOKUP(AA173,A2:D500,4,FALSE))</f>
        <v>#N/A</v>
      </c>
      <c r="AC173" s="56">
        <f>'Consumption Model'!P290</f>
        <v>0</v>
      </c>
      <c r="AD173" s="22" t="e">
        <f>IF(LEN(VLOOKUP(AC173,A2:D500,4,FALSE))=0,,VLOOKUP(AC173,A2:D500,4,FALSE))</f>
        <v>#N/A</v>
      </c>
      <c r="AE173" s="22">
        <f>'(Data)'!Q286</f>
        <v>0</v>
      </c>
      <c r="AF173" s="22" t="e">
        <f>IF(LEN(VLOOKUP(AE172:AE173,A2:D500,4,FALSE))=0,,VLOOKUP(AE172:AE173,A2:D500,4,FALSE))</f>
        <v>#N/A</v>
      </c>
      <c r="AH173" s="45">
        <f>'Risk Charact Model'!P304</f>
        <v>0</v>
      </c>
      <c r="AI173" s="58" t="e">
        <f>IF(LEN(VLOOKUP(AH173,A2:D500,4,FALSE))=0,,VLOOKUP(AH173,A2:D500,4,FALSE))</f>
        <v>#N/A</v>
      </c>
    </row>
    <row r="174" spans="9:35" ht="14" x14ac:dyDescent="0.3">
      <c r="I174" s="60">
        <f>'Generic Metadata Schema'!P304</f>
        <v>0</v>
      </c>
      <c r="J174" s="22" t="e">
        <f>IF(LEN(VLOOKUP(I174,A2:D500,4,FALSE))=0,"",VLOOKUP(I174,A2:D500,4,FALSE))</f>
        <v>#N/A</v>
      </c>
      <c r="L174" s="56">
        <f>'Dose-response Model'!O288</f>
        <v>0</v>
      </c>
      <c r="M174" s="22" t="e">
        <f>IF(LEN(VLOOKUP(L174,A2:D500,4,FALSE))=0,,VLOOKUP(L174,A2:D500,4,FALSE))</f>
        <v>#N/A</v>
      </c>
      <c r="N174" s="22">
        <f>'Exposure Model'!O305</f>
        <v>0</v>
      </c>
      <c r="O174" s="22" t="e">
        <f>IF(LEN(VLOOKUP(N174,A2:D500,4,FALSE))=0,,VLOOKUP(N174,A2:D500,4,FALSE))</f>
        <v>#N/A</v>
      </c>
      <c r="P174" s="55">
        <f>'QRA Models'!P305</f>
        <v>0</v>
      </c>
      <c r="Q174" s="22" t="e">
        <f>IF(LEN(VLOOKUP(P174,A2:D500,4,FALSE))=0,,VLOOKUP(P174,A2:D500,4,FALSE))</f>
        <v>#N/A</v>
      </c>
      <c r="R174" s="56">
        <f>'Health metrics Models'!Q288</f>
        <v>0</v>
      </c>
      <c r="S174" s="22" t="e">
        <f>IF(LEN(VLOOKUP(R174,A2:D500,4,FALSE))=0,,VLOOKUP(R174,A2:D500,4,FALSE))</f>
        <v>#N/A</v>
      </c>
      <c r="T174" s="56">
        <f>'Process Model'!P286</f>
        <v>0</v>
      </c>
      <c r="U174" s="22" t="e">
        <f>IF(LEN(VLOOKUP(T174,A2:D500,4,FALSE))=0,,VLOOKUP(T174,A2:D500,4,FALSE))</f>
        <v>#N/A</v>
      </c>
      <c r="V174" s="56">
        <f>'Toxicological reference value M'!P288</f>
        <v>0</v>
      </c>
      <c r="W174" s="22" t="e">
        <f>IF(LEN(VLOOKUP(V174,A2:D500,4,FALSE))=0,,VLOOKUP(V174,A2:D500,4,FALSE))</f>
        <v>#N/A</v>
      </c>
      <c r="Y174" s="56">
        <f>'Other Empirical Model'!P299</f>
        <v>0</v>
      </c>
      <c r="Z174" s="22" t="e">
        <f>IF(LEN(VLOOKUP(Y174,A2:D500,4,FALSE))=0,,VLOOKUP(Y174,A2:D500,4,FALSE))</f>
        <v>#N/A</v>
      </c>
      <c r="AA174" s="56">
        <f>'Predictive Model'!P286</f>
        <v>0</v>
      </c>
      <c r="AB174" s="22" t="e">
        <f>IF(LEN(VLOOKUP(AA174,A2:D500,4,FALSE))=0,,VLOOKUP(AA174,A2:D500,4,FALSE))</f>
        <v>#N/A</v>
      </c>
      <c r="AC174" s="56">
        <f>'Consumption Model'!P291</f>
        <v>0</v>
      </c>
      <c r="AD174" s="22" t="e">
        <f>IF(LEN(VLOOKUP(AC174,A2:D500,4,FALSE))=0,,VLOOKUP(AC174,A2:D500,4,FALSE))</f>
        <v>#N/A</v>
      </c>
      <c r="AE174" s="22">
        <f>'(Data)'!Q287</f>
        <v>0</v>
      </c>
      <c r="AF174" s="22" t="e">
        <f>IF(LEN(VLOOKUP(AE173:AE174,A2:D500,4,FALSE))=0,,VLOOKUP(AE173:AE174,A2:D500,4,FALSE))</f>
        <v>#N/A</v>
      </c>
      <c r="AH174" s="45">
        <f>'Risk Charact Model'!P305</f>
        <v>0</v>
      </c>
      <c r="AI174" s="58" t="e">
        <f>IF(LEN(VLOOKUP(AH174,A2:D500,4,FALSE))=0,,VLOOKUP(AH174,A2:D500,4,FALSE))</f>
        <v>#N/A</v>
      </c>
    </row>
    <row r="175" spans="9:35" ht="14" x14ac:dyDescent="0.3">
      <c r="I175" s="60">
        <f>'Generic Metadata Schema'!P305</f>
        <v>0</v>
      </c>
      <c r="J175" s="22" t="e">
        <f>IF(LEN(VLOOKUP(I175,A2:D500,4,FALSE))=0,"",VLOOKUP(I175,A2:D500,4,FALSE))</f>
        <v>#N/A</v>
      </c>
      <c r="L175" s="56">
        <f>'Dose-response Model'!O289</f>
        <v>0</v>
      </c>
      <c r="M175" s="22" t="e">
        <f>IF(LEN(VLOOKUP(L175,A2:D500,4,FALSE))=0,,VLOOKUP(L175,A2:D500,4,FALSE))</f>
        <v>#N/A</v>
      </c>
      <c r="N175" s="22">
        <f>'Exposure Model'!O306</f>
        <v>0</v>
      </c>
      <c r="O175" s="22" t="e">
        <f>IF(LEN(VLOOKUP(N175,A2:D500,4,FALSE))=0,,VLOOKUP(N175,A2:D500,4,FALSE))</f>
        <v>#N/A</v>
      </c>
      <c r="P175" s="55">
        <f>'QRA Models'!P306</f>
        <v>0</v>
      </c>
      <c r="Q175" s="22" t="e">
        <f>IF(LEN(VLOOKUP(P175,A2:D500,4,FALSE))=0,,VLOOKUP(P175,A2:D500,4,FALSE))</f>
        <v>#N/A</v>
      </c>
      <c r="R175" s="56">
        <f>'Health metrics Models'!Q289</f>
        <v>0</v>
      </c>
      <c r="S175" s="22" t="e">
        <f>IF(LEN(VLOOKUP(R175,A2:D500,4,FALSE))=0,,VLOOKUP(R175,A2:D500,4,FALSE))</f>
        <v>#N/A</v>
      </c>
      <c r="T175" s="56">
        <f>'Process Model'!P287</f>
        <v>0</v>
      </c>
      <c r="U175" s="22" t="e">
        <f>IF(LEN(VLOOKUP(T175,A2:D500,4,FALSE))=0,,VLOOKUP(T175,A2:D500,4,FALSE))</f>
        <v>#N/A</v>
      </c>
      <c r="V175" s="56">
        <f>'Toxicological reference value M'!P289</f>
        <v>0</v>
      </c>
      <c r="W175" s="22" t="e">
        <f>IF(LEN(VLOOKUP(V175,A2:D500,4,FALSE))=0,,VLOOKUP(V175,A2:D500,4,FALSE))</f>
        <v>#N/A</v>
      </c>
      <c r="Y175" s="56">
        <f>'Other Empirical Model'!P300</f>
        <v>0</v>
      </c>
      <c r="Z175" s="22" t="e">
        <f>IF(LEN(VLOOKUP(Y175,A2:D500,4,FALSE))=0,,VLOOKUP(Y175,A2:D500,4,FALSE))</f>
        <v>#N/A</v>
      </c>
      <c r="AA175" s="56">
        <f>'Predictive Model'!P287</f>
        <v>0</v>
      </c>
      <c r="AB175" s="22" t="e">
        <f>IF(LEN(VLOOKUP(AA175,A2:D500,4,FALSE))=0,,VLOOKUP(AA175,A2:D500,4,FALSE))</f>
        <v>#N/A</v>
      </c>
      <c r="AC175" s="56">
        <f>'Consumption Model'!P292</f>
        <v>0</v>
      </c>
      <c r="AD175" s="22" t="e">
        <f>IF(LEN(VLOOKUP(AC175,A2:D500,4,FALSE))=0,,VLOOKUP(AC175,A2:D500,4,FALSE))</f>
        <v>#N/A</v>
      </c>
      <c r="AE175" s="22">
        <f>'(Data)'!Q288</f>
        <v>0</v>
      </c>
      <c r="AF175" s="22" t="e">
        <f>IF(LEN(VLOOKUP(AE174:AE175,A2:D500,4,FALSE))=0,,VLOOKUP(AE174:AE175,A2:D500,4,FALSE))</f>
        <v>#N/A</v>
      </c>
      <c r="AH175" s="45">
        <f>'Risk Charact Model'!P306</f>
        <v>0</v>
      </c>
      <c r="AI175" s="58" t="e">
        <f>IF(LEN(VLOOKUP(AH175,A2:D500,4,FALSE))=0,,VLOOKUP(AH175,A2:D500,4,FALSE))</f>
        <v>#N/A</v>
      </c>
    </row>
    <row r="176" spans="9:35" ht="14" x14ac:dyDescent="0.3">
      <c r="I176" s="60">
        <f>'Generic Metadata Schema'!P306</f>
        <v>0</v>
      </c>
      <c r="J176" s="22" t="e">
        <f>IF(LEN(VLOOKUP(I176,A2:D500,4,FALSE))=0,"",VLOOKUP(I176,A2:D500,4,FALSE))</f>
        <v>#N/A</v>
      </c>
      <c r="L176" s="56">
        <f>'Dose-response Model'!O290</f>
        <v>0</v>
      </c>
      <c r="M176" s="22" t="e">
        <f>IF(LEN(VLOOKUP(L176,A2:D500,4,FALSE))=0,,VLOOKUP(L176,A2:D500,4,FALSE))</f>
        <v>#N/A</v>
      </c>
      <c r="N176" s="22">
        <f>'Exposure Model'!O307</f>
        <v>0</v>
      </c>
      <c r="O176" s="22" t="e">
        <f>IF(LEN(VLOOKUP(N176,A2:D500,4,FALSE))=0,,VLOOKUP(N176,A2:D500,4,FALSE))</f>
        <v>#N/A</v>
      </c>
      <c r="P176" s="55">
        <f>'QRA Models'!P307</f>
        <v>0</v>
      </c>
      <c r="Q176" s="22" t="e">
        <f>IF(LEN(VLOOKUP(P176,A2:D500,4,FALSE))=0,,VLOOKUP(P176,A2:D500,4,FALSE))</f>
        <v>#N/A</v>
      </c>
      <c r="R176" s="56">
        <f>'Health metrics Models'!Q290</f>
        <v>0</v>
      </c>
      <c r="S176" s="22" t="e">
        <f>IF(LEN(VLOOKUP(R176,A2:D500,4,FALSE))=0,,VLOOKUP(R176,A2:D500,4,FALSE))</f>
        <v>#N/A</v>
      </c>
      <c r="T176" s="56">
        <f>'Process Model'!P288</f>
        <v>0</v>
      </c>
      <c r="U176" s="22" t="e">
        <f>IF(LEN(VLOOKUP(T176,A2:D500,4,FALSE))=0,,VLOOKUP(T176,A2:D500,4,FALSE))</f>
        <v>#N/A</v>
      </c>
      <c r="V176" s="56">
        <f>'Toxicological reference value M'!P290</f>
        <v>0</v>
      </c>
      <c r="W176" s="22" t="e">
        <f>IF(LEN(VLOOKUP(V176,A2:D500,4,FALSE))=0,,VLOOKUP(V176,A2:D500,4,FALSE))</f>
        <v>#N/A</v>
      </c>
      <c r="Y176" s="56">
        <f>'Other Empirical Model'!P301</f>
        <v>0</v>
      </c>
      <c r="Z176" s="22" t="e">
        <f>IF(LEN(VLOOKUP(Y176,A2:D500,4,FALSE))=0,,VLOOKUP(Y176,A2:D500,4,FALSE))</f>
        <v>#N/A</v>
      </c>
      <c r="AA176" s="56">
        <f>'Predictive Model'!P288</f>
        <v>0</v>
      </c>
      <c r="AB176" s="22" t="e">
        <f>IF(LEN(VLOOKUP(AA176,A2:D500,4,FALSE))=0,,VLOOKUP(AA176,A2:D500,4,FALSE))</f>
        <v>#N/A</v>
      </c>
      <c r="AC176" s="56">
        <f>'Consumption Model'!P293</f>
        <v>0</v>
      </c>
      <c r="AD176" s="22" t="e">
        <f>IF(LEN(VLOOKUP(AC176,A2:D500,4,FALSE))=0,,VLOOKUP(AC176,A2:D500,4,FALSE))</f>
        <v>#N/A</v>
      </c>
      <c r="AE176" s="22">
        <f>'(Data)'!Q289</f>
        <v>0</v>
      </c>
      <c r="AF176" s="22" t="e">
        <f>IF(LEN(VLOOKUP(AE175:AE176,A2:D500,4,FALSE))=0,,VLOOKUP(AE175:AE176,A2:D500,4,FALSE))</f>
        <v>#N/A</v>
      </c>
      <c r="AH176" s="45">
        <f>'Risk Charact Model'!P307</f>
        <v>0</v>
      </c>
      <c r="AI176" s="58" t="e">
        <f>IF(LEN(VLOOKUP(AH176,A2:D500,4,FALSE))=0,,VLOOKUP(AH176,A2:D500,4,FALSE))</f>
        <v>#N/A</v>
      </c>
    </row>
    <row r="177" spans="9:35" ht="14" x14ac:dyDescent="0.3">
      <c r="I177" s="60">
        <f>'Generic Metadata Schema'!P307</f>
        <v>0</v>
      </c>
      <c r="J177" s="22" t="e">
        <f>IF(LEN(VLOOKUP(I177,A2:D500,4,FALSE))=0,"",VLOOKUP(I177,A2:D500,4,FALSE))</f>
        <v>#N/A</v>
      </c>
      <c r="L177" s="56">
        <f>'Dose-response Model'!O291</f>
        <v>0</v>
      </c>
      <c r="M177" s="22" t="e">
        <f>IF(LEN(VLOOKUP(L177,A2:D500,4,FALSE))=0,,VLOOKUP(L177,A2:D500,4,FALSE))</f>
        <v>#N/A</v>
      </c>
      <c r="N177" s="22">
        <f>'Exposure Model'!O308</f>
        <v>0</v>
      </c>
      <c r="O177" s="22" t="e">
        <f>IF(LEN(VLOOKUP(N177,A2:D500,4,FALSE))=0,,VLOOKUP(N177,A2:D500,4,FALSE))</f>
        <v>#N/A</v>
      </c>
      <c r="P177" s="55">
        <f>'QRA Models'!P308</f>
        <v>0</v>
      </c>
      <c r="Q177" s="22" t="e">
        <f>IF(LEN(VLOOKUP(P177,A2:D500,4,FALSE))=0,,VLOOKUP(P177,A2:D500,4,FALSE))</f>
        <v>#N/A</v>
      </c>
      <c r="R177" s="56">
        <f>'Health metrics Models'!Q291</f>
        <v>0</v>
      </c>
      <c r="S177" s="22" t="e">
        <f>IF(LEN(VLOOKUP(R177,A2:D500,4,FALSE))=0,,VLOOKUP(R177,A2:D500,4,FALSE))</f>
        <v>#N/A</v>
      </c>
      <c r="T177" s="56">
        <f>'Process Model'!P289</f>
        <v>0</v>
      </c>
      <c r="U177" s="22" t="e">
        <f>IF(LEN(VLOOKUP(T177,A2:D500,4,FALSE))=0,,VLOOKUP(T177,A2:D500,4,FALSE))</f>
        <v>#N/A</v>
      </c>
      <c r="V177" s="56">
        <f>'Toxicological reference value M'!P291</f>
        <v>0</v>
      </c>
      <c r="W177" s="22" t="e">
        <f>IF(LEN(VLOOKUP(V177,A2:D500,4,FALSE))=0,,VLOOKUP(V177,A2:D500,4,FALSE))</f>
        <v>#N/A</v>
      </c>
      <c r="Y177" s="56">
        <f>'Other Empirical Model'!P302</f>
        <v>0</v>
      </c>
      <c r="Z177" s="22" t="e">
        <f>IF(LEN(VLOOKUP(Y177,A2:D500,4,FALSE))=0,,VLOOKUP(Y177,A2:D500,4,FALSE))</f>
        <v>#N/A</v>
      </c>
      <c r="AA177" s="56">
        <f>'Predictive Model'!P289</f>
        <v>0</v>
      </c>
      <c r="AB177" s="22" t="e">
        <f>IF(LEN(VLOOKUP(AA177,A2:D500,4,FALSE))=0,,VLOOKUP(AA177,A2:D500,4,FALSE))</f>
        <v>#N/A</v>
      </c>
      <c r="AC177" s="56">
        <f>'Consumption Model'!P294</f>
        <v>0</v>
      </c>
      <c r="AD177" s="22" t="e">
        <f>IF(LEN(VLOOKUP(AC177,A2:D500,4,FALSE))=0,,VLOOKUP(AC177,A2:D500,4,FALSE))</f>
        <v>#N/A</v>
      </c>
      <c r="AE177" s="22">
        <f>'(Data)'!Q290</f>
        <v>0</v>
      </c>
      <c r="AF177" s="22" t="e">
        <f>IF(LEN(VLOOKUP(AE176:AE177,A2:D500,4,FALSE))=0,,VLOOKUP(AE176:AE177,A2:D500,4,FALSE))</f>
        <v>#N/A</v>
      </c>
      <c r="AH177" s="45">
        <f>'Risk Charact Model'!P308</f>
        <v>0</v>
      </c>
      <c r="AI177" s="58" t="e">
        <f>IF(LEN(VLOOKUP(AH177,A2:D500,4,FALSE))=0,,VLOOKUP(AH177,A2:D500,4,FALSE))</f>
        <v>#N/A</v>
      </c>
    </row>
    <row r="178" spans="9:35" ht="14" x14ac:dyDescent="0.3">
      <c r="I178" s="60">
        <f>'Generic Metadata Schema'!P308</f>
        <v>0</v>
      </c>
      <c r="J178" s="22" t="e">
        <f>IF(LEN(VLOOKUP(I178,A2:D500,4,FALSE))=0,"",VLOOKUP(I178,A2:D500,4,FALSE))</f>
        <v>#N/A</v>
      </c>
      <c r="L178" s="56">
        <f>'Dose-response Model'!O292</f>
        <v>0</v>
      </c>
      <c r="M178" s="22" t="e">
        <f>IF(LEN(VLOOKUP(L178,A2:D500,4,FALSE))=0,,VLOOKUP(L178,A2:D500,4,FALSE))</f>
        <v>#N/A</v>
      </c>
      <c r="N178" s="22">
        <f>'Exposure Model'!O309</f>
        <v>0</v>
      </c>
      <c r="O178" s="22" t="e">
        <f>IF(LEN(VLOOKUP(N178,A2:D500,4,FALSE))=0,,VLOOKUP(N178,A2:D500,4,FALSE))</f>
        <v>#N/A</v>
      </c>
      <c r="P178" s="55">
        <f>'QRA Models'!P309</f>
        <v>0</v>
      </c>
      <c r="Q178" s="22" t="e">
        <f>IF(LEN(VLOOKUP(P178,A2:D500,4,FALSE))=0,,VLOOKUP(P178,A2:D500,4,FALSE))</f>
        <v>#N/A</v>
      </c>
      <c r="R178" s="56">
        <f>'Health metrics Models'!Q292</f>
        <v>0</v>
      </c>
      <c r="S178" s="22" t="e">
        <f>IF(LEN(VLOOKUP(R178,A2:D500,4,FALSE))=0,,VLOOKUP(R178,A2:D500,4,FALSE))</f>
        <v>#N/A</v>
      </c>
      <c r="T178" s="56">
        <f>'Process Model'!P290</f>
        <v>0</v>
      </c>
      <c r="U178" s="22" t="e">
        <f>IF(LEN(VLOOKUP(T178,A2:D500,4,FALSE))=0,,VLOOKUP(T178,A2:D500,4,FALSE))</f>
        <v>#N/A</v>
      </c>
      <c r="V178" s="56">
        <f>'Toxicological reference value M'!P292</f>
        <v>0</v>
      </c>
      <c r="W178" s="22" t="e">
        <f>IF(LEN(VLOOKUP(V178,A2:D500,4,FALSE))=0,,VLOOKUP(V178,A2:D500,4,FALSE))</f>
        <v>#N/A</v>
      </c>
      <c r="Y178" s="56">
        <f>'Other Empirical Model'!P303</f>
        <v>0</v>
      </c>
      <c r="Z178" s="22" t="e">
        <f>IF(LEN(VLOOKUP(Y178,A2:D500,4,FALSE))=0,,VLOOKUP(Y178,A2:D500,4,FALSE))</f>
        <v>#N/A</v>
      </c>
      <c r="AA178" s="56">
        <f>'Predictive Model'!P290</f>
        <v>0</v>
      </c>
      <c r="AB178" s="22" t="e">
        <f>IF(LEN(VLOOKUP(AA178,A2:D500,4,FALSE))=0,,VLOOKUP(AA178,A2:D500,4,FALSE))</f>
        <v>#N/A</v>
      </c>
      <c r="AC178" s="56">
        <f>'Consumption Model'!P295</f>
        <v>0</v>
      </c>
      <c r="AD178" s="22" t="e">
        <f>IF(LEN(VLOOKUP(AC178,A2:D500,4,FALSE))=0,,VLOOKUP(AC178,A2:D500,4,FALSE))</f>
        <v>#N/A</v>
      </c>
      <c r="AE178" s="22">
        <f>'(Data)'!Q291</f>
        <v>0</v>
      </c>
      <c r="AF178" s="22" t="e">
        <f>IF(LEN(VLOOKUP(AE177:AE178,A2:D500,4,FALSE))=0,,VLOOKUP(AE177:AE178,A2:D500,4,FALSE))</f>
        <v>#N/A</v>
      </c>
      <c r="AH178" s="45">
        <f>'Risk Charact Model'!P309</f>
        <v>0</v>
      </c>
      <c r="AI178" s="58" t="e">
        <f>IF(LEN(VLOOKUP(AH178,A2:D500,4,FALSE))=0,,VLOOKUP(AH178,A2:D500,4,FALSE))</f>
        <v>#N/A</v>
      </c>
    </row>
    <row r="179" spans="9:35" ht="14" x14ac:dyDescent="0.3">
      <c r="I179" s="60">
        <f>'Generic Metadata Schema'!P309</f>
        <v>0</v>
      </c>
      <c r="J179" s="22" t="e">
        <f>IF(LEN(VLOOKUP(I179,A2:D500,4,FALSE))=0,"",VLOOKUP(I179,A2:D500,4,FALSE))</f>
        <v>#N/A</v>
      </c>
      <c r="L179" s="56">
        <f>'Dose-response Model'!O293</f>
        <v>0</v>
      </c>
      <c r="M179" s="22" t="e">
        <f>IF(LEN(VLOOKUP(L179,A2:D500,4,FALSE))=0,,VLOOKUP(L179,A2:D500,4,FALSE))</f>
        <v>#N/A</v>
      </c>
      <c r="N179" s="22">
        <f>'Exposure Model'!O310</f>
        <v>0</v>
      </c>
      <c r="O179" s="22" t="e">
        <f>IF(LEN(VLOOKUP(N179,A2:D500,4,FALSE))=0,,VLOOKUP(N179,A2:D500,4,FALSE))</f>
        <v>#N/A</v>
      </c>
      <c r="P179" s="55">
        <f>'QRA Models'!P310</f>
        <v>0</v>
      </c>
      <c r="Q179" s="22" t="e">
        <f>IF(LEN(VLOOKUP(P179,A2:D500,4,FALSE))=0,,VLOOKUP(P179,A2:D500,4,FALSE))</f>
        <v>#N/A</v>
      </c>
      <c r="R179" s="56">
        <f>'Health metrics Models'!Q293</f>
        <v>0</v>
      </c>
      <c r="S179" s="22" t="e">
        <f>IF(LEN(VLOOKUP(R179,A2:D500,4,FALSE))=0,,VLOOKUP(R179,A2:D500,4,FALSE))</f>
        <v>#N/A</v>
      </c>
      <c r="T179" s="56">
        <f>'Process Model'!P291</f>
        <v>0</v>
      </c>
      <c r="U179" s="22" t="e">
        <f>IF(LEN(VLOOKUP(T179,A2:D500,4,FALSE))=0,,VLOOKUP(T179,A2:D500,4,FALSE))</f>
        <v>#N/A</v>
      </c>
      <c r="V179" s="56">
        <f>'Toxicological reference value M'!P293</f>
        <v>0</v>
      </c>
      <c r="W179" s="22" t="e">
        <f>IF(LEN(VLOOKUP(V179,A2:D500,4,FALSE))=0,,VLOOKUP(V179,A2:D500,4,FALSE))</f>
        <v>#N/A</v>
      </c>
      <c r="Y179" s="56">
        <f>'Other Empirical Model'!P304</f>
        <v>0</v>
      </c>
      <c r="Z179" s="22" t="e">
        <f>IF(LEN(VLOOKUP(Y179,A2:D500,4,FALSE))=0,,VLOOKUP(Y179,A2:D500,4,FALSE))</f>
        <v>#N/A</v>
      </c>
      <c r="AA179" s="56">
        <f>'Predictive Model'!P291</f>
        <v>0</v>
      </c>
      <c r="AB179" s="22" t="e">
        <f>IF(LEN(VLOOKUP(AA179,A2:D500,4,FALSE))=0,,VLOOKUP(AA179,A2:D500,4,FALSE))</f>
        <v>#N/A</v>
      </c>
      <c r="AC179" s="56">
        <f>'Consumption Model'!P296</f>
        <v>0</v>
      </c>
      <c r="AD179" s="22" t="e">
        <f>IF(LEN(VLOOKUP(AC179,A2:D500,4,FALSE))=0,,VLOOKUP(AC179,A2:D500,4,FALSE))</f>
        <v>#N/A</v>
      </c>
      <c r="AE179" s="22">
        <f>'(Data)'!Q292</f>
        <v>0</v>
      </c>
      <c r="AF179" s="22" t="e">
        <f>IF(LEN(VLOOKUP(AE178:AE179,A2:D500,4,FALSE))=0,,VLOOKUP(AE178:AE179,A2:D500,4,FALSE))</f>
        <v>#N/A</v>
      </c>
      <c r="AH179" s="45">
        <f>'Risk Charact Model'!P310</f>
        <v>0</v>
      </c>
      <c r="AI179" s="58" t="e">
        <f>IF(LEN(VLOOKUP(AH179,A2:D500,4,FALSE))=0,,VLOOKUP(AH179,A2:D500,4,FALSE))</f>
        <v>#N/A</v>
      </c>
    </row>
    <row r="180" spans="9:35" ht="14" x14ac:dyDescent="0.3">
      <c r="I180" s="60">
        <f>'Generic Metadata Schema'!P310</f>
        <v>0</v>
      </c>
      <c r="J180" s="22" t="e">
        <f>IF(LEN(VLOOKUP(I180,A2:D500,4,FALSE))=0,"",VLOOKUP(I180,A2:D500,4,FALSE))</f>
        <v>#N/A</v>
      </c>
      <c r="L180" s="56">
        <f>'Dose-response Model'!O294</f>
        <v>0</v>
      </c>
      <c r="M180" s="22" t="e">
        <f>IF(LEN(VLOOKUP(L180,A2:D500,4,FALSE))=0,,VLOOKUP(L180,A2:D500,4,FALSE))</f>
        <v>#N/A</v>
      </c>
      <c r="N180" s="22">
        <f>'Exposure Model'!O311</f>
        <v>0</v>
      </c>
      <c r="O180" s="22" t="e">
        <f>IF(LEN(VLOOKUP(N180,A2:D500,4,FALSE))=0,,VLOOKUP(N180,A2:D500,4,FALSE))</f>
        <v>#N/A</v>
      </c>
      <c r="P180" s="55">
        <f>'QRA Models'!P311</f>
        <v>0</v>
      </c>
      <c r="Q180" s="22" t="e">
        <f>IF(LEN(VLOOKUP(P180,A2:D500,4,FALSE))=0,,VLOOKUP(P180,A2:D500,4,FALSE))</f>
        <v>#N/A</v>
      </c>
      <c r="R180" s="56">
        <f>'Health metrics Models'!Q294</f>
        <v>0</v>
      </c>
      <c r="S180" s="22" t="e">
        <f>IF(LEN(VLOOKUP(R180,A2:D500,4,FALSE))=0,,VLOOKUP(R180,A2:D500,4,FALSE))</f>
        <v>#N/A</v>
      </c>
      <c r="T180" s="56">
        <f>'Process Model'!P292</f>
        <v>0</v>
      </c>
      <c r="U180" s="22" t="e">
        <f>IF(LEN(VLOOKUP(T180,A2:D500,4,FALSE))=0,,VLOOKUP(T180,A2:D500,4,FALSE))</f>
        <v>#N/A</v>
      </c>
      <c r="V180" s="56">
        <f>'Toxicological reference value M'!P294</f>
        <v>0</v>
      </c>
      <c r="W180" s="22" t="e">
        <f>IF(LEN(VLOOKUP(V180,A2:D500,4,FALSE))=0,,VLOOKUP(V180,A2:D500,4,FALSE))</f>
        <v>#N/A</v>
      </c>
      <c r="Y180" s="56">
        <f>'Other Empirical Model'!P305</f>
        <v>0</v>
      </c>
      <c r="Z180" s="22" t="e">
        <f>IF(LEN(VLOOKUP(Y180,A2:D500,4,FALSE))=0,,VLOOKUP(Y180,A2:D500,4,FALSE))</f>
        <v>#N/A</v>
      </c>
      <c r="AA180" s="56">
        <f>'Predictive Model'!P292</f>
        <v>0</v>
      </c>
      <c r="AB180" s="22" t="e">
        <f>IF(LEN(VLOOKUP(AA180,A2:D500,4,FALSE))=0,,VLOOKUP(AA180,A2:D500,4,FALSE))</f>
        <v>#N/A</v>
      </c>
      <c r="AC180" s="56">
        <f>'Consumption Model'!P297</f>
        <v>0</v>
      </c>
      <c r="AD180" s="22" t="e">
        <f>IF(LEN(VLOOKUP(AC180,A2:D500,4,FALSE))=0,,VLOOKUP(AC180,A2:D500,4,FALSE))</f>
        <v>#N/A</v>
      </c>
      <c r="AE180" s="22">
        <f>'(Data)'!Q293</f>
        <v>0</v>
      </c>
      <c r="AF180" s="22" t="e">
        <f>IF(LEN(VLOOKUP(AE179:AE180,A2:D500,4,FALSE))=0,,VLOOKUP(AE179:AE180,A2:D500,4,FALSE))</f>
        <v>#N/A</v>
      </c>
      <c r="AH180" s="45">
        <f>'Risk Charact Model'!P311</f>
        <v>0</v>
      </c>
      <c r="AI180" s="58" t="e">
        <f>IF(LEN(VLOOKUP(AH180,A2:D500,4,FALSE))=0,,VLOOKUP(AH180,A2:D500,4,FALSE))</f>
        <v>#N/A</v>
      </c>
    </row>
    <row r="181" spans="9:35" ht="14" x14ac:dyDescent="0.3">
      <c r="I181" s="60">
        <f>'Generic Metadata Schema'!P311</f>
        <v>0</v>
      </c>
      <c r="J181" s="22" t="e">
        <f>IF(LEN(VLOOKUP(I181,A2:D500,4,FALSE))=0,"",VLOOKUP(I181,A2:D500,4,FALSE))</f>
        <v>#N/A</v>
      </c>
      <c r="L181" s="56">
        <f>'Dose-response Model'!O295</f>
        <v>0</v>
      </c>
      <c r="M181" s="22" t="e">
        <f>IF(LEN(VLOOKUP(L181,A2:D500,4,FALSE))=0,,VLOOKUP(L181,A2:D500,4,FALSE))</f>
        <v>#N/A</v>
      </c>
      <c r="N181" s="22">
        <f>'Exposure Model'!O312</f>
        <v>0</v>
      </c>
      <c r="O181" s="22" t="e">
        <f>IF(LEN(VLOOKUP(N181,A2:D500,4,FALSE))=0,,VLOOKUP(N181,A2:D500,4,FALSE))</f>
        <v>#N/A</v>
      </c>
      <c r="P181" s="55">
        <f>'QRA Models'!P312</f>
        <v>0</v>
      </c>
      <c r="Q181" s="22" t="e">
        <f>IF(LEN(VLOOKUP(P181,A2:D500,4,FALSE))=0,,VLOOKUP(P181,A2:D500,4,FALSE))</f>
        <v>#N/A</v>
      </c>
      <c r="R181" s="56">
        <f>'Health metrics Models'!Q295</f>
        <v>0</v>
      </c>
      <c r="S181" s="22" t="e">
        <f>IF(LEN(VLOOKUP(R181,A2:D500,4,FALSE))=0,,VLOOKUP(R181,A2:D500,4,FALSE))</f>
        <v>#N/A</v>
      </c>
      <c r="T181" s="56">
        <f>'Process Model'!P293</f>
        <v>0</v>
      </c>
      <c r="U181" s="22" t="e">
        <f>IF(LEN(VLOOKUP(T181,A2:D500,4,FALSE))=0,,VLOOKUP(T181,A2:D500,4,FALSE))</f>
        <v>#N/A</v>
      </c>
      <c r="V181" s="56">
        <f>'Toxicological reference value M'!P295</f>
        <v>0</v>
      </c>
      <c r="W181" s="22" t="e">
        <f>IF(LEN(VLOOKUP(V181,A2:D500,4,FALSE))=0,,VLOOKUP(V181,A2:D500,4,FALSE))</f>
        <v>#N/A</v>
      </c>
      <c r="Y181" s="56">
        <f>'Other Empirical Model'!P306</f>
        <v>0</v>
      </c>
      <c r="Z181" s="22" t="e">
        <f>IF(LEN(VLOOKUP(Y181,A2:D500,4,FALSE))=0,,VLOOKUP(Y181,A2:D500,4,FALSE))</f>
        <v>#N/A</v>
      </c>
      <c r="AA181" s="56">
        <f>'Predictive Model'!P293</f>
        <v>0</v>
      </c>
      <c r="AB181" s="22" t="e">
        <f>IF(LEN(VLOOKUP(AA181,A2:D500,4,FALSE))=0,,VLOOKUP(AA181,A2:D500,4,FALSE))</f>
        <v>#N/A</v>
      </c>
      <c r="AC181" s="56">
        <f>'Consumption Model'!P298</f>
        <v>0</v>
      </c>
      <c r="AD181" s="22" t="e">
        <f>IF(LEN(VLOOKUP(AC181,A2:D500,4,FALSE))=0,,VLOOKUP(AC181,A2:D500,4,FALSE))</f>
        <v>#N/A</v>
      </c>
      <c r="AE181" s="22">
        <f>'(Data)'!Q294</f>
        <v>0</v>
      </c>
      <c r="AF181" s="22" t="e">
        <f>IF(LEN(VLOOKUP(AE180:AE181,A2:D500,4,FALSE))=0,,VLOOKUP(AE180:AE181,A2:D500,4,FALSE))</f>
        <v>#N/A</v>
      </c>
      <c r="AH181" s="45">
        <f>'Risk Charact Model'!P312</f>
        <v>0</v>
      </c>
      <c r="AI181" s="58" t="e">
        <f>IF(LEN(VLOOKUP(AH181,A2:D500,4,FALSE))=0,,VLOOKUP(AH181,A2:D500,4,FALSE))</f>
        <v>#N/A</v>
      </c>
    </row>
    <row r="182" spans="9:35" ht="14" x14ac:dyDescent="0.3">
      <c r="I182" s="60">
        <f>'Generic Metadata Schema'!P312</f>
        <v>0</v>
      </c>
      <c r="J182" s="22" t="e">
        <f>IF(LEN(VLOOKUP(I182,A2:D500,4,FALSE))=0,"",VLOOKUP(I182,A2:D500,4,FALSE))</f>
        <v>#N/A</v>
      </c>
      <c r="L182" s="56">
        <f>'Dose-response Model'!O296</f>
        <v>0</v>
      </c>
      <c r="M182" s="22" t="e">
        <f>IF(LEN(VLOOKUP(L182,A2:D500,4,FALSE))=0,,VLOOKUP(L182,A2:D500,4,FALSE))</f>
        <v>#N/A</v>
      </c>
      <c r="N182" s="22">
        <f>'Exposure Model'!O313</f>
        <v>0</v>
      </c>
      <c r="O182" s="22" t="e">
        <f>IF(LEN(VLOOKUP(N182,A2:D500,4,FALSE))=0,,VLOOKUP(N182,A2:D500,4,FALSE))</f>
        <v>#N/A</v>
      </c>
      <c r="P182" s="55">
        <f>'QRA Models'!P313</f>
        <v>0</v>
      </c>
      <c r="Q182" s="22" t="e">
        <f>IF(LEN(VLOOKUP(P182,A2:D500,4,FALSE))=0,,VLOOKUP(P182,A2:D500,4,FALSE))</f>
        <v>#N/A</v>
      </c>
      <c r="R182" s="56">
        <f>'Health metrics Models'!Q296</f>
        <v>0</v>
      </c>
      <c r="S182" s="22" t="e">
        <f>IF(LEN(VLOOKUP(R182,A2:D500,4,FALSE))=0,,VLOOKUP(R182,A2:D500,4,FALSE))</f>
        <v>#N/A</v>
      </c>
      <c r="T182" s="56">
        <f>'Process Model'!P294</f>
        <v>0</v>
      </c>
      <c r="U182" s="22" t="e">
        <f>IF(LEN(VLOOKUP(T182,A2:D500,4,FALSE))=0,,VLOOKUP(T182,A2:D500,4,FALSE))</f>
        <v>#N/A</v>
      </c>
      <c r="V182" s="56">
        <f>'Toxicological reference value M'!P296</f>
        <v>0</v>
      </c>
      <c r="W182" s="22" t="e">
        <f>IF(LEN(VLOOKUP(V182,A2:D500,4,FALSE))=0,,VLOOKUP(V182,A2:D500,4,FALSE))</f>
        <v>#N/A</v>
      </c>
      <c r="Y182" s="56">
        <f>'Other Empirical Model'!P307</f>
        <v>0</v>
      </c>
      <c r="Z182" s="22" t="e">
        <f>IF(LEN(VLOOKUP(Y182,A2:D500,4,FALSE))=0,,VLOOKUP(Y182,A2:D500,4,FALSE))</f>
        <v>#N/A</v>
      </c>
      <c r="AA182" s="56">
        <f>'Predictive Model'!P294</f>
        <v>0</v>
      </c>
      <c r="AB182" s="22" t="e">
        <f>IF(LEN(VLOOKUP(AA182,A2:D500,4,FALSE))=0,,VLOOKUP(AA182,A2:D500,4,FALSE))</f>
        <v>#N/A</v>
      </c>
      <c r="AC182" s="56">
        <f>'Consumption Model'!P299</f>
        <v>0</v>
      </c>
      <c r="AD182" s="22" t="e">
        <f>IF(LEN(VLOOKUP(AC182,A2:D500,4,FALSE))=0,,VLOOKUP(AC182,A2:D500,4,FALSE))</f>
        <v>#N/A</v>
      </c>
      <c r="AE182" s="22">
        <f>'(Data)'!Q295</f>
        <v>0</v>
      </c>
      <c r="AF182" s="22" t="e">
        <f>IF(LEN(VLOOKUP(AE181:AE182,A2:D500,4,FALSE))=0,,VLOOKUP(AE181:AE182,A2:D500,4,FALSE))</f>
        <v>#N/A</v>
      </c>
      <c r="AH182" s="45">
        <f>'Risk Charact Model'!P313</f>
        <v>0</v>
      </c>
      <c r="AI182" s="58" t="e">
        <f>IF(LEN(VLOOKUP(AH182,A2:D500,4,FALSE))=0,,VLOOKUP(AH182,A2:D500,4,FALSE))</f>
        <v>#N/A</v>
      </c>
    </row>
    <row r="183" spans="9:35" ht="14" x14ac:dyDescent="0.3">
      <c r="I183" s="60">
        <f>'Generic Metadata Schema'!P313</f>
        <v>0</v>
      </c>
      <c r="J183" s="22" t="e">
        <f>IF(LEN(VLOOKUP(I183,A2:D500,4,FALSE))=0,"",VLOOKUP(I183,A2:D500,4,FALSE))</f>
        <v>#N/A</v>
      </c>
      <c r="L183" s="56">
        <f>'Dose-response Model'!O297</f>
        <v>0</v>
      </c>
      <c r="M183" s="22" t="e">
        <f>IF(LEN(VLOOKUP(L183,A2:D500,4,FALSE))=0,,VLOOKUP(L183,A2:D500,4,FALSE))</f>
        <v>#N/A</v>
      </c>
      <c r="N183" s="22">
        <f>'Exposure Model'!O314</f>
        <v>0</v>
      </c>
      <c r="O183" s="22" t="e">
        <f>IF(LEN(VLOOKUP(N183,A2:D500,4,FALSE))=0,,VLOOKUP(N183,A2:D500,4,FALSE))</f>
        <v>#N/A</v>
      </c>
      <c r="P183" s="55">
        <f>'QRA Models'!P314</f>
        <v>0</v>
      </c>
      <c r="Q183" s="22" t="e">
        <f>IF(LEN(VLOOKUP(P183,A2:D500,4,FALSE))=0,,VLOOKUP(P183,A2:D500,4,FALSE))</f>
        <v>#N/A</v>
      </c>
      <c r="R183" s="56">
        <f>'Health metrics Models'!Q297</f>
        <v>0</v>
      </c>
      <c r="S183" s="22" t="e">
        <f>IF(LEN(VLOOKUP(R183,A2:D500,4,FALSE))=0,,VLOOKUP(R183,A2:D500,4,FALSE))</f>
        <v>#N/A</v>
      </c>
      <c r="T183" s="56">
        <f>'Process Model'!P295</f>
        <v>0</v>
      </c>
      <c r="U183" s="22" t="e">
        <f>IF(LEN(VLOOKUP(T183,A2:D500,4,FALSE))=0,,VLOOKUP(T183,A2:D500,4,FALSE))</f>
        <v>#N/A</v>
      </c>
      <c r="V183" s="56">
        <f>'Toxicological reference value M'!P297</f>
        <v>0</v>
      </c>
      <c r="W183" s="22" t="e">
        <f>IF(LEN(VLOOKUP(V183,A2:D500,4,FALSE))=0,,VLOOKUP(V183,A2:D500,4,FALSE))</f>
        <v>#N/A</v>
      </c>
      <c r="Y183" s="56">
        <f>'Other Empirical Model'!P308</f>
        <v>0</v>
      </c>
      <c r="Z183" s="22" t="e">
        <f>IF(LEN(VLOOKUP(Y183,A2:D500,4,FALSE))=0,,VLOOKUP(Y183,A2:D500,4,FALSE))</f>
        <v>#N/A</v>
      </c>
      <c r="AA183" s="56">
        <f>'Predictive Model'!P295</f>
        <v>0</v>
      </c>
      <c r="AB183" s="22" t="e">
        <f>IF(LEN(VLOOKUP(AA183,A2:D500,4,FALSE))=0,,VLOOKUP(AA183,A2:D500,4,FALSE))</f>
        <v>#N/A</v>
      </c>
      <c r="AC183" s="56">
        <f>'Consumption Model'!P300</f>
        <v>0</v>
      </c>
      <c r="AD183" s="22" t="e">
        <f>IF(LEN(VLOOKUP(AC183,A2:D500,4,FALSE))=0,,VLOOKUP(AC183,A2:D500,4,FALSE))</f>
        <v>#N/A</v>
      </c>
      <c r="AE183" s="22">
        <f>'(Data)'!Q296</f>
        <v>0</v>
      </c>
      <c r="AF183" s="22" t="e">
        <f>IF(LEN(VLOOKUP(AE182:AE183,A2:D500,4,FALSE))=0,,VLOOKUP(AE182:AE183,A2:D500,4,FALSE))</f>
        <v>#N/A</v>
      </c>
      <c r="AH183" s="45">
        <f>'Risk Charact Model'!P314</f>
        <v>0</v>
      </c>
      <c r="AI183" s="58" t="e">
        <f>IF(LEN(VLOOKUP(AH183,A2:D500,4,FALSE))=0,,VLOOKUP(AH183,A2:D500,4,FALSE))</f>
        <v>#N/A</v>
      </c>
    </row>
    <row r="184" spans="9:35" ht="14" x14ac:dyDescent="0.3">
      <c r="I184" s="60">
        <f>'Generic Metadata Schema'!P314</f>
        <v>0</v>
      </c>
      <c r="J184" s="22" t="e">
        <f>IF(LEN(VLOOKUP(I184,A2:D500,4,FALSE))=0,"",VLOOKUP(I184,A2:D500,4,FALSE))</f>
        <v>#N/A</v>
      </c>
      <c r="L184" s="56">
        <f>'Dose-response Model'!O298</f>
        <v>0</v>
      </c>
      <c r="M184" s="22" t="e">
        <f>IF(LEN(VLOOKUP(L184,A2:D500,4,FALSE))=0,,VLOOKUP(L184,A2:D500,4,FALSE))</f>
        <v>#N/A</v>
      </c>
      <c r="N184" s="22">
        <f>'Exposure Model'!O315</f>
        <v>0</v>
      </c>
      <c r="O184" s="22" t="e">
        <f>IF(LEN(VLOOKUP(N184,A2:D500,4,FALSE))=0,,VLOOKUP(N184,A2:D500,4,FALSE))</f>
        <v>#N/A</v>
      </c>
      <c r="P184" s="55">
        <f>'QRA Models'!P315</f>
        <v>0</v>
      </c>
      <c r="Q184" s="22" t="e">
        <f>IF(LEN(VLOOKUP(P184,A2:D500,4,FALSE))=0,,VLOOKUP(P184,A2:D500,4,FALSE))</f>
        <v>#N/A</v>
      </c>
      <c r="R184" s="56">
        <f>'Health metrics Models'!Q298</f>
        <v>0</v>
      </c>
      <c r="S184" s="22" t="e">
        <f>IF(LEN(VLOOKUP(R184,A2:D500,4,FALSE))=0,,VLOOKUP(R184,A2:D500,4,FALSE))</f>
        <v>#N/A</v>
      </c>
      <c r="T184" s="56">
        <f>'Process Model'!P296</f>
        <v>0</v>
      </c>
      <c r="U184" s="22" t="e">
        <f>IF(LEN(VLOOKUP(T184,A2:D500,4,FALSE))=0,,VLOOKUP(T184,A2:D500,4,FALSE))</f>
        <v>#N/A</v>
      </c>
      <c r="V184" s="56">
        <f>'Toxicological reference value M'!P298</f>
        <v>0</v>
      </c>
      <c r="W184" s="22" t="e">
        <f>IF(LEN(VLOOKUP(V184,A2:D500,4,FALSE))=0,,VLOOKUP(V184,A2:D500,4,FALSE))</f>
        <v>#N/A</v>
      </c>
      <c r="Y184" s="56">
        <f>'Other Empirical Model'!P309</f>
        <v>0</v>
      </c>
      <c r="Z184" s="22" t="e">
        <f>IF(LEN(VLOOKUP(Y184,A2:D500,4,FALSE))=0,,VLOOKUP(Y184,A2:D500,4,FALSE))</f>
        <v>#N/A</v>
      </c>
      <c r="AA184" s="56">
        <f>'Predictive Model'!P296</f>
        <v>0</v>
      </c>
      <c r="AB184" s="22" t="e">
        <f>IF(LEN(VLOOKUP(AA184,A2:D500,4,FALSE))=0,,VLOOKUP(AA184,A2:D500,4,FALSE))</f>
        <v>#N/A</v>
      </c>
      <c r="AC184" s="56">
        <f>'Consumption Model'!P301</f>
        <v>0</v>
      </c>
      <c r="AD184" s="22" t="e">
        <f>IF(LEN(VLOOKUP(AC184,A2:D500,4,FALSE))=0,,VLOOKUP(AC184,A2:D500,4,FALSE))</f>
        <v>#N/A</v>
      </c>
      <c r="AE184" s="22">
        <f>'(Data)'!Q297</f>
        <v>0</v>
      </c>
      <c r="AF184" s="22" t="e">
        <f>IF(LEN(VLOOKUP(AE183:AE184,A2:D500,4,FALSE))=0,,VLOOKUP(AE183:AE184,A2:D500,4,FALSE))</f>
        <v>#N/A</v>
      </c>
      <c r="AH184" s="45">
        <f>'Risk Charact Model'!P315</f>
        <v>0</v>
      </c>
      <c r="AI184" s="58" t="e">
        <f>IF(LEN(VLOOKUP(AH184,A2:D500,4,FALSE))=0,,VLOOKUP(AH184,A2:D500,4,FALSE))</f>
        <v>#N/A</v>
      </c>
    </row>
    <row r="185" spans="9:35" ht="14" x14ac:dyDescent="0.3">
      <c r="I185" s="60">
        <f>'Generic Metadata Schema'!P315</f>
        <v>0</v>
      </c>
      <c r="J185" s="22" t="e">
        <f>IF(LEN(VLOOKUP(I185,A2:D500,4,FALSE))=0,"",VLOOKUP(I185,A2:D500,4,FALSE))</f>
        <v>#N/A</v>
      </c>
      <c r="L185" s="56">
        <f>'Dose-response Model'!O299</f>
        <v>0</v>
      </c>
      <c r="M185" s="22" t="e">
        <f>IF(LEN(VLOOKUP(L185,A2:D500,4,FALSE))=0,,VLOOKUP(L185,A2:D500,4,FALSE))</f>
        <v>#N/A</v>
      </c>
      <c r="N185" s="22">
        <f>'Exposure Model'!O316</f>
        <v>0</v>
      </c>
      <c r="O185" s="22" t="e">
        <f>IF(LEN(VLOOKUP(N185,A2:D500,4,FALSE))=0,,VLOOKUP(N185,A2:D500,4,FALSE))</f>
        <v>#N/A</v>
      </c>
      <c r="P185" s="55">
        <f>'QRA Models'!P316</f>
        <v>0</v>
      </c>
      <c r="Q185" s="22" t="e">
        <f>IF(LEN(VLOOKUP(P185,A2:D500,4,FALSE))=0,,VLOOKUP(P185,A2:D500,4,FALSE))</f>
        <v>#N/A</v>
      </c>
      <c r="R185" s="56">
        <f>'Health metrics Models'!Q299</f>
        <v>0</v>
      </c>
      <c r="S185" s="22" t="e">
        <f>IF(LEN(VLOOKUP(R185,A2:D500,4,FALSE))=0,,VLOOKUP(R185,A2:D500,4,FALSE))</f>
        <v>#N/A</v>
      </c>
      <c r="T185" s="56">
        <f>'Process Model'!P297</f>
        <v>0</v>
      </c>
      <c r="U185" s="22" t="e">
        <f>IF(LEN(VLOOKUP(T185,A2:D500,4,FALSE))=0,,VLOOKUP(T185,A2:D500,4,FALSE))</f>
        <v>#N/A</v>
      </c>
      <c r="V185" s="56">
        <f>'Toxicological reference value M'!P299</f>
        <v>0</v>
      </c>
      <c r="W185" s="22" t="e">
        <f>IF(LEN(VLOOKUP(V185,A2:D500,4,FALSE))=0,,VLOOKUP(V185,A2:D500,4,FALSE))</f>
        <v>#N/A</v>
      </c>
      <c r="Y185" s="56">
        <f>'Other Empirical Model'!P310</f>
        <v>0</v>
      </c>
      <c r="Z185" s="22" t="e">
        <f>IF(LEN(VLOOKUP(Y185,A2:D500,4,FALSE))=0,,VLOOKUP(Y185,A2:D500,4,FALSE))</f>
        <v>#N/A</v>
      </c>
      <c r="AA185" s="56">
        <f>'Predictive Model'!P297</f>
        <v>0</v>
      </c>
      <c r="AB185" s="22" t="e">
        <f>IF(LEN(VLOOKUP(AA185,A2:D500,4,FALSE))=0,,VLOOKUP(AA185,A2:D500,4,FALSE))</f>
        <v>#N/A</v>
      </c>
      <c r="AC185" s="56">
        <f>'Consumption Model'!P302</f>
        <v>0</v>
      </c>
      <c r="AD185" s="22" t="e">
        <f>IF(LEN(VLOOKUP(AC185,A2:D500,4,FALSE))=0,,VLOOKUP(AC185,A2:D500,4,FALSE))</f>
        <v>#N/A</v>
      </c>
      <c r="AE185" s="22">
        <f>'(Data)'!Q298</f>
        <v>0</v>
      </c>
      <c r="AF185" s="22" t="e">
        <f>IF(LEN(VLOOKUP(AE184:AE185,A2:D500,4,FALSE))=0,,VLOOKUP(AE184:AE185,A2:D500,4,FALSE))</f>
        <v>#N/A</v>
      </c>
      <c r="AH185" s="45">
        <f>'Risk Charact Model'!P316</f>
        <v>0</v>
      </c>
      <c r="AI185" s="58" t="e">
        <f>IF(LEN(VLOOKUP(AH185,A2:D500,4,FALSE))=0,,VLOOKUP(AH185,A2:D500,4,FALSE))</f>
        <v>#N/A</v>
      </c>
    </row>
    <row r="186" spans="9:35" ht="14" x14ac:dyDescent="0.3">
      <c r="I186" s="60">
        <f>'Generic Metadata Schema'!P316</f>
        <v>0</v>
      </c>
      <c r="J186" s="22" t="e">
        <f>IF(LEN(VLOOKUP(I186,A2:D500,4,FALSE))=0,"",VLOOKUP(I186,A2:D500,4,FALSE))</f>
        <v>#N/A</v>
      </c>
      <c r="L186" s="56">
        <f>'Dose-response Model'!O300</f>
        <v>0</v>
      </c>
      <c r="M186" s="22" t="e">
        <f>IF(LEN(VLOOKUP(L186,A2:D500,4,FALSE))=0,,VLOOKUP(L186,A2:D500,4,FALSE))</f>
        <v>#N/A</v>
      </c>
      <c r="N186" s="22">
        <f>'Exposure Model'!O317</f>
        <v>0</v>
      </c>
      <c r="O186" s="22" t="e">
        <f>IF(LEN(VLOOKUP(N186,A2:D500,4,FALSE))=0,,VLOOKUP(N186,A2:D500,4,FALSE))</f>
        <v>#N/A</v>
      </c>
      <c r="P186" s="55">
        <f>'QRA Models'!P317</f>
        <v>0</v>
      </c>
      <c r="Q186" s="22" t="e">
        <f>IF(LEN(VLOOKUP(P186,A2:D500,4,FALSE))=0,,VLOOKUP(P186,A2:D500,4,FALSE))</f>
        <v>#N/A</v>
      </c>
      <c r="R186" s="56">
        <f>'Health metrics Models'!Q300</f>
        <v>0</v>
      </c>
      <c r="S186" s="22" t="e">
        <f>IF(LEN(VLOOKUP(R186,A2:D500,4,FALSE))=0,,VLOOKUP(R186,A2:D500,4,FALSE))</f>
        <v>#N/A</v>
      </c>
      <c r="T186" s="56">
        <f>'Process Model'!P298</f>
        <v>0</v>
      </c>
      <c r="U186" s="22" t="e">
        <f>IF(LEN(VLOOKUP(T186,A2:D500,4,FALSE))=0,,VLOOKUP(T186,A2:D500,4,FALSE))</f>
        <v>#N/A</v>
      </c>
      <c r="V186" s="56">
        <f>'Toxicological reference value M'!P300</f>
        <v>0</v>
      </c>
      <c r="W186" s="22" t="e">
        <f>IF(LEN(VLOOKUP(V186,A2:D500,4,FALSE))=0,,VLOOKUP(V186,A2:D500,4,FALSE))</f>
        <v>#N/A</v>
      </c>
      <c r="Y186" s="56">
        <f>'Other Empirical Model'!P311</f>
        <v>0</v>
      </c>
      <c r="Z186" s="22" t="e">
        <f>IF(LEN(VLOOKUP(Y186,A2:D500,4,FALSE))=0,,VLOOKUP(Y186,A2:D500,4,FALSE))</f>
        <v>#N/A</v>
      </c>
      <c r="AA186" s="56">
        <f>'Predictive Model'!P298</f>
        <v>0</v>
      </c>
      <c r="AB186" s="22" t="e">
        <f>IF(LEN(VLOOKUP(AA186,A2:D500,4,FALSE))=0,,VLOOKUP(AA186,A2:D500,4,FALSE))</f>
        <v>#N/A</v>
      </c>
      <c r="AC186" s="56">
        <f>'Consumption Model'!P303</f>
        <v>0</v>
      </c>
      <c r="AD186" s="22" t="e">
        <f>IF(LEN(VLOOKUP(AC186,A2:D500,4,FALSE))=0,,VLOOKUP(AC186,A2:D500,4,FALSE))</f>
        <v>#N/A</v>
      </c>
      <c r="AE186" s="22">
        <f>'(Data)'!Q299</f>
        <v>0</v>
      </c>
      <c r="AF186" s="22" t="e">
        <f>IF(LEN(VLOOKUP(AE185:AE186,A2:D500,4,FALSE))=0,,VLOOKUP(AE185:AE186,A2:D500,4,FALSE))</f>
        <v>#N/A</v>
      </c>
      <c r="AH186" s="45">
        <f>'Risk Charact Model'!P317</f>
        <v>0</v>
      </c>
      <c r="AI186" s="58" t="e">
        <f>IF(LEN(VLOOKUP(AH186,A2:D500,4,FALSE))=0,,VLOOKUP(AH186,A2:D500,4,FALSE))</f>
        <v>#N/A</v>
      </c>
    </row>
    <row r="187" spans="9:35" ht="14" x14ac:dyDescent="0.3">
      <c r="I187" s="60">
        <f>'Generic Metadata Schema'!P317</f>
        <v>0</v>
      </c>
      <c r="J187" s="22" t="e">
        <f>IF(LEN(VLOOKUP(I187,A2:D500,4,FALSE))=0,"",VLOOKUP(I187,A2:D500,4,FALSE))</f>
        <v>#N/A</v>
      </c>
      <c r="L187" s="56">
        <f>'Dose-response Model'!O301</f>
        <v>0</v>
      </c>
      <c r="M187" s="22" t="e">
        <f>IF(LEN(VLOOKUP(L187,A2:D500,4,FALSE))=0,,VLOOKUP(L187,A2:D500,4,FALSE))</f>
        <v>#N/A</v>
      </c>
      <c r="N187" s="22">
        <f>'Exposure Model'!O318</f>
        <v>0</v>
      </c>
      <c r="O187" s="22" t="e">
        <f>IF(LEN(VLOOKUP(N187,A2:D500,4,FALSE))=0,,VLOOKUP(N187,A2:D500,4,FALSE))</f>
        <v>#N/A</v>
      </c>
      <c r="P187" s="55">
        <f>'QRA Models'!P318</f>
        <v>0</v>
      </c>
      <c r="Q187" s="22" t="e">
        <f>IF(LEN(VLOOKUP(P187,A2:D500,4,FALSE))=0,,VLOOKUP(P187,A2:D500,4,FALSE))</f>
        <v>#N/A</v>
      </c>
      <c r="R187" s="56">
        <f>'Health metrics Models'!Q301</f>
        <v>0</v>
      </c>
      <c r="S187" s="22" t="e">
        <f>IF(LEN(VLOOKUP(R187,A2:D500,4,FALSE))=0,,VLOOKUP(R187,A2:D500,4,FALSE))</f>
        <v>#N/A</v>
      </c>
      <c r="T187" s="56">
        <f>'Process Model'!P299</f>
        <v>0</v>
      </c>
      <c r="U187" s="22" t="e">
        <f>IF(LEN(VLOOKUP(T187,A2:D500,4,FALSE))=0,,VLOOKUP(T187,A2:D500,4,FALSE))</f>
        <v>#N/A</v>
      </c>
      <c r="V187" s="56">
        <f>'Toxicological reference value M'!P301</f>
        <v>0</v>
      </c>
      <c r="W187" s="22" t="e">
        <f>IF(LEN(VLOOKUP(V187,A2:D500,4,FALSE))=0,,VLOOKUP(V187,A2:D500,4,FALSE))</f>
        <v>#N/A</v>
      </c>
      <c r="Y187" s="56">
        <f>'Other Empirical Model'!P312</f>
        <v>0</v>
      </c>
      <c r="Z187" s="22" t="e">
        <f>IF(LEN(VLOOKUP(Y187,A2:D500,4,FALSE))=0,,VLOOKUP(Y187,A2:D500,4,FALSE))</f>
        <v>#N/A</v>
      </c>
      <c r="AA187" s="56">
        <f>'Predictive Model'!P299</f>
        <v>0</v>
      </c>
      <c r="AB187" s="22" t="e">
        <f>IF(LEN(VLOOKUP(AA187,A2:D500,4,FALSE))=0,,VLOOKUP(AA187,A2:D500,4,FALSE))</f>
        <v>#N/A</v>
      </c>
      <c r="AC187" s="56">
        <f>'Consumption Model'!P304</f>
        <v>0</v>
      </c>
      <c r="AD187" s="22" t="e">
        <f>IF(LEN(VLOOKUP(AC187,A2:D500,4,FALSE))=0,,VLOOKUP(AC187,A2:D500,4,FALSE))</f>
        <v>#N/A</v>
      </c>
      <c r="AE187" s="22">
        <f>'(Data)'!Q300</f>
        <v>0</v>
      </c>
      <c r="AF187" s="22" t="e">
        <f>IF(LEN(VLOOKUP(AE186:AE187,A2:D500,4,FALSE))=0,,VLOOKUP(AE186:AE187,A2:D500,4,FALSE))</f>
        <v>#N/A</v>
      </c>
      <c r="AH187" s="45">
        <f>'Risk Charact Model'!P318</f>
        <v>0</v>
      </c>
      <c r="AI187" s="58" t="e">
        <f>IF(LEN(VLOOKUP(AH187,A2:D500,4,FALSE))=0,,VLOOKUP(AH187,A2:D500,4,FALSE))</f>
        <v>#N/A</v>
      </c>
    </row>
    <row r="188" spans="9:35" ht="14" x14ac:dyDescent="0.3">
      <c r="I188" s="60">
        <f>'Generic Metadata Schema'!P318</f>
        <v>0</v>
      </c>
      <c r="J188" s="22" t="e">
        <f>IF(LEN(VLOOKUP(I188,A2:D500,4,FALSE))=0,"",VLOOKUP(I188,A2:D500,4,FALSE))</f>
        <v>#N/A</v>
      </c>
      <c r="L188" s="56">
        <f>'Dose-response Model'!O302</f>
        <v>0</v>
      </c>
      <c r="M188" s="22" t="e">
        <f>IF(LEN(VLOOKUP(L188,A2:D500,4,FALSE))=0,,VLOOKUP(L188,A2:D500,4,FALSE))</f>
        <v>#N/A</v>
      </c>
      <c r="N188" s="22">
        <f>'Exposure Model'!O319</f>
        <v>0</v>
      </c>
      <c r="O188" s="22" t="e">
        <f>IF(LEN(VLOOKUP(N188,A2:D500,4,FALSE))=0,,VLOOKUP(N188,A2:D500,4,FALSE))</f>
        <v>#N/A</v>
      </c>
      <c r="P188" s="55">
        <f>'QRA Models'!P319</f>
        <v>0</v>
      </c>
      <c r="Q188" s="22" t="e">
        <f>IF(LEN(VLOOKUP(P188,A2:D500,4,FALSE))=0,,VLOOKUP(P188,A2:D500,4,FALSE))</f>
        <v>#N/A</v>
      </c>
      <c r="R188" s="56">
        <f>'Health metrics Models'!Q302</f>
        <v>0</v>
      </c>
      <c r="S188" s="22" t="e">
        <f>IF(LEN(VLOOKUP(R188,A2:D500,4,FALSE))=0,,VLOOKUP(R188,A2:D500,4,FALSE))</f>
        <v>#N/A</v>
      </c>
      <c r="T188" s="56">
        <f>'Process Model'!P300</f>
        <v>0</v>
      </c>
      <c r="U188" s="22" t="e">
        <f>IF(LEN(VLOOKUP(T188,A2:D500,4,FALSE))=0,,VLOOKUP(T188,A2:D500,4,FALSE))</f>
        <v>#N/A</v>
      </c>
      <c r="V188" s="56">
        <f>'Toxicological reference value M'!P302</f>
        <v>0</v>
      </c>
      <c r="W188" s="22" t="e">
        <f>IF(LEN(VLOOKUP(V188,A2:D500,4,FALSE))=0,,VLOOKUP(V188,A2:D500,4,FALSE))</f>
        <v>#N/A</v>
      </c>
      <c r="Y188" s="56">
        <f>'Other Empirical Model'!P313</f>
        <v>0</v>
      </c>
      <c r="Z188" s="22" t="e">
        <f>IF(LEN(VLOOKUP(Y188,A2:D500,4,FALSE))=0,,VLOOKUP(Y188,A2:D500,4,FALSE))</f>
        <v>#N/A</v>
      </c>
      <c r="AA188" s="56">
        <f>'Predictive Model'!P300</f>
        <v>0</v>
      </c>
      <c r="AB188" s="22" t="e">
        <f>IF(LEN(VLOOKUP(AA188,A2:D500,4,FALSE))=0,,VLOOKUP(AA188,A2:D500,4,FALSE))</f>
        <v>#N/A</v>
      </c>
      <c r="AC188" s="56">
        <f>'Consumption Model'!P305</f>
        <v>0</v>
      </c>
      <c r="AD188" s="22" t="e">
        <f>IF(LEN(VLOOKUP(AC188,A2:D500,4,FALSE))=0,,VLOOKUP(AC188,A2:D500,4,FALSE))</f>
        <v>#N/A</v>
      </c>
      <c r="AE188" s="22">
        <f>'(Data)'!Q301</f>
        <v>0</v>
      </c>
      <c r="AF188" s="22" t="e">
        <f>IF(LEN(VLOOKUP(AE187:AE188,A2:D500,4,FALSE))=0,,VLOOKUP(AE187:AE188,A2:D500,4,FALSE))</f>
        <v>#N/A</v>
      </c>
      <c r="AH188" s="45">
        <f>'Risk Charact Model'!P319</f>
        <v>0</v>
      </c>
      <c r="AI188" s="58" t="e">
        <f>IF(LEN(VLOOKUP(AH188,A2:D500,4,FALSE))=0,,VLOOKUP(AH188,A2:D500,4,FALSE))</f>
        <v>#N/A</v>
      </c>
    </row>
    <row r="189" spans="9:35" ht="14" x14ac:dyDescent="0.3">
      <c r="I189" s="60">
        <f>'Generic Metadata Schema'!P319</f>
        <v>0</v>
      </c>
      <c r="J189" s="22" t="e">
        <f>IF(LEN(VLOOKUP(I189,A2:D500,4,FALSE))=0,"",VLOOKUP(I189,A2:D500,4,FALSE))</f>
        <v>#N/A</v>
      </c>
      <c r="L189" s="56">
        <f>'Dose-response Model'!O303</f>
        <v>0</v>
      </c>
      <c r="M189" s="22" t="e">
        <f>IF(LEN(VLOOKUP(L189,A2:D500,4,FALSE))=0,,VLOOKUP(L189,A2:D500,4,FALSE))</f>
        <v>#N/A</v>
      </c>
      <c r="N189" s="22">
        <f>'Exposure Model'!O320</f>
        <v>0</v>
      </c>
      <c r="O189" s="22" t="e">
        <f>IF(LEN(VLOOKUP(N189,A2:D500,4,FALSE))=0,,VLOOKUP(N189,A2:D500,4,FALSE))</f>
        <v>#N/A</v>
      </c>
      <c r="P189" s="55">
        <f>'QRA Models'!P320</f>
        <v>0</v>
      </c>
      <c r="Q189" s="22" t="e">
        <f>IF(LEN(VLOOKUP(P189,A2:D500,4,FALSE))=0,,VLOOKUP(P189,A2:D500,4,FALSE))</f>
        <v>#N/A</v>
      </c>
      <c r="R189" s="56">
        <f>'Health metrics Models'!Q303</f>
        <v>0</v>
      </c>
      <c r="S189" s="22" t="e">
        <f>IF(LEN(VLOOKUP(R189,A2:D500,4,FALSE))=0,,VLOOKUP(R189,A2:D500,4,FALSE))</f>
        <v>#N/A</v>
      </c>
      <c r="T189" s="56">
        <f>'Process Model'!P301</f>
        <v>0</v>
      </c>
      <c r="U189" s="22" t="e">
        <f>IF(LEN(VLOOKUP(T189,A2:D500,4,FALSE))=0,,VLOOKUP(T189,A2:D500,4,FALSE))</f>
        <v>#N/A</v>
      </c>
      <c r="V189" s="56">
        <f>'Toxicological reference value M'!P303</f>
        <v>0</v>
      </c>
      <c r="W189" s="22" t="e">
        <f>IF(LEN(VLOOKUP(V189,A2:D500,4,FALSE))=0,,VLOOKUP(V189,A2:D500,4,FALSE))</f>
        <v>#N/A</v>
      </c>
      <c r="Y189" s="56">
        <f>'Other Empirical Model'!P314</f>
        <v>0</v>
      </c>
      <c r="Z189" s="22" t="e">
        <f>IF(LEN(VLOOKUP(Y189,A2:D500,4,FALSE))=0,,VLOOKUP(Y189,A2:D500,4,FALSE))</f>
        <v>#N/A</v>
      </c>
      <c r="AA189" s="56">
        <f>'Predictive Model'!P301</f>
        <v>0</v>
      </c>
      <c r="AB189" s="22" t="e">
        <f>IF(LEN(VLOOKUP(AA189,A2:D500,4,FALSE))=0,,VLOOKUP(AA189,A2:D500,4,FALSE))</f>
        <v>#N/A</v>
      </c>
      <c r="AC189" s="56">
        <f>'Consumption Model'!P306</f>
        <v>0</v>
      </c>
      <c r="AD189" s="22" t="e">
        <f>IF(LEN(VLOOKUP(AC189,A2:D500,4,FALSE))=0,,VLOOKUP(AC189,A2:D500,4,FALSE))</f>
        <v>#N/A</v>
      </c>
      <c r="AE189" s="22">
        <f>'(Data)'!Q302</f>
        <v>0</v>
      </c>
      <c r="AF189" s="22" t="e">
        <f>IF(LEN(VLOOKUP(AE188:AE189,A2:D500,4,FALSE))=0,,VLOOKUP(AE188:AE189,A2:D500,4,FALSE))</f>
        <v>#N/A</v>
      </c>
      <c r="AH189" s="45">
        <f>'Risk Charact Model'!P320</f>
        <v>0</v>
      </c>
      <c r="AI189" s="58" t="e">
        <f>IF(LEN(VLOOKUP(AH189,A2:D500,4,FALSE))=0,,VLOOKUP(AH189,A2:D500,4,FALSE))</f>
        <v>#N/A</v>
      </c>
    </row>
    <row r="190" spans="9:35" ht="14" x14ac:dyDescent="0.3">
      <c r="I190" s="60">
        <f>'Generic Metadata Schema'!P320</f>
        <v>0</v>
      </c>
      <c r="J190" s="22" t="e">
        <f>IF(LEN(VLOOKUP(I190,A2:D500,4,FALSE))=0,"",VLOOKUP(I190,A2:D500,4,FALSE))</f>
        <v>#N/A</v>
      </c>
      <c r="L190" s="56">
        <f>'Dose-response Model'!O304</f>
        <v>0</v>
      </c>
      <c r="M190" s="22" t="e">
        <f>IF(LEN(VLOOKUP(L190,A2:D500,4,FALSE))=0,,VLOOKUP(L190,A2:D500,4,FALSE))</f>
        <v>#N/A</v>
      </c>
      <c r="N190" s="22">
        <f>'Exposure Model'!O321</f>
        <v>0</v>
      </c>
      <c r="O190" s="22" t="e">
        <f>IF(LEN(VLOOKUP(N190,A2:D500,4,FALSE))=0,,VLOOKUP(N190,A2:D500,4,FALSE))</f>
        <v>#N/A</v>
      </c>
      <c r="P190" s="55">
        <f>'QRA Models'!P321</f>
        <v>0</v>
      </c>
      <c r="Q190" s="22" t="e">
        <f>IF(LEN(VLOOKUP(P190,A2:D500,4,FALSE))=0,,VLOOKUP(P190,A2:D500,4,FALSE))</f>
        <v>#N/A</v>
      </c>
      <c r="R190" s="56">
        <f>'Health metrics Models'!Q304</f>
        <v>0</v>
      </c>
      <c r="S190" s="22" t="e">
        <f>IF(LEN(VLOOKUP(R190,A2:D500,4,FALSE))=0,,VLOOKUP(R190,A2:D500,4,FALSE))</f>
        <v>#N/A</v>
      </c>
      <c r="T190" s="56">
        <f>'Process Model'!P302</f>
        <v>0</v>
      </c>
      <c r="U190" s="22" t="e">
        <f>IF(LEN(VLOOKUP(T190,A2:D500,4,FALSE))=0,,VLOOKUP(T190,A2:D500,4,FALSE))</f>
        <v>#N/A</v>
      </c>
      <c r="V190" s="56">
        <f>'Toxicological reference value M'!P304</f>
        <v>0</v>
      </c>
      <c r="W190" s="22" t="e">
        <f>IF(LEN(VLOOKUP(V190,A2:D500,4,FALSE))=0,,VLOOKUP(V190,A2:D500,4,FALSE))</f>
        <v>#N/A</v>
      </c>
      <c r="Y190" s="56">
        <f>'Other Empirical Model'!P315</f>
        <v>0</v>
      </c>
      <c r="Z190" s="22" t="e">
        <f>IF(LEN(VLOOKUP(Y190,A2:D500,4,FALSE))=0,,VLOOKUP(Y190,A2:D500,4,FALSE))</f>
        <v>#N/A</v>
      </c>
      <c r="AA190" s="56">
        <f>'Predictive Model'!P302</f>
        <v>0</v>
      </c>
      <c r="AB190" s="22" t="e">
        <f>IF(LEN(VLOOKUP(AA190,A2:D500,4,FALSE))=0,,VLOOKUP(AA190,A2:D500,4,FALSE))</f>
        <v>#N/A</v>
      </c>
      <c r="AC190" s="56">
        <f>'Consumption Model'!P307</f>
        <v>0</v>
      </c>
      <c r="AD190" s="22" t="e">
        <f>IF(LEN(VLOOKUP(AC190,A2:D500,4,FALSE))=0,,VLOOKUP(AC190,A2:D500,4,FALSE))</f>
        <v>#N/A</v>
      </c>
      <c r="AE190" s="22">
        <f>'(Data)'!Q303</f>
        <v>0</v>
      </c>
      <c r="AF190" s="22" t="e">
        <f>IF(LEN(VLOOKUP(AE189:AE190,A2:D500,4,FALSE))=0,,VLOOKUP(AE189:AE190,A2:D500,4,FALSE))</f>
        <v>#N/A</v>
      </c>
      <c r="AH190" s="45">
        <f>'Risk Charact Model'!P321</f>
        <v>0</v>
      </c>
      <c r="AI190" s="58" t="e">
        <f>IF(LEN(VLOOKUP(AH190,A2:D500,4,FALSE))=0,,VLOOKUP(AH190,A2:D500,4,FALSE))</f>
        <v>#N/A</v>
      </c>
    </row>
    <row r="191" spans="9:35" ht="14" x14ac:dyDescent="0.3">
      <c r="I191" s="60">
        <f>'Generic Metadata Schema'!P321</f>
        <v>0</v>
      </c>
      <c r="J191" s="22" t="e">
        <f>IF(LEN(VLOOKUP(I191,A2:D500,4,FALSE))=0,"",VLOOKUP(I191,A2:D500,4,FALSE))</f>
        <v>#N/A</v>
      </c>
      <c r="L191" s="56">
        <f>'Dose-response Model'!O305</f>
        <v>0</v>
      </c>
      <c r="M191" s="22" t="e">
        <f>IF(LEN(VLOOKUP(L191,A2:D500,4,FALSE))=0,,VLOOKUP(L191,A2:D500,4,FALSE))</f>
        <v>#N/A</v>
      </c>
      <c r="N191" s="22">
        <f>'Exposure Model'!O322</f>
        <v>0</v>
      </c>
      <c r="O191" s="22" t="e">
        <f>IF(LEN(VLOOKUP(N191,A2:D500,4,FALSE))=0,,VLOOKUP(N191,A2:D500,4,FALSE))</f>
        <v>#N/A</v>
      </c>
      <c r="P191" s="55">
        <f>'QRA Models'!P322</f>
        <v>0</v>
      </c>
      <c r="Q191" s="22" t="e">
        <f>IF(LEN(VLOOKUP(P191,A2:D500,4,FALSE))=0,,VLOOKUP(P191,A2:D500,4,FALSE))</f>
        <v>#N/A</v>
      </c>
      <c r="R191" s="56">
        <f>'Health metrics Models'!Q305</f>
        <v>0</v>
      </c>
      <c r="S191" s="22" t="e">
        <f>IF(LEN(VLOOKUP(R191,A2:D500,4,FALSE))=0,,VLOOKUP(R191,A2:D500,4,FALSE))</f>
        <v>#N/A</v>
      </c>
      <c r="T191" s="56">
        <f>'Process Model'!P303</f>
        <v>0</v>
      </c>
      <c r="U191" s="22" t="e">
        <f>IF(LEN(VLOOKUP(T191,A2:D500,4,FALSE))=0,,VLOOKUP(T191,A2:D500,4,FALSE))</f>
        <v>#N/A</v>
      </c>
      <c r="V191" s="56">
        <f>'Toxicological reference value M'!P305</f>
        <v>0</v>
      </c>
      <c r="W191" s="22" t="e">
        <f>IF(LEN(VLOOKUP(V191,A2:D500,4,FALSE))=0,,VLOOKUP(V191,A2:D500,4,FALSE))</f>
        <v>#N/A</v>
      </c>
      <c r="Y191" s="56">
        <f>'Other Empirical Model'!P316</f>
        <v>0</v>
      </c>
      <c r="Z191" s="22" t="e">
        <f>IF(LEN(VLOOKUP(Y191,A2:D500,4,FALSE))=0,,VLOOKUP(Y191,A2:D500,4,FALSE))</f>
        <v>#N/A</v>
      </c>
      <c r="AA191" s="56">
        <f>'Predictive Model'!P303</f>
        <v>0</v>
      </c>
      <c r="AB191" s="22" t="e">
        <f>IF(LEN(VLOOKUP(AA191,A2:D500,4,FALSE))=0,,VLOOKUP(AA191,A2:D500,4,FALSE))</f>
        <v>#N/A</v>
      </c>
      <c r="AC191" s="56">
        <f>'Consumption Model'!P308</f>
        <v>0</v>
      </c>
      <c r="AD191" s="22" t="e">
        <f>IF(LEN(VLOOKUP(AC191,A2:D500,4,FALSE))=0,,VLOOKUP(AC191,A2:D500,4,FALSE))</f>
        <v>#N/A</v>
      </c>
      <c r="AE191" s="22">
        <f>'(Data)'!Q304</f>
        <v>0</v>
      </c>
      <c r="AF191" s="22" t="e">
        <f>IF(LEN(VLOOKUP(AE190:AE191,A2:D500,4,FALSE))=0,,VLOOKUP(AE190:AE191,A2:D500,4,FALSE))</f>
        <v>#N/A</v>
      </c>
      <c r="AH191" s="45">
        <f>'Risk Charact Model'!P322</f>
        <v>0</v>
      </c>
      <c r="AI191" s="58" t="e">
        <f>IF(LEN(VLOOKUP(AH191,A2:D500,4,FALSE))=0,,VLOOKUP(AH191,A2:D500,4,FALSE))</f>
        <v>#N/A</v>
      </c>
    </row>
    <row r="192" spans="9:35" ht="14" x14ac:dyDescent="0.3">
      <c r="I192" s="60">
        <f>'Generic Metadata Schema'!P322</f>
        <v>0</v>
      </c>
      <c r="J192" s="22" t="e">
        <f>IF(LEN(VLOOKUP(I192,A2:D500,4,FALSE))=0,"",VLOOKUP(I192,A2:D500,4,FALSE))</f>
        <v>#N/A</v>
      </c>
      <c r="L192" s="56">
        <f>'Dose-response Model'!O306</f>
        <v>0</v>
      </c>
      <c r="M192" s="22" t="e">
        <f>IF(LEN(VLOOKUP(L192,A2:D500,4,FALSE))=0,,VLOOKUP(L192,A2:D500,4,FALSE))</f>
        <v>#N/A</v>
      </c>
      <c r="N192" s="22">
        <f>'Exposure Model'!O323</f>
        <v>0</v>
      </c>
      <c r="O192" s="22" t="e">
        <f>IF(LEN(VLOOKUP(N192,A2:D500,4,FALSE))=0,,VLOOKUP(N192,A2:D500,4,FALSE))</f>
        <v>#N/A</v>
      </c>
      <c r="P192" s="55">
        <f>'QRA Models'!P323</f>
        <v>0</v>
      </c>
      <c r="Q192" s="22" t="e">
        <f>IF(LEN(VLOOKUP(P192,A2:D500,4,FALSE))=0,,VLOOKUP(P192,A2:D500,4,FALSE))</f>
        <v>#N/A</v>
      </c>
      <c r="R192" s="56">
        <f>'Health metrics Models'!Q306</f>
        <v>0</v>
      </c>
      <c r="S192" s="22" t="e">
        <f>IF(LEN(VLOOKUP(R192,A2:D500,4,FALSE))=0,,VLOOKUP(R192,A2:D500,4,FALSE))</f>
        <v>#N/A</v>
      </c>
      <c r="T192" s="56">
        <f>'Process Model'!P304</f>
        <v>0</v>
      </c>
      <c r="U192" s="22" t="e">
        <f>IF(LEN(VLOOKUP(T192,A2:D500,4,FALSE))=0,,VLOOKUP(T192,A2:D500,4,FALSE))</f>
        <v>#N/A</v>
      </c>
      <c r="V192" s="56">
        <f>'Toxicological reference value M'!P306</f>
        <v>0</v>
      </c>
      <c r="W192" s="22" t="e">
        <f>IF(LEN(VLOOKUP(V192,A2:D500,4,FALSE))=0,,VLOOKUP(V192,A2:D500,4,FALSE))</f>
        <v>#N/A</v>
      </c>
      <c r="Y192" s="56">
        <f>'Other Empirical Model'!P317</f>
        <v>0</v>
      </c>
      <c r="Z192" s="22" t="e">
        <f>IF(LEN(VLOOKUP(Y192,A2:D500,4,FALSE))=0,,VLOOKUP(Y192,A2:D500,4,FALSE))</f>
        <v>#N/A</v>
      </c>
      <c r="AA192" s="56">
        <f>'Predictive Model'!P304</f>
        <v>0</v>
      </c>
      <c r="AB192" s="22" t="e">
        <f>IF(LEN(VLOOKUP(AA192,A2:D500,4,FALSE))=0,,VLOOKUP(AA192,A2:D500,4,FALSE))</f>
        <v>#N/A</v>
      </c>
      <c r="AC192" s="56">
        <f>'Consumption Model'!P309</f>
        <v>0</v>
      </c>
      <c r="AD192" s="22" t="e">
        <f>IF(LEN(VLOOKUP(AC192,A2:D500,4,FALSE))=0,,VLOOKUP(AC192,A2:D500,4,FALSE))</f>
        <v>#N/A</v>
      </c>
      <c r="AE192" s="22">
        <f>'(Data)'!Q305</f>
        <v>0</v>
      </c>
      <c r="AF192" s="22" t="e">
        <f>IF(LEN(VLOOKUP(AE191:AE192,A2:D500,4,FALSE))=0,,VLOOKUP(AE191:AE192,A2:D500,4,FALSE))</f>
        <v>#N/A</v>
      </c>
      <c r="AH192" s="45">
        <f>'Risk Charact Model'!P323</f>
        <v>0</v>
      </c>
      <c r="AI192" s="58" t="e">
        <f>IF(LEN(VLOOKUP(AH192,A2:D500,4,FALSE))=0,,VLOOKUP(AH192,A2:D500,4,FALSE))</f>
        <v>#N/A</v>
      </c>
    </row>
    <row r="193" spans="9:35" ht="14" x14ac:dyDescent="0.3">
      <c r="I193" s="60">
        <f>'Generic Metadata Schema'!P323</f>
        <v>0</v>
      </c>
      <c r="J193" s="22" t="e">
        <f>IF(LEN(VLOOKUP(I193,A2:D500,4,FALSE))=0,"",VLOOKUP(I193,A2:D500,4,FALSE))</f>
        <v>#N/A</v>
      </c>
      <c r="L193" s="56">
        <f>'Dose-response Model'!O307</f>
        <v>0</v>
      </c>
      <c r="M193" s="22" t="e">
        <f>IF(LEN(VLOOKUP(L193,A2:D500,4,FALSE))=0,,VLOOKUP(L193,A2:D500,4,FALSE))</f>
        <v>#N/A</v>
      </c>
      <c r="N193" s="22">
        <f>'Exposure Model'!O324</f>
        <v>0</v>
      </c>
      <c r="O193" s="22" t="e">
        <f>IF(LEN(VLOOKUP(N193,A2:D500,4,FALSE))=0,,VLOOKUP(N193,A2:D500,4,FALSE))</f>
        <v>#N/A</v>
      </c>
      <c r="P193" s="55">
        <f>'QRA Models'!P324</f>
        <v>0</v>
      </c>
      <c r="Q193" s="22" t="e">
        <f>IF(LEN(VLOOKUP(P193,A2:D500,4,FALSE))=0,,VLOOKUP(P193,A2:D500,4,FALSE))</f>
        <v>#N/A</v>
      </c>
      <c r="R193" s="56">
        <f>'Health metrics Models'!Q307</f>
        <v>0</v>
      </c>
      <c r="S193" s="22" t="e">
        <f>IF(LEN(VLOOKUP(R193,A2:D500,4,FALSE))=0,,VLOOKUP(R193,A2:D500,4,FALSE))</f>
        <v>#N/A</v>
      </c>
      <c r="T193" s="56">
        <f>'Process Model'!P305</f>
        <v>0</v>
      </c>
      <c r="U193" s="22" t="e">
        <f>IF(LEN(VLOOKUP(T193,A2:D500,4,FALSE))=0,,VLOOKUP(T193,A2:D500,4,FALSE))</f>
        <v>#N/A</v>
      </c>
      <c r="V193" s="56">
        <f>'Toxicological reference value M'!P307</f>
        <v>0</v>
      </c>
      <c r="W193" s="22" t="e">
        <f>IF(LEN(VLOOKUP(V193,A2:D500,4,FALSE))=0,,VLOOKUP(V193,A2:D500,4,FALSE))</f>
        <v>#N/A</v>
      </c>
      <c r="Y193" s="56">
        <f>'Other Empirical Model'!P318</f>
        <v>0</v>
      </c>
      <c r="Z193" s="22" t="e">
        <f>IF(LEN(VLOOKUP(Y193,A2:D500,4,FALSE))=0,,VLOOKUP(Y193,A2:D500,4,FALSE))</f>
        <v>#N/A</v>
      </c>
      <c r="AA193" s="56">
        <f>'Predictive Model'!P305</f>
        <v>0</v>
      </c>
      <c r="AB193" s="22" t="e">
        <f>IF(LEN(VLOOKUP(AA193,A2:D500,4,FALSE))=0,,VLOOKUP(AA193,A2:D500,4,FALSE))</f>
        <v>#N/A</v>
      </c>
      <c r="AC193" s="56">
        <f>'Consumption Model'!P310</f>
        <v>0</v>
      </c>
      <c r="AD193" s="22" t="e">
        <f>IF(LEN(VLOOKUP(AC193,A2:D500,4,FALSE))=0,,VLOOKUP(AC193,A2:D500,4,FALSE))</f>
        <v>#N/A</v>
      </c>
      <c r="AE193" s="22">
        <f>'(Data)'!Q306</f>
        <v>0</v>
      </c>
      <c r="AF193" s="22" t="e">
        <f>IF(LEN(VLOOKUP(AE192:AE193,A2:D500,4,FALSE))=0,,VLOOKUP(AE192:AE193,A2:D500,4,FALSE))</f>
        <v>#N/A</v>
      </c>
      <c r="AH193" s="45">
        <f>'Risk Charact Model'!P324</f>
        <v>0</v>
      </c>
      <c r="AI193" s="58" t="e">
        <f>IF(LEN(VLOOKUP(AH193,A2:D500,4,FALSE))=0,,VLOOKUP(AH193,A2:D500,4,FALSE))</f>
        <v>#N/A</v>
      </c>
    </row>
    <row r="194" spans="9:35" ht="14" x14ac:dyDescent="0.3">
      <c r="I194" s="60">
        <f>'Generic Metadata Schema'!P324</f>
        <v>0</v>
      </c>
      <c r="J194" s="22" t="e">
        <f>IF(LEN(VLOOKUP(I194,A2:D500,4,FALSE))=0,"",VLOOKUP(I194,A2:D500,4,FALSE))</f>
        <v>#N/A</v>
      </c>
      <c r="L194" s="56">
        <f>'Dose-response Model'!O308</f>
        <v>0</v>
      </c>
      <c r="M194" s="22" t="e">
        <f>IF(LEN(VLOOKUP(L194,A2:D500,4,FALSE))=0,,VLOOKUP(L194,A2:D500,4,FALSE))</f>
        <v>#N/A</v>
      </c>
      <c r="N194" s="22">
        <f>'Exposure Model'!O325</f>
        <v>0</v>
      </c>
      <c r="O194" s="22" t="e">
        <f>IF(LEN(VLOOKUP(N194,A2:D500,4,FALSE))=0,,VLOOKUP(N194,A2:D500,4,FALSE))</f>
        <v>#N/A</v>
      </c>
      <c r="P194" s="55">
        <f>'QRA Models'!P325</f>
        <v>0</v>
      </c>
      <c r="Q194" s="22" t="e">
        <f>IF(LEN(VLOOKUP(P194,A2:D500,4,FALSE))=0,,VLOOKUP(P194,A2:D500,4,FALSE))</f>
        <v>#N/A</v>
      </c>
      <c r="R194" s="56">
        <f>'Health metrics Models'!Q308</f>
        <v>0</v>
      </c>
      <c r="S194" s="22" t="e">
        <f>IF(LEN(VLOOKUP(R194,A2:D500,4,FALSE))=0,,VLOOKUP(R194,A2:D500,4,FALSE))</f>
        <v>#N/A</v>
      </c>
      <c r="T194" s="56">
        <f>'Process Model'!P306</f>
        <v>0</v>
      </c>
      <c r="U194" s="22" t="e">
        <f>IF(LEN(VLOOKUP(T194,A2:D500,4,FALSE))=0,,VLOOKUP(T194,A2:D500,4,FALSE))</f>
        <v>#N/A</v>
      </c>
      <c r="V194" s="56">
        <f>'Toxicological reference value M'!P308</f>
        <v>0</v>
      </c>
      <c r="W194" s="22" t="e">
        <f>IF(LEN(VLOOKUP(V194,A2:D500,4,FALSE))=0,,VLOOKUP(V194,A2:D500,4,FALSE))</f>
        <v>#N/A</v>
      </c>
      <c r="Y194" s="56">
        <f>'Other Empirical Model'!P319</f>
        <v>0</v>
      </c>
      <c r="Z194" s="22" t="e">
        <f>IF(LEN(VLOOKUP(Y194,A2:D500,4,FALSE))=0,,VLOOKUP(Y194,A2:D500,4,FALSE))</f>
        <v>#N/A</v>
      </c>
      <c r="AA194" s="56">
        <f>'Predictive Model'!P306</f>
        <v>0</v>
      </c>
      <c r="AB194" s="22" t="e">
        <f>IF(LEN(VLOOKUP(AA194,A2:D500,4,FALSE))=0,,VLOOKUP(AA194,A2:D500,4,FALSE))</f>
        <v>#N/A</v>
      </c>
      <c r="AC194" s="56">
        <f>'Consumption Model'!P311</f>
        <v>0</v>
      </c>
      <c r="AD194" s="22" t="e">
        <f>IF(LEN(VLOOKUP(AC194,A2:D500,4,FALSE))=0,,VLOOKUP(AC194,A2:D500,4,FALSE))</f>
        <v>#N/A</v>
      </c>
      <c r="AE194" s="22">
        <f>'(Data)'!Q307</f>
        <v>0</v>
      </c>
      <c r="AF194" s="22" t="e">
        <f>IF(LEN(VLOOKUP(AE193:AE194,A2:D500,4,FALSE))=0,,VLOOKUP(AE193:AE194,A2:D500,4,FALSE))</f>
        <v>#N/A</v>
      </c>
      <c r="AH194" s="45">
        <f>'Risk Charact Model'!P325</f>
        <v>0</v>
      </c>
      <c r="AI194" s="58" t="e">
        <f>IF(LEN(VLOOKUP(AH194,A2:D500,4,FALSE))=0,,VLOOKUP(AH194,A2:D500,4,FALSE))</f>
        <v>#N/A</v>
      </c>
    </row>
    <row r="195" spans="9:35" ht="14" x14ac:dyDescent="0.3">
      <c r="I195" s="60">
        <f>'Generic Metadata Schema'!P325</f>
        <v>0</v>
      </c>
      <c r="J195" s="22" t="e">
        <f>IF(LEN(VLOOKUP(I195,A2:D500,4,FALSE))=0,"",VLOOKUP(I195,A2:D500,4,FALSE))</f>
        <v>#N/A</v>
      </c>
      <c r="L195" s="56">
        <f>'Dose-response Model'!O309</f>
        <v>0</v>
      </c>
      <c r="M195" s="22" t="e">
        <f>IF(LEN(VLOOKUP(L195,A2:D500,4,FALSE))=0,,VLOOKUP(L195,A2:D500,4,FALSE))</f>
        <v>#N/A</v>
      </c>
      <c r="N195" s="22">
        <f>'Exposure Model'!O326</f>
        <v>0</v>
      </c>
      <c r="O195" s="22" t="e">
        <f>IF(LEN(VLOOKUP(N195,A2:D500,4,FALSE))=0,,VLOOKUP(N195,A2:D500,4,FALSE))</f>
        <v>#N/A</v>
      </c>
      <c r="P195" s="55">
        <f>'QRA Models'!P326</f>
        <v>0</v>
      </c>
      <c r="Q195" s="22" t="e">
        <f>IF(LEN(VLOOKUP(P195,A2:D500,4,FALSE))=0,,VLOOKUP(P195,A2:D500,4,FALSE))</f>
        <v>#N/A</v>
      </c>
      <c r="R195" s="56">
        <f>'Health metrics Models'!Q309</f>
        <v>0</v>
      </c>
      <c r="S195" s="22" t="e">
        <f>IF(LEN(VLOOKUP(R195,A2:D500,4,FALSE))=0,,VLOOKUP(R195,A2:D500,4,FALSE))</f>
        <v>#N/A</v>
      </c>
      <c r="T195" s="56">
        <f>'Process Model'!P307</f>
        <v>0</v>
      </c>
      <c r="U195" s="22" t="e">
        <f>IF(LEN(VLOOKUP(T195,A2:D500,4,FALSE))=0,,VLOOKUP(T195,A2:D500,4,FALSE))</f>
        <v>#N/A</v>
      </c>
      <c r="V195" s="56">
        <f>'Toxicological reference value M'!P309</f>
        <v>0</v>
      </c>
      <c r="W195" s="22" t="e">
        <f>IF(LEN(VLOOKUP(V195,A2:D500,4,FALSE))=0,,VLOOKUP(V195,A2:D500,4,FALSE))</f>
        <v>#N/A</v>
      </c>
      <c r="Y195" s="56">
        <f>'Other Empirical Model'!P320</f>
        <v>0</v>
      </c>
      <c r="Z195" s="22" t="e">
        <f>IF(LEN(VLOOKUP(Y195,A2:D500,4,FALSE))=0,,VLOOKUP(Y195,A2:D500,4,FALSE))</f>
        <v>#N/A</v>
      </c>
      <c r="AA195" s="56">
        <f>'Predictive Model'!P307</f>
        <v>0</v>
      </c>
      <c r="AB195" s="22" t="e">
        <f>IF(LEN(VLOOKUP(AA195,A2:D500,4,FALSE))=0,,VLOOKUP(AA195,A2:D500,4,FALSE))</f>
        <v>#N/A</v>
      </c>
      <c r="AC195" s="56">
        <f>'Consumption Model'!P312</f>
        <v>0</v>
      </c>
      <c r="AD195" s="22" t="e">
        <f>IF(LEN(VLOOKUP(AC195,A2:D500,4,FALSE))=0,,VLOOKUP(AC195,A2:D500,4,FALSE))</f>
        <v>#N/A</v>
      </c>
      <c r="AE195" s="22">
        <f>'(Data)'!Q308</f>
        <v>0</v>
      </c>
      <c r="AF195" s="22" t="e">
        <f>IF(LEN(VLOOKUP(AE194:AE195,A2:D500,4,FALSE))=0,,VLOOKUP(AE194:AE195,A2:D500,4,FALSE))</f>
        <v>#N/A</v>
      </c>
      <c r="AH195" s="45">
        <f>'Risk Charact Model'!P326</f>
        <v>0</v>
      </c>
      <c r="AI195" s="58" t="e">
        <f>IF(LEN(VLOOKUP(AH195,A2:D500,4,FALSE))=0,,VLOOKUP(AH195,A2:D500,4,FALSE))</f>
        <v>#N/A</v>
      </c>
    </row>
    <row r="196" spans="9:35" ht="14" x14ac:dyDescent="0.3">
      <c r="I196" s="60">
        <f>'Generic Metadata Schema'!P326</f>
        <v>0</v>
      </c>
      <c r="J196" s="22" t="e">
        <f>IF(LEN(VLOOKUP(I196,A2:D500,4,FALSE))=0,"",VLOOKUP(I196,A2:D500,4,FALSE))</f>
        <v>#N/A</v>
      </c>
      <c r="L196" s="56">
        <f>'Dose-response Model'!O310</f>
        <v>0</v>
      </c>
      <c r="M196" s="22" t="e">
        <f>IF(LEN(VLOOKUP(L196,A2:D500,4,FALSE))=0,,VLOOKUP(L196,A2:D500,4,FALSE))</f>
        <v>#N/A</v>
      </c>
      <c r="N196" s="22">
        <f>'Exposure Model'!O327</f>
        <v>0</v>
      </c>
      <c r="O196" s="22" t="e">
        <f>IF(LEN(VLOOKUP(N196,A2:D500,4,FALSE))=0,,VLOOKUP(N196,A2:D500,4,FALSE))</f>
        <v>#N/A</v>
      </c>
      <c r="P196" s="55">
        <f>'QRA Models'!P327</f>
        <v>0</v>
      </c>
      <c r="Q196" s="22" t="e">
        <f>IF(LEN(VLOOKUP(P196,A2:D500,4,FALSE))=0,,VLOOKUP(P196,A2:D500,4,FALSE))</f>
        <v>#N/A</v>
      </c>
      <c r="R196" s="56">
        <f>'Health metrics Models'!Q310</f>
        <v>0</v>
      </c>
      <c r="S196" s="22" t="e">
        <f>IF(LEN(VLOOKUP(R196,A2:D500,4,FALSE))=0,,VLOOKUP(R196,A2:D500,4,FALSE))</f>
        <v>#N/A</v>
      </c>
      <c r="T196" s="56">
        <f>'Process Model'!P308</f>
        <v>0</v>
      </c>
      <c r="U196" s="22" t="e">
        <f>IF(LEN(VLOOKUP(T196,A2:D500,4,FALSE))=0,,VLOOKUP(T196,A2:D500,4,FALSE))</f>
        <v>#N/A</v>
      </c>
      <c r="V196" s="56">
        <f>'Toxicological reference value M'!P310</f>
        <v>0</v>
      </c>
      <c r="W196" s="22" t="e">
        <f>IF(LEN(VLOOKUP(V196,A2:D500,4,FALSE))=0,,VLOOKUP(V196,A2:D500,4,FALSE))</f>
        <v>#N/A</v>
      </c>
      <c r="Y196" s="56">
        <f>'Other Empirical Model'!P321</f>
        <v>0</v>
      </c>
      <c r="Z196" s="22" t="e">
        <f>IF(LEN(VLOOKUP(Y196,A2:D500,4,FALSE))=0,,VLOOKUP(Y196,A2:D500,4,FALSE))</f>
        <v>#N/A</v>
      </c>
      <c r="AA196" s="56">
        <f>'Predictive Model'!P308</f>
        <v>0</v>
      </c>
      <c r="AB196" s="22" t="e">
        <f>IF(LEN(VLOOKUP(AA196,A2:D500,4,FALSE))=0,,VLOOKUP(AA196,A2:D500,4,FALSE))</f>
        <v>#N/A</v>
      </c>
      <c r="AC196" s="56">
        <f>'Consumption Model'!P313</f>
        <v>0</v>
      </c>
      <c r="AD196" s="22" t="e">
        <f>IF(LEN(VLOOKUP(AC196,A2:D500,4,FALSE))=0,,VLOOKUP(AC196,A2:D500,4,FALSE))</f>
        <v>#N/A</v>
      </c>
      <c r="AE196" s="22">
        <f>'(Data)'!Q309</f>
        <v>0</v>
      </c>
      <c r="AF196" s="22" t="e">
        <f>IF(LEN(VLOOKUP(AE195:AE196,A2:D500,4,FALSE))=0,,VLOOKUP(AE195:AE196,A2:D500,4,FALSE))</f>
        <v>#N/A</v>
      </c>
      <c r="AH196" s="45">
        <f>'Risk Charact Model'!P327</f>
        <v>0</v>
      </c>
      <c r="AI196" s="58" t="e">
        <f>IF(LEN(VLOOKUP(AH196,A2:D500,4,FALSE))=0,,VLOOKUP(AH196,A2:D500,4,FALSE))</f>
        <v>#N/A</v>
      </c>
    </row>
    <row r="197" spans="9:35" ht="14" x14ac:dyDescent="0.3">
      <c r="I197" s="60">
        <f>'Generic Metadata Schema'!P327</f>
        <v>0</v>
      </c>
      <c r="J197" s="22" t="e">
        <f>IF(LEN(VLOOKUP(I197,A2:D500,4,FALSE))=0,"",VLOOKUP(I197,A2:D500,4,FALSE))</f>
        <v>#N/A</v>
      </c>
      <c r="L197" s="56">
        <f>'Dose-response Model'!O311</f>
        <v>0</v>
      </c>
      <c r="M197" s="22" t="e">
        <f>IF(LEN(VLOOKUP(L197,A2:D500,4,FALSE))=0,,VLOOKUP(L197,A2:D500,4,FALSE))</f>
        <v>#N/A</v>
      </c>
      <c r="N197" s="22">
        <f>'Exposure Model'!O328</f>
        <v>0</v>
      </c>
      <c r="O197" s="22" t="e">
        <f>IF(LEN(VLOOKUP(N197,A2:D500,4,FALSE))=0,,VLOOKUP(N197,A2:D500,4,FALSE))</f>
        <v>#N/A</v>
      </c>
      <c r="P197" s="55">
        <f>'QRA Models'!P328</f>
        <v>0</v>
      </c>
      <c r="Q197" s="22" t="e">
        <f>IF(LEN(VLOOKUP(P197,A2:D500,4,FALSE))=0,,VLOOKUP(P197,A2:D500,4,FALSE))</f>
        <v>#N/A</v>
      </c>
      <c r="R197" s="56">
        <f>'Health metrics Models'!Q311</f>
        <v>0</v>
      </c>
      <c r="S197" s="22" t="e">
        <f>IF(LEN(VLOOKUP(R197,A2:D500,4,FALSE))=0,,VLOOKUP(R197,A2:D500,4,FALSE))</f>
        <v>#N/A</v>
      </c>
      <c r="T197" s="56">
        <f>'Process Model'!P309</f>
        <v>0</v>
      </c>
      <c r="U197" s="22" t="e">
        <f>IF(LEN(VLOOKUP(T197,A2:D500,4,FALSE))=0,,VLOOKUP(T197,A2:D500,4,FALSE))</f>
        <v>#N/A</v>
      </c>
      <c r="V197" s="56">
        <f>'Toxicological reference value M'!P311</f>
        <v>0</v>
      </c>
      <c r="W197" s="22" t="e">
        <f>IF(LEN(VLOOKUP(V197,A2:D500,4,FALSE))=0,,VLOOKUP(V197,A2:D500,4,FALSE))</f>
        <v>#N/A</v>
      </c>
      <c r="Y197" s="56">
        <f>'Other Empirical Model'!P322</f>
        <v>0</v>
      </c>
      <c r="Z197" s="22" t="e">
        <f>IF(LEN(VLOOKUP(Y197,A2:D500,4,FALSE))=0,,VLOOKUP(Y197,A2:D500,4,FALSE))</f>
        <v>#N/A</v>
      </c>
      <c r="AA197" s="56">
        <f>'Predictive Model'!P309</f>
        <v>0</v>
      </c>
      <c r="AB197" s="22" t="e">
        <f>IF(LEN(VLOOKUP(AA197,A2:D500,4,FALSE))=0,,VLOOKUP(AA197,A2:D500,4,FALSE))</f>
        <v>#N/A</v>
      </c>
      <c r="AC197" s="56">
        <f>'Consumption Model'!P314</f>
        <v>0</v>
      </c>
      <c r="AD197" s="22" t="e">
        <f>IF(LEN(VLOOKUP(AC197,A2:D500,4,FALSE))=0,,VLOOKUP(AC197,A2:D500,4,FALSE))</f>
        <v>#N/A</v>
      </c>
      <c r="AE197" s="22">
        <f>'(Data)'!Q310</f>
        <v>0</v>
      </c>
      <c r="AF197" s="22" t="e">
        <f>IF(LEN(VLOOKUP(AE196:AE197,A2:D500,4,FALSE))=0,,VLOOKUP(AE196:AE197,A2:D500,4,FALSE))</f>
        <v>#N/A</v>
      </c>
      <c r="AH197" s="45">
        <f>'Risk Charact Model'!P328</f>
        <v>0</v>
      </c>
      <c r="AI197" s="58" t="e">
        <f>IF(LEN(VLOOKUP(AH197,A2:D500,4,FALSE))=0,,VLOOKUP(AH197,A2:D500,4,FALSE))</f>
        <v>#N/A</v>
      </c>
    </row>
    <row r="198" spans="9:35" ht="14" x14ac:dyDescent="0.3">
      <c r="I198" s="60">
        <f>'Generic Metadata Schema'!P328</f>
        <v>0</v>
      </c>
      <c r="J198" s="22" t="e">
        <f>IF(LEN(VLOOKUP(I198,A2:D500,4,FALSE))=0,"",VLOOKUP(I198,A2:D500,4,FALSE))</f>
        <v>#N/A</v>
      </c>
      <c r="L198" s="56">
        <f>'Dose-response Model'!O312</f>
        <v>0</v>
      </c>
      <c r="M198" s="22" t="e">
        <f>IF(LEN(VLOOKUP(L198,A2:D500,4,FALSE))=0,,VLOOKUP(L198,A2:D500,4,FALSE))</f>
        <v>#N/A</v>
      </c>
      <c r="N198" s="22">
        <f>'Exposure Model'!O329</f>
        <v>0</v>
      </c>
      <c r="O198" s="22" t="e">
        <f>IF(LEN(VLOOKUP(N198,A2:D500,4,FALSE))=0,,VLOOKUP(N198,A2:D500,4,FALSE))</f>
        <v>#N/A</v>
      </c>
      <c r="P198" s="55">
        <f>'QRA Models'!P329</f>
        <v>0</v>
      </c>
      <c r="Q198" s="22" t="e">
        <f>IF(LEN(VLOOKUP(P198,A2:D500,4,FALSE))=0,,VLOOKUP(P198,A2:D500,4,FALSE))</f>
        <v>#N/A</v>
      </c>
      <c r="R198" s="56">
        <f>'Health metrics Models'!Q312</f>
        <v>0</v>
      </c>
      <c r="S198" s="22" t="e">
        <f>IF(LEN(VLOOKUP(R198,A2:D500,4,FALSE))=0,,VLOOKUP(R198,A2:D500,4,FALSE))</f>
        <v>#N/A</v>
      </c>
      <c r="T198" s="56">
        <f>'Process Model'!P310</f>
        <v>0</v>
      </c>
      <c r="U198" s="22" t="e">
        <f>IF(LEN(VLOOKUP(T198,A2:D500,4,FALSE))=0,,VLOOKUP(T198,A2:D500,4,FALSE))</f>
        <v>#N/A</v>
      </c>
      <c r="V198" s="56">
        <f>'Toxicological reference value M'!P312</f>
        <v>0</v>
      </c>
      <c r="W198" s="22" t="e">
        <f>IF(LEN(VLOOKUP(V198,A2:D500,4,FALSE))=0,,VLOOKUP(V198,A2:D500,4,FALSE))</f>
        <v>#N/A</v>
      </c>
      <c r="Y198" s="56">
        <f>'Other Empirical Model'!P323</f>
        <v>0</v>
      </c>
      <c r="Z198" s="22" t="e">
        <f>IF(LEN(VLOOKUP(Y198,A2:D500,4,FALSE))=0,,VLOOKUP(Y198,A2:D500,4,FALSE))</f>
        <v>#N/A</v>
      </c>
      <c r="AA198" s="56">
        <f>'Predictive Model'!P310</f>
        <v>0</v>
      </c>
      <c r="AB198" s="22" t="e">
        <f>IF(LEN(VLOOKUP(AA198,A2:D500,4,FALSE))=0,,VLOOKUP(AA198,A2:D500,4,FALSE))</f>
        <v>#N/A</v>
      </c>
      <c r="AC198" s="56">
        <f>'Consumption Model'!P315</f>
        <v>0</v>
      </c>
      <c r="AD198" s="22" t="e">
        <f>IF(LEN(VLOOKUP(AC198,A2:D500,4,FALSE))=0,,VLOOKUP(AC198,A2:D500,4,FALSE))</f>
        <v>#N/A</v>
      </c>
      <c r="AE198" s="22">
        <f>'(Data)'!Q311</f>
        <v>0</v>
      </c>
      <c r="AF198" s="22" t="e">
        <f>IF(LEN(VLOOKUP(AE197:AE198,A2:D500,4,FALSE))=0,,VLOOKUP(AE197:AE198,A2:D500,4,FALSE))</f>
        <v>#N/A</v>
      </c>
      <c r="AH198" s="45">
        <f>'Risk Charact Model'!P329</f>
        <v>0</v>
      </c>
      <c r="AI198" s="58" t="e">
        <f>IF(LEN(VLOOKUP(AH198,A2:D500,4,FALSE))=0,,VLOOKUP(AH198,A2:D500,4,FALSE))</f>
        <v>#N/A</v>
      </c>
    </row>
    <row r="199" spans="9:35" ht="14" x14ac:dyDescent="0.3">
      <c r="I199" s="60">
        <f>'Generic Metadata Schema'!P329</f>
        <v>0</v>
      </c>
      <c r="J199" s="22" t="e">
        <f>IF(LEN(VLOOKUP(I199,A2:D500,4,FALSE))=0,"",VLOOKUP(I199,A2:D500,4,FALSE))</f>
        <v>#N/A</v>
      </c>
      <c r="L199" s="56">
        <f>'Dose-response Model'!O313</f>
        <v>0</v>
      </c>
      <c r="M199" s="22" t="e">
        <f>IF(LEN(VLOOKUP(L199,A2:D500,4,FALSE))=0,,VLOOKUP(L199,A2:D500,4,FALSE))</f>
        <v>#N/A</v>
      </c>
      <c r="N199" s="22">
        <f>'Exposure Model'!O330</f>
        <v>0</v>
      </c>
      <c r="O199" s="22" t="e">
        <f>IF(LEN(VLOOKUP(N199,A2:D500,4,FALSE))=0,,VLOOKUP(N199,A2:D500,4,FALSE))</f>
        <v>#N/A</v>
      </c>
      <c r="P199" s="55">
        <f>'QRA Models'!P330</f>
        <v>0</v>
      </c>
      <c r="Q199" s="22" t="e">
        <f>IF(LEN(VLOOKUP(P199,A2:D500,4,FALSE))=0,,VLOOKUP(P199,A2:D500,4,FALSE))</f>
        <v>#N/A</v>
      </c>
      <c r="R199" s="56">
        <f>'Health metrics Models'!Q313</f>
        <v>0</v>
      </c>
      <c r="S199" s="22" t="e">
        <f>IF(LEN(VLOOKUP(R199,A2:D500,4,FALSE))=0,,VLOOKUP(R199,A2:D500,4,FALSE))</f>
        <v>#N/A</v>
      </c>
      <c r="T199" s="56">
        <f>'Process Model'!P311</f>
        <v>0</v>
      </c>
      <c r="U199" s="22" t="e">
        <f>IF(LEN(VLOOKUP(T199,A2:D500,4,FALSE))=0,,VLOOKUP(T199,A2:D500,4,FALSE))</f>
        <v>#N/A</v>
      </c>
      <c r="V199" s="56">
        <f>'Toxicological reference value M'!P313</f>
        <v>0</v>
      </c>
      <c r="W199" s="22" t="e">
        <f>IF(LEN(VLOOKUP(V199,A2:D500,4,FALSE))=0,,VLOOKUP(V199,A2:D500,4,FALSE))</f>
        <v>#N/A</v>
      </c>
      <c r="Y199" s="56">
        <f>'Other Empirical Model'!P324</f>
        <v>0</v>
      </c>
      <c r="Z199" s="22" t="e">
        <f>IF(LEN(VLOOKUP(Y199,A2:D500,4,FALSE))=0,,VLOOKUP(Y199,A2:D500,4,FALSE))</f>
        <v>#N/A</v>
      </c>
      <c r="AA199" s="56">
        <f>'Predictive Model'!P311</f>
        <v>0</v>
      </c>
      <c r="AB199" s="22" t="e">
        <f>IF(LEN(VLOOKUP(AA199,A2:D500,4,FALSE))=0,,VLOOKUP(AA199,A2:D500,4,FALSE))</f>
        <v>#N/A</v>
      </c>
      <c r="AC199" s="56">
        <f>'Consumption Model'!P316</f>
        <v>0</v>
      </c>
      <c r="AD199" s="22" t="e">
        <f>IF(LEN(VLOOKUP(AC199,A2:D500,4,FALSE))=0,,VLOOKUP(AC199,A2:D500,4,FALSE))</f>
        <v>#N/A</v>
      </c>
      <c r="AE199" s="22">
        <f>'(Data)'!Q312</f>
        <v>0</v>
      </c>
      <c r="AF199" s="22" t="e">
        <f>IF(LEN(VLOOKUP(AE198:AE199,A2:D500,4,FALSE))=0,,VLOOKUP(AE198:AE199,A2:D500,4,FALSE))</f>
        <v>#N/A</v>
      </c>
      <c r="AH199" s="45">
        <f>'Risk Charact Model'!P330</f>
        <v>0</v>
      </c>
      <c r="AI199" s="58" t="e">
        <f>IF(LEN(VLOOKUP(AH199,A2:D500,4,FALSE))=0,,VLOOKUP(AH199,A2:D500,4,FALSE))</f>
        <v>#N/A</v>
      </c>
    </row>
    <row r="200" spans="9:35" ht="14" x14ac:dyDescent="0.3">
      <c r="I200" s="60">
        <f>'Generic Metadata Schema'!P330</f>
        <v>0</v>
      </c>
      <c r="J200" s="22" t="e">
        <f>IF(LEN(VLOOKUP(I200,A2:D500,4,FALSE))=0,"",VLOOKUP(I200,A2:D500,4,FALSE))</f>
        <v>#N/A</v>
      </c>
      <c r="L200" s="56">
        <f>'Dose-response Model'!O314</f>
        <v>0</v>
      </c>
      <c r="M200" s="22" t="e">
        <f>IF(LEN(VLOOKUP(L200,A2:D500,4,FALSE))=0,,VLOOKUP(L200,A2:D500,4,FALSE))</f>
        <v>#N/A</v>
      </c>
      <c r="N200" s="22">
        <f>'Exposure Model'!O331</f>
        <v>0</v>
      </c>
      <c r="O200" s="22" t="e">
        <f>IF(LEN(VLOOKUP(N200,A2:D500,4,FALSE))=0,,VLOOKUP(N200,A2:D500,4,FALSE))</f>
        <v>#N/A</v>
      </c>
      <c r="P200" s="55">
        <f>'QRA Models'!P331</f>
        <v>0</v>
      </c>
      <c r="Q200" s="22" t="e">
        <f>IF(LEN(VLOOKUP(P200,A2:D500,4,FALSE))=0,,VLOOKUP(P200,A2:D500,4,FALSE))</f>
        <v>#N/A</v>
      </c>
      <c r="R200" s="56">
        <f>'Health metrics Models'!Q314</f>
        <v>0</v>
      </c>
      <c r="S200" s="22" t="e">
        <f>IF(LEN(VLOOKUP(R200,A2:D500,4,FALSE))=0,,VLOOKUP(R200,A2:D500,4,FALSE))</f>
        <v>#N/A</v>
      </c>
      <c r="T200" s="56">
        <f>'Process Model'!P312</f>
        <v>0</v>
      </c>
      <c r="U200" s="22" t="e">
        <f>IF(LEN(VLOOKUP(T200,A2:D500,4,FALSE))=0,,VLOOKUP(T200,A2:D500,4,FALSE))</f>
        <v>#N/A</v>
      </c>
      <c r="V200" s="56">
        <f>'Toxicological reference value M'!P314</f>
        <v>0</v>
      </c>
      <c r="W200" s="22" t="e">
        <f>IF(LEN(VLOOKUP(V200,A2:D500,4,FALSE))=0,,VLOOKUP(V200,A2:D500,4,FALSE))</f>
        <v>#N/A</v>
      </c>
      <c r="Y200" s="56">
        <f>'Other Empirical Model'!P325</f>
        <v>0</v>
      </c>
      <c r="Z200" s="22" t="e">
        <f>IF(LEN(VLOOKUP(Y200,A2:D500,4,FALSE))=0,,VLOOKUP(Y200,A2:D500,4,FALSE))</f>
        <v>#N/A</v>
      </c>
      <c r="AA200" s="56">
        <f>'Predictive Model'!P312</f>
        <v>0</v>
      </c>
      <c r="AB200" s="22" t="e">
        <f>IF(LEN(VLOOKUP(AA200,A2:D500,4,FALSE))=0,,VLOOKUP(AA200,A2:D500,4,FALSE))</f>
        <v>#N/A</v>
      </c>
      <c r="AC200" s="56">
        <f>'Consumption Model'!P317</f>
        <v>0</v>
      </c>
      <c r="AD200" s="22" t="e">
        <f>IF(LEN(VLOOKUP(AC200,A2:D500,4,FALSE))=0,,VLOOKUP(AC200,A2:D500,4,FALSE))</f>
        <v>#N/A</v>
      </c>
      <c r="AE200" s="22">
        <f>'(Data)'!Q313</f>
        <v>0</v>
      </c>
      <c r="AF200" s="22" t="e">
        <f>IF(LEN(VLOOKUP(AE199:AE200,A2:D500,4,FALSE))=0,,VLOOKUP(AE199:AE200,A2:D500,4,FALSE))</f>
        <v>#N/A</v>
      </c>
      <c r="AH200" s="45">
        <f>'Risk Charact Model'!P331</f>
        <v>0</v>
      </c>
      <c r="AI200" s="58" t="e">
        <f>IF(LEN(VLOOKUP(AH200,A2:D500,4,FALSE))=0,,VLOOKUP(AH200,A2:D500,4,FALSE))</f>
        <v>#N/A</v>
      </c>
    </row>
    <row r="201" spans="9:35" ht="14" x14ac:dyDescent="0.3">
      <c r="I201" s="60">
        <f>'Generic Metadata Schema'!P331</f>
        <v>0</v>
      </c>
      <c r="J201" s="22" t="e">
        <f>IF(LEN(VLOOKUP(I201,A2:D500,4,FALSE))=0,"",VLOOKUP(I201,A2:D500,4,FALSE))</f>
        <v>#N/A</v>
      </c>
      <c r="L201" s="56">
        <f>'Dose-response Model'!O315</f>
        <v>0</v>
      </c>
      <c r="M201" s="22" t="e">
        <f>IF(LEN(VLOOKUP(L201,A2:D500,4,FALSE))=0,,VLOOKUP(L201,A2:D500,4,FALSE))</f>
        <v>#N/A</v>
      </c>
      <c r="N201" s="22">
        <f>'Exposure Model'!O332</f>
        <v>0</v>
      </c>
      <c r="O201" s="22" t="e">
        <f>IF(LEN(VLOOKUP(N201,A2:D500,4,FALSE))=0,,VLOOKUP(N201,A2:D500,4,FALSE))</f>
        <v>#N/A</v>
      </c>
      <c r="P201" s="55">
        <f>'QRA Models'!P332</f>
        <v>0</v>
      </c>
      <c r="Q201" s="22" t="e">
        <f>IF(LEN(VLOOKUP(P201,A2:D500,4,FALSE))=0,,VLOOKUP(P201,A2:D500,4,FALSE))</f>
        <v>#N/A</v>
      </c>
      <c r="R201" s="56">
        <f>'Health metrics Models'!Q315</f>
        <v>0</v>
      </c>
      <c r="S201" s="22" t="e">
        <f>IF(LEN(VLOOKUP(R201,A2:D500,4,FALSE))=0,,VLOOKUP(R201,A2:D500,4,FALSE))</f>
        <v>#N/A</v>
      </c>
      <c r="T201" s="56">
        <f>'Process Model'!P313</f>
        <v>0</v>
      </c>
      <c r="U201" s="22" t="e">
        <f>IF(LEN(VLOOKUP(T201,A2:D500,4,FALSE))=0,,VLOOKUP(T201,A2:D500,4,FALSE))</f>
        <v>#N/A</v>
      </c>
      <c r="V201" s="56">
        <f>'Toxicological reference value M'!P315</f>
        <v>0</v>
      </c>
      <c r="W201" s="22" t="e">
        <f>IF(LEN(VLOOKUP(V201,A2:D500,4,FALSE))=0,,VLOOKUP(V201,A2:D500,4,FALSE))</f>
        <v>#N/A</v>
      </c>
      <c r="Y201" s="56">
        <f>'Other Empirical Model'!P326</f>
        <v>0</v>
      </c>
      <c r="Z201" s="22" t="e">
        <f>IF(LEN(VLOOKUP(Y201,A2:D500,4,FALSE))=0,,VLOOKUP(Y201,A2:D500,4,FALSE))</f>
        <v>#N/A</v>
      </c>
      <c r="AA201" s="56">
        <f>'Predictive Model'!P313</f>
        <v>0</v>
      </c>
      <c r="AB201" s="22" t="e">
        <f>IF(LEN(VLOOKUP(AA201,A2:D500,4,FALSE))=0,,VLOOKUP(AA201,A2:D500,4,FALSE))</f>
        <v>#N/A</v>
      </c>
      <c r="AC201" s="56">
        <f>'Consumption Model'!P318</f>
        <v>0</v>
      </c>
      <c r="AD201" s="22" t="e">
        <f>IF(LEN(VLOOKUP(AC201,A2:D500,4,FALSE))=0,,VLOOKUP(AC201,A2:D500,4,FALSE))</f>
        <v>#N/A</v>
      </c>
      <c r="AE201" s="22">
        <f>'(Data)'!Q314</f>
        <v>0</v>
      </c>
      <c r="AF201" s="22" t="e">
        <f>IF(LEN(VLOOKUP(AE200:AE201,A2:D500,4,FALSE))=0,,VLOOKUP(AE200:AE201,A2:D500,4,FALSE))</f>
        <v>#N/A</v>
      </c>
      <c r="AH201" s="45">
        <f>'Risk Charact Model'!P332</f>
        <v>0</v>
      </c>
      <c r="AI201" s="58" t="e">
        <f>IF(LEN(VLOOKUP(AH201,A2:D500,4,FALSE))=0,,VLOOKUP(AH201,A2:D500,4,FALSE))</f>
        <v>#N/A</v>
      </c>
    </row>
    <row r="202" spans="9:35" ht="14" x14ac:dyDescent="0.3">
      <c r="I202" s="60">
        <f>'Generic Metadata Schema'!P332</f>
        <v>0</v>
      </c>
      <c r="J202" s="22" t="e">
        <f>IF(LEN(VLOOKUP(I202,A2:D500,4,FALSE))=0,"",VLOOKUP(I202,A2:D500,4,FALSE))</f>
        <v>#N/A</v>
      </c>
      <c r="L202" s="56">
        <f>'Dose-response Model'!O316</f>
        <v>0</v>
      </c>
      <c r="M202" s="22" t="e">
        <f>IF(LEN(VLOOKUP(L202,A2:D500,4,FALSE))=0,,VLOOKUP(L202,A2:D500,4,FALSE))</f>
        <v>#N/A</v>
      </c>
      <c r="N202" s="22">
        <f>'Exposure Model'!O333</f>
        <v>0</v>
      </c>
      <c r="O202" s="22" t="e">
        <f>IF(LEN(VLOOKUP(N202,A2:D500,4,FALSE))=0,,VLOOKUP(N202,A2:D500,4,FALSE))</f>
        <v>#N/A</v>
      </c>
      <c r="P202" s="55">
        <f>'QRA Models'!P333</f>
        <v>0</v>
      </c>
      <c r="Q202" s="22" t="e">
        <f>IF(LEN(VLOOKUP(P202,A2:D500,4,FALSE))=0,,VLOOKUP(P202,A2:D500,4,FALSE))</f>
        <v>#N/A</v>
      </c>
      <c r="R202" s="56">
        <f>'Health metrics Models'!Q316</f>
        <v>0</v>
      </c>
      <c r="S202" s="22" t="e">
        <f>IF(LEN(VLOOKUP(R202,A2:D500,4,FALSE))=0,,VLOOKUP(R202,A2:D500,4,FALSE))</f>
        <v>#N/A</v>
      </c>
      <c r="T202" s="56">
        <f>'Process Model'!P314</f>
        <v>0</v>
      </c>
      <c r="U202" s="22" t="e">
        <f>IF(LEN(VLOOKUP(T202,A2:D500,4,FALSE))=0,,VLOOKUP(T202,A2:D500,4,FALSE))</f>
        <v>#N/A</v>
      </c>
      <c r="V202" s="56">
        <f>'Toxicological reference value M'!P316</f>
        <v>0</v>
      </c>
      <c r="W202" s="22" t="e">
        <f>IF(LEN(VLOOKUP(V202,A2:D500,4,FALSE))=0,,VLOOKUP(V202,A2:D500,4,FALSE))</f>
        <v>#N/A</v>
      </c>
      <c r="Y202" s="56">
        <f>'Other Empirical Model'!P327</f>
        <v>0</v>
      </c>
      <c r="Z202" s="22" t="e">
        <f>IF(LEN(VLOOKUP(Y202,A2:D500,4,FALSE))=0,,VLOOKUP(Y202,A2:D500,4,FALSE))</f>
        <v>#N/A</v>
      </c>
      <c r="AA202" s="56">
        <f>'Predictive Model'!P314</f>
        <v>0</v>
      </c>
      <c r="AB202" s="22" t="e">
        <f>IF(LEN(VLOOKUP(AA202,A2:D500,4,FALSE))=0,,VLOOKUP(AA202,A2:D500,4,FALSE))</f>
        <v>#N/A</v>
      </c>
      <c r="AC202" s="56">
        <f>'Consumption Model'!P319</f>
        <v>0</v>
      </c>
      <c r="AD202" s="22" t="e">
        <f>IF(LEN(VLOOKUP(AC202,A2:D500,4,FALSE))=0,,VLOOKUP(AC202,A2:D500,4,FALSE))</f>
        <v>#N/A</v>
      </c>
      <c r="AE202" s="22">
        <f>'(Data)'!Q315</f>
        <v>0</v>
      </c>
      <c r="AF202" s="22" t="e">
        <f>IF(LEN(VLOOKUP(AE201:AE202,A2:D500,4,FALSE))=0,,VLOOKUP(AE201:AE202,A2:D500,4,FALSE))</f>
        <v>#N/A</v>
      </c>
      <c r="AH202" s="45">
        <f>'Risk Charact Model'!P333</f>
        <v>0</v>
      </c>
      <c r="AI202" s="58" t="e">
        <f>IF(LEN(VLOOKUP(AH202,A2:D500,4,FALSE))=0,,VLOOKUP(AH202,A2:D500,4,FALSE))</f>
        <v>#N/A</v>
      </c>
    </row>
    <row r="203" spans="9:35" ht="14" x14ac:dyDescent="0.3">
      <c r="I203" s="60">
        <f>'Generic Metadata Schema'!P333</f>
        <v>0</v>
      </c>
      <c r="J203" s="22" t="e">
        <f>IF(LEN(VLOOKUP(I203,A2:D500,4,FALSE))=0,"",VLOOKUP(I203,A2:D500,4,FALSE))</f>
        <v>#N/A</v>
      </c>
      <c r="L203" s="56">
        <f>'Dose-response Model'!O317</f>
        <v>0</v>
      </c>
      <c r="M203" s="22" t="e">
        <f>IF(LEN(VLOOKUP(L203,A2:D500,4,FALSE))=0,,VLOOKUP(L203,A2:D500,4,FALSE))</f>
        <v>#N/A</v>
      </c>
      <c r="N203" s="22">
        <f>'Exposure Model'!O334</f>
        <v>0</v>
      </c>
      <c r="O203" s="22" t="e">
        <f>IF(LEN(VLOOKUP(N203,A2:D500,4,FALSE))=0,,VLOOKUP(N203,A2:D500,4,FALSE))</f>
        <v>#N/A</v>
      </c>
      <c r="P203" s="55">
        <f>'QRA Models'!P334</f>
        <v>0</v>
      </c>
      <c r="Q203" s="22" t="e">
        <f>IF(LEN(VLOOKUP(P203,A2:D500,4,FALSE))=0,,VLOOKUP(P203,A2:D500,4,FALSE))</f>
        <v>#N/A</v>
      </c>
      <c r="R203" s="56">
        <f>'Health metrics Models'!Q317</f>
        <v>0</v>
      </c>
      <c r="S203" s="22" t="e">
        <f>IF(LEN(VLOOKUP(R203,A2:D500,4,FALSE))=0,,VLOOKUP(R203,A2:D500,4,FALSE))</f>
        <v>#N/A</v>
      </c>
      <c r="T203" s="56">
        <f>'Process Model'!P315</f>
        <v>0</v>
      </c>
      <c r="U203" s="22" t="e">
        <f>IF(LEN(VLOOKUP(T203,A2:D500,4,FALSE))=0,,VLOOKUP(T203,A2:D500,4,FALSE))</f>
        <v>#N/A</v>
      </c>
      <c r="V203" s="56">
        <f>'Toxicological reference value M'!P317</f>
        <v>0</v>
      </c>
      <c r="W203" s="22" t="e">
        <f>IF(LEN(VLOOKUP(V203,A2:D500,4,FALSE))=0,,VLOOKUP(V203,A2:D500,4,FALSE))</f>
        <v>#N/A</v>
      </c>
      <c r="Y203" s="56">
        <f>'Other Empirical Model'!P328</f>
        <v>0</v>
      </c>
      <c r="Z203" s="22" t="e">
        <f>IF(LEN(VLOOKUP(Y203,A2:D500,4,FALSE))=0,,VLOOKUP(Y203,A2:D500,4,FALSE))</f>
        <v>#N/A</v>
      </c>
      <c r="AA203" s="56">
        <f>'Predictive Model'!P315</f>
        <v>0</v>
      </c>
      <c r="AB203" s="22" t="e">
        <f>IF(LEN(VLOOKUP(AA203,A2:D500,4,FALSE))=0,,VLOOKUP(AA203,A2:D500,4,FALSE))</f>
        <v>#N/A</v>
      </c>
      <c r="AC203" s="56">
        <f>'Consumption Model'!P320</f>
        <v>0</v>
      </c>
      <c r="AD203" s="22" t="e">
        <f>IF(LEN(VLOOKUP(AC203,A2:D500,4,FALSE))=0,,VLOOKUP(AC203,A2:D500,4,FALSE))</f>
        <v>#N/A</v>
      </c>
      <c r="AE203" s="22">
        <f>'(Data)'!Q316</f>
        <v>0</v>
      </c>
      <c r="AF203" s="22" t="e">
        <f>IF(LEN(VLOOKUP(AE202:AE203,A2:D500,4,FALSE))=0,,VLOOKUP(AE202:AE203,A2:D500,4,FALSE))</f>
        <v>#N/A</v>
      </c>
      <c r="AH203" s="45">
        <f>'Risk Charact Model'!P334</f>
        <v>0</v>
      </c>
      <c r="AI203" s="58" t="e">
        <f>IF(LEN(VLOOKUP(AH203,A2:D500,4,FALSE))=0,,VLOOKUP(AH203,A2:D500,4,FALSE))</f>
        <v>#N/A</v>
      </c>
    </row>
    <row r="204" spans="9:35" ht="14" x14ac:dyDescent="0.3">
      <c r="I204" s="60">
        <f>'Generic Metadata Schema'!P334</f>
        <v>0</v>
      </c>
      <c r="J204" s="22" t="e">
        <f>IF(LEN(VLOOKUP(I204,A2:D500,4,FALSE))=0,"",VLOOKUP(I204,A2:D500,4,FALSE))</f>
        <v>#N/A</v>
      </c>
      <c r="L204" s="56">
        <f>'Dose-response Model'!O318</f>
        <v>0</v>
      </c>
      <c r="M204" s="22" t="e">
        <f>IF(LEN(VLOOKUP(L204,A2:D500,4,FALSE))=0,,VLOOKUP(L204,A2:D500,4,FALSE))</f>
        <v>#N/A</v>
      </c>
      <c r="N204" s="22">
        <f>'Exposure Model'!O335</f>
        <v>0</v>
      </c>
      <c r="O204" s="22" t="e">
        <f>IF(LEN(VLOOKUP(N204,A2:D500,4,FALSE))=0,,VLOOKUP(N204,A2:D500,4,FALSE))</f>
        <v>#N/A</v>
      </c>
      <c r="P204" s="55">
        <f>'QRA Models'!P335</f>
        <v>0</v>
      </c>
      <c r="Q204" s="22" t="e">
        <f>IF(LEN(VLOOKUP(P204,A2:D500,4,FALSE))=0,,VLOOKUP(P204,A2:D500,4,FALSE))</f>
        <v>#N/A</v>
      </c>
      <c r="R204" s="56">
        <f>'Health metrics Models'!Q318</f>
        <v>0</v>
      </c>
      <c r="S204" s="22" t="e">
        <f>IF(LEN(VLOOKUP(R204,A2:D500,4,FALSE))=0,,VLOOKUP(R204,A2:D500,4,FALSE))</f>
        <v>#N/A</v>
      </c>
      <c r="T204" s="56">
        <f>'Process Model'!P316</f>
        <v>0</v>
      </c>
      <c r="U204" s="22" t="e">
        <f>IF(LEN(VLOOKUP(T204,A2:D500,4,FALSE))=0,,VLOOKUP(T204,A2:D500,4,FALSE))</f>
        <v>#N/A</v>
      </c>
      <c r="V204" s="56">
        <f>'Toxicological reference value M'!P318</f>
        <v>0</v>
      </c>
      <c r="W204" s="22" t="e">
        <f>IF(LEN(VLOOKUP(V204,A2:D500,4,FALSE))=0,,VLOOKUP(V204,A2:D500,4,FALSE))</f>
        <v>#N/A</v>
      </c>
      <c r="Y204" s="56">
        <f>'Other Empirical Model'!P329</f>
        <v>0</v>
      </c>
      <c r="Z204" s="22" t="e">
        <f>IF(LEN(VLOOKUP(Y204,A2:D500,4,FALSE))=0,,VLOOKUP(Y204,A2:D500,4,FALSE))</f>
        <v>#N/A</v>
      </c>
      <c r="AA204" s="56">
        <f>'Predictive Model'!P316</f>
        <v>0</v>
      </c>
      <c r="AB204" s="22" t="e">
        <f>IF(LEN(VLOOKUP(AA204,A2:D500,4,FALSE))=0,,VLOOKUP(AA204,A2:D500,4,FALSE))</f>
        <v>#N/A</v>
      </c>
      <c r="AC204" s="56">
        <f>'Consumption Model'!P321</f>
        <v>0</v>
      </c>
      <c r="AD204" s="22" t="e">
        <f>IF(LEN(VLOOKUP(AC204,A2:D500,4,FALSE))=0,,VLOOKUP(AC204,A2:D500,4,FALSE))</f>
        <v>#N/A</v>
      </c>
      <c r="AE204" s="22">
        <f>'(Data)'!Q317</f>
        <v>0</v>
      </c>
      <c r="AF204" s="22" t="e">
        <f>IF(LEN(VLOOKUP(AE203:AE204,A2:D500,4,FALSE))=0,,VLOOKUP(AE203:AE204,A2:D500,4,FALSE))</f>
        <v>#N/A</v>
      </c>
      <c r="AH204" s="45">
        <f>'Risk Charact Model'!P335</f>
        <v>0</v>
      </c>
      <c r="AI204" s="58" t="e">
        <f>IF(LEN(VLOOKUP(AH204,A2:D500,4,FALSE))=0,,VLOOKUP(AH204,A2:D500,4,FALSE))</f>
        <v>#N/A</v>
      </c>
    </row>
    <row r="205" spans="9:35" ht="14" x14ac:dyDescent="0.3">
      <c r="I205" s="60">
        <f>'Generic Metadata Schema'!P335</f>
        <v>0</v>
      </c>
      <c r="J205" s="22" t="e">
        <f>IF(LEN(VLOOKUP(I205,A2:D500,4,FALSE))=0,"",VLOOKUP(I205,A2:D500,4,FALSE))</f>
        <v>#N/A</v>
      </c>
      <c r="L205" s="56">
        <f>'Dose-response Model'!O319</f>
        <v>0</v>
      </c>
      <c r="M205" s="22" t="e">
        <f>IF(LEN(VLOOKUP(L205,A2:D500,4,FALSE))=0,,VLOOKUP(L205,A2:D500,4,FALSE))</f>
        <v>#N/A</v>
      </c>
      <c r="N205" s="22">
        <f>'Exposure Model'!O336</f>
        <v>0</v>
      </c>
      <c r="O205" s="22" t="e">
        <f>IF(LEN(VLOOKUP(N205,A2:D500,4,FALSE))=0,,VLOOKUP(N205,A2:D500,4,FALSE))</f>
        <v>#N/A</v>
      </c>
      <c r="P205" s="55">
        <f>'QRA Models'!P336</f>
        <v>0</v>
      </c>
      <c r="Q205" s="22" t="e">
        <f>IF(LEN(VLOOKUP(P205,A2:D500,4,FALSE))=0,,VLOOKUP(P205,A2:D500,4,FALSE))</f>
        <v>#N/A</v>
      </c>
      <c r="R205" s="56">
        <f>'Health metrics Models'!Q319</f>
        <v>0</v>
      </c>
      <c r="S205" s="22" t="e">
        <f>IF(LEN(VLOOKUP(R205,A2:D500,4,FALSE))=0,,VLOOKUP(R205,A2:D500,4,FALSE))</f>
        <v>#N/A</v>
      </c>
      <c r="T205" s="56">
        <f>'Process Model'!P317</f>
        <v>0</v>
      </c>
      <c r="U205" s="22" t="e">
        <f>IF(LEN(VLOOKUP(T205,A2:D500,4,FALSE))=0,,VLOOKUP(T205,A2:D500,4,FALSE))</f>
        <v>#N/A</v>
      </c>
      <c r="V205" s="56">
        <f>'Toxicological reference value M'!P319</f>
        <v>0</v>
      </c>
      <c r="W205" s="22" t="e">
        <f>IF(LEN(VLOOKUP(V205,A2:D500,4,FALSE))=0,,VLOOKUP(V205,A2:D500,4,FALSE))</f>
        <v>#N/A</v>
      </c>
      <c r="Y205" s="56">
        <f>'Other Empirical Model'!P330</f>
        <v>0</v>
      </c>
      <c r="Z205" s="22" t="e">
        <f>IF(LEN(VLOOKUP(Y205,A2:D500,4,FALSE))=0,,VLOOKUP(Y205,A2:D500,4,FALSE))</f>
        <v>#N/A</v>
      </c>
      <c r="AA205" s="56">
        <f>'Predictive Model'!P317</f>
        <v>0</v>
      </c>
      <c r="AB205" s="22" t="e">
        <f>IF(LEN(VLOOKUP(AA205,A2:D500,4,FALSE))=0,,VLOOKUP(AA205,A2:D500,4,FALSE))</f>
        <v>#N/A</v>
      </c>
      <c r="AC205" s="56">
        <f>'Consumption Model'!P322</f>
        <v>0</v>
      </c>
      <c r="AD205" s="22" t="e">
        <f>IF(LEN(VLOOKUP(AC205,A2:D500,4,FALSE))=0,,VLOOKUP(AC205,A2:D500,4,FALSE))</f>
        <v>#N/A</v>
      </c>
      <c r="AE205" s="22">
        <f>'(Data)'!Q318</f>
        <v>0</v>
      </c>
      <c r="AF205" s="22" t="e">
        <f>IF(LEN(VLOOKUP(AE204:AE205,A2:D500,4,FALSE))=0,,VLOOKUP(AE204:AE205,A2:D500,4,FALSE))</f>
        <v>#N/A</v>
      </c>
      <c r="AH205" s="45">
        <f>'Risk Charact Model'!P336</f>
        <v>0</v>
      </c>
      <c r="AI205" s="58" t="e">
        <f>IF(LEN(VLOOKUP(AH205,A2:D500,4,FALSE))=0,,VLOOKUP(AH205,A2:D500,4,FALSE))</f>
        <v>#N/A</v>
      </c>
    </row>
    <row r="206" spans="9:35" ht="14" x14ac:dyDescent="0.3">
      <c r="I206" s="60">
        <f>'Generic Metadata Schema'!P336</f>
        <v>0</v>
      </c>
      <c r="J206" s="22" t="e">
        <f>IF(LEN(VLOOKUP(I206,A2:D500,4,FALSE))=0,"",VLOOKUP(I206,A2:D500,4,FALSE))</f>
        <v>#N/A</v>
      </c>
      <c r="L206" s="56">
        <f>'Dose-response Model'!O320</f>
        <v>0</v>
      </c>
      <c r="M206" s="22" t="e">
        <f>IF(LEN(VLOOKUP(L206,A2:D500,4,FALSE))=0,,VLOOKUP(L206,A2:D500,4,FALSE))</f>
        <v>#N/A</v>
      </c>
      <c r="N206" s="22">
        <f>'Exposure Model'!O337</f>
        <v>0</v>
      </c>
      <c r="O206" s="22" t="e">
        <f>IF(LEN(VLOOKUP(N206,A2:D500,4,FALSE))=0,,VLOOKUP(N206,A2:D500,4,FALSE))</f>
        <v>#N/A</v>
      </c>
      <c r="P206" s="55">
        <f>'QRA Models'!P337</f>
        <v>0</v>
      </c>
      <c r="Q206" s="22" t="e">
        <f>IF(LEN(VLOOKUP(P206,A2:D500,4,FALSE))=0,,VLOOKUP(P206,A2:D500,4,FALSE))</f>
        <v>#N/A</v>
      </c>
      <c r="R206" s="56">
        <f>'Health metrics Models'!Q320</f>
        <v>0</v>
      </c>
      <c r="S206" s="22" t="e">
        <f>IF(LEN(VLOOKUP(R206,A2:D500,4,FALSE))=0,,VLOOKUP(R206,A2:D500,4,FALSE))</f>
        <v>#N/A</v>
      </c>
      <c r="T206" s="56">
        <f>'Process Model'!P318</f>
        <v>0</v>
      </c>
      <c r="U206" s="22" t="e">
        <f>IF(LEN(VLOOKUP(T206,A2:D500,4,FALSE))=0,,VLOOKUP(T206,A2:D500,4,FALSE))</f>
        <v>#N/A</v>
      </c>
      <c r="V206" s="56">
        <f>'Toxicological reference value M'!P320</f>
        <v>0</v>
      </c>
      <c r="W206" s="22" t="e">
        <f>IF(LEN(VLOOKUP(V206,A2:D500,4,FALSE))=0,,VLOOKUP(V206,A2:D500,4,FALSE))</f>
        <v>#N/A</v>
      </c>
      <c r="Y206" s="56">
        <f>'Other Empirical Model'!P331</f>
        <v>0</v>
      </c>
      <c r="Z206" s="22" t="e">
        <f>IF(LEN(VLOOKUP(Y206,A2:D500,4,FALSE))=0,,VLOOKUP(Y206,A2:D500,4,FALSE))</f>
        <v>#N/A</v>
      </c>
      <c r="AA206" s="56">
        <f>'Predictive Model'!P318</f>
        <v>0</v>
      </c>
      <c r="AB206" s="22" t="e">
        <f>IF(LEN(VLOOKUP(AA206,A2:D500,4,FALSE))=0,,VLOOKUP(AA206,A2:D500,4,FALSE))</f>
        <v>#N/A</v>
      </c>
      <c r="AC206" s="56">
        <f>'Consumption Model'!P323</f>
        <v>0</v>
      </c>
      <c r="AD206" s="22" t="e">
        <f>IF(LEN(VLOOKUP(AC206,A2:D500,4,FALSE))=0,,VLOOKUP(AC206,A2:D500,4,FALSE))</f>
        <v>#N/A</v>
      </c>
      <c r="AE206" s="22">
        <f>'(Data)'!Q319</f>
        <v>0</v>
      </c>
      <c r="AF206" s="22" t="e">
        <f>IF(LEN(VLOOKUP(AE205:AE206,A2:D500,4,FALSE))=0,,VLOOKUP(AE205:AE206,A2:D500,4,FALSE))</f>
        <v>#N/A</v>
      </c>
      <c r="AH206" s="45">
        <f>'Risk Charact Model'!P337</f>
        <v>0</v>
      </c>
      <c r="AI206" s="58" t="e">
        <f>IF(LEN(VLOOKUP(AH206,A2:D500,4,FALSE))=0,,VLOOKUP(AH206,A2:D500,4,FALSE))</f>
        <v>#N/A</v>
      </c>
    </row>
    <row r="207" spans="9:35" ht="14" x14ac:dyDescent="0.3">
      <c r="I207" s="60">
        <f>'Generic Metadata Schema'!P337</f>
        <v>0</v>
      </c>
      <c r="J207" s="22" t="e">
        <f>IF(LEN(VLOOKUP(I207,A2:D500,4,FALSE))=0,"",VLOOKUP(I207,A2:D500,4,FALSE))</f>
        <v>#N/A</v>
      </c>
      <c r="L207" s="56">
        <f>'Dose-response Model'!O321</f>
        <v>0</v>
      </c>
      <c r="M207" s="22" t="e">
        <f>IF(LEN(VLOOKUP(L207,A2:D500,4,FALSE))=0,,VLOOKUP(L207,A2:D500,4,FALSE))</f>
        <v>#N/A</v>
      </c>
      <c r="N207" s="22">
        <f>'Exposure Model'!O338</f>
        <v>0</v>
      </c>
      <c r="O207" s="22" t="e">
        <f>IF(LEN(VLOOKUP(N207,A2:D500,4,FALSE))=0,,VLOOKUP(N207,A2:D500,4,FALSE))</f>
        <v>#N/A</v>
      </c>
      <c r="P207" s="55">
        <f>'QRA Models'!P338</f>
        <v>0</v>
      </c>
      <c r="Q207" s="22" t="e">
        <f>IF(LEN(VLOOKUP(P207,A2:D500,4,FALSE))=0,,VLOOKUP(P207,A2:D500,4,FALSE))</f>
        <v>#N/A</v>
      </c>
      <c r="R207" s="56">
        <f>'Health metrics Models'!Q321</f>
        <v>0</v>
      </c>
      <c r="S207" s="22" t="e">
        <f>IF(LEN(VLOOKUP(R207,A2:D500,4,FALSE))=0,,VLOOKUP(R207,A2:D500,4,FALSE))</f>
        <v>#N/A</v>
      </c>
      <c r="T207" s="56">
        <f>'Process Model'!P319</f>
        <v>0</v>
      </c>
      <c r="U207" s="22" t="e">
        <f>IF(LEN(VLOOKUP(T207,A2:D500,4,FALSE))=0,,VLOOKUP(T207,A2:D500,4,FALSE))</f>
        <v>#N/A</v>
      </c>
      <c r="V207" s="56">
        <f>'Toxicological reference value M'!P321</f>
        <v>0</v>
      </c>
      <c r="W207" s="22" t="e">
        <f>IF(LEN(VLOOKUP(V207,A2:D500,4,FALSE))=0,,VLOOKUP(V207,A2:D500,4,FALSE))</f>
        <v>#N/A</v>
      </c>
      <c r="Y207" s="56">
        <f>'Other Empirical Model'!P332</f>
        <v>0</v>
      </c>
      <c r="Z207" s="22" t="e">
        <f>IF(LEN(VLOOKUP(Y207,A2:D500,4,FALSE))=0,,VLOOKUP(Y207,A2:D500,4,FALSE))</f>
        <v>#N/A</v>
      </c>
      <c r="AA207" s="56">
        <f>'Predictive Model'!P319</f>
        <v>0</v>
      </c>
      <c r="AB207" s="22" t="e">
        <f>IF(LEN(VLOOKUP(AA207,A2:D500,4,FALSE))=0,,VLOOKUP(AA207,A2:D500,4,FALSE))</f>
        <v>#N/A</v>
      </c>
      <c r="AC207" s="56">
        <f>'Consumption Model'!P324</f>
        <v>0</v>
      </c>
      <c r="AD207" s="22" t="e">
        <f>IF(LEN(VLOOKUP(AC207,A2:D500,4,FALSE))=0,,VLOOKUP(AC207,A2:D500,4,FALSE))</f>
        <v>#N/A</v>
      </c>
      <c r="AE207" s="22">
        <f>'(Data)'!Q320</f>
        <v>0</v>
      </c>
      <c r="AF207" s="22" t="e">
        <f>IF(LEN(VLOOKUP(AE206:AE207,A2:D500,4,FALSE))=0,,VLOOKUP(AE206:AE207,A2:D500,4,FALSE))</f>
        <v>#N/A</v>
      </c>
      <c r="AH207" s="45">
        <f>'Risk Charact Model'!P338</f>
        <v>0</v>
      </c>
      <c r="AI207" s="58" t="e">
        <f>IF(LEN(VLOOKUP(AH207,A2:D500,4,FALSE))=0,,VLOOKUP(AH207,A2:D500,4,FALSE))</f>
        <v>#N/A</v>
      </c>
    </row>
    <row r="208" spans="9:35" ht="14" x14ac:dyDescent="0.3">
      <c r="I208" s="60">
        <f>'Generic Metadata Schema'!P338</f>
        <v>0</v>
      </c>
      <c r="J208" s="22" t="e">
        <f>IF(LEN(VLOOKUP(I208,A2:D500,4,FALSE))=0,"",VLOOKUP(I208,A2:D500,4,FALSE))</f>
        <v>#N/A</v>
      </c>
      <c r="L208" s="56">
        <f>'Dose-response Model'!O322</f>
        <v>0</v>
      </c>
      <c r="M208" s="22" t="e">
        <f>IF(LEN(VLOOKUP(L208,A2:D500,4,FALSE))=0,,VLOOKUP(L208,A2:D500,4,FALSE))</f>
        <v>#N/A</v>
      </c>
      <c r="N208" s="22">
        <f>'Exposure Model'!O339</f>
        <v>0</v>
      </c>
      <c r="O208" s="22" t="e">
        <f>IF(LEN(VLOOKUP(N208,A2:D500,4,FALSE))=0,,VLOOKUP(N208,A2:D500,4,FALSE))</f>
        <v>#N/A</v>
      </c>
      <c r="P208" s="55">
        <f>'QRA Models'!P339</f>
        <v>0</v>
      </c>
      <c r="Q208" s="22" t="e">
        <f>IF(LEN(VLOOKUP(P208,A2:D500,4,FALSE))=0,,VLOOKUP(P208,A2:D500,4,FALSE))</f>
        <v>#N/A</v>
      </c>
      <c r="R208" s="56">
        <f>'Health metrics Models'!Q322</f>
        <v>0</v>
      </c>
      <c r="S208" s="22" t="e">
        <f>IF(LEN(VLOOKUP(R208,A2:D500,4,FALSE))=0,,VLOOKUP(R208,A2:D500,4,FALSE))</f>
        <v>#N/A</v>
      </c>
      <c r="T208" s="56">
        <f>'Process Model'!P320</f>
        <v>0</v>
      </c>
      <c r="U208" s="22" t="e">
        <f>IF(LEN(VLOOKUP(T208,A2:D500,4,FALSE))=0,,VLOOKUP(T208,A2:D500,4,FALSE))</f>
        <v>#N/A</v>
      </c>
      <c r="V208" s="56">
        <f>'Toxicological reference value M'!P322</f>
        <v>0</v>
      </c>
      <c r="W208" s="22" t="e">
        <f>IF(LEN(VLOOKUP(V208,A2:D500,4,FALSE))=0,,VLOOKUP(V208,A2:D500,4,FALSE))</f>
        <v>#N/A</v>
      </c>
      <c r="Y208" s="56">
        <f>'Other Empirical Model'!P333</f>
        <v>0</v>
      </c>
      <c r="Z208" s="22" t="e">
        <f>IF(LEN(VLOOKUP(Y208,A2:D500,4,FALSE))=0,,VLOOKUP(Y208,A2:D500,4,FALSE))</f>
        <v>#N/A</v>
      </c>
      <c r="AA208" s="56">
        <f>'Predictive Model'!P320</f>
        <v>0</v>
      </c>
      <c r="AB208" s="22" t="e">
        <f>IF(LEN(VLOOKUP(AA208,A2:D500,4,FALSE))=0,,VLOOKUP(AA208,A2:D500,4,FALSE))</f>
        <v>#N/A</v>
      </c>
      <c r="AC208" s="56">
        <f>'Consumption Model'!P325</f>
        <v>0</v>
      </c>
      <c r="AD208" s="22" t="e">
        <f>IF(LEN(VLOOKUP(AC208,A2:D500,4,FALSE))=0,,VLOOKUP(AC208,A2:D500,4,FALSE))</f>
        <v>#N/A</v>
      </c>
      <c r="AE208" s="22">
        <f>'(Data)'!Q321</f>
        <v>0</v>
      </c>
      <c r="AF208" s="22" t="e">
        <f>IF(LEN(VLOOKUP(AE207:AE208,A2:D500,4,FALSE))=0,,VLOOKUP(AE207:AE208,A2:D500,4,FALSE))</f>
        <v>#N/A</v>
      </c>
      <c r="AH208" s="45">
        <f>'Risk Charact Model'!P339</f>
        <v>0</v>
      </c>
      <c r="AI208" s="58" t="e">
        <f>IF(LEN(VLOOKUP(AH208,A2:D500,4,FALSE))=0,,VLOOKUP(AH208,A2:D500,4,FALSE))</f>
        <v>#N/A</v>
      </c>
    </row>
    <row r="209" spans="9:35" ht="14" x14ac:dyDescent="0.3">
      <c r="I209" s="60">
        <f>'Generic Metadata Schema'!P339</f>
        <v>0</v>
      </c>
      <c r="J209" s="22" t="e">
        <f>IF(LEN(VLOOKUP(I209,A2:D500,4,FALSE))=0,"",VLOOKUP(I209,A2:D500,4,FALSE))</f>
        <v>#N/A</v>
      </c>
      <c r="L209" s="56">
        <f>'Dose-response Model'!O323</f>
        <v>0</v>
      </c>
      <c r="M209" s="22" t="e">
        <f>IF(LEN(VLOOKUP(L209,A2:D500,4,FALSE))=0,,VLOOKUP(L209,A2:D500,4,FALSE))</f>
        <v>#N/A</v>
      </c>
      <c r="N209" s="22">
        <f>'Exposure Model'!O340</f>
        <v>0</v>
      </c>
      <c r="O209" s="22" t="e">
        <f>IF(LEN(VLOOKUP(N209,A2:D500,4,FALSE))=0,,VLOOKUP(N209,A2:D500,4,FALSE))</f>
        <v>#N/A</v>
      </c>
      <c r="P209" s="55">
        <f>'QRA Models'!P340</f>
        <v>0</v>
      </c>
      <c r="Q209" s="22" t="e">
        <f>IF(LEN(VLOOKUP(P209,A2:D500,4,FALSE))=0,,VLOOKUP(P209,A2:D500,4,FALSE))</f>
        <v>#N/A</v>
      </c>
      <c r="R209" s="56">
        <f>'Health metrics Models'!Q323</f>
        <v>0</v>
      </c>
      <c r="S209" s="22" t="e">
        <f>IF(LEN(VLOOKUP(R209,A2:D500,4,FALSE))=0,,VLOOKUP(R209,A2:D500,4,FALSE))</f>
        <v>#N/A</v>
      </c>
      <c r="T209" s="56">
        <f>'Process Model'!P321</f>
        <v>0</v>
      </c>
      <c r="U209" s="22" t="e">
        <f>IF(LEN(VLOOKUP(T209,A2:D500,4,FALSE))=0,,VLOOKUP(T209,A2:D500,4,FALSE))</f>
        <v>#N/A</v>
      </c>
      <c r="V209" s="56">
        <f>'Toxicological reference value M'!P323</f>
        <v>0</v>
      </c>
      <c r="W209" s="22" t="e">
        <f>IF(LEN(VLOOKUP(V209,A2:D500,4,FALSE))=0,,VLOOKUP(V209,A2:D500,4,FALSE))</f>
        <v>#N/A</v>
      </c>
      <c r="Y209" s="56">
        <f>'Other Empirical Model'!P334</f>
        <v>0</v>
      </c>
      <c r="Z209" s="22" t="e">
        <f>IF(LEN(VLOOKUP(Y209,A2:D500,4,FALSE))=0,,VLOOKUP(Y209,A2:D500,4,FALSE))</f>
        <v>#N/A</v>
      </c>
      <c r="AA209" s="56">
        <f>'Predictive Model'!P321</f>
        <v>0</v>
      </c>
      <c r="AB209" s="22" t="e">
        <f>IF(LEN(VLOOKUP(AA209,A2:D500,4,FALSE))=0,,VLOOKUP(AA209,A2:D500,4,FALSE))</f>
        <v>#N/A</v>
      </c>
      <c r="AC209" s="56">
        <f>'Consumption Model'!P326</f>
        <v>0</v>
      </c>
      <c r="AD209" s="22" t="e">
        <f>IF(LEN(VLOOKUP(AC209,A2:D500,4,FALSE))=0,,VLOOKUP(AC209,A2:D500,4,FALSE))</f>
        <v>#N/A</v>
      </c>
      <c r="AE209" s="22">
        <f>'(Data)'!Q322</f>
        <v>0</v>
      </c>
      <c r="AF209" s="22" t="e">
        <f>IF(LEN(VLOOKUP(AE208:AE209,A2:D500,4,FALSE))=0,,VLOOKUP(AE208:AE209,A2:D500,4,FALSE))</f>
        <v>#N/A</v>
      </c>
      <c r="AH209" s="45">
        <f>'Risk Charact Model'!P340</f>
        <v>0</v>
      </c>
      <c r="AI209" s="58" t="e">
        <f>IF(LEN(VLOOKUP(AH209,A2:D500,4,FALSE))=0,,VLOOKUP(AH209,A2:D500,4,FALSE))</f>
        <v>#N/A</v>
      </c>
    </row>
    <row r="210" spans="9:35" ht="14" x14ac:dyDescent="0.3">
      <c r="I210" s="60">
        <f>'Generic Metadata Schema'!P340</f>
        <v>0</v>
      </c>
      <c r="J210" s="22" t="e">
        <f>IF(LEN(VLOOKUP(I210,A2:D500,4,FALSE))=0,"",VLOOKUP(I210,A2:D500,4,FALSE))</f>
        <v>#N/A</v>
      </c>
      <c r="L210" s="56">
        <f>'Dose-response Model'!O324</f>
        <v>0</v>
      </c>
      <c r="M210" s="22" t="e">
        <f>IF(LEN(VLOOKUP(L210,A2:D500,4,FALSE))=0,,VLOOKUP(L210,A2:D500,4,FALSE))</f>
        <v>#N/A</v>
      </c>
      <c r="N210" s="22">
        <f>'Exposure Model'!O341</f>
        <v>0</v>
      </c>
      <c r="O210" s="22" t="e">
        <f>IF(LEN(VLOOKUP(N210,A2:D500,4,FALSE))=0,,VLOOKUP(N210,A2:D500,4,FALSE))</f>
        <v>#N/A</v>
      </c>
      <c r="P210" s="55">
        <f>'QRA Models'!P341</f>
        <v>0</v>
      </c>
      <c r="Q210" s="22" t="e">
        <f>IF(LEN(VLOOKUP(P210,A2:D500,4,FALSE))=0,,VLOOKUP(P210,A2:D500,4,FALSE))</f>
        <v>#N/A</v>
      </c>
      <c r="R210" s="56">
        <f>'Health metrics Models'!Q324</f>
        <v>0</v>
      </c>
      <c r="S210" s="22" t="e">
        <f>IF(LEN(VLOOKUP(R210,A2:D500,4,FALSE))=0,,VLOOKUP(R210,A2:D500,4,FALSE))</f>
        <v>#N/A</v>
      </c>
      <c r="T210" s="56">
        <f>'Process Model'!P322</f>
        <v>0</v>
      </c>
      <c r="U210" s="22" t="e">
        <f>IF(LEN(VLOOKUP(T210,A2:D500,4,FALSE))=0,,VLOOKUP(T210,A2:D500,4,FALSE))</f>
        <v>#N/A</v>
      </c>
      <c r="V210" s="56">
        <f>'Toxicological reference value M'!P324</f>
        <v>0</v>
      </c>
      <c r="W210" s="22" t="e">
        <f>IF(LEN(VLOOKUP(V210,A2:D500,4,FALSE))=0,,VLOOKUP(V210,A2:D500,4,FALSE))</f>
        <v>#N/A</v>
      </c>
      <c r="Y210" s="56">
        <f>'Other Empirical Model'!P335</f>
        <v>0</v>
      </c>
      <c r="Z210" s="22" t="e">
        <f>IF(LEN(VLOOKUP(Y210,A2:D500,4,FALSE))=0,,VLOOKUP(Y210,A2:D500,4,FALSE))</f>
        <v>#N/A</v>
      </c>
      <c r="AA210" s="56">
        <f>'Predictive Model'!P322</f>
        <v>0</v>
      </c>
      <c r="AB210" s="22" t="e">
        <f>IF(LEN(VLOOKUP(AA210,A2:D500,4,FALSE))=0,,VLOOKUP(AA210,A2:D500,4,FALSE))</f>
        <v>#N/A</v>
      </c>
      <c r="AC210" s="56">
        <f>'Consumption Model'!P327</f>
        <v>0</v>
      </c>
      <c r="AD210" s="22" t="e">
        <f>IF(LEN(VLOOKUP(AC210,A2:D500,4,FALSE))=0,,VLOOKUP(AC210,A2:D500,4,FALSE))</f>
        <v>#N/A</v>
      </c>
      <c r="AE210" s="22">
        <f>'(Data)'!Q323</f>
        <v>0</v>
      </c>
      <c r="AF210" s="22" t="e">
        <f>IF(LEN(VLOOKUP(AE209:AE210,A2:D500,4,FALSE))=0,,VLOOKUP(AE209:AE210,A2:D500,4,FALSE))</f>
        <v>#N/A</v>
      </c>
      <c r="AH210" s="45">
        <f>'Risk Charact Model'!P341</f>
        <v>0</v>
      </c>
      <c r="AI210" s="58" t="e">
        <f>IF(LEN(VLOOKUP(AH210,A2:D500,4,FALSE))=0,,VLOOKUP(AH210,A2:D500,4,FALSE))</f>
        <v>#N/A</v>
      </c>
    </row>
    <row r="211" spans="9:35" ht="14" x14ac:dyDescent="0.3">
      <c r="I211" s="60">
        <f>'Generic Metadata Schema'!P341</f>
        <v>0</v>
      </c>
      <c r="J211" s="22" t="e">
        <f>IF(LEN(VLOOKUP(I211,A2:D500,4,FALSE))=0,"",VLOOKUP(I211,A2:D500,4,FALSE))</f>
        <v>#N/A</v>
      </c>
      <c r="L211" s="56">
        <f>'Dose-response Model'!O325</f>
        <v>0</v>
      </c>
      <c r="M211" s="22" t="e">
        <f>IF(LEN(VLOOKUP(L211,A2:D500,4,FALSE))=0,,VLOOKUP(L211,A2:D500,4,FALSE))</f>
        <v>#N/A</v>
      </c>
      <c r="N211" s="22">
        <f>'Exposure Model'!O342</f>
        <v>0</v>
      </c>
      <c r="O211" s="22" t="e">
        <f>IF(LEN(VLOOKUP(N211,A2:D500,4,FALSE))=0,,VLOOKUP(N211,A2:D500,4,FALSE))</f>
        <v>#N/A</v>
      </c>
      <c r="P211" s="55">
        <f>'QRA Models'!P342</f>
        <v>0</v>
      </c>
      <c r="Q211" s="22" t="e">
        <f>IF(LEN(VLOOKUP(P211,A2:D500,4,FALSE))=0,,VLOOKUP(P211,A2:D500,4,FALSE))</f>
        <v>#N/A</v>
      </c>
      <c r="R211" s="56">
        <f>'Health metrics Models'!Q325</f>
        <v>0</v>
      </c>
      <c r="S211" s="22" t="e">
        <f>IF(LEN(VLOOKUP(R211,A2:D500,4,FALSE))=0,,VLOOKUP(R211,A2:D500,4,FALSE))</f>
        <v>#N/A</v>
      </c>
      <c r="T211" s="56">
        <f>'Process Model'!P323</f>
        <v>0</v>
      </c>
      <c r="U211" s="22" t="e">
        <f>IF(LEN(VLOOKUP(T211,A2:D500,4,FALSE))=0,,VLOOKUP(T211,A2:D500,4,FALSE))</f>
        <v>#N/A</v>
      </c>
      <c r="V211" s="56">
        <f>'Toxicological reference value M'!P325</f>
        <v>0</v>
      </c>
      <c r="W211" s="22" t="e">
        <f>IF(LEN(VLOOKUP(V211,A2:D500,4,FALSE))=0,,VLOOKUP(V211,A2:D500,4,FALSE))</f>
        <v>#N/A</v>
      </c>
      <c r="Y211" s="56">
        <f>'Other Empirical Model'!P336</f>
        <v>0</v>
      </c>
      <c r="Z211" s="22" t="e">
        <f>IF(LEN(VLOOKUP(Y211,A2:D500,4,FALSE))=0,,VLOOKUP(Y211,A2:D500,4,FALSE))</f>
        <v>#N/A</v>
      </c>
      <c r="AA211" s="56">
        <f>'Predictive Model'!P323</f>
        <v>0</v>
      </c>
      <c r="AB211" s="22" t="e">
        <f>IF(LEN(VLOOKUP(AA211,A2:D500,4,FALSE))=0,,VLOOKUP(AA211,A2:D500,4,FALSE))</f>
        <v>#N/A</v>
      </c>
      <c r="AC211" s="56">
        <f>'Consumption Model'!P328</f>
        <v>0</v>
      </c>
      <c r="AD211" s="22" t="e">
        <f>IF(LEN(VLOOKUP(AC211,A2:D500,4,FALSE))=0,,VLOOKUP(AC211,A2:D500,4,FALSE))</f>
        <v>#N/A</v>
      </c>
      <c r="AE211" s="22">
        <f>'(Data)'!Q324</f>
        <v>0</v>
      </c>
      <c r="AF211" s="22" t="e">
        <f>IF(LEN(VLOOKUP(AE210:AE211,A2:D500,4,FALSE))=0,,VLOOKUP(AE210:AE211,A2:D500,4,FALSE))</f>
        <v>#N/A</v>
      </c>
      <c r="AH211" s="45">
        <f>'Risk Charact Model'!P342</f>
        <v>0</v>
      </c>
      <c r="AI211" s="58" t="e">
        <f>IF(LEN(VLOOKUP(AH211,A2:D500,4,FALSE))=0,,VLOOKUP(AH211,A2:D500,4,FALSE))</f>
        <v>#N/A</v>
      </c>
    </row>
    <row r="212" spans="9:35" ht="14" x14ac:dyDescent="0.3">
      <c r="I212" s="60">
        <f>'Generic Metadata Schema'!P342</f>
        <v>0</v>
      </c>
      <c r="J212" s="22" t="e">
        <f>IF(LEN(VLOOKUP(I212,A2:D500,4,FALSE))=0,"",VLOOKUP(I212,A2:D500,4,FALSE))</f>
        <v>#N/A</v>
      </c>
      <c r="L212" s="56">
        <f>'Dose-response Model'!O326</f>
        <v>0</v>
      </c>
      <c r="M212" s="22" t="e">
        <f>IF(LEN(VLOOKUP(L212,A2:D500,4,FALSE))=0,,VLOOKUP(L212,A2:D500,4,FALSE))</f>
        <v>#N/A</v>
      </c>
      <c r="N212" s="22">
        <f>'Exposure Model'!O343</f>
        <v>0</v>
      </c>
      <c r="O212" s="22" t="e">
        <f>IF(LEN(VLOOKUP(N212,A2:D500,4,FALSE))=0,,VLOOKUP(N212,A2:D500,4,FALSE))</f>
        <v>#N/A</v>
      </c>
      <c r="P212" s="55">
        <f>'QRA Models'!P343</f>
        <v>0</v>
      </c>
      <c r="Q212" s="22" t="e">
        <f>IF(LEN(VLOOKUP(P212,A2:D500,4,FALSE))=0,,VLOOKUP(P212,A2:D500,4,FALSE))</f>
        <v>#N/A</v>
      </c>
      <c r="R212" s="56">
        <f>'Health metrics Models'!Q326</f>
        <v>0</v>
      </c>
      <c r="S212" s="22" t="e">
        <f>IF(LEN(VLOOKUP(R212,A2:D500,4,FALSE))=0,,VLOOKUP(R212,A2:D500,4,FALSE))</f>
        <v>#N/A</v>
      </c>
      <c r="T212" s="56">
        <f>'Process Model'!P324</f>
        <v>0</v>
      </c>
      <c r="U212" s="22" t="e">
        <f>IF(LEN(VLOOKUP(T212,A2:D500,4,FALSE))=0,,VLOOKUP(T212,A2:D500,4,FALSE))</f>
        <v>#N/A</v>
      </c>
      <c r="V212" s="56">
        <f>'Toxicological reference value M'!P326</f>
        <v>0</v>
      </c>
      <c r="W212" s="22" t="e">
        <f>IF(LEN(VLOOKUP(V212,A2:D500,4,FALSE))=0,,VLOOKUP(V212,A2:D500,4,FALSE))</f>
        <v>#N/A</v>
      </c>
      <c r="Y212" s="56">
        <f>'Other Empirical Model'!P337</f>
        <v>0</v>
      </c>
      <c r="Z212" s="22" t="e">
        <f>IF(LEN(VLOOKUP(Y212,A2:D500,4,FALSE))=0,,VLOOKUP(Y212,A2:D500,4,FALSE))</f>
        <v>#N/A</v>
      </c>
      <c r="AA212" s="56">
        <f>'Predictive Model'!P324</f>
        <v>0</v>
      </c>
      <c r="AB212" s="22" t="e">
        <f>IF(LEN(VLOOKUP(AA212,A2:D500,4,FALSE))=0,,VLOOKUP(AA212,A2:D500,4,FALSE))</f>
        <v>#N/A</v>
      </c>
      <c r="AC212" s="56">
        <f>'Consumption Model'!P329</f>
        <v>0</v>
      </c>
      <c r="AD212" s="22" t="e">
        <f>IF(LEN(VLOOKUP(AC212,A2:D500,4,FALSE))=0,,VLOOKUP(AC212,A2:D500,4,FALSE))</f>
        <v>#N/A</v>
      </c>
      <c r="AE212" s="22">
        <f>'(Data)'!Q325</f>
        <v>0</v>
      </c>
      <c r="AF212" s="22" t="e">
        <f>IF(LEN(VLOOKUP(AE211:AE212,A2:D500,4,FALSE))=0,,VLOOKUP(AE211:AE212,A2:D500,4,FALSE))</f>
        <v>#N/A</v>
      </c>
      <c r="AH212" s="45">
        <f>'Risk Charact Model'!P343</f>
        <v>0</v>
      </c>
      <c r="AI212" s="58" t="e">
        <f>IF(LEN(VLOOKUP(AH212,A2:D500,4,FALSE))=0,,VLOOKUP(AH212,A2:D500,4,FALSE))</f>
        <v>#N/A</v>
      </c>
    </row>
    <row r="213" spans="9:35" ht="14" x14ac:dyDescent="0.3">
      <c r="I213" s="60">
        <f>'Generic Metadata Schema'!P343</f>
        <v>0</v>
      </c>
      <c r="J213" s="22" t="e">
        <f>IF(LEN(VLOOKUP(I213,A2:D500,4,FALSE))=0,"",VLOOKUP(I213,A2:D500,4,FALSE))</f>
        <v>#N/A</v>
      </c>
      <c r="L213" s="56">
        <f>'Dose-response Model'!O327</f>
        <v>0</v>
      </c>
      <c r="M213" s="22" t="e">
        <f>IF(LEN(VLOOKUP(L213,A2:D500,4,FALSE))=0,,VLOOKUP(L213,A2:D500,4,FALSE))</f>
        <v>#N/A</v>
      </c>
      <c r="N213" s="22">
        <f>'Exposure Model'!O344</f>
        <v>0</v>
      </c>
      <c r="O213" s="22" t="e">
        <f>IF(LEN(VLOOKUP(N213,A2:D500,4,FALSE))=0,,VLOOKUP(N213,A2:D500,4,FALSE))</f>
        <v>#N/A</v>
      </c>
      <c r="P213" s="55">
        <f>'QRA Models'!P344</f>
        <v>0</v>
      </c>
      <c r="Q213" s="22" t="e">
        <f>IF(LEN(VLOOKUP(P213,A2:D500,4,FALSE))=0,,VLOOKUP(P213,A2:D500,4,FALSE))</f>
        <v>#N/A</v>
      </c>
      <c r="R213" s="56">
        <f>'Health metrics Models'!Q327</f>
        <v>0</v>
      </c>
      <c r="S213" s="22" t="e">
        <f>IF(LEN(VLOOKUP(R213,A2:D500,4,FALSE))=0,,VLOOKUP(R213,A2:D500,4,FALSE))</f>
        <v>#N/A</v>
      </c>
      <c r="T213" s="56">
        <f>'Process Model'!P325</f>
        <v>0</v>
      </c>
      <c r="U213" s="22" t="e">
        <f>IF(LEN(VLOOKUP(T213,A2:D500,4,FALSE))=0,,VLOOKUP(T213,A2:D500,4,FALSE))</f>
        <v>#N/A</v>
      </c>
      <c r="V213" s="56">
        <f>'Toxicological reference value M'!P327</f>
        <v>0</v>
      </c>
      <c r="W213" s="22" t="e">
        <f>IF(LEN(VLOOKUP(V213,A2:D500,4,FALSE))=0,,VLOOKUP(V213,A2:D500,4,FALSE))</f>
        <v>#N/A</v>
      </c>
      <c r="Y213" s="56">
        <f>'Other Empirical Model'!P338</f>
        <v>0</v>
      </c>
      <c r="Z213" s="22" t="e">
        <f>IF(LEN(VLOOKUP(Y213,A2:D500,4,FALSE))=0,,VLOOKUP(Y213,A2:D500,4,FALSE))</f>
        <v>#N/A</v>
      </c>
      <c r="AA213" s="56">
        <f>'Predictive Model'!P325</f>
        <v>0</v>
      </c>
      <c r="AB213" s="22" t="e">
        <f>IF(LEN(VLOOKUP(AA213,A2:D500,4,FALSE))=0,,VLOOKUP(AA213,A2:D500,4,FALSE))</f>
        <v>#N/A</v>
      </c>
      <c r="AC213" s="56">
        <f>'Consumption Model'!P330</f>
        <v>0</v>
      </c>
      <c r="AD213" s="22" t="e">
        <f>IF(LEN(VLOOKUP(AC213,A2:D500,4,FALSE))=0,,VLOOKUP(AC213,A2:D500,4,FALSE))</f>
        <v>#N/A</v>
      </c>
      <c r="AE213" s="22">
        <f>'(Data)'!Q326</f>
        <v>0</v>
      </c>
      <c r="AF213" s="22" t="e">
        <f>IF(LEN(VLOOKUP(AE212:AE213,A2:D500,4,FALSE))=0,,VLOOKUP(AE212:AE213,A2:D500,4,FALSE))</f>
        <v>#N/A</v>
      </c>
      <c r="AH213" s="45">
        <f>'Risk Charact Model'!P344</f>
        <v>0</v>
      </c>
      <c r="AI213" s="58" t="e">
        <f>IF(LEN(VLOOKUP(AH213,A2:D500,4,FALSE))=0,,VLOOKUP(AH213,A2:D500,4,FALSE))</f>
        <v>#N/A</v>
      </c>
    </row>
    <row r="214" spans="9:35" ht="14" x14ac:dyDescent="0.3">
      <c r="I214" s="60">
        <f>'Generic Metadata Schema'!P344</f>
        <v>0</v>
      </c>
      <c r="J214" s="22" t="e">
        <f>IF(LEN(VLOOKUP(I214,A2:D500,4,FALSE))=0,"",VLOOKUP(I214,A2:D500,4,FALSE))</f>
        <v>#N/A</v>
      </c>
      <c r="L214" s="56">
        <f>'Dose-response Model'!O328</f>
        <v>0</v>
      </c>
      <c r="M214" s="22" t="e">
        <f>IF(LEN(VLOOKUP(L214,A2:D500,4,FALSE))=0,,VLOOKUP(L214,A2:D500,4,FALSE))</f>
        <v>#N/A</v>
      </c>
      <c r="N214" s="22">
        <f>'Exposure Model'!O345</f>
        <v>0</v>
      </c>
      <c r="O214" s="22" t="e">
        <f>IF(LEN(VLOOKUP(N214,A2:D500,4,FALSE))=0,,VLOOKUP(N214,A2:D500,4,FALSE))</f>
        <v>#N/A</v>
      </c>
      <c r="P214" s="55">
        <f>'QRA Models'!P345</f>
        <v>0</v>
      </c>
      <c r="Q214" s="22" t="e">
        <f>IF(LEN(VLOOKUP(P214,A2:D500,4,FALSE))=0,,VLOOKUP(P214,A2:D500,4,FALSE))</f>
        <v>#N/A</v>
      </c>
      <c r="R214" s="56">
        <f>'Health metrics Models'!Q328</f>
        <v>0</v>
      </c>
      <c r="S214" s="22" t="e">
        <f>IF(LEN(VLOOKUP(R214,A2:D500,4,FALSE))=0,,VLOOKUP(R214,A2:D500,4,FALSE))</f>
        <v>#N/A</v>
      </c>
      <c r="T214" s="56">
        <f>'Process Model'!P326</f>
        <v>0</v>
      </c>
      <c r="U214" s="22" t="e">
        <f>IF(LEN(VLOOKUP(T214,A2:D500,4,FALSE))=0,,VLOOKUP(T214,A2:D500,4,FALSE))</f>
        <v>#N/A</v>
      </c>
      <c r="V214" s="56">
        <f>'Toxicological reference value M'!P328</f>
        <v>0</v>
      </c>
      <c r="W214" s="22" t="e">
        <f>IF(LEN(VLOOKUP(V214,A2:D500,4,FALSE))=0,,VLOOKUP(V214,A2:D500,4,FALSE))</f>
        <v>#N/A</v>
      </c>
      <c r="Y214" s="56">
        <f>'Other Empirical Model'!P339</f>
        <v>0</v>
      </c>
      <c r="Z214" s="22" t="e">
        <f>IF(LEN(VLOOKUP(Y214,A2:D500,4,FALSE))=0,,VLOOKUP(Y214,A2:D500,4,FALSE))</f>
        <v>#N/A</v>
      </c>
      <c r="AA214" s="56">
        <f>'Predictive Model'!P326</f>
        <v>0</v>
      </c>
      <c r="AB214" s="22" t="e">
        <f>IF(LEN(VLOOKUP(AA214,A2:D500,4,FALSE))=0,,VLOOKUP(AA214,A2:D500,4,FALSE))</f>
        <v>#N/A</v>
      </c>
      <c r="AC214" s="56">
        <f>'Consumption Model'!P331</f>
        <v>0</v>
      </c>
      <c r="AD214" s="22" t="e">
        <f>IF(LEN(VLOOKUP(AC214,A2:D500,4,FALSE))=0,,VLOOKUP(AC214,A2:D500,4,FALSE))</f>
        <v>#N/A</v>
      </c>
      <c r="AE214" s="22">
        <f>'(Data)'!Q327</f>
        <v>0</v>
      </c>
      <c r="AF214" s="22" t="e">
        <f>IF(LEN(VLOOKUP(AE213:AE214,A2:D500,4,FALSE))=0,,VLOOKUP(AE213:AE214,A2:D500,4,FALSE))</f>
        <v>#N/A</v>
      </c>
      <c r="AH214" s="45">
        <f>'Risk Charact Model'!P345</f>
        <v>0</v>
      </c>
      <c r="AI214" s="58" t="e">
        <f>IF(LEN(VLOOKUP(AH214,A2:D500,4,FALSE))=0,,VLOOKUP(AH214,A2:D500,4,FALSE))</f>
        <v>#N/A</v>
      </c>
    </row>
    <row r="215" spans="9:35" ht="14" x14ac:dyDescent="0.3">
      <c r="I215" s="60">
        <f>'Generic Metadata Schema'!P345</f>
        <v>0</v>
      </c>
      <c r="J215" s="22" t="e">
        <f>IF(LEN(VLOOKUP(I215,A2:D500,4,FALSE))=0,"",VLOOKUP(I215,A2:D500,4,FALSE))</f>
        <v>#N/A</v>
      </c>
      <c r="L215" s="56">
        <f>'Dose-response Model'!O329</f>
        <v>0</v>
      </c>
      <c r="M215" s="22" t="e">
        <f>IF(LEN(VLOOKUP(L215,A2:D500,4,FALSE))=0,,VLOOKUP(L215,A2:D500,4,FALSE))</f>
        <v>#N/A</v>
      </c>
      <c r="N215" s="22">
        <f>'Exposure Model'!O346</f>
        <v>0</v>
      </c>
      <c r="O215" s="22" t="e">
        <f>IF(LEN(VLOOKUP(N215,A2:D500,4,FALSE))=0,,VLOOKUP(N215,A2:D500,4,FALSE))</f>
        <v>#N/A</v>
      </c>
      <c r="P215" s="55">
        <f>'QRA Models'!P346</f>
        <v>0</v>
      </c>
      <c r="Q215" s="22" t="e">
        <f>IF(LEN(VLOOKUP(P215,A2:D500,4,FALSE))=0,,VLOOKUP(P215,A2:D500,4,FALSE))</f>
        <v>#N/A</v>
      </c>
      <c r="R215" s="56">
        <f>'Health metrics Models'!Q329</f>
        <v>0</v>
      </c>
      <c r="S215" s="22" t="e">
        <f>IF(LEN(VLOOKUP(R215,A2:D500,4,FALSE))=0,,VLOOKUP(R215,A2:D500,4,FALSE))</f>
        <v>#N/A</v>
      </c>
      <c r="T215" s="56">
        <f>'Process Model'!P327</f>
        <v>0</v>
      </c>
      <c r="U215" s="22" t="e">
        <f>IF(LEN(VLOOKUP(T215,A2:D500,4,FALSE))=0,,VLOOKUP(T215,A2:D500,4,FALSE))</f>
        <v>#N/A</v>
      </c>
      <c r="V215" s="56">
        <f>'Toxicological reference value M'!P329</f>
        <v>0</v>
      </c>
      <c r="W215" s="22" t="e">
        <f>IF(LEN(VLOOKUP(V215,A2:D500,4,FALSE))=0,,VLOOKUP(V215,A2:D500,4,FALSE))</f>
        <v>#N/A</v>
      </c>
      <c r="Y215" s="56">
        <f>'Other Empirical Model'!P340</f>
        <v>0</v>
      </c>
      <c r="Z215" s="22" t="e">
        <f>IF(LEN(VLOOKUP(Y215,A2:D500,4,FALSE))=0,,VLOOKUP(Y215,A2:D500,4,FALSE))</f>
        <v>#N/A</v>
      </c>
      <c r="AA215" s="56">
        <f>'Predictive Model'!P327</f>
        <v>0</v>
      </c>
      <c r="AB215" s="22" t="e">
        <f>IF(LEN(VLOOKUP(AA215,A2:D500,4,FALSE))=0,,VLOOKUP(AA215,A2:D500,4,FALSE))</f>
        <v>#N/A</v>
      </c>
      <c r="AC215" s="56">
        <f>'Consumption Model'!P332</f>
        <v>0</v>
      </c>
      <c r="AD215" s="22" t="e">
        <f>IF(LEN(VLOOKUP(AC215,A2:D500,4,FALSE))=0,,VLOOKUP(AC215,A2:D500,4,FALSE))</f>
        <v>#N/A</v>
      </c>
      <c r="AE215" s="22">
        <f>'(Data)'!Q328</f>
        <v>0</v>
      </c>
      <c r="AF215" s="22" t="e">
        <f>IF(LEN(VLOOKUP(AE214:AE215,A2:D500,4,FALSE))=0,,VLOOKUP(AE214:AE215,A2:D500,4,FALSE))</f>
        <v>#N/A</v>
      </c>
      <c r="AH215" s="45">
        <f>'Risk Charact Model'!P346</f>
        <v>0</v>
      </c>
      <c r="AI215" s="58" t="e">
        <f>IF(LEN(VLOOKUP(AH215,A2:D500,4,FALSE))=0,,VLOOKUP(AH215,A2:D500,4,FALSE))</f>
        <v>#N/A</v>
      </c>
    </row>
    <row r="216" spans="9:35" ht="14" x14ac:dyDescent="0.3">
      <c r="I216" s="60">
        <f>'Generic Metadata Schema'!P346</f>
        <v>0</v>
      </c>
      <c r="J216" s="22" t="e">
        <f>IF(LEN(VLOOKUP(I216,A2:D500,4,FALSE))=0,"",VLOOKUP(I216,A2:D500,4,FALSE))</f>
        <v>#N/A</v>
      </c>
      <c r="L216" s="56">
        <f>'Dose-response Model'!O330</f>
        <v>0</v>
      </c>
      <c r="M216" s="22" t="e">
        <f>IF(LEN(VLOOKUP(L216,A2:D500,4,FALSE))=0,,VLOOKUP(L216,A2:D500,4,FALSE))</f>
        <v>#N/A</v>
      </c>
      <c r="N216" s="22">
        <f>'Exposure Model'!O347</f>
        <v>0</v>
      </c>
      <c r="O216" s="22" t="e">
        <f>IF(LEN(VLOOKUP(N216,A2:D500,4,FALSE))=0,,VLOOKUP(N216,A2:D500,4,FALSE))</f>
        <v>#N/A</v>
      </c>
      <c r="P216" s="55">
        <f>'QRA Models'!P347</f>
        <v>0</v>
      </c>
      <c r="Q216" s="22" t="e">
        <f>IF(LEN(VLOOKUP(P216,A2:D500,4,FALSE))=0,,VLOOKUP(P216,A2:D500,4,FALSE))</f>
        <v>#N/A</v>
      </c>
      <c r="R216" s="56">
        <f>'Health metrics Models'!Q330</f>
        <v>0</v>
      </c>
      <c r="S216" s="22" t="e">
        <f>IF(LEN(VLOOKUP(R216,A2:D500,4,FALSE))=0,,VLOOKUP(R216,A2:D500,4,FALSE))</f>
        <v>#N/A</v>
      </c>
      <c r="T216" s="56">
        <f>'Process Model'!P328</f>
        <v>0</v>
      </c>
      <c r="U216" s="22" t="e">
        <f>IF(LEN(VLOOKUP(T216,A2:D500,4,FALSE))=0,,VLOOKUP(T216,A2:D500,4,FALSE))</f>
        <v>#N/A</v>
      </c>
      <c r="V216" s="56">
        <f>'Toxicological reference value M'!P330</f>
        <v>0</v>
      </c>
      <c r="W216" s="22" t="e">
        <f>IF(LEN(VLOOKUP(V216,A2:D500,4,FALSE))=0,,VLOOKUP(V216,A2:D500,4,FALSE))</f>
        <v>#N/A</v>
      </c>
      <c r="Y216" s="56">
        <f>'Other Empirical Model'!P341</f>
        <v>0</v>
      </c>
      <c r="Z216" s="22" t="e">
        <f>IF(LEN(VLOOKUP(Y216,A2:D500,4,FALSE))=0,,VLOOKUP(Y216,A2:D500,4,FALSE))</f>
        <v>#N/A</v>
      </c>
      <c r="AA216" s="56">
        <f>'Predictive Model'!P328</f>
        <v>0</v>
      </c>
      <c r="AB216" s="22" t="e">
        <f>IF(LEN(VLOOKUP(AA216,A2:D500,4,FALSE))=0,,VLOOKUP(AA216,A2:D500,4,FALSE))</f>
        <v>#N/A</v>
      </c>
      <c r="AC216" s="56">
        <f>'Consumption Model'!P333</f>
        <v>0</v>
      </c>
      <c r="AD216" s="22" t="e">
        <f>IF(LEN(VLOOKUP(AC216,A2:D500,4,FALSE))=0,,VLOOKUP(AC216,A2:D500,4,FALSE))</f>
        <v>#N/A</v>
      </c>
      <c r="AE216" s="22">
        <f>'(Data)'!Q329</f>
        <v>0</v>
      </c>
      <c r="AF216" s="22" t="e">
        <f>IF(LEN(VLOOKUP(AE215:AE216,A2:D500,4,FALSE))=0,,VLOOKUP(AE215:AE216,A2:D500,4,FALSE))</f>
        <v>#N/A</v>
      </c>
      <c r="AH216" s="45">
        <f>'Risk Charact Model'!P347</f>
        <v>0</v>
      </c>
      <c r="AI216" s="58" t="e">
        <f>IF(LEN(VLOOKUP(AH216,A2:D500,4,FALSE))=0,,VLOOKUP(AH216,A2:D500,4,FALSE))</f>
        <v>#N/A</v>
      </c>
    </row>
    <row r="217" spans="9:35" ht="14" x14ac:dyDescent="0.3">
      <c r="I217" s="60">
        <f>'Generic Metadata Schema'!P347</f>
        <v>0</v>
      </c>
      <c r="J217" s="22" t="e">
        <f>IF(LEN(VLOOKUP(I217,A2:D500,4,FALSE))=0,"",VLOOKUP(I217,A2:D500,4,FALSE))</f>
        <v>#N/A</v>
      </c>
      <c r="L217" s="56">
        <f>'Dose-response Model'!O331</f>
        <v>0</v>
      </c>
      <c r="M217" s="22" t="e">
        <f>IF(LEN(VLOOKUP(L217,A2:D500,4,FALSE))=0,,VLOOKUP(L217,A2:D500,4,FALSE))</f>
        <v>#N/A</v>
      </c>
      <c r="N217" s="22">
        <f>'Exposure Model'!O348</f>
        <v>0</v>
      </c>
      <c r="O217" s="22" t="e">
        <f>IF(LEN(VLOOKUP(N217,A2:D500,4,FALSE))=0,,VLOOKUP(N217,A2:D500,4,FALSE))</f>
        <v>#N/A</v>
      </c>
      <c r="P217" s="55">
        <f>'QRA Models'!P348</f>
        <v>0</v>
      </c>
      <c r="Q217" s="22" t="e">
        <f>IF(LEN(VLOOKUP(P217,A2:D500,4,FALSE))=0,,VLOOKUP(P217,A2:D500,4,FALSE))</f>
        <v>#N/A</v>
      </c>
      <c r="R217" s="56">
        <f>'Health metrics Models'!Q331</f>
        <v>0</v>
      </c>
      <c r="S217" s="22" t="e">
        <f>IF(LEN(VLOOKUP(R217,A2:D500,4,FALSE))=0,,VLOOKUP(R217,A2:D500,4,FALSE))</f>
        <v>#N/A</v>
      </c>
      <c r="T217" s="56">
        <f>'Process Model'!P329</f>
        <v>0</v>
      </c>
      <c r="U217" s="22" t="e">
        <f>IF(LEN(VLOOKUP(T217,A2:D500,4,FALSE))=0,,VLOOKUP(T217,A2:D500,4,FALSE))</f>
        <v>#N/A</v>
      </c>
      <c r="V217" s="56">
        <f>'Toxicological reference value M'!P331</f>
        <v>0</v>
      </c>
      <c r="W217" s="22" t="e">
        <f>IF(LEN(VLOOKUP(V217,A2:D500,4,FALSE))=0,,VLOOKUP(V217,A2:D500,4,FALSE))</f>
        <v>#N/A</v>
      </c>
      <c r="Y217" s="56">
        <f>'Other Empirical Model'!P342</f>
        <v>0</v>
      </c>
      <c r="Z217" s="22" t="e">
        <f>IF(LEN(VLOOKUP(Y217,A2:D500,4,FALSE))=0,,VLOOKUP(Y217,A2:D500,4,FALSE))</f>
        <v>#N/A</v>
      </c>
      <c r="AA217" s="56">
        <f>'Predictive Model'!P329</f>
        <v>0</v>
      </c>
      <c r="AB217" s="22" t="e">
        <f>IF(LEN(VLOOKUP(AA217,A2:D500,4,FALSE))=0,,VLOOKUP(AA217,A2:D500,4,FALSE))</f>
        <v>#N/A</v>
      </c>
      <c r="AC217" s="56">
        <f>'Consumption Model'!P334</f>
        <v>0</v>
      </c>
      <c r="AD217" s="22" t="e">
        <f>IF(LEN(VLOOKUP(AC217,A2:D500,4,FALSE))=0,,VLOOKUP(AC217,A2:D500,4,FALSE))</f>
        <v>#N/A</v>
      </c>
      <c r="AE217" s="22">
        <f>'(Data)'!Q330</f>
        <v>0</v>
      </c>
      <c r="AF217" s="22" t="e">
        <f>IF(LEN(VLOOKUP(AE216:AE217,A2:D500,4,FALSE))=0,,VLOOKUP(AE216:AE217,A2:D500,4,FALSE))</f>
        <v>#N/A</v>
      </c>
      <c r="AH217" s="45">
        <f>'Risk Charact Model'!P348</f>
        <v>0</v>
      </c>
      <c r="AI217" s="58" t="e">
        <f>IF(LEN(VLOOKUP(AH217,A2:D500,4,FALSE))=0,,VLOOKUP(AH217,A2:D500,4,FALSE))</f>
        <v>#N/A</v>
      </c>
    </row>
    <row r="218" spans="9:35" ht="14" x14ac:dyDescent="0.3">
      <c r="I218" s="60">
        <f>'Generic Metadata Schema'!P348</f>
        <v>0</v>
      </c>
      <c r="J218" s="22" t="e">
        <f>IF(LEN(VLOOKUP(I218,A2:D500,4,FALSE))=0,"",VLOOKUP(I218,A2:D500,4,FALSE))</f>
        <v>#N/A</v>
      </c>
      <c r="L218" s="56">
        <f>'Dose-response Model'!O332</f>
        <v>0</v>
      </c>
      <c r="M218" s="22" t="e">
        <f>IF(LEN(VLOOKUP(L218,A2:D500,4,FALSE))=0,,VLOOKUP(L218,A2:D500,4,FALSE))</f>
        <v>#N/A</v>
      </c>
      <c r="N218" s="22">
        <f>'Exposure Model'!O349</f>
        <v>0</v>
      </c>
      <c r="O218" s="22" t="e">
        <f>IF(LEN(VLOOKUP(N218,A2:D500,4,FALSE))=0,,VLOOKUP(N218,A2:D500,4,FALSE))</f>
        <v>#N/A</v>
      </c>
      <c r="P218" s="55">
        <f>'QRA Models'!P349</f>
        <v>0</v>
      </c>
      <c r="Q218" s="22" t="e">
        <f>IF(LEN(VLOOKUP(P218,A2:D500,4,FALSE))=0,,VLOOKUP(P218,A2:D500,4,FALSE))</f>
        <v>#N/A</v>
      </c>
      <c r="R218" s="56">
        <f>'Health metrics Models'!Q332</f>
        <v>0</v>
      </c>
      <c r="S218" s="22" t="e">
        <f>IF(LEN(VLOOKUP(R218,A2:D500,4,FALSE))=0,,VLOOKUP(R218,A2:D500,4,FALSE))</f>
        <v>#N/A</v>
      </c>
      <c r="T218" s="56">
        <f>'Process Model'!P330</f>
        <v>0</v>
      </c>
      <c r="U218" s="22" t="e">
        <f>IF(LEN(VLOOKUP(T218,A2:D500,4,FALSE))=0,,VLOOKUP(T218,A2:D500,4,FALSE))</f>
        <v>#N/A</v>
      </c>
      <c r="V218" s="56">
        <f>'Toxicological reference value M'!P332</f>
        <v>0</v>
      </c>
      <c r="W218" s="22" t="e">
        <f>IF(LEN(VLOOKUP(V218,A2:D500,4,FALSE))=0,,VLOOKUP(V218,A2:D500,4,FALSE))</f>
        <v>#N/A</v>
      </c>
      <c r="Y218" s="56">
        <f>'Other Empirical Model'!P343</f>
        <v>0</v>
      </c>
      <c r="Z218" s="22" t="e">
        <f>IF(LEN(VLOOKUP(Y218,A2:D500,4,FALSE))=0,,VLOOKUP(Y218,A2:D500,4,FALSE))</f>
        <v>#N/A</v>
      </c>
      <c r="AA218" s="56">
        <f>'Predictive Model'!P330</f>
        <v>0</v>
      </c>
      <c r="AB218" s="22" t="e">
        <f>IF(LEN(VLOOKUP(AA218,A2:D500,4,FALSE))=0,,VLOOKUP(AA218,A2:D500,4,FALSE))</f>
        <v>#N/A</v>
      </c>
      <c r="AC218" s="56">
        <f>'Consumption Model'!P335</f>
        <v>0</v>
      </c>
      <c r="AD218" s="22" t="e">
        <f>IF(LEN(VLOOKUP(AC218,A2:D500,4,FALSE))=0,,VLOOKUP(AC218,A2:D500,4,FALSE))</f>
        <v>#N/A</v>
      </c>
      <c r="AE218" s="22">
        <f>'(Data)'!Q331</f>
        <v>0</v>
      </c>
      <c r="AF218" s="22" t="e">
        <f>IF(LEN(VLOOKUP(AE217:AE218,A2:D500,4,FALSE))=0,,VLOOKUP(AE217:AE218,A2:D500,4,FALSE))</f>
        <v>#N/A</v>
      </c>
      <c r="AH218" s="45">
        <f>'Risk Charact Model'!P349</f>
        <v>0</v>
      </c>
      <c r="AI218" s="58" t="e">
        <f>IF(LEN(VLOOKUP(AH218,A2:D500,4,FALSE))=0,,VLOOKUP(AH218,A2:D500,4,FALSE))</f>
        <v>#N/A</v>
      </c>
    </row>
    <row r="219" spans="9:35" ht="14" x14ac:dyDescent="0.3">
      <c r="I219" s="60">
        <f>'Generic Metadata Schema'!P349</f>
        <v>0</v>
      </c>
      <c r="J219" s="22" t="e">
        <f>IF(LEN(VLOOKUP(I219,A2:D500,4,FALSE))=0,"",VLOOKUP(I219,A2:D500,4,FALSE))</f>
        <v>#N/A</v>
      </c>
      <c r="L219" s="56">
        <f>'Dose-response Model'!O333</f>
        <v>0</v>
      </c>
      <c r="M219" s="22" t="e">
        <f>IF(LEN(VLOOKUP(L219,A2:D500,4,FALSE))=0,,VLOOKUP(L219,A2:D500,4,FALSE))</f>
        <v>#N/A</v>
      </c>
      <c r="N219" s="22">
        <f>'Exposure Model'!O350</f>
        <v>0</v>
      </c>
      <c r="O219" s="22" t="e">
        <f>IF(LEN(VLOOKUP(N219,A2:D500,4,FALSE))=0,,VLOOKUP(N219,A2:D500,4,FALSE))</f>
        <v>#N/A</v>
      </c>
      <c r="P219" s="55">
        <f>'QRA Models'!P350</f>
        <v>0</v>
      </c>
      <c r="Q219" s="22" t="e">
        <f>IF(LEN(VLOOKUP(P219,A2:D500,4,FALSE))=0,,VLOOKUP(P219,A2:D500,4,FALSE))</f>
        <v>#N/A</v>
      </c>
      <c r="R219" s="56">
        <f>'Health metrics Models'!Q333</f>
        <v>0</v>
      </c>
      <c r="S219" s="22" t="e">
        <f>IF(LEN(VLOOKUP(R219,A2:D500,4,FALSE))=0,,VLOOKUP(R219,A2:D500,4,FALSE))</f>
        <v>#N/A</v>
      </c>
      <c r="T219" s="56">
        <f>'Process Model'!P331</f>
        <v>0</v>
      </c>
      <c r="U219" s="22" t="e">
        <f>IF(LEN(VLOOKUP(T219,A2:D500,4,FALSE))=0,,VLOOKUP(T219,A2:D500,4,FALSE))</f>
        <v>#N/A</v>
      </c>
      <c r="V219" s="56">
        <f>'Toxicological reference value M'!P333</f>
        <v>0</v>
      </c>
      <c r="W219" s="22" t="e">
        <f>IF(LEN(VLOOKUP(V219,A2:D500,4,FALSE))=0,,VLOOKUP(V219,A2:D500,4,FALSE))</f>
        <v>#N/A</v>
      </c>
      <c r="Y219" s="56">
        <f>'Other Empirical Model'!P344</f>
        <v>0</v>
      </c>
      <c r="Z219" s="22" t="e">
        <f>IF(LEN(VLOOKUP(Y219,A2:D500,4,FALSE))=0,,VLOOKUP(Y219,A2:D500,4,FALSE))</f>
        <v>#N/A</v>
      </c>
      <c r="AA219" s="56">
        <f>'Predictive Model'!P331</f>
        <v>0</v>
      </c>
      <c r="AB219" s="22" t="e">
        <f>IF(LEN(VLOOKUP(AA219,A2:D500,4,FALSE))=0,,VLOOKUP(AA219,A2:D500,4,FALSE))</f>
        <v>#N/A</v>
      </c>
      <c r="AC219" s="56">
        <f>'Consumption Model'!P336</f>
        <v>0</v>
      </c>
      <c r="AD219" s="22" t="e">
        <f>IF(LEN(VLOOKUP(AC219,A2:D500,4,FALSE))=0,,VLOOKUP(AC219,A2:D500,4,FALSE))</f>
        <v>#N/A</v>
      </c>
      <c r="AE219" s="22">
        <f>'(Data)'!Q332</f>
        <v>0</v>
      </c>
      <c r="AF219" s="22" t="e">
        <f>IF(LEN(VLOOKUP(AE218:AE219,A2:D500,4,FALSE))=0,,VLOOKUP(AE218:AE219,A2:D500,4,FALSE))</f>
        <v>#N/A</v>
      </c>
      <c r="AH219" s="45">
        <f>'Risk Charact Model'!P350</f>
        <v>0</v>
      </c>
      <c r="AI219" s="58" t="e">
        <f>IF(LEN(VLOOKUP(AH219,A2:D500,4,FALSE))=0,,VLOOKUP(AH219,A2:D500,4,FALSE))</f>
        <v>#N/A</v>
      </c>
    </row>
    <row r="220" spans="9:35" ht="14" x14ac:dyDescent="0.3">
      <c r="I220" s="60">
        <f>'Generic Metadata Schema'!P350</f>
        <v>0</v>
      </c>
      <c r="J220" s="22" t="e">
        <f>IF(LEN(VLOOKUP(I220,A2:D500,4,FALSE))=0,"",VLOOKUP(I220,A2:D500,4,FALSE))</f>
        <v>#N/A</v>
      </c>
      <c r="L220" s="56">
        <f>'Dose-response Model'!O334</f>
        <v>0</v>
      </c>
      <c r="M220" s="22" t="e">
        <f>IF(LEN(VLOOKUP(L220,A2:D500,4,FALSE))=0,,VLOOKUP(L220,A2:D500,4,FALSE))</f>
        <v>#N/A</v>
      </c>
      <c r="N220" s="22">
        <f>'Exposure Model'!O351</f>
        <v>0</v>
      </c>
      <c r="O220" s="22" t="e">
        <f>IF(LEN(VLOOKUP(N220,A2:D500,4,FALSE))=0,,VLOOKUP(N220,A2:D500,4,FALSE))</f>
        <v>#N/A</v>
      </c>
      <c r="P220" s="55">
        <f>'QRA Models'!P351</f>
        <v>0</v>
      </c>
      <c r="Q220" s="22" t="e">
        <f>IF(LEN(VLOOKUP(P220,A2:D500,4,FALSE))=0,,VLOOKUP(P220,A2:D500,4,FALSE))</f>
        <v>#N/A</v>
      </c>
      <c r="R220" s="56">
        <f>'Health metrics Models'!Q334</f>
        <v>0</v>
      </c>
      <c r="S220" s="22" t="e">
        <f>IF(LEN(VLOOKUP(R220,A2:D500,4,FALSE))=0,,VLOOKUP(R220,A2:D500,4,FALSE))</f>
        <v>#N/A</v>
      </c>
      <c r="T220" s="56">
        <f>'Process Model'!P332</f>
        <v>0</v>
      </c>
      <c r="U220" s="22" t="e">
        <f>IF(LEN(VLOOKUP(T220,A2:D500,4,FALSE))=0,,VLOOKUP(T220,A2:D500,4,FALSE))</f>
        <v>#N/A</v>
      </c>
      <c r="V220" s="56">
        <f>'Toxicological reference value M'!P334</f>
        <v>0</v>
      </c>
      <c r="W220" s="22" t="e">
        <f>IF(LEN(VLOOKUP(V220,A2:D500,4,FALSE))=0,,VLOOKUP(V220,A2:D500,4,FALSE))</f>
        <v>#N/A</v>
      </c>
      <c r="Y220" s="56">
        <f>'Other Empirical Model'!P345</f>
        <v>0</v>
      </c>
      <c r="Z220" s="22" t="e">
        <f>IF(LEN(VLOOKUP(Y220,A2:D500,4,FALSE))=0,,VLOOKUP(Y220,A2:D500,4,FALSE))</f>
        <v>#N/A</v>
      </c>
      <c r="AA220" s="56">
        <f>'Predictive Model'!P332</f>
        <v>0</v>
      </c>
      <c r="AB220" s="22" t="e">
        <f>IF(LEN(VLOOKUP(AA220,A2:D500,4,FALSE))=0,,VLOOKUP(AA220,A2:D500,4,FALSE))</f>
        <v>#N/A</v>
      </c>
      <c r="AC220" s="56">
        <f>'Consumption Model'!P337</f>
        <v>0</v>
      </c>
      <c r="AD220" s="22" t="e">
        <f>IF(LEN(VLOOKUP(AC220,A2:D500,4,FALSE))=0,,VLOOKUP(AC220,A2:D500,4,FALSE))</f>
        <v>#N/A</v>
      </c>
      <c r="AE220" s="22">
        <f>'(Data)'!Q333</f>
        <v>0</v>
      </c>
      <c r="AF220" s="22" t="e">
        <f>IF(LEN(VLOOKUP(AE219:AE220,A2:D500,4,FALSE))=0,,VLOOKUP(AE219:AE220,A2:D500,4,FALSE))</f>
        <v>#N/A</v>
      </c>
      <c r="AH220" s="45">
        <f>'Risk Charact Model'!P351</f>
        <v>0</v>
      </c>
      <c r="AI220" s="58" t="e">
        <f>IF(LEN(VLOOKUP(AH220,A2:D500,4,FALSE))=0,,VLOOKUP(AH220,A2:D500,4,FALSE))</f>
        <v>#N/A</v>
      </c>
    </row>
    <row r="221" spans="9:35" ht="14" x14ac:dyDescent="0.3">
      <c r="I221" s="60">
        <f>'Generic Metadata Schema'!P351</f>
        <v>0</v>
      </c>
      <c r="J221" s="22" t="e">
        <f>IF(LEN(VLOOKUP(I221,A2:D500,4,FALSE))=0,"",VLOOKUP(I221,A2:D500,4,FALSE))</f>
        <v>#N/A</v>
      </c>
      <c r="L221" s="56">
        <f>'Dose-response Model'!O335</f>
        <v>0</v>
      </c>
      <c r="M221" s="22" t="e">
        <f>IF(LEN(VLOOKUP(L221,A2:D500,4,FALSE))=0,,VLOOKUP(L221,A2:D500,4,FALSE))</f>
        <v>#N/A</v>
      </c>
      <c r="N221" s="22">
        <f>'Exposure Model'!O352</f>
        <v>0</v>
      </c>
      <c r="O221" s="22" t="e">
        <f>IF(LEN(VLOOKUP(N221,A2:D500,4,FALSE))=0,,VLOOKUP(N221,A2:D500,4,FALSE))</f>
        <v>#N/A</v>
      </c>
      <c r="P221" s="55">
        <f>'QRA Models'!P352</f>
        <v>0</v>
      </c>
      <c r="Q221" s="22" t="e">
        <f>IF(LEN(VLOOKUP(P221,A2:D500,4,FALSE))=0,,VLOOKUP(P221,A2:D500,4,FALSE))</f>
        <v>#N/A</v>
      </c>
      <c r="R221" s="56">
        <f>'Health metrics Models'!Q335</f>
        <v>0</v>
      </c>
      <c r="S221" s="22" t="e">
        <f>IF(LEN(VLOOKUP(R221,A2:D500,4,FALSE))=0,,VLOOKUP(R221,A2:D500,4,FALSE))</f>
        <v>#N/A</v>
      </c>
      <c r="T221" s="56">
        <f>'Process Model'!P333</f>
        <v>0</v>
      </c>
      <c r="U221" s="22" t="e">
        <f>IF(LEN(VLOOKUP(T221,A2:D500,4,FALSE))=0,,VLOOKUP(T221,A2:D500,4,FALSE))</f>
        <v>#N/A</v>
      </c>
      <c r="V221" s="56">
        <f>'Toxicological reference value M'!P335</f>
        <v>0</v>
      </c>
      <c r="W221" s="22" t="e">
        <f>IF(LEN(VLOOKUP(V221,A2:D500,4,FALSE))=0,,VLOOKUP(V221,A2:D500,4,FALSE))</f>
        <v>#N/A</v>
      </c>
      <c r="Y221" s="56">
        <f>'Other Empirical Model'!P346</f>
        <v>0</v>
      </c>
      <c r="Z221" s="22" t="e">
        <f>IF(LEN(VLOOKUP(Y221,A2:D500,4,FALSE))=0,,VLOOKUP(Y221,A2:D500,4,FALSE))</f>
        <v>#N/A</v>
      </c>
      <c r="AA221" s="56">
        <f>'Predictive Model'!P333</f>
        <v>0</v>
      </c>
      <c r="AB221" s="22" t="e">
        <f>IF(LEN(VLOOKUP(AA221,A2:D500,4,FALSE))=0,,VLOOKUP(AA221,A2:D500,4,FALSE))</f>
        <v>#N/A</v>
      </c>
      <c r="AC221" s="56">
        <f>'Consumption Model'!P338</f>
        <v>0</v>
      </c>
      <c r="AD221" s="22" t="e">
        <f>IF(LEN(VLOOKUP(AC221,A2:D500,4,FALSE))=0,,VLOOKUP(AC221,A2:D500,4,FALSE))</f>
        <v>#N/A</v>
      </c>
      <c r="AE221" s="22">
        <f>'(Data)'!Q334</f>
        <v>0</v>
      </c>
      <c r="AF221" s="22" t="e">
        <f>IF(LEN(VLOOKUP(AE220:AE221,A2:D500,4,FALSE))=0,,VLOOKUP(AE220:AE221,A2:D500,4,FALSE))</f>
        <v>#N/A</v>
      </c>
      <c r="AH221" s="45">
        <f>'Risk Charact Model'!P352</f>
        <v>0</v>
      </c>
      <c r="AI221" s="58" t="e">
        <f>IF(LEN(VLOOKUP(AH221,A2:D500,4,FALSE))=0,,VLOOKUP(AH221,A2:D500,4,FALSE))</f>
        <v>#N/A</v>
      </c>
    </row>
    <row r="222" spans="9:35" ht="14" x14ac:dyDescent="0.3">
      <c r="I222" s="60">
        <f>'Generic Metadata Schema'!P352</f>
        <v>0</v>
      </c>
      <c r="J222" s="22" t="e">
        <f>IF(LEN(VLOOKUP(I222,A2:D500,4,FALSE))=0,"",VLOOKUP(I222,A2:D500,4,FALSE))</f>
        <v>#N/A</v>
      </c>
      <c r="L222" s="56">
        <f>'Dose-response Model'!O336</f>
        <v>0</v>
      </c>
      <c r="M222" s="22" t="e">
        <f>IF(LEN(VLOOKUP(L222,A2:D500,4,FALSE))=0,,VLOOKUP(L222,A2:D500,4,FALSE))</f>
        <v>#N/A</v>
      </c>
      <c r="N222" s="22">
        <f>'Exposure Model'!O353</f>
        <v>0</v>
      </c>
      <c r="O222" s="22" t="e">
        <f>IF(LEN(VLOOKUP(N222,A2:D500,4,FALSE))=0,,VLOOKUP(N222,A2:D500,4,FALSE))</f>
        <v>#N/A</v>
      </c>
      <c r="P222" s="55">
        <f>'QRA Models'!P353</f>
        <v>0</v>
      </c>
      <c r="Q222" s="22" t="e">
        <f>IF(LEN(VLOOKUP(P222,A2:D500,4,FALSE))=0,,VLOOKUP(P222,A2:D500,4,FALSE))</f>
        <v>#N/A</v>
      </c>
      <c r="R222" s="56">
        <f>'Health metrics Models'!Q336</f>
        <v>0</v>
      </c>
      <c r="S222" s="22" t="e">
        <f>IF(LEN(VLOOKUP(R222,A2:D500,4,FALSE))=0,,VLOOKUP(R222,A2:D500,4,FALSE))</f>
        <v>#N/A</v>
      </c>
      <c r="T222" s="56">
        <f>'Process Model'!P334</f>
        <v>0</v>
      </c>
      <c r="U222" s="22" t="e">
        <f>IF(LEN(VLOOKUP(T222,A2:D500,4,FALSE))=0,,VLOOKUP(T222,A2:D500,4,FALSE))</f>
        <v>#N/A</v>
      </c>
      <c r="V222" s="56">
        <f>'Toxicological reference value M'!P336</f>
        <v>0</v>
      </c>
      <c r="W222" s="22" t="e">
        <f>IF(LEN(VLOOKUP(V222,A2:D500,4,FALSE))=0,,VLOOKUP(V222,A2:D500,4,FALSE))</f>
        <v>#N/A</v>
      </c>
      <c r="Y222" s="56">
        <f>'Other Empirical Model'!P347</f>
        <v>0</v>
      </c>
      <c r="Z222" s="22" t="e">
        <f>IF(LEN(VLOOKUP(Y222,A2:D500,4,FALSE))=0,,VLOOKUP(Y222,A2:D500,4,FALSE))</f>
        <v>#N/A</v>
      </c>
      <c r="AA222" s="56">
        <f>'Predictive Model'!P334</f>
        <v>0</v>
      </c>
      <c r="AB222" s="22" t="e">
        <f>IF(LEN(VLOOKUP(AA222,A2:D500,4,FALSE))=0,,VLOOKUP(AA222,A2:D500,4,FALSE))</f>
        <v>#N/A</v>
      </c>
      <c r="AC222" s="56">
        <f>'Consumption Model'!P339</f>
        <v>0</v>
      </c>
      <c r="AD222" s="22" t="e">
        <f>IF(LEN(VLOOKUP(AC222,A2:D500,4,FALSE))=0,,VLOOKUP(AC222,A2:D500,4,FALSE))</f>
        <v>#N/A</v>
      </c>
      <c r="AE222" s="22">
        <f>'(Data)'!Q335</f>
        <v>0</v>
      </c>
      <c r="AF222" s="22" t="e">
        <f>IF(LEN(VLOOKUP(AE221:AE222,A2:D500,4,FALSE))=0,,VLOOKUP(AE221:AE222,A2:D500,4,FALSE))</f>
        <v>#N/A</v>
      </c>
      <c r="AH222" s="45">
        <f>'Risk Charact Model'!P353</f>
        <v>0</v>
      </c>
      <c r="AI222" s="58" t="e">
        <f>IF(LEN(VLOOKUP(AH222,A2:D500,4,FALSE))=0,,VLOOKUP(AH222,A2:D500,4,FALSE))</f>
        <v>#N/A</v>
      </c>
    </row>
    <row r="223" spans="9:35" ht="14" x14ac:dyDescent="0.3">
      <c r="I223" s="60">
        <f>'Generic Metadata Schema'!P353</f>
        <v>0</v>
      </c>
      <c r="J223" s="22" t="e">
        <f>IF(LEN(VLOOKUP(I223,A2:D500,4,FALSE))=0,"",VLOOKUP(I223,A2:D500,4,FALSE))</f>
        <v>#N/A</v>
      </c>
      <c r="L223" s="56">
        <f>'Dose-response Model'!O337</f>
        <v>0</v>
      </c>
      <c r="M223" s="22" t="e">
        <f>IF(LEN(VLOOKUP(L223,A2:D500,4,FALSE))=0,,VLOOKUP(L223,A2:D500,4,FALSE))</f>
        <v>#N/A</v>
      </c>
      <c r="N223" s="22">
        <f>'Exposure Model'!O354</f>
        <v>0</v>
      </c>
      <c r="O223" s="22" t="e">
        <f>IF(LEN(VLOOKUP(N223,A2:D500,4,FALSE))=0,,VLOOKUP(N223,A2:D500,4,FALSE))</f>
        <v>#N/A</v>
      </c>
      <c r="P223" s="55">
        <f>'QRA Models'!P354</f>
        <v>0</v>
      </c>
      <c r="Q223" s="22" t="e">
        <f>IF(LEN(VLOOKUP(P223,A2:D500,4,FALSE))=0,,VLOOKUP(P223,A2:D500,4,FALSE))</f>
        <v>#N/A</v>
      </c>
      <c r="R223" s="56">
        <f>'Health metrics Models'!Q337</f>
        <v>0</v>
      </c>
      <c r="S223" s="22" t="e">
        <f>IF(LEN(VLOOKUP(R223,A2:D500,4,FALSE))=0,,VLOOKUP(R223,A2:D500,4,FALSE))</f>
        <v>#N/A</v>
      </c>
      <c r="T223" s="56">
        <f>'Process Model'!P335</f>
        <v>0</v>
      </c>
      <c r="U223" s="22" t="e">
        <f>IF(LEN(VLOOKUP(T223,A2:D500,4,FALSE))=0,,VLOOKUP(T223,A2:D500,4,FALSE))</f>
        <v>#N/A</v>
      </c>
      <c r="V223" s="56">
        <f>'Toxicological reference value M'!P337</f>
        <v>0</v>
      </c>
      <c r="W223" s="22" t="e">
        <f>IF(LEN(VLOOKUP(V223,A2:D500,4,FALSE))=0,,VLOOKUP(V223,A2:D500,4,FALSE))</f>
        <v>#N/A</v>
      </c>
      <c r="Y223" s="56">
        <f>'Other Empirical Model'!P348</f>
        <v>0</v>
      </c>
      <c r="Z223" s="22" t="e">
        <f>IF(LEN(VLOOKUP(Y223,A2:D500,4,FALSE))=0,,VLOOKUP(Y223,A2:D500,4,FALSE))</f>
        <v>#N/A</v>
      </c>
      <c r="AA223" s="56">
        <f>'Predictive Model'!P335</f>
        <v>0</v>
      </c>
      <c r="AB223" s="22" t="e">
        <f>IF(LEN(VLOOKUP(AA223,A2:D500,4,FALSE))=0,,VLOOKUP(AA223,A2:D500,4,FALSE))</f>
        <v>#N/A</v>
      </c>
      <c r="AC223" s="56">
        <f>'Consumption Model'!P340</f>
        <v>0</v>
      </c>
      <c r="AD223" s="22" t="e">
        <f>IF(LEN(VLOOKUP(AC223,A2:D500,4,FALSE))=0,,VLOOKUP(AC223,A2:D500,4,FALSE))</f>
        <v>#N/A</v>
      </c>
      <c r="AE223" s="22">
        <f>'(Data)'!Q336</f>
        <v>0</v>
      </c>
      <c r="AF223" s="22" t="e">
        <f>IF(LEN(VLOOKUP(AE222:AE223,A2:D500,4,FALSE))=0,,VLOOKUP(AE222:AE223,A2:D500,4,FALSE))</f>
        <v>#N/A</v>
      </c>
      <c r="AH223" s="45">
        <f>'Risk Charact Model'!P354</f>
        <v>0</v>
      </c>
      <c r="AI223" s="58" t="e">
        <f>IF(LEN(VLOOKUP(AH223,A2:D500,4,FALSE))=0,,VLOOKUP(AH223,A2:D500,4,FALSE))</f>
        <v>#N/A</v>
      </c>
    </row>
    <row r="224" spans="9:35" ht="14" x14ac:dyDescent="0.3">
      <c r="I224" s="60">
        <f>'Generic Metadata Schema'!P354</f>
        <v>0</v>
      </c>
      <c r="J224" s="22" t="e">
        <f>IF(LEN(VLOOKUP(I224,A2:D500,4,FALSE))=0,"",VLOOKUP(I224,A2:D500,4,FALSE))</f>
        <v>#N/A</v>
      </c>
      <c r="L224" s="56">
        <f>'Dose-response Model'!O338</f>
        <v>0</v>
      </c>
      <c r="M224" s="22" t="e">
        <f>IF(LEN(VLOOKUP(L224,A2:D500,4,FALSE))=0,,VLOOKUP(L224,A2:D500,4,FALSE))</f>
        <v>#N/A</v>
      </c>
      <c r="N224" s="22">
        <f>'Exposure Model'!O355</f>
        <v>0</v>
      </c>
      <c r="O224" s="22" t="e">
        <f>IF(LEN(VLOOKUP(N224,A2:D500,4,FALSE))=0,,VLOOKUP(N224,A2:D500,4,FALSE))</f>
        <v>#N/A</v>
      </c>
      <c r="P224" s="55">
        <f>'QRA Models'!P355</f>
        <v>0</v>
      </c>
      <c r="Q224" s="22" t="e">
        <f>IF(LEN(VLOOKUP(P224,A2:D500,4,FALSE))=0,,VLOOKUP(P224,A2:D500,4,FALSE))</f>
        <v>#N/A</v>
      </c>
      <c r="R224" s="56">
        <f>'Health metrics Models'!Q338</f>
        <v>0</v>
      </c>
      <c r="S224" s="22" t="e">
        <f>IF(LEN(VLOOKUP(R224,A2:D500,4,FALSE))=0,,VLOOKUP(R224,A2:D500,4,FALSE))</f>
        <v>#N/A</v>
      </c>
      <c r="T224" s="56">
        <f>'Process Model'!P336</f>
        <v>0</v>
      </c>
      <c r="U224" s="22" t="e">
        <f>IF(LEN(VLOOKUP(T224,A2:D500,4,FALSE))=0,,VLOOKUP(T224,A2:D500,4,FALSE))</f>
        <v>#N/A</v>
      </c>
      <c r="V224" s="56">
        <f>'Toxicological reference value M'!P338</f>
        <v>0</v>
      </c>
      <c r="W224" s="22" t="e">
        <f>IF(LEN(VLOOKUP(V224,A2:D500,4,FALSE))=0,,VLOOKUP(V224,A2:D500,4,FALSE))</f>
        <v>#N/A</v>
      </c>
      <c r="Y224" s="56">
        <f>'Other Empirical Model'!P349</f>
        <v>0</v>
      </c>
      <c r="Z224" s="22" t="e">
        <f>IF(LEN(VLOOKUP(Y224,A2:D500,4,FALSE))=0,,VLOOKUP(Y224,A2:D500,4,FALSE))</f>
        <v>#N/A</v>
      </c>
      <c r="AA224" s="56">
        <f>'Predictive Model'!P336</f>
        <v>0</v>
      </c>
      <c r="AB224" s="22" t="e">
        <f>IF(LEN(VLOOKUP(AA224,A2:D500,4,FALSE))=0,,VLOOKUP(AA224,A2:D500,4,FALSE))</f>
        <v>#N/A</v>
      </c>
      <c r="AC224" s="56">
        <f>'Consumption Model'!P341</f>
        <v>0</v>
      </c>
      <c r="AD224" s="22" t="e">
        <f>IF(LEN(VLOOKUP(AC224,A2:D500,4,FALSE))=0,,VLOOKUP(AC224,A2:D500,4,FALSE))</f>
        <v>#N/A</v>
      </c>
      <c r="AE224" s="22">
        <f>'(Data)'!Q337</f>
        <v>0</v>
      </c>
      <c r="AF224" s="22" t="e">
        <f>IF(LEN(VLOOKUP(AE223:AE224,A2:D500,4,FALSE))=0,,VLOOKUP(AE223:AE224,A2:D500,4,FALSE))</f>
        <v>#N/A</v>
      </c>
      <c r="AH224" s="45">
        <f>'Risk Charact Model'!P355</f>
        <v>0</v>
      </c>
      <c r="AI224" s="58" t="e">
        <f>IF(LEN(VLOOKUP(AH224,A2:D500,4,FALSE))=0,,VLOOKUP(AH224,A2:D500,4,FALSE))</f>
        <v>#N/A</v>
      </c>
    </row>
    <row r="225" spans="9:35" ht="14" x14ac:dyDescent="0.3">
      <c r="I225" s="60">
        <f>'Generic Metadata Schema'!P355</f>
        <v>0</v>
      </c>
      <c r="J225" s="22" t="e">
        <f>IF(LEN(VLOOKUP(I225,A2:D500,4,FALSE))=0,"",VLOOKUP(I225,A2:D500,4,FALSE))</f>
        <v>#N/A</v>
      </c>
      <c r="L225" s="56">
        <f>'Dose-response Model'!O339</f>
        <v>0</v>
      </c>
      <c r="M225" s="22" t="e">
        <f>IF(LEN(VLOOKUP(L225,A2:D500,4,FALSE))=0,,VLOOKUP(L225,A2:D500,4,FALSE))</f>
        <v>#N/A</v>
      </c>
      <c r="N225" s="22">
        <f>'Exposure Model'!O356</f>
        <v>0</v>
      </c>
      <c r="O225" s="22" t="e">
        <f>IF(LEN(VLOOKUP(N225,A2:D500,4,FALSE))=0,,VLOOKUP(N225,A2:D500,4,FALSE))</f>
        <v>#N/A</v>
      </c>
      <c r="P225" s="55">
        <f>'QRA Models'!P356</f>
        <v>0</v>
      </c>
      <c r="Q225" s="22" t="e">
        <f>IF(LEN(VLOOKUP(P225,A2:D500,4,FALSE))=0,,VLOOKUP(P225,A2:D500,4,FALSE))</f>
        <v>#N/A</v>
      </c>
      <c r="R225" s="56">
        <f>'Health metrics Models'!Q339</f>
        <v>0</v>
      </c>
      <c r="S225" s="22" t="e">
        <f>IF(LEN(VLOOKUP(R225,A2:D500,4,FALSE))=0,,VLOOKUP(R225,A2:D500,4,FALSE))</f>
        <v>#N/A</v>
      </c>
      <c r="T225" s="56">
        <f>'Process Model'!P337</f>
        <v>0</v>
      </c>
      <c r="U225" s="22" t="e">
        <f>IF(LEN(VLOOKUP(T225,A2:D500,4,FALSE))=0,,VLOOKUP(T225,A2:D500,4,FALSE))</f>
        <v>#N/A</v>
      </c>
      <c r="V225" s="56">
        <f>'Toxicological reference value M'!P339</f>
        <v>0</v>
      </c>
      <c r="W225" s="22" t="e">
        <f>IF(LEN(VLOOKUP(V225,A2:D500,4,FALSE))=0,,VLOOKUP(V225,A2:D500,4,FALSE))</f>
        <v>#N/A</v>
      </c>
      <c r="Y225" s="56">
        <f>'Other Empirical Model'!P350</f>
        <v>0</v>
      </c>
      <c r="Z225" s="22" t="e">
        <f>IF(LEN(VLOOKUP(Y225,A2:D500,4,FALSE))=0,,VLOOKUP(Y225,A2:D500,4,FALSE))</f>
        <v>#N/A</v>
      </c>
      <c r="AA225" s="56">
        <f>'Predictive Model'!P337</f>
        <v>0</v>
      </c>
      <c r="AB225" s="22" t="e">
        <f>IF(LEN(VLOOKUP(AA225,A2:D500,4,FALSE))=0,,VLOOKUP(AA225,A2:D500,4,FALSE))</f>
        <v>#N/A</v>
      </c>
      <c r="AC225" s="56">
        <f>'Consumption Model'!P342</f>
        <v>0</v>
      </c>
      <c r="AD225" s="22" t="e">
        <f>IF(LEN(VLOOKUP(AC225,A2:D500,4,FALSE))=0,,VLOOKUP(AC225,A2:D500,4,FALSE))</f>
        <v>#N/A</v>
      </c>
      <c r="AE225" s="22">
        <f>'(Data)'!Q338</f>
        <v>0</v>
      </c>
      <c r="AF225" s="22" t="e">
        <f>IF(LEN(VLOOKUP(AE224:AE225,A2:D500,4,FALSE))=0,,VLOOKUP(AE224:AE225,A2:D500,4,FALSE))</f>
        <v>#N/A</v>
      </c>
      <c r="AH225" s="45">
        <f>'Risk Charact Model'!P356</f>
        <v>0</v>
      </c>
      <c r="AI225" s="58" t="e">
        <f>IF(LEN(VLOOKUP(AH225,A2:D500,4,FALSE))=0,,VLOOKUP(AH225,A2:D500,4,FALSE))</f>
        <v>#N/A</v>
      </c>
    </row>
    <row r="226" spans="9:35" ht="14" x14ac:dyDescent="0.3">
      <c r="I226" s="60">
        <f>'Generic Metadata Schema'!P356</f>
        <v>0</v>
      </c>
      <c r="J226" s="22" t="e">
        <f>IF(LEN(VLOOKUP(I226,A2:D500,4,FALSE))=0,"",VLOOKUP(I226,A2:D500,4,FALSE))</f>
        <v>#N/A</v>
      </c>
      <c r="L226" s="56">
        <f>'Dose-response Model'!O340</f>
        <v>0</v>
      </c>
      <c r="M226" s="22" t="e">
        <f>IF(LEN(VLOOKUP(L226,A2:D500,4,FALSE))=0,,VLOOKUP(L226,A2:D500,4,FALSE))</f>
        <v>#N/A</v>
      </c>
      <c r="N226" s="22">
        <f>'Exposure Model'!O357</f>
        <v>0</v>
      </c>
      <c r="O226" s="22" t="e">
        <f>IF(LEN(VLOOKUP(N226,A2:D500,4,FALSE))=0,,VLOOKUP(N226,A2:D500,4,FALSE))</f>
        <v>#N/A</v>
      </c>
      <c r="P226" s="55">
        <f>'QRA Models'!P357</f>
        <v>0</v>
      </c>
      <c r="Q226" s="22" t="e">
        <f>IF(LEN(VLOOKUP(P226,A2:D500,4,FALSE))=0,,VLOOKUP(P226,A2:D500,4,FALSE))</f>
        <v>#N/A</v>
      </c>
      <c r="R226" s="56">
        <f>'Health metrics Models'!Q340</f>
        <v>0</v>
      </c>
      <c r="S226" s="22" t="e">
        <f>IF(LEN(VLOOKUP(R226,A2:D500,4,FALSE))=0,,VLOOKUP(R226,A2:D500,4,FALSE))</f>
        <v>#N/A</v>
      </c>
      <c r="T226" s="56">
        <f>'Process Model'!P338</f>
        <v>0</v>
      </c>
      <c r="U226" s="22" t="e">
        <f>IF(LEN(VLOOKUP(T226,A2:D500,4,FALSE))=0,,VLOOKUP(T226,A2:D500,4,FALSE))</f>
        <v>#N/A</v>
      </c>
      <c r="V226" s="56">
        <f>'Toxicological reference value M'!P340</f>
        <v>0</v>
      </c>
      <c r="W226" s="22" t="e">
        <f>IF(LEN(VLOOKUP(V226,A2:D500,4,FALSE))=0,,VLOOKUP(V226,A2:D500,4,FALSE))</f>
        <v>#N/A</v>
      </c>
      <c r="Y226" s="56">
        <f>'Other Empirical Model'!P351</f>
        <v>0</v>
      </c>
      <c r="Z226" s="22" t="e">
        <f>IF(LEN(VLOOKUP(Y226,A2:D500,4,FALSE))=0,,VLOOKUP(Y226,A2:D500,4,FALSE))</f>
        <v>#N/A</v>
      </c>
      <c r="AA226" s="56">
        <f>'Predictive Model'!P338</f>
        <v>0</v>
      </c>
      <c r="AB226" s="22" t="e">
        <f>IF(LEN(VLOOKUP(AA226,A2:D500,4,FALSE))=0,,VLOOKUP(AA226,A2:D500,4,FALSE))</f>
        <v>#N/A</v>
      </c>
      <c r="AC226" s="56">
        <f>'Consumption Model'!P343</f>
        <v>0</v>
      </c>
      <c r="AD226" s="22" t="e">
        <f>IF(LEN(VLOOKUP(AC226,A2:D500,4,FALSE))=0,,VLOOKUP(AC226,A2:D500,4,FALSE))</f>
        <v>#N/A</v>
      </c>
      <c r="AE226" s="22">
        <f>'(Data)'!Q339</f>
        <v>0</v>
      </c>
      <c r="AF226" s="22" t="e">
        <f>IF(LEN(VLOOKUP(AE225:AE226,A2:D500,4,FALSE))=0,,VLOOKUP(AE225:AE226,A2:D500,4,FALSE))</f>
        <v>#N/A</v>
      </c>
      <c r="AH226" s="45">
        <f>'Risk Charact Model'!P357</f>
        <v>0</v>
      </c>
      <c r="AI226" s="58" t="e">
        <f>IF(LEN(VLOOKUP(AH226,A2:D500,4,FALSE))=0,,VLOOKUP(AH226,A2:D500,4,FALSE))</f>
        <v>#N/A</v>
      </c>
    </row>
    <row r="227" spans="9:35" ht="14" x14ac:dyDescent="0.3">
      <c r="I227" s="60">
        <f>'Generic Metadata Schema'!P357</f>
        <v>0</v>
      </c>
      <c r="J227" s="22" t="e">
        <f>IF(LEN(VLOOKUP(I227,A2:D500,4,FALSE))=0,"",VLOOKUP(I227,A2:D500,4,FALSE))</f>
        <v>#N/A</v>
      </c>
      <c r="L227" s="56">
        <f>'Dose-response Model'!O341</f>
        <v>0</v>
      </c>
      <c r="M227" s="22" t="e">
        <f>IF(LEN(VLOOKUP(L227,A2:D500,4,FALSE))=0,,VLOOKUP(L227,A2:D500,4,FALSE))</f>
        <v>#N/A</v>
      </c>
      <c r="N227" s="22">
        <f>'Exposure Model'!O358</f>
        <v>0</v>
      </c>
      <c r="O227" s="22" t="e">
        <f>IF(LEN(VLOOKUP(N227,A2:D500,4,FALSE))=0,,VLOOKUP(N227,A2:D500,4,FALSE))</f>
        <v>#N/A</v>
      </c>
      <c r="P227" s="55">
        <f>'QRA Models'!P358</f>
        <v>0</v>
      </c>
      <c r="Q227" s="22" t="e">
        <f>IF(LEN(VLOOKUP(P227,A2:D500,4,FALSE))=0,,VLOOKUP(P227,A2:D500,4,FALSE))</f>
        <v>#N/A</v>
      </c>
      <c r="R227" s="56">
        <f>'Health metrics Models'!Q341</f>
        <v>0</v>
      </c>
      <c r="S227" s="22" t="e">
        <f>IF(LEN(VLOOKUP(R227,A2:D500,4,FALSE))=0,,VLOOKUP(R227,A2:D500,4,FALSE))</f>
        <v>#N/A</v>
      </c>
      <c r="T227" s="56">
        <f>'Process Model'!P339</f>
        <v>0</v>
      </c>
      <c r="U227" s="22" t="e">
        <f>IF(LEN(VLOOKUP(T227,A2:D500,4,FALSE))=0,,VLOOKUP(T227,A2:D500,4,FALSE))</f>
        <v>#N/A</v>
      </c>
      <c r="V227" s="56">
        <f>'Toxicological reference value M'!P341</f>
        <v>0</v>
      </c>
      <c r="W227" s="22" t="e">
        <f>IF(LEN(VLOOKUP(V227,A2:D500,4,FALSE))=0,,VLOOKUP(V227,A2:D500,4,FALSE))</f>
        <v>#N/A</v>
      </c>
      <c r="Y227" s="56">
        <f>'Other Empirical Model'!P352</f>
        <v>0</v>
      </c>
      <c r="Z227" s="22" t="e">
        <f>IF(LEN(VLOOKUP(Y227,A2:D500,4,FALSE))=0,,VLOOKUP(Y227,A2:D500,4,FALSE))</f>
        <v>#N/A</v>
      </c>
      <c r="AA227" s="56">
        <f>'Predictive Model'!P339</f>
        <v>0</v>
      </c>
      <c r="AB227" s="22" t="e">
        <f>IF(LEN(VLOOKUP(AA227,A2:D500,4,FALSE))=0,,VLOOKUP(AA227,A2:D500,4,FALSE))</f>
        <v>#N/A</v>
      </c>
      <c r="AC227" s="56">
        <f>'Consumption Model'!P344</f>
        <v>0</v>
      </c>
      <c r="AD227" s="22" t="e">
        <f>IF(LEN(VLOOKUP(AC227,A2:D500,4,FALSE))=0,,VLOOKUP(AC227,A2:D500,4,FALSE))</f>
        <v>#N/A</v>
      </c>
      <c r="AE227" s="22">
        <f>'(Data)'!Q340</f>
        <v>0</v>
      </c>
      <c r="AF227" s="22" t="e">
        <f>IF(LEN(VLOOKUP(AE226:AE227,A2:D500,4,FALSE))=0,,VLOOKUP(AE226:AE227,A2:D500,4,FALSE))</f>
        <v>#N/A</v>
      </c>
      <c r="AH227" s="45">
        <f>'Risk Charact Model'!P358</f>
        <v>0</v>
      </c>
      <c r="AI227" s="58" t="e">
        <f>IF(LEN(VLOOKUP(AH227,A2:D500,4,FALSE))=0,,VLOOKUP(AH227,A2:D500,4,FALSE))</f>
        <v>#N/A</v>
      </c>
    </row>
    <row r="228" spans="9:35" ht="14" x14ac:dyDescent="0.3">
      <c r="I228" s="60">
        <f>'Generic Metadata Schema'!P358</f>
        <v>0</v>
      </c>
      <c r="J228" s="22" t="e">
        <f>IF(LEN(VLOOKUP(I228,A2:D500,4,FALSE))=0,"",VLOOKUP(I228,A2:D500,4,FALSE))</f>
        <v>#N/A</v>
      </c>
      <c r="L228" s="56">
        <f>'Dose-response Model'!O342</f>
        <v>0</v>
      </c>
      <c r="M228" s="22" t="e">
        <f>IF(LEN(VLOOKUP(L228,A2:D500,4,FALSE))=0,,VLOOKUP(L228,A2:D500,4,FALSE))</f>
        <v>#N/A</v>
      </c>
      <c r="N228" s="22">
        <f>'Exposure Model'!O359</f>
        <v>0</v>
      </c>
      <c r="O228" s="22" t="e">
        <f>IF(LEN(VLOOKUP(N228,A2:D500,4,FALSE))=0,,VLOOKUP(N228,A2:D500,4,FALSE))</f>
        <v>#N/A</v>
      </c>
      <c r="P228" s="55">
        <f>'QRA Models'!P359</f>
        <v>0</v>
      </c>
      <c r="Q228" s="22" t="e">
        <f>IF(LEN(VLOOKUP(P228,A2:D500,4,FALSE))=0,,VLOOKUP(P228,A2:D500,4,FALSE))</f>
        <v>#N/A</v>
      </c>
      <c r="R228" s="56">
        <f>'Health metrics Models'!Q342</f>
        <v>0</v>
      </c>
      <c r="S228" s="22" t="e">
        <f>IF(LEN(VLOOKUP(R228,A2:D500,4,FALSE))=0,,VLOOKUP(R228,A2:D500,4,FALSE))</f>
        <v>#N/A</v>
      </c>
      <c r="T228" s="56">
        <f>'Process Model'!P340</f>
        <v>0</v>
      </c>
      <c r="U228" s="22" t="e">
        <f>IF(LEN(VLOOKUP(T228,A2:D500,4,FALSE))=0,,VLOOKUP(T228,A2:D500,4,FALSE))</f>
        <v>#N/A</v>
      </c>
      <c r="V228" s="56">
        <f>'Toxicological reference value M'!P342</f>
        <v>0</v>
      </c>
      <c r="W228" s="22" t="e">
        <f>IF(LEN(VLOOKUP(V228,A2:D500,4,FALSE))=0,,VLOOKUP(V228,A2:D500,4,FALSE))</f>
        <v>#N/A</v>
      </c>
      <c r="Y228" s="56">
        <f>'Other Empirical Model'!P353</f>
        <v>0</v>
      </c>
      <c r="Z228" s="22" t="e">
        <f>IF(LEN(VLOOKUP(Y228,A2:D500,4,FALSE))=0,,VLOOKUP(Y228,A2:D500,4,FALSE))</f>
        <v>#N/A</v>
      </c>
      <c r="AA228" s="56">
        <f>'Predictive Model'!P340</f>
        <v>0</v>
      </c>
      <c r="AB228" s="22" t="e">
        <f>IF(LEN(VLOOKUP(AA228,A2:D500,4,FALSE))=0,,VLOOKUP(AA228,A2:D500,4,FALSE))</f>
        <v>#N/A</v>
      </c>
      <c r="AC228" s="56">
        <f>'Consumption Model'!P345</f>
        <v>0</v>
      </c>
      <c r="AD228" s="22" t="e">
        <f>IF(LEN(VLOOKUP(AC228,A2:D500,4,FALSE))=0,,VLOOKUP(AC228,A2:D500,4,FALSE))</f>
        <v>#N/A</v>
      </c>
      <c r="AE228" s="22">
        <f>'(Data)'!Q341</f>
        <v>0</v>
      </c>
      <c r="AF228" s="22" t="e">
        <f>IF(LEN(VLOOKUP(AE227:AE228,A2:D500,4,FALSE))=0,,VLOOKUP(AE227:AE228,A2:D500,4,FALSE))</f>
        <v>#N/A</v>
      </c>
      <c r="AH228" s="45">
        <f>'Risk Charact Model'!P359</f>
        <v>0</v>
      </c>
      <c r="AI228" s="58" t="e">
        <f>IF(LEN(VLOOKUP(AH228,A2:D500,4,FALSE))=0,,VLOOKUP(AH228,A2:D500,4,FALSE))</f>
        <v>#N/A</v>
      </c>
    </row>
    <row r="229" spans="9:35" ht="14" x14ac:dyDescent="0.3">
      <c r="I229" s="60">
        <f>'Generic Metadata Schema'!P359</f>
        <v>0</v>
      </c>
      <c r="J229" s="22" t="e">
        <f>IF(LEN(VLOOKUP(I229,A2:D500,4,FALSE))=0,"",VLOOKUP(I229,A2:D500,4,FALSE))</f>
        <v>#N/A</v>
      </c>
      <c r="L229" s="56">
        <f>'Dose-response Model'!O343</f>
        <v>0</v>
      </c>
      <c r="M229" s="22" t="e">
        <f>IF(LEN(VLOOKUP(L229,A2:D500,4,FALSE))=0,,VLOOKUP(L229,A2:D500,4,FALSE))</f>
        <v>#N/A</v>
      </c>
      <c r="N229" s="22">
        <f>'Exposure Model'!O360</f>
        <v>0</v>
      </c>
      <c r="O229" s="22" t="e">
        <f>IF(LEN(VLOOKUP(N229,A2:D500,4,FALSE))=0,,VLOOKUP(N229,A2:D500,4,FALSE))</f>
        <v>#N/A</v>
      </c>
      <c r="P229" s="55">
        <f>'QRA Models'!P360</f>
        <v>0</v>
      </c>
      <c r="Q229" s="22" t="e">
        <f>IF(LEN(VLOOKUP(P229,A2:D500,4,FALSE))=0,,VLOOKUP(P229,A2:D500,4,FALSE))</f>
        <v>#N/A</v>
      </c>
      <c r="R229" s="56">
        <f>'Health metrics Models'!Q343</f>
        <v>0</v>
      </c>
      <c r="S229" s="22" t="e">
        <f>IF(LEN(VLOOKUP(R229,A2:D500,4,FALSE))=0,,VLOOKUP(R229,A2:D500,4,FALSE))</f>
        <v>#N/A</v>
      </c>
      <c r="T229" s="56">
        <f>'Process Model'!P341</f>
        <v>0</v>
      </c>
      <c r="U229" s="22" t="e">
        <f>IF(LEN(VLOOKUP(T229,A2:D500,4,FALSE))=0,,VLOOKUP(T229,A2:D500,4,FALSE))</f>
        <v>#N/A</v>
      </c>
      <c r="V229" s="56">
        <f>'Toxicological reference value M'!P343</f>
        <v>0</v>
      </c>
      <c r="W229" s="22" t="e">
        <f>IF(LEN(VLOOKUP(V229,A2:D500,4,FALSE))=0,,VLOOKUP(V229,A2:D500,4,FALSE))</f>
        <v>#N/A</v>
      </c>
      <c r="Y229" s="56">
        <f>'Other Empirical Model'!P354</f>
        <v>0</v>
      </c>
      <c r="Z229" s="22" t="e">
        <f>IF(LEN(VLOOKUP(Y229,A2:D500,4,FALSE))=0,,VLOOKUP(Y229,A2:D500,4,FALSE))</f>
        <v>#N/A</v>
      </c>
      <c r="AA229" s="56">
        <f>'Predictive Model'!P341</f>
        <v>0</v>
      </c>
      <c r="AB229" s="22" t="e">
        <f>IF(LEN(VLOOKUP(AA229,A2:D500,4,FALSE))=0,,VLOOKUP(AA229,A2:D500,4,FALSE))</f>
        <v>#N/A</v>
      </c>
      <c r="AC229" s="56">
        <f>'Consumption Model'!P346</f>
        <v>0</v>
      </c>
      <c r="AD229" s="22" t="e">
        <f>IF(LEN(VLOOKUP(AC229,A2:D500,4,FALSE))=0,,VLOOKUP(AC229,A2:D500,4,FALSE))</f>
        <v>#N/A</v>
      </c>
      <c r="AE229" s="22">
        <f>'(Data)'!Q342</f>
        <v>0</v>
      </c>
      <c r="AF229" s="22" t="e">
        <f>IF(LEN(VLOOKUP(AE228:AE229,A2:D500,4,FALSE))=0,,VLOOKUP(AE228:AE229,A2:D500,4,FALSE))</f>
        <v>#N/A</v>
      </c>
      <c r="AH229" s="45">
        <f>'Risk Charact Model'!P360</f>
        <v>0</v>
      </c>
      <c r="AI229" s="58" t="e">
        <f>IF(LEN(VLOOKUP(AH229,A2:D500,4,FALSE))=0,,VLOOKUP(AH229,A2:D500,4,FALSE))</f>
        <v>#N/A</v>
      </c>
    </row>
    <row r="230" spans="9:35" ht="14" x14ac:dyDescent="0.3">
      <c r="I230" s="60">
        <f>'Generic Metadata Schema'!P360</f>
        <v>0</v>
      </c>
      <c r="J230" s="22" t="e">
        <f>IF(LEN(VLOOKUP(I230,A2:D500,4,FALSE))=0,"",VLOOKUP(I230,A2:D500,4,FALSE))</f>
        <v>#N/A</v>
      </c>
      <c r="L230" s="56">
        <f>'Dose-response Model'!O344</f>
        <v>0</v>
      </c>
      <c r="M230" s="22" t="e">
        <f>IF(LEN(VLOOKUP(L230,A2:D500,4,FALSE))=0,,VLOOKUP(L230,A2:D500,4,FALSE))</f>
        <v>#N/A</v>
      </c>
      <c r="N230" s="22">
        <f>'Exposure Model'!O361</f>
        <v>0</v>
      </c>
      <c r="O230" s="22" t="e">
        <f>IF(LEN(VLOOKUP(N230,A2:D500,4,FALSE))=0,,VLOOKUP(N230,A2:D500,4,FALSE))</f>
        <v>#N/A</v>
      </c>
      <c r="P230" s="55">
        <f>'QRA Models'!P361</f>
        <v>0</v>
      </c>
      <c r="Q230" s="22" t="e">
        <f>IF(LEN(VLOOKUP(P230,A2:D500,4,FALSE))=0,,VLOOKUP(P230,A2:D500,4,FALSE))</f>
        <v>#N/A</v>
      </c>
      <c r="R230" s="56">
        <f>'Health metrics Models'!Q344</f>
        <v>0</v>
      </c>
      <c r="S230" s="22" t="e">
        <f>IF(LEN(VLOOKUP(R230,A2:D500,4,FALSE))=0,,VLOOKUP(R230,A2:D500,4,FALSE))</f>
        <v>#N/A</v>
      </c>
      <c r="T230" s="56">
        <f>'Process Model'!P342</f>
        <v>0</v>
      </c>
      <c r="U230" s="22" t="e">
        <f>IF(LEN(VLOOKUP(T230,A2:D500,4,FALSE))=0,,VLOOKUP(T230,A2:D500,4,FALSE))</f>
        <v>#N/A</v>
      </c>
      <c r="V230" s="56">
        <f>'Toxicological reference value M'!P344</f>
        <v>0</v>
      </c>
      <c r="W230" s="22" t="e">
        <f>IF(LEN(VLOOKUP(V230,A2:D500,4,FALSE))=0,,VLOOKUP(V230,A2:D500,4,FALSE))</f>
        <v>#N/A</v>
      </c>
      <c r="Y230" s="56">
        <f>'Other Empirical Model'!P355</f>
        <v>0</v>
      </c>
      <c r="Z230" s="22" t="e">
        <f>IF(LEN(VLOOKUP(Y230,A2:D500,4,FALSE))=0,,VLOOKUP(Y230,A2:D500,4,FALSE))</f>
        <v>#N/A</v>
      </c>
      <c r="AA230" s="56">
        <f>'Predictive Model'!P342</f>
        <v>0</v>
      </c>
      <c r="AB230" s="22" t="e">
        <f>IF(LEN(VLOOKUP(AA230,A2:D500,4,FALSE))=0,,VLOOKUP(AA230,A2:D500,4,FALSE))</f>
        <v>#N/A</v>
      </c>
      <c r="AC230" s="56">
        <f>'Consumption Model'!P347</f>
        <v>0</v>
      </c>
      <c r="AD230" s="22" t="e">
        <f>IF(LEN(VLOOKUP(AC230,A2:D500,4,FALSE))=0,,VLOOKUP(AC230,A2:D500,4,FALSE))</f>
        <v>#N/A</v>
      </c>
      <c r="AE230" s="22">
        <f>'(Data)'!Q343</f>
        <v>0</v>
      </c>
      <c r="AF230" s="22" t="e">
        <f>IF(LEN(VLOOKUP(AE229:AE230,A2:D500,4,FALSE))=0,,VLOOKUP(AE229:AE230,A2:D500,4,FALSE))</f>
        <v>#N/A</v>
      </c>
      <c r="AH230" s="45">
        <f>'Risk Charact Model'!P361</f>
        <v>0</v>
      </c>
      <c r="AI230" s="58" t="e">
        <f>IF(LEN(VLOOKUP(AH230,A2:D500,4,FALSE))=0,,VLOOKUP(AH230,A2:D500,4,FALSE))</f>
        <v>#N/A</v>
      </c>
    </row>
    <row r="231" spans="9:35" ht="14" x14ac:dyDescent="0.3">
      <c r="I231" s="60">
        <f>'Generic Metadata Schema'!P361</f>
        <v>0</v>
      </c>
      <c r="J231" s="22" t="e">
        <f>IF(LEN(VLOOKUP(I231,A2:D500,4,FALSE))=0,"",VLOOKUP(I231,A2:D500,4,FALSE))</f>
        <v>#N/A</v>
      </c>
      <c r="L231" s="56">
        <f>'Dose-response Model'!O345</f>
        <v>0</v>
      </c>
      <c r="M231" s="22" t="e">
        <f>IF(LEN(VLOOKUP(L231,A2:D500,4,FALSE))=0,,VLOOKUP(L231,A2:D500,4,FALSE))</f>
        <v>#N/A</v>
      </c>
      <c r="N231" s="22">
        <f>'Exposure Model'!O362</f>
        <v>0</v>
      </c>
      <c r="O231" s="22" t="e">
        <f>IF(LEN(VLOOKUP(N231,A2:D500,4,FALSE))=0,,VLOOKUP(N231,A2:D500,4,FALSE))</f>
        <v>#N/A</v>
      </c>
      <c r="P231" s="55">
        <f>'QRA Models'!P362</f>
        <v>0</v>
      </c>
      <c r="Q231" s="22" t="e">
        <f>IF(LEN(VLOOKUP(P231,A2:D500,4,FALSE))=0,,VLOOKUP(P231,A2:D500,4,FALSE))</f>
        <v>#N/A</v>
      </c>
      <c r="R231" s="56">
        <f>'Health metrics Models'!Q345</f>
        <v>0</v>
      </c>
      <c r="S231" s="22" t="e">
        <f>IF(LEN(VLOOKUP(R231,A2:D500,4,FALSE))=0,,VLOOKUP(R231,A2:D500,4,FALSE))</f>
        <v>#N/A</v>
      </c>
      <c r="T231" s="56">
        <f>'Process Model'!P343</f>
        <v>0</v>
      </c>
      <c r="U231" s="22" t="e">
        <f>IF(LEN(VLOOKUP(T231,A2:D500,4,FALSE))=0,,VLOOKUP(T231,A2:D500,4,FALSE))</f>
        <v>#N/A</v>
      </c>
      <c r="V231" s="56">
        <f>'Toxicological reference value M'!P345</f>
        <v>0</v>
      </c>
      <c r="W231" s="22" t="e">
        <f>IF(LEN(VLOOKUP(V231,A2:D500,4,FALSE))=0,,VLOOKUP(V231,A2:D500,4,FALSE))</f>
        <v>#N/A</v>
      </c>
      <c r="Y231" s="56">
        <f>'Other Empirical Model'!P356</f>
        <v>0</v>
      </c>
      <c r="Z231" s="22" t="e">
        <f>IF(LEN(VLOOKUP(Y231,A2:D500,4,FALSE))=0,,VLOOKUP(Y231,A2:D500,4,FALSE))</f>
        <v>#N/A</v>
      </c>
      <c r="AA231" s="56">
        <f>'Predictive Model'!P343</f>
        <v>0</v>
      </c>
      <c r="AB231" s="22" t="e">
        <f>IF(LEN(VLOOKUP(AA231,A2:D500,4,FALSE))=0,,VLOOKUP(AA231,A2:D500,4,FALSE))</f>
        <v>#N/A</v>
      </c>
      <c r="AC231" s="56">
        <f>'Consumption Model'!P348</f>
        <v>0</v>
      </c>
      <c r="AD231" s="22" t="e">
        <f>IF(LEN(VLOOKUP(AC231,A2:D500,4,FALSE))=0,,VLOOKUP(AC231,A2:D500,4,FALSE))</f>
        <v>#N/A</v>
      </c>
      <c r="AE231" s="22">
        <f>'(Data)'!Q344</f>
        <v>0</v>
      </c>
      <c r="AF231" s="22" t="e">
        <f>IF(LEN(VLOOKUP(AE230:AE231,A2:D500,4,FALSE))=0,,VLOOKUP(AE230:AE231,A2:D500,4,FALSE))</f>
        <v>#N/A</v>
      </c>
      <c r="AH231" s="45">
        <f>'Risk Charact Model'!P362</f>
        <v>0</v>
      </c>
      <c r="AI231" s="58" t="e">
        <f>IF(LEN(VLOOKUP(AH231,A2:D500,4,FALSE))=0,,VLOOKUP(AH231,A2:D500,4,FALSE))</f>
        <v>#N/A</v>
      </c>
    </row>
    <row r="232" spans="9:35" ht="14" x14ac:dyDescent="0.3">
      <c r="I232" s="60">
        <f>'Generic Metadata Schema'!P362</f>
        <v>0</v>
      </c>
      <c r="J232" s="22" t="e">
        <f>IF(LEN(VLOOKUP(I232,A2:D500,4,FALSE))=0,"",VLOOKUP(I232,A2:D500,4,FALSE))</f>
        <v>#N/A</v>
      </c>
      <c r="L232" s="56">
        <f>'Dose-response Model'!O346</f>
        <v>0</v>
      </c>
      <c r="M232" s="22" t="e">
        <f>IF(LEN(VLOOKUP(L232,A2:D500,4,FALSE))=0,,VLOOKUP(L232,A2:D500,4,FALSE))</f>
        <v>#N/A</v>
      </c>
      <c r="N232" s="22">
        <f>'Exposure Model'!O363</f>
        <v>0</v>
      </c>
      <c r="O232" s="22" t="e">
        <f>IF(LEN(VLOOKUP(N232,A2:D500,4,FALSE))=0,,VLOOKUP(N232,A2:D500,4,FALSE))</f>
        <v>#N/A</v>
      </c>
      <c r="P232" s="56">
        <f>'QRA Models'!Q363</f>
        <v>0</v>
      </c>
      <c r="Q232" s="22" t="e">
        <f>IF(LEN(VLOOKUP(P232,A2:D500,4,FALSE))=0,,VLOOKUP(P232,A2:D500,4,FALSE))</f>
        <v>#N/A</v>
      </c>
      <c r="R232" s="56">
        <f>'Health metrics Models'!Q346</f>
        <v>0</v>
      </c>
      <c r="S232" s="22" t="e">
        <f>IF(LEN(VLOOKUP(R232,A2:D500,4,FALSE))=0,,VLOOKUP(R232,A2:D500,4,FALSE))</f>
        <v>#N/A</v>
      </c>
      <c r="T232" s="56">
        <f>'Process Model'!P344</f>
        <v>0</v>
      </c>
      <c r="U232" s="22" t="e">
        <f>IF(LEN(VLOOKUP(T232,A2:D500,4,FALSE))=0,,VLOOKUP(T232,A2:D500,4,FALSE))</f>
        <v>#N/A</v>
      </c>
      <c r="V232" s="56">
        <f>'Toxicological reference value M'!P346</f>
        <v>0</v>
      </c>
      <c r="W232" s="22" t="e">
        <f>IF(LEN(VLOOKUP(V232,A2:D500,4,FALSE))=0,,VLOOKUP(V232,A2:D500,4,FALSE))</f>
        <v>#N/A</v>
      </c>
      <c r="Y232" s="56">
        <f>'Other Empirical Model'!P357</f>
        <v>0</v>
      </c>
      <c r="Z232" s="22" t="e">
        <f>IF(LEN(VLOOKUP(Y232,A2:D500,4,FALSE))=0,,VLOOKUP(Y232,A2:D500,4,FALSE))</f>
        <v>#N/A</v>
      </c>
      <c r="AA232" s="56">
        <f>'Predictive Model'!P344</f>
        <v>0</v>
      </c>
      <c r="AB232" s="22" t="e">
        <f>IF(LEN(VLOOKUP(AA232,A2:D500,4,FALSE))=0,,VLOOKUP(AA232,A2:D500,4,FALSE))</f>
        <v>#N/A</v>
      </c>
      <c r="AC232" s="56">
        <f>'Consumption Model'!P349</f>
        <v>0</v>
      </c>
      <c r="AD232" s="22" t="e">
        <f>IF(LEN(VLOOKUP(AC232,A2:D500,4,FALSE))=0,,VLOOKUP(AC232,A2:D500,4,FALSE))</f>
        <v>#N/A</v>
      </c>
      <c r="AE232" s="22">
        <f>'(Data)'!Q345</f>
        <v>0</v>
      </c>
      <c r="AF232" s="22" t="e">
        <f>IF(LEN(VLOOKUP(AE231:AE232,A2:D500,4,FALSE))=0,,VLOOKUP(AE231:AE232,A2:D500,4,FALSE))</f>
        <v>#N/A</v>
      </c>
      <c r="AH232" s="45">
        <f>'Risk Charact Model'!P363</f>
        <v>0</v>
      </c>
      <c r="AI232" s="58" t="e">
        <f>IF(LEN(VLOOKUP(AH232,A2:D500,4,FALSE))=0,,VLOOKUP(AH232,A2:D500,4,FALSE))</f>
        <v>#N/A</v>
      </c>
    </row>
    <row r="233" spans="9:35" ht="14" x14ac:dyDescent="0.3">
      <c r="I233" s="60">
        <f>'Generic Metadata Schema'!P363</f>
        <v>0</v>
      </c>
      <c r="J233" s="22" t="e">
        <f>IF(LEN(VLOOKUP(I233,A2:D500,4,FALSE))=0,"",VLOOKUP(I233,A2:D500,4,FALSE))</f>
        <v>#N/A</v>
      </c>
      <c r="L233" s="56">
        <f>'Dose-response Model'!O347</f>
        <v>0</v>
      </c>
      <c r="M233" s="22" t="e">
        <f>IF(LEN(VLOOKUP(L233,A2:D500,4,FALSE))=0,,VLOOKUP(L233,A2:D500,4,FALSE))</f>
        <v>#N/A</v>
      </c>
      <c r="N233" s="22">
        <f>'Exposure Model'!O364</f>
        <v>0</v>
      </c>
      <c r="O233" s="22" t="e">
        <f>IF(LEN(VLOOKUP(N233,A2:D500,4,FALSE))=0,,VLOOKUP(N233,A2:D500,4,FALSE))</f>
        <v>#N/A</v>
      </c>
      <c r="P233" s="56">
        <f>'QRA Models'!Q364</f>
        <v>0</v>
      </c>
      <c r="Q233" s="22" t="e">
        <f>IF(LEN(VLOOKUP(P233,A2:D500,4,FALSE))=0,,VLOOKUP(P233,A2:D500,4,FALSE))</f>
        <v>#N/A</v>
      </c>
      <c r="R233" s="56">
        <f>'Health metrics Models'!Q347</f>
        <v>0</v>
      </c>
      <c r="S233" s="22" t="e">
        <f>IF(LEN(VLOOKUP(R233,A2:D500,4,FALSE))=0,,VLOOKUP(R233,A2:D500,4,FALSE))</f>
        <v>#N/A</v>
      </c>
      <c r="T233" s="56">
        <f>'Process Model'!P345</f>
        <v>0</v>
      </c>
      <c r="U233" s="22" t="e">
        <f>IF(LEN(VLOOKUP(T233,A2:D500,4,FALSE))=0,,VLOOKUP(T233,A2:D500,4,FALSE))</f>
        <v>#N/A</v>
      </c>
      <c r="V233" s="56">
        <f>'Toxicological reference value M'!P347</f>
        <v>0</v>
      </c>
      <c r="W233" s="22" t="e">
        <f>IF(LEN(VLOOKUP(V233,A2:D500,4,FALSE))=0,,VLOOKUP(V233,A2:D500,4,FALSE))</f>
        <v>#N/A</v>
      </c>
      <c r="Y233" s="56">
        <f>'Other Empirical Model'!P358</f>
        <v>0</v>
      </c>
      <c r="Z233" s="22" t="e">
        <f>IF(LEN(VLOOKUP(Y233,A2:D500,4,FALSE))=0,,VLOOKUP(Y233,A2:D500,4,FALSE))</f>
        <v>#N/A</v>
      </c>
      <c r="AA233" s="56">
        <f>'Predictive Model'!P345</f>
        <v>0</v>
      </c>
      <c r="AB233" s="22" t="e">
        <f>IF(LEN(VLOOKUP(AA233,A2:D500,4,FALSE))=0,,VLOOKUP(AA233,A2:D500,4,FALSE))</f>
        <v>#N/A</v>
      </c>
      <c r="AC233" s="56">
        <f>'Consumption Model'!P350</f>
        <v>0</v>
      </c>
      <c r="AD233" s="22" t="e">
        <f>IF(LEN(VLOOKUP(AC233,A2:D500,4,FALSE))=0,,VLOOKUP(AC233,A2:D500,4,FALSE))</f>
        <v>#N/A</v>
      </c>
      <c r="AE233" s="22">
        <f>'(Data)'!Q346</f>
        <v>0</v>
      </c>
      <c r="AF233" s="22" t="e">
        <f>IF(LEN(VLOOKUP(AE232:AE233,A2:D500,4,FALSE))=0,,VLOOKUP(AE232:AE233,A2:D500,4,FALSE))</f>
        <v>#N/A</v>
      </c>
      <c r="AH233" s="45">
        <f>'Risk Charact Model'!P364</f>
        <v>0</v>
      </c>
      <c r="AI233" s="58" t="e">
        <f>IF(LEN(VLOOKUP(AH233,A2:D500,4,FALSE))=0,,VLOOKUP(AH233,A2:D500,4,FALSE))</f>
        <v>#N/A</v>
      </c>
    </row>
    <row r="234" spans="9:35" ht="14" x14ac:dyDescent="0.3">
      <c r="I234" s="60">
        <f>'Generic Metadata Schema'!P364</f>
        <v>0</v>
      </c>
      <c r="J234" s="22" t="e">
        <f>IF(LEN(VLOOKUP(I234,A2:D500,4,FALSE))=0,"",VLOOKUP(I234,A2:D500,4,FALSE))</f>
        <v>#N/A</v>
      </c>
      <c r="L234" s="56">
        <f>'Dose-response Model'!O348</f>
        <v>0</v>
      </c>
      <c r="M234" s="22" t="e">
        <f>IF(LEN(VLOOKUP(L234,A2:D500,4,FALSE))=0,,VLOOKUP(L234,A2:D500,4,FALSE))</f>
        <v>#N/A</v>
      </c>
      <c r="N234" s="22">
        <f>'Exposure Model'!O365</f>
        <v>0</v>
      </c>
      <c r="O234" s="22" t="e">
        <f>IF(LEN(VLOOKUP(N234,A2:D500,4,FALSE))=0,,VLOOKUP(N234,A2:D500,4,FALSE))</f>
        <v>#N/A</v>
      </c>
      <c r="P234" s="56">
        <f>'QRA Models'!Q365</f>
        <v>0</v>
      </c>
      <c r="Q234" s="22" t="e">
        <f>IF(LEN(VLOOKUP(P234,A2:D500,4,FALSE))=0,,VLOOKUP(P234,A2:D500,4,FALSE))</f>
        <v>#N/A</v>
      </c>
      <c r="R234" s="56">
        <f>'Health metrics Models'!Q348</f>
        <v>0</v>
      </c>
      <c r="S234" s="22" t="e">
        <f>IF(LEN(VLOOKUP(R234,A2:D500,4,FALSE))=0,,VLOOKUP(R234,A2:D500,4,FALSE))</f>
        <v>#N/A</v>
      </c>
      <c r="T234" s="56">
        <f>'Process Model'!P346</f>
        <v>0</v>
      </c>
      <c r="U234" s="22" t="e">
        <f>IF(LEN(VLOOKUP(T234,A2:D500,4,FALSE))=0,,VLOOKUP(T234,A2:D500,4,FALSE))</f>
        <v>#N/A</v>
      </c>
      <c r="V234" s="56">
        <f>'Toxicological reference value M'!P348</f>
        <v>0</v>
      </c>
      <c r="W234" s="22" t="e">
        <f>IF(LEN(VLOOKUP(V234,A2:D500,4,FALSE))=0,,VLOOKUP(V234,A2:D500,4,FALSE))</f>
        <v>#N/A</v>
      </c>
      <c r="Y234" s="56">
        <f>'Other Empirical Model'!P359</f>
        <v>0</v>
      </c>
      <c r="Z234" s="22" t="e">
        <f>IF(LEN(VLOOKUP(Y234,A2:D500,4,FALSE))=0,,VLOOKUP(Y234,A2:D500,4,FALSE))</f>
        <v>#N/A</v>
      </c>
      <c r="AA234" s="56">
        <f>'Predictive Model'!P346</f>
        <v>0</v>
      </c>
      <c r="AB234" s="22" t="e">
        <f>IF(LEN(VLOOKUP(AA234,A2:D500,4,FALSE))=0,,VLOOKUP(AA234,A2:D500,4,FALSE))</f>
        <v>#N/A</v>
      </c>
      <c r="AC234" s="56">
        <f>'Consumption Model'!P351</f>
        <v>0</v>
      </c>
      <c r="AD234" s="22" t="e">
        <f>IF(LEN(VLOOKUP(AC234,A2:D500,4,FALSE))=0,,VLOOKUP(AC234,A2:D500,4,FALSE))</f>
        <v>#N/A</v>
      </c>
      <c r="AE234" s="22">
        <f>'(Data)'!Q347</f>
        <v>0</v>
      </c>
      <c r="AF234" s="22" t="e">
        <f>IF(LEN(VLOOKUP(AE233:AE234,A2:D500,4,FALSE))=0,,VLOOKUP(AE233:AE234,A2:D500,4,FALSE))</f>
        <v>#N/A</v>
      </c>
      <c r="AH234" s="45">
        <f>'Risk Charact Model'!P365</f>
        <v>0</v>
      </c>
      <c r="AI234" s="58" t="e">
        <f>IF(LEN(VLOOKUP(AH234,A2:D500,4,FALSE))=0,,VLOOKUP(AH234,A2:D500,4,FALSE))</f>
        <v>#N/A</v>
      </c>
    </row>
    <row r="235" spans="9:35" ht="14" x14ac:dyDescent="0.3">
      <c r="I235" s="60">
        <f>'Generic Metadata Schema'!P365</f>
        <v>0</v>
      </c>
      <c r="J235" s="22" t="e">
        <f>IF(LEN(VLOOKUP(I235,A2:D500,4,FALSE))=0,"",VLOOKUP(I235,A2:D500,4,FALSE))</f>
        <v>#N/A</v>
      </c>
      <c r="L235" s="56">
        <f>'Dose-response Model'!O349</f>
        <v>0</v>
      </c>
      <c r="M235" s="22" t="e">
        <f>IF(LEN(VLOOKUP(L235,A2:D500,4,FALSE))=0,,VLOOKUP(L235,A2:D500,4,FALSE))</f>
        <v>#N/A</v>
      </c>
      <c r="N235" s="22">
        <f>'Exposure Model'!O366</f>
        <v>0</v>
      </c>
      <c r="O235" s="22" t="e">
        <f>IF(LEN(VLOOKUP(N235,A2:D500,4,FALSE))=0,,VLOOKUP(N235,A2:D500,4,FALSE))</f>
        <v>#N/A</v>
      </c>
      <c r="P235" s="56">
        <f>'QRA Models'!Q366</f>
        <v>0</v>
      </c>
      <c r="Q235" s="22" t="e">
        <f>IF(LEN(VLOOKUP(P235,A2:D500,4,FALSE))=0,,VLOOKUP(P235,A2:D500,4,FALSE))</f>
        <v>#N/A</v>
      </c>
      <c r="R235" s="56">
        <f>'Health metrics Models'!Q349</f>
        <v>0</v>
      </c>
      <c r="S235" s="22" t="e">
        <f>IF(LEN(VLOOKUP(R235,A2:D500,4,FALSE))=0,,VLOOKUP(R235,A2:D500,4,FALSE))</f>
        <v>#N/A</v>
      </c>
      <c r="T235" s="56">
        <f>'Process Model'!P347</f>
        <v>0</v>
      </c>
      <c r="U235" s="22" t="e">
        <f>IF(LEN(VLOOKUP(T235,A2:D500,4,FALSE))=0,,VLOOKUP(T235,A2:D500,4,FALSE))</f>
        <v>#N/A</v>
      </c>
      <c r="V235" s="56">
        <f>'Toxicological reference value M'!P349</f>
        <v>0</v>
      </c>
      <c r="W235" s="22" t="e">
        <f>IF(LEN(VLOOKUP(V235,A2:D500,4,FALSE))=0,,VLOOKUP(V235,A2:D500,4,FALSE))</f>
        <v>#N/A</v>
      </c>
      <c r="Y235" s="56">
        <f>'Other Empirical Model'!P360</f>
        <v>0</v>
      </c>
      <c r="Z235" s="22" t="e">
        <f>IF(LEN(VLOOKUP(Y235,A2:D500,4,FALSE))=0,,VLOOKUP(Y235,A2:D500,4,FALSE))</f>
        <v>#N/A</v>
      </c>
      <c r="AA235" s="56">
        <f>'Predictive Model'!P347</f>
        <v>0</v>
      </c>
      <c r="AB235" s="22" t="e">
        <f>IF(LEN(VLOOKUP(AA235,A2:D500,4,FALSE))=0,,VLOOKUP(AA235,A2:D500,4,FALSE))</f>
        <v>#N/A</v>
      </c>
      <c r="AC235" s="56">
        <f>'Consumption Model'!P352</f>
        <v>0</v>
      </c>
      <c r="AD235" s="22" t="e">
        <f>IF(LEN(VLOOKUP(AC235,A2:D500,4,FALSE))=0,,VLOOKUP(AC235,A2:D500,4,FALSE))</f>
        <v>#N/A</v>
      </c>
      <c r="AE235" s="22">
        <f>'(Data)'!Q348</f>
        <v>0</v>
      </c>
      <c r="AF235" s="22" t="e">
        <f>IF(LEN(VLOOKUP(AE234:AE235,A2:D500,4,FALSE))=0,,VLOOKUP(AE234:AE235,A2:D500,4,FALSE))</f>
        <v>#N/A</v>
      </c>
      <c r="AH235" s="45">
        <f>'Risk Charact Model'!P366</f>
        <v>0</v>
      </c>
      <c r="AI235" s="58" t="e">
        <f>IF(LEN(VLOOKUP(AH235,A2:D500,4,FALSE))=0,,VLOOKUP(AH235,A2:D500,4,FALSE))</f>
        <v>#N/A</v>
      </c>
    </row>
    <row r="236" spans="9:35" ht="14" x14ac:dyDescent="0.3">
      <c r="I236" s="60">
        <f>'Generic Metadata Schema'!P366</f>
        <v>0</v>
      </c>
      <c r="J236" s="22" t="e">
        <f>IF(LEN(VLOOKUP(I236,A2:D500,4,FALSE))=0,"",VLOOKUP(I236,A2:D500,4,FALSE))</f>
        <v>#N/A</v>
      </c>
      <c r="L236" s="56">
        <f>'Dose-response Model'!O350</f>
        <v>0</v>
      </c>
      <c r="M236" s="22" t="e">
        <f>IF(LEN(VLOOKUP(L236,A2:D500,4,FALSE))=0,,VLOOKUP(L236,A2:D500,4,FALSE))</f>
        <v>#N/A</v>
      </c>
      <c r="N236" s="22">
        <f>'Exposure Model'!O367</f>
        <v>0</v>
      </c>
      <c r="O236" s="22" t="e">
        <f>IF(LEN(VLOOKUP(N236,A2:D500,4,FALSE))=0,,VLOOKUP(N236,A2:D500,4,FALSE))</f>
        <v>#N/A</v>
      </c>
      <c r="P236" s="56">
        <f>'QRA Models'!Q367</f>
        <v>0</v>
      </c>
      <c r="Q236" s="22" t="e">
        <f>IF(LEN(VLOOKUP(P236,A2:D500,4,FALSE))=0,,VLOOKUP(P236,A2:D500,4,FALSE))</f>
        <v>#N/A</v>
      </c>
      <c r="R236" s="56">
        <f>'Health metrics Models'!Q350</f>
        <v>0</v>
      </c>
      <c r="S236" s="22" t="e">
        <f>IF(LEN(VLOOKUP(R236,A2:D500,4,FALSE))=0,,VLOOKUP(R236,A2:D500,4,FALSE))</f>
        <v>#N/A</v>
      </c>
      <c r="T236" s="56">
        <f>'Process Model'!P348</f>
        <v>0</v>
      </c>
      <c r="U236" s="22" t="e">
        <f>IF(LEN(VLOOKUP(T236,A2:D500,4,FALSE))=0,,VLOOKUP(T236,A2:D500,4,FALSE))</f>
        <v>#N/A</v>
      </c>
      <c r="V236" s="56">
        <f>'Toxicological reference value M'!P350</f>
        <v>0</v>
      </c>
      <c r="W236" s="22" t="e">
        <f>IF(LEN(VLOOKUP(V236,A2:D500,4,FALSE))=0,,VLOOKUP(V236,A2:D500,4,FALSE))</f>
        <v>#N/A</v>
      </c>
      <c r="Y236" s="56">
        <f>'Other Empirical Model'!P361</f>
        <v>0</v>
      </c>
      <c r="Z236" s="22" t="e">
        <f>IF(LEN(VLOOKUP(Y236,A2:D500,4,FALSE))=0,,VLOOKUP(Y236,A2:D500,4,FALSE))</f>
        <v>#N/A</v>
      </c>
      <c r="AA236" s="56">
        <f>'Predictive Model'!P348</f>
        <v>0</v>
      </c>
      <c r="AB236" s="22" t="e">
        <f>IF(LEN(VLOOKUP(AA236,A2:D500,4,FALSE))=0,,VLOOKUP(AA236,A2:D500,4,FALSE))</f>
        <v>#N/A</v>
      </c>
      <c r="AC236" s="56">
        <f>'Consumption Model'!P353</f>
        <v>0</v>
      </c>
      <c r="AD236" s="22" t="e">
        <f>IF(LEN(VLOOKUP(AC236,A2:D500,4,FALSE))=0,,VLOOKUP(AC236,A2:D500,4,FALSE))</f>
        <v>#N/A</v>
      </c>
      <c r="AE236" s="22">
        <f>'(Data)'!Q349</f>
        <v>0</v>
      </c>
      <c r="AF236" s="22" t="e">
        <f>IF(LEN(VLOOKUP(AE235:AE236,A2:D500,4,FALSE))=0,,VLOOKUP(AE235:AE236,A2:D500,4,FALSE))</f>
        <v>#N/A</v>
      </c>
      <c r="AH236" s="45">
        <f>'Risk Charact Model'!P367</f>
        <v>0</v>
      </c>
      <c r="AI236" s="58" t="e">
        <f>IF(LEN(VLOOKUP(AH236,A2:D500,4,FALSE))=0,,VLOOKUP(AH236,A2:D500,4,FALSE))</f>
        <v>#N/A</v>
      </c>
    </row>
    <row r="237" spans="9:35" ht="14" x14ac:dyDescent="0.3">
      <c r="I237" s="60">
        <f>'Generic Metadata Schema'!P367</f>
        <v>0</v>
      </c>
      <c r="J237" s="22" t="e">
        <f>IF(LEN(VLOOKUP(I237,A2:D500,4,FALSE))=0,"",VLOOKUP(I237,A2:D500,4,FALSE))</f>
        <v>#N/A</v>
      </c>
      <c r="L237" s="56">
        <f>'Dose-response Model'!O351</f>
        <v>0</v>
      </c>
      <c r="M237" s="22" t="e">
        <f>IF(LEN(VLOOKUP(L237,A2:D500,4,FALSE))=0,,VLOOKUP(L237,A2:D500,4,FALSE))</f>
        <v>#N/A</v>
      </c>
      <c r="N237" s="22">
        <f>'Exposure Model'!O368</f>
        <v>0</v>
      </c>
      <c r="O237" s="22" t="e">
        <f>IF(LEN(VLOOKUP(N237,A2:D500,4,FALSE))=0,,VLOOKUP(N237,A2:D500,4,FALSE))</f>
        <v>#N/A</v>
      </c>
      <c r="P237" s="56">
        <f>'QRA Models'!Q368</f>
        <v>0</v>
      </c>
      <c r="Q237" s="22" t="e">
        <f>IF(LEN(VLOOKUP(P237,A2:D500,4,FALSE))=0,,VLOOKUP(P237,A2:D500,4,FALSE))</f>
        <v>#N/A</v>
      </c>
      <c r="R237" s="56">
        <f>'Health metrics Models'!Q351</f>
        <v>0</v>
      </c>
      <c r="S237" s="22" t="e">
        <f>IF(LEN(VLOOKUP(R237,A2:D500,4,FALSE))=0,,VLOOKUP(R237,A2:D500,4,FALSE))</f>
        <v>#N/A</v>
      </c>
      <c r="T237" s="56">
        <f>'Process Model'!P349</f>
        <v>0</v>
      </c>
      <c r="U237" s="22" t="e">
        <f>IF(LEN(VLOOKUP(T237,A2:D500,4,FALSE))=0,,VLOOKUP(T237,A2:D500,4,FALSE))</f>
        <v>#N/A</v>
      </c>
      <c r="V237" s="56">
        <f>'Toxicological reference value M'!P351</f>
        <v>0</v>
      </c>
      <c r="W237" s="22" t="e">
        <f>IF(LEN(VLOOKUP(V237,A2:D500,4,FALSE))=0,,VLOOKUP(V237,A2:D500,4,FALSE))</f>
        <v>#N/A</v>
      </c>
      <c r="Y237" s="56">
        <f>'Other Empirical Model'!P362</f>
        <v>0</v>
      </c>
      <c r="Z237" s="22" t="e">
        <f>IF(LEN(VLOOKUP(Y237,A2:D500,4,FALSE))=0,,VLOOKUP(Y237,A2:D500,4,FALSE))</f>
        <v>#N/A</v>
      </c>
      <c r="AA237" s="56">
        <f>'Predictive Model'!P349</f>
        <v>0</v>
      </c>
      <c r="AB237" s="22" t="e">
        <f>IF(LEN(VLOOKUP(AA237,A2:D500,4,FALSE))=0,,VLOOKUP(AA237,A2:D500,4,FALSE))</f>
        <v>#N/A</v>
      </c>
      <c r="AC237" s="56">
        <f>'Consumption Model'!P354</f>
        <v>0</v>
      </c>
      <c r="AD237" s="22" t="e">
        <f>IF(LEN(VLOOKUP(AC237,A2:D500,4,FALSE))=0,,VLOOKUP(AC237,A2:D500,4,FALSE))</f>
        <v>#N/A</v>
      </c>
      <c r="AE237" s="22">
        <f>'(Data)'!Q350</f>
        <v>0</v>
      </c>
      <c r="AF237" s="22" t="e">
        <f>IF(LEN(VLOOKUP(AE236:AE237,A2:D500,4,FALSE))=0,,VLOOKUP(AE236:AE237,A2:D500,4,FALSE))</f>
        <v>#N/A</v>
      </c>
      <c r="AH237" s="45">
        <f>'Risk Charact Model'!P368</f>
        <v>0</v>
      </c>
      <c r="AI237" s="58" t="e">
        <f>IF(LEN(VLOOKUP(AH237,A2:D500,4,FALSE))=0,,VLOOKUP(AH237,A2:D500,4,FALSE))</f>
        <v>#N/A</v>
      </c>
    </row>
    <row r="238" spans="9:35" ht="14" x14ac:dyDescent="0.3">
      <c r="I238" s="60">
        <f>'Generic Metadata Schema'!P368</f>
        <v>0</v>
      </c>
      <c r="J238" s="22" t="e">
        <f>IF(LEN(VLOOKUP(I238,A2:D500,4,FALSE))=0,"",VLOOKUP(I238,A2:D500,4,FALSE))</f>
        <v>#N/A</v>
      </c>
      <c r="L238" s="56">
        <f>'Dose-response Model'!O352</f>
        <v>0</v>
      </c>
      <c r="M238" s="22" t="e">
        <f>IF(LEN(VLOOKUP(L238,A2:D500,4,FALSE))=0,,VLOOKUP(L238,A2:D500,4,FALSE))</f>
        <v>#N/A</v>
      </c>
      <c r="N238" s="22">
        <f>'Exposure Model'!O369</f>
        <v>0</v>
      </c>
      <c r="O238" s="22" t="e">
        <f>IF(LEN(VLOOKUP(N238,A2:D500,4,FALSE))=0,,VLOOKUP(N238,A2:D500,4,FALSE))</f>
        <v>#N/A</v>
      </c>
      <c r="P238" s="56">
        <f>'QRA Models'!Q369</f>
        <v>0</v>
      </c>
      <c r="Q238" s="22" t="e">
        <f>IF(LEN(VLOOKUP(P238,A2:D500,4,FALSE))=0,,VLOOKUP(P238,A2:D500,4,FALSE))</f>
        <v>#N/A</v>
      </c>
      <c r="R238" s="56">
        <f>'Health metrics Models'!Q352</f>
        <v>0</v>
      </c>
      <c r="S238" s="22" t="e">
        <f>IF(LEN(VLOOKUP(R238,A2:D500,4,FALSE))=0,,VLOOKUP(R238,A2:D500,4,FALSE))</f>
        <v>#N/A</v>
      </c>
      <c r="T238" s="56">
        <f>'Process Model'!P350</f>
        <v>0</v>
      </c>
      <c r="U238" s="22" t="e">
        <f>IF(LEN(VLOOKUP(T238,A2:D500,4,FALSE))=0,,VLOOKUP(T238,A2:D500,4,FALSE))</f>
        <v>#N/A</v>
      </c>
      <c r="V238" s="56">
        <f>'Toxicological reference value M'!P352</f>
        <v>0</v>
      </c>
      <c r="W238" s="22" t="e">
        <f>IF(LEN(VLOOKUP(V238,A2:D500,4,FALSE))=0,,VLOOKUP(V238,A2:D500,4,FALSE))</f>
        <v>#N/A</v>
      </c>
      <c r="Y238" s="56">
        <f>'Other Empirical Model'!P363</f>
        <v>0</v>
      </c>
      <c r="Z238" s="22" t="e">
        <f>IF(LEN(VLOOKUP(Y238,A2:D500,4,FALSE))=0,,VLOOKUP(Y238,A2:D500,4,FALSE))</f>
        <v>#N/A</v>
      </c>
      <c r="AA238" s="56">
        <f>'Predictive Model'!P350</f>
        <v>0</v>
      </c>
      <c r="AB238" s="22" t="e">
        <f>IF(LEN(VLOOKUP(AA238,A2:D500,4,FALSE))=0,,VLOOKUP(AA238,A2:D500,4,FALSE))</f>
        <v>#N/A</v>
      </c>
      <c r="AC238" s="56">
        <f>'Consumption Model'!P355</f>
        <v>0</v>
      </c>
      <c r="AD238" s="22" t="e">
        <f>IF(LEN(VLOOKUP(AC238,A2:D500,4,FALSE))=0,,VLOOKUP(AC238,A2:D500,4,FALSE))</f>
        <v>#N/A</v>
      </c>
      <c r="AE238" s="22">
        <f>'(Data)'!Q351</f>
        <v>0</v>
      </c>
      <c r="AF238" s="22" t="e">
        <f>IF(LEN(VLOOKUP(AE237:AE238,A2:D500,4,FALSE))=0,,VLOOKUP(AE237:AE238,A2:D500,4,FALSE))</f>
        <v>#N/A</v>
      </c>
      <c r="AH238" s="45">
        <f>'Risk Charact Model'!P369</f>
        <v>0</v>
      </c>
      <c r="AI238" s="58" t="e">
        <f>IF(LEN(VLOOKUP(AH238,A2:D500,4,FALSE))=0,,VLOOKUP(AH238,A2:D500,4,FALSE))</f>
        <v>#N/A</v>
      </c>
    </row>
    <row r="239" spans="9:35" ht="14" x14ac:dyDescent="0.3">
      <c r="I239" s="60">
        <f>'Generic Metadata Schema'!P369</f>
        <v>0</v>
      </c>
      <c r="J239" s="22" t="e">
        <f>IF(LEN(VLOOKUP(I239,A2:D500,4,FALSE))=0,"",VLOOKUP(I239,A2:D500,4,FALSE))</f>
        <v>#N/A</v>
      </c>
      <c r="L239" s="56">
        <f>'Dose-response Model'!O353</f>
        <v>0</v>
      </c>
      <c r="M239" s="22" t="e">
        <f>IF(LEN(VLOOKUP(L239,A2:D500,4,FALSE))=0,,VLOOKUP(L239,A2:D500,4,FALSE))</f>
        <v>#N/A</v>
      </c>
      <c r="N239" s="22">
        <f>'Exposure Model'!O370</f>
        <v>0</v>
      </c>
      <c r="O239" s="22" t="e">
        <f>IF(LEN(VLOOKUP(N239,A2:D500,4,FALSE))=0,,VLOOKUP(N239,A2:D500,4,FALSE))</f>
        <v>#N/A</v>
      </c>
      <c r="P239" s="56">
        <f>'QRA Models'!Q370</f>
        <v>0</v>
      </c>
      <c r="Q239" s="22" t="e">
        <f>IF(LEN(VLOOKUP(P239,A2:D500,4,FALSE))=0,,VLOOKUP(P239,A2:D500,4,FALSE))</f>
        <v>#N/A</v>
      </c>
      <c r="R239" s="56">
        <f>'Health metrics Models'!Q353</f>
        <v>0</v>
      </c>
      <c r="S239" s="22" t="e">
        <f>IF(LEN(VLOOKUP(R239,A2:D500,4,FALSE))=0,,VLOOKUP(R239,A2:D500,4,FALSE))</f>
        <v>#N/A</v>
      </c>
      <c r="T239" s="56">
        <f>'Process Model'!P351</f>
        <v>0</v>
      </c>
      <c r="U239" s="22" t="e">
        <f>IF(LEN(VLOOKUP(T239,A2:D500,4,FALSE))=0,,VLOOKUP(T239,A2:D500,4,FALSE))</f>
        <v>#N/A</v>
      </c>
      <c r="V239" s="56">
        <f>'Toxicological reference value M'!P353</f>
        <v>0</v>
      </c>
      <c r="W239" s="22" t="e">
        <f>IF(LEN(VLOOKUP(V239,A2:D500,4,FALSE))=0,,VLOOKUP(V239,A2:D500,4,FALSE))</f>
        <v>#N/A</v>
      </c>
      <c r="Y239" s="56">
        <f>'Other Empirical Model'!P364</f>
        <v>0</v>
      </c>
      <c r="Z239" s="22" t="e">
        <f>IF(LEN(VLOOKUP(Y239,A2:D500,4,FALSE))=0,,VLOOKUP(Y239,A2:D500,4,FALSE))</f>
        <v>#N/A</v>
      </c>
      <c r="AA239" s="56">
        <f>'Predictive Model'!P351</f>
        <v>0</v>
      </c>
      <c r="AB239" s="22" t="e">
        <f>IF(LEN(VLOOKUP(AA239,A2:D500,4,FALSE))=0,,VLOOKUP(AA239,A2:D500,4,FALSE))</f>
        <v>#N/A</v>
      </c>
      <c r="AC239" s="56">
        <f>'Consumption Model'!P356</f>
        <v>0</v>
      </c>
      <c r="AD239" s="22" t="e">
        <f>IF(LEN(VLOOKUP(AC239,A2:D500,4,FALSE))=0,,VLOOKUP(AC239,A2:D500,4,FALSE))</f>
        <v>#N/A</v>
      </c>
      <c r="AE239" s="22">
        <f>'(Data)'!Q352</f>
        <v>0</v>
      </c>
      <c r="AF239" s="22" t="e">
        <f>IF(LEN(VLOOKUP(AE238:AE239,A2:D500,4,FALSE))=0,,VLOOKUP(AE238:AE239,A2:D500,4,FALSE))</f>
        <v>#N/A</v>
      </c>
      <c r="AH239" s="45">
        <f>'Risk Charact Model'!P370</f>
        <v>0</v>
      </c>
      <c r="AI239" s="58" t="e">
        <f>IF(LEN(VLOOKUP(AH239,A2:D500,4,FALSE))=0,,VLOOKUP(AH239,A2:D500,4,FALSE))</f>
        <v>#N/A</v>
      </c>
    </row>
    <row r="240" spans="9:35" ht="14" x14ac:dyDescent="0.3">
      <c r="I240" s="60">
        <f>'Generic Metadata Schema'!P370</f>
        <v>0</v>
      </c>
      <c r="J240" s="22" t="e">
        <f>IF(LEN(VLOOKUP(I240,A2:D500,4,FALSE))=0,"",VLOOKUP(I240,A2:D500,4,FALSE))</f>
        <v>#N/A</v>
      </c>
      <c r="L240" s="56">
        <f>'Dose-response Model'!O354</f>
        <v>0</v>
      </c>
      <c r="M240" s="22" t="e">
        <f>IF(LEN(VLOOKUP(L240,A2:D500,4,FALSE))=0,,VLOOKUP(L240,A2:D500,4,FALSE))</f>
        <v>#N/A</v>
      </c>
      <c r="N240" s="22">
        <f>'Exposure Model'!O371</f>
        <v>0</v>
      </c>
      <c r="O240" s="22" t="e">
        <f>IF(LEN(VLOOKUP(N240,A2:D500,4,FALSE))=0,,VLOOKUP(N240,A2:D500,4,FALSE))</f>
        <v>#N/A</v>
      </c>
      <c r="P240" s="56">
        <f>'QRA Models'!Q371</f>
        <v>0</v>
      </c>
      <c r="Q240" s="22" t="e">
        <f>IF(LEN(VLOOKUP(P240,A2:D500,4,FALSE))=0,,VLOOKUP(P240,A2:D500,4,FALSE))</f>
        <v>#N/A</v>
      </c>
      <c r="R240" s="56">
        <f>'Health metrics Models'!Q354</f>
        <v>0</v>
      </c>
      <c r="S240" s="22" t="e">
        <f>IF(LEN(VLOOKUP(R240,A2:D500,4,FALSE))=0,,VLOOKUP(R240,A2:D500,4,FALSE))</f>
        <v>#N/A</v>
      </c>
      <c r="T240" s="56">
        <f>'Process Model'!P352</f>
        <v>0</v>
      </c>
      <c r="U240" s="22" t="e">
        <f>IF(LEN(VLOOKUP(T240,A2:D500,4,FALSE))=0,,VLOOKUP(T240,A2:D500,4,FALSE))</f>
        <v>#N/A</v>
      </c>
      <c r="V240" s="56">
        <f>'Toxicological reference value M'!P354</f>
        <v>0</v>
      </c>
      <c r="W240" s="22" t="e">
        <f>IF(LEN(VLOOKUP(V240,A2:D500,4,FALSE))=0,,VLOOKUP(V240,A2:D500,4,FALSE))</f>
        <v>#N/A</v>
      </c>
      <c r="Y240" s="56">
        <f>'Other Empirical Model'!P365</f>
        <v>0</v>
      </c>
      <c r="Z240" s="22" t="e">
        <f>IF(LEN(VLOOKUP(Y240,A2:D500,4,FALSE))=0,,VLOOKUP(Y240,A2:D500,4,FALSE))</f>
        <v>#N/A</v>
      </c>
      <c r="AA240" s="56">
        <f>'Predictive Model'!P352</f>
        <v>0</v>
      </c>
      <c r="AB240" s="22" t="e">
        <f>IF(LEN(VLOOKUP(AA240,A2:D500,4,FALSE))=0,,VLOOKUP(AA240,A2:D500,4,FALSE))</f>
        <v>#N/A</v>
      </c>
      <c r="AC240" s="56">
        <f>'Consumption Model'!P357</f>
        <v>0</v>
      </c>
      <c r="AD240" s="22" t="e">
        <f>IF(LEN(VLOOKUP(AC240,A2:D500,4,FALSE))=0,,VLOOKUP(AC240,A2:D500,4,FALSE))</f>
        <v>#N/A</v>
      </c>
      <c r="AE240" s="22">
        <f>'(Data)'!Q353</f>
        <v>0</v>
      </c>
      <c r="AF240" s="22" t="e">
        <f>IF(LEN(VLOOKUP(AE239:AE240,A2:D500,4,FALSE))=0,,VLOOKUP(AE239:AE240,A2:D500,4,FALSE))</f>
        <v>#N/A</v>
      </c>
      <c r="AH240" s="45">
        <f>'Risk Charact Model'!P371</f>
        <v>0</v>
      </c>
      <c r="AI240" s="58" t="e">
        <f>IF(LEN(VLOOKUP(AH240,A2:D500,4,FALSE))=0,,VLOOKUP(AH240,A2:D500,4,FALSE))</f>
        <v>#N/A</v>
      </c>
    </row>
    <row r="241" spans="9:35" ht="14" x14ac:dyDescent="0.3">
      <c r="I241" s="60">
        <f>'Generic Metadata Schema'!P371</f>
        <v>0</v>
      </c>
      <c r="J241" s="22" t="e">
        <f>IF(LEN(VLOOKUP(I241,A2:D500,4,FALSE))=0,"",VLOOKUP(I241,A2:D500,4,FALSE))</f>
        <v>#N/A</v>
      </c>
      <c r="L241" s="56">
        <f>'Dose-response Model'!O355</f>
        <v>0</v>
      </c>
      <c r="M241" s="22" t="e">
        <f>IF(LEN(VLOOKUP(L241,A2:D500,4,FALSE))=0,,VLOOKUP(L241,A2:D500,4,FALSE))</f>
        <v>#N/A</v>
      </c>
      <c r="N241" s="22">
        <f>'Exposure Model'!O372</f>
        <v>0</v>
      </c>
      <c r="O241" s="22" t="e">
        <f>IF(LEN(VLOOKUP(N241,A2:D500,4,FALSE))=0,,VLOOKUP(N241,A2:D500,4,FALSE))</f>
        <v>#N/A</v>
      </c>
      <c r="P241" s="56">
        <f>'QRA Models'!Q372</f>
        <v>0</v>
      </c>
      <c r="Q241" s="22" t="e">
        <f>IF(LEN(VLOOKUP(P241,A2:D500,4,FALSE))=0,,VLOOKUP(P241,A2:D500,4,FALSE))</f>
        <v>#N/A</v>
      </c>
      <c r="R241" s="56">
        <f>'Health metrics Models'!Q355</f>
        <v>0</v>
      </c>
      <c r="S241" s="22" t="e">
        <f>IF(LEN(VLOOKUP(R241,A2:D500,4,FALSE))=0,,VLOOKUP(R241,A2:D500,4,FALSE))</f>
        <v>#N/A</v>
      </c>
      <c r="T241" s="56">
        <f>'Process Model'!P353</f>
        <v>0</v>
      </c>
      <c r="U241" s="22" t="e">
        <f>IF(LEN(VLOOKUP(T241,A2:D500,4,FALSE))=0,,VLOOKUP(T241,A2:D500,4,FALSE))</f>
        <v>#N/A</v>
      </c>
      <c r="V241" s="56">
        <f>'Toxicological reference value M'!P355</f>
        <v>0</v>
      </c>
      <c r="W241" s="22" t="e">
        <f>IF(LEN(VLOOKUP(V241,A2:D500,4,FALSE))=0,,VLOOKUP(V241,A2:D500,4,FALSE))</f>
        <v>#N/A</v>
      </c>
      <c r="Y241" s="56">
        <f>'Other Empirical Model'!P366</f>
        <v>0</v>
      </c>
      <c r="Z241" s="22" t="e">
        <f>IF(LEN(VLOOKUP(Y241,A2:D500,4,FALSE))=0,,VLOOKUP(Y241,A2:D500,4,FALSE))</f>
        <v>#N/A</v>
      </c>
      <c r="AA241" s="56">
        <f>'Predictive Model'!P353</f>
        <v>0</v>
      </c>
      <c r="AB241" s="22" t="e">
        <f>IF(LEN(VLOOKUP(AA241,A2:D500,4,FALSE))=0,,VLOOKUP(AA241,A2:D500,4,FALSE))</f>
        <v>#N/A</v>
      </c>
      <c r="AC241" s="56">
        <f>'Consumption Model'!P358</f>
        <v>0</v>
      </c>
      <c r="AD241" s="22" t="e">
        <f>IF(LEN(VLOOKUP(AC241,A2:D500,4,FALSE))=0,,VLOOKUP(AC241,A2:D500,4,FALSE))</f>
        <v>#N/A</v>
      </c>
      <c r="AE241" s="22">
        <f>'(Data)'!Q354</f>
        <v>0</v>
      </c>
      <c r="AF241" s="22" t="e">
        <f>IF(LEN(VLOOKUP(AE240:AE241,A2:D500,4,FALSE))=0,,VLOOKUP(AE240:AE241,A2:D500,4,FALSE))</f>
        <v>#N/A</v>
      </c>
      <c r="AH241" s="45">
        <f>'Risk Charact Model'!P372</f>
        <v>0</v>
      </c>
      <c r="AI241" s="58" t="e">
        <f>IF(LEN(VLOOKUP(AH241,A2:D500,4,FALSE))=0,,VLOOKUP(AH241,A2:D500,4,FALSE))</f>
        <v>#N/A</v>
      </c>
    </row>
    <row r="242" spans="9:35" ht="14" x14ac:dyDescent="0.3">
      <c r="I242" s="60">
        <f>'Generic Metadata Schema'!P372</f>
        <v>0</v>
      </c>
      <c r="J242" s="22" t="e">
        <f>IF(LEN(VLOOKUP(I242,A2:D500,4,FALSE))=0,"",VLOOKUP(I242,A2:D500,4,FALSE))</f>
        <v>#N/A</v>
      </c>
      <c r="L242" s="56">
        <f>'Dose-response Model'!O356</f>
        <v>0</v>
      </c>
      <c r="M242" s="22" t="e">
        <f>IF(LEN(VLOOKUP(L242,A2:D500,4,FALSE))=0,,VLOOKUP(L242,A2:D500,4,FALSE))</f>
        <v>#N/A</v>
      </c>
      <c r="N242" s="22">
        <f>'Exposure Model'!O373</f>
        <v>0</v>
      </c>
      <c r="O242" s="22" t="e">
        <f>IF(LEN(VLOOKUP(N242,A2:D500,4,FALSE))=0,,VLOOKUP(N242,A2:D500,4,FALSE))</f>
        <v>#N/A</v>
      </c>
      <c r="P242" s="56">
        <f>'QRA Models'!Q373</f>
        <v>0</v>
      </c>
      <c r="Q242" s="22" t="e">
        <f>IF(LEN(VLOOKUP(P242,A2:D500,4,FALSE))=0,,VLOOKUP(P242,A2:D500,4,FALSE))</f>
        <v>#N/A</v>
      </c>
      <c r="R242" s="56">
        <f>'Health metrics Models'!Q356</f>
        <v>0</v>
      </c>
      <c r="S242" s="22" t="e">
        <f>IF(LEN(VLOOKUP(R242,A2:D500,4,FALSE))=0,,VLOOKUP(R242,A2:D500,4,FALSE))</f>
        <v>#N/A</v>
      </c>
      <c r="T242" s="56">
        <f>'Process Model'!P354</f>
        <v>0</v>
      </c>
      <c r="U242" s="22" t="e">
        <f>IF(LEN(VLOOKUP(T242,A2:D500,4,FALSE))=0,,VLOOKUP(T242,A2:D500,4,FALSE))</f>
        <v>#N/A</v>
      </c>
      <c r="V242" s="56">
        <f>'Toxicological reference value M'!P356</f>
        <v>0</v>
      </c>
      <c r="W242" s="22" t="e">
        <f>IF(LEN(VLOOKUP(V242,A2:D500,4,FALSE))=0,,VLOOKUP(V242,A2:D500,4,FALSE))</f>
        <v>#N/A</v>
      </c>
      <c r="Y242" s="56">
        <f>'Other Empirical Model'!P367</f>
        <v>0</v>
      </c>
      <c r="Z242" s="22" t="e">
        <f>IF(LEN(VLOOKUP(Y242,A2:D500,4,FALSE))=0,,VLOOKUP(Y242,A2:D500,4,FALSE))</f>
        <v>#N/A</v>
      </c>
      <c r="AA242" s="56">
        <f>'Predictive Model'!P354</f>
        <v>0</v>
      </c>
      <c r="AB242" s="22" t="e">
        <f>IF(LEN(VLOOKUP(AA242,A2:D500,4,FALSE))=0,,VLOOKUP(AA242,A2:D500,4,FALSE))</f>
        <v>#N/A</v>
      </c>
      <c r="AC242" s="56">
        <f>'Consumption Model'!P359</f>
        <v>0</v>
      </c>
      <c r="AD242" s="22" t="e">
        <f>IF(LEN(VLOOKUP(AC242,A2:D500,4,FALSE))=0,,VLOOKUP(AC242,A2:D500,4,FALSE))</f>
        <v>#N/A</v>
      </c>
      <c r="AE242" s="22">
        <f>'(Data)'!Q355</f>
        <v>0</v>
      </c>
      <c r="AF242" s="22" t="e">
        <f>IF(LEN(VLOOKUP(AE241:AE242,A2:D500,4,FALSE))=0,,VLOOKUP(AE241:AE242,A2:D500,4,FALSE))</f>
        <v>#N/A</v>
      </c>
      <c r="AH242" s="45">
        <f>'Risk Charact Model'!P373</f>
        <v>0</v>
      </c>
      <c r="AI242" s="58" t="e">
        <f>IF(LEN(VLOOKUP(AH242,A2:D500,4,FALSE))=0,,VLOOKUP(AH242,A2:D500,4,FALSE))</f>
        <v>#N/A</v>
      </c>
    </row>
    <row r="243" spans="9:35" ht="14" x14ac:dyDescent="0.3">
      <c r="I243" s="60">
        <f>'Generic Metadata Schema'!P373</f>
        <v>0</v>
      </c>
      <c r="J243" s="22" t="e">
        <f>IF(LEN(VLOOKUP(I243,A2:D500,4,FALSE))=0,"",VLOOKUP(I243,A2:D500,4,FALSE))</f>
        <v>#N/A</v>
      </c>
      <c r="L243" s="56">
        <f>'Dose-response Model'!O357</f>
        <v>0</v>
      </c>
      <c r="M243" s="22" t="e">
        <f>IF(LEN(VLOOKUP(L243,A2:D500,4,FALSE))=0,,VLOOKUP(L243,A2:D500,4,FALSE))</f>
        <v>#N/A</v>
      </c>
      <c r="N243" s="22">
        <f>'Exposure Model'!O374</f>
        <v>0</v>
      </c>
      <c r="O243" s="22" t="e">
        <f>IF(LEN(VLOOKUP(N243,A2:D500,4,FALSE))=0,,VLOOKUP(N243,A2:D500,4,FALSE))</f>
        <v>#N/A</v>
      </c>
      <c r="P243" s="56">
        <f>'QRA Models'!Q374</f>
        <v>0</v>
      </c>
      <c r="Q243" s="22" t="e">
        <f>IF(LEN(VLOOKUP(P243,A2:D500,4,FALSE))=0,,VLOOKUP(P243,A2:D500,4,FALSE))</f>
        <v>#N/A</v>
      </c>
      <c r="R243" s="56">
        <f>'Health metrics Models'!Q357</f>
        <v>0</v>
      </c>
      <c r="S243" s="22" t="e">
        <f>IF(LEN(VLOOKUP(R243,A2:D500,4,FALSE))=0,,VLOOKUP(R243,A2:D500,4,FALSE))</f>
        <v>#N/A</v>
      </c>
      <c r="T243" s="56">
        <f>'Process Model'!P355</f>
        <v>0</v>
      </c>
      <c r="U243" s="22" t="e">
        <f>IF(LEN(VLOOKUP(T243,A2:D500,4,FALSE))=0,,VLOOKUP(T243,A2:D500,4,FALSE))</f>
        <v>#N/A</v>
      </c>
      <c r="V243" s="56">
        <f>'Toxicological reference value M'!P357</f>
        <v>0</v>
      </c>
      <c r="W243" s="22" t="e">
        <f>IF(LEN(VLOOKUP(V243,A2:D500,4,FALSE))=0,,VLOOKUP(V243,A2:D500,4,FALSE))</f>
        <v>#N/A</v>
      </c>
      <c r="Y243" s="56">
        <f>'Other Empirical Model'!P368</f>
        <v>0</v>
      </c>
      <c r="Z243" s="22" t="e">
        <f>IF(LEN(VLOOKUP(Y243,A2:D500,4,FALSE))=0,,VLOOKUP(Y243,A2:D500,4,FALSE))</f>
        <v>#N/A</v>
      </c>
      <c r="AA243" s="56">
        <f>'Predictive Model'!P355</f>
        <v>0</v>
      </c>
      <c r="AB243" s="22" t="e">
        <f>IF(LEN(VLOOKUP(AA243,A2:D500,4,FALSE))=0,,VLOOKUP(AA243,A2:D500,4,FALSE))</f>
        <v>#N/A</v>
      </c>
      <c r="AC243" s="56">
        <f>'Consumption Model'!P360</f>
        <v>0</v>
      </c>
      <c r="AD243" s="22" t="e">
        <f>IF(LEN(VLOOKUP(AC243,A2:D500,4,FALSE))=0,,VLOOKUP(AC243,A2:D500,4,FALSE))</f>
        <v>#N/A</v>
      </c>
      <c r="AE243" s="22">
        <f>'(Data)'!Q356</f>
        <v>0</v>
      </c>
      <c r="AF243" s="22" t="e">
        <f>IF(LEN(VLOOKUP(AE242:AE243,A2:D500,4,FALSE))=0,,VLOOKUP(AE242:AE243,A2:D500,4,FALSE))</f>
        <v>#N/A</v>
      </c>
      <c r="AH243" s="45">
        <f>'Risk Charact Model'!P374</f>
        <v>0</v>
      </c>
      <c r="AI243" s="58" t="e">
        <f>IF(LEN(VLOOKUP(AH243,A2:D500,4,FALSE))=0,,VLOOKUP(AH243,A2:D500,4,FALSE))</f>
        <v>#N/A</v>
      </c>
    </row>
    <row r="244" spans="9:35" ht="14" x14ac:dyDescent="0.3">
      <c r="I244" s="60">
        <f>'Generic Metadata Schema'!P374</f>
        <v>0</v>
      </c>
      <c r="J244" s="22" t="e">
        <f>IF(LEN(VLOOKUP(I244,A2:D500,4,FALSE))=0,"",VLOOKUP(I244,A2:D500,4,FALSE))</f>
        <v>#N/A</v>
      </c>
      <c r="L244" s="56">
        <f>'Dose-response Model'!O358</f>
        <v>0</v>
      </c>
      <c r="M244" s="22" t="e">
        <f>IF(LEN(VLOOKUP(L244,A2:D500,4,FALSE))=0,,VLOOKUP(L244,A2:D500,4,FALSE))</f>
        <v>#N/A</v>
      </c>
      <c r="N244" s="22">
        <f>'Exposure Model'!O375</f>
        <v>0</v>
      </c>
      <c r="O244" s="22" t="e">
        <f>IF(LEN(VLOOKUP(N244,A2:D500,4,FALSE))=0,,VLOOKUP(N244,A2:D500,4,FALSE))</f>
        <v>#N/A</v>
      </c>
      <c r="P244" s="56">
        <f>'QRA Models'!Q375</f>
        <v>0</v>
      </c>
      <c r="Q244" s="22" t="e">
        <f>IF(LEN(VLOOKUP(P244,A2:D500,4,FALSE))=0,,VLOOKUP(P244,A2:D500,4,FALSE))</f>
        <v>#N/A</v>
      </c>
      <c r="R244" s="56">
        <f>'Health metrics Models'!Q358</f>
        <v>0</v>
      </c>
      <c r="S244" s="22" t="e">
        <f>IF(LEN(VLOOKUP(R244,A2:D500,4,FALSE))=0,,VLOOKUP(R244,A2:D500,4,FALSE))</f>
        <v>#N/A</v>
      </c>
      <c r="T244" s="56">
        <f>'Process Model'!P356</f>
        <v>0</v>
      </c>
      <c r="U244" s="22" t="e">
        <f>IF(LEN(VLOOKUP(T244,A2:D500,4,FALSE))=0,,VLOOKUP(T244,A2:D500,4,FALSE))</f>
        <v>#N/A</v>
      </c>
      <c r="V244" s="56">
        <f>'Toxicological reference value M'!P358</f>
        <v>0</v>
      </c>
      <c r="W244" s="22" t="e">
        <f>IF(LEN(VLOOKUP(V244,A2:D500,4,FALSE))=0,,VLOOKUP(V244,A2:D500,4,FALSE))</f>
        <v>#N/A</v>
      </c>
      <c r="Y244" s="56">
        <f>'Other Empirical Model'!P369</f>
        <v>0</v>
      </c>
      <c r="Z244" s="22" t="e">
        <f>IF(LEN(VLOOKUP(Y244,A2:D500,4,FALSE))=0,,VLOOKUP(Y244,A2:D500,4,FALSE))</f>
        <v>#N/A</v>
      </c>
      <c r="AA244" s="56">
        <f>'Predictive Model'!P356</f>
        <v>0</v>
      </c>
      <c r="AB244" s="22" t="e">
        <f>IF(LEN(VLOOKUP(AA244,A2:D500,4,FALSE))=0,,VLOOKUP(AA244,A2:D500,4,FALSE))</f>
        <v>#N/A</v>
      </c>
      <c r="AC244" s="56">
        <f>'Consumption Model'!P361</f>
        <v>0</v>
      </c>
      <c r="AD244" s="22" t="e">
        <f>IF(LEN(VLOOKUP(AC244,A2:D500,4,FALSE))=0,,VLOOKUP(AC244,A2:D500,4,FALSE))</f>
        <v>#N/A</v>
      </c>
      <c r="AE244" s="22">
        <f>'(Data)'!Q357</f>
        <v>0</v>
      </c>
      <c r="AF244" s="22" t="e">
        <f>IF(LEN(VLOOKUP(AE243:AE244,A2:D500,4,FALSE))=0,,VLOOKUP(AE243:AE244,A2:D500,4,FALSE))</f>
        <v>#N/A</v>
      </c>
      <c r="AH244" s="45">
        <f>'Risk Charact Model'!P375</f>
        <v>0</v>
      </c>
      <c r="AI244" s="58" t="e">
        <f>IF(LEN(VLOOKUP(AH244,A2:D500,4,FALSE))=0,,VLOOKUP(AH244,A2:D500,4,FALSE))</f>
        <v>#N/A</v>
      </c>
    </row>
    <row r="245" spans="9:35" ht="14" x14ac:dyDescent="0.3">
      <c r="I245" s="60">
        <f>'Generic Metadata Schema'!P375</f>
        <v>0</v>
      </c>
      <c r="J245" s="22" t="e">
        <f>IF(LEN(VLOOKUP(I245,A2:D500,4,FALSE))=0,"",VLOOKUP(I245,A2:D500,4,FALSE))</f>
        <v>#N/A</v>
      </c>
      <c r="L245" s="56">
        <f>'Dose-response Model'!O359</f>
        <v>0</v>
      </c>
      <c r="M245" s="22" t="e">
        <f>IF(LEN(VLOOKUP(L245,A2:D500,4,FALSE))=0,,VLOOKUP(L245,A2:D500,4,FALSE))</f>
        <v>#N/A</v>
      </c>
      <c r="N245" s="22">
        <f>'Exposure Model'!O376</f>
        <v>0</v>
      </c>
      <c r="O245" s="22" t="e">
        <f>IF(LEN(VLOOKUP(N245,A2:D500,4,FALSE))=0,,VLOOKUP(N245,A2:D500,4,FALSE))</f>
        <v>#N/A</v>
      </c>
      <c r="P245" s="56">
        <f>'QRA Models'!Q376</f>
        <v>0</v>
      </c>
      <c r="Q245" s="22" t="e">
        <f>IF(LEN(VLOOKUP(P245,A2:D500,4,FALSE))=0,,VLOOKUP(P245,A2:D500,4,FALSE))</f>
        <v>#N/A</v>
      </c>
      <c r="R245" s="56">
        <f>'Health metrics Models'!Q359</f>
        <v>0</v>
      </c>
      <c r="S245" s="22" t="e">
        <f>IF(LEN(VLOOKUP(R245,A2:D500,4,FALSE))=0,,VLOOKUP(R245,A2:D500,4,FALSE))</f>
        <v>#N/A</v>
      </c>
      <c r="T245" s="56">
        <f>'Process Model'!P357</f>
        <v>0</v>
      </c>
      <c r="U245" s="22" t="e">
        <f>IF(LEN(VLOOKUP(T245,A2:D500,4,FALSE))=0,,VLOOKUP(T245,A2:D500,4,FALSE))</f>
        <v>#N/A</v>
      </c>
      <c r="V245" s="56">
        <f>'Toxicological reference value M'!P359</f>
        <v>0</v>
      </c>
      <c r="W245" s="22" t="e">
        <f>IF(LEN(VLOOKUP(V245,A2:D500,4,FALSE))=0,,VLOOKUP(V245,A2:D500,4,FALSE))</f>
        <v>#N/A</v>
      </c>
      <c r="Y245" s="56">
        <f>'Other Empirical Model'!P370</f>
        <v>0</v>
      </c>
      <c r="Z245" s="22" t="e">
        <f>IF(LEN(VLOOKUP(Y245,A2:D500,4,FALSE))=0,,VLOOKUP(Y245,A2:D500,4,FALSE))</f>
        <v>#N/A</v>
      </c>
      <c r="AA245" s="56">
        <f>'Predictive Model'!P357</f>
        <v>0</v>
      </c>
      <c r="AB245" s="22" t="e">
        <f>IF(LEN(VLOOKUP(AA245,A2:D500,4,FALSE))=0,,VLOOKUP(AA245,A2:D500,4,FALSE))</f>
        <v>#N/A</v>
      </c>
      <c r="AC245" s="56">
        <f>'Consumption Model'!P362</f>
        <v>0</v>
      </c>
      <c r="AD245" s="22" t="e">
        <f>IF(LEN(VLOOKUP(AC245,A2:D500,4,FALSE))=0,,VLOOKUP(AC245,A2:D500,4,FALSE))</f>
        <v>#N/A</v>
      </c>
      <c r="AE245" s="22">
        <f>'(Data)'!Q358</f>
        <v>0</v>
      </c>
      <c r="AF245" s="22" t="e">
        <f>IF(LEN(VLOOKUP(AE244:AE245,A2:D500,4,FALSE))=0,,VLOOKUP(AE244:AE245,A2:D500,4,FALSE))</f>
        <v>#N/A</v>
      </c>
      <c r="AH245" s="45">
        <f>'Risk Charact Model'!P376</f>
        <v>0</v>
      </c>
      <c r="AI245" s="58" t="e">
        <f>IF(LEN(VLOOKUP(AH245,A2:D500,4,FALSE))=0,,VLOOKUP(AH245,A2:D500,4,FALSE))</f>
        <v>#N/A</v>
      </c>
    </row>
    <row r="246" spans="9:35" ht="14" x14ac:dyDescent="0.3">
      <c r="I246" s="60">
        <f>'Generic Metadata Schema'!P376</f>
        <v>0</v>
      </c>
      <c r="J246" s="22" t="e">
        <f>IF(LEN(VLOOKUP(I246,A2:D500,4,FALSE))=0,"",VLOOKUP(I246,A2:D500,4,FALSE))</f>
        <v>#N/A</v>
      </c>
      <c r="L246" s="56">
        <f>'Dose-response Model'!O360</f>
        <v>0</v>
      </c>
      <c r="M246" s="22" t="e">
        <f>IF(LEN(VLOOKUP(L246,A2:D500,4,FALSE))=0,,VLOOKUP(L246,A2:D500,4,FALSE))</f>
        <v>#N/A</v>
      </c>
      <c r="N246" s="22">
        <f>'Exposure Model'!O377</f>
        <v>0</v>
      </c>
      <c r="O246" s="22" t="e">
        <f>IF(LEN(VLOOKUP(N246,A2:D500,4,FALSE))=0,,VLOOKUP(N246,A2:D500,4,FALSE))</f>
        <v>#N/A</v>
      </c>
      <c r="P246" s="56">
        <f>'QRA Models'!Q377</f>
        <v>0</v>
      </c>
      <c r="Q246" s="22" t="e">
        <f>IF(LEN(VLOOKUP(P246,A2:D500,4,FALSE))=0,,VLOOKUP(P246,A2:D500,4,FALSE))</f>
        <v>#N/A</v>
      </c>
      <c r="R246" s="56">
        <f>'Health metrics Models'!Q360</f>
        <v>0</v>
      </c>
      <c r="S246" s="22" t="e">
        <f>IF(LEN(VLOOKUP(R246,A2:D500,4,FALSE))=0,,VLOOKUP(R246,A2:D500,4,FALSE))</f>
        <v>#N/A</v>
      </c>
      <c r="T246" s="56">
        <f>'Process Model'!P358</f>
        <v>0</v>
      </c>
      <c r="U246" s="22" t="e">
        <f>IF(LEN(VLOOKUP(T246,A2:D500,4,FALSE))=0,,VLOOKUP(T246,A2:D500,4,FALSE))</f>
        <v>#N/A</v>
      </c>
      <c r="V246" s="56">
        <f>'Toxicological reference value M'!P360</f>
        <v>0</v>
      </c>
      <c r="W246" s="22" t="e">
        <f>IF(LEN(VLOOKUP(V246,A2:D500,4,FALSE))=0,,VLOOKUP(V246,A2:D500,4,FALSE))</f>
        <v>#N/A</v>
      </c>
      <c r="Y246" s="56">
        <f>'Other Empirical Model'!P371</f>
        <v>0</v>
      </c>
      <c r="Z246" s="22" t="e">
        <f>IF(LEN(VLOOKUP(Y246,A2:D500,4,FALSE))=0,,VLOOKUP(Y246,A2:D500,4,FALSE))</f>
        <v>#N/A</v>
      </c>
      <c r="AA246" s="56">
        <f>'Predictive Model'!P358</f>
        <v>0</v>
      </c>
      <c r="AB246" s="22" t="e">
        <f>IF(LEN(VLOOKUP(AA246,A2:D500,4,FALSE))=0,,VLOOKUP(AA246,A2:D500,4,FALSE))</f>
        <v>#N/A</v>
      </c>
      <c r="AC246" s="56">
        <f>'Consumption Model'!P363</f>
        <v>0</v>
      </c>
      <c r="AD246" s="22" t="e">
        <f>IF(LEN(VLOOKUP(AC246,A2:D500,4,FALSE))=0,,VLOOKUP(AC246,A2:D500,4,FALSE))</f>
        <v>#N/A</v>
      </c>
      <c r="AE246" s="22">
        <f>'(Data)'!Q359</f>
        <v>0</v>
      </c>
      <c r="AF246" s="22" t="e">
        <f>IF(LEN(VLOOKUP(AE245:AE246,A2:D500,4,FALSE))=0,,VLOOKUP(AE245:AE246,A2:D500,4,FALSE))</f>
        <v>#N/A</v>
      </c>
      <c r="AH246" s="45">
        <f>'Risk Charact Model'!P377</f>
        <v>0</v>
      </c>
      <c r="AI246" s="58" t="e">
        <f>IF(LEN(VLOOKUP(AH246,A2:D500,4,FALSE))=0,,VLOOKUP(AH246,A2:D500,4,FALSE))</f>
        <v>#N/A</v>
      </c>
    </row>
    <row r="247" spans="9:35" ht="14" x14ac:dyDescent="0.3">
      <c r="I247" s="60">
        <f>'Generic Metadata Schema'!P377</f>
        <v>0</v>
      </c>
      <c r="J247" s="22" t="e">
        <f>IF(LEN(VLOOKUP(I247,A2:D500,4,FALSE))=0,"",VLOOKUP(I247,A2:D500,4,FALSE))</f>
        <v>#N/A</v>
      </c>
      <c r="L247" s="56">
        <f>'Dose-response Model'!O361</f>
        <v>0</v>
      </c>
      <c r="M247" s="22" t="e">
        <f>IF(LEN(VLOOKUP(L247,A2:D500,4,FALSE))=0,,VLOOKUP(L247,A2:D500,4,FALSE))</f>
        <v>#N/A</v>
      </c>
      <c r="N247" s="22">
        <f>'Exposure Model'!O378</f>
        <v>0</v>
      </c>
      <c r="O247" s="22" t="e">
        <f>IF(LEN(VLOOKUP(N247,A2:D500,4,FALSE))=0,,VLOOKUP(N247,A2:D500,4,FALSE))</f>
        <v>#N/A</v>
      </c>
      <c r="P247" s="56">
        <f>'QRA Models'!Q378</f>
        <v>0</v>
      </c>
      <c r="Q247" s="22" t="e">
        <f>IF(LEN(VLOOKUP(P247,A2:D500,4,FALSE))=0,,VLOOKUP(P247,A2:D500,4,FALSE))</f>
        <v>#N/A</v>
      </c>
      <c r="R247" s="56">
        <f>'Health metrics Models'!Q361</f>
        <v>0</v>
      </c>
      <c r="S247" s="22" t="e">
        <f>IF(LEN(VLOOKUP(R247,A2:D500,4,FALSE))=0,,VLOOKUP(R247,A2:D500,4,FALSE))</f>
        <v>#N/A</v>
      </c>
      <c r="T247" s="56">
        <f>'Process Model'!P359</f>
        <v>0</v>
      </c>
      <c r="U247" s="22" t="e">
        <f>IF(LEN(VLOOKUP(T247,A2:D500,4,FALSE))=0,,VLOOKUP(T247,A2:D500,4,FALSE))</f>
        <v>#N/A</v>
      </c>
      <c r="V247" s="56">
        <f>'Toxicological reference value M'!P361</f>
        <v>0</v>
      </c>
      <c r="W247" s="22" t="e">
        <f>IF(LEN(VLOOKUP(V247,A2:D500,4,FALSE))=0,,VLOOKUP(V247,A2:D500,4,FALSE))</f>
        <v>#N/A</v>
      </c>
      <c r="Y247" s="56">
        <f>'Other Empirical Model'!P372</f>
        <v>0</v>
      </c>
      <c r="Z247" s="22" t="e">
        <f>IF(LEN(VLOOKUP(Y247,A2:D500,4,FALSE))=0,,VLOOKUP(Y247,A2:D500,4,FALSE))</f>
        <v>#N/A</v>
      </c>
      <c r="AA247" s="56">
        <f>'Predictive Model'!P359</f>
        <v>0</v>
      </c>
      <c r="AB247" s="22" t="e">
        <f>IF(LEN(VLOOKUP(AA247,A2:D500,4,FALSE))=0,,VLOOKUP(AA247,A2:D500,4,FALSE))</f>
        <v>#N/A</v>
      </c>
      <c r="AC247" s="56">
        <f>'Consumption Model'!P364</f>
        <v>0</v>
      </c>
      <c r="AD247" s="22" t="e">
        <f>IF(LEN(VLOOKUP(AC247,A2:D500,4,FALSE))=0,,VLOOKUP(AC247,A2:D500,4,FALSE))</f>
        <v>#N/A</v>
      </c>
      <c r="AE247" s="22">
        <f>'(Data)'!Q360</f>
        <v>0</v>
      </c>
      <c r="AF247" s="22" t="e">
        <f>IF(LEN(VLOOKUP(AE246:AE247,A2:D500,4,FALSE))=0,,VLOOKUP(AE246:AE247,A2:D500,4,FALSE))</f>
        <v>#N/A</v>
      </c>
      <c r="AH247" s="45">
        <f>'Risk Charact Model'!P378</f>
        <v>0</v>
      </c>
      <c r="AI247" s="58" t="e">
        <f>IF(LEN(VLOOKUP(AH247,A2:D500,4,FALSE))=0,,VLOOKUP(AH247,A2:D500,4,FALSE))</f>
        <v>#N/A</v>
      </c>
    </row>
    <row r="248" spans="9:35" ht="14" x14ac:dyDescent="0.3">
      <c r="I248" s="60">
        <f>'Generic Metadata Schema'!P378</f>
        <v>0</v>
      </c>
      <c r="J248" s="22" t="e">
        <f>IF(LEN(VLOOKUP(I248,A2:D500,4,FALSE))=0,"",VLOOKUP(I248,A2:D500,4,FALSE))</f>
        <v>#N/A</v>
      </c>
      <c r="L248" s="56">
        <f>'Dose-response Model'!O362</f>
        <v>0</v>
      </c>
      <c r="M248" s="22" t="e">
        <f>IF(LEN(VLOOKUP(L248,A2:D500,4,FALSE))=0,,VLOOKUP(L248,A2:D500,4,FALSE))</f>
        <v>#N/A</v>
      </c>
      <c r="N248" s="22">
        <f>'Exposure Model'!O379</f>
        <v>0</v>
      </c>
      <c r="O248" s="22" t="e">
        <f>IF(LEN(VLOOKUP(N248,A2:D500,4,FALSE))=0,,VLOOKUP(N248,A2:D500,4,FALSE))</f>
        <v>#N/A</v>
      </c>
      <c r="P248" s="56">
        <f>'QRA Models'!Q379</f>
        <v>0</v>
      </c>
      <c r="Q248" s="22" t="e">
        <f>IF(LEN(VLOOKUP(P248,A2:D500,4,FALSE))=0,,VLOOKUP(P248,A2:D500,4,FALSE))</f>
        <v>#N/A</v>
      </c>
      <c r="R248" s="56">
        <f>'Health metrics Models'!Q362</f>
        <v>0</v>
      </c>
      <c r="S248" s="22" t="e">
        <f>IF(LEN(VLOOKUP(R248,A2:D500,4,FALSE))=0,,VLOOKUP(R248,A2:D500,4,FALSE))</f>
        <v>#N/A</v>
      </c>
      <c r="T248" s="56">
        <f>'Process Model'!P360</f>
        <v>0</v>
      </c>
      <c r="U248" s="22" t="e">
        <f>IF(LEN(VLOOKUP(T248,A2:D500,4,FALSE))=0,,VLOOKUP(T248,A2:D500,4,FALSE))</f>
        <v>#N/A</v>
      </c>
      <c r="V248" s="56">
        <f>'Toxicological reference value M'!P362</f>
        <v>0</v>
      </c>
      <c r="W248" s="22" t="e">
        <f>IF(LEN(VLOOKUP(V248,A2:D500,4,FALSE))=0,,VLOOKUP(V248,A2:D500,4,FALSE))</f>
        <v>#N/A</v>
      </c>
      <c r="Y248" s="56">
        <f>'Other Empirical Model'!P373</f>
        <v>0</v>
      </c>
      <c r="Z248" s="22" t="e">
        <f>IF(LEN(VLOOKUP(Y248,A2:D500,4,FALSE))=0,,VLOOKUP(Y248,A2:D500,4,FALSE))</f>
        <v>#N/A</v>
      </c>
      <c r="AA248" s="56">
        <f>'Predictive Model'!P360</f>
        <v>0</v>
      </c>
      <c r="AB248" s="22" t="e">
        <f>IF(LEN(VLOOKUP(AA248,A2:D500,4,FALSE))=0,,VLOOKUP(AA248,A2:D500,4,FALSE))</f>
        <v>#N/A</v>
      </c>
      <c r="AC248" s="56">
        <f>'Consumption Model'!P365</f>
        <v>0</v>
      </c>
      <c r="AD248" s="22" t="e">
        <f>IF(LEN(VLOOKUP(AC248,A2:D500,4,FALSE))=0,,VLOOKUP(AC248,A2:D500,4,FALSE))</f>
        <v>#N/A</v>
      </c>
      <c r="AE248" s="22">
        <f>'(Data)'!Q361</f>
        <v>0</v>
      </c>
      <c r="AF248" s="22" t="e">
        <f>IF(LEN(VLOOKUP(AE247:AE248,A2:D500,4,FALSE))=0,,VLOOKUP(AE247:AE248,A2:D500,4,FALSE))</f>
        <v>#N/A</v>
      </c>
      <c r="AH248" s="45">
        <f>'Risk Charact Model'!P379</f>
        <v>0</v>
      </c>
      <c r="AI248" s="58" t="e">
        <f>IF(LEN(VLOOKUP(AH248,A2:D500,4,FALSE))=0,,VLOOKUP(AH248,A2:D500,4,FALSE))</f>
        <v>#N/A</v>
      </c>
    </row>
    <row r="249" spans="9:35" ht="14" x14ac:dyDescent="0.3">
      <c r="I249" s="60">
        <f>'Generic Metadata Schema'!P379</f>
        <v>0</v>
      </c>
      <c r="J249" s="22" t="e">
        <f>IF(LEN(VLOOKUP(I249,A2:D500,4,FALSE))=0,"",VLOOKUP(I249,A2:D500,4,FALSE))</f>
        <v>#N/A</v>
      </c>
      <c r="L249" s="56">
        <f>'Dose-response Model'!O363</f>
        <v>0</v>
      </c>
      <c r="M249" s="22" t="e">
        <f>IF(LEN(VLOOKUP(L249,A2:D500,4,FALSE))=0,,VLOOKUP(L249,A2:D500,4,FALSE))</f>
        <v>#N/A</v>
      </c>
      <c r="N249" s="22">
        <f>'Exposure Model'!O380</f>
        <v>0</v>
      </c>
      <c r="O249" s="22" t="e">
        <f>IF(LEN(VLOOKUP(N249,A2:D500,4,FALSE))=0,,VLOOKUP(N249,A2:D500,4,FALSE))</f>
        <v>#N/A</v>
      </c>
      <c r="P249" s="56">
        <f>'QRA Models'!Q380</f>
        <v>0</v>
      </c>
      <c r="Q249" s="22" t="e">
        <f>IF(LEN(VLOOKUP(P249,A2:D500,4,FALSE))=0,,VLOOKUP(P249,A2:D500,4,FALSE))</f>
        <v>#N/A</v>
      </c>
      <c r="R249" s="56">
        <f>'Health metrics Models'!Q363</f>
        <v>0</v>
      </c>
      <c r="S249" s="22" t="e">
        <f>IF(LEN(VLOOKUP(R249,A2:D500,4,FALSE))=0,,VLOOKUP(R249,A2:D500,4,FALSE))</f>
        <v>#N/A</v>
      </c>
      <c r="T249" s="56">
        <f>'Process Model'!P361</f>
        <v>0</v>
      </c>
      <c r="U249" s="22" t="e">
        <f>IF(LEN(VLOOKUP(T249,A2:D500,4,FALSE))=0,,VLOOKUP(T249,A2:D500,4,FALSE))</f>
        <v>#N/A</v>
      </c>
      <c r="V249" s="56">
        <f>'Toxicological reference value M'!P363</f>
        <v>0</v>
      </c>
      <c r="W249" s="22" t="e">
        <f>IF(LEN(VLOOKUP(V249,A2:D500,4,FALSE))=0,,VLOOKUP(V249,A2:D500,4,FALSE))</f>
        <v>#N/A</v>
      </c>
      <c r="Y249" s="56">
        <f>'Other Empirical Model'!P374</f>
        <v>0</v>
      </c>
      <c r="Z249" s="22" t="e">
        <f>IF(LEN(VLOOKUP(Y249,A2:D500,4,FALSE))=0,,VLOOKUP(Y249,A2:D500,4,FALSE))</f>
        <v>#N/A</v>
      </c>
      <c r="AA249" s="56">
        <f>'Predictive Model'!P361</f>
        <v>0</v>
      </c>
      <c r="AB249" s="22" t="e">
        <f>IF(LEN(VLOOKUP(AA249,A2:D500,4,FALSE))=0,,VLOOKUP(AA249,A2:D500,4,FALSE))</f>
        <v>#N/A</v>
      </c>
      <c r="AC249" s="56">
        <f>'Consumption Model'!P366</f>
        <v>0</v>
      </c>
      <c r="AD249" s="22" t="e">
        <f>IF(LEN(VLOOKUP(AC249,A2:D500,4,FALSE))=0,,VLOOKUP(AC249,A2:D500,4,FALSE))</f>
        <v>#N/A</v>
      </c>
      <c r="AE249" s="22">
        <f>'(Data)'!Q362</f>
        <v>0</v>
      </c>
      <c r="AF249" s="22" t="e">
        <f>IF(LEN(VLOOKUP(AE248:AE249,A2:D500,4,FALSE))=0,,VLOOKUP(AE248:AE249,A2:D500,4,FALSE))</f>
        <v>#N/A</v>
      </c>
      <c r="AH249" s="45">
        <f>'Risk Charact Model'!P380</f>
        <v>0</v>
      </c>
      <c r="AI249" s="58" t="e">
        <f>IF(LEN(VLOOKUP(AH249,A2:D500,4,FALSE))=0,,VLOOKUP(AH249,A2:D500,4,FALSE))</f>
        <v>#N/A</v>
      </c>
    </row>
    <row r="250" spans="9:35" ht="14" x14ac:dyDescent="0.3">
      <c r="I250" s="60">
        <f>'Generic Metadata Schema'!P380</f>
        <v>0</v>
      </c>
      <c r="J250" s="22" t="e">
        <f>IF(LEN(VLOOKUP(I250,A2:D500,4,FALSE))=0,"",VLOOKUP(I250,A2:D500,4,FALSE))</f>
        <v>#N/A</v>
      </c>
      <c r="L250" s="56">
        <f>'Dose-response Model'!O364</f>
        <v>0</v>
      </c>
      <c r="M250" s="22" t="e">
        <f>IF(LEN(VLOOKUP(L250,A2:D500,4,FALSE))=0,,VLOOKUP(L250,A2:D500,4,FALSE))</f>
        <v>#N/A</v>
      </c>
      <c r="N250" s="22">
        <f>'Exposure Model'!O381</f>
        <v>0</v>
      </c>
      <c r="O250" s="22" t="e">
        <f>IF(LEN(VLOOKUP(N250,A2:D500,4,FALSE))=0,,VLOOKUP(N250,A2:D500,4,FALSE))</f>
        <v>#N/A</v>
      </c>
      <c r="P250" s="56">
        <f>'QRA Models'!Q381</f>
        <v>0</v>
      </c>
      <c r="Q250" s="22" t="e">
        <f>IF(LEN(VLOOKUP(P250,A2:D500,4,FALSE))=0,,VLOOKUP(P250,A2:D500,4,FALSE))</f>
        <v>#N/A</v>
      </c>
      <c r="R250" s="56">
        <f>'Health metrics Models'!Q364</f>
        <v>0</v>
      </c>
      <c r="S250" s="22" t="e">
        <f>IF(LEN(VLOOKUP(R250,A2:D500,4,FALSE))=0,,VLOOKUP(R250,A2:D500,4,FALSE))</f>
        <v>#N/A</v>
      </c>
      <c r="T250" s="56">
        <f>'Process Model'!P362</f>
        <v>0</v>
      </c>
      <c r="U250" s="22" t="e">
        <f>IF(LEN(VLOOKUP(T250,A2:D500,4,FALSE))=0,,VLOOKUP(T250,A2:D500,4,FALSE))</f>
        <v>#N/A</v>
      </c>
      <c r="V250" s="56">
        <f>'Toxicological reference value M'!P364</f>
        <v>0</v>
      </c>
      <c r="W250" s="22" t="e">
        <f>IF(LEN(VLOOKUP(V250,A2:D500,4,FALSE))=0,,VLOOKUP(V250,A2:D500,4,FALSE))</f>
        <v>#N/A</v>
      </c>
      <c r="Y250" s="56">
        <f>'Other Empirical Model'!P375</f>
        <v>0</v>
      </c>
      <c r="Z250" s="22" t="e">
        <f>IF(LEN(VLOOKUP(Y250,A2:D500,4,FALSE))=0,,VLOOKUP(Y250,A2:D500,4,FALSE))</f>
        <v>#N/A</v>
      </c>
      <c r="AA250" s="56">
        <f>'Predictive Model'!P362</f>
        <v>0</v>
      </c>
      <c r="AB250" s="22" t="e">
        <f>IF(LEN(VLOOKUP(AA250,A2:D500,4,FALSE))=0,,VLOOKUP(AA250,A2:D500,4,FALSE))</f>
        <v>#N/A</v>
      </c>
      <c r="AC250" s="56">
        <f>'Consumption Model'!P367</f>
        <v>0</v>
      </c>
      <c r="AD250" s="22" t="e">
        <f>IF(LEN(VLOOKUP(AC250,A2:D500,4,FALSE))=0,,VLOOKUP(AC250,A2:D500,4,FALSE))</f>
        <v>#N/A</v>
      </c>
      <c r="AE250" s="22">
        <f>'(Data)'!Q363</f>
        <v>0</v>
      </c>
      <c r="AF250" s="22" t="e">
        <f>IF(LEN(VLOOKUP(AE249:AE250,A2:D500,4,FALSE))=0,,VLOOKUP(AE249:AE250,A2:D500,4,FALSE))</f>
        <v>#N/A</v>
      </c>
      <c r="AH250" s="45">
        <f>'Risk Charact Model'!P381</f>
        <v>0</v>
      </c>
      <c r="AI250" s="58" t="e">
        <f>IF(LEN(VLOOKUP(AH250,A2:D500,4,FALSE))=0,,VLOOKUP(AH250,A2:D500,4,FALSE))</f>
        <v>#N/A</v>
      </c>
    </row>
    <row r="251" spans="9:35" ht="14" x14ac:dyDescent="0.3">
      <c r="I251" s="60">
        <f>'Generic Metadata Schema'!P381</f>
        <v>0</v>
      </c>
      <c r="J251" s="22" t="e">
        <f>IF(LEN(VLOOKUP(I251,A2:D500,4,FALSE))=0,"",VLOOKUP(I251,A2:D500,4,FALSE))</f>
        <v>#N/A</v>
      </c>
      <c r="L251" s="56">
        <f>'Dose-response Model'!O365</f>
        <v>0</v>
      </c>
      <c r="M251" s="22" t="e">
        <f>IF(LEN(VLOOKUP(L251,A2:D500,4,FALSE))=0,,VLOOKUP(L251,A2:D500,4,FALSE))</f>
        <v>#N/A</v>
      </c>
      <c r="N251" s="22">
        <f>'Exposure Model'!O382</f>
        <v>0</v>
      </c>
      <c r="O251" s="22" t="e">
        <f>IF(LEN(VLOOKUP(N251,A2:D500,4,FALSE))=0,,VLOOKUP(N251,A2:D500,4,FALSE))</f>
        <v>#N/A</v>
      </c>
      <c r="P251" s="56">
        <f>'QRA Models'!Q382</f>
        <v>0</v>
      </c>
      <c r="Q251" s="22" t="e">
        <f>IF(LEN(VLOOKUP(P251,A2:D500,4,FALSE))=0,,VLOOKUP(P251,A2:D500,4,FALSE))</f>
        <v>#N/A</v>
      </c>
      <c r="R251" s="56">
        <f>'Health metrics Models'!Q365</f>
        <v>0</v>
      </c>
      <c r="S251" s="22" t="e">
        <f>IF(LEN(VLOOKUP(R251,A2:D500,4,FALSE))=0,,VLOOKUP(R251,A2:D500,4,FALSE))</f>
        <v>#N/A</v>
      </c>
      <c r="T251" s="56">
        <f>'Process Model'!P363</f>
        <v>0</v>
      </c>
      <c r="U251" s="22" t="e">
        <f>IF(LEN(VLOOKUP(T251,A2:D500,4,FALSE))=0,,VLOOKUP(T251,A2:D500,4,FALSE))</f>
        <v>#N/A</v>
      </c>
      <c r="V251" s="56">
        <f>'Toxicological reference value M'!P365</f>
        <v>0</v>
      </c>
      <c r="W251" s="22" t="e">
        <f>IF(LEN(VLOOKUP(V251,A2:D500,4,FALSE))=0,,VLOOKUP(V251,A2:D500,4,FALSE))</f>
        <v>#N/A</v>
      </c>
      <c r="Y251" s="56">
        <f>'Other Empirical Model'!P376</f>
        <v>0</v>
      </c>
      <c r="Z251" s="22" t="e">
        <f>IF(LEN(VLOOKUP(Y251,A2:D500,4,FALSE))=0,,VLOOKUP(Y251,A2:D500,4,FALSE))</f>
        <v>#N/A</v>
      </c>
      <c r="AA251" s="56">
        <f>'Predictive Model'!P363</f>
        <v>0</v>
      </c>
      <c r="AB251" s="22" t="e">
        <f>IF(LEN(VLOOKUP(AA251,A2:D500,4,FALSE))=0,,VLOOKUP(AA251,A2:D500,4,FALSE))</f>
        <v>#N/A</v>
      </c>
      <c r="AC251" s="56">
        <f>'Consumption Model'!P368</f>
        <v>0</v>
      </c>
      <c r="AD251" s="22" t="e">
        <f>IF(LEN(VLOOKUP(AC251,A2:D500,4,FALSE))=0,,VLOOKUP(AC251,A2:D500,4,FALSE))</f>
        <v>#N/A</v>
      </c>
      <c r="AE251" s="22">
        <f>'(Data)'!Q364</f>
        <v>0</v>
      </c>
      <c r="AF251" s="22" t="e">
        <f>IF(LEN(VLOOKUP(AE250:AE251,A2:D500,4,FALSE))=0,,VLOOKUP(AE250:AE251,A2:D500,4,FALSE))</f>
        <v>#N/A</v>
      </c>
      <c r="AH251" s="45">
        <f>'Risk Charact Model'!P382</f>
        <v>0</v>
      </c>
      <c r="AI251" s="58" t="e">
        <f>IF(LEN(VLOOKUP(AH251,A2:D500,4,FALSE))=0,,VLOOKUP(AH251,A2:D500,4,FALSE))</f>
        <v>#N/A</v>
      </c>
    </row>
    <row r="252" spans="9:35" ht="14" x14ac:dyDescent="0.3">
      <c r="I252" s="60">
        <f>'Generic Metadata Schema'!P382</f>
        <v>0</v>
      </c>
      <c r="J252" s="22" t="e">
        <f>IF(LEN(VLOOKUP(I252,A2:D500,4,FALSE))=0,"",VLOOKUP(I252,A2:D500,4,FALSE))</f>
        <v>#N/A</v>
      </c>
      <c r="L252" s="56">
        <f>'Dose-response Model'!O366</f>
        <v>0</v>
      </c>
      <c r="M252" s="22" t="e">
        <f>IF(LEN(VLOOKUP(L252,A2:D500,4,FALSE))=0,,VLOOKUP(L252,A2:D500,4,FALSE))</f>
        <v>#N/A</v>
      </c>
      <c r="N252" s="22">
        <f>'Exposure Model'!O383</f>
        <v>0</v>
      </c>
      <c r="O252" s="22" t="e">
        <f>IF(LEN(VLOOKUP(N252,A2:D500,4,FALSE))=0,,VLOOKUP(N252,A2:D500,4,FALSE))</f>
        <v>#N/A</v>
      </c>
      <c r="P252" s="56">
        <f>'QRA Models'!Q383</f>
        <v>0</v>
      </c>
      <c r="Q252" s="22" t="e">
        <f>IF(LEN(VLOOKUP(P252,A2:D500,4,FALSE))=0,,VLOOKUP(P252,A2:D500,4,FALSE))</f>
        <v>#N/A</v>
      </c>
      <c r="R252" s="56">
        <f>'Health metrics Models'!Q366</f>
        <v>0</v>
      </c>
      <c r="S252" s="22" t="e">
        <f>IF(LEN(VLOOKUP(R252,A2:D500,4,FALSE))=0,,VLOOKUP(R252,A2:D500,4,FALSE))</f>
        <v>#N/A</v>
      </c>
      <c r="T252" s="56">
        <f>'Process Model'!P364</f>
        <v>0</v>
      </c>
      <c r="U252" s="22" t="e">
        <f>IF(LEN(VLOOKUP(T252,A2:D500,4,FALSE))=0,,VLOOKUP(T252,A2:D500,4,FALSE))</f>
        <v>#N/A</v>
      </c>
      <c r="V252" s="56">
        <f>'Toxicological reference value M'!P366</f>
        <v>0</v>
      </c>
      <c r="W252" s="22" t="e">
        <f>IF(LEN(VLOOKUP(V252,A2:D500,4,FALSE))=0,,VLOOKUP(V252,A2:D500,4,FALSE))</f>
        <v>#N/A</v>
      </c>
      <c r="Y252" s="56">
        <f>'Other Empirical Model'!P377</f>
        <v>0</v>
      </c>
      <c r="Z252" s="22" t="e">
        <f>IF(LEN(VLOOKUP(Y252,A2:D500,4,FALSE))=0,,VLOOKUP(Y252,A2:D500,4,FALSE))</f>
        <v>#N/A</v>
      </c>
      <c r="AA252" s="56">
        <f>'Predictive Model'!P364</f>
        <v>0</v>
      </c>
      <c r="AB252" s="22" t="e">
        <f>IF(LEN(VLOOKUP(AA252,A2:D500,4,FALSE))=0,,VLOOKUP(AA252,A2:D500,4,FALSE))</f>
        <v>#N/A</v>
      </c>
      <c r="AC252" s="56">
        <f>'Consumption Model'!P369</f>
        <v>0</v>
      </c>
      <c r="AD252" s="22" t="e">
        <f>IF(LEN(VLOOKUP(AC252,A2:D500,4,FALSE))=0,,VLOOKUP(AC252,A2:D500,4,FALSE))</f>
        <v>#N/A</v>
      </c>
      <c r="AE252" s="22">
        <f>'(Data)'!Q365</f>
        <v>0</v>
      </c>
      <c r="AF252" s="22" t="e">
        <f>IF(LEN(VLOOKUP(AE251:AE252,A2:D500,4,FALSE))=0,,VLOOKUP(AE251:AE252,A2:D500,4,FALSE))</f>
        <v>#N/A</v>
      </c>
      <c r="AH252" s="45">
        <f>'Risk Charact Model'!P383</f>
        <v>0</v>
      </c>
      <c r="AI252" s="58" t="e">
        <f>IF(LEN(VLOOKUP(AH252,A2:D500,4,FALSE))=0,,VLOOKUP(AH252,A2:D500,4,FALSE))</f>
        <v>#N/A</v>
      </c>
    </row>
    <row r="253" spans="9:35" ht="14" x14ac:dyDescent="0.3">
      <c r="I253" s="60">
        <f>'Generic Metadata Schema'!P383</f>
        <v>0</v>
      </c>
      <c r="J253" s="22" t="e">
        <f>IF(LEN(VLOOKUP(I253,A2:D500,4,FALSE))=0,"",VLOOKUP(I253,A2:D500,4,FALSE))</f>
        <v>#N/A</v>
      </c>
      <c r="L253" s="56">
        <f>'Dose-response Model'!O367</f>
        <v>0</v>
      </c>
      <c r="M253" s="22" t="e">
        <f>IF(LEN(VLOOKUP(L253,A2:D500,4,FALSE))=0,,VLOOKUP(L253,A2:D500,4,FALSE))</f>
        <v>#N/A</v>
      </c>
      <c r="N253" s="22">
        <f>'Exposure Model'!O384</f>
        <v>0</v>
      </c>
      <c r="O253" s="22" t="e">
        <f>IF(LEN(VLOOKUP(N253,A2:D500,4,FALSE))=0,,VLOOKUP(N253,A2:D500,4,FALSE))</f>
        <v>#N/A</v>
      </c>
      <c r="P253" s="56">
        <f>'QRA Models'!Q384</f>
        <v>0</v>
      </c>
      <c r="Q253" s="22" t="e">
        <f>IF(LEN(VLOOKUP(P253,A2:D500,4,FALSE))=0,,VLOOKUP(P253,A2:D500,4,FALSE))</f>
        <v>#N/A</v>
      </c>
      <c r="R253" s="56">
        <f>'Health metrics Models'!Q367</f>
        <v>0</v>
      </c>
      <c r="S253" s="22" t="e">
        <f>IF(LEN(VLOOKUP(R253,A2:D500,4,FALSE))=0,,VLOOKUP(R253,A2:D500,4,FALSE))</f>
        <v>#N/A</v>
      </c>
      <c r="T253" s="56">
        <f>'Process Model'!P365</f>
        <v>0</v>
      </c>
      <c r="U253" s="22" t="e">
        <f>IF(LEN(VLOOKUP(T253,A2:D500,4,FALSE))=0,,VLOOKUP(T253,A2:D500,4,FALSE))</f>
        <v>#N/A</v>
      </c>
      <c r="V253" s="56">
        <f>'Toxicological reference value M'!P367</f>
        <v>0</v>
      </c>
      <c r="W253" s="22" t="e">
        <f>IF(LEN(VLOOKUP(V253,A2:D500,4,FALSE))=0,,VLOOKUP(V253,A2:D500,4,FALSE))</f>
        <v>#N/A</v>
      </c>
      <c r="Y253" s="56">
        <f>'Other Empirical Model'!P378</f>
        <v>0</v>
      </c>
      <c r="Z253" s="22" t="e">
        <f>IF(LEN(VLOOKUP(Y253,A2:D500,4,FALSE))=0,,VLOOKUP(Y253,A2:D500,4,FALSE))</f>
        <v>#N/A</v>
      </c>
      <c r="AA253" s="56">
        <f>'Predictive Model'!P365</f>
        <v>0</v>
      </c>
      <c r="AB253" s="22" t="e">
        <f>IF(LEN(VLOOKUP(AA253,A2:D500,4,FALSE))=0,,VLOOKUP(AA253,A2:D500,4,FALSE))</f>
        <v>#N/A</v>
      </c>
      <c r="AC253" s="56">
        <f>'Consumption Model'!P370</f>
        <v>0</v>
      </c>
      <c r="AD253" s="22" t="e">
        <f>IF(LEN(VLOOKUP(AC253,A2:D500,4,FALSE))=0,,VLOOKUP(AC253,A2:D500,4,FALSE))</f>
        <v>#N/A</v>
      </c>
      <c r="AE253" s="22">
        <f>'(Data)'!Q366</f>
        <v>0</v>
      </c>
      <c r="AF253" s="22" t="e">
        <f>IF(LEN(VLOOKUP(AE252:AE253,A2:D500,4,FALSE))=0,,VLOOKUP(AE252:AE253,A2:D500,4,FALSE))</f>
        <v>#N/A</v>
      </c>
      <c r="AH253" s="45">
        <f>'Risk Charact Model'!P384</f>
        <v>0</v>
      </c>
      <c r="AI253" s="58" t="e">
        <f>IF(LEN(VLOOKUP(AH253,A2:D500,4,FALSE))=0,,VLOOKUP(AH253,A2:D500,4,FALSE))</f>
        <v>#N/A</v>
      </c>
    </row>
    <row r="254" spans="9:35" ht="14" x14ac:dyDescent="0.3">
      <c r="I254" s="60">
        <f>'Generic Metadata Schema'!P384</f>
        <v>0</v>
      </c>
      <c r="J254" s="22" t="e">
        <f>IF(LEN(VLOOKUP(I254,A2:D500,4,FALSE))=0,"",VLOOKUP(I254,A2:D500,4,FALSE))</f>
        <v>#N/A</v>
      </c>
      <c r="L254" s="56">
        <f>'Dose-response Model'!O368</f>
        <v>0</v>
      </c>
      <c r="M254" s="22" t="e">
        <f>IF(LEN(VLOOKUP(L254,A2:D500,4,FALSE))=0,,VLOOKUP(L254,A2:D500,4,FALSE))</f>
        <v>#N/A</v>
      </c>
      <c r="N254" s="22">
        <f>'Exposure Model'!O385</f>
        <v>0</v>
      </c>
      <c r="O254" s="22" t="e">
        <f>IF(LEN(VLOOKUP(N254,A2:D500,4,FALSE))=0,,VLOOKUP(N254,A2:D500,4,FALSE))</f>
        <v>#N/A</v>
      </c>
      <c r="P254" s="56">
        <f>'QRA Models'!Q385</f>
        <v>0</v>
      </c>
      <c r="Q254" s="22" t="e">
        <f>IF(LEN(VLOOKUP(P254,A2:D500,4,FALSE))=0,,VLOOKUP(P254,A2:D500,4,FALSE))</f>
        <v>#N/A</v>
      </c>
      <c r="R254" s="56">
        <f>'Health metrics Models'!Q368</f>
        <v>0</v>
      </c>
      <c r="S254" s="22" t="e">
        <f>IF(LEN(VLOOKUP(R254,A2:D500,4,FALSE))=0,,VLOOKUP(R254,A2:D500,4,FALSE))</f>
        <v>#N/A</v>
      </c>
      <c r="T254" s="56">
        <f>'Process Model'!P366</f>
        <v>0</v>
      </c>
      <c r="U254" s="22" t="e">
        <f>IF(LEN(VLOOKUP(T254,A2:D500,4,FALSE))=0,,VLOOKUP(T254,A2:D500,4,FALSE))</f>
        <v>#N/A</v>
      </c>
      <c r="V254" s="56">
        <f>'Toxicological reference value M'!P368</f>
        <v>0</v>
      </c>
      <c r="W254" s="22" t="e">
        <f>IF(LEN(VLOOKUP(V254,A2:D500,4,FALSE))=0,,VLOOKUP(V254,A2:D500,4,FALSE))</f>
        <v>#N/A</v>
      </c>
      <c r="Y254" s="56">
        <f>'Other Empirical Model'!P379</f>
        <v>0</v>
      </c>
      <c r="Z254" s="22" t="e">
        <f>IF(LEN(VLOOKUP(Y254,A2:D500,4,FALSE))=0,,VLOOKUP(Y254,A2:D500,4,FALSE))</f>
        <v>#N/A</v>
      </c>
      <c r="AA254" s="56">
        <f>'Predictive Model'!P366</f>
        <v>0</v>
      </c>
      <c r="AB254" s="22" t="e">
        <f>IF(LEN(VLOOKUP(AA254,A2:D500,4,FALSE))=0,,VLOOKUP(AA254,A2:D500,4,FALSE))</f>
        <v>#N/A</v>
      </c>
      <c r="AC254" s="56">
        <f>'Consumption Model'!P371</f>
        <v>0</v>
      </c>
      <c r="AD254" s="22" t="e">
        <f>IF(LEN(VLOOKUP(AC254,A2:D500,4,FALSE))=0,,VLOOKUP(AC254,A2:D500,4,FALSE))</f>
        <v>#N/A</v>
      </c>
      <c r="AE254" s="22">
        <f>'(Data)'!Q367</f>
        <v>0</v>
      </c>
      <c r="AF254" s="22" t="e">
        <f>IF(LEN(VLOOKUP(AE253:AE254,A2:D500,4,FALSE))=0,,VLOOKUP(AE253:AE254,A2:D500,4,FALSE))</f>
        <v>#N/A</v>
      </c>
      <c r="AH254" s="45">
        <f>'Risk Charact Model'!P385</f>
        <v>0</v>
      </c>
      <c r="AI254" s="58" t="e">
        <f>IF(LEN(VLOOKUP(AH254,A2:D500,4,FALSE))=0,,VLOOKUP(AH254,A2:D500,4,FALSE))</f>
        <v>#N/A</v>
      </c>
    </row>
    <row r="255" spans="9:35" ht="14" x14ac:dyDescent="0.3">
      <c r="I255" s="60">
        <f>'Generic Metadata Schema'!P385</f>
        <v>0</v>
      </c>
      <c r="J255" s="22" t="e">
        <f>IF(LEN(VLOOKUP(I255,A2:D500,4,FALSE))=0,"",VLOOKUP(I255,A2:D500,4,FALSE))</f>
        <v>#N/A</v>
      </c>
      <c r="L255" s="56">
        <f>'Dose-response Model'!O369</f>
        <v>0</v>
      </c>
      <c r="M255" s="22" t="e">
        <f>IF(LEN(VLOOKUP(L255,A2:D500,4,FALSE))=0,,VLOOKUP(L255,A2:D500,4,FALSE))</f>
        <v>#N/A</v>
      </c>
      <c r="N255" s="22">
        <f>'Exposure Model'!O386</f>
        <v>0</v>
      </c>
      <c r="O255" s="22" t="e">
        <f>IF(LEN(VLOOKUP(N255,A2:D500,4,FALSE))=0,,VLOOKUP(N255,A2:D500,4,FALSE))</f>
        <v>#N/A</v>
      </c>
      <c r="P255" s="56">
        <f>'QRA Models'!Q386</f>
        <v>0</v>
      </c>
      <c r="Q255" s="22" t="e">
        <f>IF(LEN(VLOOKUP(P255,A2:D500,4,FALSE))=0,,VLOOKUP(P255,A2:D500,4,FALSE))</f>
        <v>#N/A</v>
      </c>
      <c r="R255" s="56">
        <f>'Health metrics Models'!Q369</f>
        <v>0</v>
      </c>
      <c r="S255" s="22" t="e">
        <f>IF(LEN(VLOOKUP(R255,A2:D500,4,FALSE))=0,,VLOOKUP(R255,A2:D500,4,FALSE))</f>
        <v>#N/A</v>
      </c>
      <c r="T255" s="56">
        <f>'Process Model'!P367</f>
        <v>0</v>
      </c>
      <c r="U255" s="22" t="e">
        <f>IF(LEN(VLOOKUP(T255,A2:D500,4,FALSE))=0,,VLOOKUP(T255,A2:D500,4,FALSE))</f>
        <v>#N/A</v>
      </c>
      <c r="V255" s="56">
        <f>'Toxicological reference value M'!P369</f>
        <v>0</v>
      </c>
      <c r="W255" s="22" t="e">
        <f>IF(LEN(VLOOKUP(V255,A2:D500,4,FALSE))=0,,VLOOKUP(V255,A2:D500,4,FALSE))</f>
        <v>#N/A</v>
      </c>
      <c r="Y255" s="56">
        <f>'Other Empirical Model'!P380</f>
        <v>0</v>
      </c>
      <c r="Z255" s="22" t="e">
        <f>IF(LEN(VLOOKUP(Y255,A2:D500,4,FALSE))=0,,VLOOKUP(Y255,A2:D500,4,FALSE))</f>
        <v>#N/A</v>
      </c>
      <c r="AA255" s="56">
        <f>'Predictive Model'!P367</f>
        <v>0</v>
      </c>
      <c r="AB255" s="22" t="e">
        <f>IF(LEN(VLOOKUP(AA255,A2:D500,4,FALSE))=0,,VLOOKUP(AA255,A2:D500,4,FALSE))</f>
        <v>#N/A</v>
      </c>
      <c r="AC255" s="56">
        <f>'Consumption Model'!P372</f>
        <v>0</v>
      </c>
      <c r="AD255" s="22" t="e">
        <f>IF(LEN(VLOOKUP(AC255,A2:D500,4,FALSE))=0,,VLOOKUP(AC255,A2:D500,4,FALSE))</f>
        <v>#N/A</v>
      </c>
      <c r="AE255" s="22">
        <f>'(Data)'!Q368</f>
        <v>0</v>
      </c>
      <c r="AF255" s="22" t="e">
        <f>IF(LEN(VLOOKUP(AE254:AE255,A2:D500,4,FALSE))=0,,VLOOKUP(AE254:AE255,A2:D500,4,FALSE))</f>
        <v>#N/A</v>
      </c>
      <c r="AH255" s="45">
        <f>'Risk Charact Model'!P386</f>
        <v>0</v>
      </c>
      <c r="AI255" s="58" t="e">
        <f>IF(LEN(VLOOKUP(AH255,A2:D500,4,FALSE))=0,,VLOOKUP(AH255,A2:D500,4,FALSE))</f>
        <v>#N/A</v>
      </c>
    </row>
    <row r="256" spans="9:35" ht="14" x14ac:dyDescent="0.3">
      <c r="I256" s="60">
        <f>'Generic Metadata Schema'!P386</f>
        <v>0</v>
      </c>
      <c r="J256" s="22" t="e">
        <f>IF(LEN(VLOOKUP(I256,A2:D500,4,FALSE))=0,"",VLOOKUP(I256,A2:D500,4,FALSE))</f>
        <v>#N/A</v>
      </c>
      <c r="L256" s="56">
        <f>'Dose-response Model'!O370</f>
        <v>0</v>
      </c>
      <c r="M256" s="22" t="e">
        <f>IF(LEN(VLOOKUP(L256,A2:D500,4,FALSE))=0,,VLOOKUP(L256,A2:D500,4,FALSE))</f>
        <v>#N/A</v>
      </c>
      <c r="N256" s="22">
        <f>'Exposure Model'!O387</f>
        <v>0</v>
      </c>
      <c r="O256" s="22" t="e">
        <f>IF(LEN(VLOOKUP(N256,A2:D500,4,FALSE))=0,,VLOOKUP(N256,A2:D500,4,FALSE))</f>
        <v>#N/A</v>
      </c>
      <c r="P256" s="56">
        <f>'QRA Models'!Q387</f>
        <v>0</v>
      </c>
      <c r="Q256" s="22" t="e">
        <f>IF(LEN(VLOOKUP(P256,A2:D500,4,FALSE))=0,,VLOOKUP(P256,A2:D500,4,FALSE))</f>
        <v>#N/A</v>
      </c>
      <c r="R256" s="56">
        <f>'Health metrics Models'!Q370</f>
        <v>0</v>
      </c>
      <c r="S256" s="22" t="e">
        <f>IF(LEN(VLOOKUP(R256,A2:D500,4,FALSE))=0,,VLOOKUP(R256,A2:D500,4,FALSE))</f>
        <v>#N/A</v>
      </c>
      <c r="T256" s="56">
        <f>'Process Model'!P368</f>
        <v>0</v>
      </c>
      <c r="U256" s="22" t="e">
        <f>IF(LEN(VLOOKUP(T256,A2:D500,4,FALSE))=0,,VLOOKUP(T256,A2:D500,4,FALSE))</f>
        <v>#N/A</v>
      </c>
      <c r="V256" s="56">
        <f>'Toxicological reference value M'!P370</f>
        <v>0</v>
      </c>
      <c r="W256" s="22" t="e">
        <f>IF(LEN(VLOOKUP(V256,A2:D500,4,FALSE))=0,,VLOOKUP(V256,A2:D500,4,FALSE))</f>
        <v>#N/A</v>
      </c>
      <c r="Y256" s="56">
        <f>'Other Empirical Model'!P381</f>
        <v>0</v>
      </c>
      <c r="Z256" s="22" t="e">
        <f>IF(LEN(VLOOKUP(Y256,A2:D500,4,FALSE))=0,,VLOOKUP(Y256,A2:D500,4,FALSE))</f>
        <v>#N/A</v>
      </c>
      <c r="AA256" s="56">
        <f>'Predictive Model'!P368</f>
        <v>0</v>
      </c>
      <c r="AB256" s="22" t="e">
        <f>IF(LEN(VLOOKUP(AA256,A2:D500,4,FALSE))=0,,VLOOKUP(AA256,A2:D500,4,FALSE))</f>
        <v>#N/A</v>
      </c>
      <c r="AC256" s="56">
        <f>'Consumption Model'!P373</f>
        <v>0</v>
      </c>
      <c r="AD256" s="22" t="e">
        <f>IF(LEN(VLOOKUP(AC256,A2:D500,4,FALSE))=0,,VLOOKUP(AC256,A2:D500,4,FALSE))</f>
        <v>#N/A</v>
      </c>
      <c r="AE256" s="22">
        <f>'(Data)'!Q369</f>
        <v>0</v>
      </c>
      <c r="AF256" s="22" t="e">
        <f>IF(LEN(VLOOKUP(AE255:AE256,A2:D500,4,FALSE))=0,,VLOOKUP(AE255:AE256,A2:D500,4,FALSE))</f>
        <v>#N/A</v>
      </c>
      <c r="AH256" s="45">
        <f>'Risk Charact Model'!P387</f>
        <v>0</v>
      </c>
      <c r="AI256" s="58" t="e">
        <f>IF(LEN(VLOOKUP(AH256,A2:D500,4,FALSE))=0,,VLOOKUP(AH256,A2:D500,4,FALSE))</f>
        <v>#N/A</v>
      </c>
    </row>
    <row r="257" spans="9:35" ht="14" x14ac:dyDescent="0.3">
      <c r="I257" s="60">
        <f>'Generic Metadata Schema'!P387</f>
        <v>0</v>
      </c>
      <c r="J257" s="22" t="e">
        <f>IF(LEN(VLOOKUP(I257,A2:D500,4,FALSE))=0,"",VLOOKUP(I257,A2:D500,4,FALSE))</f>
        <v>#N/A</v>
      </c>
      <c r="L257" s="56">
        <f>'Dose-response Model'!O371</f>
        <v>0</v>
      </c>
      <c r="M257" s="22" t="e">
        <f>IF(LEN(VLOOKUP(L257,A2:D500,4,FALSE))=0,,VLOOKUP(L257,A2:D500,4,FALSE))</f>
        <v>#N/A</v>
      </c>
      <c r="N257" s="22">
        <f>'Exposure Model'!O388</f>
        <v>0</v>
      </c>
      <c r="O257" s="22" t="e">
        <f>IF(LEN(VLOOKUP(N257,A2:D500,4,FALSE))=0,,VLOOKUP(N257,A2:D500,4,FALSE))</f>
        <v>#N/A</v>
      </c>
      <c r="P257" s="56">
        <f>'QRA Models'!Q388</f>
        <v>0</v>
      </c>
      <c r="Q257" s="22" t="e">
        <f>IF(LEN(VLOOKUP(P257,A2:D500,4,FALSE))=0,,VLOOKUP(P257,A2:D500,4,FALSE))</f>
        <v>#N/A</v>
      </c>
      <c r="R257" s="56">
        <f>'Health metrics Models'!Q371</f>
        <v>0</v>
      </c>
      <c r="S257" s="22" t="e">
        <f>IF(LEN(VLOOKUP(R257,A2:D500,4,FALSE))=0,,VLOOKUP(R257,A2:D500,4,FALSE))</f>
        <v>#N/A</v>
      </c>
      <c r="T257" s="56">
        <f>'Process Model'!P369</f>
        <v>0</v>
      </c>
      <c r="U257" s="22" t="e">
        <f>IF(LEN(VLOOKUP(T257,A2:D500,4,FALSE))=0,,VLOOKUP(T257,A2:D500,4,FALSE))</f>
        <v>#N/A</v>
      </c>
      <c r="V257" s="56">
        <f>'Toxicological reference value M'!P371</f>
        <v>0</v>
      </c>
      <c r="W257" s="22" t="e">
        <f>IF(LEN(VLOOKUP(V257,A2:D500,4,FALSE))=0,,VLOOKUP(V257,A2:D500,4,FALSE))</f>
        <v>#N/A</v>
      </c>
      <c r="Y257" s="56">
        <f>'Other Empirical Model'!P382</f>
        <v>0</v>
      </c>
      <c r="Z257" s="22" t="e">
        <f>IF(LEN(VLOOKUP(Y257,A2:D500,4,FALSE))=0,,VLOOKUP(Y257,A2:D500,4,FALSE))</f>
        <v>#N/A</v>
      </c>
      <c r="AA257" s="56">
        <f>'Predictive Model'!P369</f>
        <v>0</v>
      </c>
      <c r="AB257" s="22" t="e">
        <f>IF(LEN(VLOOKUP(AA257,A2:D500,4,FALSE))=0,,VLOOKUP(AA257,A2:D500,4,FALSE))</f>
        <v>#N/A</v>
      </c>
      <c r="AC257" s="56">
        <f>'Consumption Model'!P374</f>
        <v>0</v>
      </c>
      <c r="AD257" s="22" t="e">
        <f>IF(LEN(VLOOKUP(AC257,A2:D500,4,FALSE))=0,,VLOOKUP(AC257,A2:D500,4,FALSE))</f>
        <v>#N/A</v>
      </c>
      <c r="AE257" s="22">
        <f>'(Data)'!Q370</f>
        <v>0</v>
      </c>
      <c r="AF257" s="22" t="e">
        <f>IF(LEN(VLOOKUP(AE256:AE257,A2:D500,4,FALSE))=0,,VLOOKUP(AE256:AE257,A2:D500,4,FALSE))</f>
        <v>#N/A</v>
      </c>
      <c r="AH257" s="45">
        <f>'Risk Charact Model'!P388</f>
        <v>0</v>
      </c>
      <c r="AI257" s="58" t="e">
        <f>IF(LEN(VLOOKUP(AH257,A2:D500,4,FALSE))=0,,VLOOKUP(AH257,A2:D500,4,FALSE))</f>
        <v>#N/A</v>
      </c>
    </row>
    <row r="258" spans="9:35" ht="14" x14ac:dyDescent="0.3">
      <c r="I258" s="60">
        <f>'Generic Metadata Schema'!P388</f>
        <v>0</v>
      </c>
      <c r="J258" s="22" t="e">
        <f>IF(LEN(VLOOKUP(I258,A2:D500,4,FALSE))=0,"",VLOOKUP(I258,A2:D500,4,FALSE))</f>
        <v>#N/A</v>
      </c>
      <c r="L258" s="56">
        <f>'Dose-response Model'!O372</f>
        <v>0</v>
      </c>
      <c r="M258" s="22" t="e">
        <f>IF(LEN(VLOOKUP(L258,A2:D500,4,FALSE))=0,,VLOOKUP(L258,A2:D500,4,FALSE))</f>
        <v>#N/A</v>
      </c>
      <c r="N258" s="22">
        <f>'Exposure Model'!O389</f>
        <v>0</v>
      </c>
      <c r="O258" s="22" t="e">
        <f>IF(LEN(VLOOKUP(N258,A2:D500,4,FALSE))=0,,VLOOKUP(N258,A2:D500,4,FALSE))</f>
        <v>#N/A</v>
      </c>
      <c r="P258" s="56">
        <f>'QRA Models'!Q389</f>
        <v>0</v>
      </c>
      <c r="Q258" s="22" t="e">
        <f>IF(LEN(VLOOKUP(P258,A2:D500,4,FALSE))=0,,VLOOKUP(P258,A2:D500,4,FALSE))</f>
        <v>#N/A</v>
      </c>
      <c r="R258" s="56">
        <f>'Health metrics Models'!Q372</f>
        <v>0</v>
      </c>
      <c r="S258" s="22" t="e">
        <f>IF(LEN(VLOOKUP(R258,A2:D500,4,FALSE))=0,,VLOOKUP(R258,A2:D500,4,FALSE))</f>
        <v>#N/A</v>
      </c>
      <c r="T258" s="56">
        <f>'Process Model'!P370</f>
        <v>0</v>
      </c>
      <c r="U258" s="22" t="e">
        <f>IF(LEN(VLOOKUP(T258,A2:D500,4,FALSE))=0,,VLOOKUP(T258,A2:D500,4,FALSE))</f>
        <v>#N/A</v>
      </c>
      <c r="V258" s="56">
        <f>'Toxicological reference value M'!P372</f>
        <v>0</v>
      </c>
      <c r="W258" s="22" t="e">
        <f>IF(LEN(VLOOKUP(V258,A2:D500,4,FALSE))=0,,VLOOKUP(V258,A2:D500,4,FALSE))</f>
        <v>#N/A</v>
      </c>
      <c r="Y258" s="56">
        <f>'Other Empirical Model'!P383</f>
        <v>0</v>
      </c>
      <c r="Z258" s="22" t="e">
        <f>IF(LEN(VLOOKUP(Y258,A2:D500,4,FALSE))=0,,VLOOKUP(Y258,A2:D500,4,FALSE))</f>
        <v>#N/A</v>
      </c>
      <c r="AA258" s="56">
        <f>'Predictive Model'!P370</f>
        <v>0</v>
      </c>
      <c r="AB258" s="22" t="e">
        <f>IF(LEN(VLOOKUP(AA258,A2:D500,4,FALSE))=0,,VLOOKUP(AA258,A2:D500,4,FALSE))</f>
        <v>#N/A</v>
      </c>
      <c r="AC258" s="56">
        <f>'Consumption Model'!P375</f>
        <v>0</v>
      </c>
      <c r="AD258" s="22" t="e">
        <f>IF(LEN(VLOOKUP(AC258,A2:D500,4,FALSE))=0,,VLOOKUP(AC258,A2:D500,4,FALSE))</f>
        <v>#N/A</v>
      </c>
      <c r="AE258" s="22">
        <f>'(Data)'!Q371</f>
        <v>0</v>
      </c>
      <c r="AF258" s="22" t="e">
        <f>IF(LEN(VLOOKUP(AE257:AE258,A2:D500,4,FALSE))=0,,VLOOKUP(AE257:AE258,A2:D500,4,FALSE))</f>
        <v>#N/A</v>
      </c>
      <c r="AH258" s="45">
        <f>'Risk Charact Model'!P389</f>
        <v>0</v>
      </c>
      <c r="AI258" s="58" t="e">
        <f>IF(LEN(VLOOKUP(AH258,A2:D500,4,FALSE))=0,,VLOOKUP(AH258,A2:D500,4,FALSE))</f>
        <v>#N/A</v>
      </c>
    </row>
    <row r="259" spans="9:35" ht="14" x14ac:dyDescent="0.3">
      <c r="I259" s="60">
        <f>'Generic Metadata Schema'!P389</f>
        <v>0</v>
      </c>
      <c r="J259" s="22" t="e">
        <f>IF(LEN(VLOOKUP(I259,A2:D500,4,FALSE))=0,"",VLOOKUP(I259,A2:D500,4,FALSE))</f>
        <v>#N/A</v>
      </c>
      <c r="L259" s="56">
        <f>'Dose-response Model'!O373</f>
        <v>0</v>
      </c>
      <c r="M259" s="22" t="e">
        <f>IF(LEN(VLOOKUP(L259,A2:D500,4,FALSE))=0,,VLOOKUP(L259,A2:D500,4,FALSE))</f>
        <v>#N/A</v>
      </c>
      <c r="N259" s="22">
        <f>'Exposure Model'!O390</f>
        <v>0</v>
      </c>
      <c r="O259" s="22" t="e">
        <f>IF(LEN(VLOOKUP(N259,A2:D500,4,FALSE))=0,,VLOOKUP(N259,A2:D500,4,FALSE))</f>
        <v>#N/A</v>
      </c>
      <c r="P259" s="56">
        <f>'QRA Models'!Q390</f>
        <v>0</v>
      </c>
      <c r="Q259" s="22" t="e">
        <f>IF(LEN(VLOOKUP(P259,A2:D500,4,FALSE))=0,,VLOOKUP(P259,A2:D500,4,FALSE))</f>
        <v>#N/A</v>
      </c>
      <c r="R259" s="56">
        <f>'Health metrics Models'!Q373</f>
        <v>0</v>
      </c>
      <c r="S259" s="22" t="e">
        <f>IF(LEN(VLOOKUP(R259,A2:D500,4,FALSE))=0,,VLOOKUP(R259,A2:D500,4,FALSE))</f>
        <v>#N/A</v>
      </c>
      <c r="T259" s="56">
        <f>'Process Model'!P371</f>
        <v>0</v>
      </c>
      <c r="U259" s="22" t="e">
        <f>IF(LEN(VLOOKUP(T259,A2:D500,4,FALSE))=0,,VLOOKUP(T259,A2:D500,4,FALSE))</f>
        <v>#N/A</v>
      </c>
      <c r="V259" s="56">
        <f>'Toxicological reference value M'!P373</f>
        <v>0</v>
      </c>
      <c r="W259" s="22" t="e">
        <f>IF(LEN(VLOOKUP(V259,A2:D500,4,FALSE))=0,,VLOOKUP(V259,A2:D500,4,FALSE))</f>
        <v>#N/A</v>
      </c>
      <c r="Y259" s="56">
        <f>'Other Empirical Model'!P384</f>
        <v>0</v>
      </c>
      <c r="Z259" s="22" t="e">
        <f>IF(LEN(VLOOKUP(Y259,A2:D500,4,FALSE))=0,,VLOOKUP(Y259,A2:D500,4,FALSE))</f>
        <v>#N/A</v>
      </c>
      <c r="AA259" s="56">
        <f>'Predictive Model'!P371</f>
        <v>0</v>
      </c>
      <c r="AB259" s="22" t="e">
        <f>IF(LEN(VLOOKUP(AA259,A2:D500,4,FALSE))=0,,VLOOKUP(AA259,A2:D500,4,FALSE))</f>
        <v>#N/A</v>
      </c>
      <c r="AC259" s="56">
        <f>'Consumption Model'!P376</f>
        <v>0</v>
      </c>
      <c r="AD259" s="22" t="e">
        <f>IF(LEN(VLOOKUP(AC259,A2:D500,4,FALSE))=0,,VLOOKUP(AC259,A2:D500,4,FALSE))</f>
        <v>#N/A</v>
      </c>
      <c r="AE259" s="22">
        <f>'(Data)'!Q372</f>
        <v>0</v>
      </c>
      <c r="AF259" s="22" t="e">
        <f>IF(LEN(VLOOKUP(AE258:AE259,A2:D500,4,FALSE))=0,,VLOOKUP(AE258:AE259,A2:D500,4,FALSE))</f>
        <v>#N/A</v>
      </c>
      <c r="AH259" s="45">
        <f>'Risk Charact Model'!P390</f>
        <v>0</v>
      </c>
      <c r="AI259" s="58" t="e">
        <f>IF(LEN(VLOOKUP(AH259,A2:D500,4,FALSE))=0,,VLOOKUP(AH259,A2:D500,4,FALSE))</f>
        <v>#N/A</v>
      </c>
    </row>
    <row r="260" spans="9:35" ht="14" x14ac:dyDescent="0.3">
      <c r="I260" s="60">
        <f>'Generic Metadata Schema'!P390</f>
        <v>0</v>
      </c>
      <c r="J260" s="22" t="e">
        <f>IF(LEN(VLOOKUP(I260,A2:D500,4,FALSE))=0,"",VLOOKUP(I260,A2:D500,4,FALSE))</f>
        <v>#N/A</v>
      </c>
      <c r="L260" s="56">
        <f>'Dose-response Model'!O374</f>
        <v>0</v>
      </c>
      <c r="M260" s="22" t="e">
        <f>IF(LEN(VLOOKUP(L260,A2:D500,4,FALSE))=0,,VLOOKUP(L260,A2:D500,4,FALSE))</f>
        <v>#N/A</v>
      </c>
      <c r="N260" s="22">
        <f>'Exposure Model'!O391</f>
        <v>0</v>
      </c>
      <c r="O260" s="22" t="e">
        <f>IF(LEN(VLOOKUP(N260,A2:D500,4,FALSE))=0,,VLOOKUP(N260,A2:D500,4,FALSE))</f>
        <v>#N/A</v>
      </c>
      <c r="P260" s="56">
        <f>'QRA Models'!Q391</f>
        <v>0</v>
      </c>
      <c r="Q260" s="22" t="e">
        <f>IF(LEN(VLOOKUP(P260,A2:D500,4,FALSE))=0,,VLOOKUP(P260,A2:D500,4,FALSE))</f>
        <v>#N/A</v>
      </c>
      <c r="R260" s="56">
        <f>'Health metrics Models'!Q374</f>
        <v>0</v>
      </c>
      <c r="S260" s="22" t="e">
        <f>IF(LEN(VLOOKUP(R260,A2:D500,4,FALSE))=0,,VLOOKUP(R260,A2:D500,4,FALSE))</f>
        <v>#N/A</v>
      </c>
      <c r="T260" s="56">
        <f>'Process Model'!P372</f>
        <v>0</v>
      </c>
      <c r="U260" s="22" t="e">
        <f>IF(LEN(VLOOKUP(T260,A2:D500,4,FALSE))=0,,VLOOKUP(T260,A2:D500,4,FALSE))</f>
        <v>#N/A</v>
      </c>
      <c r="V260" s="56">
        <f>'Toxicological reference value M'!P374</f>
        <v>0</v>
      </c>
      <c r="W260" s="22" t="e">
        <f>IF(LEN(VLOOKUP(V260,A2:D500,4,FALSE))=0,,VLOOKUP(V260,A2:D500,4,FALSE))</f>
        <v>#N/A</v>
      </c>
      <c r="Y260" s="56">
        <f>'Other Empirical Model'!P385</f>
        <v>0</v>
      </c>
      <c r="Z260" s="22" t="e">
        <f>IF(LEN(VLOOKUP(Y260,A2:D500,4,FALSE))=0,,VLOOKUP(Y260,A2:D500,4,FALSE))</f>
        <v>#N/A</v>
      </c>
      <c r="AA260" s="56">
        <f>'Predictive Model'!P372</f>
        <v>0</v>
      </c>
      <c r="AB260" s="22" t="e">
        <f>IF(LEN(VLOOKUP(AA260,A2:D500,4,FALSE))=0,,VLOOKUP(AA260,A2:D500,4,FALSE))</f>
        <v>#N/A</v>
      </c>
      <c r="AC260" s="56">
        <f>'Consumption Model'!P377</f>
        <v>0</v>
      </c>
      <c r="AD260" s="22" t="e">
        <f>IF(LEN(VLOOKUP(AC260,A2:D500,4,FALSE))=0,,VLOOKUP(AC260,A2:D500,4,FALSE))</f>
        <v>#N/A</v>
      </c>
      <c r="AE260" s="22">
        <f>'(Data)'!Q373</f>
        <v>0</v>
      </c>
      <c r="AF260" s="22" t="e">
        <f>IF(LEN(VLOOKUP(AE259:AE260,A2:D500,4,FALSE))=0,,VLOOKUP(AE259:AE260,A2:D500,4,FALSE))</f>
        <v>#N/A</v>
      </c>
      <c r="AH260" s="45">
        <f>'Risk Charact Model'!P391</f>
        <v>0</v>
      </c>
      <c r="AI260" s="58" t="e">
        <f>IF(LEN(VLOOKUP(AH260,A2:D500,4,FALSE))=0,,VLOOKUP(AH260,A2:D500,4,FALSE))</f>
        <v>#N/A</v>
      </c>
    </row>
    <row r="261" spans="9:35" ht="14" x14ac:dyDescent="0.3">
      <c r="I261" s="60">
        <f>'Generic Metadata Schema'!P391</f>
        <v>0</v>
      </c>
      <c r="J261" s="22" t="e">
        <f>IF(LEN(VLOOKUP(I261,A2:D500,4,FALSE))=0,"",VLOOKUP(I261,A2:D500,4,FALSE))</f>
        <v>#N/A</v>
      </c>
      <c r="L261" s="56">
        <f>'Dose-response Model'!O375</f>
        <v>0</v>
      </c>
      <c r="M261" s="22" t="e">
        <f>IF(LEN(VLOOKUP(L261,A2:D500,4,FALSE))=0,,VLOOKUP(L261,A2:D500,4,FALSE))</f>
        <v>#N/A</v>
      </c>
      <c r="N261" s="22">
        <f>'Exposure Model'!O392</f>
        <v>0</v>
      </c>
      <c r="O261" s="22" t="e">
        <f>IF(LEN(VLOOKUP(N261,A2:D500,4,FALSE))=0,,VLOOKUP(N261,A2:D500,4,FALSE))</f>
        <v>#N/A</v>
      </c>
      <c r="P261" s="56">
        <f>'QRA Models'!Q392</f>
        <v>0</v>
      </c>
      <c r="Q261" s="22" t="e">
        <f>IF(LEN(VLOOKUP(P261,A2:D500,4,FALSE))=0,,VLOOKUP(P261,A2:D500,4,FALSE))</f>
        <v>#N/A</v>
      </c>
      <c r="R261" s="56">
        <f>'Health metrics Models'!Q375</f>
        <v>0</v>
      </c>
      <c r="S261" s="22" t="e">
        <f>IF(LEN(VLOOKUP(R261,A2:D500,4,FALSE))=0,,VLOOKUP(R261,A2:D500,4,FALSE))</f>
        <v>#N/A</v>
      </c>
      <c r="T261" s="56">
        <f>'Process Model'!P373</f>
        <v>0</v>
      </c>
      <c r="U261" s="22" t="e">
        <f>IF(LEN(VLOOKUP(T261,A2:D500,4,FALSE))=0,,VLOOKUP(T261,A2:D500,4,FALSE))</f>
        <v>#N/A</v>
      </c>
      <c r="V261" s="56">
        <f>'Toxicological reference value M'!P375</f>
        <v>0</v>
      </c>
      <c r="W261" s="22" t="e">
        <f>IF(LEN(VLOOKUP(V261,A2:D500,4,FALSE))=0,,VLOOKUP(V261,A2:D500,4,FALSE))</f>
        <v>#N/A</v>
      </c>
      <c r="Y261" s="56">
        <f>'Other Empirical Model'!P386</f>
        <v>0</v>
      </c>
      <c r="Z261" s="22" t="e">
        <f>IF(LEN(VLOOKUP(Y261,A2:D500,4,FALSE))=0,,VLOOKUP(Y261,A2:D500,4,FALSE))</f>
        <v>#N/A</v>
      </c>
      <c r="AA261" s="56">
        <f>'Predictive Model'!P373</f>
        <v>0</v>
      </c>
      <c r="AB261" s="22" t="e">
        <f>IF(LEN(VLOOKUP(AA261,A2:D500,4,FALSE))=0,,VLOOKUP(AA261,A2:D500,4,FALSE))</f>
        <v>#N/A</v>
      </c>
      <c r="AC261" s="56">
        <f>'Consumption Model'!P378</f>
        <v>0</v>
      </c>
      <c r="AD261" s="22" t="e">
        <f>IF(LEN(VLOOKUP(AC261,A2:D500,4,FALSE))=0,,VLOOKUP(AC261,A2:D500,4,FALSE))</f>
        <v>#N/A</v>
      </c>
      <c r="AE261" s="22">
        <f>'(Data)'!Q374</f>
        <v>0</v>
      </c>
      <c r="AF261" s="22" t="e">
        <f>IF(LEN(VLOOKUP(AE260:AE261,A2:D500,4,FALSE))=0,,VLOOKUP(AE260:AE261,A2:D500,4,FALSE))</f>
        <v>#N/A</v>
      </c>
      <c r="AH261" s="45">
        <f>'Risk Charact Model'!P392</f>
        <v>0</v>
      </c>
      <c r="AI261" s="58" t="e">
        <f>IF(LEN(VLOOKUP(AH261,A2:D500,4,FALSE))=0,,VLOOKUP(AH261,A2:D500,4,FALSE))</f>
        <v>#N/A</v>
      </c>
    </row>
    <row r="262" spans="9:35" ht="14" x14ac:dyDescent="0.3">
      <c r="I262" s="60">
        <f>'Generic Metadata Schema'!P392</f>
        <v>0</v>
      </c>
      <c r="J262" s="22" t="e">
        <f>IF(LEN(VLOOKUP(I262,A2:D500,4,FALSE))=0,"",VLOOKUP(I262,A2:D500,4,FALSE))</f>
        <v>#N/A</v>
      </c>
      <c r="L262" s="56">
        <f>'Dose-response Model'!O376</f>
        <v>0</v>
      </c>
      <c r="M262" s="22" t="e">
        <f>IF(LEN(VLOOKUP(L262,A2:D500,4,FALSE))=0,,VLOOKUP(L262,A2:D500,4,FALSE))</f>
        <v>#N/A</v>
      </c>
      <c r="N262" s="22">
        <f>'Exposure Model'!O393</f>
        <v>0</v>
      </c>
      <c r="O262" s="22" t="e">
        <f>IF(LEN(VLOOKUP(N262,A2:D500,4,FALSE))=0,,VLOOKUP(N262,A2:D500,4,FALSE))</f>
        <v>#N/A</v>
      </c>
      <c r="P262" s="56">
        <f>'QRA Models'!Q393</f>
        <v>0</v>
      </c>
      <c r="Q262" s="22" t="e">
        <f>IF(LEN(VLOOKUP(P262,A2:D500,4,FALSE))=0,,VLOOKUP(P262,A2:D500,4,FALSE))</f>
        <v>#N/A</v>
      </c>
      <c r="R262" s="56">
        <f>'Health metrics Models'!Q376</f>
        <v>0</v>
      </c>
      <c r="S262" s="22" t="e">
        <f>IF(LEN(VLOOKUP(R262,A2:D500,4,FALSE))=0,,VLOOKUP(R262,A2:D500,4,FALSE))</f>
        <v>#N/A</v>
      </c>
      <c r="T262" s="56">
        <f>'Process Model'!P374</f>
        <v>0</v>
      </c>
      <c r="U262" s="22" t="e">
        <f>IF(LEN(VLOOKUP(T262,A2:D500,4,FALSE))=0,,VLOOKUP(T262,A2:D500,4,FALSE))</f>
        <v>#N/A</v>
      </c>
      <c r="V262" s="56">
        <f>'Toxicological reference value M'!P376</f>
        <v>0</v>
      </c>
      <c r="W262" s="22" t="e">
        <f>IF(LEN(VLOOKUP(V262,A2:D500,4,FALSE))=0,,VLOOKUP(V262,A2:D500,4,FALSE))</f>
        <v>#N/A</v>
      </c>
      <c r="Y262" s="56">
        <f>'Other Empirical Model'!P387</f>
        <v>0</v>
      </c>
      <c r="Z262" s="22" t="e">
        <f>IF(LEN(VLOOKUP(Y262,A2:D500,4,FALSE))=0,,VLOOKUP(Y262,A2:D500,4,FALSE))</f>
        <v>#N/A</v>
      </c>
      <c r="AA262" s="56">
        <f>'Predictive Model'!P374</f>
        <v>0</v>
      </c>
      <c r="AB262" s="22" t="e">
        <f>IF(LEN(VLOOKUP(AA262,A2:D500,4,FALSE))=0,,VLOOKUP(AA262,A2:D500,4,FALSE))</f>
        <v>#N/A</v>
      </c>
      <c r="AC262" s="56">
        <f>'Consumption Model'!P379</f>
        <v>0</v>
      </c>
      <c r="AD262" s="22" t="e">
        <f>IF(LEN(VLOOKUP(AC262,A2:D500,4,FALSE))=0,,VLOOKUP(AC262,A2:D500,4,FALSE))</f>
        <v>#N/A</v>
      </c>
      <c r="AE262" s="22">
        <f>'(Data)'!Q375</f>
        <v>0</v>
      </c>
      <c r="AF262" s="22" t="e">
        <f>IF(LEN(VLOOKUP(AE261:AE262,A2:D500,4,FALSE))=0,,VLOOKUP(AE261:AE262,A2:D500,4,FALSE))</f>
        <v>#N/A</v>
      </c>
      <c r="AH262" s="45">
        <f>'Risk Charact Model'!P393</f>
        <v>0</v>
      </c>
      <c r="AI262" s="58" t="e">
        <f>IF(LEN(VLOOKUP(AH262,A2:D500,4,FALSE))=0,,VLOOKUP(AH262,A2:D500,4,FALSE))</f>
        <v>#N/A</v>
      </c>
    </row>
    <row r="263" spans="9:35" ht="14" x14ac:dyDescent="0.3">
      <c r="I263" s="60">
        <f>'Generic Metadata Schema'!P393</f>
        <v>0</v>
      </c>
      <c r="J263" s="22" t="e">
        <f>IF(LEN(VLOOKUP(I263,A2:D500,4,FALSE))=0,"",VLOOKUP(I263,A2:D500,4,FALSE))</f>
        <v>#N/A</v>
      </c>
      <c r="L263" s="56">
        <f>'Dose-response Model'!O377</f>
        <v>0</v>
      </c>
      <c r="M263" s="22" t="e">
        <f>IF(LEN(VLOOKUP(L263,A2:D500,4,FALSE))=0,,VLOOKUP(L263,A2:D500,4,FALSE))</f>
        <v>#N/A</v>
      </c>
      <c r="N263" s="22">
        <f>'Exposure Model'!O394</f>
        <v>0</v>
      </c>
      <c r="O263" s="22" t="e">
        <f>IF(LEN(VLOOKUP(N263,A2:D500,4,FALSE))=0,,VLOOKUP(N263,A2:D500,4,FALSE))</f>
        <v>#N/A</v>
      </c>
      <c r="P263" s="56">
        <f>'QRA Models'!Q394</f>
        <v>0</v>
      </c>
      <c r="Q263" s="22" t="e">
        <f>IF(LEN(VLOOKUP(P263,A2:D500,4,FALSE))=0,,VLOOKUP(P263,A2:D500,4,FALSE))</f>
        <v>#N/A</v>
      </c>
      <c r="R263" s="56">
        <f>'Health metrics Models'!Q377</f>
        <v>0</v>
      </c>
      <c r="S263" s="22" t="e">
        <f>IF(LEN(VLOOKUP(R263,A2:D500,4,FALSE))=0,,VLOOKUP(R263,A2:D500,4,FALSE))</f>
        <v>#N/A</v>
      </c>
      <c r="T263" s="56">
        <f>'Process Model'!P375</f>
        <v>0</v>
      </c>
      <c r="U263" s="22" t="e">
        <f>IF(LEN(VLOOKUP(T263,A2:D500,4,FALSE))=0,,VLOOKUP(T263,A2:D500,4,FALSE))</f>
        <v>#N/A</v>
      </c>
      <c r="V263" s="56">
        <f>'Toxicological reference value M'!P377</f>
        <v>0</v>
      </c>
      <c r="W263" s="22" t="e">
        <f>IF(LEN(VLOOKUP(V263,A2:D500,4,FALSE))=0,,VLOOKUP(V263,A2:D500,4,FALSE))</f>
        <v>#N/A</v>
      </c>
      <c r="Y263" s="56">
        <f>'Other Empirical Model'!P388</f>
        <v>0</v>
      </c>
      <c r="Z263" s="22" t="e">
        <f>IF(LEN(VLOOKUP(Y263,A2:D500,4,FALSE))=0,,VLOOKUP(Y263,A2:D500,4,FALSE))</f>
        <v>#N/A</v>
      </c>
      <c r="AA263" s="56">
        <f>'Predictive Model'!P375</f>
        <v>0</v>
      </c>
      <c r="AB263" s="22" t="e">
        <f>IF(LEN(VLOOKUP(AA263,A2:D500,4,FALSE))=0,,VLOOKUP(AA263,A2:D500,4,FALSE))</f>
        <v>#N/A</v>
      </c>
      <c r="AC263" s="56">
        <f>'Consumption Model'!P380</f>
        <v>0</v>
      </c>
      <c r="AD263" s="22" t="e">
        <f>IF(LEN(VLOOKUP(AC263,A2:D500,4,FALSE))=0,,VLOOKUP(AC263,A2:D500,4,FALSE))</f>
        <v>#N/A</v>
      </c>
      <c r="AE263" s="22">
        <f>'(Data)'!Q376</f>
        <v>0</v>
      </c>
      <c r="AF263" s="22" t="e">
        <f>IF(LEN(VLOOKUP(AE262:AE263,A2:D500,4,FALSE))=0,,VLOOKUP(AE262:AE263,A2:D500,4,FALSE))</f>
        <v>#N/A</v>
      </c>
      <c r="AH263" s="45">
        <f>'Risk Charact Model'!P394</f>
        <v>0</v>
      </c>
      <c r="AI263" s="58" t="e">
        <f>IF(LEN(VLOOKUP(AH263,A2:D500,4,FALSE))=0,,VLOOKUP(AH263,A2:D500,4,FALSE))</f>
        <v>#N/A</v>
      </c>
    </row>
    <row r="264" spans="9:35" ht="14" x14ac:dyDescent="0.3">
      <c r="I264" s="60">
        <f>'Generic Metadata Schema'!P394</f>
        <v>0</v>
      </c>
      <c r="J264" s="22" t="e">
        <f>IF(LEN(VLOOKUP(I264,A2:D500,4,FALSE))=0,"",VLOOKUP(I264,A2:D500,4,FALSE))</f>
        <v>#N/A</v>
      </c>
      <c r="L264" s="56">
        <f>'Dose-response Model'!O378</f>
        <v>0</v>
      </c>
      <c r="M264" s="22" t="e">
        <f>IF(LEN(VLOOKUP(L264,A2:D500,4,FALSE))=0,,VLOOKUP(L264,A2:D500,4,FALSE))</f>
        <v>#N/A</v>
      </c>
      <c r="N264" s="22">
        <f>'Exposure Model'!O395</f>
        <v>0</v>
      </c>
      <c r="O264" s="22" t="e">
        <f>IF(LEN(VLOOKUP(N264,A2:D500,4,FALSE))=0,,VLOOKUP(N264,A2:D500,4,FALSE))</f>
        <v>#N/A</v>
      </c>
      <c r="P264" s="56">
        <f>'QRA Models'!Q395</f>
        <v>0</v>
      </c>
      <c r="Q264" s="22" t="e">
        <f>IF(LEN(VLOOKUP(P264,A2:D500,4,FALSE))=0,,VLOOKUP(P264,A2:D500,4,FALSE))</f>
        <v>#N/A</v>
      </c>
      <c r="R264" s="56">
        <f>'Health metrics Models'!Q378</f>
        <v>0</v>
      </c>
      <c r="S264" s="22" t="e">
        <f>IF(LEN(VLOOKUP(R264,A2:D500,4,FALSE))=0,,VLOOKUP(R264,A2:D500,4,FALSE))</f>
        <v>#N/A</v>
      </c>
      <c r="T264" s="56">
        <f>'Process Model'!P376</f>
        <v>0</v>
      </c>
      <c r="U264" s="22" t="e">
        <f>IF(LEN(VLOOKUP(T264,A2:D500,4,FALSE))=0,,VLOOKUP(T264,A2:D500,4,FALSE))</f>
        <v>#N/A</v>
      </c>
      <c r="V264" s="56">
        <f>'Toxicological reference value M'!P378</f>
        <v>0</v>
      </c>
      <c r="W264" s="22" t="e">
        <f>IF(LEN(VLOOKUP(V264,A2:D500,4,FALSE))=0,,VLOOKUP(V264,A2:D500,4,FALSE))</f>
        <v>#N/A</v>
      </c>
      <c r="Y264" s="56">
        <f>'Other Empirical Model'!P389</f>
        <v>0</v>
      </c>
      <c r="Z264" s="22" t="e">
        <f>IF(LEN(VLOOKUP(Y264,A2:D500,4,FALSE))=0,,VLOOKUP(Y264,A2:D500,4,FALSE))</f>
        <v>#N/A</v>
      </c>
      <c r="AA264" s="56">
        <f>'Predictive Model'!P376</f>
        <v>0</v>
      </c>
      <c r="AB264" s="22" t="e">
        <f>IF(LEN(VLOOKUP(AA264,A2:D500,4,FALSE))=0,,VLOOKUP(AA264,A2:D500,4,FALSE))</f>
        <v>#N/A</v>
      </c>
      <c r="AC264" s="56">
        <f>'Consumption Model'!P381</f>
        <v>0</v>
      </c>
      <c r="AD264" s="22" t="e">
        <f>IF(LEN(VLOOKUP(AC264,A2:D500,4,FALSE))=0,,VLOOKUP(AC264,A2:D500,4,FALSE))</f>
        <v>#N/A</v>
      </c>
      <c r="AE264" s="22">
        <f>'(Data)'!Q377</f>
        <v>0</v>
      </c>
      <c r="AF264" s="22" t="e">
        <f>IF(LEN(VLOOKUP(AE263:AE264,A2:D500,4,FALSE))=0,,VLOOKUP(AE263:AE264,A2:D500,4,FALSE))</f>
        <v>#N/A</v>
      </c>
      <c r="AH264" s="45">
        <f>'Risk Charact Model'!P395</f>
        <v>0</v>
      </c>
      <c r="AI264" s="58" t="e">
        <f>IF(LEN(VLOOKUP(AH264,A2:D500,4,FALSE))=0,,VLOOKUP(AH264,A2:D500,4,FALSE))</f>
        <v>#N/A</v>
      </c>
    </row>
    <row r="265" spans="9:35" ht="14" x14ac:dyDescent="0.3">
      <c r="I265" s="60">
        <f>'Generic Metadata Schema'!P395</f>
        <v>0</v>
      </c>
      <c r="J265" s="22" t="e">
        <f>IF(LEN(VLOOKUP(I265,A2:D500,4,FALSE))=0,"",VLOOKUP(I265,A2:D500,4,FALSE))</f>
        <v>#N/A</v>
      </c>
      <c r="L265" s="56">
        <f>'Dose-response Model'!O379</f>
        <v>0</v>
      </c>
      <c r="M265" s="22" t="e">
        <f>IF(LEN(VLOOKUP(L265,A2:D500,4,FALSE))=0,,VLOOKUP(L265,A2:D500,4,FALSE))</f>
        <v>#N/A</v>
      </c>
      <c r="N265" s="22">
        <f>'Exposure Model'!O396</f>
        <v>0</v>
      </c>
      <c r="O265" s="22" t="e">
        <f>IF(LEN(VLOOKUP(N265,A2:D500,4,FALSE))=0,,VLOOKUP(N265,A2:D500,4,FALSE))</f>
        <v>#N/A</v>
      </c>
      <c r="P265" s="56">
        <f>'QRA Models'!Q396</f>
        <v>0</v>
      </c>
      <c r="Q265" s="22" t="e">
        <f>IF(LEN(VLOOKUP(P265,A2:D500,4,FALSE))=0,,VLOOKUP(P265,A2:D500,4,FALSE))</f>
        <v>#N/A</v>
      </c>
      <c r="R265" s="56">
        <f>'Health metrics Models'!Q379</f>
        <v>0</v>
      </c>
      <c r="S265" s="22" t="e">
        <f>IF(LEN(VLOOKUP(R265,A2:D500,4,FALSE))=0,,VLOOKUP(R265,A2:D500,4,FALSE))</f>
        <v>#N/A</v>
      </c>
      <c r="T265" s="56">
        <f>'Process Model'!P377</f>
        <v>0</v>
      </c>
      <c r="U265" s="22" t="e">
        <f>IF(LEN(VLOOKUP(T265,A2:D500,4,FALSE))=0,,VLOOKUP(T265,A2:D500,4,FALSE))</f>
        <v>#N/A</v>
      </c>
      <c r="V265" s="56">
        <f>'Toxicological reference value M'!P379</f>
        <v>0</v>
      </c>
      <c r="W265" s="22" t="e">
        <f>IF(LEN(VLOOKUP(V265,A2:D500,4,FALSE))=0,,VLOOKUP(V265,A2:D500,4,FALSE))</f>
        <v>#N/A</v>
      </c>
      <c r="Y265" s="56">
        <f>'Other Empirical Model'!P390</f>
        <v>0</v>
      </c>
      <c r="Z265" s="22" t="e">
        <f>IF(LEN(VLOOKUP(Y265,A2:D500,4,FALSE))=0,,VLOOKUP(Y265,A2:D500,4,FALSE))</f>
        <v>#N/A</v>
      </c>
      <c r="AA265" s="56">
        <f>'Predictive Model'!P377</f>
        <v>0</v>
      </c>
      <c r="AB265" s="22" t="e">
        <f>IF(LEN(VLOOKUP(AA265,A2:D500,4,FALSE))=0,,VLOOKUP(AA265,A2:D500,4,FALSE))</f>
        <v>#N/A</v>
      </c>
      <c r="AC265" s="56">
        <f>'Consumption Model'!P382</f>
        <v>0</v>
      </c>
      <c r="AD265" s="22" t="e">
        <f>IF(LEN(VLOOKUP(AC265,A2:D500,4,FALSE))=0,,VLOOKUP(AC265,A2:D500,4,FALSE))</f>
        <v>#N/A</v>
      </c>
      <c r="AE265" s="22">
        <f>'(Data)'!Q378</f>
        <v>0</v>
      </c>
      <c r="AF265" s="22" t="e">
        <f>IF(LEN(VLOOKUP(AE264:AE265,A2:D500,4,FALSE))=0,,VLOOKUP(AE264:AE265,A2:D500,4,FALSE))</f>
        <v>#N/A</v>
      </c>
      <c r="AH265" s="45">
        <f>'Risk Charact Model'!P396</f>
        <v>0</v>
      </c>
      <c r="AI265" s="58" t="e">
        <f>IF(LEN(VLOOKUP(AH265,A2:D500,4,FALSE))=0,,VLOOKUP(AH265,A2:D500,4,FALSE))</f>
        <v>#N/A</v>
      </c>
    </row>
    <row r="266" spans="9:35" ht="14" x14ac:dyDescent="0.3">
      <c r="I266" s="60">
        <f>'Generic Metadata Schema'!P396</f>
        <v>0</v>
      </c>
      <c r="J266" s="22" t="e">
        <f>IF(LEN(VLOOKUP(I266,A2:D500,4,FALSE))=0,"",VLOOKUP(I266,A2:D500,4,FALSE))</f>
        <v>#N/A</v>
      </c>
      <c r="L266" s="56">
        <f>'Dose-response Model'!O380</f>
        <v>0</v>
      </c>
      <c r="M266" s="22" t="e">
        <f>IF(LEN(VLOOKUP(L266,A2:D500,4,FALSE))=0,,VLOOKUP(L266,A2:D500,4,FALSE))</f>
        <v>#N/A</v>
      </c>
      <c r="N266" s="22">
        <f>'Exposure Model'!O397</f>
        <v>0</v>
      </c>
      <c r="O266" s="22" t="e">
        <f>IF(LEN(VLOOKUP(N266,A2:D500,4,FALSE))=0,,VLOOKUP(N266,A2:D500,4,FALSE))</f>
        <v>#N/A</v>
      </c>
      <c r="P266" s="56">
        <f>'QRA Models'!Q397</f>
        <v>0</v>
      </c>
      <c r="Q266" s="22" t="e">
        <f>IF(LEN(VLOOKUP(P266,A2:D500,4,FALSE))=0,,VLOOKUP(P266,A2:D500,4,FALSE))</f>
        <v>#N/A</v>
      </c>
      <c r="R266" s="56">
        <f>'Health metrics Models'!Q380</f>
        <v>0</v>
      </c>
      <c r="S266" s="22" t="e">
        <f>IF(LEN(VLOOKUP(R266,A2:D500,4,FALSE))=0,,VLOOKUP(R266,A2:D500,4,FALSE))</f>
        <v>#N/A</v>
      </c>
      <c r="T266" s="56">
        <f>'Process Model'!P378</f>
        <v>0</v>
      </c>
      <c r="U266" s="22" t="e">
        <f>IF(LEN(VLOOKUP(T266,A2:D500,4,FALSE))=0,,VLOOKUP(T266,A2:D500,4,FALSE))</f>
        <v>#N/A</v>
      </c>
      <c r="V266" s="56">
        <f>'Toxicological reference value M'!P380</f>
        <v>0</v>
      </c>
      <c r="W266" s="22" t="e">
        <f>IF(LEN(VLOOKUP(V266,A2:D500,4,FALSE))=0,,VLOOKUP(V266,A2:D500,4,FALSE))</f>
        <v>#N/A</v>
      </c>
      <c r="Y266" s="56">
        <f>'Other Empirical Model'!P391</f>
        <v>0</v>
      </c>
      <c r="Z266" s="22" t="e">
        <f>IF(LEN(VLOOKUP(Y266,A2:D500,4,FALSE))=0,,VLOOKUP(Y266,A2:D500,4,FALSE))</f>
        <v>#N/A</v>
      </c>
      <c r="AA266" s="56">
        <f>'Predictive Model'!P378</f>
        <v>0</v>
      </c>
      <c r="AB266" s="22" t="e">
        <f>IF(LEN(VLOOKUP(AA266,A2:D500,4,FALSE))=0,,VLOOKUP(AA266,A2:D500,4,FALSE))</f>
        <v>#N/A</v>
      </c>
      <c r="AC266" s="56">
        <f>'Consumption Model'!P383</f>
        <v>0</v>
      </c>
      <c r="AD266" s="22" t="e">
        <f>IF(LEN(VLOOKUP(AC266,A2:D500,4,FALSE))=0,,VLOOKUP(AC266,A2:D500,4,FALSE))</f>
        <v>#N/A</v>
      </c>
      <c r="AE266" s="22">
        <f>'(Data)'!Q379</f>
        <v>0</v>
      </c>
      <c r="AF266" s="22" t="e">
        <f>IF(LEN(VLOOKUP(AE265:AE266,A2:D500,4,FALSE))=0,,VLOOKUP(AE265:AE266,A2:D500,4,FALSE))</f>
        <v>#N/A</v>
      </c>
      <c r="AH266" s="45">
        <f>'Risk Charact Model'!P397</f>
        <v>0</v>
      </c>
      <c r="AI266" s="58" t="e">
        <f>IF(LEN(VLOOKUP(AH266,A2:D500,4,FALSE))=0,,VLOOKUP(AH266,A2:D500,4,FALSE))</f>
        <v>#N/A</v>
      </c>
    </row>
    <row r="267" spans="9:35" ht="14" x14ac:dyDescent="0.3">
      <c r="I267" s="60">
        <f>'Generic Metadata Schema'!P397</f>
        <v>0</v>
      </c>
      <c r="J267" s="22" t="e">
        <f>IF(LEN(VLOOKUP(I267,A2:D500,4,FALSE))=0,"",VLOOKUP(I267,A2:D500,4,FALSE))</f>
        <v>#N/A</v>
      </c>
      <c r="L267" s="56">
        <f>'Dose-response Model'!O381</f>
        <v>0</v>
      </c>
      <c r="M267" s="22" t="e">
        <f>IF(LEN(VLOOKUP(L267,A2:D500,4,FALSE))=0,,VLOOKUP(L267,A2:D500,4,FALSE))</f>
        <v>#N/A</v>
      </c>
      <c r="N267" s="22">
        <f>'Exposure Model'!O398</f>
        <v>0</v>
      </c>
      <c r="O267" s="22" t="e">
        <f>IF(LEN(VLOOKUP(N267,A2:D500,4,FALSE))=0,,VLOOKUP(N267,A2:D500,4,FALSE))</f>
        <v>#N/A</v>
      </c>
      <c r="P267" s="56">
        <f>'QRA Models'!Q398</f>
        <v>0</v>
      </c>
      <c r="Q267" s="22" t="e">
        <f>IF(LEN(VLOOKUP(P267,A2:D500,4,FALSE))=0,,VLOOKUP(P267,A2:D500,4,FALSE))</f>
        <v>#N/A</v>
      </c>
      <c r="R267" s="56">
        <f>'Health metrics Models'!Q381</f>
        <v>0</v>
      </c>
      <c r="S267" s="22" t="e">
        <f>IF(LEN(VLOOKUP(R267,A2:D500,4,FALSE))=0,,VLOOKUP(R267,A2:D500,4,FALSE))</f>
        <v>#N/A</v>
      </c>
      <c r="T267" s="56">
        <f>'Process Model'!P379</f>
        <v>0</v>
      </c>
      <c r="U267" s="22" t="e">
        <f>IF(LEN(VLOOKUP(T267,A2:D500,4,FALSE))=0,,VLOOKUP(T267,A2:D500,4,FALSE))</f>
        <v>#N/A</v>
      </c>
      <c r="V267" s="56">
        <f>'Toxicological reference value M'!P381</f>
        <v>0</v>
      </c>
      <c r="W267" s="22" t="e">
        <f>IF(LEN(VLOOKUP(V267,A2:D500,4,FALSE))=0,,VLOOKUP(V267,A2:D500,4,FALSE))</f>
        <v>#N/A</v>
      </c>
      <c r="Y267" s="56">
        <f>'Other Empirical Model'!P392</f>
        <v>0</v>
      </c>
      <c r="Z267" s="22" t="e">
        <f>IF(LEN(VLOOKUP(Y267,A2:D500,4,FALSE))=0,,VLOOKUP(Y267,A2:D500,4,FALSE))</f>
        <v>#N/A</v>
      </c>
      <c r="AA267" s="56">
        <f>'Predictive Model'!P379</f>
        <v>0</v>
      </c>
      <c r="AB267" s="22" t="e">
        <f>IF(LEN(VLOOKUP(AA267,A2:D500,4,FALSE))=0,,VLOOKUP(AA267,A2:D500,4,FALSE))</f>
        <v>#N/A</v>
      </c>
      <c r="AC267" s="56">
        <f>'Consumption Model'!P384</f>
        <v>0</v>
      </c>
      <c r="AD267" s="22" t="e">
        <f>IF(LEN(VLOOKUP(AC267,A2:D500,4,FALSE))=0,,VLOOKUP(AC267,A2:D500,4,FALSE))</f>
        <v>#N/A</v>
      </c>
      <c r="AE267" s="22">
        <f>'(Data)'!Q380</f>
        <v>0</v>
      </c>
      <c r="AF267" s="22" t="e">
        <f>IF(LEN(VLOOKUP(AE266:AE267,A2:D500,4,FALSE))=0,,VLOOKUP(AE266:AE267,A2:D500,4,FALSE))</f>
        <v>#N/A</v>
      </c>
      <c r="AH267" s="45">
        <f>'Risk Charact Model'!P398</f>
        <v>0</v>
      </c>
      <c r="AI267" s="58" t="e">
        <f>IF(LEN(VLOOKUP(AH267,A2:D500,4,FALSE))=0,,VLOOKUP(AH267,A2:D500,4,FALSE))</f>
        <v>#N/A</v>
      </c>
    </row>
    <row r="268" spans="9:35" ht="14" x14ac:dyDescent="0.3">
      <c r="I268" s="60">
        <f>'Generic Metadata Schema'!P398</f>
        <v>0</v>
      </c>
      <c r="J268" s="22" t="e">
        <f>IF(LEN(VLOOKUP(I268,A2:D500,4,FALSE))=0,"",VLOOKUP(I268,A2:D500,4,FALSE))</f>
        <v>#N/A</v>
      </c>
      <c r="L268" s="56">
        <f>'Dose-response Model'!O382</f>
        <v>0</v>
      </c>
      <c r="M268" s="22" t="e">
        <f>IF(LEN(VLOOKUP(L268,A2:D500,4,FALSE))=0,,VLOOKUP(L268,A2:D500,4,FALSE))</f>
        <v>#N/A</v>
      </c>
      <c r="N268" s="22">
        <f>'Exposure Model'!O399</f>
        <v>0</v>
      </c>
      <c r="O268" s="22" t="e">
        <f>IF(LEN(VLOOKUP(N268,A2:D500,4,FALSE))=0,,VLOOKUP(N268,A2:D500,4,FALSE))</f>
        <v>#N/A</v>
      </c>
      <c r="P268" s="56">
        <f>'QRA Models'!Q399</f>
        <v>0</v>
      </c>
      <c r="Q268" s="22" t="e">
        <f>IF(LEN(VLOOKUP(P268,A2:D500,4,FALSE))=0,,VLOOKUP(P268,A2:D500,4,FALSE))</f>
        <v>#N/A</v>
      </c>
      <c r="R268" s="56">
        <f>'Health metrics Models'!Q382</f>
        <v>0</v>
      </c>
      <c r="S268" s="22" t="e">
        <f>IF(LEN(VLOOKUP(R268,A2:D500,4,FALSE))=0,,VLOOKUP(R268,A2:D500,4,FALSE))</f>
        <v>#N/A</v>
      </c>
      <c r="T268" s="56">
        <f>'Process Model'!P380</f>
        <v>0</v>
      </c>
      <c r="U268" s="22" t="e">
        <f>IF(LEN(VLOOKUP(T268,A2:D500,4,FALSE))=0,,VLOOKUP(T268,A2:D500,4,FALSE))</f>
        <v>#N/A</v>
      </c>
      <c r="V268" s="56">
        <f>'Toxicological reference value M'!P382</f>
        <v>0</v>
      </c>
      <c r="W268" s="22" t="e">
        <f>IF(LEN(VLOOKUP(V268,A2:D500,4,FALSE))=0,,VLOOKUP(V268,A2:D500,4,FALSE))</f>
        <v>#N/A</v>
      </c>
      <c r="Y268" s="56">
        <f>'Other Empirical Model'!P393</f>
        <v>0</v>
      </c>
      <c r="Z268" s="22" t="e">
        <f>IF(LEN(VLOOKUP(Y268,A2:D500,4,FALSE))=0,,VLOOKUP(Y268,A2:D500,4,FALSE))</f>
        <v>#N/A</v>
      </c>
      <c r="AA268" s="56">
        <f>'Predictive Model'!P380</f>
        <v>0</v>
      </c>
      <c r="AB268" s="22" t="e">
        <f>IF(LEN(VLOOKUP(AA268,A2:D500,4,FALSE))=0,,VLOOKUP(AA268,A2:D500,4,FALSE))</f>
        <v>#N/A</v>
      </c>
      <c r="AC268" s="56">
        <f>'Consumption Model'!P385</f>
        <v>0</v>
      </c>
      <c r="AD268" s="22" t="e">
        <f>IF(LEN(VLOOKUP(AC268,A2:D500,4,FALSE))=0,,VLOOKUP(AC268,A2:D500,4,FALSE))</f>
        <v>#N/A</v>
      </c>
      <c r="AE268" s="22">
        <f>'(Data)'!Q381</f>
        <v>0</v>
      </c>
      <c r="AF268" s="22" t="e">
        <f>IF(LEN(VLOOKUP(AE267:AE268,A2:D500,4,FALSE))=0,,VLOOKUP(AE267:AE268,A2:D500,4,FALSE))</f>
        <v>#N/A</v>
      </c>
      <c r="AH268" s="45">
        <f>'Risk Charact Model'!P399</f>
        <v>0</v>
      </c>
      <c r="AI268" s="58" t="e">
        <f>IF(LEN(VLOOKUP(AH268,A2:D500,4,FALSE))=0,,VLOOKUP(AH268,A2:D500,4,FALSE))</f>
        <v>#N/A</v>
      </c>
    </row>
    <row r="269" spans="9:35" ht="14" x14ac:dyDescent="0.3">
      <c r="I269" s="60">
        <f>'Generic Metadata Schema'!P399</f>
        <v>0</v>
      </c>
      <c r="J269" s="22" t="e">
        <f>IF(LEN(VLOOKUP(I269,A2:D500,4,FALSE))=0,"",VLOOKUP(I269,A2:D500,4,FALSE))</f>
        <v>#N/A</v>
      </c>
      <c r="L269" s="56">
        <f>'Dose-response Model'!O383</f>
        <v>0</v>
      </c>
      <c r="M269" s="22" t="e">
        <f>IF(LEN(VLOOKUP(L269,A2:D500,4,FALSE))=0,,VLOOKUP(L269,A2:D500,4,FALSE))</f>
        <v>#N/A</v>
      </c>
      <c r="N269" s="22">
        <f>'Exposure Model'!O400</f>
        <v>0</v>
      </c>
      <c r="O269" s="22" t="e">
        <f>IF(LEN(VLOOKUP(N269,A2:D500,4,FALSE))=0,,VLOOKUP(N269,A2:D500,4,FALSE))</f>
        <v>#N/A</v>
      </c>
      <c r="P269" s="56">
        <f>'QRA Models'!Q400</f>
        <v>0</v>
      </c>
      <c r="Q269" s="22" t="e">
        <f>IF(LEN(VLOOKUP(P269,A2:D500,4,FALSE))=0,,VLOOKUP(P269,A2:D500,4,FALSE))</f>
        <v>#N/A</v>
      </c>
      <c r="R269" s="56">
        <f>'Health metrics Models'!Q383</f>
        <v>0</v>
      </c>
      <c r="S269" s="22" t="e">
        <f>IF(LEN(VLOOKUP(R269,A2:D500,4,FALSE))=0,,VLOOKUP(R269,A2:D500,4,FALSE))</f>
        <v>#N/A</v>
      </c>
      <c r="T269" s="56">
        <f>'Process Model'!P381</f>
        <v>0</v>
      </c>
      <c r="U269" s="22" t="e">
        <f>IF(LEN(VLOOKUP(T269,A2:D500,4,FALSE))=0,,VLOOKUP(T269,A2:D500,4,FALSE))</f>
        <v>#N/A</v>
      </c>
      <c r="V269" s="56">
        <f>'Toxicological reference value M'!P383</f>
        <v>0</v>
      </c>
      <c r="W269" s="22" t="e">
        <f>IF(LEN(VLOOKUP(V269,A2:D500,4,FALSE))=0,,VLOOKUP(V269,A2:D500,4,FALSE))</f>
        <v>#N/A</v>
      </c>
      <c r="Y269" s="56">
        <f>'Other Empirical Model'!P394</f>
        <v>0</v>
      </c>
      <c r="Z269" s="22" t="e">
        <f>IF(LEN(VLOOKUP(Y269,A2:D500,4,FALSE))=0,,VLOOKUP(Y269,A2:D500,4,FALSE))</f>
        <v>#N/A</v>
      </c>
      <c r="AA269" s="56">
        <f>'Predictive Model'!P381</f>
        <v>0</v>
      </c>
      <c r="AB269" s="22" t="e">
        <f>IF(LEN(VLOOKUP(AA269,A2:D500,4,FALSE))=0,,VLOOKUP(AA269,A2:D500,4,FALSE))</f>
        <v>#N/A</v>
      </c>
      <c r="AC269" s="56">
        <f>'Consumption Model'!P386</f>
        <v>0</v>
      </c>
      <c r="AD269" s="22" t="e">
        <f>IF(LEN(VLOOKUP(AC269,A2:D500,4,FALSE))=0,,VLOOKUP(AC269,A2:D500,4,FALSE))</f>
        <v>#N/A</v>
      </c>
      <c r="AE269" s="22">
        <f>'(Data)'!Q382</f>
        <v>0</v>
      </c>
      <c r="AF269" s="22" t="e">
        <f>IF(LEN(VLOOKUP(AE268:AE269,A2:D500,4,FALSE))=0,,VLOOKUP(AE268:AE269,A2:D500,4,FALSE))</f>
        <v>#N/A</v>
      </c>
      <c r="AH269" s="45">
        <f>'Risk Charact Model'!P400</f>
        <v>0</v>
      </c>
      <c r="AI269" s="58" t="e">
        <f>IF(LEN(VLOOKUP(AH269,A2:D500,4,FALSE))=0,,VLOOKUP(AH269,A2:D500,4,FALSE))</f>
        <v>#N/A</v>
      </c>
    </row>
    <row r="270" spans="9:35" ht="14" x14ac:dyDescent="0.3">
      <c r="I270" s="60">
        <f>'Generic Metadata Schema'!P400</f>
        <v>0</v>
      </c>
      <c r="J270" s="22" t="e">
        <f>IF(LEN(VLOOKUP(I270,A2:D500,4,FALSE))=0,"",VLOOKUP(I270,A2:D500,4,FALSE))</f>
        <v>#N/A</v>
      </c>
      <c r="L270" s="56">
        <f>'Dose-response Model'!O384</f>
        <v>0</v>
      </c>
      <c r="M270" s="22" t="e">
        <f>IF(LEN(VLOOKUP(L270,A2:D500,4,FALSE))=0,,VLOOKUP(L270,A2:D500,4,FALSE))</f>
        <v>#N/A</v>
      </c>
      <c r="N270" s="22">
        <f>'Exposure Model'!O401</f>
        <v>0</v>
      </c>
      <c r="O270" s="22" t="e">
        <f>IF(LEN(VLOOKUP(N270,A2:D500,4,FALSE))=0,,VLOOKUP(N270,A2:D500,4,FALSE))</f>
        <v>#N/A</v>
      </c>
      <c r="P270" s="56">
        <f>'QRA Models'!Q401</f>
        <v>0</v>
      </c>
      <c r="Q270" s="22" t="e">
        <f>IF(LEN(VLOOKUP(P270,A2:D500,4,FALSE))=0,,VLOOKUP(P270,A2:D500,4,FALSE))</f>
        <v>#N/A</v>
      </c>
      <c r="R270" s="56">
        <f>'Health metrics Models'!Q384</f>
        <v>0</v>
      </c>
      <c r="S270" s="22" t="e">
        <f>IF(LEN(VLOOKUP(R270,A2:D500,4,FALSE))=0,,VLOOKUP(R270,A2:D500,4,FALSE))</f>
        <v>#N/A</v>
      </c>
      <c r="T270" s="56">
        <f>'Process Model'!P382</f>
        <v>0</v>
      </c>
      <c r="U270" s="22" t="e">
        <f>IF(LEN(VLOOKUP(T270,A2:D500,4,FALSE))=0,,VLOOKUP(T270,A2:D500,4,FALSE))</f>
        <v>#N/A</v>
      </c>
      <c r="V270" s="56">
        <f>'Toxicological reference value M'!P384</f>
        <v>0</v>
      </c>
      <c r="W270" s="22" t="e">
        <f>IF(LEN(VLOOKUP(V270,A2:D500,4,FALSE))=0,,VLOOKUP(V270,A2:D500,4,FALSE))</f>
        <v>#N/A</v>
      </c>
      <c r="Y270" s="56">
        <f>'Other Empirical Model'!P395</f>
        <v>0</v>
      </c>
      <c r="Z270" s="22" t="e">
        <f>IF(LEN(VLOOKUP(Y270,A2:D500,4,FALSE))=0,,VLOOKUP(Y270,A2:D500,4,FALSE))</f>
        <v>#N/A</v>
      </c>
      <c r="AA270" s="56">
        <f>'Predictive Model'!P382</f>
        <v>0</v>
      </c>
      <c r="AB270" s="22" t="e">
        <f>IF(LEN(VLOOKUP(AA270,A2:D500,4,FALSE))=0,,VLOOKUP(AA270,A2:D500,4,FALSE))</f>
        <v>#N/A</v>
      </c>
      <c r="AC270" s="56">
        <f>'Consumption Model'!P387</f>
        <v>0</v>
      </c>
      <c r="AD270" s="22" t="e">
        <f>IF(LEN(VLOOKUP(AC270,A2:D500,4,FALSE))=0,,VLOOKUP(AC270,A2:D500,4,FALSE))</f>
        <v>#N/A</v>
      </c>
      <c r="AE270" s="22">
        <f>'(Data)'!Q383</f>
        <v>0</v>
      </c>
      <c r="AF270" s="22" t="e">
        <f>IF(LEN(VLOOKUP(AE269:AE270,A2:D500,4,FALSE))=0,,VLOOKUP(AE269:AE270,A2:D500,4,FALSE))</f>
        <v>#N/A</v>
      </c>
      <c r="AH270" s="45">
        <f>'Risk Charact Model'!P401</f>
        <v>0</v>
      </c>
      <c r="AI270" s="58" t="e">
        <f>IF(LEN(VLOOKUP(AH270,A2:D500,4,FALSE))=0,,VLOOKUP(AH270,A2:D500,4,FALSE))</f>
        <v>#N/A</v>
      </c>
    </row>
    <row r="271" spans="9:35" ht="14" x14ac:dyDescent="0.3">
      <c r="I271" s="60">
        <f>'Generic Metadata Schema'!P401</f>
        <v>0</v>
      </c>
      <c r="J271" s="22" t="e">
        <f>IF(LEN(VLOOKUP(I271,A2:D500,4,FALSE))=0,"",VLOOKUP(I271,A2:D500,4,FALSE))</f>
        <v>#N/A</v>
      </c>
      <c r="L271" s="56">
        <f>'Dose-response Model'!O385</f>
        <v>0</v>
      </c>
      <c r="M271" s="22" t="e">
        <f>IF(LEN(VLOOKUP(L271,A2:D500,4,FALSE))=0,,VLOOKUP(L271,A2:D500,4,FALSE))</f>
        <v>#N/A</v>
      </c>
      <c r="N271" s="22">
        <f>'Exposure Model'!O402</f>
        <v>0</v>
      </c>
      <c r="O271" s="22" t="e">
        <f>IF(LEN(VLOOKUP(N271,A2:D500,4,FALSE))=0,,VLOOKUP(N271,A2:D500,4,FALSE))</f>
        <v>#N/A</v>
      </c>
      <c r="P271" s="56">
        <f>'QRA Models'!Q402</f>
        <v>0</v>
      </c>
      <c r="Q271" s="22" t="e">
        <f>IF(LEN(VLOOKUP(P271,A2:D500,4,FALSE))=0,,VLOOKUP(P271,A2:D500,4,FALSE))</f>
        <v>#N/A</v>
      </c>
      <c r="R271" s="56">
        <f>'Health metrics Models'!Q385</f>
        <v>0</v>
      </c>
      <c r="S271" s="22" t="e">
        <f>IF(LEN(VLOOKUP(R271,A2:D500,4,FALSE))=0,,VLOOKUP(R271,A2:D500,4,FALSE))</f>
        <v>#N/A</v>
      </c>
      <c r="T271" s="56">
        <f>'Process Model'!P383</f>
        <v>0</v>
      </c>
      <c r="U271" s="22" t="e">
        <f>IF(LEN(VLOOKUP(T271,A2:D500,4,FALSE))=0,,VLOOKUP(T271,A2:D500,4,FALSE))</f>
        <v>#N/A</v>
      </c>
      <c r="V271" s="56">
        <f>'Toxicological reference value M'!P385</f>
        <v>0</v>
      </c>
      <c r="W271" s="22" t="e">
        <f>IF(LEN(VLOOKUP(V271,A2:D500,4,FALSE))=0,,VLOOKUP(V271,A2:D500,4,FALSE))</f>
        <v>#N/A</v>
      </c>
      <c r="Y271" s="56">
        <f>'Other Empirical Model'!P396</f>
        <v>0</v>
      </c>
      <c r="Z271" s="22" t="e">
        <f>IF(LEN(VLOOKUP(Y271,A2:D500,4,FALSE))=0,,VLOOKUP(Y271,A2:D500,4,FALSE))</f>
        <v>#N/A</v>
      </c>
      <c r="AA271" s="56">
        <f>'Predictive Model'!P383</f>
        <v>0</v>
      </c>
      <c r="AB271" s="22" t="e">
        <f>IF(LEN(VLOOKUP(AA271,A2:D500,4,FALSE))=0,,VLOOKUP(AA271,A2:D500,4,FALSE))</f>
        <v>#N/A</v>
      </c>
      <c r="AC271" s="56">
        <f>'Consumption Model'!P388</f>
        <v>0</v>
      </c>
      <c r="AD271" s="22" t="e">
        <f>IF(LEN(VLOOKUP(AC271,A2:D500,4,FALSE))=0,,VLOOKUP(AC271,A2:D500,4,FALSE))</f>
        <v>#N/A</v>
      </c>
      <c r="AE271" s="22">
        <f>'(Data)'!Q384</f>
        <v>0</v>
      </c>
      <c r="AF271" s="22" t="e">
        <f>IF(LEN(VLOOKUP(AE270:AE271,A2:D500,4,FALSE))=0,,VLOOKUP(AE270:AE271,A2:D500,4,FALSE))</f>
        <v>#N/A</v>
      </c>
      <c r="AH271" s="45">
        <f>'Risk Charact Model'!P402</f>
        <v>0</v>
      </c>
      <c r="AI271" s="58" t="e">
        <f>IF(LEN(VLOOKUP(AH271,A2:D500,4,FALSE))=0,,VLOOKUP(AH271,A2:D500,4,FALSE))</f>
        <v>#N/A</v>
      </c>
    </row>
    <row r="272" spans="9:35" ht="14" x14ac:dyDescent="0.3">
      <c r="I272" s="60">
        <f>'Generic Metadata Schema'!P402</f>
        <v>0</v>
      </c>
      <c r="J272" s="22" t="e">
        <f>IF(LEN(VLOOKUP(I272,A2:D500,4,FALSE))=0,"",VLOOKUP(I272,A2:D500,4,FALSE))</f>
        <v>#N/A</v>
      </c>
      <c r="L272" s="56">
        <f>'Dose-response Model'!O386</f>
        <v>0</v>
      </c>
      <c r="M272" s="22" t="e">
        <f>IF(LEN(VLOOKUP(L272,A2:D500,4,FALSE))=0,,VLOOKUP(L272,A2:D500,4,FALSE))</f>
        <v>#N/A</v>
      </c>
      <c r="N272" s="22">
        <f>'Exposure Model'!O403</f>
        <v>0</v>
      </c>
      <c r="O272" s="22" t="e">
        <f>IF(LEN(VLOOKUP(N272,A2:D500,4,FALSE))=0,,VLOOKUP(N272,A2:D500,4,FALSE))</f>
        <v>#N/A</v>
      </c>
      <c r="P272" s="56">
        <f>'QRA Models'!Q403</f>
        <v>0</v>
      </c>
      <c r="Q272" s="22" t="e">
        <f>IF(LEN(VLOOKUP(P272,A2:D500,4,FALSE))=0,,VLOOKUP(P272,A2:D500,4,FALSE))</f>
        <v>#N/A</v>
      </c>
      <c r="R272" s="56">
        <f>'Health metrics Models'!Q386</f>
        <v>0</v>
      </c>
      <c r="S272" s="22" t="e">
        <f>IF(LEN(VLOOKUP(R272,A2:D500,4,FALSE))=0,,VLOOKUP(R272,A2:D500,4,FALSE))</f>
        <v>#N/A</v>
      </c>
      <c r="T272" s="56">
        <f>'Process Model'!P384</f>
        <v>0</v>
      </c>
      <c r="U272" s="22" t="e">
        <f>IF(LEN(VLOOKUP(T272,A2:D500,4,FALSE))=0,,VLOOKUP(T272,A2:D500,4,FALSE))</f>
        <v>#N/A</v>
      </c>
      <c r="V272" s="56">
        <f>'Toxicological reference value M'!P386</f>
        <v>0</v>
      </c>
      <c r="W272" s="22" t="e">
        <f>IF(LEN(VLOOKUP(V272,A2:D500,4,FALSE))=0,,VLOOKUP(V272,A2:D500,4,FALSE))</f>
        <v>#N/A</v>
      </c>
      <c r="Y272" s="56">
        <f>'Other Empirical Model'!P397</f>
        <v>0</v>
      </c>
      <c r="Z272" s="22" t="e">
        <f>IF(LEN(VLOOKUP(Y272,A2:D500,4,FALSE))=0,,VLOOKUP(Y272,A2:D500,4,FALSE))</f>
        <v>#N/A</v>
      </c>
      <c r="AA272" s="56">
        <f>'Predictive Model'!P384</f>
        <v>0</v>
      </c>
      <c r="AB272" s="22" t="e">
        <f>IF(LEN(VLOOKUP(AA272,A2:D500,4,FALSE))=0,,VLOOKUP(AA272,A2:D500,4,FALSE))</f>
        <v>#N/A</v>
      </c>
      <c r="AC272" s="56">
        <f>'Consumption Model'!P389</f>
        <v>0</v>
      </c>
      <c r="AD272" s="22" t="e">
        <f>IF(LEN(VLOOKUP(AC272,A2:D500,4,FALSE))=0,,VLOOKUP(AC272,A2:D500,4,FALSE))</f>
        <v>#N/A</v>
      </c>
      <c r="AE272" s="22">
        <f>'(Data)'!Q385</f>
        <v>0</v>
      </c>
      <c r="AF272" s="22" t="e">
        <f>IF(LEN(VLOOKUP(AE271:AE272,A2:D500,4,FALSE))=0,,VLOOKUP(AE271:AE272,A2:D500,4,FALSE))</f>
        <v>#N/A</v>
      </c>
      <c r="AH272" s="45">
        <f>'Risk Charact Model'!P403</f>
        <v>0</v>
      </c>
      <c r="AI272" s="58" t="e">
        <f>IF(LEN(VLOOKUP(AH272,A2:D500,4,FALSE))=0,,VLOOKUP(AH272,A2:D500,4,FALSE))</f>
        <v>#N/A</v>
      </c>
    </row>
    <row r="273" spans="9:35" ht="14" x14ac:dyDescent="0.3">
      <c r="I273" s="60">
        <f>'Generic Metadata Schema'!P403</f>
        <v>0</v>
      </c>
      <c r="J273" s="22" t="e">
        <f>IF(LEN(VLOOKUP(I273,A2:D500,4,FALSE))=0,"",VLOOKUP(I273,A2:D500,4,FALSE))</f>
        <v>#N/A</v>
      </c>
      <c r="L273" s="56">
        <f>'Dose-response Model'!O387</f>
        <v>0</v>
      </c>
      <c r="M273" s="22" t="e">
        <f>IF(LEN(VLOOKUP(L273,A2:D500,4,FALSE))=0,,VLOOKUP(L273,A2:D500,4,FALSE))</f>
        <v>#N/A</v>
      </c>
      <c r="N273" s="22">
        <f>'Exposure Model'!O404</f>
        <v>0</v>
      </c>
      <c r="O273" s="22" t="e">
        <f>IF(LEN(VLOOKUP(N273,A2:D500,4,FALSE))=0,,VLOOKUP(N273,A2:D500,4,FALSE))</f>
        <v>#N/A</v>
      </c>
      <c r="P273" s="56">
        <f>'QRA Models'!Q404</f>
        <v>0</v>
      </c>
      <c r="Q273" s="22" t="e">
        <f>IF(LEN(VLOOKUP(P273,A2:D500,4,FALSE))=0,,VLOOKUP(P273,A2:D500,4,FALSE))</f>
        <v>#N/A</v>
      </c>
      <c r="R273" s="56">
        <f>'Health metrics Models'!Q387</f>
        <v>0</v>
      </c>
      <c r="S273" s="22" t="e">
        <f>IF(LEN(VLOOKUP(R273,A2:D500,4,FALSE))=0,,VLOOKUP(R273,A2:D500,4,FALSE))</f>
        <v>#N/A</v>
      </c>
      <c r="T273" s="56">
        <f>'Process Model'!P385</f>
        <v>0</v>
      </c>
      <c r="U273" s="22" t="e">
        <f>IF(LEN(VLOOKUP(T273,A2:D500,4,FALSE))=0,,VLOOKUP(T273,A2:D500,4,FALSE))</f>
        <v>#N/A</v>
      </c>
      <c r="V273" s="56">
        <f>'Toxicological reference value M'!P387</f>
        <v>0</v>
      </c>
      <c r="W273" s="22" t="e">
        <f>IF(LEN(VLOOKUP(V273,A2:D500,4,FALSE))=0,,VLOOKUP(V273,A2:D500,4,FALSE))</f>
        <v>#N/A</v>
      </c>
      <c r="Y273" s="56">
        <f>'Other Empirical Model'!P398</f>
        <v>0</v>
      </c>
      <c r="Z273" s="22" t="e">
        <f>IF(LEN(VLOOKUP(Y273,A2:D500,4,FALSE))=0,,VLOOKUP(Y273,A2:D500,4,FALSE))</f>
        <v>#N/A</v>
      </c>
      <c r="AA273" s="56">
        <f>'Predictive Model'!P385</f>
        <v>0</v>
      </c>
      <c r="AB273" s="22" t="e">
        <f>IF(LEN(VLOOKUP(AA273,A2:D500,4,FALSE))=0,,VLOOKUP(AA273,A2:D500,4,FALSE))</f>
        <v>#N/A</v>
      </c>
      <c r="AC273" s="56">
        <f>'Consumption Model'!P390</f>
        <v>0</v>
      </c>
      <c r="AD273" s="22" t="e">
        <f>IF(LEN(VLOOKUP(AC273,A2:D500,4,FALSE))=0,,VLOOKUP(AC273,A2:D500,4,FALSE))</f>
        <v>#N/A</v>
      </c>
      <c r="AE273" s="22">
        <f>'(Data)'!Q386</f>
        <v>0</v>
      </c>
      <c r="AF273" s="22" t="e">
        <f>IF(LEN(VLOOKUP(AE272:AE273,A2:D500,4,FALSE))=0,,VLOOKUP(AE272:AE273,A2:D500,4,FALSE))</f>
        <v>#N/A</v>
      </c>
      <c r="AH273" s="45">
        <f>'Risk Charact Model'!P404</f>
        <v>0</v>
      </c>
      <c r="AI273" s="58" t="e">
        <f>IF(LEN(VLOOKUP(AH273,A2:D500,4,FALSE))=0,,VLOOKUP(AH273,A2:D500,4,FALSE))</f>
        <v>#N/A</v>
      </c>
    </row>
    <row r="274" spans="9:35" ht="14" x14ac:dyDescent="0.3">
      <c r="I274" s="60">
        <f>'Generic Metadata Schema'!P404</f>
        <v>0</v>
      </c>
      <c r="J274" s="22" t="e">
        <f>IF(LEN(VLOOKUP(I274,A2:D500,4,FALSE))=0,"",VLOOKUP(I274,A2:D500,4,FALSE))</f>
        <v>#N/A</v>
      </c>
      <c r="L274" s="56">
        <f>'Dose-response Model'!O388</f>
        <v>0</v>
      </c>
      <c r="M274" s="22" t="e">
        <f>IF(LEN(VLOOKUP(L274,A2:D500,4,FALSE))=0,,VLOOKUP(L274,A2:D500,4,FALSE))</f>
        <v>#N/A</v>
      </c>
      <c r="N274" s="22">
        <f>'Exposure Model'!O405</f>
        <v>0</v>
      </c>
      <c r="O274" s="22" t="e">
        <f>IF(LEN(VLOOKUP(N274,A2:D500,4,FALSE))=0,,VLOOKUP(N274,A2:D500,4,FALSE))</f>
        <v>#N/A</v>
      </c>
      <c r="P274" s="56">
        <f>'QRA Models'!Q405</f>
        <v>0</v>
      </c>
      <c r="Q274" s="22" t="e">
        <f>IF(LEN(VLOOKUP(P274,A2:D500,4,FALSE))=0,,VLOOKUP(P274,A2:D500,4,FALSE))</f>
        <v>#N/A</v>
      </c>
      <c r="R274" s="56">
        <f>'Health metrics Models'!Q388</f>
        <v>0</v>
      </c>
      <c r="S274" s="22" t="e">
        <f>IF(LEN(VLOOKUP(R274,A2:D500,4,FALSE))=0,,VLOOKUP(R274,A2:D500,4,FALSE))</f>
        <v>#N/A</v>
      </c>
      <c r="T274" s="56">
        <f>'Process Model'!P386</f>
        <v>0</v>
      </c>
      <c r="U274" s="22" t="e">
        <f>IF(LEN(VLOOKUP(T274,A2:D500,4,FALSE))=0,,VLOOKUP(T274,A2:D500,4,FALSE))</f>
        <v>#N/A</v>
      </c>
      <c r="V274" s="56">
        <f>'Toxicological reference value M'!P388</f>
        <v>0</v>
      </c>
      <c r="W274" s="22" t="e">
        <f>IF(LEN(VLOOKUP(V274,A2:D500,4,FALSE))=0,,VLOOKUP(V274,A2:D500,4,FALSE))</f>
        <v>#N/A</v>
      </c>
      <c r="Y274" s="56">
        <f>'Other Empirical Model'!P399</f>
        <v>0</v>
      </c>
      <c r="Z274" s="22" t="e">
        <f>IF(LEN(VLOOKUP(Y274,A2:D500,4,FALSE))=0,,VLOOKUP(Y274,A2:D500,4,FALSE))</f>
        <v>#N/A</v>
      </c>
      <c r="AA274" s="56">
        <f>'Predictive Model'!P386</f>
        <v>0</v>
      </c>
      <c r="AB274" s="22" t="e">
        <f>IF(LEN(VLOOKUP(AA274,A2:D500,4,FALSE))=0,,VLOOKUP(AA274,A2:D500,4,FALSE))</f>
        <v>#N/A</v>
      </c>
      <c r="AC274" s="56">
        <f>'Consumption Model'!P391</f>
        <v>0</v>
      </c>
      <c r="AD274" s="22" t="e">
        <f>IF(LEN(VLOOKUP(AC274,A2:D500,4,FALSE))=0,,VLOOKUP(AC274,A2:D500,4,FALSE))</f>
        <v>#N/A</v>
      </c>
      <c r="AE274" s="22">
        <f>'(Data)'!Q387</f>
        <v>0</v>
      </c>
      <c r="AF274" s="22" t="e">
        <f>IF(LEN(VLOOKUP(AE273:AE274,A2:D500,4,FALSE))=0,,VLOOKUP(AE273:AE274,A2:D500,4,FALSE))</f>
        <v>#N/A</v>
      </c>
      <c r="AH274" s="45">
        <f>'Risk Charact Model'!P405</f>
        <v>0</v>
      </c>
      <c r="AI274" s="58" t="e">
        <f>IF(LEN(VLOOKUP(AH274,A2:D500,4,FALSE))=0,,VLOOKUP(AH274,A2:D500,4,FALSE))</f>
        <v>#N/A</v>
      </c>
    </row>
    <row r="275" spans="9:35" ht="14" x14ac:dyDescent="0.3">
      <c r="I275" s="60">
        <f>'Generic Metadata Schema'!P405</f>
        <v>0</v>
      </c>
      <c r="J275" s="22" t="e">
        <f>IF(LEN(VLOOKUP(I275,A2:D500,4,FALSE))=0,"",VLOOKUP(I275,A2:D500,4,FALSE))</f>
        <v>#N/A</v>
      </c>
      <c r="L275" s="56">
        <f>'Dose-response Model'!O389</f>
        <v>0</v>
      </c>
      <c r="M275" s="22" t="e">
        <f>IF(LEN(VLOOKUP(L275,A2:D500,4,FALSE))=0,,VLOOKUP(L275,A2:D500,4,FALSE))</f>
        <v>#N/A</v>
      </c>
      <c r="N275" s="22">
        <f>'Exposure Model'!O406</f>
        <v>0</v>
      </c>
      <c r="O275" s="22" t="e">
        <f>IF(LEN(VLOOKUP(N275,A2:D500,4,FALSE))=0,,VLOOKUP(N275,A2:D500,4,FALSE))</f>
        <v>#N/A</v>
      </c>
      <c r="P275" s="56">
        <f>'QRA Models'!Q406</f>
        <v>0</v>
      </c>
      <c r="Q275" s="22" t="e">
        <f>IF(LEN(VLOOKUP(P275,A2:D500,4,FALSE))=0,,VLOOKUP(P275,A2:D500,4,FALSE))</f>
        <v>#N/A</v>
      </c>
      <c r="R275" s="56">
        <f>'Health metrics Models'!Q389</f>
        <v>0</v>
      </c>
      <c r="S275" s="22" t="e">
        <f>IF(LEN(VLOOKUP(R275,A2:D500,4,FALSE))=0,,VLOOKUP(R275,A2:D500,4,FALSE))</f>
        <v>#N/A</v>
      </c>
      <c r="T275" s="56">
        <f>'Process Model'!P387</f>
        <v>0</v>
      </c>
      <c r="U275" s="22" t="e">
        <f>IF(LEN(VLOOKUP(T275,A2:D500,4,FALSE))=0,,VLOOKUP(T275,A2:D500,4,FALSE))</f>
        <v>#N/A</v>
      </c>
      <c r="V275" s="56">
        <f>'Toxicological reference value M'!P389</f>
        <v>0</v>
      </c>
      <c r="W275" s="22" t="e">
        <f>IF(LEN(VLOOKUP(V275,A2:D500,4,FALSE))=0,,VLOOKUP(V275,A2:D500,4,FALSE))</f>
        <v>#N/A</v>
      </c>
      <c r="Y275" s="56">
        <f>'Other Empirical Model'!P400</f>
        <v>0</v>
      </c>
      <c r="Z275" s="22" t="e">
        <f>IF(LEN(VLOOKUP(Y275,A2:D500,4,FALSE))=0,,VLOOKUP(Y275,A2:D500,4,FALSE))</f>
        <v>#N/A</v>
      </c>
      <c r="AA275" s="56">
        <f>'Predictive Model'!P387</f>
        <v>0</v>
      </c>
      <c r="AB275" s="22" t="e">
        <f>IF(LEN(VLOOKUP(AA275,A2:D500,4,FALSE))=0,,VLOOKUP(AA275,A2:D500,4,FALSE))</f>
        <v>#N/A</v>
      </c>
      <c r="AC275" s="56">
        <f>'Consumption Model'!P392</f>
        <v>0</v>
      </c>
      <c r="AD275" s="22" t="e">
        <f>IF(LEN(VLOOKUP(AC275,A2:D500,4,FALSE))=0,,VLOOKUP(AC275,A2:D500,4,FALSE))</f>
        <v>#N/A</v>
      </c>
      <c r="AE275" s="22">
        <f>'(Data)'!Q388</f>
        <v>0</v>
      </c>
      <c r="AF275" s="22" t="e">
        <f>IF(LEN(VLOOKUP(AE274:AE275,A2:D500,4,FALSE))=0,,VLOOKUP(AE274:AE275,A2:D500,4,FALSE))</f>
        <v>#N/A</v>
      </c>
      <c r="AH275" s="45">
        <f>'Risk Charact Model'!P406</f>
        <v>0</v>
      </c>
      <c r="AI275" s="58" t="e">
        <f>IF(LEN(VLOOKUP(AH275,A2:D500,4,FALSE))=0,,VLOOKUP(AH275,A2:D500,4,FALSE))</f>
        <v>#N/A</v>
      </c>
    </row>
    <row r="276" spans="9:35" ht="14" x14ac:dyDescent="0.3">
      <c r="I276" s="60">
        <f>'Generic Metadata Schema'!P406</f>
        <v>0</v>
      </c>
      <c r="J276" s="22" t="e">
        <f>IF(LEN(VLOOKUP(I276,A2:D500,4,FALSE))=0,"",VLOOKUP(I276,A2:D500,4,FALSE))</f>
        <v>#N/A</v>
      </c>
      <c r="L276" s="56">
        <f>'Dose-response Model'!O390</f>
        <v>0</v>
      </c>
      <c r="M276" s="22" t="e">
        <f>IF(LEN(VLOOKUP(L276,A2:D500,4,FALSE))=0,,VLOOKUP(L276,A2:D500,4,FALSE))</f>
        <v>#N/A</v>
      </c>
      <c r="N276" s="22">
        <f>'Exposure Model'!O407</f>
        <v>0</v>
      </c>
      <c r="O276" s="22" t="e">
        <f>IF(LEN(VLOOKUP(N276,A2:D500,4,FALSE))=0,,VLOOKUP(N276,A2:D500,4,FALSE))</f>
        <v>#N/A</v>
      </c>
      <c r="P276" s="56">
        <f>'QRA Models'!Q407</f>
        <v>0</v>
      </c>
      <c r="Q276" s="22" t="e">
        <f>IF(LEN(VLOOKUP(P276,A2:D500,4,FALSE))=0,,VLOOKUP(P276,A2:D500,4,FALSE))</f>
        <v>#N/A</v>
      </c>
      <c r="R276" s="56">
        <f>'Health metrics Models'!Q390</f>
        <v>0</v>
      </c>
      <c r="S276" s="22" t="e">
        <f>IF(LEN(VLOOKUP(R276,A2:D500,4,FALSE))=0,,VLOOKUP(R276,A2:D500,4,FALSE))</f>
        <v>#N/A</v>
      </c>
      <c r="T276" s="56">
        <f>'Process Model'!P388</f>
        <v>0</v>
      </c>
      <c r="U276" s="22" t="e">
        <f>IF(LEN(VLOOKUP(T276,A2:D500,4,FALSE))=0,,VLOOKUP(T276,A2:D500,4,FALSE))</f>
        <v>#N/A</v>
      </c>
      <c r="V276" s="56">
        <f>'Toxicological reference value M'!P390</f>
        <v>0</v>
      </c>
      <c r="W276" s="22" t="e">
        <f>IF(LEN(VLOOKUP(V276,A2:D500,4,FALSE))=0,,VLOOKUP(V276,A2:D500,4,FALSE))</f>
        <v>#N/A</v>
      </c>
      <c r="Y276" s="56">
        <f>'Other Empirical Model'!P401</f>
        <v>0</v>
      </c>
      <c r="Z276" s="22" t="e">
        <f>IF(LEN(VLOOKUP(Y276,A2:D500,4,FALSE))=0,,VLOOKUP(Y276,A2:D500,4,FALSE))</f>
        <v>#N/A</v>
      </c>
      <c r="AA276" s="56">
        <f>'Predictive Model'!P388</f>
        <v>0</v>
      </c>
      <c r="AB276" s="22" t="e">
        <f>IF(LEN(VLOOKUP(AA276,A2:D500,4,FALSE))=0,,VLOOKUP(AA276,A2:D500,4,FALSE))</f>
        <v>#N/A</v>
      </c>
      <c r="AC276" s="56">
        <f>'Consumption Model'!P393</f>
        <v>0</v>
      </c>
      <c r="AD276" s="22" t="e">
        <f>IF(LEN(VLOOKUP(AC276,A2:D500,4,FALSE))=0,,VLOOKUP(AC276,A2:D500,4,FALSE))</f>
        <v>#N/A</v>
      </c>
      <c r="AE276" s="22">
        <f>'(Data)'!Q389</f>
        <v>0</v>
      </c>
      <c r="AF276" s="22" t="e">
        <f>IF(LEN(VLOOKUP(AE275:AE276,A2:D500,4,FALSE))=0,,VLOOKUP(AE275:AE276,A2:D500,4,FALSE))</f>
        <v>#N/A</v>
      </c>
      <c r="AH276" s="45">
        <f>'Risk Charact Model'!P407</f>
        <v>0</v>
      </c>
      <c r="AI276" s="58" t="e">
        <f>IF(LEN(VLOOKUP(AH276,A2:D500,4,FALSE))=0,,VLOOKUP(AH276,A2:D500,4,FALSE))</f>
        <v>#N/A</v>
      </c>
    </row>
    <row r="277" spans="9:35" ht="14" x14ac:dyDescent="0.3">
      <c r="I277" s="60">
        <f>'Generic Metadata Schema'!P407</f>
        <v>0</v>
      </c>
      <c r="J277" s="22" t="e">
        <f>IF(LEN(VLOOKUP(I277,A2:D500,4,FALSE))=0,"",VLOOKUP(I277,A2:D500,4,FALSE))</f>
        <v>#N/A</v>
      </c>
      <c r="L277" s="56">
        <f>'Dose-response Model'!O391</f>
        <v>0</v>
      </c>
      <c r="M277" s="22" t="e">
        <f>IF(LEN(VLOOKUP(L277,A2:D500,4,FALSE))=0,,VLOOKUP(L277,A2:D500,4,FALSE))</f>
        <v>#N/A</v>
      </c>
      <c r="N277" s="22">
        <f>'Exposure Model'!O408</f>
        <v>0</v>
      </c>
      <c r="O277" s="22" t="e">
        <f>IF(LEN(VLOOKUP(N277,A2:D500,4,FALSE))=0,,VLOOKUP(N277,A2:D500,4,FALSE))</f>
        <v>#N/A</v>
      </c>
      <c r="P277" s="56">
        <f>'QRA Models'!Q408</f>
        <v>0</v>
      </c>
      <c r="Q277" s="22" t="e">
        <f>IF(LEN(VLOOKUP(P277,A2:D500,4,FALSE))=0,,VLOOKUP(P277,A2:D500,4,FALSE))</f>
        <v>#N/A</v>
      </c>
      <c r="R277" s="56">
        <f>'Health metrics Models'!Q391</f>
        <v>0</v>
      </c>
      <c r="S277" s="22" t="e">
        <f>IF(LEN(VLOOKUP(R277,A2:D500,4,FALSE))=0,,VLOOKUP(R277,A2:D500,4,FALSE))</f>
        <v>#N/A</v>
      </c>
      <c r="T277" s="56">
        <f>'Process Model'!P389</f>
        <v>0</v>
      </c>
      <c r="U277" s="22" t="e">
        <f>IF(LEN(VLOOKUP(T277,A2:D500,4,FALSE))=0,,VLOOKUP(T277,A2:D500,4,FALSE))</f>
        <v>#N/A</v>
      </c>
      <c r="V277" s="56">
        <f>'Toxicological reference value M'!P391</f>
        <v>0</v>
      </c>
      <c r="W277" s="22" t="e">
        <f>IF(LEN(VLOOKUP(V277,A2:D500,4,FALSE))=0,,VLOOKUP(V277,A2:D500,4,FALSE))</f>
        <v>#N/A</v>
      </c>
      <c r="Y277" s="56">
        <f>'Other Empirical Model'!P402</f>
        <v>0</v>
      </c>
      <c r="Z277" s="22" t="e">
        <f>IF(LEN(VLOOKUP(Y277,A2:D500,4,FALSE))=0,,VLOOKUP(Y277,A2:D500,4,FALSE))</f>
        <v>#N/A</v>
      </c>
      <c r="AA277" s="56">
        <f>'Predictive Model'!P389</f>
        <v>0</v>
      </c>
      <c r="AB277" s="22" t="e">
        <f>IF(LEN(VLOOKUP(AA277,A2:D500,4,FALSE))=0,,VLOOKUP(AA277,A2:D500,4,FALSE))</f>
        <v>#N/A</v>
      </c>
      <c r="AC277" s="56">
        <f>'Consumption Model'!P394</f>
        <v>0</v>
      </c>
      <c r="AD277" s="22" t="e">
        <f>IF(LEN(VLOOKUP(AC277,A2:D500,4,FALSE))=0,,VLOOKUP(AC277,A2:D500,4,FALSE))</f>
        <v>#N/A</v>
      </c>
      <c r="AE277" s="22">
        <f>'(Data)'!Q390</f>
        <v>0</v>
      </c>
      <c r="AF277" s="22" t="e">
        <f>IF(LEN(VLOOKUP(AE276:AE277,A2:D500,4,FALSE))=0,,VLOOKUP(AE276:AE277,A2:D500,4,FALSE))</f>
        <v>#N/A</v>
      </c>
      <c r="AH277" s="45">
        <f>'Risk Charact Model'!P408</f>
        <v>0</v>
      </c>
      <c r="AI277" s="58" t="e">
        <f>IF(LEN(VLOOKUP(AH277,A2:D500,4,FALSE))=0,,VLOOKUP(AH277,A2:D500,4,FALSE))</f>
        <v>#N/A</v>
      </c>
    </row>
    <row r="278" spans="9:35" ht="14" x14ac:dyDescent="0.3">
      <c r="I278" s="60">
        <f>'Generic Metadata Schema'!P408</f>
        <v>0</v>
      </c>
      <c r="J278" s="22" t="e">
        <f>IF(LEN(VLOOKUP(I278,A2:D500,4,FALSE))=0,"",VLOOKUP(I278,A2:D500,4,FALSE))</f>
        <v>#N/A</v>
      </c>
      <c r="L278" s="56">
        <f>'Dose-response Model'!O392</f>
        <v>0</v>
      </c>
      <c r="M278" s="22" t="e">
        <f>IF(LEN(VLOOKUP(L278,A2:D500,4,FALSE))=0,,VLOOKUP(L278,A2:D500,4,FALSE))</f>
        <v>#N/A</v>
      </c>
      <c r="N278" s="22">
        <f>'Exposure Model'!O409</f>
        <v>0</v>
      </c>
      <c r="O278" s="22" t="e">
        <f>IF(LEN(VLOOKUP(N278,A2:D500,4,FALSE))=0,,VLOOKUP(N278,A2:D500,4,FALSE))</f>
        <v>#N/A</v>
      </c>
      <c r="P278" s="56">
        <f>'QRA Models'!Q409</f>
        <v>0</v>
      </c>
      <c r="Q278" s="22" t="e">
        <f>IF(LEN(VLOOKUP(P278,A2:D500,4,FALSE))=0,,VLOOKUP(P278,A2:D500,4,FALSE))</f>
        <v>#N/A</v>
      </c>
      <c r="R278" s="56">
        <f>'Health metrics Models'!Q392</f>
        <v>0</v>
      </c>
      <c r="S278" s="22" t="e">
        <f>IF(LEN(VLOOKUP(R278,A2:D500,4,FALSE))=0,,VLOOKUP(R278,A2:D500,4,FALSE))</f>
        <v>#N/A</v>
      </c>
      <c r="T278" s="56">
        <f>'Process Model'!P390</f>
        <v>0</v>
      </c>
      <c r="U278" s="22" t="e">
        <f>IF(LEN(VLOOKUP(T278,A2:D500,4,FALSE))=0,,VLOOKUP(T278,A2:D500,4,FALSE))</f>
        <v>#N/A</v>
      </c>
      <c r="V278" s="56">
        <f>'Toxicological reference value M'!P392</f>
        <v>0</v>
      </c>
      <c r="W278" s="22" t="e">
        <f>IF(LEN(VLOOKUP(V278,A2:D500,4,FALSE))=0,,VLOOKUP(V278,A2:D500,4,FALSE))</f>
        <v>#N/A</v>
      </c>
      <c r="Y278" s="56">
        <f>'Other Empirical Model'!P403</f>
        <v>0</v>
      </c>
      <c r="Z278" s="22" t="e">
        <f>IF(LEN(VLOOKUP(Y278,A2:D500,4,FALSE))=0,,VLOOKUP(Y278,A2:D500,4,FALSE))</f>
        <v>#N/A</v>
      </c>
      <c r="AA278" s="56">
        <f>'Predictive Model'!P390</f>
        <v>0</v>
      </c>
      <c r="AB278" s="22" t="e">
        <f>IF(LEN(VLOOKUP(AA278,A2:D500,4,FALSE))=0,,VLOOKUP(AA278,A2:D500,4,FALSE))</f>
        <v>#N/A</v>
      </c>
      <c r="AC278" s="56">
        <f>'Consumption Model'!P395</f>
        <v>0</v>
      </c>
      <c r="AD278" s="22" t="e">
        <f>IF(LEN(VLOOKUP(AC278,A2:D500,4,FALSE))=0,,VLOOKUP(AC278,A2:D500,4,FALSE))</f>
        <v>#N/A</v>
      </c>
      <c r="AE278" s="22">
        <f>'(Data)'!Q391</f>
        <v>0</v>
      </c>
      <c r="AF278" s="22" t="e">
        <f>IF(LEN(VLOOKUP(AE277:AE278,A2:D500,4,FALSE))=0,,VLOOKUP(AE277:AE278,A2:D500,4,FALSE))</f>
        <v>#N/A</v>
      </c>
      <c r="AH278" s="45">
        <f>'Risk Charact Model'!P409</f>
        <v>0</v>
      </c>
      <c r="AI278" s="58" t="e">
        <f>IF(LEN(VLOOKUP(AH278,A2:D500,4,FALSE))=0,,VLOOKUP(AH278,A2:D500,4,FALSE))</f>
        <v>#N/A</v>
      </c>
    </row>
    <row r="279" spans="9:35" ht="14" x14ac:dyDescent="0.3">
      <c r="I279" s="60">
        <f>'Generic Metadata Schema'!P409</f>
        <v>0</v>
      </c>
      <c r="J279" s="22" t="e">
        <f>IF(LEN(VLOOKUP(I279,A2:D500,4,FALSE))=0,"",VLOOKUP(I279,A2:D500,4,FALSE))</f>
        <v>#N/A</v>
      </c>
      <c r="L279" s="56">
        <f>'Dose-response Model'!O393</f>
        <v>0</v>
      </c>
      <c r="M279" s="22" t="e">
        <f>IF(LEN(VLOOKUP(L279,A2:D500,4,FALSE))=0,,VLOOKUP(L279,A2:D500,4,FALSE))</f>
        <v>#N/A</v>
      </c>
      <c r="N279" s="22">
        <f>'Exposure Model'!O410</f>
        <v>0</v>
      </c>
      <c r="O279" s="22" t="e">
        <f>IF(LEN(VLOOKUP(N279,A2:D500,4,FALSE))=0,,VLOOKUP(N279,A2:D500,4,FALSE))</f>
        <v>#N/A</v>
      </c>
      <c r="P279" s="56">
        <f>'QRA Models'!Q410</f>
        <v>0</v>
      </c>
      <c r="Q279" s="22" t="e">
        <f>IF(LEN(VLOOKUP(P279,A2:D500,4,FALSE))=0,,VLOOKUP(P279,A2:D500,4,FALSE))</f>
        <v>#N/A</v>
      </c>
      <c r="R279" s="56">
        <f>'Health metrics Models'!Q393</f>
        <v>0</v>
      </c>
      <c r="S279" s="22" t="e">
        <f>IF(LEN(VLOOKUP(R279,A2:D500,4,FALSE))=0,,VLOOKUP(R279,A2:D500,4,FALSE))</f>
        <v>#N/A</v>
      </c>
      <c r="T279" s="56">
        <f>'Process Model'!P391</f>
        <v>0</v>
      </c>
      <c r="U279" s="22" t="e">
        <f>IF(LEN(VLOOKUP(T279,A2:D500,4,FALSE))=0,,VLOOKUP(T279,A2:D500,4,FALSE))</f>
        <v>#N/A</v>
      </c>
      <c r="V279" s="56">
        <f>'Toxicological reference value M'!P393</f>
        <v>0</v>
      </c>
      <c r="W279" s="22" t="e">
        <f>IF(LEN(VLOOKUP(V279,A2:D500,4,FALSE))=0,,VLOOKUP(V279,A2:D500,4,FALSE))</f>
        <v>#N/A</v>
      </c>
      <c r="Y279" s="56">
        <f>'Other Empirical Model'!P404</f>
        <v>0</v>
      </c>
      <c r="Z279" s="22" t="e">
        <f>IF(LEN(VLOOKUP(Y279,A2:D500,4,FALSE))=0,,VLOOKUP(Y279,A2:D500,4,FALSE))</f>
        <v>#N/A</v>
      </c>
      <c r="AA279" s="56">
        <f>'Predictive Model'!P391</f>
        <v>0</v>
      </c>
      <c r="AB279" s="22" t="e">
        <f>IF(LEN(VLOOKUP(AA279,A2:D500,4,FALSE))=0,,VLOOKUP(AA279,A2:D500,4,FALSE))</f>
        <v>#N/A</v>
      </c>
      <c r="AC279" s="56">
        <f>'Consumption Model'!P396</f>
        <v>0</v>
      </c>
      <c r="AD279" s="22" t="e">
        <f>IF(LEN(VLOOKUP(AC279,A2:D500,4,FALSE))=0,,VLOOKUP(AC279,A2:D500,4,FALSE))</f>
        <v>#N/A</v>
      </c>
      <c r="AE279" s="22">
        <f>'(Data)'!Q392</f>
        <v>0</v>
      </c>
      <c r="AF279" s="22" t="e">
        <f>IF(LEN(VLOOKUP(AE278:AE279,A2:D500,4,FALSE))=0,,VLOOKUP(AE278:AE279,A2:D500,4,FALSE))</f>
        <v>#N/A</v>
      </c>
      <c r="AH279" s="45">
        <f>'Risk Charact Model'!P410</f>
        <v>0</v>
      </c>
      <c r="AI279" s="58" t="e">
        <f>IF(LEN(VLOOKUP(AH279,A2:D500,4,FALSE))=0,,VLOOKUP(AH279,A2:D500,4,FALSE))</f>
        <v>#N/A</v>
      </c>
    </row>
    <row r="280" spans="9:35" ht="14" x14ac:dyDescent="0.3">
      <c r="I280" s="60">
        <f>'Generic Metadata Schema'!P410</f>
        <v>0</v>
      </c>
      <c r="J280" s="22" t="e">
        <f>IF(LEN(VLOOKUP(I280,A2:D500,4,FALSE))=0,"",VLOOKUP(I280,A2:D500,4,FALSE))</f>
        <v>#N/A</v>
      </c>
      <c r="L280" s="56">
        <f>'Dose-response Model'!O394</f>
        <v>0</v>
      </c>
      <c r="M280" s="22" t="e">
        <f>IF(LEN(VLOOKUP(L280,A2:D500,4,FALSE))=0,,VLOOKUP(L280,A2:D500,4,FALSE))</f>
        <v>#N/A</v>
      </c>
      <c r="N280" s="22">
        <f>'Exposure Model'!O411</f>
        <v>0</v>
      </c>
      <c r="O280" s="22" t="e">
        <f>IF(LEN(VLOOKUP(N280,A2:D500,4,FALSE))=0,,VLOOKUP(N280,A2:D500,4,FALSE))</f>
        <v>#N/A</v>
      </c>
      <c r="P280" s="56">
        <f>'QRA Models'!Q411</f>
        <v>0</v>
      </c>
      <c r="Q280" s="22" t="e">
        <f>IF(LEN(VLOOKUP(P280,A2:D500,4,FALSE))=0,,VLOOKUP(P280,A2:D500,4,FALSE))</f>
        <v>#N/A</v>
      </c>
      <c r="R280" s="56">
        <f>'Health metrics Models'!Q394</f>
        <v>0</v>
      </c>
      <c r="S280" s="22" t="e">
        <f>IF(LEN(VLOOKUP(R280,A2:D500,4,FALSE))=0,,VLOOKUP(R280,A2:D500,4,FALSE))</f>
        <v>#N/A</v>
      </c>
      <c r="T280" s="56">
        <f>'Process Model'!P392</f>
        <v>0</v>
      </c>
      <c r="U280" s="22" t="e">
        <f>IF(LEN(VLOOKUP(T280,A2:D500,4,FALSE))=0,,VLOOKUP(T280,A2:D500,4,FALSE))</f>
        <v>#N/A</v>
      </c>
      <c r="V280" s="56">
        <f>'Toxicological reference value M'!P394</f>
        <v>0</v>
      </c>
      <c r="W280" s="22" t="e">
        <f>IF(LEN(VLOOKUP(V280,A2:D500,4,FALSE))=0,,VLOOKUP(V280,A2:D500,4,FALSE))</f>
        <v>#N/A</v>
      </c>
      <c r="Y280" s="56">
        <f>'Other Empirical Model'!P405</f>
        <v>0</v>
      </c>
      <c r="Z280" s="22" t="e">
        <f>IF(LEN(VLOOKUP(Y280,A2:D500,4,FALSE))=0,,VLOOKUP(Y280,A2:D500,4,FALSE))</f>
        <v>#N/A</v>
      </c>
      <c r="AA280" s="56">
        <f>'Predictive Model'!P392</f>
        <v>0</v>
      </c>
      <c r="AB280" s="22" t="e">
        <f>IF(LEN(VLOOKUP(AA280,A2:D500,4,FALSE))=0,,VLOOKUP(AA280,A2:D500,4,FALSE))</f>
        <v>#N/A</v>
      </c>
      <c r="AC280" s="56">
        <f>'Consumption Model'!P397</f>
        <v>0</v>
      </c>
      <c r="AD280" s="22" t="e">
        <f>IF(LEN(VLOOKUP(AC280,A2:D500,4,FALSE))=0,,VLOOKUP(AC280,A2:D500,4,FALSE))</f>
        <v>#N/A</v>
      </c>
      <c r="AE280" s="22">
        <f>'(Data)'!Q393</f>
        <v>0</v>
      </c>
      <c r="AF280" s="22" t="e">
        <f>IF(LEN(VLOOKUP(AE279:AE280,A2:D500,4,FALSE))=0,,VLOOKUP(AE279:AE280,A2:D500,4,FALSE))</f>
        <v>#N/A</v>
      </c>
      <c r="AH280" s="45">
        <f>'Risk Charact Model'!P411</f>
        <v>0</v>
      </c>
      <c r="AI280" s="58" t="e">
        <f>IF(LEN(VLOOKUP(AH280,A2:D500,4,FALSE))=0,,VLOOKUP(AH280,A2:D500,4,FALSE))</f>
        <v>#N/A</v>
      </c>
    </row>
    <row r="281" spans="9:35" ht="14" x14ac:dyDescent="0.3">
      <c r="I281" s="60">
        <f>'Generic Metadata Schema'!P411</f>
        <v>0</v>
      </c>
      <c r="J281" s="22" t="e">
        <f>IF(LEN(VLOOKUP(I281,A2:D500,4,FALSE))=0,"",VLOOKUP(I281,A2:D500,4,FALSE))</f>
        <v>#N/A</v>
      </c>
      <c r="L281" s="56">
        <f>'Dose-response Model'!O395</f>
        <v>0</v>
      </c>
      <c r="M281" s="22" t="e">
        <f>IF(LEN(VLOOKUP(L281,A2:D500,4,FALSE))=0,,VLOOKUP(L281,A2:D500,4,FALSE))</f>
        <v>#N/A</v>
      </c>
      <c r="N281" s="22">
        <f>'Exposure Model'!O412</f>
        <v>0</v>
      </c>
      <c r="O281" s="22" t="e">
        <f>IF(LEN(VLOOKUP(N281,A2:D500,4,FALSE))=0,,VLOOKUP(N281,A2:D500,4,FALSE))</f>
        <v>#N/A</v>
      </c>
      <c r="P281" s="56">
        <f>'QRA Models'!Q412</f>
        <v>0</v>
      </c>
      <c r="Q281" s="22" t="e">
        <f>IF(LEN(VLOOKUP(P281,A2:D500,4,FALSE))=0,,VLOOKUP(P281,A2:D500,4,FALSE))</f>
        <v>#N/A</v>
      </c>
      <c r="R281" s="56">
        <f>'Health metrics Models'!Q395</f>
        <v>0</v>
      </c>
      <c r="S281" s="22" t="e">
        <f>IF(LEN(VLOOKUP(R281,A2:D500,4,FALSE))=0,,VLOOKUP(R281,A2:D500,4,FALSE))</f>
        <v>#N/A</v>
      </c>
      <c r="T281" s="56">
        <f>'Process Model'!P393</f>
        <v>0</v>
      </c>
      <c r="U281" s="22" t="e">
        <f>IF(LEN(VLOOKUP(T281,A2:D500,4,FALSE))=0,,VLOOKUP(T281,A2:D500,4,FALSE))</f>
        <v>#N/A</v>
      </c>
      <c r="V281" s="56">
        <f>'Toxicological reference value M'!P395</f>
        <v>0</v>
      </c>
      <c r="W281" s="22" t="e">
        <f>IF(LEN(VLOOKUP(V281,A2:D500,4,FALSE))=0,,VLOOKUP(V281,A2:D500,4,FALSE))</f>
        <v>#N/A</v>
      </c>
      <c r="Y281" s="56">
        <f>'Other Empirical Model'!P406</f>
        <v>0</v>
      </c>
      <c r="Z281" s="22" t="e">
        <f>IF(LEN(VLOOKUP(Y281,A2:D500,4,FALSE))=0,,VLOOKUP(Y281,A2:D500,4,FALSE))</f>
        <v>#N/A</v>
      </c>
      <c r="AA281" s="56">
        <f>'Predictive Model'!P393</f>
        <v>0</v>
      </c>
      <c r="AB281" s="22" t="e">
        <f>IF(LEN(VLOOKUP(AA281,A2:D500,4,FALSE))=0,,VLOOKUP(AA281,A2:D500,4,FALSE))</f>
        <v>#N/A</v>
      </c>
      <c r="AC281" s="56">
        <f>'Consumption Model'!P398</f>
        <v>0</v>
      </c>
      <c r="AD281" s="22" t="e">
        <f>IF(LEN(VLOOKUP(AC281,A2:D500,4,FALSE))=0,,VLOOKUP(AC281,A2:D500,4,FALSE))</f>
        <v>#N/A</v>
      </c>
      <c r="AE281" s="22">
        <f>'(Data)'!Q394</f>
        <v>0</v>
      </c>
      <c r="AF281" s="22" t="e">
        <f>IF(LEN(VLOOKUP(AE280:AE281,A2:D500,4,FALSE))=0,,VLOOKUP(AE280:AE281,A2:D500,4,FALSE))</f>
        <v>#N/A</v>
      </c>
      <c r="AH281" s="45">
        <f>'Risk Charact Model'!P412</f>
        <v>0</v>
      </c>
      <c r="AI281" s="58" t="e">
        <f>IF(LEN(VLOOKUP(AH281,A2:D500,4,FALSE))=0,,VLOOKUP(AH281,A2:D500,4,FALSE))</f>
        <v>#N/A</v>
      </c>
    </row>
    <row r="282" spans="9:35" ht="14" x14ac:dyDescent="0.3">
      <c r="I282" s="60">
        <f>'Generic Metadata Schema'!P412</f>
        <v>0</v>
      </c>
      <c r="J282" s="22" t="e">
        <f>IF(LEN(VLOOKUP(I282,A2:D500,4,FALSE))=0,"",VLOOKUP(I282,A2:D500,4,FALSE))</f>
        <v>#N/A</v>
      </c>
      <c r="L282" s="56">
        <f>'Dose-response Model'!O396</f>
        <v>0</v>
      </c>
      <c r="M282" s="22" t="e">
        <f>IF(LEN(VLOOKUP(L282,A2:D500,4,FALSE))=0,,VLOOKUP(L282,A2:D500,4,FALSE))</f>
        <v>#N/A</v>
      </c>
      <c r="N282" s="22">
        <f>'Exposure Model'!O413</f>
        <v>0</v>
      </c>
      <c r="O282" s="22" t="e">
        <f>IF(LEN(VLOOKUP(N282,A2:D500,4,FALSE))=0,,VLOOKUP(N282,A2:D500,4,FALSE))</f>
        <v>#N/A</v>
      </c>
      <c r="P282" s="56">
        <f>'QRA Models'!Q413</f>
        <v>0</v>
      </c>
      <c r="Q282" s="22" t="e">
        <f>IF(LEN(VLOOKUP(P282,A2:D500,4,FALSE))=0,,VLOOKUP(P282,A2:D500,4,FALSE))</f>
        <v>#N/A</v>
      </c>
      <c r="R282" s="56">
        <f>'Health metrics Models'!Q396</f>
        <v>0</v>
      </c>
      <c r="S282" s="22" t="e">
        <f>IF(LEN(VLOOKUP(R282,A2:D500,4,FALSE))=0,,VLOOKUP(R282,A2:D500,4,FALSE))</f>
        <v>#N/A</v>
      </c>
      <c r="T282" s="56">
        <f>'Process Model'!P394</f>
        <v>0</v>
      </c>
      <c r="U282" s="22" t="e">
        <f>IF(LEN(VLOOKUP(T282,A2:D500,4,FALSE))=0,,VLOOKUP(T282,A2:D500,4,FALSE))</f>
        <v>#N/A</v>
      </c>
      <c r="V282" s="56">
        <f>'Toxicological reference value M'!P396</f>
        <v>0</v>
      </c>
      <c r="W282" s="22" t="e">
        <f>IF(LEN(VLOOKUP(V282,A2:D500,4,FALSE))=0,,VLOOKUP(V282,A2:D500,4,FALSE))</f>
        <v>#N/A</v>
      </c>
      <c r="Y282" s="56">
        <f>'Other Empirical Model'!P407</f>
        <v>0</v>
      </c>
      <c r="Z282" s="22" t="e">
        <f>IF(LEN(VLOOKUP(Y282,A2:D500,4,FALSE))=0,,VLOOKUP(Y282,A2:D500,4,FALSE))</f>
        <v>#N/A</v>
      </c>
      <c r="AA282" s="56">
        <f>'Predictive Model'!P394</f>
        <v>0</v>
      </c>
      <c r="AB282" s="22" t="e">
        <f>IF(LEN(VLOOKUP(AA282,A2:D500,4,FALSE))=0,,VLOOKUP(AA282,A2:D500,4,FALSE))</f>
        <v>#N/A</v>
      </c>
      <c r="AC282" s="56">
        <f>'Consumption Model'!P399</f>
        <v>0</v>
      </c>
      <c r="AD282" s="22" t="e">
        <f>IF(LEN(VLOOKUP(AC282,A2:D500,4,FALSE))=0,,VLOOKUP(AC282,A2:D500,4,FALSE))</f>
        <v>#N/A</v>
      </c>
      <c r="AE282" s="22">
        <f>'(Data)'!Q395</f>
        <v>0</v>
      </c>
      <c r="AF282" s="22" t="e">
        <f>IF(LEN(VLOOKUP(AE281:AE282,A2:D500,4,FALSE))=0,,VLOOKUP(AE281:AE282,A2:D500,4,FALSE))</f>
        <v>#N/A</v>
      </c>
      <c r="AH282" s="45">
        <f>'Risk Charact Model'!P413</f>
        <v>0</v>
      </c>
      <c r="AI282" s="58" t="e">
        <f>IF(LEN(VLOOKUP(AH282,A2:D500,4,FALSE))=0,,VLOOKUP(AH282,A2:D500,4,FALSE))</f>
        <v>#N/A</v>
      </c>
    </row>
    <row r="283" spans="9:35" ht="14" x14ac:dyDescent="0.3">
      <c r="I283" s="60">
        <f>'Generic Metadata Schema'!P413</f>
        <v>0</v>
      </c>
      <c r="J283" s="22" t="e">
        <f>IF(LEN(VLOOKUP(I283,A2:D500,4,FALSE))=0,"",VLOOKUP(I283,A2:D500,4,FALSE))</f>
        <v>#N/A</v>
      </c>
      <c r="L283" s="56">
        <f>'Dose-response Model'!O397</f>
        <v>0</v>
      </c>
      <c r="M283" s="22" t="e">
        <f>IF(LEN(VLOOKUP(L283,A2:D500,4,FALSE))=0,,VLOOKUP(L283,A2:D500,4,FALSE))</f>
        <v>#N/A</v>
      </c>
      <c r="N283" s="22">
        <f>'Exposure Model'!O414</f>
        <v>0</v>
      </c>
      <c r="O283" s="22" t="e">
        <f>IF(LEN(VLOOKUP(N283,A2:D500,4,FALSE))=0,,VLOOKUP(N283,A2:D500,4,FALSE))</f>
        <v>#N/A</v>
      </c>
      <c r="P283" s="56">
        <f>'QRA Models'!Q414</f>
        <v>0</v>
      </c>
      <c r="Q283" s="22" t="e">
        <f>IF(LEN(VLOOKUP(P283,A2:D500,4,FALSE))=0,,VLOOKUP(P283,A2:D500,4,FALSE))</f>
        <v>#N/A</v>
      </c>
      <c r="R283" s="56">
        <f>'Health metrics Models'!Q397</f>
        <v>0</v>
      </c>
      <c r="S283" s="22" t="e">
        <f>IF(LEN(VLOOKUP(R283,A2:D500,4,FALSE))=0,,VLOOKUP(R283,A2:D500,4,FALSE))</f>
        <v>#N/A</v>
      </c>
      <c r="T283" s="56">
        <f>'Process Model'!P395</f>
        <v>0</v>
      </c>
      <c r="U283" s="22" t="e">
        <f>IF(LEN(VLOOKUP(T283,A2:D500,4,FALSE))=0,,VLOOKUP(T283,A2:D500,4,FALSE))</f>
        <v>#N/A</v>
      </c>
      <c r="V283" s="56">
        <f>'Toxicological reference value M'!P397</f>
        <v>0</v>
      </c>
      <c r="W283" s="22" t="e">
        <f>IF(LEN(VLOOKUP(V283,A2:D500,4,FALSE))=0,,VLOOKUP(V283,A2:D500,4,FALSE))</f>
        <v>#N/A</v>
      </c>
      <c r="Y283" s="56">
        <f>'Other Empirical Model'!P408</f>
        <v>0</v>
      </c>
      <c r="Z283" s="22" t="e">
        <f>IF(LEN(VLOOKUP(Y283,A2:D500,4,FALSE))=0,,VLOOKUP(Y283,A2:D500,4,FALSE))</f>
        <v>#N/A</v>
      </c>
      <c r="AA283" s="56">
        <f>'Predictive Model'!P395</f>
        <v>0</v>
      </c>
      <c r="AB283" s="22" t="e">
        <f>IF(LEN(VLOOKUP(AA283,A2:D500,4,FALSE))=0,,VLOOKUP(AA283,A2:D500,4,FALSE))</f>
        <v>#N/A</v>
      </c>
      <c r="AC283" s="56">
        <f>'Consumption Model'!P400</f>
        <v>0</v>
      </c>
      <c r="AD283" s="22" t="e">
        <f>IF(LEN(VLOOKUP(AC283,A2:D500,4,FALSE))=0,,VLOOKUP(AC283,A2:D500,4,FALSE))</f>
        <v>#N/A</v>
      </c>
      <c r="AE283" s="22">
        <f>'(Data)'!Q396</f>
        <v>0</v>
      </c>
      <c r="AF283" s="22" t="e">
        <f>IF(LEN(VLOOKUP(AE282:AE283,A2:D500,4,FALSE))=0,,VLOOKUP(AE282:AE283,A2:D500,4,FALSE))</f>
        <v>#N/A</v>
      </c>
      <c r="AH283" s="45">
        <f>'Risk Charact Model'!P414</f>
        <v>0</v>
      </c>
      <c r="AI283" s="58" t="e">
        <f>IF(LEN(VLOOKUP(AH283,A2:D500,4,FALSE))=0,,VLOOKUP(AH283,A2:D500,4,FALSE))</f>
        <v>#N/A</v>
      </c>
    </row>
    <row r="284" spans="9:35" ht="14" x14ac:dyDescent="0.3">
      <c r="I284" s="60">
        <f>'Generic Metadata Schema'!P414</f>
        <v>0</v>
      </c>
      <c r="J284" s="22" t="e">
        <f>IF(LEN(VLOOKUP(I284,A2:D500,4,FALSE))=0,"",VLOOKUP(I284,A2:D500,4,FALSE))</f>
        <v>#N/A</v>
      </c>
      <c r="L284" s="56">
        <f>'Dose-response Model'!O398</f>
        <v>0</v>
      </c>
      <c r="M284" s="22" t="e">
        <f>IF(LEN(VLOOKUP(L284,A2:D500,4,FALSE))=0,,VLOOKUP(L284,A2:D500,4,FALSE))</f>
        <v>#N/A</v>
      </c>
      <c r="N284" s="22">
        <f>'Exposure Model'!O415</f>
        <v>0</v>
      </c>
      <c r="O284" s="22" t="e">
        <f>IF(LEN(VLOOKUP(N284,A2:D500,4,FALSE))=0,,VLOOKUP(N284,A2:D500,4,FALSE))</f>
        <v>#N/A</v>
      </c>
      <c r="P284" s="56">
        <f>'QRA Models'!Q415</f>
        <v>0</v>
      </c>
      <c r="Q284" s="22" t="e">
        <f>IF(LEN(VLOOKUP(P284,A2:D500,4,FALSE))=0,,VLOOKUP(P284,A2:D500,4,FALSE))</f>
        <v>#N/A</v>
      </c>
      <c r="R284" s="56">
        <f>'Health metrics Models'!Q398</f>
        <v>0</v>
      </c>
      <c r="S284" s="22" t="e">
        <f>IF(LEN(VLOOKUP(R284,A2:D500,4,FALSE))=0,,VLOOKUP(R284,A2:D500,4,FALSE))</f>
        <v>#N/A</v>
      </c>
      <c r="T284" s="56">
        <f>'Process Model'!P396</f>
        <v>0</v>
      </c>
      <c r="U284" s="22" t="e">
        <f>IF(LEN(VLOOKUP(T284,A2:D500,4,FALSE))=0,,VLOOKUP(T284,A2:D500,4,FALSE))</f>
        <v>#N/A</v>
      </c>
      <c r="V284" s="56">
        <f>'Toxicological reference value M'!P398</f>
        <v>0</v>
      </c>
      <c r="W284" s="22" t="e">
        <f>IF(LEN(VLOOKUP(V284,A2:D500,4,FALSE))=0,,VLOOKUP(V284,A2:D500,4,FALSE))</f>
        <v>#N/A</v>
      </c>
      <c r="Y284" s="56">
        <f>'Other Empirical Model'!P409</f>
        <v>0</v>
      </c>
      <c r="Z284" s="22" t="e">
        <f>IF(LEN(VLOOKUP(Y284,A2:D500,4,FALSE))=0,,VLOOKUP(Y284,A2:D500,4,FALSE))</f>
        <v>#N/A</v>
      </c>
      <c r="AA284" s="56">
        <f>'Predictive Model'!P396</f>
        <v>0</v>
      </c>
      <c r="AB284" s="22" t="e">
        <f>IF(LEN(VLOOKUP(AA284,A2:D500,4,FALSE))=0,,VLOOKUP(AA284,A2:D500,4,FALSE))</f>
        <v>#N/A</v>
      </c>
      <c r="AC284" s="56">
        <f>'Consumption Model'!P401</f>
        <v>0</v>
      </c>
      <c r="AD284" s="22" t="e">
        <f>IF(LEN(VLOOKUP(AC284,A2:D500,4,FALSE))=0,,VLOOKUP(AC284,A2:D500,4,FALSE))</f>
        <v>#N/A</v>
      </c>
      <c r="AE284" s="22">
        <f>'(Data)'!Q397</f>
        <v>0</v>
      </c>
      <c r="AF284" s="22" t="e">
        <f>IF(LEN(VLOOKUP(AE283:AE284,A2:D500,4,FALSE))=0,,VLOOKUP(AE283:AE284,A2:D500,4,FALSE))</f>
        <v>#N/A</v>
      </c>
      <c r="AH284" s="45">
        <f>'Risk Charact Model'!P415</f>
        <v>0</v>
      </c>
      <c r="AI284" s="58" t="e">
        <f>IF(LEN(VLOOKUP(AH284,A2:D500,4,FALSE))=0,,VLOOKUP(AH284,A2:D500,4,FALSE))</f>
        <v>#N/A</v>
      </c>
    </row>
    <row r="285" spans="9:35" ht="14" x14ac:dyDescent="0.3">
      <c r="I285" s="60">
        <f>'Generic Metadata Schema'!P415</f>
        <v>0</v>
      </c>
      <c r="J285" s="22" t="e">
        <f>IF(LEN(VLOOKUP(I285,A2:D500,4,FALSE))=0,"",VLOOKUP(I285,A2:D500,4,FALSE))</f>
        <v>#N/A</v>
      </c>
      <c r="L285" s="56">
        <f>'Dose-response Model'!O399</f>
        <v>0</v>
      </c>
      <c r="M285" s="22" t="e">
        <f>IF(LEN(VLOOKUP(L285,A2:D500,4,FALSE))=0,,VLOOKUP(L285,A2:D500,4,FALSE))</f>
        <v>#N/A</v>
      </c>
      <c r="N285" s="22">
        <f>'Exposure Model'!O416</f>
        <v>0</v>
      </c>
      <c r="O285" s="22" t="e">
        <f>IF(LEN(VLOOKUP(N285,A2:D500,4,FALSE))=0,,VLOOKUP(N285,A2:D500,4,FALSE))</f>
        <v>#N/A</v>
      </c>
      <c r="P285" s="56">
        <f>'QRA Models'!Q416</f>
        <v>0</v>
      </c>
      <c r="Q285" s="22" t="e">
        <f>IF(LEN(VLOOKUP(P285,A2:D500,4,FALSE))=0,,VLOOKUP(P285,A2:D500,4,FALSE))</f>
        <v>#N/A</v>
      </c>
      <c r="R285" s="56">
        <f>'Health metrics Models'!Q399</f>
        <v>0</v>
      </c>
      <c r="S285" s="22" t="e">
        <f>IF(LEN(VLOOKUP(R285,A2:D500,4,FALSE))=0,,VLOOKUP(R285,A2:D500,4,FALSE))</f>
        <v>#N/A</v>
      </c>
      <c r="T285" s="56">
        <f>'Process Model'!P397</f>
        <v>0</v>
      </c>
      <c r="U285" s="22" t="e">
        <f>IF(LEN(VLOOKUP(T285,A2:D500,4,FALSE))=0,,VLOOKUP(T285,A2:D500,4,FALSE))</f>
        <v>#N/A</v>
      </c>
      <c r="V285" s="56">
        <f>'Toxicological reference value M'!P399</f>
        <v>0</v>
      </c>
      <c r="W285" s="22" t="e">
        <f>IF(LEN(VLOOKUP(V285,A2:D500,4,FALSE))=0,,VLOOKUP(V285,A2:D500,4,FALSE))</f>
        <v>#N/A</v>
      </c>
      <c r="Y285" s="56">
        <f>'Other Empirical Model'!P410</f>
        <v>0</v>
      </c>
      <c r="Z285" s="22" t="e">
        <f>IF(LEN(VLOOKUP(Y285,A2:D500,4,FALSE))=0,,VLOOKUP(Y285,A2:D500,4,FALSE))</f>
        <v>#N/A</v>
      </c>
      <c r="AA285" s="56">
        <f>'Predictive Model'!P397</f>
        <v>0</v>
      </c>
      <c r="AB285" s="22" t="e">
        <f>IF(LEN(VLOOKUP(AA285,A2:D500,4,FALSE))=0,,VLOOKUP(AA285,A2:D500,4,FALSE))</f>
        <v>#N/A</v>
      </c>
      <c r="AC285" s="56">
        <f>'Consumption Model'!P402</f>
        <v>0</v>
      </c>
      <c r="AD285" s="22" t="e">
        <f>IF(LEN(VLOOKUP(AC285,A2:D500,4,FALSE))=0,,VLOOKUP(AC285,A2:D500,4,FALSE))</f>
        <v>#N/A</v>
      </c>
      <c r="AE285" s="22">
        <f>'(Data)'!Q398</f>
        <v>0</v>
      </c>
      <c r="AF285" s="22" t="e">
        <f>IF(LEN(VLOOKUP(AE284:AE285,A2:D500,4,FALSE))=0,,VLOOKUP(AE284:AE285,A2:D500,4,FALSE))</f>
        <v>#N/A</v>
      </c>
      <c r="AH285" s="45">
        <f>'Risk Charact Model'!P416</f>
        <v>0</v>
      </c>
      <c r="AI285" s="58" t="e">
        <f>IF(LEN(VLOOKUP(AH285,A2:D500,4,FALSE))=0,,VLOOKUP(AH285,A2:D500,4,FALSE))</f>
        <v>#N/A</v>
      </c>
    </row>
    <row r="286" spans="9:35" ht="14" x14ac:dyDescent="0.3">
      <c r="I286" s="60">
        <f>'Generic Metadata Schema'!P416</f>
        <v>0</v>
      </c>
      <c r="J286" s="22" t="e">
        <f>IF(LEN(VLOOKUP(I286,A2:D500,4,FALSE))=0,"",VLOOKUP(I286,A2:D500,4,FALSE))</f>
        <v>#N/A</v>
      </c>
      <c r="L286" s="56">
        <f>'Dose-response Model'!O400</f>
        <v>0</v>
      </c>
      <c r="M286" s="22" t="e">
        <f>IF(LEN(VLOOKUP(L286,A2:D500,4,FALSE))=0,,VLOOKUP(L286,A2:D500,4,FALSE))</f>
        <v>#N/A</v>
      </c>
      <c r="N286" s="22">
        <f>'Exposure Model'!O417</f>
        <v>0</v>
      </c>
      <c r="O286" s="22" t="e">
        <f>IF(LEN(VLOOKUP(N286,A2:D500,4,FALSE))=0,,VLOOKUP(N286,A2:D500,4,FALSE))</f>
        <v>#N/A</v>
      </c>
      <c r="P286" s="56">
        <f>'QRA Models'!Q417</f>
        <v>0</v>
      </c>
      <c r="Q286" s="22" t="e">
        <f>IF(LEN(VLOOKUP(P286,A2:D500,4,FALSE))=0,,VLOOKUP(P286,A2:D500,4,FALSE))</f>
        <v>#N/A</v>
      </c>
      <c r="R286" s="56">
        <f>'Health metrics Models'!Q400</f>
        <v>0</v>
      </c>
      <c r="S286" s="22" t="e">
        <f>IF(LEN(VLOOKUP(R286,A2:D500,4,FALSE))=0,,VLOOKUP(R286,A2:D500,4,FALSE))</f>
        <v>#N/A</v>
      </c>
      <c r="T286" s="56">
        <f>'Process Model'!P398</f>
        <v>0</v>
      </c>
      <c r="U286" s="22" t="e">
        <f>IF(LEN(VLOOKUP(T286,A2:D500,4,FALSE))=0,,VLOOKUP(T286,A2:D500,4,FALSE))</f>
        <v>#N/A</v>
      </c>
      <c r="V286" s="56">
        <f>'Toxicological reference value M'!P400</f>
        <v>0</v>
      </c>
      <c r="W286" s="22" t="e">
        <f>IF(LEN(VLOOKUP(V286,A2:D500,4,FALSE))=0,,VLOOKUP(V286,A2:D500,4,FALSE))</f>
        <v>#N/A</v>
      </c>
      <c r="Y286" s="56">
        <f>'Other Empirical Model'!P411</f>
        <v>0</v>
      </c>
      <c r="Z286" s="22" t="e">
        <f>IF(LEN(VLOOKUP(Y286,A2:D500,4,FALSE))=0,,VLOOKUP(Y286,A2:D500,4,FALSE))</f>
        <v>#N/A</v>
      </c>
      <c r="AA286" s="56">
        <f>'Predictive Model'!P398</f>
        <v>0</v>
      </c>
      <c r="AB286" s="22" t="e">
        <f>IF(LEN(VLOOKUP(AA286,A2:D500,4,FALSE))=0,,VLOOKUP(AA286,A2:D500,4,FALSE))</f>
        <v>#N/A</v>
      </c>
      <c r="AC286" s="56">
        <f>'Consumption Model'!P403</f>
        <v>0</v>
      </c>
      <c r="AD286" s="22" t="e">
        <f>IF(LEN(VLOOKUP(AC286,A2:D500,4,FALSE))=0,,VLOOKUP(AC286,A2:D500,4,FALSE))</f>
        <v>#N/A</v>
      </c>
      <c r="AE286" s="22">
        <f>'(Data)'!Q399</f>
        <v>0</v>
      </c>
      <c r="AF286" s="22" t="e">
        <f>IF(LEN(VLOOKUP(AE285:AE286,A2:D500,4,FALSE))=0,,VLOOKUP(AE285:AE286,A2:D500,4,FALSE))</f>
        <v>#N/A</v>
      </c>
      <c r="AH286" s="45">
        <f>'Risk Charact Model'!P417</f>
        <v>0</v>
      </c>
      <c r="AI286" s="58" t="e">
        <f>IF(LEN(VLOOKUP(AH286,A2:D500,4,FALSE))=0,,VLOOKUP(AH286,A2:D500,4,FALSE))</f>
        <v>#N/A</v>
      </c>
    </row>
    <row r="287" spans="9:35" ht="14" x14ac:dyDescent="0.3">
      <c r="I287" s="60">
        <f>'Generic Metadata Schema'!P417</f>
        <v>0</v>
      </c>
      <c r="J287" s="22" t="e">
        <f>IF(LEN(VLOOKUP(I287,A2:D500,4,FALSE))=0,"",VLOOKUP(I287,A2:D500,4,FALSE))</f>
        <v>#N/A</v>
      </c>
      <c r="L287" s="56">
        <f>'Dose-response Model'!O401</f>
        <v>0</v>
      </c>
      <c r="M287" s="22" t="e">
        <f>IF(LEN(VLOOKUP(L287,A2:D500,4,FALSE))=0,,VLOOKUP(L287,A2:D500,4,FALSE))</f>
        <v>#N/A</v>
      </c>
      <c r="N287" s="22">
        <f>'Exposure Model'!O418</f>
        <v>0</v>
      </c>
      <c r="O287" s="22" t="e">
        <f>IF(LEN(VLOOKUP(N287,A2:D500,4,FALSE))=0,,VLOOKUP(N287,A2:D500,4,FALSE))</f>
        <v>#N/A</v>
      </c>
      <c r="P287" s="56">
        <f>'QRA Models'!Q418</f>
        <v>0</v>
      </c>
      <c r="Q287" s="22" t="e">
        <f>IF(LEN(VLOOKUP(P287,A2:D500,4,FALSE))=0,,VLOOKUP(P287,A2:D500,4,FALSE))</f>
        <v>#N/A</v>
      </c>
      <c r="R287" s="56">
        <f>'Health metrics Models'!Q401</f>
        <v>0</v>
      </c>
      <c r="S287" s="22" t="e">
        <f>IF(LEN(VLOOKUP(R287,A2:D500,4,FALSE))=0,,VLOOKUP(R287,A2:D500,4,FALSE))</f>
        <v>#N/A</v>
      </c>
      <c r="T287" s="56">
        <f>'Process Model'!P399</f>
        <v>0</v>
      </c>
      <c r="U287" s="22" t="e">
        <f>IF(LEN(VLOOKUP(T287,A2:D500,4,FALSE))=0,,VLOOKUP(T287,A2:D500,4,FALSE))</f>
        <v>#N/A</v>
      </c>
      <c r="V287" s="56">
        <f>'Toxicological reference value M'!P401</f>
        <v>0</v>
      </c>
      <c r="W287" s="22" t="e">
        <f>IF(LEN(VLOOKUP(V287,A2:D500,4,FALSE))=0,,VLOOKUP(V287,A2:D500,4,FALSE))</f>
        <v>#N/A</v>
      </c>
      <c r="Y287" s="56">
        <f>'Other Empirical Model'!P412</f>
        <v>0</v>
      </c>
      <c r="Z287" s="22" t="e">
        <f>IF(LEN(VLOOKUP(Y287,A2:D500,4,FALSE))=0,,VLOOKUP(Y287,A2:D500,4,FALSE))</f>
        <v>#N/A</v>
      </c>
      <c r="AA287" s="56">
        <f>'Predictive Model'!P399</f>
        <v>0</v>
      </c>
      <c r="AB287" s="22" t="e">
        <f>IF(LEN(VLOOKUP(AA287,A2:D500,4,FALSE))=0,,VLOOKUP(AA287,A2:D500,4,FALSE))</f>
        <v>#N/A</v>
      </c>
      <c r="AC287" s="56">
        <f>'Consumption Model'!P404</f>
        <v>0</v>
      </c>
      <c r="AD287" s="22" t="e">
        <f>IF(LEN(VLOOKUP(AC287,A2:D500,4,FALSE))=0,,VLOOKUP(AC287,A2:D500,4,FALSE))</f>
        <v>#N/A</v>
      </c>
      <c r="AE287" s="22">
        <f>'(Data)'!Q400</f>
        <v>0</v>
      </c>
      <c r="AF287" s="22" t="e">
        <f>IF(LEN(VLOOKUP(AE286:AE287,A2:D500,4,FALSE))=0,,VLOOKUP(AE286:AE287,A2:D500,4,FALSE))</f>
        <v>#N/A</v>
      </c>
      <c r="AH287" s="45">
        <f>'Risk Charact Model'!P418</f>
        <v>0</v>
      </c>
      <c r="AI287" s="58" t="e">
        <f>IF(LEN(VLOOKUP(AH287,A2:D500,4,FALSE))=0,,VLOOKUP(AH287,A2:D500,4,FALSE))</f>
        <v>#N/A</v>
      </c>
    </row>
    <row r="288" spans="9:35" ht="14" x14ac:dyDescent="0.3">
      <c r="I288" s="60">
        <f>'Generic Metadata Schema'!P418</f>
        <v>0</v>
      </c>
      <c r="J288" s="22" t="e">
        <f>IF(LEN(VLOOKUP(I288,A2:D500,4,FALSE))=0,"",VLOOKUP(I288,A2:D500,4,FALSE))</f>
        <v>#N/A</v>
      </c>
      <c r="L288" s="56">
        <f>'Dose-response Model'!O402</f>
        <v>0</v>
      </c>
      <c r="M288" s="22" t="e">
        <f>IF(LEN(VLOOKUP(L288,A2:D500,4,FALSE))=0,,VLOOKUP(L288,A2:D500,4,FALSE))</f>
        <v>#N/A</v>
      </c>
      <c r="N288" s="22">
        <f>'Exposure Model'!O419</f>
        <v>0</v>
      </c>
      <c r="O288" s="22" t="e">
        <f>IF(LEN(VLOOKUP(N288,A2:D500,4,FALSE))=0,,VLOOKUP(N288,A2:D500,4,FALSE))</f>
        <v>#N/A</v>
      </c>
      <c r="P288" s="56">
        <f>'QRA Models'!Q419</f>
        <v>0</v>
      </c>
      <c r="Q288" s="22" t="e">
        <f>IF(LEN(VLOOKUP(P288,A2:D500,4,FALSE))=0,,VLOOKUP(P288,A2:D500,4,FALSE))</f>
        <v>#N/A</v>
      </c>
      <c r="R288" s="56">
        <f>'Health metrics Models'!Q402</f>
        <v>0</v>
      </c>
      <c r="S288" s="22" t="e">
        <f>IF(LEN(VLOOKUP(R288,A2:D500,4,FALSE))=0,,VLOOKUP(R288,A2:D500,4,FALSE))</f>
        <v>#N/A</v>
      </c>
      <c r="T288" s="56">
        <f>'Process Model'!P400</f>
        <v>0</v>
      </c>
      <c r="U288" s="22" t="e">
        <f>IF(LEN(VLOOKUP(T288,A2:D500,4,FALSE))=0,,VLOOKUP(T288,A2:D500,4,FALSE))</f>
        <v>#N/A</v>
      </c>
      <c r="V288" s="56">
        <f>'Toxicological reference value M'!P402</f>
        <v>0</v>
      </c>
      <c r="W288" s="22" t="e">
        <f>IF(LEN(VLOOKUP(V288,A2:D500,4,FALSE))=0,,VLOOKUP(V288,A2:D500,4,FALSE))</f>
        <v>#N/A</v>
      </c>
      <c r="Y288" s="56">
        <f>'Other Empirical Model'!P413</f>
        <v>0</v>
      </c>
      <c r="Z288" s="22" t="e">
        <f>IF(LEN(VLOOKUP(Y288,A2:D500,4,FALSE))=0,,VLOOKUP(Y288,A2:D500,4,FALSE))</f>
        <v>#N/A</v>
      </c>
      <c r="AA288" s="56">
        <f>'Predictive Model'!P400</f>
        <v>0</v>
      </c>
      <c r="AB288" s="22" t="e">
        <f>IF(LEN(VLOOKUP(AA288,A2:D500,4,FALSE))=0,,VLOOKUP(AA288,A2:D500,4,FALSE))</f>
        <v>#N/A</v>
      </c>
      <c r="AC288" s="56">
        <f>'Consumption Model'!P405</f>
        <v>0</v>
      </c>
      <c r="AD288" s="22" t="e">
        <f>IF(LEN(VLOOKUP(AC288,A2:D500,4,FALSE))=0,,VLOOKUP(AC288,A2:D500,4,FALSE))</f>
        <v>#N/A</v>
      </c>
      <c r="AE288" s="22">
        <f>'(Data)'!Q401</f>
        <v>0</v>
      </c>
      <c r="AF288" s="22" t="e">
        <f>IF(LEN(VLOOKUP(AE287:AE288,A2:D500,4,FALSE))=0,,VLOOKUP(AE287:AE288,A2:D500,4,FALSE))</f>
        <v>#N/A</v>
      </c>
      <c r="AH288" s="45">
        <f>'Risk Charact Model'!P419</f>
        <v>0</v>
      </c>
      <c r="AI288" s="58" t="e">
        <f>IF(LEN(VLOOKUP(AH288,A2:D500,4,FALSE))=0,,VLOOKUP(AH288,A2:D500,4,FALSE))</f>
        <v>#N/A</v>
      </c>
    </row>
    <row r="289" spans="1:35" ht="14" x14ac:dyDescent="0.3">
      <c r="I289" s="60">
        <f>'Generic Metadata Schema'!P419</f>
        <v>0</v>
      </c>
      <c r="J289" s="22" t="e">
        <f>IF(LEN(VLOOKUP(I289,A2:D500,4,FALSE))=0,"",VLOOKUP(I289,A2:D500,4,FALSE))</f>
        <v>#N/A</v>
      </c>
      <c r="L289" s="56">
        <f>'Dose-response Model'!O403</f>
        <v>0</v>
      </c>
      <c r="M289" s="22" t="e">
        <f>IF(LEN(VLOOKUP(L289,A2:D500,4,FALSE))=0,,VLOOKUP(L289,A2:D500,4,FALSE))</f>
        <v>#N/A</v>
      </c>
      <c r="N289" s="22">
        <f>'Exposure Model'!O420</f>
        <v>0</v>
      </c>
      <c r="O289" s="22" t="e">
        <f>IF(LEN(VLOOKUP(N289,A2:D500,4,FALSE))=0,,VLOOKUP(N289,A2:D500,4,FALSE))</f>
        <v>#N/A</v>
      </c>
      <c r="P289" s="56">
        <f>'QRA Models'!Q420</f>
        <v>0</v>
      </c>
      <c r="Q289" s="22" t="e">
        <f>IF(LEN(VLOOKUP(P289,A2:D500,4,FALSE))=0,,VLOOKUP(P289,A2:D500,4,FALSE))</f>
        <v>#N/A</v>
      </c>
      <c r="R289" s="56">
        <f>'Health metrics Models'!Q403</f>
        <v>0</v>
      </c>
      <c r="S289" s="22" t="e">
        <f>IF(LEN(VLOOKUP(R289,A2:D500,4,FALSE))=0,,VLOOKUP(R289,A2:D500,4,FALSE))</f>
        <v>#N/A</v>
      </c>
      <c r="T289" s="56">
        <f>'Process Model'!P401</f>
        <v>0</v>
      </c>
      <c r="U289" s="22" t="e">
        <f>IF(LEN(VLOOKUP(T289,A2:D500,4,FALSE))=0,,VLOOKUP(T289,A2:D500,4,FALSE))</f>
        <v>#N/A</v>
      </c>
      <c r="V289" s="56">
        <f>'Toxicological reference value M'!P403</f>
        <v>0</v>
      </c>
      <c r="W289" s="22" t="e">
        <f>IF(LEN(VLOOKUP(V289,A2:D500,4,FALSE))=0,,VLOOKUP(V289,A2:D500,4,FALSE))</f>
        <v>#N/A</v>
      </c>
      <c r="Y289" s="56">
        <f>'Other Empirical Model'!P414</f>
        <v>0</v>
      </c>
      <c r="Z289" s="22" t="e">
        <f>IF(LEN(VLOOKUP(Y289,A2:D500,4,FALSE))=0,,VLOOKUP(Y289,A2:D500,4,FALSE))</f>
        <v>#N/A</v>
      </c>
      <c r="AA289" s="56">
        <f>'Predictive Model'!P401</f>
        <v>0</v>
      </c>
      <c r="AB289" s="22" t="e">
        <f>IF(LEN(VLOOKUP(AA289,A2:D500,4,FALSE))=0,,VLOOKUP(AA289,A2:D500,4,FALSE))</f>
        <v>#N/A</v>
      </c>
      <c r="AC289" s="56">
        <f>'Consumption Model'!P406</f>
        <v>0</v>
      </c>
      <c r="AD289" s="22" t="e">
        <f>IF(LEN(VLOOKUP(AC289,A2:D500,4,FALSE))=0,,VLOOKUP(AC289,A2:D500,4,FALSE))</f>
        <v>#N/A</v>
      </c>
      <c r="AE289" s="22">
        <f>'(Data)'!Q402</f>
        <v>0</v>
      </c>
      <c r="AF289" s="22" t="e">
        <f>IF(LEN(VLOOKUP(AE288:AE289,A2:D500,4,FALSE))=0,,VLOOKUP(AE288:AE289,A2:D500,4,FALSE))</f>
        <v>#N/A</v>
      </c>
      <c r="AH289" s="45">
        <f>'Risk Charact Model'!P420</f>
        <v>0</v>
      </c>
      <c r="AI289" s="58" t="e">
        <f>IF(LEN(VLOOKUP(AH289,A2:D500,4,FALSE))=0,,VLOOKUP(AH289,A2:D500,4,FALSE))</f>
        <v>#N/A</v>
      </c>
    </row>
    <row r="290" spans="1:35" ht="14" x14ac:dyDescent="0.3">
      <c r="I290" s="60">
        <f>'Generic Metadata Schema'!P420</f>
        <v>0</v>
      </c>
      <c r="J290" s="22" t="e">
        <f>IF(LEN(VLOOKUP(I290,A2:D500,4,FALSE))=0,"",VLOOKUP(I290,A2:D500,4,FALSE))</f>
        <v>#N/A</v>
      </c>
      <c r="L290" s="56">
        <f>'Dose-response Model'!O404</f>
        <v>0</v>
      </c>
      <c r="M290" s="22" t="e">
        <f>IF(LEN(VLOOKUP(L290,A2:D500,4,FALSE))=0,,VLOOKUP(L290,A2:D500,4,FALSE))</f>
        <v>#N/A</v>
      </c>
      <c r="N290" s="22">
        <f>'Exposure Model'!O421</f>
        <v>0</v>
      </c>
      <c r="O290" s="22" t="e">
        <f>IF(LEN(VLOOKUP(N290,A2:D500,4,FALSE))=0,,VLOOKUP(N290,A2:D500,4,FALSE))</f>
        <v>#N/A</v>
      </c>
      <c r="P290" s="56">
        <f>'QRA Models'!Q421</f>
        <v>0</v>
      </c>
      <c r="Q290" s="22" t="e">
        <f>IF(LEN(VLOOKUP(P290,A2:D500,4,FALSE))=0,,VLOOKUP(P290,A2:D500,4,FALSE))</f>
        <v>#N/A</v>
      </c>
      <c r="R290" s="56">
        <f>'Health metrics Models'!Q404</f>
        <v>0</v>
      </c>
      <c r="S290" s="22" t="e">
        <f>IF(LEN(VLOOKUP(R290,A2:D500,4,FALSE))=0,,VLOOKUP(R290,A2:D500,4,FALSE))</f>
        <v>#N/A</v>
      </c>
      <c r="T290" s="56">
        <f>'Process Model'!P402</f>
        <v>0</v>
      </c>
      <c r="U290" s="22" t="e">
        <f>IF(LEN(VLOOKUP(T290,A2:D500,4,FALSE))=0,,VLOOKUP(T290,A2:D500,4,FALSE))</f>
        <v>#N/A</v>
      </c>
      <c r="V290" s="56">
        <f>'Toxicological reference value M'!P404</f>
        <v>0</v>
      </c>
      <c r="W290" s="22" t="e">
        <f>IF(LEN(VLOOKUP(V290,A2:D500,4,FALSE))=0,,VLOOKUP(V290,A2:D500,4,FALSE))</f>
        <v>#N/A</v>
      </c>
      <c r="Y290" s="56">
        <f>'Other Empirical Model'!P415</f>
        <v>0</v>
      </c>
      <c r="Z290" s="22" t="e">
        <f>IF(LEN(VLOOKUP(Y290,A2:D500,4,FALSE))=0,,VLOOKUP(Y290,A2:D500,4,FALSE))</f>
        <v>#N/A</v>
      </c>
      <c r="AA290" s="56">
        <f>'Predictive Model'!P402</f>
        <v>0</v>
      </c>
      <c r="AB290" s="22" t="e">
        <f>IF(LEN(VLOOKUP(AA290,A2:D500,4,FALSE))=0,,VLOOKUP(AA290,A2:D500,4,FALSE))</f>
        <v>#N/A</v>
      </c>
      <c r="AC290" s="56">
        <f>'Consumption Model'!P407</f>
        <v>0</v>
      </c>
      <c r="AD290" s="22" t="e">
        <f>IF(LEN(VLOOKUP(AC290,A2:D500,4,FALSE))=0,,VLOOKUP(AC290,A2:D500,4,FALSE))</f>
        <v>#N/A</v>
      </c>
      <c r="AE290" s="22">
        <f>'(Data)'!Q403</f>
        <v>0</v>
      </c>
      <c r="AF290" s="22" t="e">
        <f>IF(LEN(VLOOKUP(AE289:AE290,A2:D500,4,FALSE))=0,,VLOOKUP(AE289:AE290,A2:D500,4,FALSE))</f>
        <v>#N/A</v>
      </c>
      <c r="AH290" s="45">
        <f>'Risk Charact Model'!P421</f>
        <v>0</v>
      </c>
      <c r="AI290" s="58" t="e">
        <f>IF(LEN(VLOOKUP(AH290,A2:D500,4,FALSE))=0,,VLOOKUP(AH290,A2:D500,4,FALSE))</f>
        <v>#N/A</v>
      </c>
    </row>
    <row r="291" spans="1:35" ht="14" x14ac:dyDescent="0.3">
      <c r="I291" s="60">
        <f>'Generic Metadata Schema'!P421</f>
        <v>0</v>
      </c>
      <c r="J291" s="22" t="e">
        <f>IF(LEN(VLOOKUP(I291,A2:D500,4,FALSE))=0,"",VLOOKUP(I291,A2:D500,4,FALSE))</f>
        <v>#N/A</v>
      </c>
      <c r="L291" s="56">
        <f>'Dose-response Model'!O405</f>
        <v>0</v>
      </c>
      <c r="M291" s="22" t="e">
        <f>IF(LEN(VLOOKUP(L291,A2:D500,4,FALSE))=0,,VLOOKUP(L291,A2:D500,4,FALSE))</f>
        <v>#N/A</v>
      </c>
      <c r="N291" s="22">
        <f>'Exposure Model'!O422</f>
        <v>0</v>
      </c>
      <c r="O291" s="22" t="e">
        <f>IF(LEN(VLOOKUP(N291,A2:D500,4,FALSE))=0,,VLOOKUP(N291,A2:D500,4,FALSE))</f>
        <v>#N/A</v>
      </c>
      <c r="P291" s="56">
        <f>'QRA Models'!Q422</f>
        <v>0</v>
      </c>
      <c r="Q291" s="22" t="e">
        <f>IF(LEN(VLOOKUP(P291,A2:D500,4,FALSE))=0,,VLOOKUP(P291,A2:D500,4,FALSE))</f>
        <v>#N/A</v>
      </c>
      <c r="R291" s="56">
        <f>'Health metrics Models'!Q405</f>
        <v>0</v>
      </c>
      <c r="S291" s="22" t="e">
        <f>IF(LEN(VLOOKUP(R291,A2:D500,4,FALSE))=0,,VLOOKUP(R291,A2:D500,4,FALSE))</f>
        <v>#N/A</v>
      </c>
      <c r="T291" s="56">
        <f>'Process Model'!P403</f>
        <v>0</v>
      </c>
      <c r="U291" s="22" t="e">
        <f>IF(LEN(VLOOKUP(T291,A2:D500,4,FALSE))=0,,VLOOKUP(T291,A2:D500,4,FALSE))</f>
        <v>#N/A</v>
      </c>
      <c r="V291" s="56">
        <f>'Toxicological reference value M'!P405</f>
        <v>0</v>
      </c>
      <c r="W291" s="22" t="e">
        <f>IF(LEN(VLOOKUP(V291,A2:D500,4,FALSE))=0,,VLOOKUP(V291,A2:D500,4,FALSE))</f>
        <v>#N/A</v>
      </c>
      <c r="Y291" s="56">
        <f>'Other Empirical Model'!P416</f>
        <v>0</v>
      </c>
      <c r="Z291" s="22" t="e">
        <f>IF(LEN(VLOOKUP(Y291,A2:D500,4,FALSE))=0,,VLOOKUP(Y291,A2:D500,4,FALSE))</f>
        <v>#N/A</v>
      </c>
      <c r="AA291" s="56">
        <f>'Predictive Model'!P403</f>
        <v>0</v>
      </c>
      <c r="AB291" s="22" t="e">
        <f>IF(LEN(VLOOKUP(AA291,A2:D500,4,FALSE))=0,,VLOOKUP(AA291,A2:D500,4,FALSE))</f>
        <v>#N/A</v>
      </c>
      <c r="AC291" s="56">
        <f>'Consumption Model'!P408</f>
        <v>0</v>
      </c>
      <c r="AD291" s="22" t="e">
        <f>IF(LEN(VLOOKUP(AC291,A2:D500,4,FALSE))=0,,VLOOKUP(AC291,A2:D500,4,FALSE))</f>
        <v>#N/A</v>
      </c>
      <c r="AE291" s="22">
        <f>'(Data)'!Q404</f>
        <v>0</v>
      </c>
      <c r="AF291" s="22" t="e">
        <f>IF(LEN(VLOOKUP(AE290:AE291,A2:D500,4,FALSE))=0,,VLOOKUP(AE290:AE291,A2:D500,4,FALSE))</f>
        <v>#N/A</v>
      </c>
      <c r="AH291" s="45">
        <f>'Risk Charact Model'!P422</f>
        <v>0</v>
      </c>
      <c r="AI291" s="58" t="e">
        <f>IF(LEN(VLOOKUP(AH291,A2:D500,4,FALSE))=0,,VLOOKUP(AH291,A2:D500,4,FALSE))</f>
        <v>#N/A</v>
      </c>
    </row>
    <row r="292" spans="1:35" ht="14" x14ac:dyDescent="0.3">
      <c r="I292" s="60">
        <f>'Generic Metadata Schema'!P422</f>
        <v>0</v>
      </c>
      <c r="J292" s="22" t="e">
        <f>IF(LEN(VLOOKUP(I292,A2:D500,4,FALSE))=0,"",VLOOKUP(I292,A2:D500,4,FALSE))</f>
        <v>#N/A</v>
      </c>
      <c r="L292" s="56">
        <f>'Dose-response Model'!O406</f>
        <v>0</v>
      </c>
      <c r="M292" s="22" t="e">
        <f>IF(LEN(VLOOKUP(L292,A2:D500,4,FALSE))=0,,VLOOKUP(L292,A2:D500,4,FALSE))</f>
        <v>#N/A</v>
      </c>
      <c r="N292" s="22">
        <f>'Exposure Model'!O423</f>
        <v>0</v>
      </c>
      <c r="O292" s="22" t="e">
        <f>IF(LEN(VLOOKUP(N292,A2:D500,4,FALSE))=0,,VLOOKUP(N292,A2:D500,4,FALSE))</f>
        <v>#N/A</v>
      </c>
      <c r="P292" s="56">
        <f>'QRA Models'!Q423</f>
        <v>0</v>
      </c>
      <c r="Q292" s="22" t="e">
        <f>IF(LEN(VLOOKUP(P292,A2:D500,4,FALSE))=0,,VLOOKUP(P292,A2:D500,4,FALSE))</f>
        <v>#N/A</v>
      </c>
      <c r="R292" s="56">
        <f>'Health metrics Models'!Q406</f>
        <v>0</v>
      </c>
      <c r="S292" s="22" t="e">
        <f>IF(LEN(VLOOKUP(R292,A2:D500,4,FALSE))=0,,VLOOKUP(R292,A2:D500,4,FALSE))</f>
        <v>#N/A</v>
      </c>
      <c r="T292" s="56">
        <f>'Process Model'!P404</f>
        <v>0</v>
      </c>
      <c r="U292" s="22" t="e">
        <f>IF(LEN(VLOOKUP(T292,A2:D500,4,FALSE))=0,,VLOOKUP(T292,A2:D500,4,FALSE))</f>
        <v>#N/A</v>
      </c>
      <c r="V292" s="56">
        <f>'Toxicological reference value M'!P406</f>
        <v>0</v>
      </c>
      <c r="W292" s="22" t="e">
        <f>IF(LEN(VLOOKUP(V292,A2:D500,4,FALSE))=0,,VLOOKUP(V292,A2:D500,4,FALSE))</f>
        <v>#N/A</v>
      </c>
      <c r="Y292" s="56">
        <f>'Other Empirical Model'!P417</f>
        <v>0</v>
      </c>
      <c r="Z292" s="22" t="e">
        <f>IF(LEN(VLOOKUP(Y292,A2:D500,4,FALSE))=0,,VLOOKUP(Y292,A2:D500,4,FALSE))</f>
        <v>#N/A</v>
      </c>
      <c r="AA292" s="56">
        <f>'Predictive Model'!P404</f>
        <v>0</v>
      </c>
      <c r="AB292" s="22" t="e">
        <f>IF(LEN(VLOOKUP(AA292,A2:D500,4,FALSE))=0,,VLOOKUP(AA292,A2:D500,4,FALSE))</f>
        <v>#N/A</v>
      </c>
      <c r="AC292" s="56">
        <f>'Consumption Model'!P409</f>
        <v>0</v>
      </c>
      <c r="AD292" s="22" t="e">
        <f>IF(LEN(VLOOKUP(AC292,A2:D500,4,FALSE))=0,,VLOOKUP(AC292,A2:D500,4,FALSE))</f>
        <v>#N/A</v>
      </c>
      <c r="AE292" s="22">
        <f>'(Data)'!Q405</f>
        <v>0</v>
      </c>
      <c r="AF292" s="22" t="e">
        <f>IF(LEN(VLOOKUP(AE291:AE292,A2:D500,4,FALSE))=0,,VLOOKUP(AE291:AE292,A2:D500,4,FALSE))</f>
        <v>#N/A</v>
      </c>
      <c r="AH292" s="45">
        <f>'Risk Charact Model'!P423</f>
        <v>0</v>
      </c>
      <c r="AI292" s="58" t="e">
        <f>IF(LEN(VLOOKUP(AH292,A2:D500,4,FALSE))=0,,VLOOKUP(AH292,A2:D500,4,FALSE))</f>
        <v>#N/A</v>
      </c>
    </row>
    <row r="293" spans="1:35" ht="14" x14ac:dyDescent="0.3">
      <c r="I293" s="60">
        <f>'Generic Metadata Schema'!P423</f>
        <v>0</v>
      </c>
      <c r="J293" s="22" t="e">
        <f>IF(LEN(VLOOKUP(I293,A2:D500,4,FALSE))=0,"",VLOOKUP(I293,A2:D500,4,FALSE))</f>
        <v>#N/A</v>
      </c>
      <c r="L293" s="56">
        <f>'Dose-response Model'!O407</f>
        <v>0</v>
      </c>
      <c r="M293" s="22" t="e">
        <f>IF(LEN(VLOOKUP(L293,A2:D500,4,FALSE))=0,,VLOOKUP(L293,A2:D500,4,FALSE))</f>
        <v>#N/A</v>
      </c>
      <c r="N293" s="22">
        <f>'Exposure Model'!O424</f>
        <v>0</v>
      </c>
      <c r="O293" s="22" t="e">
        <f>IF(LEN(VLOOKUP(N293,A2:D500,4,FALSE))=0,,VLOOKUP(N293,A2:D500,4,FALSE))</f>
        <v>#N/A</v>
      </c>
      <c r="P293" s="56">
        <f>'QRA Models'!Q424</f>
        <v>0</v>
      </c>
      <c r="Q293" s="22" t="e">
        <f>IF(LEN(VLOOKUP(P293,A2:D500,4,FALSE))=0,,VLOOKUP(P293,A2:D500,4,FALSE))</f>
        <v>#N/A</v>
      </c>
      <c r="R293" s="56">
        <f>'Health metrics Models'!Q407</f>
        <v>0</v>
      </c>
      <c r="S293" s="22" t="e">
        <f>IF(LEN(VLOOKUP(R293,A2:D500,4,FALSE))=0,,VLOOKUP(R293,A2:D500,4,FALSE))</f>
        <v>#N/A</v>
      </c>
      <c r="T293" s="56">
        <f>'Process Model'!P405</f>
        <v>0</v>
      </c>
      <c r="U293" s="22" t="e">
        <f>IF(LEN(VLOOKUP(T293,A2:D500,4,FALSE))=0,,VLOOKUP(T293,A2:D500,4,FALSE))</f>
        <v>#N/A</v>
      </c>
      <c r="V293" s="56">
        <f>'Toxicological reference value M'!P407</f>
        <v>0</v>
      </c>
      <c r="W293" s="22" t="e">
        <f>IF(LEN(VLOOKUP(V293,A2:D500,4,FALSE))=0,,VLOOKUP(V293,A2:D500,4,FALSE))</f>
        <v>#N/A</v>
      </c>
      <c r="Y293" s="56">
        <f>'Other Empirical Model'!P418</f>
        <v>0</v>
      </c>
      <c r="Z293" s="22" t="e">
        <f>IF(LEN(VLOOKUP(Y293,A2:D500,4,FALSE))=0,,VLOOKUP(Y293,A2:D500,4,FALSE))</f>
        <v>#N/A</v>
      </c>
      <c r="AA293" s="56">
        <f>'Predictive Model'!P405</f>
        <v>0</v>
      </c>
      <c r="AB293" s="22" t="e">
        <f>IF(LEN(VLOOKUP(AA293,A2:D500,4,FALSE))=0,,VLOOKUP(AA293,A2:D500,4,FALSE))</f>
        <v>#N/A</v>
      </c>
      <c r="AC293" s="56">
        <f>'Consumption Model'!P410</f>
        <v>0</v>
      </c>
      <c r="AD293" s="22" t="e">
        <f>IF(LEN(VLOOKUP(AC293,A2:D500,4,FALSE))=0,,VLOOKUP(AC293,A2:D500,4,FALSE))</f>
        <v>#N/A</v>
      </c>
      <c r="AE293" s="22">
        <f>'(Data)'!Q406</f>
        <v>0</v>
      </c>
      <c r="AF293" s="22" t="e">
        <f>IF(LEN(VLOOKUP(AE292:AE293,A2:D500,4,FALSE))=0,,VLOOKUP(AE292:AE293,A2:D500,4,FALSE))</f>
        <v>#N/A</v>
      </c>
      <c r="AH293" s="45">
        <f>'Risk Charact Model'!P424</f>
        <v>0</v>
      </c>
      <c r="AI293" s="58" t="e">
        <f>IF(LEN(VLOOKUP(AH293,A2:D500,4,FALSE))=0,,VLOOKUP(AH293,A2:D500,4,FALSE))</f>
        <v>#N/A</v>
      </c>
    </row>
    <row r="294" spans="1:35" ht="14" x14ac:dyDescent="0.3">
      <c r="I294" s="60">
        <f>'Generic Metadata Schema'!P424</f>
        <v>0</v>
      </c>
      <c r="J294" s="22" t="e">
        <f>IF(LEN(VLOOKUP(I294,A2:D500,4,FALSE))=0,"",VLOOKUP(I294,A2:D500,4,FALSE))</f>
        <v>#N/A</v>
      </c>
      <c r="L294" s="56">
        <f>'Dose-response Model'!O408</f>
        <v>0</v>
      </c>
      <c r="M294" s="22" t="e">
        <f>IF(LEN(VLOOKUP(L294,A2:D500,4,FALSE))=0,,VLOOKUP(L294,A2:D500,4,FALSE))</f>
        <v>#N/A</v>
      </c>
      <c r="N294" s="22">
        <f>'Exposure Model'!O425</f>
        <v>0</v>
      </c>
      <c r="O294" s="22" t="e">
        <f>IF(LEN(VLOOKUP(N294,A2:D500,4,FALSE))=0,,VLOOKUP(N294,A2:D500,4,FALSE))</f>
        <v>#N/A</v>
      </c>
      <c r="P294" s="56">
        <f>'QRA Models'!Q425</f>
        <v>0</v>
      </c>
      <c r="Q294" s="22" t="e">
        <f>IF(LEN(VLOOKUP(P294,A2:D500,4,FALSE))=0,,VLOOKUP(P294,A2:D500,4,FALSE))</f>
        <v>#N/A</v>
      </c>
      <c r="R294" s="56">
        <f>'Health metrics Models'!Q408</f>
        <v>0</v>
      </c>
      <c r="S294" s="22" t="e">
        <f>IF(LEN(VLOOKUP(R294,A2:D500,4,FALSE))=0,,VLOOKUP(R294,A2:D500,4,FALSE))</f>
        <v>#N/A</v>
      </c>
      <c r="T294" s="56">
        <f>'Process Model'!P406</f>
        <v>0</v>
      </c>
      <c r="U294" s="22" t="e">
        <f>IF(LEN(VLOOKUP(T294,A2:D500,4,FALSE))=0,,VLOOKUP(T294,A2:D500,4,FALSE))</f>
        <v>#N/A</v>
      </c>
      <c r="V294" s="56">
        <f>'Toxicological reference value M'!P408</f>
        <v>0</v>
      </c>
      <c r="W294" s="22" t="e">
        <f>IF(LEN(VLOOKUP(V294,A2:D500,4,FALSE))=0,,VLOOKUP(V294,A2:D500,4,FALSE))</f>
        <v>#N/A</v>
      </c>
      <c r="Y294" s="56">
        <f>'Other Empirical Model'!P419</f>
        <v>0</v>
      </c>
      <c r="Z294" s="22" t="e">
        <f>IF(LEN(VLOOKUP(Y294,A2:D500,4,FALSE))=0,,VLOOKUP(Y294,A2:D500,4,FALSE))</f>
        <v>#N/A</v>
      </c>
      <c r="AA294" s="56">
        <f>'Predictive Model'!P406</f>
        <v>0</v>
      </c>
      <c r="AB294" s="22" t="e">
        <f>IF(LEN(VLOOKUP(AA294,A2:D500,4,FALSE))=0,,VLOOKUP(AA294,A2:D500,4,FALSE))</f>
        <v>#N/A</v>
      </c>
      <c r="AC294" s="56">
        <f>'Consumption Model'!P411</f>
        <v>0</v>
      </c>
      <c r="AD294" s="22" t="e">
        <f>IF(LEN(VLOOKUP(AC294,A2:D500,4,FALSE))=0,,VLOOKUP(AC294,A2:D500,4,FALSE))</f>
        <v>#N/A</v>
      </c>
      <c r="AE294" s="22">
        <f>'(Data)'!Q407</f>
        <v>0</v>
      </c>
      <c r="AF294" s="22" t="e">
        <f>IF(LEN(VLOOKUP(AE293:AE294,A2:D500,4,FALSE))=0,,VLOOKUP(AE293:AE294,A2:D500,4,FALSE))</f>
        <v>#N/A</v>
      </c>
      <c r="AH294" s="45">
        <f>'Risk Charact Model'!P425</f>
        <v>0</v>
      </c>
      <c r="AI294" s="58" t="e">
        <f>IF(LEN(VLOOKUP(AH294,A2:D500,4,FALSE))=0,,VLOOKUP(AH294,A2:D500,4,FALSE))</f>
        <v>#N/A</v>
      </c>
    </row>
    <row r="295" spans="1:35" ht="14" x14ac:dyDescent="0.3">
      <c r="I295" s="60">
        <f>'Generic Metadata Schema'!P425</f>
        <v>0</v>
      </c>
      <c r="J295" s="22" t="e">
        <f>IF(LEN(VLOOKUP(I295,A2:D500,4,FALSE))=0,"",VLOOKUP(I295,A2:D500,4,FALSE))</f>
        <v>#N/A</v>
      </c>
      <c r="L295" s="56">
        <f>'Dose-response Model'!O409</f>
        <v>0</v>
      </c>
      <c r="M295" s="22" t="e">
        <f>IF(LEN(VLOOKUP(L295,A2:D500,4,FALSE))=0,,VLOOKUP(L295,A2:D500,4,FALSE))</f>
        <v>#N/A</v>
      </c>
      <c r="N295" s="22">
        <f>'Exposure Model'!O426</f>
        <v>0</v>
      </c>
      <c r="O295" s="22" t="e">
        <f>IF(LEN(VLOOKUP(N295,A2:D500,4,FALSE))=0,,VLOOKUP(N295,A2:D500,4,FALSE))</f>
        <v>#N/A</v>
      </c>
      <c r="P295" s="56">
        <f>'QRA Models'!Q426</f>
        <v>0</v>
      </c>
      <c r="Q295" s="22" t="e">
        <f>IF(LEN(VLOOKUP(P295,A2:D500,4,FALSE))=0,,VLOOKUP(P295,A2:D500,4,FALSE))</f>
        <v>#N/A</v>
      </c>
      <c r="R295" s="56">
        <f>'Health metrics Models'!Q409</f>
        <v>0</v>
      </c>
      <c r="S295" s="22" t="e">
        <f>IF(LEN(VLOOKUP(R295,A2:D500,4,FALSE))=0,,VLOOKUP(R295,A2:D500,4,FALSE))</f>
        <v>#N/A</v>
      </c>
      <c r="T295" s="56">
        <f>'Process Model'!P407</f>
        <v>0</v>
      </c>
      <c r="U295" s="22" t="e">
        <f>IF(LEN(VLOOKUP(T295,A2:D500,4,FALSE))=0,,VLOOKUP(T295,A2:D500,4,FALSE))</f>
        <v>#N/A</v>
      </c>
      <c r="V295" s="56">
        <f>'Toxicological reference value M'!P409</f>
        <v>0</v>
      </c>
      <c r="W295" s="22" t="e">
        <f>IF(LEN(VLOOKUP(V295,A2:D500,4,FALSE))=0,,VLOOKUP(V295,A2:D500,4,FALSE))</f>
        <v>#N/A</v>
      </c>
      <c r="Y295" s="56">
        <f>'Other Empirical Model'!P420</f>
        <v>0</v>
      </c>
      <c r="Z295" s="22" t="e">
        <f>IF(LEN(VLOOKUP(Y295,A2:D500,4,FALSE))=0,,VLOOKUP(Y295,A2:D500,4,FALSE))</f>
        <v>#N/A</v>
      </c>
      <c r="AA295" s="56">
        <f>'Predictive Model'!P407</f>
        <v>0</v>
      </c>
      <c r="AB295" s="22" t="e">
        <f>IF(LEN(VLOOKUP(AA295,A2:D500,4,FALSE))=0,,VLOOKUP(AA295,A2:D500,4,FALSE))</f>
        <v>#N/A</v>
      </c>
      <c r="AC295" s="56">
        <f>'Consumption Model'!P412</f>
        <v>0</v>
      </c>
      <c r="AD295" s="22" t="e">
        <f>IF(LEN(VLOOKUP(AC295,A2:D500,4,FALSE))=0,,VLOOKUP(AC295,A2:D500,4,FALSE))</f>
        <v>#N/A</v>
      </c>
      <c r="AE295" s="22">
        <f>'(Data)'!Q408</f>
        <v>0</v>
      </c>
      <c r="AF295" s="22" t="e">
        <f>IF(LEN(VLOOKUP(AE294:AE295,A2:D500,4,FALSE))=0,,VLOOKUP(AE294:AE295,A2:D500,4,FALSE))</f>
        <v>#N/A</v>
      </c>
      <c r="AH295" s="45">
        <f>'Risk Charact Model'!P426</f>
        <v>0</v>
      </c>
      <c r="AI295" s="58" t="e">
        <f>IF(LEN(VLOOKUP(AH295,A2:D500,4,FALSE))=0,,VLOOKUP(AH295,A2:D500,4,FALSE))</f>
        <v>#N/A</v>
      </c>
    </row>
    <row r="296" spans="1:35" ht="14" x14ac:dyDescent="0.3">
      <c r="I296" s="60">
        <f>'Generic Metadata Schema'!P426</f>
        <v>0</v>
      </c>
      <c r="J296" s="22" t="e">
        <f>IF(LEN(VLOOKUP(I296,A2:D500,4,FALSE))=0,"",VLOOKUP(I296,A2:D500,4,FALSE))</f>
        <v>#N/A</v>
      </c>
      <c r="L296" s="56">
        <f>'Dose-response Model'!O410</f>
        <v>0</v>
      </c>
      <c r="M296" s="22" t="e">
        <f>IF(LEN(VLOOKUP(L296,A2:D500,4,FALSE))=0,,VLOOKUP(L296,A2:D500,4,FALSE))</f>
        <v>#N/A</v>
      </c>
      <c r="N296" s="22">
        <f>'Exposure Model'!O427</f>
        <v>0</v>
      </c>
      <c r="O296" s="22" t="e">
        <f>IF(LEN(VLOOKUP(N296,A2:D500,4,FALSE))=0,,VLOOKUP(N296,A2:D500,4,FALSE))</f>
        <v>#N/A</v>
      </c>
      <c r="P296" s="56">
        <f>'QRA Models'!Q427</f>
        <v>0</v>
      </c>
      <c r="Q296" s="22" t="e">
        <f>IF(LEN(VLOOKUP(P296,A2:D500,4,FALSE))=0,,VLOOKUP(P296,A2:D500,4,FALSE))</f>
        <v>#N/A</v>
      </c>
      <c r="R296" s="56">
        <f>'Health metrics Models'!Q410</f>
        <v>0</v>
      </c>
      <c r="S296" s="22" t="e">
        <f>IF(LEN(VLOOKUP(R296,A2:D500,4,FALSE))=0,,VLOOKUP(R296,A2:D500,4,FALSE))</f>
        <v>#N/A</v>
      </c>
      <c r="T296" s="56">
        <f>'Process Model'!P408</f>
        <v>0</v>
      </c>
      <c r="U296" s="22" t="e">
        <f>IF(LEN(VLOOKUP(T296,A2:D500,4,FALSE))=0,,VLOOKUP(T296,A2:D500,4,FALSE))</f>
        <v>#N/A</v>
      </c>
      <c r="V296" s="56">
        <f>'Toxicological reference value M'!P410</f>
        <v>0</v>
      </c>
      <c r="W296" s="22" t="e">
        <f>IF(LEN(VLOOKUP(V296,A2:D500,4,FALSE))=0,,VLOOKUP(V296,A2:D500,4,FALSE))</f>
        <v>#N/A</v>
      </c>
      <c r="Y296" s="56">
        <f>'Other Empirical Model'!P421</f>
        <v>0</v>
      </c>
      <c r="Z296" s="22" t="e">
        <f>IF(LEN(VLOOKUP(Y296,A2:D500,4,FALSE))=0,,VLOOKUP(Y296,A2:D500,4,FALSE))</f>
        <v>#N/A</v>
      </c>
      <c r="AA296" s="56">
        <f>'Predictive Model'!P408</f>
        <v>0</v>
      </c>
      <c r="AB296" s="22" t="e">
        <f>IF(LEN(VLOOKUP(AA296,A2:D500,4,FALSE))=0,,VLOOKUP(AA296,A2:D500,4,FALSE))</f>
        <v>#N/A</v>
      </c>
      <c r="AC296" s="56">
        <f>'Consumption Model'!P413</f>
        <v>0</v>
      </c>
      <c r="AD296" s="22" t="e">
        <f>IF(LEN(VLOOKUP(AC296,A2:D500,4,FALSE))=0,,VLOOKUP(AC296,A2:D500,4,FALSE))</f>
        <v>#N/A</v>
      </c>
      <c r="AE296" s="22">
        <f>'(Data)'!Q409</f>
        <v>0</v>
      </c>
      <c r="AF296" s="22" t="e">
        <f>IF(LEN(VLOOKUP(AE295:AE296,A2:D500,4,FALSE))=0,,VLOOKUP(AE295:AE296,A2:D500,4,FALSE))</f>
        <v>#N/A</v>
      </c>
      <c r="AH296" s="45">
        <f>'Risk Charact Model'!P427</f>
        <v>0</v>
      </c>
      <c r="AI296" s="58" t="e">
        <f>IF(LEN(VLOOKUP(AH296,A2:D500,4,FALSE))=0,,VLOOKUP(AH296,A2:D500,4,FALSE))</f>
        <v>#N/A</v>
      </c>
    </row>
    <row r="297" spans="1:35" ht="14" x14ac:dyDescent="0.3">
      <c r="I297" s="60">
        <f>'Generic Metadata Schema'!P427</f>
        <v>0</v>
      </c>
      <c r="J297" s="22" t="e">
        <f>IF(LEN(VLOOKUP(I297,A2:D500,4,FALSE))=0,"",VLOOKUP(I297,A2:D500,4,FALSE))</f>
        <v>#N/A</v>
      </c>
      <c r="L297" s="56">
        <f>'Dose-response Model'!O411</f>
        <v>0</v>
      </c>
      <c r="M297" s="22" t="e">
        <f>IF(LEN(VLOOKUP(L297,A2:D500,4,FALSE))=0,,VLOOKUP(L297,A2:D500,4,FALSE))</f>
        <v>#N/A</v>
      </c>
      <c r="N297" s="22">
        <f>'Exposure Model'!O428</f>
        <v>0</v>
      </c>
      <c r="O297" s="22" t="e">
        <f>IF(LEN(VLOOKUP(N297,A2:D500,4,FALSE))=0,,VLOOKUP(N297,A2:D500,4,FALSE))</f>
        <v>#N/A</v>
      </c>
      <c r="P297" s="56">
        <f>'QRA Models'!Q428</f>
        <v>0</v>
      </c>
      <c r="Q297" s="22" t="e">
        <f>IF(LEN(VLOOKUP(P297,A2:D500,4,FALSE))=0,,VLOOKUP(P297,A2:D500,4,FALSE))</f>
        <v>#N/A</v>
      </c>
      <c r="R297" s="56">
        <f>'Health metrics Models'!Q411</f>
        <v>0</v>
      </c>
      <c r="S297" s="22" t="e">
        <f>IF(LEN(VLOOKUP(R297,A2:D500,4,FALSE))=0,,VLOOKUP(R297,A2:D500,4,FALSE))</f>
        <v>#N/A</v>
      </c>
      <c r="T297" s="56">
        <f>'Process Model'!P409</f>
        <v>0</v>
      </c>
      <c r="U297" s="22" t="e">
        <f>IF(LEN(VLOOKUP(T297,A2:D500,4,FALSE))=0,,VLOOKUP(T297,A2:D500,4,FALSE))</f>
        <v>#N/A</v>
      </c>
      <c r="V297" s="56">
        <f>'Toxicological reference value M'!P411</f>
        <v>0</v>
      </c>
      <c r="W297" s="22" t="e">
        <f>IF(LEN(VLOOKUP(V297,A2:D500,4,FALSE))=0,,VLOOKUP(V297,A2:D500,4,FALSE))</f>
        <v>#N/A</v>
      </c>
      <c r="Y297" s="56">
        <f>'Other Empirical Model'!P422</f>
        <v>0</v>
      </c>
      <c r="Z297" s="22" t="e">
        <f>IF(LEN(VLOOKUP(Y297,A2:D500,4,FALSE))=0,,VLOOKUP(Y297,A2:D500,4,FALSE))</f>
        <v>#N/A</v>
      </c>
      <c r="AA297" s="56">
        <f>'Predictive Model'!P409</f>
        <v>0</v>
      </c>
      <c r="AB297" s="22" t="e">
        <f>IF(LEN(VLOOKUP(AA297,A2:D500,4,FALSE))=0,,VLOOKUP(AA297,A2:D500,4,FALSE))</f>
        <v>#N/A</v>
      </c>
      <c r="AC297" s="56">
        <f>'Consumption Model'!P414</f>
        <v>0</v>
      </c>
      <c r="AD297" s="22" t="e">
        <f>IF(LEN(VLOOKUP(AC297,A2:D500,4,FALSE))=0,,VLOOKUP(AC297,A2:D500,4,FALSE))</f>
        <v>#N/A</v>
      </c>
      <c r="AE297" s="22">
        <f>'(Data)'!Q410</f>
        <v>0</v>
      </c>
      <c r="AF297" s="22" t="e">
        <f>IF(LEN(VLOOKUP(AE296:AE297,A2:D500,4,FALSE))=0,,VLOOKUP(AE296:AE297,A2:D500,4,FALSE))</f>
        <v>#N/A</v>
      </c>
      <c r="AH297" s="45">
        <f>'Risk Charact Model'!P428</f>
        <v>0</v>
      </c>
      <c r="AI297" s="58" t="e">
        <f>IF(LEN(VLOOKUP(AH297,A2:D500,4,FALSE))=0,,VLOOKUP(AH297,A2:D500,4,FALSE))</f>
        <v>#N/A</v>
      </c>
    </row>
    <row r="298" spans="1:35" ht="14" x14ac:dyDescent="0.3">
      <c r="E298" s="45"/>
      <c r="I298" s="60">
        <f>'Generic Metadata Schema'!P428</f>
        <v>0</v>
      </c>
      <c r="J298" s="22" t="e">
        <f>IF(LEN(VLOOKUP(I298,A2:D500,4,FALSE))=0,"",VLOOKUP(I298,A2:D500,4,FALSE))</f>
        <v>#N/A</v>
      </c>
      <c r="L298" s="56">
        <f>'Dose-response Model'!O412</f>
        <v>0</v>
      </c>
      <c r="M298" s="22" t="e">
        <f>IF(LEN(VLOOKUP(L298,A2:D500,4,FALSE))=0,,VLOOKUP(L298,A2:D500,4,FALSE))</f>
        <v>#N/A</v>
      </c>
      <c r="N298" s="22">
        <f>'Exposure Model'!O429</f>
        <v>0</v>
      </c>
      <c r="O298" s="22" t="e">
        <f>IF(LEN(VLOOKUP(N298,A2:D500,4,FALSE))=0,,VLOOKUP(N298,A2:D500,4,FALSE))</f>
        <v>#N/A</v>
      </c>
      <c r="P298" s="56">
        <f>'QRA Models'!Q429</f>
        <v>0</v>
      </c>
      <c r="Q298" s="22" t="e">
        <f>IF(LEN(VLOOKUP(P298,A2:D500,4,FALSE))=0,,VLOOKUP(P298,A2:D500,4,FALSE))</f>
        <v>#N/A</v>
      </c>
      <c r="R298" s="56">
        <f>'Health metrics Models'!Q412</f>
        <v>0</v>
      </c>
      <c r="S298" s="22" t="e">
        <f>IF(LEN(VLOOKUP(R298,A2:D500,4,FALSE))=0,,VLOOKUP(R298,A2:D500,4,FALSE))</f>
        <v>#N/A</v>
      </c>
      <c r="T298" s="56">
        <f>'Process Model'!P410</f>
        <v>0</v>
      </c>
      <c r="U298" s="22" t="e">
        <f>IF(LEN(VLOOKUP(T298,A2:D500,4,FALSE))=0,,VLOOKUP(T298,A2:D500,4,FALSE))</f>
        <v>#N/A</v>
      </c>
      <c r="V298" s="56">
        <f>'Toxicological reference value M'!P412</f>
        <v>0</v>
      </c>
      <c r="W298" s="22" t="e">
        <f>IF(LEN(VLOOKUP(V298,A2:D500,4,FALSE))=0,,VLOOKUP(V298,A2:D500,4,FALSE))</f>
        <v>#N/A</v>
      </c>
      <c r="Y298" s="56">
        <f>'Other Empirical Model'!P423</f>
        <v>0</v>
      </c>
      <c r="Z298" s="22" t="e">
        <f>IF(LEN(VLOOKUP(Y298,A2:D500,4,FALSE))=0,,VLOOKUP(Y298,A2:D500,4,FALSE))</f>
        <v>#N/A</v>
      </c>
      <c r="AA298" s="56">
        <f>'Predictive Model'!P410</f>
        <v>0</v>
      </c>
      <c r="AB298" s="22" t="e">
        <f>IF(LEN(VLOOKUP(AA298,A2:D500,4,FALSE))=0,,VLOOKUP(AA298,A2:D500,4,FALSE))</f>
        <v>#N/A</v>
      </c>
      <c r="AC298" s="56">
        <f>'Consumption Model'!P415</f>
        <v>0</v>
      </c>
      <c r="AD298" s="22" t="e">
        <f>IF(LEN(VLOOKUP(AC298,A2:D500,4,FALSE))=0,,VLOOKUP(AC298,A2:D500,4,FALSE))</f>
        <v>#N/A</v>
      </c>
      <c r="AE298" s="22">
        <f>'(Data)'!Q411</f>
        <v>0</v>
      </c>
      <c r="AF298" s="22" t="e">
        <f>IF(LEN(VLOOKUP(AE297:AE298,A2:D500,4,FALSE))=0,,VLOOKUP(AE297:AE298,A2:D500,4,FALSE))</f>
        <v>#N/A</v>
      </c>
      <c r="AH298" s="45">
        <f>'Risk Charact Model'!P429</f>
        <v>0</v>
      </c>
      <c r="AI298" s="58" t="e">
        <f>IF(LEN(VLOOKUP(AH298,A2:D500,4,FALSE))=0,,VLOOKUP(AH298,A2:D500,4,FALSE))</f>
        <v>#N/A</v>
      </c>
    </row>
    <row r="299" spans="1:35" ht="14" x14ac:dyDescent="0.3">
      <c r="A299" s="45"/>
      <c r="I299" s="60">
        <f>'Generic Metadata Schema'!P429</f>
        <v>0</v>
      </c>
      <c r="J299" s="22" t="e">
        <f>IF(LEN(VLOOKUP(I299,A2:D500,4,FALSE))=0,"",VLOOKUP(I299,A2:D500,4,FALSE))</f>
        <v>#N/A</v>
      </c>
      <c r="L299" s="56">
        <f>'Dose-response Model'!O413</f>
        <v>0</v>
      </c>
      <c r="M299" s="22" t="e">
        <f>IF(LEN(VLOOKUP(L299,A2:D500,4,FALSE))=0,,VLOOKUP(L299,A2:D500,4,FALSE))</f>
        <v>#N/A</v>
      </c>
      <c r="N299" s="22">
        <f>'Exposure Model'!O430</f>
        <v>0</v>
      </c>
      <c r="O299" s="22" t="e">
        <f>IF(LEN(VLOOKUP(N299,A2:D500,4,FALSE))=0,,VLOOKUP(N299,A2:D500,4,FALSE))</f>
        <v>#N/A</v>
      </c>
      <c r="P299" s="56">
        <f>'QRA Models'!Q430</f>
        <v>0</v>
      </c>
      <c r="Q299" s="22" t="e">
        <f>IF(LEN(VLOOKUP(P299,A2:D500,4,FALSE))=0,,VLOOKUP(P299,A2:D500,4,FALSE))</f>
        <v>#N/A</v>
      </c>
      <c r="R299" s="56">
        <f>'Health metrics Models'!Q413</f>
        <v>0</v>
      </c>
      <c r="S299" s="22" t="e">
        <f>IF(LEN(VLOOKUP(R299,A2:D500,4,FALSE))=0,,VLOOKUP(R299,A2:D500,4,FALSE))</f>
        <v>#N/A</v>
      </c>
      <c r="T299" s="56">
        <f>'Process Model'!P411</f>
        <v>0</v>
      </c>
      <c r="U299" s="22" t="e">
        <f>IF(LEN(VLOOKUP(T299,A2:D500,4,FALSE))=0,,VLOOKUP(T299,A2:D500,4,FALSE))</f>
        <v>#N/A</v>
      </c>
      <c r="V299" s="56">
        <f>'Toxicological reference value M'!P413</f>
        <v>0</v>
      </c>
      <c r="W299" s="22" t="e">
        <f>IF(LEN(VLOOKUP(V299,A2:D500,4,FALSE))=0,,VLOOKUP(V299,A2:D500,4,FALSE))</f>
        <v>#N/A</v>
      </c>
      <c r="Y299" s="56">
        <f>'Other Empirical Model'!P424</f>
        <v>0</v>
      </c>
      <c r="Z299" s="22" t="e">
        <f>IF(LEN(VLOOKUP(Y299,A2:D500,4,FALSE))=0,,VLOOKUP(Y299,A2:D500,4,FALSE))</f>
        <v>#N/A</v>
      </c>
      <c r="AA299" s="56">
        <f>'Predictive Model'!P411</f>
        <v>0</v>
      </c>
      <c r="AB299" s="22" t="e">
        <f>IF(LEN(VLOOKUP(AA299,A2:D500,4,FALSE))=0,,VLOOKUP(AA299,A2:D500,4,FALSE))</f>
        <v>#N/A</v>
      </c>
      <c r="AC299" s="56">
        <f>'Consumption Model'!P416</f>
        <v>0</v>
      </c>
      <c r="AD299" s="22" t="e">
        <f>IF(LEN(VLOOKUP(AC299,A2:D500,4,FALSE))=0,,VLOOKUP(AC299,A2:D500,4,FALSE))</f>
        <v>#N/A</v>
      </c>
      <c r="AE299" s="22">
        <f>'(Data)'!Q412</f>
        <v>0</v>
      </c>
      <c r="AF299" s="22" t="e">
        <f>IF(LEN(VLOOKUP(AE298:AE299,A2:D500,4,FALSE))=0,,VLOOKUP(AE298:AE299,A2:D500,4,FALSE))</f>
        <v>#N/A</v>
      </c>
      <c r="AH299" s="45">
        <f>'Risk Charact Model'!P430</f>
        <v>0</v>
      </c>
      <c r="AI299" s="58" t="e">
        <f>IF(LEN(VLOOKUP(AH299,A2:D500,4,FALSE))=0,,VLOOKUP(AH299,A2:D500,4,FALSE))</f>
        <v>#N/A</v>
      </c>
    </row>
    <row r="300" spans="1:35" ht="14" x14ac:dyDescent="0.3">
      <c r="I300" s="60">
        <f>'Generic Metadata Schema'!P430</f>
        <v>0</v>
      </c>
      <c r="J300" s="22" t="e">
        <f>IF(LEN(VLOOKUP(I300,A2:D500,4,FALSE))=0,"",VLOOKUP(I300,A2:D500,4,FALSE))</f>
        <v>#N/A</v>
      </c>
      <c r="L300" s="56">
        <f>'Dose-response Model'!O414</f>
        <v>0</v>
      </c>
      <c r="M300" s="22" t="e">
        <f>IF(LEN(VLOOKUP(L300,A2:D500,4,FALSE))=0,,VLOOKUP(L300,A2:D500,4,FALSE))</f>
        <v>#N/A</v>
      </c>
      <c r="N300" s="22">
        <f>'Exposure Model'!O431</f>
        <v>0</v>
      </c>
      <c r="O300" s="22" t="e">
        <f>IF(LEN(VLOOKUP(N300,A2:D500,4,FALSE))=0,,VLOOKUP(N300,A2:D500,4,FALSE))</f>
        <v>#N/A</v>
      </c>
      <c r="P300" s="56">
        <f>'QRA Models'!Q431</f>
        <v>0</v>
      </c>
      <c r="Q300" s="22" t="e">
        <f>IF(LEN(VLOOKUP(P300,A2:D500,4,FALSE))=0,,VLOOKUP(P300,A2:D500,4,FALSE))</f>
        <v>#N/A</v>
      </c>
      <c r="R300" s="56">
        <f>'Health metrics Models'!Q414</f>
        <v>0</v>
      </c>
      <c r="S300" s="22" t="e">
        <f>IF(LEN(VLOOKUP(R300,A2:D500,4,FALSE))=0,,VLOOKUP(R300,A2:D500,4,FALSE))</f>
        <v>#N/A</v>
      </c>
      <c r="T300" s="56">
        <f>'Process Model'!P412</f>
        <v>0</v>
      </c>
      <c r="U300" s="22" t="e">
        <f>IF(LEN(VLOOKUP(T300,A2:D500,4,FALSE))=0,,VLOOKUP(T300,A2:D500,4,FALSE))</f>
        <v>#N/A</v>
      </c>
      <c r="V300" s="56">
        <f>'Toxicological reference value M'!P414</f>
        <v>0</v>
      </c>
      <c r="W300" s="22" t="e">
        <f>IF(LEN(VLOOKUP(V300,A2:D500,4,FALSE))=0,,VLOOKUP(V300,A2:D500,4,FALSE))</f>
        <v>#N/A</v>
      </c>
      <c r="Y300" s="56">
        <f>'Other Empirical Model'!P425</f>
        <v>0</v>
      </c>
      <c r="Z300" s="22" t="e">
        <f>IF(LEN(VLOOKUP(Y300,A2:D500,4,FALSE))=0,,VLOOKUP(Y300,A2:D500,4,FALSE))</f>
        <v>#N/A</v>
      </c>
      <c r="AA300" s="56">
        <f>'Predictive Model'!P412</f>
        <v>0</v>
      </c>
      <c r="AB300" s="22" t="e">
        <f>IF(LEN(VLOOKUP(AA300,A2:D500,4,FALSE))=0,,VLOOKUP(AA300,A2:D500,4,FALSE))</f>
        <v>#N/A</v>
      </c>
      <c r="AC300" s="56">
        <f>'Consumption Model'!P417</f>
        <v>0</v>
      </c>
      <c r="AD300" s="22" t="e">
        <f>IF(LEN(VLOOKUP(AC300,A2:D500,4,FALSE))=0,,VLOOKUP(AC300,A2:D500,4,FALSE))</f>
        <v>#N/A</v>
      </c>
      <c r="AE300" s="22">
        <f>'(Data)'!Q413</f>
        <v>0</v>
      </c>
      <c r="AF300" s="22" t="e">
        <f>IF(LEN(VLOOKUP(AE299:AE300,A2:D500,4,FALSE))=0,,VLOOKUP(AE299:AE300,A2:D500,4,FALSE))</f>
        <v>#N/A</v>
      </c>
      <c r="AH300" s="45">
        <f>'Risk Charact Model'!P431</f>
        <v>0</v>
      </c>
      <c r="AI300" s="58" t="e">
        <f>IF(LEN(VLOOKUP(AH300,A2:D500,4,FALSE))=0,,VLOOKUP(AH300,A2:D500,4,FALSE))</f>
        <v>#N/A</v>
      </c>
    </row>
    <row r="301" spans="1:35" ht="14" x14ac:dyDescent="0.3">
      <c r="I301" s="60">
        <f>'Generic Metadata Schema'!P431</f>
        <v>0</v>
      </c>
      <c r="J301" s="22" t="e">
        <f>IF(LEN(VLOOKUP(I301,A2:D500,4,FALSE))=0,"",VLOOKUP(I301,A2:D500,4,FALSE))</f>
        <v>#N/A</v>
      </c>
      <c r="L301" s="56">
        <f>'Dose-response Model'!O415</f>
        <v>0</v>
      </c>
      <c r="M301" s="22" t="e">
        <f>IF(LEN(VLOOKUP(L301,A2:D500,4,FALSE))=0,,VLOOKUP(L301,A2:D500,4,FALSE))</f>
        <v>#N/A</v>
      </c>
      <c r="N301" s="22">
        <f>'Exposure Model'!O432</f>
        <v>0</v>
      </c>
      <c r="O301" s="22" t="e">
        <f>IF(LEN(VLOOKUP(N301,A2:D500,4,FALSE))=0,,VLOOKUP(N301,A2:D500,4,FALSE))</f>
        <v>#N/A</v>
      </c>
      <c r="P301" s="56">
        <f>'QRA Models'!Q432</f>
        <v>0</v>
      </c>
      <c r="Q301" s="22" t="e">
        <f>IF(LEN(VLOOKUP(P301,A2:D500,4,FALSE))=0,,VLOOKUP(P301,A2:D500,4,FALSE))</f>
        <v>#N/A</v>
      </c>
      <c r="R301" s="56">
        <f>'Health metrics Models'!Q415</f>
        <v>0</v>
      </c>
      <c r="S301" s="22" t="e">
        <f>IF(LEN(VLOOKUP(R301,A2:D500,4,FALSE))=0,,VLOOKUP(R301,A2:D500,4,FALSE))</f>
        <v>#N/A</v>
      </c>
      <c r="T301" s="56">
        <f>'Process Model'!P413</f>
        <v>0</v>
      </c>
      <c r="U301" s="22" t="e">
        <f>IF(LEN(VLOOKUP(T301,A2:D500,4,FALSE))=0,,VLOOKUP(T301,A2:D500,4,FALSE))</f>
        <v>#N/A</v>
      </c>
      <c r="V301" s="56">
        <f>'Toxicological reference value M'!P415</f>
        <v>0</v>
      </c>
      <c r="W301" s="22" t="e">
        <f>IF(LEN(VLOOKUP(V301,A2:D500,4,FALSE))=0,,VLOOKUP(V301,A2:D500,4,FALSE))</f>
        <v>#N/A</v>
      </c>
      <c r="Y301" s="56">
        <f>'Other Empirical Model'!P426</f>
        <v>0</v>
      </c>
      <c r="Z301" s="22" t="e">
        <f>IF(LEN(VLOOKUP(Y301,A2:D500,4,FALSE))=0,,VLOOKUP(Y301,A2:D500,4,FALSE))</f>
        <v>#N/A</v>
      </c>
      <c r="AA301" s="56">
        <f>'Predictive Model'!P413</f>
        <v>0</v>
      </c>
      <c r="AB301" s="22" t="e">
        <f>IF(LEN(VLOOKUP(AA301,A2:D500,4,FALSE))=0,,VLOOKUP(AA301,A2:D500,4,FALSE))</f>
        <v>#N/A</v>
      </c>
      <c r="AC301" s="56">
        <f>'Consumption Model'!P418</f>
        <v>0</v>
      </c>
      <c r="AD301" s="22" t="e">
        <f>IF(LEN(VLOOKUP(AC301,A2:D500,4,FALSE))=0,,VLOOKUP(AC301,A2:D500,4,FALSE))</f>
        <v>#N/A</v>
      </c>
      <c r="AE301" s="22">
        <f>'(Data)'!Q414</f>
        <v>0</v>
      </c>
      <c r="AF301" s="22" t="e">
        <f>IF(LEN(VLOOKUP(AE300:AE301,A2:D500,4,FALSE))=0,,VLOOKUP(AE300:AE301,A2:D500,4,FALSE))</f>
        <v>#N/A</v>
      </c>
      <c r="AH301" s="45">
        <f>'Risk Charact Model'!P432</f>
        <v>0</v>
      </c>
      <c r="AI301" s="58" t="e">
        <f>IF(LEN(VLOOKUP(AH301,A2:D500,4,FALSE))=0,,VLOOKUP(AH301,A2:D500,4,FALSE))</f>
        <v>#N/A</v>
      </c>
    </row>
    <row r="302" spans="1:35" ht="14" x14ac:dyDescent="0.3">
      <c r="I302" s="60">
        <f>'Generic Metadata Schema'!P432</f>
        <v>0</v>
      </c>
      <c r="J302" s="22" t="e">
        <f>IF(LEN(VLOOKUP(I302,A2:D500,4,FALSE))=0,"",VLOOKUP(I302,A2:D500,4,FALSE))</f>
        <v>#N/A</v>
      </c>
      <c r="L302" s="56">
        <f>'Dose-response Model'!O416</f>
        <v>0</v>
      </c>
      <c r="M302" s="22" t="e">
        <f>IF(LEN(VLOOKUP(L302,A2:D500,4,FALSE))=0,,VLOOKUP(L302,A2:D500,4,FALSE))</f>
        <v>#N/A</v>
      </c>
      <c r="N302" s="22">
        <f>'Exposure Model'!O433</f>
        <v>0</v>
      </c>
      <c r="O302" s="22" t="e">
        <f>IF(LEN(VLOOKUP(N302,A2:D500,4,FALSE))=0,,VLOOKUP(N302,A2:D500,4,FALSE))</f>
        <v>#N/A</v>
      </c>
      <c r="P302" s="56">
        <f>'QRA Models'!Q433</f>
        <v>0</v>
      </c>
      <c r="Q302" s="22" t="e">
        <f>IF(LEN(VLOOKUP(P302,A2:D500,4,FALSE))=0,,VLOOKUP(P302,A2:D500,4,FALSE))</f>
        <v>#N/A</v>
      </c>
      <c r="R302" s="56">
        <f>'Health metrics Models'!Q416</f>
        <v>0</v>
      </c>
      <c r="S302" s="22" t="e">
        <f>IF(LEN(VLOOKUP(R302,A2:D500,4,FALSE))=0,,VLOOKUP(R302,A2:D500,4,FALSE))</f>
        <v>#N/A</v>
      </c>
      <c r="T302" s="56">
        <f>'Process Model'!P414</f>
        <v>0</v>
      </c>
      <c r="U302" s="22" t="e">
        <f>IF(LEN(VLOOKUP(T302,A2:D500,4,FALSE))=0,,VLOOKUP(T302,A2:D500,4,FALSE))</f>
        <v>#N/A</v>
      </c>
      <c r="V302" s="56">
        <f>'Toxicological reference value M'!P416</f>
        <v>0</v>
      </c>
      <c r="W302" s="22" t="e">
        <f>IF(LEN(VLOOKUP(V302,A2:D500,4,FALSE))=0,,VLOOKUP(V302,A2:D500,4,FALSE))</f>
        <v>#N/A</v>
      </c>
      <c r="Y302" s="56">
        <f>'Other Empirical Model'!P427</f>
        <v>0</v>
      </c>
      <c r="Z302" s="22" t="e">
        <f>IF(LEN(VLOOKUP(Y302,A2:D500,4,FALSE))=0,,VLOOKUP(Y302,A2:D500,4,FALSE))</f>
        <v>#N/A</v>
      </c>
      <c r="AA302" s="56">
        <f>'Predictive Model'!P414</f>
        <v>0</v>
      </c>
      <c r="AB302" s="22" t="e">
        <f>IF(LEN(VLOOKUP(AA302,A2:D500,4,FALSE))=0,,VLOOKUP(AA302,A2:D500,4,FALSE))</f>
        <v>#N/A</v>
      </c>
      <c r="AC302" s="56">
        <f>'Consumption Model'!P419</f>
        <v>0</v>
      </c>
      <c r="AD302" s="22" t="e">
        <f>IF(LEN(VLOOKUP(AC302,A2:D500,4,FALSE))=0,,VLOOKUP(AC302,A2:D500,4,FALSE))</f>
        <v>#N/A</v>
      </c>
      <c r="AE302" s="22">
        <f>'(Data)'!Q415</f>
        <v>0</v>
      </c>
      <c r="AF302" s="22" t="e">
        <f>IF(LEN(VLOOKUP(AE301:AE302,A2:D500,4,FALSE))=0,,VLOOKUP(AE301:AE302,A2:D500,4,FALSE))</f>
        <v>#N/A</v>
      </c>
      <c r="AH302" s="45">
        <f>'Risk Charact Model'!P433</f>
        <v>0</v>
      </c>
      <c r="AI302" s="58" t="e">
        <f>IF(LEN(VLOOKUP(AH302,A2:D500,4,FALSE))=0,,VLOOKUP(AH302,A2:D500,4,FALSE))</f>
        <v>#N/A</v>
      </c>
    </row>
    <row r="303" spans="1:35" ht="14" x14ac:dyDescent="0.3">
      <c r="I303" s="60">
        <f>'Generic Metadata Schema'!P433</f>
        <v>0</v>
      </c>
      <c r="J303" s="22" t="e">
        <f>IF(LEN(VLOOKUP(I303,A2:D500,4,FALSE))=0,"",VLOOKUP(I303,A2:D500,4,FALSE))</f>
        <v>#N/A</v>
      </c>
      <c r="L303" s="56">
        <f>'Dose-response Model'!O417</f>
        <v>0</v>
      </c>
      <c r="M303" s="22" t="e">
        <f>IF(LEN(VLOOKUP(L303,A2:D500,4,FALSE))=0,,VLOOKUP(L303,A2:D500,4,FALSE))</f>
        <v>#N/A</v>
      </c>
      <c r="N303" s="22">
        <f>'Exposure Model'!O434</f>
        <v>0</v>
      </c>
      <c r="O303" s="22" t="e">
        <f>IF(LEN(VLOOKUP(N303,A2:D500,4,FALSE))=0,,VLOOKUP(N303,A2:D500,4,FALSE))</f>
        <v>#N/A</v>
      </c>
      <c r="P303" s="56">
        <f>'QRA Models'!Q434</f>
        <v>0</v>
      </c>
      <c r="Q303" s="22" t="e">
        <f>IF(LEN(VLOOKUP(P303,A2:D500,4,FALSE))=0,,VLOOKUP(P303,A2:D500,4,FALSE))</f>
        <v>#N/A</v>
      </c>
      <c r="R303" s="56">
        <f>'Health metrics Models'!Q417</f>
        <v>0</v>
      </c>
      <c r="S303" s="22" t="e">
        <f>IF(LEN(VLOOKUP(R303,A2:D500,4,FALSE))=0,,VLOOKUP(R303,A2:D500,4,FALSE))</f>
        <v>#N/A</v>
      </c>
      <c r="T303" s="56">
        <f>'Process Model'!P415</f>
        <v>0</v>
      </c>
      <c r="U303" s="22" t="e">
        <f>IF(LEN(VLOOKUP(T303,A2:D500,4,FALSE))=0,,VLOOKUP(T303,A2:D500,4,FALSE))</f>
        <v>#N/A</v>
      </c>
      <c r="V303" s="56">
        <f>'Toxicological reference value M'!P417</f>
        <v>0</v>
      </c>
      <c r="W303" s="22" t="e">
        <f>IF(LEN(VLOOKUP(V303,A2:D500,4,FALSE))=0,,VLOOKUP(V303,A2:D500,4,FALSE))</f>
        <v>#N/A</v>
      </c>
      <c r="Y303" s="56">
        <f>'Other Empirical Model'!P428</f>
        <v>0</v>
      </c>
      <c r="Z303" s="22" t="e">
        <f>IF(LEN(VLOOKUP(Y303,A2:D500,4,FALSE))=0,,VLOOKUP(Y303,A2:D500,4,FALSE))</f>
        <v>#N/A</v>
      </c>
      <c r="AA303" s="56">
        <f>'Predictive Model'!P415</f>
        <v>0</v>
      </c>
      <c r="AB303" s="22" t="e">
        <f>IF(LEN(VLOOKUP(AA303,A2:D500,4,FALSE))=0,,VLOOKUP(AA303,A2:D500,4,FALSE))</f>
        <v>#N/A</v>
      </c>
      <c r="AC303" s="56">
        <f>'Consumption Model'!P420</f>
        <v>0</v>
      </c>
      <c r="AD303" s="22" t="e">
        <f>IF(LEN(VLOOKUP(AC303,A2:D500,4,FALSE))=0,,VLOOKUP(AC303,A2:D500,4,FALSE))</f>
        <v>#N/A</v>
      </c>
      <c r="AE303" s="22">
        <f>'(Data)'!Q416</f>
        <v>0</v>
      </c>
      <c r="AF303" s="22" t="e">
        <f>IF(LEN(VLOOKUP(AE302:AE303,A2:D500,4,FALSE))=0,,VLOOKUP(AE302:AE303,A2:D500,4,FALSE))</f>
        <v>#N/A</v>
      </c>
      <c r="AH303" s="45">
        <f>'Risk Charact Model'!P434</f>
        <v>0</v>
      </c>
      <c r="AI303" s="58" t="e">
        <f>IF(LEN(VLOOKUP(AH303,A2:D500,4,FALSE))=0,,VLOOKUP(AH303,A2:D500,4,FALSE))</f>
        <v>#N/A</v>
      </c>
    </row>
    <row r="304" spans="1:35" ht="14" x14ac:dyDescent="0.3">
      <c r="I304" s="60">
        <f>'Generic Metadata Schema'!P434</f>
        <v>0</v>
      </c>
      <c r="J304" s="22" t="e">
        <f>IF(LEN(VLOOKUP(I304,A2:D500,4,FALSE))=0,"",VLOOKUP(I304,A2:D500,4,FALSE))</f>
        <v>#N/A</v>
      </c>
      <c r="L304" s="56">
        <f>'Dose-response Model'!O418</f>
        <v>0</v>
      </c>
      <c r="M304" s="22" t="e">
        <f>IF(LEN(VLOOKUP(L304,A2:D500,4,FALSE))=0,,VLOOKUP(L304,A2:D500,4,FALSE))</f>
        <v>#N/A</v>
      </c>
      <c r="N304" s="22">
        <f>'Exposure Model'!O435</f>
        <v>0</v>
      </c>
      <c r="O304" s="22" t="e">
        <f>IF(LEN(VLOOKUP(N304,A2:D500,4,FALSE))=0,,VLOOKUP(N304,A2:D500,4,FALSE))</f>
        <v>#N/A</v>
      </c>
      <c r="P304" s="56">
        <f>'QRA Models'!Q435</f>
        <v>0</v>
      </c>
      <c r="Q304" s="22" t="e">
        <f>IF(LEN(VLOOKUP(P304,A2:D500,4,FALSE))=0,,VLOOKUP(P304,A2:D500,4,FALSE))</f>
        <v>#N/A</v>
      </c>
      <c r="R304" s="56">
        <f>'Health metrics Models'!Q418</f>
        <v>0</v>
      </c>
      <c r="S304" s="22" t="e">
        <f>IF(LEN(VLOOKUP(R304,A2:D500,4,FALSE))=0,,VLOOKUP(R304,A2:D500,4,FALSE))</f>
        <v>#N/A</v>
      </c>
      <c r="T304" s="56">
        <f>'Process Model'!P416</f>
        <v>0</v>
      </c>
      <c r="U304" s="22" t="e">
        <f>IF(LEN(VLOOKUP(T304,A2:D500,4,FALSE))=0,,VLOOKUP(T304,A2:D500,4,FALSE))</f>
        <v>#N/A</v>
      </c>
      <c r="V304" s="56">
        <f>'Toxicological reference value M'!P418</f>
        <v>0</v>
      </c>
      <c r="W304" s="22" t="e">
        <f>IF(LEN(VLOOKUP(V304,A2:D500,4,FALSE))=0,,VLOOKUP(V304,A2:D500,4,FALSE))</f>
        <v>#N/A</v>
      </c>
      <c r="Y304" s="56">
        <f>'Other Empirical Model'!P429</f>
        <v>0</v>
      </c>
      <c r="Z304" s="22" t="e">
        <f>IF(LEN(VLOOKUP(Y304,A2:D500,4,FALSE))=0,,VLOOKUP(Y304,A2:D500,4,FALSE))</f>
        <v>#N/A</v>
      </c>
      <c r="AA304" s="56">
        <f>'Predictive Model'!P416</f>
        <v>0</v>
      </c>
      <c r="AB304" s="22" t="e">
        <f>IF(LEN(VLOOKUP(AA304,A2:D500,4,FALSE))=0,,VLOOKUP(AA304,A2:D500,4,FALSE))</f>
        <v>#N/A</v>
      </c>
      <c r="AC304" s="56">
        <f>'Consumption Model'!P421</f>
        <v>0</v>
      </c>
      <c r="AD304" s="22" t="e">
        <f>IF(LEN(VLOOKUP(AC304,A2:D500,4,FALSE))=0,,VLOOKUP(AC304,A2:D500,4,FALSE))</f>
        <v>#N/A</v>
      </c>
      <c r="AE304" s="22">
        <f>'(Data)'!Q417</f>
        <v>0</v>
      </c>
      <c r="AF304" s="22" t="e">
        <f>IF(LEN(VLOOKUP(AE303:AE304,A2:D500,4,FALSE))=0,,VLOOKUP(AE303:AE304,A2:D500,4,FALSE))</f>
        <v>#N/A</v>
      </c>
      <c r="AH304" s="45">
        <f>'Risk Charact Model'!P435</f>
        <v>0</v>
      </c>
      <c r="AI304" s="58" t="e">
        <f>IF(LEN(VLOOKUP(AH304,A2:D500,4,FALSE))=0,,VLOOKUP(AH304,A2:D500,4,FALSE))</f>
        <v>#N/A</v>
      </c>
    </row>
    <row r="305" spans="1:35" ht="14" x14ac:dyDescent="0.3">
      <c r="I305" s="60">
        <f>'Generic Metadata Schema'!P435</f>
        <v>0</v>
      </c>
      <c r="J305" s="22" t="e">
        <f>IF(LEN(VLOOKUP(I305,A2:D500,4,FALSE))=0,"",VLOOKUP(I305,A2:D500,4,FALSE))</f>
        <v>#N/A</v>
      </c>
      <c r="L305" s="56">
        <f>'Dose-response Model'!O419</f>
        <v>0</v>
      </c>
      <c r="M305" s="22" t="e">
        <f>IF(LEN(VLOOKUP(L305,A2:D500,4,FALSE))=0,,VLOOKUP(L305,A2:D500,4,FALSE))</f>
        <v>#N/A</v>
      </c>
      <c r="N305" s="22">
        <f>'Exposure Model'!O436</f>
        <v>0</v>
      </c>
      <c r="O305" s="22" t="e">
        <f>IF(LEN(VLOOKUP(N305,A2:D500,4,FALSE))=0,,VLOOKUP(N305,A2:D500,4,FALSE))</f>
        <v>#N/A</v>
      </c>
      <c r="P305" s="56">
        <f>'QRA Models'!Q436</f>
        <v>0</v>
      </c>
      <c r="Q305" s="22" t="e">
        <f>IF(LEN(VLOOKUP(P305,A2:D500,4,FALSE))=0,,VLOOKUP(P305,A2:D500,4,FALSE))</f>
        <v>#N/A</v>
      </c>
      <c r="R305" s="56">
        <f>'Health metrics Models'!Q419</f>
        <v>0</v>
      </c>
      <c r="S305" s="22" t="e">
        <f>IF(LEN(VLOOKUP(R305,A2:D500,4,FALSE))=0,,VLOOKUP(R305,A2:D500,4,FALSE))</f>
        <v>#N/A</v>
      </c>
      <c r="T305" s="56">
        <f>'Process Model'!P417</f>
        <v>0</v>
      </c>
      <c r="U305" s="22" t="e">
        <f>IF(LEN(VLOOKUP(T305,A2:D500,4,FALSE))=0,,VLOOKUP(T305,A2:D500,4,FALSE))</f>
        <v>#N/A</v>
      </c>
      <c r="V305" s="56">
        <f>'Toxicological reference value M'!P419</f>
        <v>0</v>
      </c>
      <c r="W305" s="22" t="e">
        <f>IF(LEN(VLOOKUP(V305,A2:D500,4,FALSE))=0,,VLOOKUP(V305,A2:D500,4,FALSE))</f>
        <v>#N/A</v>
      </c>
      <c r="Y305" s="56">
        <f>'Other Empirical Model'!P430</f>
        <v>0</v>
      </c>
      <c r="Z305" s="22" t="e">
        <f>IF(LEN(VLOOKUP(Y305,A2:D500,4,FALSE))=0,,VLOOKUP(Y305,A2:D500,4,FALSE))</f>
        <v>#N/A</v>
      </c>
      <c r="AA305" s="56">
        <f>'Predictive Model'!P417</f>
        <v>0</v>
      </c>
      <c r="AB305" s="22" t="e">
        <f>IF(LEN(VLOOKUP(AA305,A2:D500,4,FALSE))=0,,VLOOKUP(AA305,A2:D500,4,FALSE))</f>
        <v>#N/A</v>
      </c>
      <c r="AC305" s="56">
        <f>'Consumption Model'!P422</f>
        <v>0</v>
      </c>
      <c r="AD305" s="22" t="e">
        <f>IF(LEN(VLOOKUP(AC305,A2:D500,4,FALSE))=0,,VLOOKUP(AC305,A2:D500,4,FALSE))</f>
        <v>#N/A</v>
      </c>
      <c r="AE305" s="22">
        <f>'(Data)'!Q418</f>
        <v>0</v>
      </c>
      <c r="AF305" s="22" t="e">
        <f>IF(LEN(VLOOKUP(AE304:AE305,A2:D500,4,FALSE))=0,,VLOOKUP(AE304:AE305,A2:D500,4,FALSE))</f>
        <v>#N/A</v>
      </c>
      <c r="AH305" s="45">
        <f>'Risk Charact Model'!P436</f>
        <v>0</v>
      </c>
      <c r="AI305" s="58" t="e">
        <f>IF(LEN(VLOOKUP(AH305,A2:D500,4,FALSE))=0,,VLOOKUP(AH305,A2:D500,4,FALSE))</f>
        <v>#N/A</v>
      </c>
    </row>
    <row r="306" spans="1:35" ht="14" x14ac:dyDescent="0.3">
      <c r="I306" s="60">
        <f>'Generic Metadata Schema'!P436</f>
        <v>0</v>
      </c>
      <c r="J306" s="22" t="e">
        <f>IF(LEN(VLOOKUP(I306,A2:D500,4,FALSE))=0,"",VLOOKUP(I306,A2:D500,4,FALSE))</f>
        <v>#N/A</v>
      </c>
      <c r="L306" s="56">
        <f>'Dose-response Model'!O420</f>
        <v>0</v>
      </c>
      <c r="M306" s="22" t="e">
        <f>IF(LEN(VLOOKUP(L306,A2:D500,4,FALSE))=0,,VLOOKUP(L306,A2:D500,4,FALSE))</f>
        <v>#N/A</v>
      </c>
      <c r="N306" s="22">
        <f>'Exposure Model'!O437</f>
        <v>0</v>
      </c>
      <c r="O306" s="22" t="e">
        <f>IF(LEN(VLOOKUP(N306,A2:D500,4,FALSE))=0,,VLOOKUP(N306,A2:D500,4,FALSE))</f>
        <v>#N/A</v>
      </c>
      <c r="P306" s="56">
        <f>'QRA Models'!Q437</f>
        <v>0</v>
      </c>
      <c r="Q306" s="22" t="e">
        <f>IF(LEN(VLOOKUP(P306,A2:D500,4,FALSE))=0,,VLOOKUP(P306,A2:D500,4,FALSE))</f>
        <v>#N/A</v>
      </c>
      <c r="R306" s="56">
        <f>'Health metrics Models'!Q420</f>
        <v>0</v>
      </c>
      <c r="S306" s="22" t="e">
        <f>IF(LEN(VLOOKUP(R306,A2:D500,4,FALSE))=0,,VLOOKUP(R306,A2:D500,4,FALSE))</f>
        <v>#N/A</v>
      </c>
      <c r="T306" s="56">
        <f>'Process Model'!P418</f>
        <v>0</v>
      </c>
      <c r="U306" s="22" t="e">
        <f>IF(LEN(VLOOKUP(T306,A2:D500,4,FALSE))=0,,VLOOKUP(T306,A2:D500,4,FALSE))</f>
        <v>#N/A</v>
      </c>
      <c r="V306" s="56">
        <f>'Toxicological reference value M'!P420</f>
        <v>0</v>
      </c>
      <c r="W306" s="22" t="e">
        <f>IF(LEN(VLOOKUP(V306,A2:D500,4,FALSE))=0,,VLOOKUP(V306,A2:D500,4,FALSE))</f>
        <v>#N/A</v>
      </c>
      <c r="Y306" s="56">
        <f>'Other Empirical Model'!P431</f>
        <v>0</v>
      </c>
      <c r="Z306" s="22" t="e">
        <f>IF(LEN(VLOOKUP(Y306,A2:D500,4,FALSE))=0,,VLOOKUP(Y306,A2:D500,4,FALSE))</f>
        <v>#N/A</v>
      </c>
      <c r="AA306" s="56">
        <f>'Predictive Model'!P418</f>
        <v>0</v>
      </c>
      <c r="AB306" s="22" t="e">
        <f>IF(LEN(VLOOKUP(AA306,A2:D500,4,FALSE))=0,,VLOOKUP(AA306,A2:D500,4,FALSE))</f>
        <v>#N/A</v>
      </c>
      <c r="AC306" s="56">
        <f>'Consumption Model'!P423</f>
        <v>0</v>
      </c>
      <c r="AD306" s="22" t="e">
        <f>IF(LEN(VLOOKUP(AC306,A2:D500,4,FALSE))=0,,VLOOKUP(AC306,A2:D500,4,FALSE))</f>
        <v>#N/A</v>
      </c>
      <c r="AE306" s="22">
        <f>'(Data)'!Q419</f>
        <v>0</v>
      </c>
      <c r="AF306" s="22" t="e">
        <f>IF(LEN(VLOOKUP(AE305:AE306,A2:D500,4,FALSE))=0,,VLOOKUP(AE305:AE306,A2:D500,4,FALSE))</f>
        <v>#N/A</v>
      </c>
      <c r="AH306" s="45">
        <f>'Risk Charact Model'!P437</f>
        <v>0</v>
      </c>
      <c r="AI306" s="58" t="e">
        <f>IF(LEN(VLOOKUP(AH306,A2:D500,4,FALSE))=0,,VLOOKUP(AH306,A2:D500,4,FALSE))</f>
        <v>#N/A</v>
      </c>
    </row>
    <row r="307" spans="1:35" ht="14" x14ac:dyDescent="0.3">
      <c r="I307" s="60">
        <f>'Generic Metadata Schema'!P437</f>
        <v>0</v>
      </c>
      <c r="J307" s="22" t="e">
        <f>IF(LEN(VLOOKUP(I307,A2:D500,4,FALSE))=0,"",VLOOKUP(I307,A2:D500,4,FALSE))</f>
        <v>#N/A</v>
      </c>
      <c r="L307" s="56">
        <f>'Dose-response Model'!O421</f>
        <v>0</v>
      </c>
      <c r="M307" s="22" t="e">
        <f>IF(LEN(VLOOKUP(L307,A2:D500,4,FALSE))=0,,VLOOKUP(L307,A2:D500,4,FALSE))</f>
        <v>#N/A</v>
      </c>
      <c r="N307" s="22">
        <f>'Exposure Model'!O438</f>
        <v>0</v>
      </c>
      <c r="O307" s="22" t="e">
        <f>IF(LEN(VLOOKUP(N307,A2:D500,4,FALSE))=0,,VLOOKUP(N307,A2:D500,4,FALSE))</f>
        <v>#N/A</v>
      </c>
      <c r="P307" s="56">
        <f>'QRA Models'!Q438</f>
        <v>0</v>
      </c>
      <c r="Q307" s="22" t="e">
        <f>IF(LEN(VLOOKUP(P307,A2:D500,4,FALSE))=0,,VLOOKUP(P307,A2:D500,4,FALSE))</f>
        <v>#N/A</v>
      </c>
      <c r="R307" s="56">
        <f>'Health metrics Models'!Q421</f>
        <v>0</v>
      </c>
      <c r="S307" s="22" t="e">
        <f>IF(LEN(VLOOKUP(R307,A2:D500,4,FALSE))=0,,VLOOKUP(R307,A2:D500,4,FALSE))</f>
        <v>#N/A</v>
      </c>
      <c r="T307" s="56">
        <f>'Process Model'!P419</f>
        <v>0</v>
      </c>
      <c r="U307" s="22" t="e">
        <f>IF(LEN(VLOOKUP(T307,A2:D500,4,FALSE))=0,,VLOOKUP(T307,A2:D500,4,FALSE))</f>
        <v>#N/A</v>
      </c>
      <c r="V307" s="56">
        <f>'Toxicological reference value M'!P421</f>
        <v>0</v>
      </c>
      <c r="W307" s="22" t="e">
        <f>IF(LEN(VLOOKUP(V307,A2:D500,4,FALSE))=0,,VLOOKUP(V307,A2:D500,4,FALSE))</f>
        <v>#N/A</v>
      </c>
      <c r="Y307" s="56">
        <f>'Other Empirical Model'!P432</f>
        <v>0</v>
      </c>
      <c r="Z307" s="22" t="e">
        <f>IF(LEN(VLOOKUP(Y307,A2:D500,4,FALSE))=0,,VLOOKUP(Y307,A2:D500,4,FALSE))</f>
        <v>#N/A</v>
      </c>
      <c r="AA307" s="56">
        <f>'Predictive Model'!P419</f>
        <v>0</v>
      </c>
      <c r="AB307" s="22" t="e">
        <f>IF(LEN(VLOOKUP(AA307,A2:D500,4,FALSE))=0,,VLOOKUP(AA307,A2:D500,4,FALSE))</f>
        <v>#N/A</v>
      </c>
      <c r="AC307" s="56">
        <f>'Consumption Model'!P424</f>
        <v>0</v>
      </c>
      <c r="AD307" s="22" t="e">
        <f>IF(LEN(VLOOKUP(AC307,A2:D500,4,FALSE))=0,,VLOOKUP(AC307,A2:D500,4,FALSE))</f>
        <v>#N/A</v>
      </c>
      <c r="AE307" s="22">
        <f>'(Data)'!Q420</f>
        <v>0</v>
      </c>
      <c r="AF307" s="22" t="e">
        <f>IF(LEN(VLOOKUP(AE306:AE307,A2:D500,4,FALSE))=0,,VLOOKUP(AE306:AE307,A2:D500,4,FALSE))</f>
        <v>#N/A</v>
      </c>
      <c r="AH307" s="45">
        <f>'Risk Charact Model'!P438</f>
        <v>0</v>
      </c>
      <c r="AI307" s="58" t="e">
        <f>IF(LEN(VLOOKUP(AH307,A2:D500,4,FALSE))=0,,VLOOKUP(AH307,A2:D500,4,FALSE))</f>
        <v>#N/A</v>
      </c>
    </row>
    <row r="308" spans="1:35" ht="14" x14ac:dyDescent="0.3">
      <c r="I308" s="60">
        <f>'Generic Metadata Schema'!P438</f>
        <v>0</v>
      </c>
      <c r="J308" s="22" t="e">
        <f>IF(LEN(VLOOKUP(I308,A2:D500,4,FALSE))=0,"",VLOOKUP(I308,A2:D500,4,FALSE))</f>
        <v>#N/A</v>
      </c>
      <c r="L308" s="56">
        <f>'Dose-response Model'!O422</f>
        <v>0</v>
      </c>
      <c r="M308" s="22" t="e">
        <f>IF(LEN(VLOOKUP(L308,A2:D500,4,FALSE))=0,,VLOOKUP(L308,A2:D500,4,FALSE))</f>
        <v>#N/A</v>
      </c>
      <c r="N308" s="22">
        <f>'Exposure Model'!O439</f>
        <v>0</v>
      </c>
      <c r="O308" s="22" t="e">
        <f>IF(LEN(VLOOKUP(N308,A2:D500,4,FALSE))=0,,VLOOKUP(N308,A2:D500,4,FALSE))</f>
        <v>#N/A</v>
      </c>
      <c r="P308" s="56">
        <f>'QRA Models'!Q439</f>
        <v>0</v>
      </c>
      <c r="Q308" s="22" t="e">
        <f>IF(LEN(VLOOKUP(P308,A2:D500,4,FALSE))=0,,VLOOKUP(P308,A2:D500,4,FALSE))</f>
        <v>#N/A</v>
      </c>
      <c r="R308" s="56">
        <f>'Health metrics Models'!Q422</f>
        <v>0</v>
      </c>
      <c r="S308" s="22" t="e">
        <f>IF(LEN(VLOOKUP(R308,A2:D500,4,FALSE))=0,,VLOOKUP(R308,A2:D500,4,FALSE))</f>
        <v>#N/A</v>
      </c>
      <c r="T308" s="56">
        <f>'Process Model'!P420</f>
        <v>0</v>
      </c>
      <c r="U308" s="22" t="e">
        <f>IF(LEN(VLOOKUP(T308,A2:D500,4,FALSE))=0,,VLOOKUP(T308,A2:D500,4,FALSE))</f>
        <v>#N/A</v>
      </c>
      <c r="V308" s="56">
        <f>'Toxicological reference value M'!P422</f>
        <v>0</v>
      </c>
      <c r="W308" s="22" t="e">
        <f>IF(LEN(VLOOKUP(V308,A2:D500,4,FALSE))=0,,VLOOKUP(V308,A2:D500,4,FALSE))</f>
        <v>#N/A</v>
      </c>
      <c r="Y308" s="56">
        <f>'Other Empirical Model'!P433</f>
        <v>0</v>
      </c>
      <c r="Z308" s="22" t="e">
        <f>IF(LEN(VLOOKUP(Y308,A2:D500,4,FALSE))=0,,VLOOKUP(Y308,A2:D500,4,FALSE))</f>
        <v>#N/A</v>
      </c>
      <c r="AA308" s="56">
        <f>'Predictive Model'!P420</f>
        <v>0</v>
      </c>
      <c r="AB308" s="22" t="e">
        <f>IF(LEN(VLOOKUP(AA308,A2:D500,4,FALSE))=0,,VLOOKUP(AA308,A2:D500,4,FALSE))</f>
        <v>#N/A</v>
      </c>
      <c r="AC308" s="56">
        <f>'Consumption Model'!P425</f>
        <v>0</v>
      </c>
      <c r="AD308" s="22" t="e">
        <f>IF(LEN(VLOOKUP(AC308,A2:D500,4,FALSE))=0,,VLOOKUP(AC308,A2:D500,4,FALSE))</f>
        <v>#N/A</v>
      </c>
      <c r="AE308" s="22">
        <f>'(Data)'!Q421</f>
        <v>0</v>
      </c>
      <c r="AF308" s="22" t="e">
        <f>IF(LEN(VLOOKUP(AE307:AE308,A2:D500,4,FALSE))=0,,VLOOKUP(AE307:AE308,A2:D500,4,FALSE))</f>
        <v>#N/A</v>
      </c>
      <c r="AH308" s="45">
        <f>'Risk Charact Model'!P439</f>
        <v>0</v>
      </c>
      <c r="AI308" s="58" t="e">
        <f>IF(LEN(VLOOKUP(AH308,A2:D500,4,FALSE))=0,,VLOOKUP(AH308,A2:D500,4,FALSE))</f>
        <v>#N/A</v>
      </c>
    </row>
    <row r="309" spans="1:35" ht="14" x14ac:dyDescent="0.3">
      <c r="I309" s="60">
        <f>'Generic Metadata Schema'!P439</f>
        <v>0</v>
      </c>
      <c r="J309" s="22" t="e">
        <f>IF(LEN(VLOOKUP(I309,A2:D500,4,FALSE))=0,"",VLOOKUP(I309,A2:D500,4,FALSE))</f>
        <v>#N/A</v>
      </c>
      <c r="L309" s="56">
        <f>'Dose-response Model'!O423</f>
        <v>0</v>
      </c>
      <c r="M309" s="22" t="e">
        <f>IF(LEN(VLOOKUP(L309,A2:D500,4,FALSE))=0,,VLOOKUP(L309,A2:D500,4,FALSE))</f>
        <v>#N/A</v>
      </c>
      <c r="N309" s="22">
        <f>'Exposure Model'!O440</f>
        <v>0</v>
      </c>
      <c r="O309" s="22" t="e">
        <f>IF(LEN(VLOOKUP(N309,A2:D500,4,FALSE))=0,,VLOOKUP(N309,A2:D500,4,FALSE))</f>
        <v>#N/A</v>
      </c>
      <c r="P309" s="56">
        <f>'QRA Models'!Q440</f>
        <v>0</v>
      </c>
      <c r="Q309" s="22" t="e">
        <f>IF(LEN(VLOOKUP(P309,A2:D500,4,FALSE))=0,,VLOOKUP(P309,A2:D500,4,FALSE))</f>
        <v>#N/A</v>
      </c>
      <c r="R309" s="56">
        <f>'Health metrics Models'!Q423</f>
        <v>0</v>
      </c>
      <c r="S309" s="22" t="e">
        <f>IF(LEN(VLOOKUP(R309,A2:D500,4,FALSE))=0,,VLOOKUP(R309,A2:D500,4,FALSE))</f>
        <v>#N/A</v>
      </c>
      <c r="T309" s="56">
        <f>'Process Model'!P421</f>
        <v>0</v>
      </c>
      <c r="U309" s="22" t="e">
        <f>IF(LEN(VLOOKUP(T309,A2:D500,4,FALSE))=0,,VLOOKUP(T309,A2:D500,4,FALSE))</f>
        <v>#N/A</v>
      </c>
      <c r="V309" s="56">
        <f>'Toxicological reference value M'!P423</f>
        <v>0</v>
      </c>
      <c r="W309" s="22" t="e">
        <f>IF(LEN(VLOOKUP(V309,A2:D500,4,FALSE))=0,,VLOOKUP(V309,A2:D500,4,FALSE))</f>
        <v>#N/A</v>
      </c>
      <c r="Y309" s="56">
        <f>'Other Empirical Model'!P434</f>
        <v>0</v>
      </c>
      <c r="Z309" s="22" t="e">
        <f>IF(LEN(VLOOKUP(Y309,A2:D500,4,FALSE))=0,,VLOOKUP(Y309,A2:D500,4,FALSE))</f>
        <v>#N/A</v>
      </c>
      <c r="AA309" s="56">
        <f>'Predictive Model'!P421</f>
        <v>0</v>
      </c>
      <c r="AB309" s="22" t="e">
        <f>IF(LEN(VLOOKUP(AA309,A2:D500,4,FALSE))=0,,VLOOKUP(AA309,A2:D500,4,FALSE))</f>
        <v>#N/A</v>
      </c>
      <c r="AC309" s="56">
        <f>'Consumption Model'!P426</f>
        <v>0</v>
      </c>
      <c r="AD309" s="22" t="e">
        <f>IF(LEN(VLOOKUP(AC309,A2:D500,4,FALSE))=0,,VLOOKUP(AC309,A2:D500,4,FALSE))</f>
        <v>#N/A</v>
      </c>
      <c r="AE309" s="22">
        <f>'(Data)'!Q422</f>
        <v>0</v>
      </c>
      <c r="AF309" s="22" t="e">
        <f>IF(LEN(VLOOKUP(AE308:AE309,A2:D500,4,FALSE))=0,,VLOOKUP(AE308:AE309,A2:D500,4,FALSE))</f>
        <v>#N/A</v>
      </c>
      <c r="AH309" s="45">
        <f>'Risk Charact Model'!P440</f>
        <v>0</v>
      </c>
      <c r="AI309" s="58" t="e">
        <f>IF(LEN(VLOOKUP(AH309,A2:D500,4,FALSE))=0,,VLOOKUP(AH309,A2:D500,4,FALSE))</f>
        <v>#N/A</v>
      </c>
    </row>
    <row r="310" spans="1:35" ht="14" x14ac:dyDescent="0.3">
      <c r="I310" s="60">
        <f>'Generic Metadata Schema'!P440</f>
        <v>0</v>
      </c>
      <c r="J310" s="22" t="e">
        <f>IF(LEN(VLOOKUP(I310,A2:D500,4,FALSE))=0,"",VLOOKUP(I310,A2:D500,4,FALSE))</f>
        <v>#N/A</v>
      </c>
      <c r="L310" s="56">
        <f>'Dose-response Model'!O424</f>
        <v>0</v>
      </c>
      <c r="M310" s="22" t="e">
        <f>IF(LEN(VLOOKUP(L310,A2:D500,4,FALSE))=0,,VLOOKUP(L310,A2:D500,4,FALSE))</f>
        <v>#N/A</v>
      </c>
      <c r="N310" s="22">
        <f>'Exposure Model'!O441</f>
        <v>0</v>
      </c>
      <c r="O310" s="22" t="e">
        <f>IF(LEN(VLOOKUP(N310,A2:D500,4,FALSE))=0,,VLOOKUP(N310,A2:D500,4,FALSE))</f>
        <v>#N/A</v>
      </c>
      <c r="P310" s="56">
        <f>'QRA Models'!Q441</f>
        <v>0</v>
      </c>
      <c r="Q310" s="22" t="e">
        <f>IF(LEN(VLOOKUP(P310,A2:D500,4,FALSE))=0,,VLOOKUP(P310,A2:D500,4,FALSE))</f>
        <v>#N/A</v>
      </c>
      <c r="R310" s="56">
        <f>'Health metrics Models'!Q424</f>
        <v>0</v>
      </c>
      <c r="S310" s="22" t="e">
        <f>IF(LEN(VLOOKUP(R310,A2:D500,4,FALSE))=0,,VLOOKUP(R310,A2:D500,4,FALSE))</f>
        <v>#N/A</v>
      </c>
      <c r="T310" s="56">
        <f>'Process Model'!P422</f>
        <v>0</v>
      </c>
      <c r="U310" s="22" t="e">
        <f>IF(LEN(VLOOKUP(T310,A2:D500,4,FALSE))=0,,VLOOKUP(T310,A2:D500,4,FALSE))</f>
        <v>#N/A</v>
      </c>
      <c r="V310" s="56">
        <f>'Toxicological reference value M'!P424</f>
        <v>0</v>
      </c>
      <c r="W310" s="22" t="e">
        <f>IF(LEN(VLOOKUP(V310,A2:D500,4,FALSE))=0,,VLOOKUP(V310,A2:D500,4,FALSE))</f>
        <v>#N/A</v>
      </c>
      <c r="Y310" s="56">
        <f>'Other Empirical Model'!P435</f>
        <v>0</v>
      </c>
      <c r="Z310" s="22" t="e">
        <f>IF(LEN(VLOOKUP(Y310,A2:D500,4,FALSE))=0,,VLOOKUP(Y310,A2:D500,4,FALSE))</f>
        <v>#N/A</v>
      </c>
      <c r="AA310" s="56">
        <f>'Predictive Model'!P422</f>
        <v>0</v>
      </c>
      <c r="AB310" s="22" t="e">
        <f>IF(LEN(VLOOKUP(AA310,A2:D500,4,FALSE))=0,,VLOOKUP(AA310,A2:D500,4,FALSE))</f>
        <v>#N/A</v>
      </c>
      <c r="AC310" s="56">
        <f>'Consumption Model'!P427</f>
        <v>0</v>
      </c>
      <c r="AD310" s="22" t="e">
        <f>IF(LEN(VLOOKUP(AC310,A2:D500,4,FALSE))=0,,VLOOKUP(AC310,A2:D500,4,FALSE))</f>
        <v>#N/A</v>
      </c>
      <c r="AE310" s="22">
        <f>'(Data)'!Q423</f>
        <v>0</v>
      </c>
      <c r="AF310" s="22" t="e">
        <f>IF(LEN(VLOOKUP(AE309:AE310,A2:D500,4,FALSE))=0,,VLOOKUP(AE309:AE310,A2:D500,4,FALSE))</f>
        <v>#N/A</v>
      </c>
      <c r="AH310" s="45">
        <f>'Risk Charact Model'!P441</f>
        <v>0</v>
      </c>
      <c r="AI310" s="58" t="e">
        <f>IF(LEN(VLOOKUP(AH310,A2:D500,4,FALSE))=0,,VLOOKUP(AH310,A2:D500,4,FALSE))</f>
        <v>#N/A</v>
      </c>
    </row>
    <row r="311" spans="1:35" ht="14" x14ac:dyDescent="0.3">
      <c r="I311" s="60">
        <f>'Generic Metadata Schema'!P441</f>
        <v>0</v>
      </c>
      <c r="J311" s="22" t="e">
        <f>IF(LEN(VLOOKUP(I311,A2:D500,4,FALSE))=0,"",VLOOKUP(I311,A2:D500,4,FALSE))</f>
        <v>#N/A</v>
      </c>
      <c r="L311" s="56">
        <f>'Dose-response Model'!O425</f>
        <v>0</v>
      </c>
      <c r="M311" s="22" t="e">
        <f>IF(LEN(VLOOKUP(L311,A2:D500,4,FALSE))=0,,VLOOKUP(L311,A2:D500,4,FALSE))</f>
        <v>#N/A</v>
      </c>
      <c r="N311" s="22">
        <f>'Exposure Model'!O442</f>
        <v>0</v>
      </c>
      <c r="O311" s="22" t="e">
        <f>IF(LEN(VLOOKUP(N311,A2:D500,4,FALSE))=0,,VLOOKUP(N311,A2:D500,4,FALSE))</f>
        <v>#N/A</v>
      </c>
      <c r="P311" s="56">
        <f>'QRA Models'!Q442</f>
        <v>0</v>
      </c>
      <c r="Q311" s="22" t="e">
        <f>IF(LEN(VLOOKUP(P311,A2:D500,4,FALSE))=0,,VLOOKUP(P311,A2:D500,4,FALSE))</f>
        <v>#N/A</v>
      </c>
      <c r="R311" s="56">
        <f>'Health metrics Models'!Q425</f>
        <v>0</v>
      </c>
      <c r="S311" s="22" t="e">
        <f>IF(LEN(VLOOKUP(R311,A2:D500,4,FALSE))=0,,VLOOKUP(R311,A2:D500,4,FALSE))</f>
        <v>#N/A</v>
      </c>
      <c r="T311" s="56">
        <f>'Process Model'!P423</f>
        <v>0</v>
      </c>
      <c r="U311" s="22" t="e">
        <f>IF(LEN(VLOOKUP(T311,A2:D500,4,FALSE))=0,,VLOOKUP(T311,A2:D500,4,FALSE))</f>
        <v>#N/A</v>
      </c>
      <c r="V311" s="56">
        <f>'Toxicological reference value M'!P425</f>
        <v>0</v>
      </c>
      <c r="W311" s="22" t="e">
        <f>IF(LEN(VLOOKUP(V311,A2:D500,4,FALSE))=0,,VLOOKUP(V311,A2:D500,4,FALSE))</f>
        <v>#N/A</v>
      </c>
      <c r="Y311" s="56">
        <f>'Other Empirical Model'!P436</f>
        <v>0</v>
      </c>
      <c r="Z311" s="22" t="e">
        <f>IF(LEN(VLOOKUP(Y311,A2:D500,4,FALSE))=0,,VLOOKUP(Y311,A2:D500,4,FALSE))</f>
        <v>#N/A</v>
      </c>
      <c r="AA311" s="56">
        <f>'Predictive Model'!P423</f>
        <v>0</v>
      </c>
      <c r="AB311" s="22" t="e">
        <f>IF(LEN(VLOOKUP(AA311,A2:D500,4,FALSE))=0,,VLOOKUP(AA311,A2:D500,4,FALSE))</f>
        <v>#N/A</v>
      </c>
      <c r="AC311" s="56">
        <f>'Consumption Model'!P428</f>
        <v>0</v>
      </c>
      <c r="AD311" s="22" t="e">
        <f>IF(LEN(VLOOKUP(AC311,A2:D500,4,FALSE))=0,,VLOOKUP(AC311,A2:D500,4,FALSE))</f>
        <v>#N/A</v>
      </c>
      <c r="AE311" s="22">
        <f>'(Data)'!Q424</f>
        <v>0</v>
      </c>
      <c r="AF311" s="22" t="e">
        <f>IF(LEN(VLOOKUP(AE310:AE311,A2:D500,4,FALSE))=0,,VLOOKUP(AE310:AE311,A2:D500,4,FALSE))</f>
        <v>#N/A</v>
      </c>
      <c r="AH311" s="45">
        <f>'Risk Charact Model'!P442</f>
        <v>0</v>
      </c>
      <c r="AI311" s="58" t="e">
        <f>IF(LEN(VLOOKUP(AH311,A2:D500,4,FALSE))=0,,VLOOKUP(AH311,A2:D500,4,FALSE))</f>
        <v>#N/A</v>
      </c>
    </row>
    <row r="312" spans="1:35" ht="14" x14ac:dyDescent="0.3">
      <c r="I312" s="60">
        <f>'Generic Metadata Schema'!P442</f>
        <v>0</v>
      </c>
      <c r="J312" s="22" t="e">
        <f>IF(LEN(VLOOKUP(I312,A2:D500,4,FALSE))=0,"",VLOOKUP(I312,A2:D500,4,FALSE))</f>
        <v>#N/A</v>
      </c>
      <c r="L312" s="56">
        <f>'Dose-response Model'!O426</f>
        <v>0</v>
      </c>
      <c r="M312" s="22" t="e">
        <f>IF(LEN(VLOOKUP(L312,A2:D500,4,FALSE))=0,,VLOOKUP(L312,A2:D500,4,FALSE))</f>
        <v>#N/A</v>
      </c>
      <c r="N312" s="22">
        <f>'Exposure Model'!O443</f>
        <v>0</v>
      </c>
      <c r="O312" s="22" t="e">
        <f>IF(LEN(VLOOKUP(N312,A2:D500,4,FALSE))=0,,VLOOKUP(N312,A2:D500,4,FALSE))</f>
        <v>#N/A</v>
      </c>
      <c r="P312" s="56">
        <f>'QRA Models'!Q443</f>
        <v>0</v>
      </c>
      <c r="Q312" s="22" t="e">
        <f>IF(LEN(VLOOKUP(P312,A2:D500,4,FALSE))=0,,VLOOKUP(P312,A2:D500,4,FALSE))</f>
        <v>#N/A</v>
      </c>
      <c r="R312" s="56">
        <f>'Health metrics Models'!Q426</f>
        <v>0</v>
      </c>
      <c r="S312" s="22" t="e">
        <f>IF(LEN(VLOOKUP(R312,A2:D500,4,FALSE))=0,,VLOOKUP(R312,A2:D500,4,FALSE))</f>
        <v>#N/A</v>
      </c>
      <c r="T312" s="56">
        <f>'Process Model'!P424</f>
        <v>0</v>
      </c>
      <c r="U312" s="22" t="e">
        <f>IF(LEN(VLOOKUP(T312,A2:D500,4,FALSE))=0,,VLOOKUP(T312,A2:D500,4,FALSE))</f>
        <v>#N/A</v>
      </c>
      <c r="V312" s="56">
        <f>'Toxicological reference value M'!P426</f>
        <v>0</v>
      </c>
      <c r="W312" s="22" t="e">
        <f>IF(LEN(VLOOKUP(V312,A2:D500,4,FALSE))=0,,VLOOKUP(V312,A2:D500,4,FALSE))</f>
        <v>#N/A</v>
      </c>
      <c r="Y312" s="56">
        <f>'Other Empirical Model'!P437</f>
        <v>0</v>
      </c>
      <c r="Z312" s="22" t="e">
        <f>IF(LEN(VLOOKUP(Y312,A2:D500,4,FALSE))=0,,VLOOKUP(Y312,A2:D500,4,FALSE))</f>
        <v>#N/A</v>
      </c>
      <c r="AA312" s="56">
        <f>'Predictive Model'!P424</f>
        <v>0</v>
      </c>
      <c r="AB312" s="22" t="e">
        <f>IF(LEN(VLOOKUP(AA312,A2:D500,4,FALSE))=0,,VLOOKUP(AA312,A2:D500,4,FALSE))</f>
        <v>#N/A</v>
      </c>
      <c r="AC312" s="56">
        <f>'Consumption Model'!P429</f>
        <v>0</v>
      </c>
      <c r="AD312" s="22" t="e">
        <f>IF(LEN(VLOOKUP(AC312,A2:D500,4,FALSE))=0,,VLOOKUP(AC312,A2:D500,4,FALSE))</f>
        <v>#N/A</v>
      </c>
      <c r="AE312" s="22">
        <f>'(Data)'!Q425</f>
        <v>0</v>
      </c>
      <c r="AF312" s="22" t="e">
        <f>IF(LEN(VLOOKUP(AE311:AE312,A2:D500,4,FALSE))=0,,VLOOKUP(AE311:AE312,A2:D500,4,FALSE))</f>
        <v>#N/A</v>
      </c>
      <c r="AH312" s="45">
        <f>'Risk Charact Model'!P443</f>
        <v>0</v>
      </c>
      <c r="AI312" s="58" t="e">
        <f>IF(LEN(VLOOKUP(AH312,A2:D500,4,FALSE))=0,,VLOOKUP(AH312,A2:D500,4,FALSE))</f>
        <v>#N/A</v>
      </c>
    </row>
    <row r="313" spans="1:35" ht="14" x14ac:dyDescent="0.3">
      <c r="I313" s="60">
        <f>'Generic Metadata Schema'!P443</f>
        <v>0</v>
      </c>
      <c r="J313" s="22" t="e">
        <f>IF(LEN(VLOOKUP(I313,A2:D500,4,FALSE))=0,"",VLOOKUP(I313,A2:D500,4,FALSE))</f>
        <v>#N/A</v>
      </c>
      <c r="L313" s="56">
        <f>'Dose-response Model'!O427</f>
        <v>0</v>
      </c>
      <c r="M313" s="22" t="e">
        <f>IF(LEN(VLOOKUP(L313,A2:D500,4,FALSE))=0,,VLOOKUP(L313,A2:D500,4,FALSE))</f>
        <v>#N/A</v>
      </c>
      <c r="N313" s="22">
        <f>'Exposure Model'!O444</f>
        <v>0</v>
      </c>
      <c r="O313" s="22" t="e">
        <f>IF(LEN(VLOOKUP(N313,A2:D500,4,FALSE))=0,,VLOOKUP(N313,A2:D500,4,FALSE))</f>
        <v>#N/A</v>
      </c>
      <c r="P313" s="56">
        <f>'QRA Models'!Q444</f>
        <v>0</v>
      </c>
      <c r="Q313" s="22" t="e">
        <f>IF(LEN(VLOOKUP(P313,A2:D500,4,FALSE))=0,,VLOOKUP(P313,A2:D500,4,FALSE))</f>
        <v>#N/A</v>
      </c>
      <c r="R313" s="56">
        <f>'Health metrics Models'!Q427</f>
        <v>0</v>
      </c>
      <c r="S313" s="22" t="e">
        <f>IF(LEN(VLOOKUP(R313,A2:D500,4,FALSE))=0,,VLOOKUP(R313,A2:D500,4,FALSE))</f>
        <v>#N/A</v>
      </c>
      <c r="T313" s="56">
        <f>'Process Model'!P425</f>
        <v>0</v>
      </c>
      <c r="U313" s="22" t="e">
        <f>IF(LEN(VLOOKUP(T313,A2:D500,4,FALSE))=0,,VLOOKUP(T313,A2:D500,4,FALSE))</f>
        <v>#N/A</v>
      </c>
      <c r="V313" s="56">
        <f>'Toxicological reference value M'!P427</f>
        <v>0</v>
      </c>
      <c r="W313" s="22" t="e">
        <f>IF(LEN(VLOOKUP(V313,A2:D500,4,FALSE))=0,,VLOOKUP(V313,A2:D500,4,FALSE))</f>
        <v>#N/A</v>
      </c>
      <c r="Y313" s="56">
        <f>'Other Empirical Model'!P438</f>
        <v>0</v>
      </c>
      <c r="Z313" s="22" t="e">
        <f>IF(LEN(VLOOKUP(Y313,A2:D500,4,FALSE))=0,,VLOOKUP(Y313,A2:D500,4,FALSE))</f>
        <v>#N/A</v>
      </c>
      <c r="AA313" s="56">
        <f>'Predictive Model'!P425</f>
        <v>0</v>
      </c>
      <c r="AB313" s="22" t="e">
        <f>IF(LEN(VLOOKUP(AA313,A2:D500,4,FALSE))=0,,VLOOKUP(AA313,A2:D500,4,FALSE))</f>
        <v>#N/A</v>
      </c>
      <c r="AC313" s="56">
        <f>'Consumption Model'!P430</f>
        <v>0</v>
      </c>
      <c r="AD313" s="22" t="e">
        <f>IF(LEN(VLOOKUP(AC313,A2:D500,4,FALSE))=0,,VLOOKUP(AC313,A2:D500,4,FALSE))</f>
        <v>#N/A</v>
      </c>
      <c r="AE313" s="22">
        <f>'(Data)'!Q426</f>
        <v>0</v>
      </c>
      <c r="AF313" s="22" t="e">
        <f>IF(LEN(VLOOKUP(AE312:AE313,A2:D500,4,FALSE))=0,,VLOOKUP(AE312:AE313,A2:D500,4,FALSE))</f>
        <v>#N/A</v>
      </c>
      <c r="AH313" s="45">
        <f>'Risk Charact Model'!P444</f>
        <v>0</v>
      </c>
      <c r="AI313" s="58" t="e">
        <f>IF(LEN(VLOOKUP(AH313,A2:D500,4,FALSE))=0,,VLOOKUP(AH313,A2:D500,4,FALSE))</f>
        <v>#N/A</v>
      </c>
    </row>
    <row r="314" spans="1:35" ht="14" x14ac:dyDescent="0.3">
      <c r="I314" s="60">
        <f>'Generic Metadata Schema'!P444</f>
        <v>0</v>
      </c>
      <c r="J314" s="22" t="e">
        <f>IF(LEN(VLOOKUP(I314,A2:D500,4,FALSE))=0,"",VLOOKUP(I314,A2:D500,4,FALSE))</f>
        <v>#N/A</v>
      </c>
      <c r="L314" s="56">
        <f>'Dose-response Model'!O428</f>
        <v>0</v>
      </c>
      <c r="M314" s="22" t="e">
        <f>IF(LEN(VLOOKUP(L314,A2:D500,4,FALSE))=0,,VLOOKUP(L314,A2:D500,4,FALSE))</f>
        <v>#N/A</v>
      </c>
      <c r="N314" s="22">
        <f>'Exposure Model'!O445</f>
        <v>0</v>
      </c>
      <c r="O314" s="22" t="e">
        <f>IF(LEN(VLOOKUP(N314,A2:D500,4,FALSE))=0,,VLOOKUP(N314,A2:D500,4,FALSE))</f>
        <v>#N/A</v>
      </c>
      <c r="P314" s="56">
        <f>'QRA Models'!Q445</f>
        <v>0</v>
      </c>
      <c r="Q314" s="22" t="e">
        <f>IF(LEN(VLOOKUP(P314,A2:D500,4,FALSE))=0,,VLOOKUP(P314,A2:D500,4,FALSE))</f>
        <v>#N/A</v>
      </c>
      <c r="R314" s="56">
        <f>'Health metrics Models'!Q428</f>
        <v>0</v>
      </c>
      <c r="S314" s="22" t="e">
        <f>IF(LEN(VLOOKUP(R314,A2:D500,4,FALSE))=0,,VLOOKUP(R314,A2:D500,4,FALSE))</f>
        <v>#N/A</v>
      </c>
      <c r="T314" s="56">
        <f>'Process Model'!P426</f>
        <v>0</v>
      </c>
      <c r="U314" s="22" t="e">
        <f>IF(LEN(VLOOKUP(T314,A2:D500,4,FALSE))=0,,VLOOKUP(T314,A2:D500,4,FALSE))</f>
        <v>#N/A</v>
      </c>
      <c r="V314" s="56">
        <f>'Toxicological reference value M'!P428</f>
        <v>0</v>
      </c>
      <c r="W314" s="22" t="e">
        <f>IF(LEN(VLOOKUP(V314,A2:D500,4,FALSE))=0,,VLOOKUP(V314,A2:D500,4,FALSE))</f>
        <v>#N/A</v>
      </c>
      <c r="Y314" s="56">
        <f>'Other Empirical Model'!P439</f>
        <v>0</v>
      </c>
      <c r="Z314" s="22" t="e">
        <f>IF(LEN(VLOOKUP(Y314,A2:D500,4,FALSE))=0,,VLOOKUP(Y314,A2:D500,4,FALSE))</f>
        <v>#N/A</v>
      </c>
      <c r="AA314" s="56">
        <f>'Predictive Model'!P426</f>
        <v>0</v>
      </c>
      <c r="AB314" s="22" t="e">
        <f>IF(LEN(VLOOKUP(AA314,A2:D500,4,FALSE))=0,,VLOOKUP(AA314,A2:D500,4,FALSE))</f>
        <v>#N/A</v>
      </c>
      <c r="AC314" s="56">
        <f>'Consumption Model'!P431</f>
        <v>0</v>
      </c>
      <c r="AD314" s="22" t="e">
        <f>IF(LEN(VLOOKUP(AC314,A2:D500,4,FALSE))=0,,VLOOKUP(AC314,A2:D500,4,FALSE))</f>
        <v>#N/A</v>
      </c>
      <c r="AE314" s="22">
        <f>'(Data)'!Q427</f>
        <v>0</v>
      </c>
      <c r="AF314" s="22" t="e">
        <f>IF(LEN(VLOOKUP(AE313:AE314,A2:D500,4,FALSE))=0,,VLOOKUP(AE313:AE314,A2:D500,4,FALSE))</f>
        <v>#N/A</v>
      </c>
      <c r="AH314" s="45">
        <f>'Risk Charact Model'!P445</f>
        <v>0</v>
      </c>
      <c r="AI314" s="58" t="e">
        <f>IF(LEN(VLOOKUP(AH314,A2:D500,4,FALSE))=0,,VLOOKUP(AH314,A2:D500,4,FALSE))</f>
        <v>#N/A</v>
      </c>
    </row>
    <row r="315" spans="1:35" ht="14" x14ac:dyDescent="0.3">
      <c r="I315" s="60">
        <f>'Generic Metadata Schema'!P445</f>
        <v>0</v>
      </c>
      <c r="J315" s="22" t="e">
        <f>IF(LEN(VLOOKUP(I315,A2:D500,4,FALSE))=0,"",VLOOKUP(I315,A2:D500,4,FALSE))</f>
        <v>#N/A</v>
      </c>
      <c r="L315" s="56">
        <f>'Dose-response Model'!O429</f>
        <v>0</v>
      </c>
      <c r="M315" s="22" t="e">
        <f>IF(LEN(VLOOKUP(L315,A2:D500,4,FALSE))=0,,VLOOKUP(L315,A2:D500,4,FALSE))</f>
        <v>#N/A</v>
      </c>
      <c r="N315" s="22">
        <f>'Exposure Model'!O446</f>
        <v>0</v>
      </c>
      <c r="O315" s="22" t="e">
        <f>IF(LEN(VLOOKUP(N315,A2:D500,4,FALSE))=0,,VLOOKUP(N315,A2:D500,4,FALSE))</f>
        <v>#N/A</v>
      </c>
      <c r="P315" s="56">
        <f>'QRA Models'!Q446</f>
        <v>0</v>
      </c>
      <c r="Q315" s="22" t="e">
        <f>IF(LEN(VLOOKUP(P315,A2:D500,4,FALSE))=0,,VLOOKUP(P315,A2:D500,4,FALSE))</f>
        <v>#N/A</v>
      </c>
      <c r="R315" s="56">
        <f>'Health metrics Models'!Q429</f>
        <v>0</v>
      </c>
      <c r="S315" s="22" t="e">
        <f>IF(LEN(VLOOKUP(R315,A2:D500,4,FALSE))=0,,VLOOKUP(R315,A2:D500,4,FALSE))</f>
        <v>#N/A</v>
      </c>
      <c r="T315" s="56">
        <f>'Process Model'!P427</f>
        <v>0</v>
      </c>
      <c r="U315" s="22" t="e">
        <f>IF(LEN(VLOOKUP(T315,A2:D500,4,FALSE))=0,,VLOOKUP(T315,A2:D500,4,FALSE))</f>
        <v>#N/A</v>
      </c>
      <c r="V315" s="56">
        <f>'Toxicological reference value M'!P429</f>
        <v>0</v>
      </c>
      <c r="W315" s="22" t="e">
        <f>IF(LEN(VLOOKUP(V315,A2:D500,4,FALSE))=0,,VLOOKUP(V315,A2:D500,4,FALSE))</f>
        <v>#N/A</v>
      </c>
      <c r="Y315" s="56">
        <f>'Other Empirical Model'!P440</f>
        <v>0</v>
      </c>
      <c r="Z315" s="22" t="e">
        <f>IF(LEN(VLOOKUP(Y315,A2:D500,4,FALSE))=0,,VLOOKUP(Y315,A2:D500,4,FALSE))</f>
        <v>#N/A</v>
      </c>
      <c r="AA315" s="56">
        <f>'Predictive Model'!P427</f>
        <v>0</v>
      </c>
      <c r="AB315" s="22" t="e">
        <f>IF(LEN(VLOOKUP(AA315,A2:D500,4,FALSE))=0,,VLOOKUP(AA315,A2:D500,4,FALSE))</f>
        <v>#N/A</v>
      </c>
      <c r="AC315" s="56">
        <f>'Consumption Model'!P432</f>
        <v>0</v>
      </c>
      <c r="AD315" s="22" t="e">
        <f>IF(LEN(VLOOKUP(AC315,A2:D500,4,FALSE))=0,,VLOOKUP(AC315,A2:D500,4,FALSE))</f>
        <v>#N/A</v>
      </c>
      <c r="AE315" s="22">
        <f>'(Data)'!Q428</f>
        <v>0</v>
      </c>
      <c r="AF315" s="22" t="e">
        <f>IF(LEN(VLOOKUP(AE314:AE315,A2:D500,4,FALSE))=0,,VLOOKUP(AE314:AE315,A2:D500,4,FALSE))</f>
        <v>#N/A</v>
      </c>
      <c r="AH315" s="45">
        <f>'Risk Charact Model'!P446</f>
        <v>0</v>
      </c>
      <c r="AI315" s="58" t="e">
        <f>IF(LEN(VLOOKUP(AH315,A2:D500,4,FALSE))=0,,VLOOKUP(AH315,A2:D500,4,FALSE))</f>
        <v>#N/A</v>
      </c>
    </row>
    <row r="316" spans="1:35" ht="14" x14ac:dyDescent="0.3">
      <c r="I316" s="60">
        <f>'Generic Metadata Schema'!P446</f>
        <v>0</v>
      </c>
      <c r="J316" s="22" t="e">
        <f>IF(LEN(VLOOKUP(I316,A2:D500,4,FALSE))=0,"",VLOOKUP(I316,A2:D500,4,FALSE))</f>
        <v>#N/A</v>
      </c>
      <c r="L316" s="56">
        <f>'Dose-response Model'!O430</f>
        <v>0</v>
      </c>
      <c r="M316" s="22" t="e">
        <f>IF(LEN(VLOOKUP(L316,A2:D500,4,FALSE))=0,,VLOOKUP(L316,A2:D500,4,FALSE))</f>
        <v>#N/A</v>
      </c>
      <c r="N316" s="22">
        <f>'Exposure Model'!O447</f>
        <v>0</v>
      </c>
      <c r="O316" s="22" t="e">
        <f>IF(LEN(VLOOKUP(N316,A2:D500,4,FALSE))=0,,VLOOKUP(N316,A2:D500,4,FALSE))</f>
        <v>#N/A</v>
      </c>
      <c r="P316" s="56">
        <f>'QRA Models'!Q447</f>
        <v>0</v>
      </c>
      <c r="Q316" s="22" t="e">
        <f>IF(LEN(VLOOKUP(P316,A2:D500,4,FALSE))=0,,VLOOKUP(P316,A2:D500,4,FALSE))</f>
        <v>#N/A</v>
      </c>
      <c r="R316" s="56">
        <f>'Health metrics Models'!Q430</f>
        <v>0</v>
      </c>
      <c r="S316" s="22" t="e">
        <f>IF(LEN(VLOOKUP(R316,A2:D500,4,FALSE))=0,,VLOOKUP(R316,A2:D500,4,FALSE))</f>
        <v>#N/A</v>
      </c>
      <c r="T316" s="56">
        <f>'Process Model'!P428</f>
        <v>0</v>
      </c>
      <c r="U316" s="22" t="e">
        <f>IF(LEN(VLOOKUP(T316,A2:D500,4,FALSE))=0,,VLOOKUP(T316,A2:D500,4,FALSE))</f>
        <v>#N/A</v>
      </c>
      <c r="V316" s="56">
        <f>'Toxicological reference value M'!P430</f>
        <v>0</v>
      </c>
      <c r="W316" s="22" t="e">
        <f>IF(LEN(VLOOKUP(V316,A2:D500,4,FALSE))=0,,VLOOKUP(V316,A2:D500,4,FALSE))</f>
        <v>#N/A</v>
      </c>
      <c r="Y316" s="56">
        <f>'Other Empirical Model'!P441</f>
        <v>0</v>
      </c>
      <c r="Z316" s="22" t="e">
        <f>IF(LEN(VLOOKUP(Y316,A2:D500,4,FALSE))=0,,VLOOKUP(Y316,A2:D500,4,FALSE))</f>
        <v>#N/A</v>
      </c>
      <c r="AA316" s="56">
        <f>'Predictive Model'!P428</f>
        <v>0</v>
      </c>
      <c r="AB316" s="22" t="e">
        <f>IF(LEN(VLOOKUP(AA316,A2:D500,4,FALSE))=0,,VLOOKUP(AA316,A2:D500,4,FALSE))</f>
        <v>#N/A</v>
      </c>
      <c r="AC316" s="56">
        <f>'Consumption Model'!P433</f>
        <v>0</v>
      </c>
      <c r="AD316" s="22" t="e">
        <f>IF(LEN(VLOOKUP(AC316,A2:D500,4,FALSE))=0,,VLOOKUP(AC316,A2:D500,4,FALSE))</f>
        <v>#N/A</v>
      </c>
      <c r="AE316" s="22">
        <f>'(Data)'!Q429</f>
        <v>0</v>
      </c>
      <c r="AF316" s="22" t="e">
        <f>IF(LEN(VLOOKUP(AE315:AE316,A2:D500,4,FALSE))=0,,VLOOKUP(AE315:AE316,A2:D500,4,FALSE))</f>
        <v>#N/A</v>
      </c>
      <c r="AH316" s="45">
        <f>'Risk Charact Model'!P447</f>
        <v>0</v>
      </c>
      <c r="AI316" s="58" t="e">
        <f>IF(LEN(VLOOKUP(AH316,A2:D500,4,FALSE))=0,,VLOOKUP(AH316,A2:D500,4,FALSE))</f>
        <v>#N/A</v>
      </c>
    </row>
    <row r="317" spans="1:35" ht="14" x14ac:dyDescent="0.3">
      <c r="I317" s="60">
        <f>'Generic Metadata Schema'!P447</f>
        <v>0</v>
      </c>
      <c r="J317" s="22" t="e">
        <f>IF(LEN(VLOOKUP(I317,A2:D500,4,FALSE))=0,"",VLOOKUP(I317,A2:D500,4,FALSE))</f>
        <v>#N/A</v>
      </c>
      <c r="L317" s="56">
        <f>'Dose-response Model'!O431</f>
        <v>0</v>
      </c>
      <c r="M317" s="22" t="e">
        <f>IF(LEN(VLOOKUP(L317,A2:D500,4,FALSE))=0,,VLOOKUP(L317,A2:D500,4,FALSE))</f>
        <v>#N/A</v>
      </c>
      <c r="N317" s="22">
        <f>'Exposure Model'!O448</f>
        <v>0</v>
      </c>
      <c r="O317" s="22" t="e">
        <f>IF(LEN(VLOOKUP(N317,A2:D500,4,FALSE))=0,,VLOOKUP(N317,A2:D500,4,FALSE))</f>
        <v>#N/A</v>
      </c>
      <c r="P317" s="56">
        <f>'QRA Models'!Q448</f>
        <v>0</v>
      </c>
      <c r="Q317" s="22" t="e">
        <f>IF(LEN(VLOOKUP(P317,A2:D500,4,FALSE))=0,,VLOOKUP(P317,A2:D500,4,FALSE))</f>
        <v>#N/A</v>
      </c>
      <c r="R317" s="56">
        <f>'Health metrics Models'!Q431</f>
        <v>0</v>
      </c>
      <c r="S317" s="22" t="e">
        <f>IF(LEN(VLOOKUP(R317,A2:D500,4,FALSE))=0,,VLOOKUP(R317,A2:D500,4,FALSE))</f>
        <v>#N/A</v>
      </c>
      <c r="T317" s="56">
        <f>'Process Model'!P429</f>
        <v>0</v>
      </c>
      <c r="U317" s="22" t="e">
        <f>IF(LEN(VLOOKUP(T317,A2:D500,4,FALSE))=0,,VLOOKUP(T317,A2:D500,4,FALSE))</f>
        <v>#N/A</v>
      </c>
      <c r="V317" s="56">
        <f>'Toxicological reference value M'!P431</f>
        <v>0</v>
      </c>
      <c r="W317" s="22" t="e">
        <f>IF(LEN(VLOOKUP(V317,A2:D500,4,FALSE))=0,,VLOOKUP(V317,A2:D500,4,FALSE))</f>
        <v>#N/A</v>
      </c>
      <c r="Y317" s="56">
        <f>'Other Empirical Model'!P442</f>
        <v>0</v>
      </c>
      <c r="Z317" s="22" t="e">
        <f>IF(LEN(VLOOKUP(Y317,A2:D500,4,FALSE))=0,,VLOOKUP(Y317,A2:D500,4,FALSE))</f>
        <v>#N/A</v>
      </c>
      <c r="AA317" s="56">
        <f>'Predictive Model'!P429</f>
        <v>0</v>
      </c>
      <c r="AB317" s="22" t="e">
        <f>IF(LEN(VLOOKUP(AA317,A2:D500,4,FALSE))=0,,VLOOKUP(AA317,A2:D500,4,FALSE))</f>
        <v>#N/A</v>
      </c>
      <c r="AC317" s="56">
        <f>'Consumption Model'!P434</f>
        <v>0</v>
      </c>
      <c r="AD317" s="22" t="e">
        <f>IF(LEN(VLOOKUP(AC317,A2:D500,4,FALSE))=0,,VLOOKUP(AC317,A2:D500,4,FALSE))</f>
        <v>#N/A</v>
      </c>
      <c r="AE317" s="22">
        <f>'(Data)'!Q430</f>
        <v>0</v>
      </c>
      <c r="AF317" s="22" t="e">
        <f>IF(LEN(VLOOKUP(AE316:AE317,A2:D500,4,FALSE))=0,,VLOOKUP(AE316:AE317,A2:D500,4,FALSE))</f>
        <v>#N/A</v>
      </c>
      <c r="AH317" s="45">
        <f>'Risk Charact Model'!P448</f>
        <v>0</v>
      </c>
      <c r="AI317" s="58" t="e">
        <f>IF(LEN(VLOOKUP(AH317,A2:D500,4,FALSE))=0,,VLOOKUP(AH317,A2:D500,4,FALSE))</f>
        <v>#N/A</v>
      </c>
    </row>
    <row r="318" spans="1:35" ht="14" x14ac:dyDescent="0.3">
      <c r="I318" s="60">
        <f>'Generic Metadata Schema'!P448</f>
        <v>0</v>
      </c>
      <c r="J318" s="22" t="e">
        <f>IF(LEN(VLOOKUP(I318,A2:D500,4,FALSE))=0,"",VLOOKUP(I318,A2:D500,4,FALSE))</f>
        <v>#N/A</v>
      </c>
      <c r="L318" s="56">
        <f>'Dose-response Model'!O432</f>
        <v>0</v>
      </c>
      <c r="M318" s="22" t="e">
        <f>IF(LEN(VLOOKUP(L318,A2:D500,4,FALSE))=0,,VLOOKUP(L318,A2:D500,4,FALSE))</f>
        <v>#N/A</v>
      </c>
      <c r="N318" s="22">
        <f>'Exposure Model'!O449</f>
        <v>0</v>
      </c>
      <c r="O318" s="22" t="e">
        <f>IF(LEN(VLOOKUP(N318,A2:D500,4,FALSE))=0,,VLOOKUP(N318,A2:D500,4,FALSE))</f>
        <v>#N/A</v>
      </c>
      <c r="P318" s="56">
        <f>'QRA Models'!Q449</f>
        <v>0</v>
      </c>
      <c r="Q318" s="22" t="e">
        <f>IF(LEN(VLOOKUP(P318,A2:D500,4,FALSE))=0,,VLOOKUP(P318,A2:D500,4,FALSE))</f>
        <v>#N/A</v>
      </c>
      <c r="R318" s="56">
        <f>'Health metrics Models'!Q432</f>
        <v>0</v>
      </c>
      <c r="S318" s="22" t="e">
        <f>IF(LEN(VLOOKUP(R318,A2:D500,4,FALSE))=0,,VLOOKUP(R318,A2:D500,4,FALSE))</f>
        <v>#N/A</v>
      </c>
      <c r="T318" s="56">
        <f>'Process Model'!P430</f>
        <v>0</v>
      </c>
      <c r="U318" s="22" t="e">
        <f>IF(LEN(VLOOKUP(T318,A2:D500,4,FALSE))=0,,VLOOKUP(T318,A2:D500,4,FALSE))</f>
        <v>#N/A</v>
      </c>
      <c r="V318" s="56">
        <f>'Toxicological reference value M'!P432</f>
        <v>0</v>
      </c>
      <c r="W318" s="22" t="e">
        <f>IF(LEN(VLOOKUP(V318,A2:D500,4,FALSE))=0,,VLOOKUP(V318,A2:D500,4,FALSE))</f>
        <v>#N/A</v>
      </c>
      <c r="Y318" s="56">
        <f>'Other Empirical Model'!P443</f>
        <v>0</v>
      </c>
      <c r="Z318" s="22" t="e">
        <f>IF(LEN(VLOOKUP(Y318,A2:D500,4,FALSE))=0,,VLOOKUP(Y318,A2:D500,4,FALSE))</f>
        <v>#N/A</v>
      </c>
      <c r="AA318" s="56">
        <f>'Predictive Model'!P430</f>
        <v>0</v>
      </c>
      <c r="AB318" s="22" t="e">
        <f>IF(LEN(VLOOKUP(AA318,A2:D500,4,FALSE))=0,,VLOOKUP(AA318,A2:D500,4,FALSE))</f>
        <v>#N/A</v>
      </c>
      <c r="AC318" s="56">
        <f>'Consumption Model'!P435</f>
        <v>0</v>
      </c>
      <c r="AD318" s="22" t="e">
        <f>IF(LEN(VLOOKUP(AC318,A2:D500,4,FALSE))=0,,VLOOKUP(AC318,A2:D500,4,FALSE))</f>
        <v>#N/A</v>
      </c>
      <c r="AE318" s="22">
        <f>'(Data)'!Q431</f>
        <v>0</v>
      </c>
      <c r="AF318" s="22" t="e">
        <f>IF(LEN(VLOOKUP(AE317:AE318,A2:D500,4,FALSE))=0,,VLOOKUP(AE317:AE318,A2:D500,4,FALSE))</f>
        <v>#N/A</v>
      </c>
      <c r="AH318" s="45">
        <f>'Risk Charact Model'!P449</f>
        <v>0</v>
      </c>
      <c r="AI318" s="58" t="e">
        <f>IF(LEN(VLOOKUP(AH318,A2:D500,4,FALSE))=0,,VLOOKUP(AH318,A2:D500,4,FALSE))</f>
        <v>#N/A</v>
      </c>
    </row>
    <row r="319" spans="1:35" ht="14" x14ac:dyDescent="0.3">
      <c r="I319" s="60">
        <f>'Generic Metadata Schema'!P449</f>
        <v>0</v>
      </c>
      <c r="J319" s="22" t="e">
        <f>IF(LEN(VLOOKUP(I319,A2:D500,4,FALSE))=0,"",VLOOKUP(I319,A2:D500,4,FALSE))</f>
        <v>#N/A</v>
      </c>
      <c r="L319" s="56">
        <f>'Dose-response Model'!O433</f>
        <v>0</v>
      </c>
      <c r="M319" s="22" t="e">
        <f>IF(LEN(VLOOKUP(L319,A2:D500,4,FALSE))=0,,VLOOKUP(L319,A2:D500,4,FALSE))</f>
        <v>#N/A</v>
      </c>
      <c r="N319" s="22">
        <f>'Exposure Model'!O450</f>
        <v>0</v>
      </c>
      <c r="O319" s="22" t="e">
        <f>IF(LEN(VLOOKUP(N319,A2:D500,4,FALSE))=0,,VLOOKUP(N319,A2:D500,4,FALSE))</f>
        <v>#N/A</v>
      </c>
      <c r="P319" s="56">
        <f>'QRA Models'!Q450</f>
        <v>0</v>
      </c>
      <c r="Q319" s="22" t="e">
        <f>IF(LEN(VLOOKUP(P319,A2:D500,4,FALSE))=0,,VLOOKUP(P319,A2:D500,4,FALSE))</f>
        <v>#N/A</v>
      </c>
      <c r="R319" s="56">
        <f>'Health metrics Models'!Q433</f>
        <v>0</v>
      </c>
      <c r="S319" s="22" t="e">
        <f>IF(LEN(VLOOKUP(R319,A2:D500,4,FALSE))=0,,VLOOKUP(R319,A2:D500,4,FALSE))</f>
        <v>#N/A</v>
      </c>
      <c r="T319" s="56">
        <f>'Process Model'!P431</f>
        <v>0</v>
      </c>
      <c r="U319" s="22" t="e">
        <f>IF(LEN(VLOOKUP(T319,A2:D500,4,FALSE))=0,,VLOOKUP(T319,A2:D500,4,FALSE))</f>
        <v>#N/A</v>
      </c>
      <c r="V319" s="56">
        <f>'Toxicological reference value M'!P433</f>
        <v>0</v>
      </c>
      <c r="W319" s="22" t="e">
        <f>IF(LEN(VLOOKUP(V319,A2:D500,4,FALSE))=0,,VLOOKUP(V319,A2:D500,4,FALSE))</f>
        <v>#N/A</v>
      </c>
      <c r="Y319" s="56">
        <f>'Other Empirical Model'!P444</f>
        <v>0</v>
      </c>
      <c r="Z319" s="22" t="e">
        <f>IF(LEN(VLOOKUP(Y319,A2:D500,4,FALSE))=0,,VLOOKUP(Y319,A2:D500,4,FALSE))</f>
        <v>#N/A</v>
      </c>
      <c r="AA319" s="56">
        <f>'Predictive Model'!P431</f>
        <v>0</v>
      </c>
      <c r="AB319" s="22" t="e">
        <f>IF(LEN(VLOOKUP(AA319,A2:D500,4,FALSE))=0,,VLOOKUP(AA319,A2:D500,4,FALSE))</f>
        <v>#N/A</v>
      </c>
      <c r="AC319" s="56">
        <f>'Consumption Model'!P436</f>
        <v>0</v>
      </c>
      <c r="AD319" s="22" t="e">
        <f>IF(LEN(VLOOKUP(AC319,A2:D500,4,FALSE))=0,,VLOOKUP(AC319,A2:D500,4,FALSE))</f>
        <v>#N/A</v>
      </c>
      <c r="AE319" s="22">
        <f>'(Data)'!Q432</f>
        <v>0</v>
      </c>
      <c r="AF319" s="22" t="e">
        <f>IF(LEN(VLOOKUP(AE318:AE319,A2:D500,4,FALSE))=0,,VLOOKUP(AE318:AE319,A2:D500,4,FALSE))</f>
        <v>#N/A</v>
      </c>
      <c r="AH319" s="45">
        <f>'Risk Charact Model'!P450</f>
        <v>0</v>
      </c>
      <c r="AI319" s="58" t="e">
        <f>IF(LEN(VLOOKUP(AH319,A2:D500,4,FALSE))=0,,VLOOKUP(AH319,A2:D500,4,FALSE))</f>
        <v>#N/A</v>
      </c>
    </row>
    <row r="320" spans="1:35" ht="14" x14ac:dyDescent="0.3">
      <c r="A320" s="45"/>
      <c r="I320" s="60">
        <f>'Generic Metadata Schema'!P450</f>
        <v>0</v>
      </c>
      <c r="J320" s="22" t="e">
        <f>IF(LEN(VLOOKUP(I320,A2:D500,4,FALSE))=0,"",VLOOKUP(I320,A2:D500,4,FALSE))</f>
        <v>#N/A</v>
      </c>
      <c r="L320" s="56">
        <f>'Dose-response Model'!O434</f>
        <v>0</v>
      </c>
      <c r="M320" s="22" t="e">
        <f>IF(LEN(VLOOKUP(L320,A2:D500,4,FALSE))=0,,VLOOKUP(L320,A2:D500,4,FALSE))</f>
        <v>#N/A</v>
      </c>
      <c r="N320" s="22">
        <f>'Exposure Model'!O451</f>
        <v>0</v>
      </c>
      <c r="O320" s="22" t="e">
        <f>IF(LEN(VLOOKUP(N320,A2:D500,4,FALSE))=0,,VLOOKUP(N320,A2:D500,4,FALSE))</f>
        <v>#N/A</v>
      </c>
      <c r="P320" s="56">
        <f>'QRA Models'!Q451</f>
        <v>0</v>
      </c>
      <c r="Q320" s="22" t="e">
        <f>IF(LEN(VLOOKUP(P320,A2:D500,4,FALSE))=0,,VLOOKUP(P320,A2:D500,4,FALSE))</f>
        <v>#N/A</v>
      </c>
      <c r="R320" s="56">
        <f>'Health metrics Models'!Q434</f>
        <v>0</v>
      </c>
      <c r="S320" s="22" t="e">
        <f>IF(LEN(VLOOKUP(R320,A2:D500,4,FALSE))=0,,VLOOKUP(R320,A2:D500,4,FALSE))</f>
        <v>#N/A</v>
      </c>
      <c r="T320" s="56">
        <f>'Process Model'!P432</f>
        <v>0</v>
      </c>
      <c r="U320" s="22" t="e">
        <f>IF(LEN(VLOOKUP(T320,A2:D500,4,FALSE))=0,,VLOOKUP(T320,A2:D500,4,FALSE))</f>
        <v>#N/A</v>
      </c>
      <c r="V320" s="56">
        <f>'Toxicological reference value M'!P434</f>
        <v>0</v>
      </c>
      <c r="W320" s="22" t="e">
        <f>IF(LEN(VLOOKUP(V320,A2:D500,4,FALSE))=0,,VLOOKUP(V320,A2:D500,4,FALSE))</f>
        <v>#N/A</v>
      </c>
      <c r="Y320" s="56">
        <f>'Other Empirical Model'!P445</f>
        <v>0</v>
      </c>
      <c r="Z320" s="22" t="e">
        <f>IF(LEN(VLOOKUP(Y320,A2:D500,4,FALSE))=0,,VLOOKUP(Y320,A2:D500,4,FALSE))</f>
        <v>#N/A</v>
      </c>
      <c r="AA320" s="56">
        <f>'Predictive Model'!P432</f>
        <v>0</v>
      </c>
      <c r="AB320" s="22" t="e">
        <f>IF(LEN(VLOOKUP(AA320,A2:D500,4,FALSE))=0,,VLOOKUP(AA320,A2:D500,4,FALSE))</f>
        <v>#N/A</v>
      </c>
      <c r="AC320" s="56">
        <f>'Consumption Model'!P437</f>
        <v>0</v>
      </c>
      <c r="AD320" s="22" t="e">
        <f>IF(LEN(VLOOKUP(AC320,A2:D500,4,FALSE))=0,,VLOOKUP(AC320,A2:D500,4,FALSE))</f>
        <v>#N/A</v>
      </c>
      <c r="AE320" s="22">
        <f>'(Data)'!Q433</f>
        <v>0</v>
      </c>
      <c r="AF320" s="22" t="e">
        <f>IF(LEN(VLOOKUP(AE319:AE320,A2:D500,4,FALSE))=0,,VLOOKUP(AE319:AE320,A2:D500,4,FALSE))</f>
        <v>#N/A</v>
      </c>
      <c r="AH320" s="45">
        <f>'Risk Charact Model'!P451</f>
        <v>0</v>
      </c>
      <c r="AI320" s="58" t="e">
        <f>IF(LEN(VLOOKUP(AH320,A2:D500,4,FALSE))=0,,VLOOKUP(AH320,A2:D500,4,FALSE))</f>
        <v>#N/A</v>
      </c>
    </row>
    <row r="321" spans="9:35" ht="14" x14ac:dyDescent="0.3">
      <c r="I321" s="60">
        <f>'Generic Metadata Schema'!P451</f>
        <v>0</v>
      </c>
      <c r="J321" s="22" t="e">
        <f>IF(LEN(VLOOKUP(I321,A2:D500,4,FALSE))=0,"",VLOOKUP(I321,A2:D500,4,FALSE))</f>
        <v>#N/A</v>
      </c>
      <c r="L321" s="56">
        <f>'Dose-response Model'!O435</f>
        <v>0</v>
      </c>
      <c r="M321" s="22" t="e">
        <f>IF(LEN(VLOOKUP(L321,A2:D500,4,FALSE))=0,,VLOOKUP(L321,A2:D500,4,FALSE))</f>
        <v>#N/A</v>
      </c>
      <c r="N321" s="22">
        <f>'Exposure Model'!O452</f>
        <v>0</v>
      </c>
      <c r="O321" s="22" t="e">
        <f>IF(LEN(VLOOKUP(N321,A2:D500,4,FALSE))=0,,VLOOKUP(N321,A2:D500,4,FALSE))</f>
        <v>#N/A</v>
      </c>
      <c r="P321" s="56">
        <f>'QRA Models'!Q452</f>
        <v>0</v>
      </c>
      <c r="Q321" s="22" t="e">
        <f>IF(LEN(VLOOKUP(P321,A2:D500,4,FALSE))=0,,VLOOKUP(P321,A2:D500,4,FALSE))</f>
        <v>#N/A</v>
      </c>
      <c r="R321" s="56">
        <f>'Health metrics Models'!Q435</f>
        <v>0</v>
      </c>
      <c r="S321" s="22" t="e">
        <f>IF(LEN(VLOOKUP(R321,A2:D500,4,FALSE))=0,,VLOOKUP(R321,A2:D500,4,FALSE))</f>
        <v>#N/A</v>
      </c>
      <c r="T321" s="56">
        <f>'Process Model'!P433</f>
        <v>0</v>
      </c>
      <c r="U321" s="22" t="e">
        <f>IF(LEN(VLOOKUP(T321,A2:D500,4,FALSE))=0,,VLOOKUP(T321,A2:D500,4,FALSE))</f>
        <v>#N/A</v>
      </c>
      <c r="V321" s="56">
        <f>'Toxicological reference value M'!P435</f>
        <v>0</v>
      </c>
      <c r="W321" s="22" t="e">
        <f>IF(LEN(VLOOKUP(V321,A2:D500,4,FALSE))=0,,VLOOKUP(V321,A2:D500,4,FALSE))</f>
        <v>#N/A</v>
      </c>
      <c r="Y321" s="56">
        <f>'Other Empirical Model'!P446</f>
        <v>0</v>
      </c>
      <c r="Z321" s="22" t="e">
        <f>IF(LEN(VLOOKUP(Y321,A2:D500,4,FALSE))=0,,VLOOKUP(Y321,A2:D500,4,FALSE))</f>
        <v>#N/A</v>
      </c>
      <c r="AA321" s="56">
        <f>'Predictive Model'!P433</f>
        <v>0</v>
      </c>
      <c r="AB321" s="22" t="e">
        <f>IF(LEN(VLOOKUP(AA321,A2:D500,4,FALSE))=0,,VLOOKUP(AA321,A2:D500,4,FALSE))</f>
        <v>#N/A</v>
      </c>
      <c r="AC321" s="56">
        <f>'Consumption Model'!P438</f>
        <v>0</v>
      </c>
      <c r="AD321" s="22" t="e">
        <f>IF(LEN(VLOOKUP(AC321,A2:D500,4,FALSE))=0,,VLOOKUP(AC321,A2:D500,4,FALSE))</f>
        <v>#N/A</v>
      </c>
      <c r="AE321" s="22">
        <f>'(Data)'!Q434</f>
        <v>0</v>
      </c>
      <c r="AF321" s="22" t="e">
        <f>IF(LEN(VLOOKUP(AE320:AE321,A2:D500,4,FALSE))=0,,VLOOKUP(AE320:AE321,A2:D500,4,FALSE))</f>
        <v>#N/A</v>
      </c>
      <c r="AH321" s="45">
        <f>'Risk Charact Model'!P452</f>
        <v>0</v>
      </c>
      <c r="AI321" s="58" t="e">
        <f>IF(LEN(VLOOKUP(AH321,A2:D500,4,FALSE))=0,,VLOOKUP(AH321,A2:D500,4,FALSE))</f>
        <v>#N/A</v>
      </c>
    </row>
    <row r="322" spans="9:35" ht="14" x14ac:dyDescent="0.3">
      <c r="I322" s="60">
        <f>'Generic Metadata Schema'!P452</f>
        <v>0</v>
      </c>
      <c r="J322" s="22" t="e">
        <f>IF(LEN(VLOOKUP(I322,A2:D500,4,FALSE))=0,"",VLOOKUP(I322,A2:D500,4,FALSE))</f>
        <v>#N/A</v>
      </c>
      <c r="L322" s="56">
        <f>'Dose-response Model'!O436</f>
        <v>0</v>
      </c>
      <c r="M322" s="22" t="e">
        <f>IF(LEN(VLOOKUP(L322,A2:D500,4,FALSE))=0,,VLOOKUP(L322,A2:D500,4,FALSE))</f>
        <v>#N/A</v>
      </c>
      <c r="N322" s="22">
        <f>'Exposure Model'!O453</f>
        <v>0</v>
      </c>
      <c r="O322" s="22" t="e">
        <f>IF(LEN(VLOOKUP(N322,A2:D500,4,FALSE))=0,,VLOOKUP(N322,A2:D500,4,FALSE))</f>
        <v>#N/A</v>
      </c>
      <c r="P322" s="56">
        <f>'QRA Models'!Q453</f>
        <v>0</v>
      </c>
      <c r="Q322" s="22" t="e">
        <f>IF(LEN(VLOOKUP(P322,A2:D500,4,FALSE))=0,,VLOOKUP(P322,A2:D500,4,FALSE))</f>
        <v>#N/A</v>
      </c>
      <c r="R322" s="56">
        <f>'Health metrics Models'!Q436</f>
        <v>0</v>
      </c>
      <c r="S322" s="22" t="e">
        <f>IF(LEN(VLOOKUP(R322,A2:D500,4,FALSE))=0,,VLOOKUP(R322,A2:D500,4,FALSE))</f>
        <v>#N/A</v>
      </c>
      <c r="T322" s="56">
        <f>'Process Model'!P434</f>
        <v>0</v>
      </c>
      <c r="U322" s="22" t="e">
        <f>IF(LEN(VLOOKUP(T322,A2:D500,4,FALSE))=0,,VLOOKUP(T322,A2:D500,4,FALSE))</f>
        <v>#N/A</v>
      </c>
      <c r="V322" s="56">
        <f>'Toxicological reference value M'!P436</f>
        <v>0</v>
      </c>
      <c r="W322" s="22" t="e">
        <f>IF(LEN(VLOOKUP(V322,A2:D500,4,FALSE))=0,,VLOOKUP(V322,A2:D500,4,FALSE))</f>
        <v>#N/A</v>
      </c>
      <c r="Y322" s="56">
        <f>'Other Empirical Model'!P447</f>
        <v>0</v>
      </c>
      <c r="Z322" s="22" t="e">
        <f>IF(LEN(VLOOKUP(Y322,A2:D500,4,FALSE))=0,,VLOOKUP(Y322,A2:D500,4,FALSE))</f>
        <v>#N/A</v>
      </c>
      <c r="AA322" s="56">
        <f>'Predictive Model'!P434</f>
        <v>0</v>
      </c>
      <c r="AB322" s="22" t="e">
        <f>IF(LEN(VLOOKUP(AA322,A2:D500,4,FALSE))=0,,VLOOKUP(AA322,A2:D500,4,FALSE))</f>
        <v>#N/A</v>
      </c>
      <c r="AC322" s="56">
        <f>'Consumption Model'!P439</f>
        <v>0</v>
      </c>
      <c r="AD322" s="22" t="e">
        <f>IF(LEN(VLOOKUP(AC322,A2:D500,4,FALSE))=0,,VLOOKUP(AC322,A2:D500,4,FALSE))</f>
        <v>#N/A</v>
      </c>
      <c r="AE322" s="22">
        <f>'(Data)'!Q435</f>
        <v>0</v>
      </c>
      <c r="AF322" s="22" t="e">
        <f>IF(LEN(VLOOKUP(AE321:AE322,A2:D500,4,FALSE))=0,,VLOOKUP(AE321:AE322,A2:D500,4,FALSE))</f>
        <v>#N/A</v>
      </c>
      <c r="AH322" s="45">
        <f>'Risk Charact Model'!P453</f>
        <v>0</v>
      </c>
      <c r="AI322" s="58" t="e">
        <f>IF(LEN(VLOOKUP(AH322,A2:D500,4,FALSE))=0,,VLOOKUP(AH322,A2:D500,4,FALSE))</f>
        <v>#N/A</v>
      </c>
    </row>
    <row r="323" spans="9:35" ht="14" x14ac:dyDescent="0.3">
      <c r="I323" s="60">
        <f>'Generic Metadata Schema'!P453</f>
        <v>0</v>
      </c>
      <c r="J323" s="22" t="e">
        <f>IF(LEN(VLOOKUP(I323,A2:D500,4,FALSE))=0,"",VLOOKUP(I323,A2:D500,4,FALSE))</f>
        <v>#N/A</v>
      </c>
      <c r="L323" s="56">
        <f>'Dose-response Model'!O437</f>
        <v>0</v>
      </c>
      <c r="M323" s="22" t="e">
        <f>IF(LEN(VLOOKUP(L323,A2:D500,4,FALSE))=0,,VLOOKUP(L323,A2:D500,4,FALSE))</f>
        <v>#N/A</v>
      </c>
      <c r="N323" s="22">
        <f>'Exposure Model'!O454</f>
        <v>0</v>
      </c>
      <c r="O323" s="22" t="e">
        <f>IF(LEN(VLOOKUP(N323,A2:D500,4,FALSE))=0,,VLOOKUP(N323,A2:D500,4,FALSE))</f>
        <v>#N/A</v>
      </c>
      <c r="P323" s="56">
        <f>'QRA Models'!Q454</f>
        <v>0</v>
      </c>
      <c r="Q323" s="22" t="e">
        <f>IF(LEN(VLOOKUP(P323,A2:D500,4,FALSE))=0,,VLOOKUP(P323,A2:D500,4,FALSE))</f>
        <v>#N/A</v>
      </c>
      <c r="R323" s="56">
        <f>'Health metrics Models'!Q437</f>
        <v>0</v>
      </c>
      <c r="S323" s="22" t="e">
        <f>IF(LEN(VLOOKUP(R323,A2:D500,4,FALSE))=0,,VLOOKUP(R323,A2:D500,4,FALSE))</f>
        <v>#N/A</v>
      </c>
      <c r="T323" s="56">
        <f>'Process Model'!P435</f>
        <v>0</v>
      </c>
      <c r="U323" s="22" t="e">
        <f>IF(LEN(VLOOKUP(T323,A2:D500,4,FALSE))=0,,VLOOKUP(T323,A2:D500,4,FALSE))</f>
        <v>#N/A</v>
      </c>
      <c r="V323" s="56">
        <f>'Toxicological reference value M'!P437</f>
        <v>0</v>
      </c>
      <c r="W323" s="22" t="e">
        <f>IF(LEN(VLOOKUP(V323,A2:D500,4,FALSE))=0,,VLOOKUP(V323,A2:D500,4,FALSE))</f>
        <v>#N/A</v>
      </c>
      <c r="Y323" s="56">
        <f>'Other Empirical Model'!P448</f>
        <v>0</v>
      </c>
      <c r="Z323" s="22" t="e">
        <f>IF(LEN(VLOOKUP(Y323,A2:D500,4,FALSE))=0,,VLOOKUP(Y323,A2:D500,4,FALSE))</f>
        <v>#N/A</v>
      </c>
      <c r="AA323" s="56">
        <f>'Predictive Model'!P435</f>
        <v>0</v>
      </c>
      <c r="AB323" s="22" t="e">
        <f>IF(LEN(VLOOKUP(AA323,A2:D500,4,FALSE))=0,,VLOOKUP(AA323,A2:D500,4,FALSE))</f>
        <v>#N/A</v>
      </c>
      <c r="AC323" s="56">
        <f>'Consumption Model'!P440</f>
        <v>0</v>
      </c>
      <c r="AD323" s="22" t="e">
        <f>IF(LEN(VLOOKUP(AC323,A2:D500,4,FALSE))=0,,VLOOKUP(AC323,A2:D500,4,FALSE))</f>
        <v>#N/A</v>
      </c>
      <c r="AE323" s="22">
        <f>'(Data)'!Q436</f>
        <v>0</v>
      </c>
      <c r="AF323" s="22" t="e">
        <f>IF(LEN(VLOOKUP(AE322:AE323,A2:D500,4,FALSE))=0,,VLOOKUP(AE322:AE323,A2:D500,4,FALSE))</f>
        <v>#N/A</v>
      </c>
      <c r="AH323" s="45">
        <f>'Risk Charact Model'!P454</f>
        <v>0</v>
      </c>
      <c r="AI323" s="58" t="e">
        <f>IF(LEN(VLOOKUP(AH323,A2:D500,4,FALSE))=0,,VLOOKUP(AH323,A2:D500,4,FALSE))</f>
        <v>#N/A</v>
      </c>
    </row>
    <row r="324" spans="9:35" ht="14" x14ac:dyDescent="0.3">
      <c r="I324" s="60">
        <f>'Generic Metadata Schema'!P454</f>
        <v>0</v>
      </c>
      <c r="J324" s="22" t="e">
        <f>IF(LEN(VLOOKUP(I324,A2:D500,4,FALSE))=0,"",VLOOKUP(I324,A2:D500,4,FALSE))</f>
        <v>#N/A</v>
      </c>
      <c r="L324" s="56">
        <f>'Dose-response Model'!O438</f>
        <v>0</v>
      </c>
      <c r="M324" s="22" t="e">
        <f>IF(LEN(VLOOKUP(L324,A2:D500,4,FALSE))=0,,VLOOKUP(L324,A2:D500,4,FALSE))</f>
        <v>#N/A</v>
      </c>
      <c r="N324" s="22">
        <f>'Exposure Model'!O455</f>
        <v>0</v>
      </c>
      <c r="O324" s="22" t="e">
        <f>IF(LEN(VLOOKUP(N324,A2:D500,4,FALSE))=0,,VLOOKUP(N324,A2:D500,4,FALSE))</f>
        <v>#N/A</v>
      </c>
      <c r="P324" s="56">
        <f>'QRA Models'!Q455</f>
        <v>0</v>
      </c>
      <c r="Q324" s="22" t="e">
        <f>IF(LEN(VLOOKUP(P324,A2:D500,4,FALSE))=0,,VLOOKUP(P324,A2:D500,4,FALSE))</f>
        <v>#N/A</v>
      </c>
      <c r="R324" s="56">
        <f>'Health metrics Models'!Q438</f>
        <v>0</v>
      </c>
      <c r="S324" s="22" t="e">
        <f>IF(LEN(VLOOKUP(R324,A2:D500,4,FALSE))=0,,VLOOKUP(R324,A2:D500,4,FALSE))</f>
        <v>#N/A</v>
      </c>
      <c r="T324" s="56">
        <f>'Process Model'!P436</f>
        <v>0</v>
      </c>
      <c r="U324" s="22" t="e">
        <f>IF(LEN(VLOOKUP(T324,A2:D500,4,FALSE))=0,,VLOOKUP(T324,A2:D500,4,FALSE))</f>
        <v>#N/A</v>
      </c>
      <c r="V324" s="56">
        <f>'Toxicological reference value M'!P438</f>
        <v>0</v>
      </c>
      <c r="W324" s="22" t="e">
        <f>IF(LEN(VLOOKUP(V324,A2:D500,4,FALSE))=0,,VLOOKUP(V324,A2:D500,4,FALSE))</f>
        <v>#N/A</v>
      </c>
      <c r="Y324" s="56">
        <f>'Other Empirical Model'!P449</f>
        <v>0</v>
      </c>
      <c r="Z324" s="22" t="e">
        <f>IF(LEN(VLOOKUP(Y324,A2:D500,4,FALSE))=0,,VLOOKUP(Y324,A2:D500,4,FALSE))</f>
        <v>#N/A</v>
      </c>
      <c r="AA324" s="56">
        <f>'Predictive Model'!P436</f>
        <v>0</v>
      </c>
      <c r="AB324" s="22" t="e">
        <f>IF(LEN(VLOOKUP(AA324,A2:D500,4,FALSE))=0,,VLOOKUP(AA324,A2:D500,4,FALSE))</f>
        <v>#N/A</v>
      </c>
      <c r="AC324" s="56">
        <f>'Consumption Model'!P441</f>
        <v>0</v>
      </c>
      <c r="AD324" s="22" t="e">
        <f>IF(LEN(VLOOKUP(AC324,A2:D500,4,FALSE))=0,,VLOOKUP(AC324,A2:D500,4,FALSE))</f>
        <v>#N/A</v>
      </c>
      <c r="AE324" s="22">
        <f>'(Data)'!Q437</f>
        <v>0</v>
      </c>
      <c r="AF324" s="22" t="e">
        <f>IF(LEN(VLOOKUP(AE323:AE324,A2:D500,4,FALSE))=0,,VLOOKUP(AE323:AE324,A2:D500,4,FALSE))</f>
        <v>#N/A</v>
      </c>
      <c r="AH324" s="45">
        <f>'Risk Charact Model'!P455</f>
        <v>0</v>
      </c>
      <c r="AI324" s="58" t="e">
        <f>IF(LEN(VLOOKUP(AH324,A2:D500,4,FALSE))=0,,VLOOKUP(AH324,A2:D500,4,FALSE))</f>
        <v>#N/A</v>
      </c>
    </row>
    <row r="325" spans="9:35" ht="14" x14ac:dyDescent="0.3">
      <c r="I325" s="60">
        <f>'Generic Metadata Schema'!P455</f>
        <v>0</v>
      </c>
      <c r="J325" s="22" t="e">
        <f>IF(LEN(VLOOKUP(I325,A2:D500,4,FALSE))=0,"",VLOOKUP(I325,A2:D500,4,FALSE))</f>
        <v>#N/A</v>
      </c>
      <c r="L325" s="56">
        <f>'Dose-response Model'!O439</f>
        <v>0</v>
      </c>
      <c r="M325" s="22" t="e">
        <f>IF(LEN(VLOOKUP(L325,A2:D500,4,FALSE))=0,,VLOOKUP(L325,A2:D500,4,FALSE))</f>
        <v>#N/A</v>
      </c>
      <c r="N325" s="22">
        <f>'Exposure Model'!O456</f>
        <v>0</v>
      </c>
      <c r="O325" s="22" t="e">
        <f>IF(LEN(VLOOKUP(N325,A2:D500,4,FALSE))=0,,VLOOKUP(N325,A2:D500,4,FALSE))</f>
        <v>#N/A</v>
      </c>
      <c r="P325" s="56">
        <f>'QRA Models'!Q456</f>
        <v>0</v>
      </c>
      <c r="Q325" s="22" t="e">
        <f>IF(LEN(VLOOKUP(P325,A2:D500,4,FALSE))=0,,VLOOKUP(P325,A2:D500,4,FALSE))</f>
        <v>#N/A</v>
      </c>
      <c r="R325" s="56">
        <f>'Health metrics Models'!Q439</f>
        <v>0</v>
      </c>
      <c r="S325" s="22" t="e">
        <f>IF(LEN(VLOOKUP(R325,A2:D500,4,FALSE))=0,,VLOOKUP(R325,A2:D500,4,FALSE))</f>
        <v>#N/A</v>
      </c>
      <c r="T325" s="56">
        <f>'Process Model'!P437</f>
        <v>0</v>
      </c>
      <c r="U325" s="22" t="e">
        <f>IF(LEN(VLOOKUP(T325,A2:D500,4,FALSE))=0,,VLOOKUP(T325,A2:D500,4,FALSE))</f>
        <v>#N/A</v>
      </c>
      <c r="V325" s="56">
        <f>'Toxicological reference value M'!P439</f>
        <v>0</v>
      </c>
      <c r="W325" s="22" t="e">
        <f>IF(LEN(VLOOKUP(V325,A2:D500,4,FALSE))=0,,VLOOKUP(V325,A2:D500,4,FALSE))</f>
        <v>#N/A</v>
      </c>
      <c r="Y325" s="56">
        <f>'Other Empirical Model'!P450</f>
        <v>0</v>
      </c>
      <c r="Z325" s="22" t="e">
        <f>IF(LEN(VLOOKUP(Y325,A2:D500,4,FALSE))=0,,VLOOKUP(Y325,A2:D500,4,FALSE))</f>
        <v>#N/A</v>
      </c>
      <c r="AA325" s="56">
        <f>'Predictive Model'!P437</f>
        <v>0</v>
      </c>
      <c r="AB325" s="22" t="e">
        <f>IF(LEN(VLOOKUP(AA325,A2:D500,4,FALSE))=0,,VLOOKUP(AA325,A2:D500,4,FALSE))</f>
        <v>#N/A</v>
      </c>
      <c r="AC325" s="56">
        <f>'Consumption Model'!P442</f>
        <v>0</v>
      </c>
      <c r="AD325" s="22" t="e">
        <f>IF(LEN(VLOOKUP(AC325,A2:D500,4,FALSE))=0,,VLOOKUP(AC325,A2:D500,4,FALSE))</f>
        <v>#N/A</v>
      </c>
      <c r="AE325" s="22">
        <f>'(Data)'!Q438</f>
        <v>0</v>
      </c>
      <c r="AF325" s="22" t="e">
        <f>IF(LEN(VLOOKUP(AE324:AE325,A2:D500,4,FALSE))=0,,VLOOKUP(AE324:AE325,A2:D500,4,FALSE))</f>
        <v>#N/A</v>
      </c>
      <c r="AH325" s="45">
        <f>'Risk Charact Model'!P456</f>
        <v>0</v>
      </c>
      <c r="AI325" s="58" t="e">
        <f>IF(LEN(VLOOKUP(AH325,A2:D500,4,FALSE))=0,,VLOOKUP(AH325,A2:D500,4,FALSE))</f>
        <v>#N/A</v>
      </c>
    </row>
    <row r="326" spans="9:35" ht="14" x14ac:dyDescent="0.3">
      <c r="I326" s="60">
        <f>'Generic Metadata Schema'!P456</f>
        <v>0</v>
      </c>
      <c r="J326" s="22" t="e">
        <f>IF(LEN(VLOOKUP(I326,A2:D500,4,FALSE))=0,"",VLOOKUP(I326,A2:D500,4,FALSE))</f>
        <v>#N/A</v>
      </c>
      <c r="L326" s="56">
        <f>'Dose-response Model'!O440</f>
        <v>0</v>
      </c>
      <c r="M326" s="22" t="e">
        <f>IF(LEN(VLOOKUP(L326,A2:D500,4,FALSE))=0,,VLOOKUP(L326,A2:D500,4,FALSE))</f>
        <v>#N/A</v>
      </c>
      <c r="N326" s="22">
        <f>'Exposure Model'!O457</f>
        <v>0</v>
      </c>
      <c r="O326" s="22" t="e">
        <f>IF(LEN(VLOOKUP(N326,A2:D500,4,FALSE))=0,,VLOOKUP(N326,A2:D500,4,FALSE))</f>
        <v>#N/A</v>
      </c>
      <c r="P326" s="56">
        <f>'QRA Models'!Q457</f>
        <v>0</v>
      </c>
      <c r="Q326" s="22" t="e">
        <f>IF(LEN(VLOOKUP(P326,A2:D500,4,FALSE))=0,,VLOOKUP(P326,A2:D500,4,FALSE))</f>
        <v>#N/A</v>
      </c>
      <c r="R326" s="56">
        <f>'Health metrics Models'!Q440</f>
        <v>0</v>
      </c>
      <c r="S326" s="22" t="e">
        <f>IF(LEN(VLOOKUP(R326,A2:D500,4,FALSE))=0,,VLOOKUP(R326,A2:D500,4,FALSE))</f>
        <v>#N/A</v>
      </c>
      <c r="T326" s="56">
        <f>'Process Model'!P438</f>
        <v>0</v>
      </c>
      <c r="U326" s="22" t="e">
        <f>IF(LEN(VLOOKUP(T326,A2:D500,4,FALSE))=0,,VLOOKUP(T326,A2:D500,4,FALSE))</f>
        <v>#N/A</v>
      </c>
      <c r="V326" s="56">
        <f>'Toxicological reference value M'!P440</f>
        <v>0</v>
      </c>
      <c r="W326" s="22" t="e">
        <f>IF(LEN(VLOOKUP(V326,A2:D500,4,FALSE))=0,,VLOOKUP(V326,A2:D500,4,FALSE))</f>
        <v>#N/A</v>
      </c>
      <c r="Y326" s="56">
        <f>'Other Empirical Model'!P451</f>
        <v>0</v>
      </c>
      <c r="Z326" s="22" t="e">
        <f>IF(LEN(VLOOKUP(Y326,A2:D500,4,FALSE))=0,,VLOOKUP(Y326,A2:D500,4,FALSE))</f>
        <v>#N/A</v>
      </c>
      <c r="AA326" s="56">
        <f>'Predictive Model'!P438</f>
        <v>0</v>
      </c>
      <c r="AB326" s="22" t="e">
        <f>IF(LEN(VLOOKUP(AA326,A2:D500,4,FALSE))=0,,VLOOKUP(AA326,A2:D500,4,FALSE))</f>
        <v>#N/A</v>
      </c>
      <c r="AC326" s="56">
        <f>'Consumption Model'!P443</f>
        <v>0</v>
      </c>
      <c r="AD326" s="22" t="e">
        <f>IF(LEN(VLOOKUP(AC326,A2:D500,4,FALSE))=0,,VLOOKUP(AC326,A2:D500,4,FALSE))</f>
        <v>#N/A</v>
      </c>
      <c r="AE326" s="22">
        <f>'(Data)'!Q439</f>
        <v>0</v>
      </c>
      <c r="AF326" s="22" t="e">
        <f>IF(LEN(VLOOKUP(AE325:AE326,A2:D500,4,FALSE))=0,,VLOOKUP(AE325:AE326,A2:D500,4,FALSE))</f>
        <v>#N/A</v>
      </c>
      <c r="AH326" s="45">
        <f>'Risk Charact Model'!P457</f>
        <v>0</v>
      </c>
      <c r="AI326" s="58" t="e">
        <f>IF(LEN(VLOOKUP(AH326,A2:D500,4,FALSE))=0,,VLOOKUP(AH326,A2:D500,4,FALSE))</f>
        <v>#N/A</v>
      </c>
    </row>
    <row r="327" spans="9:35" ht="14" x14ac:dyDescent="0.3">
      <c r="I327" s="60">
        <f>'Generic Metadata Schema'!P457</f>
        <v>0</v>
      </c>
      <c r="J327" s="22" t="e">
        <f>IF(LEN(VLOOKUP(I327,A2:D500,4,FALSE))=0,"",VLOOKUP(I327,A2:D500,4,FALSE))</f>
        <v>#N/A</v>
      </c>
      <c r="L327" s="56">
        <f>'Dose-response Model'!O441</f>
        <v>0</v>
      </c>
      <c r="M327" s="22" t="e">
        <f>IF(LEN(VLOOKUP(L327,A2:D500,4,FALSE))=0,,VLOOKUP(L327,A2:D500,4,FALSE))</f>
        <v>#N/A</v>
      </c>
      <c r="N327" s="22">
        <f>'Exposure Model'!O458</f>
        <v>0</v>
      </c>
      <c r="O327" s="22" t="e">
        <f>IF(LEN(VLOOKUP(N327,A2:D500,4,FALSE))=0,,VLOOKUP(N327,A2:D500,4,FALSE))</f>
        <v>#N/A</v>
      </c>
      <c r="P327" s="56">
        <f>'QRA Models'!Q458</f>
        <v>0</v>
      </c>
      <c r="Q327" s="22" t="e">
        <f>IF(LEN(VLOOKUP(P327,A2:D500,4,FALSE))=0,,VLOOKUP(P327,A2:D500,4,FALSE))</f>
        <v>#N/A</v>
      </c>
      <c r="R327" s="56">
        <f>'Health metrics Models'!Q441</f>
        <v>0</v>
      </c>
      <c r="S327" s="22" t="e">
        <f>IF(LEN(VLOOKUP(R327,A2:D500,4,FALSE))=0,,VLOOKUP(R327,A2:D500,4,FALSE))</f>
        <v>#N/A</v>
      </c>
      <c r="T327" s="56">
        <f>'Process Model'!P439</f>
        <v>0</v>
      </c>
      <c r="U327" s="22" t="e">
        <f>IF(LEN(VLOOKUP(T327,A2:D500,4,FALSE))=0,,VLOOKUP(T327,A2:D500,4,FALSE))</f>
        <v>#N/A</v>
      </c>
      <c r="V327" s="56">
        <f>'Toxicological reference value M'!P441</f>
        <v>0</v>
      </c>
      <c r="W327" s="22" t="e">
        <f>IF(LEN(VLOOKUP(V327,A2:D500,4,FALSE))=0,,VLOOKUP(V327,A2:D500,4,FALSE))</f>
        <v>#N/A</v>
      </c>
      <c r="Y327" s="56">
        <f>'Other Empirical Model'!P452</f>
        <v>0</v>
      </c>
      <c r="Z327" s="22" t="e">
        <f>IF(LEN(VLOOKUP(Y327,A2:D500,4,FALSE))=0,,VLOOKUP(Y327,A2:D500,4,FALSE))</f>
        <v>#N/A</v>
      </c>
      <c r="AA327" s="56">
        <f>'Predictive Model'!P439</f>
        <v>0</v>
      </c>
      <c r="AB327" s="22" t="e">
        <f>IF(LEN(VLOOKUP(AA327,A2:D500,4,FALSE))=0,,VLOOKUP(AA327,A2:D500,4,FALSE))</f>
        <v>#N/A</v>
      </c>
      <c r="AC327" s="56">
        <f>'Consumption Model'!P444</f>
        <v>0</v>
      </c>
      <c r="AD327" s="22" t="e">
        <f>IF(LEN(VLOOKUP(AC327,A2:D500,4,FALSE))=0,,VLOOKUP(AC327,A2:D500,4,FALSE))</f>
        <v>#N/A</v>
      </c>
      <c r="AE327" s="22">
        <f>'(Data)'!Q440</f>
        <v>0</v>
      </c>
      <c r="AF327" s="22" t="e">
        <f>IF(LEN(VLOOKUP(AE326:AE327,A2:D500,4,FALSE))=0,,VLOOKUP(AE326:AE327,A2:D500,4,FALSE))</f>
        <v>#N/A</v>
      </c>
      <c r="AH327" s="45">
        <f>'Risk Charact Model'!P458</f>
        <v>0</v>
      </c>
      <c r="AI327" s="58" t="e">
        <f>IF(LEN(VLOOKUP(AH327,A2:D500,4,FALSE))=0,,VLOOKUP(AH327,A2:D500,4,FALSE))</f>
        <v>#N/A</v>
      </c>
    </row>
    <row r="328" spans="9:35" ht="14" x14ac:dyDescent="0.3">
      <c r="I328" s="60">
        <f>'Generic Metadata Schema'!P458</f>
        <v>0</v>
      </c>
      <c r="J328" s="22" t="e">
        <f>IF(LEN(VLOOKUP(I328,A2:D500,4,FALSE))=0,"",VLOOKUP(I328,A2:D500,4,FALSE))</f>
        <v>#N/A</v>
      </c>
      <c r="L328" s="56">
        <f>'Dose-response Model'!O442</f>
        <v>0</v>
      </c>
      <c r="M328" s="22" t="e">
        <f>IF(LEN(VLOOKUP(L328,A2:D500,4,FALSE))=0,,VLOOKUP(L328,A2:D500,4,FALSE))</f>
        <v>#N/A</v>
      </c>
      <c r="N328" s="22">
        <f>'Exposure Model'!O459</f>
        <v>0</v>
      </c>
      <c r="O328" s="22" t="e">
        <f>IF(LEN(VLOOKUP(N328,A2:D500,4,FALSE))=0,,VLOOKUP(N328,A2:D500,4,FALSE))</f>
        <v>#N/A</v>
      </c>
      <c r="P328" s="56">
        <f>'QRA Models'!Q459</f>
        <v>0</v>
      </c>
      <c r="Q328" s="22" t="e">
        <f>IF(LEN(VLOOKUP(P328,A2:D500,4,FALSE))=0,,VLOOKUP(P328,A2:D500,4,FALSE))</f>
        <v>#N/A</v>
      </c>
      <c r="R328" s="56">
        <f>'Health metrics Models'!Q442</f>
        <v>0</v>
      </c>
      <c r="S328" s="22" t="e">
        <f>IF(LEN(VLOOKUP(R328,A2:D500,4,FALSE))=0,,VLOOKUP(R328,A2:D500,4,FALSE))</f>
        <v>#N/A</v>
      </c>
      <c r="T328" s="56">
        <f>'Process Model'!P440</f>
        <v>0</v>
      </c>
      <c r="U328" s="22" t="e">
        <f>IF(LEN(VLOOKUP(T328,A2:D500,4,FALSE))=0,,VLOOKUP(T328,A2:D500,4,FALSE))</f>
        <v>#N/A</v>
      </c>
      <c r="V328" s="56">
        <f>'Toxicological reference value M'!P442</f>
        <v>0</v>
      </c>
      <c r="W328" s="22" t="e">
        <f>IF(LEN(VLOOKUP(V328,A2:D500,4,FALSE))=0,,VLOOKUP(V328,A2:D500,4,FALSE))</f>
        <v>#N/A</v>
      </c>
      <c r="Y328" s="56">
        <f>'Other Empirical Model'!P453</f>
        <v>0</v>
      </c>
      <c r="Z328" s="22" t="e">
        <f>IF(LEN(VLOOKUP(Y328,A2:D500,4,FALSE))=0,,VLOOKUP(Y328,A2:D500,4,FALSE))</f>
        <v>#N/A</v>
      </c>
      <c r="AA328" s="56">
        <f>'Predictive Model'!P440</f>
        <v>0</v>
      </c>
      <c r="AB328" s="22" t="e">
        <f>IF(LEN(VLOOKUP(AA328,A2:D500,4,FALSE))=0,,VLOOKUP(AA328,A2:D500,4,FALSE))</f>
        <v>#N/A</v>
      </c>
      <c r="AC328" s="56">
        <f>'Consumption Model'!P445</f>
        <v>0</v>
      </c>
      <c r="AD328" s="22" t="e">
        <f>IF(LEN(VLOOKUP(AC328,A2:D500,4,FALSE))=0,,VLOOKUP(AC328,A2:D500,4,FALSE))</f>
        <v>#N/A</v>
      </c>
      <c r="AE328" s="22">
        <f>'(Data)'!Q441</f>
        <v>0</v>
      </c>
      <c r="AF328" s="22" t="e">
        <f>IF(LEN(VLOOKUP(AE327:AE328,A2:D500,4,FALSE))=0,,VLOOKUP(AE327:AE328,A2:D500,4,FALSE))</f>
        <v>#N/A</v>
      </c>
      <c r="AH328" s="45">
        <f>'Risk Charact Model'!P459</f>
        <v>0</v>
      </c>
      <c r="AI328" s="58" t="e">
        <f>IF(LEN(VLOOKUP(AH328,A2:D500,4,FALSE))=0,,VLOOKUP(AH328,A2:D500,4,FALSE))</f>
        <v>#N/A</v>
      </c>
    </row>
    <row r="329" spans="9:35" ht="14" x14ac:dyDescent="0.3">
      <c r="I329" s="60">
        <f>'Generic Metadata Schema'!P459</f>
        <v>0</v>
      </c>
      <c r="J329" s="22" t="e">
        <f>IF(LEN(VLOOKUP(I329,A2:D500,4,FALSE))=0,"",VLOOKUP(I329,A2:D500,4,FALSE))</f>
        <v>#N/A</v>
      </c>
      <c r="L329" s="56">
        <f>'Dose-response Model'!O443</f>
        <v>0</v>
      </c>
      <c r="M329" s="22" t="e">
        <f>IF(LEN(VLOOKUP(L329,A2:D500,4,FALSE))=0,,VLOOKUP(L329,A2:D500,4,FALSE))</f>
        <v>#N/A</v>
      </c>
      <c r="N329" s="22">
        <f>'Exposure Model'!O460</f>
        <v>0</v>
      </c>
      <c r="O329" s="22" t="e">
        <f>IF(LEN(VLOOKUP(N329,A2:D500,4,FALSE))=0,,VLOOKUP(N329,A2:D500,4,FALSE))</f>
        <v>#N/A</v>
      </c>
      <c r="P329" s="56">
        <f>'QRA Models'!Q460</f>
        <v>0</v>
      </c>
      <c r="Q329" s="22" t="e">
        <f>IF(LEN(VLOOKUP(P329,A2:D500,4,FALSE))=0,,VLOOKUP(P329,A2:D500,4,FALSE))</f>
        <v>#N/A</v>
      </c>
      <c r="R329" s="56">
        <f>'Health metrics Models'!Q443</f>
        <v>0</v>
      </c>
      <c r="S329" s="22" t="e">
        <f>IF(LEN(VLOOKUP(R329,A2:D500,4,FALSE))=0,,VLOOKUP(R329,A2:D500,4,FALSE))</f>
        <v>#N/A</v>
      </c>
      <c r="T329" s="56">
        <f>'Process Model'!P441</f>
        <v>0</v>
      </c>
      <c r="U329" s="22" t="e">
        <f>IF(LEN(VLOOKUP(T329,A2:D500,4,FALSE))=0,,VLOOKUP(T329,A2:D500,4,FALSE))</f>
        <v>#N/A</v>
      </c>
      <c r="V329" s="56">
        <f>'Toxicological reference value M'!P443</f>
        <v>0</v>
      </c>
      <c r="W329" s="22" t="e">
        <f>IF(LEN(VLOOKUP(V329,A2:D500,4,FALSE))=0,,VLOOKUP(V329,A2:D500,4,FALSE))</f>
        <v>#N/A</v>
      </c>
      <c r="Y329" s="56">
        <f>'Other Empirical Model'!P454</f>
        <v>0</v>
      </c>
      <c r="Z329" s="22" t="e">
        <f>IF(LEN(VLOOKUP(Y329,A2:D500,4,FALSE))=0,,VLOOKUP(Y329,A2:D500,4,FALSE))</f>
        <v>#N/A</v>
      </c>
      <c r="AA329" s="56">
        <f>'Predictive Model'!P441</f>
        <v>0</v>
      </c>
      <c r="AB329" s="22" t="e">
        <f>IF(LEN(VLOOKUP(AA329,A2:D500,4,FALSE))=0,,VLOOKUP(AA329,A2:D500,4,FALSE))</f>
        <v>#N/A</v>
      </c>
      <c r="AC329" s="56">
        <f>'Consumption Model'!P446</f>
        <v>0</v>
      </c>
      <c r="AD329" s="22" t="e">
        <f>IF(LEN(VLOOKUP(AC329,A2:D500,4,FALSE))=0,,VLOOKUP(AC329,A2:D500,4,FALSE))</f>
        <v>#N/A</v>
      </c>
      <c r="AE329" s="22">
        <f>'(Data)'!Q442</f>
        <v>0</v>
      </c>
      <c r="AF329" s="22" t="e">
        <f>IF(LEN(VLOOKUP(AE328:AE329,A2:D500,4,FALSE))=0,,VLOOKUP(AE328:AE329,A2:D500,4,FALSE))</f>
        <v>#N/A</v>
      </c>
      <c r="AH329" s="45">
        <f>'Risk Charact Model'!P460</f>
        <v>0</v>
      </c>
      <c r="AI329" s="58" t="e">
        <f>IF(LEN(VLOOKUP(AH329,A2:D500,4,FALSE))=0,,VLOOKUP(AH329,A2:D500,4,FALSE))</f>
        <v>#N/A</v>
      </c>
    </row>
    <row r="330" spans="9:35" ht="14" x14ac:dyDescent="0.3">
      <c r="I330" s="60">
        <f>'Generic Metadata Schema'!P460</f>
        <v>0</v>
      </c>
      <c r="J330" s="22" t="e">
        <f>IF(LEN(VLOOKUP(I330,A2:D500,4,FALSE))=0,"",VLOOKUP(I330,A2:D500,4,FALSE))</f>
        <v>#N/A</v>
      </c>
      <c r="L330" s="56">
        <f>'Dose-response Model'!O444</f>
        <v>0</v>
      </c>
      <c r="M330" s="22" t="e">
        <f>IF(LEN(VLOOKUP(L330,A2:D500,4,FALSE))=0,,VLOOKUP(L330,A2:D500,4,FALSE))</f>
        <v>#N/A</v>
      </c>
      <c r="N330" s="22">
        <f>'Exposure Model'!O461</f>
        <v>0</v>
      </c>
      <c r="O330" s="22" t="e">
        <f>IF(LEN(VLOOKUP(N330,A2:D500,4,FALSE))=0,,VLOOKUP(N330,A2:D500,4,FALSE))</f>
        <v>#N/A</v>
      </c>
      <c r="P330" s="56">
        <f>'QRA Models'!Q461</f>
        <v>0</v>
      </c>
      <c r="Q330" s="22" t="e">
        <f>IF(LEN(VLOOKUP(P330,A2:D500,4,FALSE))=0,,VLOOKUP(P330,A2:D500,4,FALSE))</f>
        <v>#N/A</v>
      </c>
      <c r="R330" s="56">
        <f>'Health metrics Models'!Q444</f>
        <v>0</v>
      </c>
      <c r="S330" s="22" t="e">
        <f>IF(LEN(VLOOKUP(R330,A2:D500,4,FALSE))=0,,VLOOKUP(R330,A2:D500,4,FALSE))</f>
        <v>#N/A</v>
      </c>
      <c r="T330" s="56">
        <f>'Process Model'!P442</f>
        <v>0</v>
      </c>
      <c r="U330" s="22" t="e">
        <f>IF(LEN(VLOOKUP(T330,A2:D500,4,FALSE))=0,,VLOOKUP(T330,A2:D500,4,FALSE))</f>
        <v>#N/A</v>
      </c>
      <c r="V330" s="56">
        <f>'Toxicological reference value M'!P444</f>
        <v>0</v>
      </c>
      <c r="W330" s="22" t="e">
        <f>IF(LEN(VLOOKUP(V330,A2:D500,4,FALSE))=0,,VLOOKUP(V330,A2:D500,4,FALSE))</f>
        <v>#N/A</v>
      </c>
      <c r="Y330" s="56">
        <f>'Other Empirical Model'!P455</f>
        <v>0</v>
      </c>
      <c r="Z330" s="22" t="e">
        <f>IF(LEN(VLOOKUP(Y330,A2:D500,4,FALSE))=0,,VLOOKUP(Y330,A2:D500,4,FALSE))</f>
        <v>#N/A</v>
      </c>
      <c r="AA330" s="56">
        <f>'Predictive Model'!P442</f>
        <v>0</v>
      </c>
      <c r="AB330" s="22" t="e">
        <f>IF(LEN(VLOOKUP(AA330,A2:D500,4,FALSE))=0,,VLOOKUP(AA330,A2:D500,4,FALSE))</f>
        <v>#N/A</v>
      </c>
      <c r="AC330" s="56">
        <f>'Consumption Model'!P447</f>
        <v>0</v>
      </c>
      <c r="AD330" s="22" t="e">
        <f>IF(LEN(VLOOKUP(AC330,A2:D500,4,FALSE))=0,,VLOOKUP(AC330,A2:D500,4,FALSE))</f>
        <v>#N/A</v>
      </c>
      <c r="AE330" s="22">
        <f>'(Data)'!Q443</f>
        <v>0</v>
      </c>
      <c r="AF330" s="22" t="e">
        <f>IF(LEN(VLOOKUP(AE329:AE330,A2:D500,4,FALSE))=0,,VLOOKUP(AE329:AE330,A2:D500,4,FALSE))</f>
        <v>#N/A</v>
      </c>
      <c r="AH330" s="45">
        <f>'Risk Charact Model'!P461</f>
        <v>0</v>
      </c>
      <c r="AI330" s="58" t="e">
        <f>IF(LEN(VLOOKUP(AH330,A2:D500,4,FALSE))=0,,VLOOKUP(AH330,A2:D500,4,FALSE))</f>
        <v>#N/A</v>
      </c>
    </row>
    <row r="331" spans="9:35" ht="14" x14ac:dyDescent="0.3">
      <c r="I331" s="60">
        <f>'Generic Metadata Schema'!P461</f>
        <v>0</v>
      </c>
      <c r="J331" s="22" t="e">
        <f>IF(LEN(VLOOKUP(I331,A2:D500,4,FALSE))=0,"",VLOOKUP(I331,A2:D500,4,FALSE))</f>
        <v>#N/A</v>
      </c>
      <c r="L331" s="56">
        <f>'Dose-response Model'!O445</f>
        <v>0</v>
      </c>
      <c r="M331" s="22" t="e">
        <f>IF(LEN(VLOOKUP(L331,A2:D500,4,FALSE))=0,,VLOOKUP(L331,A2:D500,4,FALSE))</f>
        <v>#N/A</v>
      </c>
      <c r="N331" s="22">
        <f>'Exposure Model'!O462</f>
        <v>0</v>
      </c>
      <c r="O331" s="22" t="e">
        <f>IF(LEN(VLOOKUP(N331,A2:D500,4,FALSE))=0,,VLOOKUP(N331,A2:D500,4,FALSE))</f>
        <v>#N/A</v>
      </c>
      <c r="P331" s="56">
        <f>'QRA Models'!Q462</f>
        <v>0</v>
      </c>
      <c r="Q331" s="22" t="e">
        <f>IF(LEN(VLOOKUP(P331,A2:D500,4,FALSE))=0,,VLOOKUP(P331,A2:D500,4,FALSE))</f>
        <v>#N/A</v>
      </c>
      <c r="R331" s="56">
        <f>'Health metrics Models'!Q445</f>
        <v>0</v>
      </c>
      <c r="S331" s="22" t="e">
        <f>IF(LEN(VLOOKUP(R331,A2:D500,4,FALSE))=0,,VLOOKUP(R331,A2:D500,4,FALSE))</f>
        <v>#N/A</v>
      </c>
      <c r="T331" s="56">
        <f>'Process Model'!P443</f>
        <v>0</v>
      </c>
      <c r="U331" s="22" t="e">
        <f>IF(LEN(VLOOKUP(T331,A2:D500,4,FALSE))=0,,VLOOKUP(T331,A2:D500,4,FALSE))</f>
        <v>#N/A</v>
      </c>
      <c r="V331" s="56">
        <f>'Toxicological reference value M'!P445</f>
        <v>0</v>
      </c>
      <c r="W331" s="22" t="e">
        <f>IF(LEN(VLOOKUP(V331,A2:D500,4,FALSE))=0,,VLOOKUP(V331,A2:D500,4,FALSE))</f>
        <v>#N/A</v>
      </c>
      <c r="Y331" s="56">
        <f>'Other Empirical Model'!P456</f>
        <v>0</v>
      </c>
      <c r="Z331" s="22" t="e">
        <f>IF(LEN(VLOOKUP(Y331,A2:D500,4,FALSE))=0,,VLOOKUP(Y331,A2:D500,4,FALSE))</f>
        <v>#N/A</v>
      </c>
      <c r="AA331" s="56">
        <f>'Predictive Model'!P443</f>
        <v>0</v>
      </c>
      <c r="AB331" s="22" t="e">
        <f>IF(LEN(VLOOKUP(AA331,A2:D500,4,FALSE))=0,,VLOOKUP(AA331,A2:D500,4,FALSE))</f>
        <v>#N/A</v>
      </c>
      <c r="AC331" s="56">
        <f>'Consumption Model'!P448</f>
        <v>0</v>
      </c>
      <c r="AD331" s="22" t="e">
        <f>IF(LEN(VLOOKUP(AC331,A2:D500,4,FALSE))=0,,VLOOKUP(AC331,A2:D500,4,FALSE))</f>
        <v>#N/A</v>
      </c>
      <c r="AE331" s="22">
        <f>'(Data)'!Q444</f>
        <v>0</v>
      </c>
      <c r="AF331" s="22" t="e">
        <f>IF(LEN(VLOOKUP(AE330:AE331,A2:D500,4,FALSE))=0,,VLOOKUP(AE330:AE331,A2:D500,4,FALSE))</f>
        <v>#N/A</v>
      </c>
      <c r="AH331" s="45">
        <f>'Risk Charact Model'!P462</f>
        <v>0</v>
      </c>
      <c r="AI331" s="58" t="e">
        <f>IF(LEN(VLOOKUP(AH331,A2:D500,4,FALSE))=0,,VLOOKUP(AH331,A2:D500,4,FALSE))</f>
        <v>#N/A</v>
      </c>
    </row>
    <row r="332" spans="9:35" ht="14" x14ac:dyDescent="0.3">
      <c r="I332" s="60">
        <f>'Generic Metadata Schema'!P462</f>
        <v>0</v>
      </c>
      <c r="J332" s="22" t="e">
        <f>IF(LEN(VLOOKUP(I332,A2:D500,4,FALSE))=0,"",VLOOKUP(I332,A2:D500,4,FALSE))</f>
        <v>#N/A</v>
      </c>
      <c r="L332" s="56">
        <f>'Dose-response Model'!O446</f>
        <v>0</v>
      </c>
      <c r="M332" s="22" t="e">
        <f>IF(LEN(VLOOKUP(L332,A2:D500,4,FALSE))=0,,VLOOKUP(L332,A2:D500,4,FALSE))</f>
        <v>#N/A</v>
      </c>
      <c r="N332" s="22">
        <f>'Exposure Model'!O463</f>
        <v>0</v>
      </c>
      <c r="O332" s="22" t="e">
        <f>IF(LEN(VLOOKUP(N332,A2:D500,4,FALSE))=0,,VLOOKUP(N332,A2:D500,4,FALSE))</f>
        <v>#N/A</v>
      </c>
      <c r="P332" s="56">
        <f>'QRA Models'!Q463</f>
        <v>0</v>
      </c>
      <c r="Q332" s="22" t="e">
        <f>IF(LEN(VLOOKUP(P332,A2:D500,4,FALSE))=0,,VLOOKUP(P332,A2:D500,4,FALSE))</f>
        <v>#N/A</v>
      </c>
      <c r="R332" s="56">
        <f>'Health metrics Models'!Q446</f>
        <v>0</v>
      </c>
      <c r="S332" s="22" t="e">
        <f>IF(LEN(VLOOKUP(R332,A2:D500,4,FALSE))=0,,VLOOKUP(R332,A2:D500,4,FALSE))</f>
        <v>#N/A</v>
      </c>
      <c r="T332" s="56">
        <f>'Process Model'!P444</f>
        <v>0</v>
      </c>
      <c r="U332" s="22" t="e">
        <f>IF(LEN(VLOOKUP(T332,A2:D500,4,FALSE))=0,,VLOOKUP(T332,A2:D500,4,FALSE))</f>
        <v>#N/A</v>
      </c>
      <c r="V332" s="56">
        <f>'Toxicological reference value M'!P446</f>
        <v>0</v>
      </c>
      <c r="W332" s="22" t="e">
        <f>IF(LEN(VLOOKUP(V332,A2:D500,4,FALSE))=0,,VLOOKUP(V332,A2:D500,4,FALSE))</f>
        <v>#N/A</v>
      </c>
      <c r="Y332" s="56">
        <f>'Other Empirical Model'!P457</f>
        <v>0</v>
      </c>
      <c r="Z332" s="22" t="e">
        <f>IF(LEN(VLOOKUP(Y332,A2:D500,4,FALSE))=0,,VLOOKUP(Y332,A2:D500,4,FALSE))</f>
        <v>#N/A</v>
      </c>
      <c r="AA332" s="56">
        <f>'Predictive Model'!P444</f>
        <v>0</v>
      </c>
      <c r="AB332" s="22" t="e">
        <f>IF(LEN(VLOOKUP(AA332,A2:D500,4,FALSE))=0,,VLOOKUP(AA332,A2:D500,4,FALSE))</f>
        <v>#N/A</v>
      </c>
      <c r="AC332" s="56">
        <f>'Consumption Model'!P449</f>
        <v>0</v>
      </c>
      <c r="AD332" s="22" t="e">
        <f>IF(LEN(VLOOKUP(AC332,A2:D500,4,FALSE))=0,,VLOOKUP(AC332,A2:D500,4,FALSE))</f>
        <v>#N/A</v>
      </c>
      <c r="AE332" s="22">
        <f>'(Data)'!Q445</f>
        <v>0</v>
      </c>
      <c r="AF332" s="22" t="e">
        <f>IF(LEN(VLOOKUP(AE331:AE332,A2:D500,4,FALSE))=0,,VLOOKUP(AE331:AE332,A2:D500,4,FALSE))</f>
        <v>#N/A</v>
      </c>
      <c r="AH332" s="45">
        <f>'Risk Charact Model'!P463</f>
        <v>0</v>
      </c>
      <c r="AI332" s="58" t="e">
        <f>IF(LEN(VLOOKUP(AH332,A2:D500,4,FALSE))=0,,VLOOKUP(AH332,A2:D500,4,FALSE))</f>
        <v>#N/A</v>
      </c>
    </row>
    <row r="333" spans="9:35" ht="14" x14ac:dyDescent="0.3">
      <c r="I333" s="60">
        <f>'Generic Metadata Schema'!P463</f>
        <v>0</v>
      </c>
      <c r="J333" s="22" t="e">
        <f>IF(LEN(VLOOKUP(I333,A2:D500,4,FALSE))=0,"",VLOOKUP(I333,A2:D500,4,FALSE))</f>
        <v>#N/A</v>
      </c>
      <c r="L333" s="56">
        <f>'Dose-response Model'!O447</f>
        <v>0</v>
      </c>
      <c r="M333" s="22" t="e">
        <f>IF(LEN(VLOOKUP(L333,A2:D500,4,FALSE))=0,,VLOOKUP(L333,A2:D500,4,FALSE))</f>
        <v>#N/A</v>
      </c>
      <c r="N333" s="22">
        <f>'Exposure Model'!O464</f>
        <v>0</v>
      </c>
      <c r="O333" s="22" t="e">
        <f>IF(LEN(VLOOKUP(N333,A2:D500,4,FALSE))=0,,VLOOKUP(N333,A2:D500,4,FALSE))</f>
        <v>#N/A</v>
      </c>
      <c r="P333" s="56">
        <f>'QRA Models'!Q464</f>
        <v>0</v>
      </c>
      <c r="Q333" s="22" t="e">
        <f>IF(LEN(VLOOKUP(P333,A2:D500,4,FALSE))=0,,VLOOKUP(P333,A2:D500,4,FALSE))</f>
        <v>#N/A</v>
      </c>
      <c r="R333" s="56">
        <f>'Health metrics Models'!Q447</f>
        <v>0</v>
      </c>
      <c r="S333" s="22" t="e">
        <f>IF(LEN(VLOOKUP(R333,A2:D500,4,FALSE))=0,,VLOOKUP(R333,A2:D500,4,FALSE))</f>
        <v>#N/A</v>
      </c>
      <c r="T333" s="56">
        <f>'Process Model'!P445</f>
        <v>0</v>
      </c>
      <c r="U333" s="22" t="e">
        <f>IF(LEN(VLOOKUP(T333,A2:D500,4,FALSE))=0,,VLOOKUP(T333,A2:D500,4,FALSE))</f>
        <v>#N/A</v>
      </c>
      <c r="V333" s="56">
        <f>'Toxicological reference value M'!P447</f>
        <v>0</v>
      </c>
      <c r="W333" s="22" t="e">
        <f>IF(LEN(VLOOKUP(V333,A2:D500,4,FALSE))=0,,VLOOKUP(V333,A2:D500,4,FALSE))</f>
        <v>#N/A</v>
      </c>
      <c r="Y333" s="56">
        <f>'Other Empirical Model'!P458</f>
        <v>0</v>
      </c>
      <c r="Z333" s="22" t="e">
        <f>IF(LEN(VLOOKUP(Y333,A2:D500,4,FALSE))=0,,VLOOKUP(Y333,A2:D500,4,FALSE))</f>
        <v>#N/A</v>
      </c>
      <c r="AA333" s="56">
        <f>'Predictive Model'!P445</f>
        <v>0</v>
      </c>
      <c r="AB333" s="22" t="e">
        <f>IF(LEN(VLOOKUP(AA333,A2:D500,4,FALSE))=0,,VLOOKUP(AA333,A2:D500,4,FALSE))</f>
        <v>#N/A</v>
      </c>
      <c r="AC333" s="56">
        <f>'Consumption Model'!P450</f>
        <v>0</v>
      </c>
      <c r="AD333" s="22" t="e">
        <f>IF(LEN(VLOOKUP(AC333,A2:D500,4,FALSE))=0,,VLOOKUP(AC333,A2:D500,4,FALSE))</f>
        <v>#N/A</v>
      </c>
      <c r="AE333" s="22">
        <f>'(Data)'!Q446</f>
        <v>0</v>
      </c>
      <c r="AF333" s="22" t="e">
        <f>IF(LEN(VLOOKUP(AE332:AE333,A2:D500,4,FALSE))=0,,VLOOKUP(AE332:AE333,A2:D500,4,FALSE))</f>
        <v>#N/A</v>
      </c>
      <c r="AH333" s="45">
        <f>'Risk Charact Model'!P464</f>
        <v>0</v>
      </c>
      <c r="AI333" s="58" t="e">
        <f>IF(LEN(VLOOKUP(AH333,A2:D500,4,FALSE))=0,,VLOOKUP(AH333,A2:D500,4,FALSE))</f>
        <v>#N/A</v>
      </c>
    </row>
    <row r="334" spans="9:35" ht="14" x14ac:dyDescent="0.3">
      <c r="I334" s="60">
        <f>'Generic Metadata Schema'!P464</f>
        <v>0</v>
      </c>
      <c r="J334" s="22" t="e">
        <f>IF(LEN(VLOOKUP(I334,A2:D500,4,FALSE))=0,"",VLOOKUP(I334,A2:D500,4,FALSE))</f>
        <v>#N/A</v>
      </c>
      <c r="L334" s="56">
        <f>'Dose-response Model'!O448</f>
        <v>0</v>
      </c>
      <c r="M334" s="22" t="e">
        <f>IF(LEN(VLOOKUP(L334,A2:D500,4,FALSE))=0,,VLOOKUP(L334,A2:D500,4,FALSE))</f>
        <v>#N/A</v>
      </c>
      <c r="N334" s="22">
        <f>'Exposure Model'!O465</f>
        <v>0</v>
      </c>
      <c r="O334" s="22" t="e">
        <f>IF(LEN(VLOOKUP(N334,A2:D500,4,FALSE))=0,,VLOOKUP(N334,A2:D500,4,FALSE))</f>
        <v>#N/A</v>
      </c>
      <c r="P334" s="56">
        <f>'QRA Models'!Q465</f>
        <v>0</v>
      </c>
      <c r="Q334" s="22" t="e">
        <f>IF(LEN(VLOOKUP(P334,A2:D500,4,FALSE))=0,,VLOOKUP(P334,A2:D500,4,FALSE))</f>
        <v>#N/A</v>
      </c>
      <c r="R334" s="56">
        <f>'Health metrics Models'!Q448</f>
        <v>0</v>
      </c>
      <c r="S334" s="22" t="e">
        <f>IF(LEN(VLOOKUP(R334,A2:D500,4,FALSE))=0,,VLOOKUP(R334,A2:D500,4,FALSE))</f>
        <v>#N/A</v>
      </c>
      <c r="T334" s="56">
        <f>'Process Model'!P446</f>
        <v>0</v>
      </c>
      <c r="U334" s="22" t="e">
        <f>IF(LEN(VLOOKUP(T334,A2:D500,4,FALSE))=0,,VLOOKUP(T334,A2:D500,4,FALSE))</f>
        <v>#N/A</v>
      </c>
      <c r="V334" s="56">
        <f>'Toxicological reference value M'!P448</f>
        <v>0</v>
      </c>
      <c r="W334" s="22" t="e">
        <f>IF(LEN(VLOOKUP(V334,A2:D500,4,FALSE))=0,,VLOOKUP(V334,A2:D500,4,FALSE))</f>
        <v>#N/A</v>
      </c>
      <c r="Y334" s="56">
        <f>'Other Empirical Model'!P459</f>
        <v>0</v>
      </c>
      <c r="Z334" s="22" t="e">
        <f>IF(LEN(VLOOKUP(Y334,A2:D500,4,FALSE))=0,,VLOOKUP(Y334,A2:D500,4,FALSE))</f>
        <v>#N/A</v>
      </c>
      <c r="AA334" s="56">
        <f>'Predictive Model'!P446</f>
        <v>0</v>
      </c>
      <c r="AB334" s="22" t="e">
        <f>IF(LEN(VLOOKUP(AA334,A2:D500,4,FALSE))=0,,VLOOKUP(AA334,A2:D500,4,FALSE))</f>
        <v>#N/A</v>
      </c>
      <c r="AC334" s="56">
        <f>'Consumption Model'!P451</f>
        <v>0</v>
      </c>
      <c r="AD334" s="22" t="e">
        <f>IF(LEN(VLOOKUP(AC334,A2:D500,4,FALSE))=0,,VLOOKUP(AC334,A2:D500,4,FALSE))</f>
        <v>#N/A</v>
      </c>
      <c r="AE334" s="22">
        <f>'(Data)'!Q447</f>
        <v>0</v>
      </c>
      <c r="AF334" s="22" t="e">
        <f>IF(LEN(VLOOKUP(AE333:AE334,A2:D500,4,FALSE))=0,,VLOOKUP(AE333:AE334,A2:D500,4,FALSE))</f>
        <v>#N/A</v>
      </c>
      <c r="AH334" s="45">
        <f>'Risk Charact Model'!P465</f>
        <v>0</v>
      </c>
      <c r="AI334" s="58" t="e">
        <f>IF(LEN(VLOOKUP(AH334,A2:D500,4,FALSE))=0,,VLOOKUP(AH334,A2:D500,4,FALSE))</f>
        <v>#N/A</v>
      </c>
    </row>
    <row r="335" spans="9:35" ht="14" x14ac:dyDescent="0.3">
      <c r="I335" s="60">
        <f>'Generic Metadata Schema'!P465</f>
        <v>0</v>
      </c>
      <c r="J335" s="22" t="e">
        <f>IF(LEN(VLOOKUP(I335,A2:D500,4,FALSE))=0,"",VLOOKUP(I335,A2:D500,4,FALSE))</f>
        <v>#N/A</v>
      </c>
      <c r="L335" s="56">
        <f>'Dose-response Model'!O449</f>
        <v>0</v>
      </c>
      <c r="M335" s="22" t="e">
        <f>IF(LEN(VLOOKUP(L335,A2:D500,4,FALSE))=0,,VLOOKUP(L335,A2:D500,4,FALSE))</f>
        <v>#N/A</v>
      </c>
      <c r="N335" s="22">
        <f>'Exposure Model'!O466</f>
        <v>0</v>
      </c>
      <c r="O335" s="22" t="e">
        <f>IF(LEN(VLOOKUP(N335,A2:D500,4,FALSE))=0,,VLOOKUP(N335,A2:D500,4,FALSE))</f>
        <v>#N/A</v>
      </c>
      <c r="P335" s="56">
        <f>'QRA Models'!Q466</f>
        <v>0</v>
      </c>
      <c r="Q335" s="22" t="e">
        <f>IF(LEN(VLOOKUP(P335,A2:D500,4,FALSE))=0,,VLOOKUP(P335,A2:D500,4,FALSE))</f>
        <v>#N/A</v>
      </c>
      <c r="R335" s="56">
        <f>'Health metrics Models'!Q449</f>
        <v>0</v>
      </c>
      <c r="S335" s="22" t="e">
        <f>IF(LEN(VLOOKUP(R335,A2:D500,4,FALSE))=0,,VLOOKUP(R335,A2:D500,4,FALSE))</f>
        <v>#N/A</v>
      </c>
      <c r="T335" s="56">
        <f>'Process Model'!P447</f>
        <v>0</v>
      </c>
      <c r="U335" s="22" t="e">
        <f>IF(LEN(VLOOKUP(T335,A2:D500,4,FALSE))=0,,VLOOKUP(T335,A2:D500,4,FALSE))</f>
        <v>#N/A</v>
      </c>
      <c r="V335" s="56">
        <f>'Toxicological reference value M'!P449</f>
        <v>0</v>
      </c>
      <c r="W335" s="22" t="e">
        <f>IF(LEN(VLOOKUP(V335,A2:D500,4,FALSE))=0,,VLOOKUP(V335,A2:D500,4,FALSE))</f>
        <v>#N/A</v>
      </c>
      <c r="Y335" s="56">
        <f>'Other Empirical Model'!P460</f>
        <v>0</v>
      </c>
      <c r="Z335" s="22" t="e">
        <f>IF(LEN(VLOOKUP(Y335,A2:D500,4,FALSE))=0,,VLOOKUP(Y335,A2:D500,4,FALSE))</f>
        <v>#N/A</v>
      </c>
      <c r="AA335" s="56">
        <f>'Predictive Model'!P447</f>
        <v>0</v>
      </c>
      <c r="AB335" s="22" t="e">
        <f>IF(LEN(VLOOKUP(AA335,A2:D500,4,FALSE))=0,,VLOOKUP(AA335,A2:D500,4,FALSE))</f>
        <v>#N/A</v>
      </c>
      <c r="AC335" s="56">
        <f>'Consumption Model'!P452</f>
        <v>0</v>
      </c>
      <c r="AD335" s="22" t="e">
        <f>IF(LEN(VLOOKUP(AC335,A2:D500,4,FALSE))=0,,VLOOKUP(AC335,A2:D500,4,FALSE))</f>
        <v>#N/A</v>
      </c>
      <c r="AE335" s="22">
        <f>'(Data)'!Q448</f>
        <v>0</v>
      </c>
      <c r="AF335" s="22" t="e">
        <f>IF(LEN(VLOOKUP(AE334:AE335,A2:D500,4,FALSE))=0,,VLOOKUP(AE334:AE335,A2:D500,4,FALSE))</f>
        <v>#N/A</v>
      </c>
      <c r="AH335" s="45">
        <f>'Risk Charact Model'!P466</f>
        <v>0</v>
      </c>
      <c r="AI335" s="58" t="e">
        <f>IF(LEN(VLOOKUP(AH335,A2:D500,4,FALSE))=0,,VLOOKUP(AH335,A2:D500,4,FALSE))</f>
        <v>#N/A</v>
      </c>
    </row>
    <row r="336" spans="9:35" ht="14" x14ac:dyDescent="0.3">
      <c r="I336" s="60">
        <f>'Generic Metadata Schema'!P466</f>
        <v>0</v>
      </c>
      <c r="J336" s="22" t="e">
        <f>IF(LEN(VLOOKUP(I336,A2:D500,4,FALSE))=0,"",VLOOKUP(I336,A2:D500,4,FALSE))</f>
        <v>#N/A</v>
      </c>
      <c r="L336" s="56">
        <f>'Dose-response Model'!O450</f>
        <v>0</v>
      </c>
      <c r="M336" s="22" t="e">
        <f>IF(LEN(VLOOKUP(L336,A2:D500,4,FALSE))=0,,VLOOKUP(L336,A2:D500,4,FALSE))</f>
        <v>#N/A</v>
      </c>
      <c r="N336" s="22">
        <f>'Exposure Model'!O467</f>
        <v>0</v>
      </c>
      <c r="O336" s="22" t="e">
        <f>IF(LEN(VLOOKUP(N336,A2:D500,4,FALSE))=0,,VLOOKUP(N336,A2:D500,4,FALSE))</f>
        <v>#N/A</v>
      </c>
      <c r="P336" s="56">
        <f>'QRA Models'!Q467</f>
        <v>0</v>
      </c>
      <c r="Q336" s="22" t="e">
        <f>IF(LEN(VLOOKUP(P336,A2:D500,4,FALSE))=0,,VLOOKUP(P336,A2:D500,4,FALSE))</f>
        <v>#N/A</v>
      </c>
      <c r="R336" s="56">
        <f>'Health metrics Models'!Q450</f>
        <v>0</v>
      </c>
      <c r="S336" s="22" t="e">
        <f>IF(LEN(VLOOKUP(R336,A2:D500,4,FALSE))=0,,VLOOKUP(R336,A2:D500,4,FALSE))</f>
        <v>#N/A</v>
      </c>
      <c r="T336" s="56">
        <f>'Process Model'!P448</f>
        <v>0</v>
      </c>
      <c r="U336" s="22" t="e">
        <f>IF(LEN(VLOOKUP(T336,A2:D500,4,FALSE))=0,,VLOOKUP(T336,A2:D500,4,FALSE))</f>
        <v>#N/A</v>
      </c>
      <c r="V336" s="56">
        <f>'Toxicological reference value M'!P450</f>
        <v>0</v>
      </c>
      <c r="W336" s="22" t="e">
        <f>IF(LEN(VLOOKUP(V336,A2:D500,4,FALSE))=0,,VLOOKUP(V336,A2:D500,4,FALSE))</f>
        <v>#N/A</v>
      </c>
      <c r="Y336" s="56">
        <f>'Other Empirical Model'!P461</f>
        <v>0</v>
      </c>
      <c r="Z336" s="22" t="e">
        <f>IF(LEN(VLOOKUP(Y336,A2:D500,4,FALSE))=0,,VLOOKUP(Y336,A2:D500,4,FALSE))</f>
        <v>#N/A</v>
      </c>
      <c r="AA336" s="56">
        <f>'Predictive Model'!P448</f>
        <v>0</v>
      </c>
      <c r="AB336" s="22" t="e">
        <f>IF(LEN(VLOOKUP(AA336,A2:D500,4,FALSE))=0,,VLOOKUP(AA336,A2:D500,4,FALSE))</f>
        <v>#N/A</v>
      </c>
      <c r="AC336" s="56">
        <f>'Consumption Model'!P453</f>
        <v>0</v>
      </c>
      <c r="AD336" s="22" t="e">
        <f>IF(LEN(VLOOKUP(AC336,A2:D500,4,FALSE))=0,,VLOOKUP(AC336,A2:D500,4,FALSE))</f>
        <v>#N/A</v>
      </c>
      <c r="AE336" s="22">
        <f>'(Data)'!Q449</f>
        <v>0</v>
      </c>
      <c r="AF336" s="22" t="e">
        <f>IF(LEN(VLOOKUP(AE335:AE336,A2:D500,4,FALSE))=0,,VLOOKUP(AE335:AE336,A2:D500,4,FALSE))</f>
        <v>#N/A</v>
      </c>
      <c r="AH336" s="45">
        <f>'Risk Charact Model'!P467</f>
        <v>0</v>
      </c>
      <c r="AI336" s="58" t="e">
        <f>IF(LEN(VLOOKUP(AH336,A2:D500,4,FALSE))=0,,VLOOKUP(AH336,A2:D500,4,FALSE))</f>
        <v>#N/A</v>
      </c>
    </row>
    <row r="337" spans="9:35" ht="14" x14ac:dyDescent="0.3">
      <c r="I337" s="60">
        <f>'Generic Metadata Schema'!P467</f>
        <v>0</v>
      </c>
      <c r="J337" s="22" t="e">
        <f>IF(LEN(VLOOKUP(I337,A2:D500,4,FALSE))=0,"",VLOOKUP(I337,A2:D500,4,FALSE))</f>
        <v>#N/A</v>
      </c>
      <c r="L337" s="56">
        <f>'Dose-response Model'!O451</f>
        <v>0</v>
      </c>
      <c r="M337" s="22" t="e">
        <f>IF(LEN(VLOOKUP(L337,A2:D500,4,FALSE))=0,,VLOOKUP(L337,A2:D500,4,FALSE))</f>
        <v>#N/A</v>
      </c>
      <c r="N337" s="22">
        <f>'Exposure Model'!O468</f>
        <v>0</v>
      </c>
      <c r="O337" s="22" t="e">
        <f>IF(LEN(VLOOKUP(N337,A2:D500,4,FALSE))=0,,VLOOKUP(N337,A2:D500,4,FALSE))</f>
        <v>#N/A</v>
      </c>
      <c r="P337" s="56">
        <f>'QRA Models'!Q468</f>
        <v>0</v>
      </c>
      <c r="Q337" s="22" t="e">
        <f>IF(LEN(VLOOKUP(P337,A2:D500,4,FALSE))=0,,VLOOKUP(P337,A2:D500,4,FALSE))</f>
        <v>#N/A</v>
      </c>
      <c r="R337" s="56">
        <f>'Health metrics Models'!Q451</f>
        <v>0</v>
      </c>
      <c r="S337" s="22" t="e">
        <f>IF(LEN(VLOOKUP(R337,A2:D500,4,FALSE))=0,,VLOOKUP(R337,A2:D500,4,FALSE))</f>
        <v>#N/A</v>
      </c>
      <c r="T337" s="56">
        <f>'Process Model'!P449</f>
        <v>0</v>
      </c>
      <c r="U337" s="22" t="e">
        <f>IF(LEN(VLOOKUP(T337,A2:D500,4,FALSE))=0,,VLOOKUP(T337,A2:D500,4,FALSE))</f>
        <v>#N/A</v>
      </c>
      <c r="V337" s="56">
        <f>'Toxicological reference value M'!P451</f>
        <v>0</v>
      </c>
      <c r="W337" s="22" t="e">
        <f>IF(LEN(VLOOKUP(V337,A2:D500,4,FALSE))=0,,VLOOKUP(V337,A2:D500,4,FALSE))</f>
        <v>#N/A</v>
      </c>
      <c r="Y337" s="56">
        <f>'Other Empirical Model'!P462</f>
        <v>0</v>
      </c>
      <c r="Z337" s="22" t="e">
        <f>IF(LEN(VLOOKUP(Y337,A2:D500,4,FALSE))=0,,VLOOKUP(Y337,A2:D500,4,FALSE))</f>
        <v>#N/A</v>
      </c>
      <c r="AA337" s="56">
        <f>'Predictive Model'!P449</f>
        <v>0</v>
      </c>
      <c r="AB337" s="22" t="e">
        <f>IF(LEN(VLOOKUP(AA337,A2:D500,4,FALSE))=0,,VLOOKUP(AA337,A2:D500,4,FALSE))</f>
        <v>#N/A</v>
      </c>
      <c r="AC337" s="56">
        <f>'Consumption Model'!P454</f>
        <v>0</v>
      </c>
      <c r="AD337" s="22" t="e">
        <f>IF(LEN(VLOOKUP(AC337,A2:D500,4,FALSE))=0,,VLOOKUP(AC337,A2:D500,4,FALSE))</f>
        <v>#N/A</v>
      </c>
      <c r="AE337" s="22">
        <f>'(Data)'!Q450</f>
        <v>0</v>
      </c>
      <c r="AF337" s="22" t="e">
        <f>IF(LEN(VLOOKUP(AE336:AE337,A2:D500,4,FALSE))=0,,VLOOKUP(AE336:AE337,A2:D500,4,FALSE))</f>
        <v>#N/A</v>
      </c>
      <c r="AH337" s="45">
        <f>'Risk Charact Model'!P468</f>
        <v>0</v>
      </c>
      <c r="AI337" s="58" t="e">
        <f>IF(LEN(VLOOKUP(AH337,A2:D500,4,FALSE))=0,,VLOOKUP(AH337,A2:D500,4,FALSE))</f>
        <v>#N/A</v>
      </c>
    </row>
    <row r="338" spans="9:35" ht="14" x14ac:dyDescent="0.3">
      <c r="I338" s="60">
        <f>'Generic Metadata Schema'!P468</f>
        <v>0</v>
      </c>
      <c r="J338" s="22" t="e">
        <f>IF(LEN(VLOOKUP(I338,A2:D500,4,FALSE))=0,"",VLOOKUP(I338,A2:D500,4,FALSE))</f>
        <v>#N/A</v>
      </c>
      <c r="L338" s="56">
        <f>'Dose-response Model'!O452</f>
        <v>0</v>
      </c>
      <c r="M338" s="22" t="e">
        <f>IF(LEN(VLOOKUP(L338,A2:D500,4,FALSE))=0,,VLOOKUP(L338,A2:D500,4,FALSE))</f>
        <v>#N/A</v>
      </c>
      <c r="N338" s="22">
        <f>'Exposure Model'!O469</f>
        <v>0</v>
      </c>
      <c r="O338" s="22" t="e">
        <f>IF(LEN(VLOOKUP(N338,A2:D500,4,FALSE))=0,,VLOOKUP(N338,A2:D500,4,FALSE))</f>
        <v>#N/A</v>
      </c>
      <c r="P338" s="56">
        <f>'QRA Models'!Q469</f>
        <v>0</v>
      </c>
      <c r="Q338" s="22" t="e">
        <f>IF(LEN(VLOOKUP(P338,A2:D500,4,FALSE))=0,,VLOOKUP(P338,A2:D500,4,FALSE))</f>
        <v>#N/A</v>
      </c>
      <c r="R338" s="56">
        <f>'Health metrics Models'!Q452</f>
        <v>0</v>
      </c>
      <c r="S338" s="22" t="e">
        <f>IF(LEN(VLOOKUP(R338,A2:D500,4,FALSE))=0,,VLOOKUP(R338,A2:D500,4,FALSE))</f>
        <v>#N/A</v>
      </c>
      <c r="T338" s="56">
        <f>'Process Model'!P450</f>
        <v>0</v>
      </c>
      <c r="U338" s="22" t="e">
        <f>IF(LEN(VLOOKUP(T338,A2:D500,4,FALSE))=0,,VLOOKUP(T338,A2:D500,4,FALSE))</f>
        <v>#N/A</v>
      </c>
      <c r="V338" s="56">
        <f>'Toxicological reference value M'!P452</f>
        <v>0</v>
      </c>
      <c r="W338" s="22" t="e">
        <f>IF(LEN(VLOOKUP(V338,A2:D500,4,FALSE))=0,,VLOOKUP(V338,A2:D500,4,FALSE))</f>
        <v>#N/A</v>
      </c>
      <c r="Y338" s="56">
        <f>'Other Empirical Model'!P463</f>
        <v>0</v>
      </c>
      <c r="Z338" s="22" t="e">
        <f>IF(LEN(VLOOKUP(Y338,A2:D500,4,FALSE))=0,,VLOOKUP(Y338,A2:D500,4,FALSE))</f>
        <v>#N/A</v>
      </c>
      <c r="AA338" s="56">
        <f>'Predictive Model'!P450</f>
        <v>0</v>
      </c>
      <c r="AB338" s="22" t="e">
        <f>IF(LEN(VLOOKUP(AA338,A2:D500,4,FALSE))=0,,VLOOKUP(AA338,A2:D500,4,FALSE))</f>
        <v>#N/A</v>
      </c>
      <c r="AC338" s="56">
        <f>'Consumption Model'!P455</f>
        <v>0</v>
      </c>
      <c r="AD338" s="22" t="e">
        <f>IF(LEN(VLOOKUP(AC338,A2:D500,4,FALSE))=0,,VLOOKUP(AC338,A2:D500,4,FALSE))</f>
        <v>#N/A</v>
      </c>
      <c r="AE338" s="22">
        <f>'(Data)'!Q451</f>
        <v>0</v>
      </c>
      <c r="AF338" s="22" t="e">
        <f>IF(LEN(VLOOKUP(AE337:AE338,A2:D500,4,FALSE))=0,,VLOOKUP(AE337:AE338,A2:D500,4,FALSE))</f>
        <v>#N/A</v>
      </c>
      <c r="AH338" s="45">
        <f>'Risk Charact Model'!P469</f>
        <v>0</v>
      </c>
      <c r="AI338" s="58" t="e">
        <f>IF(LEN(VLOOKUP(AH338,A2:D500,4,FALSE))=0,,VLOOKUP(AH338,A2:D500,4,FALSE))</f>
        <v>#N/A</v>
      </c>
    </row>
    <row r="339" spans="9:35" ht="14" x14ac:dyDescent="0.3">
      <c r="I339" s="60">
        <f>'Generic Metadata Schema'!P469</f>
        <v>0</v>
      </c>
      <c r="J339" s="22" t="e">
        <f>IF(LEN(VLOOKUP(I339,A2:D500,4,FALSE))=0,"",VLOOKUP(I339,A2:D500,4,FALSE))</f>
        <v>#N/A</v>
      </c>
      <c r="L339" s="56">
        <f>'Dose-response Model'!O453</f>
        <v>0</v>
      </c>
      <c r="M339" s="22" t="e">
        <f>IF(LEN(VLOOKUP(L339,A2:D500,4,FALSE))=0,,VLOOKUP(L339,A2:D500,4,FALSE))</f>
        <v>#N/A</v>
      </c>
      <c r="N339" s="22">
        <f>'Exposure Model'!O470</f>
        <v>0</v>
      </c>
      <c r="O339" s="22" t="e">
        <f>IF(LEN(VLOOKUP(N339,A2:D500,4,FALSE))=0,,VLOOKUP(N339,A2:D500,4,FALSE))</f>
        <v>#N/A</v>
      </c>
      <c r="P339" s="56">
        <f>'QRA Models'!Q470</f>
        <v>0</v>
      </c>
      <c r="Q339" s="22" t="e">
        <f>IF(LEN(VLOOKUP(P339,A2:D500,4,FALSE))=0,,VLOOKUP(P339,A2:D500,4,FALSE))</f>
        <v>#N/A</v>
      </c>
      <c r="R339" s="56">
        <f>'Health metrics Models'!Q453</f>
        <v>0</v>
      </c>
      <c r="S339" s="22" t="e">
        <f>IF(LEN(VLOOKUP(R339,A2:D500,4,FALSE))=0,,VLOOKUP(R339,A2:D500,4,FALSE))</f>
        <v>#N/A</v>
      </c>
      <c r="T339" s="56">
        <f>'Process Model'!P451</f>
        <v>0</v>
      </c>
      <c r="U339" s="22" t="e">
        <f>IF(LEN(VLOOKUP(T339,A2:D500,4,FALSE))=0,,VLOOKUP(T339,A2:D500,4,FALSE))</f>
        <v>#N/A</v>
      </c>
      <c r="V339" s="56">
        <f>'Toxicological reference value M'!P453</f>
        <v>0</v>
      </c>
      <c r="W339" s="22" t="e">
        <f>IF(LEN(VLOOKUP(V339,A2:D500,4,FALSE))=0,,VLOOKUP(V339,A2:D500,4,FALSE))</f>
        <v>#N/A</v>
      </c>
      <c r="Y339" s="56">
        <f>'Other Empirical Model'!P464</f>
        <v>0</v>
      </c>
      <c r="Z339" s="22" t="e">
        <f>IF(LEN(VLOOKUP(Y339,A2:D500,4,FALSE))=0,,VLOOKUP(Y339,A2:D500,4,FALSE))</f>
        <v>#N/A</v>
      </c>
      <c r="AA339" s="56">
        <f>'Predictive Model'!P451</f>
        <v>0</v>
      </c>
      <c r="AB339" s="22" t="e">
        <f>IF(LEN(VLOOKUP(AA339,A2:D500,4,FALSE))=0,,VLOOKUP(AA339,A2:D500,4,FALSE))</f>
        <v>#N/A</v>
      </c>
      <c r="AC339" s="56">
        <f>'Consumption Model'!P456</f>
        <v>0</v>
      </c>
      <c r="AD339" s="22" t="e">
        <f>IF(LEN(VLOOKUP(AC339,A2:D500,4,FALSE))=0,,VLOOKUP(AC339,A2:D500,4,FALSE))</f>
        <v>#N/A</v>
      </c>
      <c r="AE339" s="22">
        <f>'(Data)'!Q452</f>
        <v>0</v>
      </c>
      <c r="AF339" s="22" t="e">
        <f>IF(LEN(VLOOKUP(AE338:AE339,A2:D500,4,FALSE))=0,,VLOOKUP(AE338:AE339,A2:D500,4,FALSE))</f>
        <v>#N/A</v>
      </c>
      <c r="AH339" s="45">
        <f>'Risk Charact Model'!P470</f>
        <v>0</v>
      </c>
      <c r="AI339" s="58" t="e">
        <f>IF(LEN(VLOOKUP(AH339,A2:D500,4,FALSE))=0,,VLOOKUP(AH339,A2:D500,4,FALSE))</f>
        <v>#N/A</v>
      </c>
    </row>
    <row r="340" spans="9:35" ht="14" x14ac:dyDescent="0.3">
      <c r="I340" s="60">
        <f>'Generic Metadata Schema'!P470</f>
        <v>0</v>
      </c>
      <c r="J340" s="22" t="e">
        <f>IF(LEN(VLOOKUP(I340,A2:D500,4,FALSE))=0,"",VLOOKUP(I340,A2:D500,4,FALSE))</f>
        <v>#N/A</v>
      </c>
      <c r="L340" s="56">
        <f>'Dose-response Model'!O454</f>
        <v>0</v>
      </c>
      <c r="M340" s="22" t="e">
        <f>IF(LEN(VLOOKUP(L340,A2:D500,4,FALSE))=0,,VLOOKUP(L340,A2:D500,4,FALSE))</f>
        <v>#N/A</v>
      </c>
      <c r="N340" s="22">
        <f>'Exposure Model'!O471</f>
        <v>0</v>
      </c>
      <c r="O340" s="22" t="e">
        <f>IF(LEN(VLOOKUP(N340,A2:D500,4,FALSE))=0,,VLOOKUP(N340,A2:D500,4,FALSE))</f>
        <v>#N/A</v>
      </c>
      <c r="P340" s="56">
        <f>'QRA Models'!Q471</f>
        <v>0</v>
      </c>
      <c r="Q340" s="22" t="e">
        <f>IF(LEN(VLOOKUP(P340,A2:D500,4,FALSE))=0,,VLOOKUP(P340,A2:D500,4,FALSE))</f>
        <v>#N/A</v>
      </c>
      <c r="R340" s="56">
        <f>'Health metrics Models'!Q454</f>
        <v>0</v>
      </c>
      <c r="S340" s="22" t="e">
        <f>IF(LEN(VLOOKUP(R340,A2:D500,4,FALSE))=0,,VLOOKUP(R340,A2:D500,4,FALSE))</f>
        <v>#N/A</v>
      </c>
      <c r="T340" s="56">
        <f>'Process Model'!P452</f>
        <v>0</v>
      </c>
      <c r="U340" s="22" t="e">
        <f>IF(LEN(VLOOKUP(T340,A2:D500,4,FALSE))=0,,VLOOKUP(T340,A2:D500,4,FALSE))</f>
        <v>#N/A</v>
      </c>
      <c r="V340" s="56">
        <f>'Toxicological reference value M'!P454</f>
        <v>0</v>
      </c>
      <c r="W340" s="22" t="e">
        <f>IF(LEN(VLOOKUP(V340,A2:D500,4,FALSE))=0,,VLOOKUP(V340,A2:D500,4,FALSE))</f>
        <v>#N/A</v>
      </c>
      <c r="Y340" s="56">
        <f>'Other Empirical Model'!P465</f>
        <v>0</v>
      </c>
      <c r="Z340" s="22" t="e">
        <f>IF(LEN(VLOOKUP(Y340,A2:D500,4,FALSE))=0,,VLOOKUP(Y340,A2:D500,4,FALSE))</f>
        <v>#N/A</v>
      </c>
      <c r="AA340" s="56">
        <f>'Predictive Model'!P452</f>
        <v>0</v>
      </c>
      <c r="AB340" s="22" t="e">
        <f>IF(LEN(VLOOKUP(AA340,A2:D500,4,FALSE))=0,,VLOOKUP(AA340,A2:D500,4,FALSE))</f>
        <v>#N/A</v>
      </c>
      <c r="AC340" s="56">
        <f>'Consumption Model'!P457</f>
        <v>0</v>
      </c>
      <c r="AD340" s="22" t="e">
        <f>IF(LEN(VLOOKUP(AC340,A2:D500,4,FALSE))=0,,VLOOKUP(AC340,A2:D500,4,FALSE))</f>
        <v>#N/A</v>
      </c>
      <c r="AE340" s="22">
        <f>'(Data)'!Q453</f>
        <v>0</v>
      </c>
      <c r="AF340" s="22" t="e">
        <f>IF(LEN(VLOOKUP(AE339:AE340,A2:D500,4,FALSE))=0,,VLOOKUP(AE339:AE340,A2:D500,4,FALSE))</f>
        <v>#N/A</v>
      </c>
      <c r="AH340" s="45">
        <f>'Risk Charact Model'!P471</f>
        <v>0</v>
      </c>
      <c r="AI340" s="58" t="e">
        <f>IF(LEN(VLOOKUP(AH340,A2:D500,4,FALSE))=0,,VLOOKUP(AH340,A2:D500,4,FALSE))</f>
        <v>#N/A</v>
      </c>
    </row>
    <row r="341" spans="9:35" ht="14" x14ac:dyDescent="0.3">
      <c r="I341" s="60">
        <f>'Generic Metadata Schema'!P471</f>
        <v>0</v>
      </c>
      <c r="J341" s="22" t="e">
        <f>IF(LEN(VLOOKUP(I341,A2:D500,4,FALSE))=0,"",VLOOKUP(I341,A2:D500,4,FALSE))</f>
        <v>#N/A</v>
      </c>
      <c r="L341" s="56">
        <f>'Dose-response Model'!O455</f>
        <v>0</v>
      </c>
      <c r="M341" s="22" t="e">
        <f>IF(LEN(VLOOKUP(L341,A2:D500,4,FALSE))=0,,VLOOKUP(L341,A2:D500,4,FALSE))</f>
        <v>#N/A</v>
      </c>
      <c r="N341" s="22">
        <f>'Exposure Model'!O472</f>
        <v>0</v>
      </c>
      <c r="O341" s="22" t="e">
        <f>IF(LEN(VLOOKUP(N341,A2:D500,4,FALSE))=0,,VLOOKUP(N341,A2:D500,4,FALSE))</f>
        <v>#N/A</v>
      </c>
      <c r="P341" s="56">
        <f>'QRA Models'!Q472</f>
        <v>0</v>
      </c>
      <c r="Q341" s="22" t="e">
        <f>IF(LEN(VLOOKUP(P341,A2:D500,4,FALSE))=0,,VLOOKUP(P341,A2:D500,4,FALSE))</f>
        <v>#N/A</v>
      </c>
      <c r="R341" s="56">
        <f>'Health metrics Models'!Q455</f>
        <v>0</v>
      </c>
      <c r="S341" s="22" t="e">
        <f>IF(LEN(VLOOKUP(R341,A2:D500,4,FALSE))=0,,VLOOKUP(R341,A2:D500,4,FALSE))</f>
        <v>#N/A</v>
      </c>
      <c r="T341" s="56">
        <f>'Process Model'!P453</f>
        <v>0</v>
      </c>
      <c r="U341" s="22" t="e">
        <f>IF(LEN(VLOOKUP(T341,A2:D500,4,FALSE))=0,,VLOOKUP(T341,A2:D500,4,FALSE))</f>
        <v>#N/A</v>
      </c>
      <c r="V341" s="56">
        <f>'Toxicological reference value M'!P455</f>
        <v>0</v>
      </c>
      <c r="W341" s="22" t="e">
        <f>IF(LEN(VLOOKUP(V341,A2:D500,4,FALSE))=0,,VLOOKUP(V341,A2:D500,4,FALSE))</f>
        <v>#N/A</v>
      </c>
      <c r="Y341" s="56">
        <f>'Other Empirical Model'!P466</f>
        <v>0</v>
      </c>
      <c r="Z341" s="22" t="e">
        <f>IF(LEN(VLOOKUP(Y341,A2:D500,4,FALSE))=0,,VLOOKUP(Y341,A2:D500,4,FALSE))</f>
        <v>#N/A</v>
      </c>
      <c r="AA341" s="56">
        <f>'Predictive Model'!P453</f>
        <v>0</v>
      </c>
      <c r="AB341" s="22" t="e">
        <f>IF(LEN(VLOOKUP(AA341,A2:D500,4,FALSE))=0,,VLOOKUP(AA341,A2:D500,4,FALSE))</f>
        <v>#N/A</v>
      </c>
      <c r="AC341" s="56">
        <f>'Consumption Model'!P458</f>
        <v>0</v>
      </c>
      <c r="AD341" s="22" t="e">
        <f>IF(LEN(VLOOKUP(AC341,A2:D500,4,FALSE))=0,,VLOOKUP(AC341,A2:D500,4,FALSE))</f>
        <v>#N/A</v>
      </c>
      <c r="AE341" s="22">
        <f>'(Data)'!Q454</f>
        <v>0</v>
      </c>
      <c r="AF341" s="22" t="e">
        <f>IF(LEN(VLOOKUP(AE340:AE341,A2:D500,4,FALSE))=0,,VLOOKUP(AE340:AE341,A2:D500,4,FALSE))</f>
        <v>#N/A</v>
      </c>
      <c r="AH341" s="45">
        <f>'Risk Charact Model'!P472</f>
        <v>0</v>
      </c>
      <c r="AI341" s="58" t="e">
        <f>IF(LEN(VLOOKUP(AH341,A2:D500,4,FALSE))=0,,VLOOKUP(AH341,A2:D500,4,FALSE))</f>
        <v>#N/A</v>
      </c>
    </row>
    <row r="342" spans="9:35" ht="14" x14ac:dyDescent="0.3">
      <c r="I342" s="60">
        <f>'Generic Metadata Schema'!P472</f>
        <v>0</v>
      </c>
      <c r="J342" s="22" t="e">
        <f>IF(LEN(VLOOKUP(I342,A2:D500,4,FALSE))=0,"",VLOOKUP(I342,A2:D500,4,FALSE))</f>
        <v>#N/A</v>
      </c>
      <c r="L342" s="56">
        <f>'Dose-response Model'!O456</f>
        <v>0</v>
      </c>
      <c r="M342" s="22" t="e">
        <f>IF(LEN(VLOOKUP(L342,A2:D500,4,FALSE))=0,,VLOOKUP(L342,A2:D500,4,FALSE))</f>
        <v>#N/A</v>
      </c>
      <c r="N342" s="22">
        <f>'Exposure Model'!O473</f>
        <v>0</v>
      </c>
      <c r="O342" s="22" t="e">
        <f>IF(LEN(VLOOKUP(N342,A2:D500,4,FALSE))=0,,VLOOKUP(N342,A2:D500,4,FALSE))</f>
        <v>#N/A</v>
      </c>
      <c r="P342" s="56">
        <f>'QRA Models'!Q473</f>
        <v>0</v>
      </c>
      <c r="Q342" s="22" t="e">
        <f>IF(LEN(VLOOKUP(P342,A2:D500,4,FALSE))=0,,VLOOKUP(P342,A2:D500,4,FALSE))</f>
        <v>#N/A</v>
      </c>
      <c r="R342" s="56">
        <f>'Health metrics Models'!Q456</f>
        <v>0</v>
      </c>
      <c r="S342" s="22" t="e">
        <f>IF(LEN(VLOOKUP(R342,A2:D500,4,FALSE))=0,,VLOOKUP(R342,A2:D500,4,FALSE))</f>
        <v>#N/A</v>
      </c>
      <c r="T342" s="56">
        <f>'Process Model'!P454</f>
        <v>0</v>
      </c>
      <c r="U342" s="22" t="e">
        <f>IF(LEN(VLOOKUP(T342,A2:D500,4,FALSE))=0,,VLOOKUP(T342,A2:D500,4,FALSE))</f>
        <v>#N/A</v>
      </c>
      <c r="V342" s="56">
        <f>'Toxicological reference value M'!P456</f>
        <v>0</v>
      </c>
      <c r="W342" s="22" t="e">
        <f>IF(LEN(VLOOKUP(V342,A2:D500,4,FALSE))=0,,VLOOKUP(V342,A2:D500,4,FALSE))</f>
        <v>#N/A</v>
      </c>
      <c r="Y342" s="56">
        <f>'Other Empirical Model'!P467</f>
        <v>0</v>
      </c>
      <c r="Z342" s="22" t="e">
        <f>IF(LEN(VLOOKUP(Y342,A2:D500,4,FALSE))=0,,VLOOKUP(Y342,A2:D500,4,FALSE))</f>
        <v>#N/A</v>
      </c>
      <c r="AA342" s="56">
        <f>'Predictive Model'!P454</f>
        <v>0</v>
      </c>
      <c r="AB342" s="22" t="e">
        <f>IF(LEN(VLOOKUP(AA342,A2:D500,4,FALSE))=0,,VLOOKUP(AA342,A2:D500,4,FALSE))</f>
        <v>#N/A</v>
      </c>
      <c r="AC342" s="56">
        <f>'Consumption Model'!P459</f>
        <v>0</v>
      </c>
      <c r="AD342" s="22" t="e">
        <f>IF(LEN(VLOOKUP(AC342,A2:D500,4,FALSE))=0,,VLOOKUP(AC342,A2:D500,4,FALSE))</f>
        <v>#N/A</v>
      </c>
      <c r="AE342" s="22">
        <f>'(Data)'!Q455</f>
        <v>0</v>
      </c>
      <c r="AF342" s="22" t="e">
        <f>IF(LEN(VLOOKUP(AE341:AE342,A2:D500,4,FALSE))=0,,VLOOKUP(AE341:AE342,A2:D500,4,FALSE))</f>
        <v>#N/A</v>
      </c>
      <c r="AH342" s="45">
        <f>'Risk Charact Model'!P473</f>
        <v>0</v>
      </c>
      <c r="AI342" s="58" t="e">
        <f>IF(LEN(VLOOKUP(AH342,A2:D500,4,FALSE))=0,,VLOOKUP(AH342,A2:D500,4,FALSE))</f>
        <v>#N/A</v>
      </c>
    </row>
    <row r="343" spans="9:35" ht="14" x14ac:dyDescent="0.3">
      <c r="I343" s="60">
        <f>'Generic Metadata Schema'!P473</f>
        <v>0</v>
      </c>
      <c r="J343" s="22" t="e">
        <f>IF(LEN(VLOOKUP(I343,A2:D500,4,FALSE))=0,"",VLOOKUP(I343,A2:D500,4,FALSE))</f>
        <v>#N/A</v>
      </c>
      <c r="L343" s="56">
        <f>'Dose-response Model'!O457</f>
        <v>0</v>
      </c>
      <c r="M343" s="22" t="e">
        <f>IF(LEN(VLOOKUP(L343,A2:D500,4,FALSE))=0,,VLOOKUP(L343,A2:D500,4,FALSE))</f>
        <v>#N/A</v>
      </c>
      <c r="N343" s="22">
        <f>'Exposure Model'!O474</f>
        <v>0</v>
      </c>
      <c r="O343" s="22" t="e">
        <f>IF(LEN(VLOOKUP(N343,A2:D500,4,FALSE))=0,,VLOOKUP(N343,A2:D500,4,FALSE))</f>
        <v>#N/A</v>
      </c>
      <c r="P343" s="56">
        <f>'QRA Models'!Q474</f>
        <v>0</v>
      </c>
      <c r="Q343" s="22" t="e">
        <f>IF(LEN(VLOOKUP(P343,A2:D500,4,FALSE))=0,,VLOOKUP(P343,A2:D500,4,FALSE))</f>
        <v>#N/A</v>
      </c>
      <c r="R343" s="56">
        <f>'Health metrics Models'!Q457</f>
        <v>0</v>
      </c>
      <c r="S343" s="22" t="e">
        <f>IF(LEN(VLOOKUP(R343,A2:D500,4,FALSE))=0,,VLOOKUP(R343,A2:D500,4,FALSE))</f>
        <v>#N/A</v>
      </c>
      <c r="T343" s="56">
        <f>'Process Model'!P455</f>
        <v>0</v>
      </c>
      <c r="U343" s="22" t="e">
        <f>IF(LEN(VLOOKUP(T343,A2:D500,4,FALSE))=0,,VLOOKUP(T343,A2:D500,4,FALSE))</f>
        <v>#N/A</v>
      </c>
      <c r="V343" s="56">
        <f>'Toxicological reference value M'!P457</f>
        <v>0</v>
      </c>
      <c r="W343" s="22" t="e">
        <f>IF(LEN(VLOOKUP(V343,A2:D500,4,FALSE))=0,,VLOOKUP(V343,A2:D500,4,FALSE))</f>
        <v>#N/A</v>
      </c>
      <c r="Y343" s="56">
        <f>'Other Empirical Model'!P468</f>
        <v>0</v>
      </c>
      <c r="Z343" s="22" t="e">
        <f>IF(LEN(VLOOKUP(Y343,A2:D500,4,FALSE))=0,,VLOOKUP(Y343,A2:D500,4,FALSE))</f>
        <v>#N/A</v>
      </c>
      <c r="AA343" s="56">
        <f>'Predictive Model'!P455</f>
        <v>0</v>
      </c>
      <c r="AB343" s="22" t="e">
        <f>IF(LEN(VLOOKUP(AA343,A2:D500,4,FALSE))=0,,VLOOKUP(AA343,A2:D500,4,FALSE))</f>
        <v>#N/A</v>
      </c>
      <c r="AC343" s="56">
        <f>'Consumption Model'!P460</f>
        <v>0</v>
      </c>
      <c r="AD343" s="22" t="e">
        <f>IF(LEN(VLOOKUP(AC343,A2:D500,4,FALSE))=0,,VLOOKUP(AC343,A2:D500,4,FALSE))</f>
        <v>#N/A</v>
      </c>
      <c r="AE343" s="22">
        <f>'(Data)'!Q456</f>
        <v>0</v>
      </c>
      <c r="AF343" s="22" t="e">
        <f>IF(LEN(VLOOKUP(AE342:AE343,A2:D500,4,FALSE))=0,,VLOOKUP(AE342:AE343,A2:D500,4,FALSE))</f>
        <v>#N/A</v>
      </c>
      <c r="AH343" s="45">
        <f>'Risk Charact Model'!P474</f>
        <v>0</v>
      </c>
      <c r="AI343" s="58" t="e">
        <f>IF(LEN(VLOOKUP(AH343,A2:D500,4,FALSE))=0,,VLOOKUP(AH343,A2:D500,4,FALSE))</f>
        <v>#N/A</v>
      </c>
    </row>
    <row r="344" spans="9:35" ht="14" x14ac:dyDescent="0.3">
      <c r="I344" s="60">
        <f>'Generic Metadata Schema'!P474</f>
        <v>0</v>
      </c>
      <c r="J344" s="22" t="e">
        <f>IF(LEN(VLOOKUP(I344,A2:D500,4,FALSE))=0,"",VLOOKUP(I344,A2:D500,4,FALSE))</f>
        <v>#N/A</v>
      </c>
      <c r="L344" s="56">
        <f>'Dose-response Model'!O458</f>
        <v>0</v>
      </c>
      <c r="M344" s="22" t="e">
        <f>IF(LEN(VLOOKUP(L344,A2:D500,4,FALSE))=0,,VLOOKUP(L344,A2:D500,4,FALSE))</f>
        <v>#N/A</v>
      </c>
      <c r="N344" s="22">
        <f>'Exposure Model'!O475</f>
        <v>0</v>
      </c>
      <c r="O344" s="22" t="e">
        <f>IF(LEN(VLOOKUP(N344,A2:D500,4,FALSE))=0,,VLOOKUP(N344,A2:D500,4,FALSE))</f>
        <v>#N/A</v>
      </c>
      <c r="P344" s="56">
        <f>'QRA Models'!Q475</f>
        <v>0</v>
      </c>
      <c r="Q344" s="22" t="e">
        <f>IF(LEN(VLOOKUP(P344,A2:D500,4,FALSE))=0,,VLOOKUP(P344,A2:D500,4,FALSE))</f>
        <v>#N/A</v>
      </c>
      <c r="R344" s="56">
        <f>'Health metrics Models'!Q458</f>
        <v>0</v>
      </c>
      <c r="S344" s="22" t="e">
        <f>IF(LEN(VLOOKUP(R344,A2:D500,4,FALSE))=0,,VLOOKUP(R344,A2:D500,4,FALSE))</f>
        <v>#N/A</v>
      </c>
      <c r="T344" s="56">
        <f>'Process Model'!P456</f>
        <v>0</v>
      </c>
      <c r="U344" s="22" t="e">
        <f>IF(LEN(VLOOKUP(T344,A2:D500,4,FALSE))=0,,VLOOKUP(T344,A2:D500,4,FALSE))</f>
        <v>#N/A</v>
      </c>
      <c r="V344" s="56">
        <f>'Toxicological reference value M'!P458</f>
        <v>0</v>
      </c>
      <c r="W344" s="22" t="e">
        <f>IF(LEN(VLOOKUP(V344,A2:D500,4,FALSE))=0,,VLOOKUP(V344,A2:D500,4,FALSE))</f>
        <v>#N/A</v>
      </c>
      <c r="Y344" s="56">
        <f>'Other Empirical Model'!P469</f>
        <v>0</v>
      </c>
      <c r="Z344" s="22" t="e">
        <f>IF(LEN(VLOOKUP(Y344,A2:D500,4,FALSE))=0,,VLOOKUP(Y344,A2:D500,4,FALSE))</f>
        <v>#N/A</v>
      </c>
      <c r="AA344" s="56">
        <f>'Predictive Model'!P456</f>
        <v>0</v>
      </c>
      <c r="AB344" s="22" t="e">
        <f>IF(LEN(VLOOKUP(AA344,A2:D500,4,FALSE))=0,,VLOOKUP(AA344,A2:D500,4,FALSE))</f>
        <v>#N/A</v>
      </c>
      <c r="AC344" s="56">
        <f>'Consumption Model'!P461</f>
        <v>0</v>
      </c>
      <c r="AD344" s="22" t="e">
        <f>IF(LEN(VLOOKUP(AC344,A2:D500,4,FALSE))=0,,VLOOKUP(AC344,A2:D500,4,FALSE))</f>
        <v>#N/A</v>
      </c>
      <c r="AE344" s="22">
        <f>'(Data)'!Q457</f>
        <v>0</v>
      </c>
      <c r="AF344" s="22" t="e">
        <f>IF(LEN(VLOOKUP(AE343:AE344,A2:D500,4,FALSE))=0,,VLOOKUP(AE343:AE344,A2:D500,4,FALSE))</f>
        <v>#N/A</v>
      </c>
      <c r="AH344" s="45">
        <f>'Risk Charact Model'!P475</f>
        <v>0</v>
      </c>
      <c r="AI344" s="58" t="e">
        <f>IF(LEN(VLOOKUP(AH344,A2:D500,4,FALSE))=0,,VLOOKUP(AH344,A2:D500,4,FALSE))</f>
        <v>#N/A</v>
      </c>
    </row>
    <row r="345" spans="9:35" ht="14" x14ac:dyDescent="0.3">
      <c r="I345" s="60">
        <f>'Generic Metadata Schema'!P475</f>
        <v>0</v>
      </c>
      <c r="J345" s="22" t="e">
        <f>IF(LEN(VLOOKUP(I345,A2:D500,4,FALSE))=0,"",VLOOKUP(I345,A2:D500,4,FALSE))</f>
        <v>#N/A</v>
      </c>
      <c r="L345" s="56">
        <f>'Dose-response Model'!O459</f>
        <v>0</v>
      </c>
      <c r="M345" s="22" t="e">
        <f>IF(LEN(VLOOKUP(L345,A2:D500,4,FALSE))=0,,VLOOKUP(L345,A2:D500,4,FALSE))</f>
        <v>#N/A</v>
      </c>
      <c r="N345" s="22">
        <f>'Exposure Model'!O476</f>
        <v>0</v>
      </c>
      <c r="O345" s="22" t="e">
        <f>IF(LEN(VLOOKUP(N345,A2:D500,4,FALSE))=0,,VLOOKUP(N345,A2:D500,4,FALSE))</f>
        <v>#N/A</v>
      </c>
      <c r="P345" s="56">
        <f>'QRA Models'!Q476</f>
        <v>0</v>
      </c>
      <c r="Q345" s="22" t="e">
        <f>IF(LEN(VLOOKUP(P345,A2:D500,4,FALSE))=0,,VLOOKUP(P345,A2:D500,4,FALSE))</f>
        <v>#N/A</v>
      </c>
      <c r="R345" s="56">
        <f>'Health metrics Models'!Q459</f>
        <v>0</v>
      </c>
      <c r="S345" s="22" t="e">
        <f>IF(LEN(VLOOKUP(R345,A2:D500,4,FALSE))=0,,VLOOKUP(R345,A2:D500,4,FALSE))</f>
        <v>#N/A</v>
      </c>
      <c r="T345" s="56">
        <f>'Process Model'!P457</f>
        <v>0</v>
      </c>
      <c r="U345" s="22" t="e">
        <f>IF(LEN(VLOOKUP(T345,A2:D500,4,FALSE))=0,,VLOOKUP(T345,A2:D500,4,FALSE))</f>
        <v>#N/A</v>
      </c>
      <c r="V345" s="56">
        <f>'Toxicological reference value M'!P459</f>
        <v>0</v>
      </c>
      <c r="W345" s="22" t="e">
        <f>IF(LEN(VLOOKUP(V345,A2:D500,4,FALSE))=0,,VLOOKUP(V345,A2:D500,4,FALSE))</f>
        <v>#N/A</v>
      </c>
      <c r="Y345" s="56">
        <f>'Other Empirical Model'!P470</f>
        <v>0</v>
      </c>
      <c r="Z345" s="22" t="e">
        <f>IF(LEN(VLOOKUP(Y345,A2:D500,4,FALSE))=0,,VLOOKUP(Y345,A2:D500,4,FALSE))</f>
        <v>#N/A</v>
      </c>
      <c r="AA345" s="56">
        <f>'Predictive Model'!P457</f>
        <v>0</v>
      </c>
      <c r="AB345" s="22" t="e">
        <f>IF(LEN(VLOOKUP(AA345,A2:D500,4,FALSE))=0,,VLOOKUP(AA345,A2:D500,4,FALSE))</f>
        <v>#N/A</v>
      </c>
      <c r="AC345" s="56">
        <f>'Consumption Model'!P462</f>
        <v>0</v>
      </c>
      <c r="AD345" s="22" t="e">
        <f>IF(LEN(VLOOKUP(AC345,A2:D500,4,FALSE))=0,,VLOOKUP(AC345,A2:D500,4,FALSE))</f>
        <v>#N/A</v>
      </c>
      <c r="AE345" s="22">
        <f>'(Data)'!Q458</f>
        <v>0</v>
      </c>
      <c r="AF345" s="22" t="e">
        <f>IF(LEN(VLOOKUP(AE344:AE345,A2:D500,4,FALSE))=0,,VLOOKUP(AE344:AE345,A2:D500,4,FALSE))</f>
        <v>#N/A</v>
      </c>
      <c r="AH345" s="45">
        <f>'Risk Charact Model'!P476</f>
        <v>0</v>
      </c>
      <c r="AI345" s="58" t="e">
        <f>IF(LEN(VLOOKUP(AH345,A2:D500,4,FALSE))=0,,VLOOKUP(AH345,A2:D500,4,FALSE))</f>
        <v>#N/A</v>
      </c>
    </row>
    <row r="346" spans="9:35" ht="14" x14ac:dyDescent="0.3">
      <c r="I346" s="60">
        <f>'Generic Metadata Schema'!P476</f>
        <v>0</v>
      </c>
      <c r="J346" s="22" t="e">
        <f>IF(LEN(VLOOKUP(I346,A2:D500,4,FALSE))=0,"",VLOOKUP(I346,A2:D500,4,FALSE))</f>
        <v>#N/A</v>
      </c>
      <c r="L346" s="56">
        <f>'Dose-response Model'!O460</f>
        <v>0</v>
      </c>
      <c r="M346" s="22" t="e">
        <f>IF(LEN(VLOOKUP(L346,A2:D500,4,FALSE))=0,,VLOOKUP(L346,A2:D500,4,FALSE))</f>
        <v>#N/A</v>
      </c>
      <c r="N346" s="22">
        <f>'Exposure Model'!O477</f>
        <v>0</v>
      </c>
      <c r="O346" s="22" t="e">
        <f>IF(LEN(VLOOKUP(N346,A2:D500,4,FALSE))=0,,VLOOKUP(N346,A2:D500,4,FALSE))</f>
        <v>#N/A</v>
      </c>
      <c r="P346" s="56">
        <f>'QRA Models'!Q477</f>
        <v>0</v>
      </c>
      <c r="Q346" s="22" t="e">
        <f>IF(LEN(VLOOKUP(P346,A2:D500,4,FALSE))=0,,VLOOKUP(P346,A2:D500,4,FALSE))</f>
        <v>#N/A</v>
      </c>
      <c r="R346" s="56">
        <f>'Health metrics Models'!Q460</f>
        <v>0</v>
      </c>
      <c r="S346" s="22" t="e">
        <f>IF(LEN(VLOOKUP(R346,A2:D500,4,FALSE))=0,,VLOOKUP(R346,A2:D500,4,FALSE))</f>
        <v>#N/A</v>
      </c>
      <c r="T346" s="56">
        <f>'Process Model'!P458</f>
        <v>0</v>
      </c>
      <c r="U346" s="22" t="e">
        <f>IF(LEN(VLOOKUP(T346,A2:D500,4,FALSE))=0,,VLOOKUP(T346,A2:D500,4,FALSE))</f>
        <v>#N/A</v>
      </c>
      <c r="V346" s="56">
        <f>'Toxicological reference value M'!P460</f>
        <v>0</v>
      </c>
      <c r="W346" s="22" t="e">
        <f>IF(LEN(VLOOKUP(V346,A2:D500,4,FALSE))=0,,VLOOKUP(V346,A2:D500,4,FALSE))</f>
        <v>#N/A</v>
      </c>
      <c r="Y346" s="56">
        <f>'Other Empirical Model'!P471</f>
        <v>0</v>
      </c>
      <c r="Z346" s="22" t="e">
        <f>IF(LEN(VLOOKUP(Y346,A2:D500,4,FALSE))=0,,VLOOKUP(Y346,A2:D500,4,FALSE))</f>
        <v>#N/A</v>
      </c>
      <c r="AA346" s="56">
        <f>'Predictive Model'!P458</f>
        <v>0</v>
      </c>
      <c r="AB346" s="22" t="e">
        <f>IF(LEN(VLOOKUP(AA346,A2:D500,4,FALSE))=0,,VLOOKUP(AA346,A2:D500,4,FALSE))</f>
        <v>#N/A</v>
      </c>
      <c r="AC346" s="56">
        <f>'Consumption Model'!P463</f>
        <v>0</v>
      </c>
      <c r="AD346" s="22" t="e">
        <f>IF(LEN(VLOOKUP(AC346,A2:D500,4,FALSE))=0,,VLOOKUP(AC346,A2:D500,4,FALSE))</f>
        <v>#N/A</v>
      </c>
      <c r="AE346" s="22">
        <f>'(Data)'!Q459</f>
        <v>0</v>
      </c>
      <c r="AF346" s="22" t="e">
        <f>IF(LEN(VLOOKUP(AE345:AE346,A2:D500,4,FALSE))=0,,VLOOKUP(AE345:AE346,A2:D500,4,FALSE))</f>
        <v>#N/A</v>
      </c>
      <c r="AH346" s="45">
        <f>'Risk Charact Model'!P477</f>
        <v>0</v>
      </c>
      <c r="AI346" s="58" t="e">
        <f>IF(LEN(VLOOKUP(AH346,A2:D500,4,FALSE))=0,,VLOOKUP(AH346,A2:D500,4,FALSE))</f>
        <v>#N/A</v>
      </c>
    </row>
    <row r="347" spans="9:35" ht="14" x14ac:dyDescent="0.3">
      <c r="I347" s="60">
        <f>'Generic Metadata Schema'!P477</f>
        <v>0</v>
      </c>
      <c r="J347" s="22" t="e">
        <f>IF(LEN(VLOOKUP(I347,A2:D500,4,FALSE))=0,"",VLOOKUP(I347,A2:D500,4,FALSE))</f>
        <v>#N/A</v>
      </c>
      <c r="L347" s="56">
        <f>'Dose-response Model'!O461</f>
        <v>0</v>
      </c>
      <c r="M347" s="22" t="e">
        <f>IF(LEN(VLOOKUP(L347,A2:D500,4,FALSE))=0,,VLOOKUP(L347,A2:D500,4,FALSE))</f>
        <v>#N/A</v>
      </c>
      <c r="N347" s="22">
        <f>'Exposure Model'!O478</f>
        <v>0</v>
      </c>
      <c r="O347" s="22" t="e">
        <f>IF(LEN(VLOOKUP(N347,A2:D500,4,FALSE))=0,,VLOOKUP(N347,A2:D500,4,FALSE))</f>
        <v>#N/A</v>
      </c>
      <c r="P347" s="56">
        <f>'QRA Models'!Q478</f>
        <v>0</v>
      </c>
      <c r="Q347" s="22" t="e">
        <f>IF(LEN(VLOOKUP(P347,A2:D500,4,FALSE))=0,,VLOOKUP(P347,A2:D500,4,FALSE))</f>
        <v>#N/A</v>
      </c>
      <c r="R347" s="56">
        <f>'Health metrics Models'!Q461</f>
        <v>0</v>
      </c>
      <c r="S347" s="22" t="e">
        <f>IF(LEN(VLOOKUP(R347,A2:D500,4,FALSE))=0,,VLOOKUP(R347,A2:D500,4,FALSE))</f>
        <v>#N/A</v>
      </c>
      <c r="T347" s="56">
        <f>'Process Model'!P459</f>
        <v>0</v>
      </c>
      <c r="U347" s="22" t="e">
        <f>IF(LEN(VLOOKUP(T347,A2:D500,4,FALSE))=0,,VLOOKUP(T347,A2:D500,4,FALSE))</f>
        <v>#N/A</v>
      </c>
      <c r="V347" s="56">
        <f>'Toxicological reference value M'!P461</f>
        <v>0</v>
      </c>
      <c r="W347" s="22" t="e">
        <f>IF(LEN(VLOOKUP(V347,A2:D500,4,FALSE))=0,,VLOOKUP(V347,A2:D500,4,FALSE))</f>
        <v>#N/A</v>
      </c>
      <c r="Y347" s="56">
        <f>'Other Empirical Model'!P472</f>
        <v>0</v>
      </c>
      <c r="Z347" s="22" t="e">
        <f>IF(LEN(VLOOKUP(Y347,A2:D500,4,FALSE))=0,,VLOOKUP(Y347,A2:D500,4,FALSE))</f>
        <v>#N/A</v>
      </c>
      <c r="AA347" s="56">
        <f>'Predictive Model'!P459</f>
        <v>0</v>
      </c>
      <c r="AB347" s="22" t="e">
        <f>IF(LEN(VLOOKUP(AA347,A2:D500,4,FALSE))=0,,VLOOKUP(AA347,A2:D500,4,FALSE))</f>
        <v>#N/A</v>
      </c>
      <c r="AC347" s="56">
        <f>'Consumption Model'!P464</f>
        <v>0</v>
      </c>
      <c r="AD347" s="22" t="e">
        <f>IF(LEN(VLOOKUP(AC347,A2:D500,4,FALSE))=0,,VLOOKUP(AC347,A2:D500,4,FALSE))</f>
        <v>#N/A</v>
      </c>
      <c r="AE347" s="22">
        <f>'(Data)'!Q460</f>
        <v>0</v>
      </c>
      <c r="AF347" s="22" t="e">
        <f>IF(LEN(VLOOKUP(AE346:AE347,A2:D500,4,FALSE))=0,,VLOOKUP(AE346:AE347,A2:D500,4,FALSE))</f>
        <v>#N/A</v>
      </c>
      <c r="AH347" s="45">
        <f>'Risk Charact Model'!P478</f>
        <v>0</v>
      </c>
      <c r="AI347" s="58" t="e">
        <f>IF(LEN(VLOOKUP(AH347,A2:D500,4,FALSE))=0,,VLOOKUP(AH347,A2:D500,4,FALSE))</f>
        <v>#N/A</v>
      </c>
    </row>
    <row r="348" spans="9:35" ht="14" x14ac:dyDescent="0.3">
      <c r="I348" s="60">
        <f>'Generic Metadata Schema'!P478</f>
        <v>0</v>
      </c>
      <c r="J348" s="22" t="e">
        <f>IF(LEN(VLOOKUP(I348,A2:D500,4,FALSE))=0,"",VLOOKUP(I348,A2:D500,4,FALSE))</f>
        <v>#N/A</v>
      </c>
      <c r="L348" s="56">
        <f>'Dose-response Model'!O462</f>
        <v>0</v>
      </c>
      <c r="M348" s="22" t="e">
        <f>IF(LEN(VLOOKUP(L348,A2:D500,4,FALSE))=0,,VLOOKUP(L348,A2:D500,4,FALSE))</f>
        <v>#N/A</v>
      </c>
      <c r="N348" s="22">
        <f>'Exposure Model'!O479</f>
        <v>0</v>
      </c>
      <c r="O348" s="22" t="e">
        <f>IF(LEN(VLOOKUP(N348,A2:D500,4,FALSE))=0,,VLOOKUP(N348,A2:D500,4,FALSE))</f>
        <v>#N/A</v>
      </c>
      <c r="P348" s="56">
        <f>'QRA Models'!Q479</f>
        <v>0</v>
      </c>
      <c r="Q348" s="22" t="e">
        <f>IF(LEN(VLOOKUP(P348,A2:D500,4,FALSE))=0,,VLOOKUP(P348,A2:D500,4,FALSE))</f>
        <v>#N/A</v>
      </c>
      <c r="R348" s="56">
        <f>'Health metrics Models'!Q462</f>
        <v>0</v>
      </c>
      <c r="S348" s="22" t="e">
        <f>IF(LEN(VLOOKUP(R348,A2:D500,4,FALSE))=0,,VLOOKUP(R348,A2:D500,4,FALSE))</f>
        <v>#N/A</v>
      </c>
      <c r="T348" s="56">
        <f>'Process Model'!P460</f>
        <v>0</v>
      </c>
      <c r="U348" s="22" t="e">
        <f>IF(LEN(VLOOKUP(T348,A2:D500,4,FALSE))=0,,VLOOKUP(T348,A2:D500,4,FALSE))</f>
        <v>#N/A</v>
      </c>
      <c r="V348" s="56">
        <f>'Toxicological reference value M'!P462</f>
        <v>0</v>
      </c>
      <c r="W348" s="22" t="e">
        <f>IF(LEN(VLOOKUP(V348,A2:D500,4,FALSE))=0,,VLOOKUP(V348,A2:D500,4,FALSE))</f>
        <v>#N/A</v>
      </c>
      <c r="Y348" s="56">
        <f>'Other Empirical Model'!P473</f>
        <v>0</v>
      </c>
      <c r="Z348" s="22" t="e">
        <f>IF(LEN(VLOOKUP(Y348,A2:D500,4,FALSE))=0,,VLOOKUP(Y348,A2:D500,4,FALSE))</f>
        <v>#N/A</v>
      </c>
      <c r="AA348" s="56">
        <f>'Predictive Model'!P460</f>
        <v>0</v>
      </c>
      <c r="AB348" s="22" t="e">
        <f>IF(LEN(VLOOKUP(AA348,A2:D500,4,FALSE))=0,,VLOOKUP(AA348,A2:D500,4,FALSE))</f>
        <v>#N/A</v>
      </c>
      <c r="AC348" s="56">
        <f>'Consumption Model'!P465</f>
        <v>0</v>
      </c>
      <c r="AD348" s="22" t="e">
        <f>IF(LEN(VLOOKUP(AC348,A2:D500,4,FALSE))=0,,VLOOKUP(AC348,A2:D500,4,FALSE))</f>
        <v>#N/A</v>
      </c>
      <c r="AE348" s="22">
        <f>'(Data)'!Q461</f>
        <v>0</v>
      </c>
      <c r="AF348" s="22" t="e">
        <f>IF(LEN(VLOOKUP(AE347:AE348,A2:D500,4,FALSE))=0,,VLOOKUP(AE347:AE348,A2:D500,4,FALSE))</f>
        <v>#N/A</v>
      </c>
      <c r="AH348" s="45">
        <f>'Risk Charact Model'!P479</f>
        <v>0</v>
      </c>
      <c r="AI348" s="58" t="e">
        <f>IF(LEN(VLOOKUP(AH348,A2:D500,4,FALSE))=0,,VLOOKUP(AH348,A2:D500,4,FALSE))</f>
        <v>#N/A</v>
      </c>
    </row>
    <row r="349" spans="9:35" ht="14" x14ac:dyDescent="0.3">
      <c r="I349" s="60">
        <f>'Generic Metadata Schema'!P479</f>
        <v>0</v>
      </c>
      <c r="J349" s="22" t="e">
        <f>IF(LEN(VLOOKUP(I349,A2:D500,4,FALSE))=0,"",VLOOKUP(I349,A2:D500,4,FALSE))</f>
        <v>#N/A</v>
      </c>
      <c r="L349" s="56">
        <f>'Dose-response Model'!O463</f>
        <v>0</v>
      </c>
      <c r="M349" s="22" t="e">
        <f>IF(LEN(VLOOKUP(L349,A2:D500,4,FALSE))=0,,VLOOKUP(L349,A2:D500,4,FALSE))</f>
        <v>#N/A</v>
      </c>
      <c r="N349" s="22">
        <f>'Exposure Model'!O480</f>
        <v>0</v>
      </c>
      <c r="O349" s="22" t="e">
        <f>IF(LEN(VLOOKUP(N349,A2:D500,4,FALSE))=0,,VLOOKUP(N349,A2:D500,4,FALSE))</f>
        <v>#N/A</v>
      </c>
      <c r="P349" s="56">
        <f>'QRA Models'!Q480</f>
        <v>0</v>
      </c>
      <c r="Q349" s="22" t="e">
        <f>IF(LEN(VLOOKUP(P349,A2:D500,4,FALSE))=0,,VLOOKUP(P349,A2:D500,4,FALSE))</f>
        <v>#N/A</v>
      </c>
      <c r="R349" s="56">
        <f>'Health metrics Models'!Q463</f>
        <v>0</v>
      </c>
      <c r="S349" s="22" t="e">
        <f>IF(LEN(VLOOKUP(R349,A2:D500,4,FALSE))=0,,VLOOKUP(R349,A2:D500,4,FALSE))</f>
        <v>#N/A</v>
      </c>
      <c r="T349" s="56">
        <f>'Process Model'!P461</f>
        <v>0</v>
      </c>
      <c r="U349" s="22" t="e">
        <f>IF(LEN(VLOOKUP(T349,A2:D500,4,FALSE))=0,,VLOOKUP(T349,A2:D500,4,FALSE))</f>
        <v>#N/A</v>
      </c>
      <c r="V349" s="56">
        <f>'Toxicological reference value M'!P463</f>
        <v>0</v>
      </c>
      <c r="W349" s="22" t="e">
        <f>IF(LEN(VLOOKUP(V349,A2:D500,4,FALSE))=0,,VLOOKUP(V349,A2:D500,4,FALSE))</f>
        <v>#N/A</v>
      </c>
      <c r="Y349" s="56">
        <f>'Other Empirical Model'!P474</f>
        <v>0</v>
      </c>
      <c r="Z349" s="22" t="e">
        <f>IF(LEN(VLOOKUP(Y349,A2:D500,4,FALSE))=0,,VLOOKUP(Y349,A2:D500,4,FALSE))</f>
        <v>#N/A</v>
      </c>
      <c r="AA349" s="56">
        <f>'Predictive Model'!P461</f>
        <v>0</v>
      </c>
      <c r="AB349" s="22" t="e">
        <f>IF(LEN(VLOOKUP(AA349,A2:D500,4,FALSE))=0,,VLOOKUP(AA349,A2:D500,4,FALSE))</f>
        <v>#N/A</v>
      </c>
      <c r="AC349" s="56">
        <f>'Consumption Model'!P466</f>
        <v>0</v>
      </c>
      <c r="AD349" s="22" t="e">
        <f>IF(LEN(VLOOKUP(AC349,A2:D500,4,FALSE))=0,,VLOOKUP(AC349,A2:D500,4,FALSE))</f>
        <v>#N/A</v>
      </c>
      <c r="AE349" s="22">
        <f>'(Data)'!Q462</f>
        <v>0</v>
      </c>
      <c r="AF349" s="22" t="e">
        <f>IF(LEN(VLOOKUP(AE348:AE349,A2:D500,4,FALSE))=0,,VLOOKUP(AE348:AE349,A2:D500,4,FALSE))</f>
        <v>#N/A</v>
      </c>
      <c r="AH349" s="45">
        <f>'Risk Charact Model'!P480</f>
        <v>0</v>
      </c>
      <c r="AI349" s="58" t="e">
        <f>IF(LEN(VLOOKUP(AH349,A2:D500,4,FALSE))=0,,VLOOKUP(AH349,A2:D500,4,FALSE))</f>
        <v>#N/A</v>
      </c>
    </row>
    <row r="350" spans="9:35" ht="14" x14ac:dyDescent="0.3">
      <c r="I350" s="60">
        <f>'Generic Metadata Schema'!P480</f>
        <v>0</v>
      </c>
      <c r="J350" s="22" t="e">
        <f>IF(LEN(VLOOKUP(I350,A2:D500,4,FALSE))=0,"",VLOOKUP(I350,A2:D500,4,FALSE))</f>
        <v>#N/A</v>
      </c>
      <c r="L350" s="56">
        <f>'Dose-response Model'!O464</f>
        <v>0</v>
      </c>
      <c r="M350" s="22" t="e">
        <f>IF(LEN(VLOOKUP(L350,A2:D500,4,FALSE))=0,,VLOOKUP(L350,A2:D500,4,FALSE))</f>
        <v>#N/A</v>
      </c>
      <c r="N350" s="22">
        <f>'Exposure Model'!O481</f>
        <v>0</v>
      </c>
      <c r="O350" s="22" t="e">
        <f>IF(LEN(VLOOKUP(N350,A2:D500,4,FALSE))=0,,VLOOKUP(N350,A2:D500,4,FALSE))</f>
        <v>#N/A</v>
      </c>
      <c r="P350" s="56">
        <f>'QRA Models'!Q481</f>
        <v>0</v>
      </c>
      <c r="Q350" s="22" t="e">
        <f>IF(LEN(VLOOKUP(P350,A2:D500,4,FALSE))=0,,VLOOKUP(P350,A2:D500,4,FALSE))</f>
        <v>#N/A</v>
      </c>
      <c r="R350" s="56">
        <f>'Health metrics Models'!Q464</f>
        <v>0</v>
      </c>
      <c r="S350" s="22" t="e">
        <f>IF(LEN(VLOOKUP(R350,A2:D500,4,FALSE))=0,,VLOOKUP(R350,A2:D500,4,FALSE))</f>
        <v>#N/A</v>
      </c>
      <c r="T350" s="56">
        <f>'Process Model'!P462</f>
        <v>0</v>
      </c>
      <c r="U350" s="22" t="e">
        <f>IF(LEN(VLOOKUP(T350,A2:D500,4,FALSE))=0,,VLOOKUP(T350,A2:D500,4,FALSE))</f>
        <v>#N/A</v>
      </c>
      <c r="V350" s="56">
        <f>'Toxicological reference value M'!P464</f>
        <v>0</v>
      </c>
      <c r="W350" s="22" t="e">
        <f>IF(LEN(VLOOKUP(V350,A2:D500,4,FALSE))=0,,VLOOKUP(V350,A2:D500,4,FALSE))</f>
        <v>#N/A</v>
      </c>
      <c r="Y350" s="56">
        <f>'Other Empirical Model'!P475</f>
        <v>0</v>
      </c>
      <c r="Z350" s="22" t="e">
        <f>IF(LEN(VLOOKUP(Y350,A2:D500,4,FALSE))=0,,VLOOKUP(Y350,A2:D500,4,FALSE))</f>
        <v>#N/A</v>
      </c>
      <c r="AA350" s="56">
        <f>'Predictive Model'!P462</f>
        <v>0</v>
      </c>
      <c r="AB350" s="22" t="e">
        <f>IF(LEN(VLOOKUP(AA350,A2:D500,4,FALSE))=0,,VLOOKUP(AA350,A2:D500,4,FALSE))</f>
        <v>#N/A</v>
      </c>
      <c r="AC350" s="56">
        <f>'Consumption Model'!P467</f>
        <v>0</v>
      </c>
      <c r="AD350" s="22" t="e">
        <f>IF(LEN(VLOOKUP(AC350,A2:D500,4,FALSE))=0,,VLOOKUP(AC350,A2:D500,4,FALSE))</f>
        <v>#N/A</v>
      </c>
      <c r="AE350" s="22">
        <f>'(Data)'!Q463</f>
        <v>0</v>
      </c>
      <c r="AF350" s="22" t="e">
        <f>IF(LEN(VLOOKUP(AE349:AE350,A2:D500,4,FALSE))=0,,VLOOKUP(AE349:AE350,A2:D500,4,FALSE))</f>
        <v>#N/A</v>
      </c>
      <c r="AH350" s="45">
        <f>'Risk Charact Model'!P481</f>
        <v>0</v>
      </c>
      <c r="AI350" s="58" t="e">
        <f>IF(LEN(VLOOKUP(AH350,A2:D500,4,FALSE))=0,,VLOOKUP(AH350,A2:D500,4,FALSE))</f>
        <v>#N/A</v>
      </c>
    </row>
    <row r="351" spans="9:35" ht="14" x14ac:dyDescent="0.3">
      <c r="I351" s="60">
        <f>'Generic Metadata Schema'!P481</f>
        <v>0</v>
      </c>
      <c r="J351" s="22" t="e">
        <f>IF(LEN(VLOOKUP(I351,A2:D500,4,FALSE))=0,"",VLOOKUP(I351,A2:D500,4,FALSE))</f>
        <v>#N/A</v>
      </c>
      <c r="L351" s="56">
        <f>'Dose-response Model'!O465</f>
        <v>0</v>
      </c>
      <c r="M351" s="22" t="e">
        <f>IF(LEN(VLOOKUP(L351,A2:D500,4,FALSE))=0,,VLOOKUP(L351,A2:D500,4,FALSE))</f>
        <v>#N/A</v>
      </c>
      <c r="N351" s="22">
        <f>'Exposure Model'!O482</f>
        <v>0</v>
      </c>
      <c r="O351" s="22" t="e">
        <f>IF(LEN(VLOOKUP(N351,A2:D500,4,FALSE))=0,,VLOOKUP(N351,A2:D500,4,FALSE))</f>
        <v>#N/A</v>
      </c>
      <c r="P351" s="56">
        <f>'QRA Models'!Q482</f>
        <v>0</v>
      </c>
      <c r="Q351" s="22" t="e">
        <f>IF(LEN(VLOOKUP(P351,A2:D500,4,FALSE))=0,,VLOOKUP(P351,A2:D500,4,FALSE))</f>
        <v>#N/A</v>
      </c>
      <c r="R351" s="56">
        <f>'Health metrics Models'!Q465</f>
        <v>0</v>
      </c>
      <c r="S351" s="22" t="e">
        <f>IF(LEN(VLOOKUP(R351,A2:D500,4,FALSE))=0,,VLOOKUP(R351,A2:D500,4,FALSE))</f>
        <v>#N/A</v>
      </c>
      <c r="T351" s="56">
        <f>'Process Model'!P463</f>
        <v>0</v>
      </c>
      <c r="U351" s="22" t="e">
        <f>IF(LEN(VLOOKUP(T351,A2:D500,4,FALSE))=0,,VLOOKUP(T351,A2:D500,4,FALSE))</f>
        <v>#N/A</v>
      </c>
      <c r="V351" s="56">
        <f>'Toxicological reference value M'!P465</f>
        <v>0</v>
      </c>
      <c r="W351" s="22" t="e">
        <f>IF(LEN(VLOOKUP(V351,A2:D500,4,FALSE))=0,,VLOOKUP(V351,A2:D500,4,FALSE))</f>
        <v>#N/A</v>
      </c>
      <c r="Y351" s="56">
        <f>'Other Empirical Model'!P476</f>
        <v>0</v>
      </c>
      <c r="Z351" s="22" t="e">
        <f>IF(LEN(VLOOKUP(Y351,A2:D500,4,FALSE))=0,,VLOOKUP(Y351,A2:D500,4,FALSE))</f>
        <v>#N/A</v>
      </c>
      <c r="AA351" s="56">
        <f>'Predictive Model'!P463</f>
        <v>0</v>
      </c>
      <c r="AB351" s="22" t="e">
        <f>IF(LEN(VLOOKUP(AA351,A2:D500,4,FALSE))=0,,VLOOKUP(AA351,A2:D500,4,FALSE))</f>
        <v>#N/A</v>
      </c>
      <c r="AC351" s="56">
        <f>'Consumption Model'!P468</f>
        <v>0</v>
      </c>
      <c r="AD351" s="22" t="e">
        <f>IF(LEN(VLOOKUP(AC351,A2:D500,4,FALSE))=0,,VLOOKUP(AC351,A2:D500,4,FALSE))</f>
        <v>#N/A</v>
      </c>
      <c r="AE351" s="22">
        <f>'(Data)'!Q464</f>
        <v>0</v>
      </c>
      <c r="AF351" s="22" t="e">
        <f>IF(LEN(VLOOKUP(AE350:AE351,A2:D500,4,FALSE))=0,,VLOOKUP(AE350:AE351,A2:D500,4,FALSE))</f>
        <v>#N/A</v>
      </c>
      <c r="AH351" s="45">
        <f>'Risk Charact Model'!P482</f>
        <v>0</v>
      </c>
      <c r="AI351" s="58" t="e">
        <f>IF(LEN(VLOOKUP(AH351,A2:D500,4,FALSE))=0,,VLOOKUP(AH351,A2:D500,4,FALSE))</f>
        <v>#N/A</v>
      </c>
    </row>
    <row r="352" spans="9:35" ht="14" x14ac:dyDescent="0.3">
      <c r="I352" s="60">
        <f>'Generic Metadata Schema'!P482</f>
        <v>0</v>
      </c>
      <c r="J352" s="22" t="e">
        <f>IF(LEN(VLOOKUP(I352,A2:D500,4,FALSE))=0,"",VLOOKUP(I352,A2:D500,4,FALSE))</f>
        <v>#N/A</v>
      </c>
      <c r="L352" s="56">
        <f>'Dose-response Model'!O466</f>
        <v>0</v>
      </c>
      <c r="M352" s="22" t="e">
        <f>IF(LEN(VLOOKUP(L352,A2:D500,4,FALSE))=0,,VLOOKUP(L352,A2:D500,4,FALSE))</f>
        <v>#N/A</v>
      </c>
      <c r="N352" s="22">
        <f>'Exposure Model'!O483</f>
        <v>0</v>
      </c>
      <c r="O352" s="22" t="e">
        <f>IF(LEN(VLOOKUP(N352,A2:D500,4,FALSE))=0,,VLOOKUP(N352,A2:D500,4,FALSE))</f>
        <v>#N/A</v>
      </c>
      <c r="P352" s="56">
        <f>'QRA Models'!Q483</f>
        <v>0</v>
      </c>
      <c r="Q352" s="22" t="e">
        <f>IF(LEN(VLOOKUP(P352,A2:D500,4,FALSE))=0,,VLOOKUP(P352,A2:D500,4,FALSE))</f>
        <v>#N/A</v>
      </c>
      <c r="R352" s="56">
        <f>'Health metrics Models'!Q466</f>
        <v>0</v>
      </c>
      <c r="S352" s="22" t="e">
        <f>IF(LEN(VLOOKUP(R352,A2:D500,4,FALSE))=0,,VLOOKUP(R352,A2:D500,4,FALSE))</f>
        <v>#N/A</v>
      </c>
      <c r="T352" s="56">
        <f>'Process Model'!P464</f>
        <v>0</v>
      </c>
      <c r="U352" s="22" t="e">
        <f>IF(LEN(VLOOKUP(T352,A2:D500,4,FALSE))=0,,VLOOKUP(T352,A2:D500,4,FALSE))</f>
        <v>#N/A</v>
      </c>
      <c r="V352" s="56">
        <f>'Toxicological reference value M'!P466</f>
        <v>0</v>
      </c>
      <c r="W352" s="22" t="e">
        <f>IF(LEN(VLOOKUP(V352,A2:D500,4,FALSE))=0,,VLOOKUP(V352,A2:D500,4,FALSE))</f>
        <v>#N/A</v>
      </c>
      <c r="Y352" s="56">
        <f>'Other Empirical Model'!P477</f>
        <v>0</v>
      </c>
      <c r="Z352" s="22" t="e">
        <f>IF(LEN(VLOOKUP(Y352,A2:D500,4,FALSE))=0,,VLOOKUP(Y352,A2:D500,4,FALSE))</f>
        <v>#N/A</v>
      </c>
      <c r="AA352" s="56">
        <f>'Predictive Model'!P464</f>
        <v>0</v>
      </c>
      <c r="AB352" s="22" t="e">
        <f>IF(LEN(VLOOKUP(AA352,A2:D500,4,FALSE))=0,,VLOOKUP(AA352,A2:D500,4,FALSE))</f>
        <v>#N/A</v>
      </c>
      <c r="AC352" s="56">
        <f>'Consumption Model'!P469</f>
        <v>0</v>
      </c>
      <c r="AD352" s="22" t="e">
        <f>IF(LEN(VLOOKUP(AC352,A2:D500,4,FALSE))=0,,VLOOKUP(AC352,A2:D500,4,FALSE))</f>
        <v>#N/A</v>
      </c>
      <c r="AE352" s="22">
        <f>'(Data)'!Q465</f>
        <v>0</v>
      </c>
      <c r="AF352" s="22" t="e">
        <f>IF(LEN(VLOOKUP(AE351:AE352,A2:D500,4,FALSE))=0,,VLOOKUP(AE351:AE352,A2:D500,4,FALSE))</f>
        <v>#N/A</v>
      </c>
      <c r="AH352" s="45">
        <f>'Risk Charact Model'!P483</f>
        <v>0</v>
      </c>
      <c r="AI352" s="58" t="e">
        <f>IF(LEN(VLOOKUP(AH352,A2:D500,4,FALSE))=0,,VLOOKUP(AH352,A2:D500,4,FALSE))</f>
        <v>#N/A</v>
      </c>
    </row>
    <row r="353" spans="9:35" ht="14" x14ac:dyDescent="0.3">
      <c r="I353" s="60">
        <f>'Generic Metadata Schema'!P483</f>
        <v>0</v>
      </c>
      <c r="J353" s="22" t="e">
        <f>IF(LEN(VLOOKUP(I353,A2:D500,4,FALSE))=0,"",VLOOKUP(I353,A2:D500,4,FALSE))</f>
        <v>#N/A</v>
      </c>
      <c r="L353" s="56">
        <f>'Dose-response Model'!O467</f>
        <v>0</v>
      </c>
      <c r="M353" s="22" t="e">
        <f>IF(LEN(VLOOKUP(L353,A2:D500,4,FALSE))=0,,VLOOKUP(L353,A2:D500,4,FALSE))</f>
        <v>#N/A</v>
      </c>
      <c r="N353" s="22">
        <f>'Exposure Model'!O484</f>
        <v>0</v>
      </c>
      <c r="O353" s="22" t="e">
        <f>IF(LEN(VLOOKUP(N353,A2:D500,4,FALSE))=0,,VLOOKUP(N353,A2:D500,4,FALSE))</f>
        <v>#N/A</v>
      </c>
      <c r="P353" s="56">
        <f>'QRA Models'!Q484</f>
        <v>0</v>
      </c>
      <c r="Q353" s="22" t="e">
        <f>IF(LEN(VLOOKUP(P353,A2:D500,4,FALSE))=0,,VLOOKUP(P353,A2:D500,4,FALSE))</f>
        <v>#N/A</v>
      </c>
      <c r="R353" s="56">
        <f>'Health metrics Models'!Q467</f>
        <v>0</v>
      </c>
      <c r="S353" s="22" t="e">
        <f>IF(LEN(VLOOKUP(R353,A2:D500,4,FALSE))=0,,VLOOKUP(R353,A2:D500,4,FALSE))</f>
        <v>#N/A</v>
      </c>
      <c r="T353" s="56">
        <f>'Process Model'!P465</f>
        <v>0</v>
      </c>
      <c r="U353" s="22" t="e">
        <f>IF(LEN(VLOOKUP(T353,A2:D500,4,FALSE))=0,,VLOOKUP(T353,A2:D500,4,FALSE))</f>
        <v>#N/A</v>
      </c>
      <c r="V353" s="56">
        <f>'Toxicological reference value M'!P467</f>
        <v>0</v>
      </c>
      <c r="W353" s="22" t="e">
        <f>IF(LEN(VLOOKUP(V353,A2:D500,4,FALSE))=0,,VLOOKUP(V353,A2:D500,4,FALSE))</f>
        <v>#N/A</v>
      </c>
      <c r="Y353" s="56">
        <f>'Other Empirical Model'!P478</f>
        <v>0</v>
      </c>
      <c r="Z353" s="22" t="e">
        <f>IF(LEN(VLOOKUP(Y353,A2:D500,4,FALSE))=0,,VLOOKUP(Y353,A2:D500,4,FALSE))</f>
        <v>#N/A</v>
      </c>
      <c r="AA353" s="56">
        <f>'Predictive Model'!P465</f>
        <v>0</v>
      </c>
      <c r="AB353" s="22" t="e">
        <f>IF(LEN(VLOOKUP(AA353,A2:D500,4,FALSE))=0,,VLOOKUP(AA353,A2:D500,4,FALSE))</f>
        <v>#N/A</v>
      </c>
      <c r="AC353" s="56">
        <f>'Consumption Model'!P470</f>
        <v>0</v>
      </c>
      <c r="AD353" s="22" t="e">
        <f>IF(LEN(VLOOKUP(AC353,A2:D500,4,FALSE))=0,,VLOOKUP(AC353,A2:D500,4,FALSE))</f>
        <v>#N/A</v>
      </c>
      <c r="AE353" s="22">
        <f>'(Data)'!Q466</f>
        <v>0</v>
      </c>
      <c r="AF353" s="22" t="e">
        <f>IF(LEN(VLOOKUP(AE352:AE353,A2:D500,4,FALSE))=0,,VLOOKUP(AE352:AE353,A2:D500,4,FALSE))</f>
        <v>#N/A</v>
      </c>
      <c r="AH353" s="45">
        <f>'Risk Charact Model'!P484</f>
        <v>0</v>
      </c>
      <c r="AI353" s="58" t="e">
        <f>IF(LEN(VLOOKUP(AH353,A2:D500,4,FALSE))=0,,VLOOKUP(AH353,A2:D500,4,FALSE))</f>
        <v>#N/A</v>
      </c>
    </row>
    <row r="354" spans="9:35" ht="14" x14ac:dyDescent="0.3">
      <c r="I354" s="60">
        <f>'Generic Metadata Schema'!P484</f>
        <v>0</v>
      </c>
      <c r="J354" s="22" t="e">
        <f>IF(LEN(VLOOKUP(I354,A2:D500,4,FALSE))=0,"",VLOOKUP(I354,A2:D500,4,FALSE))</f>
        <v>#N/A</v>
      </c>
      <c r="L354" s="56">
        <f>'Dose-response Model'!O468</f>
        <v>0</v>
      </c>
      <c r="M354" s="22" t="e">
        <f>IF(LEN(VLOOKUP(L354,A2:D500,4,FALSE))=0,,VLOOKUP(L354,A2:D500,4,FALSE))</f>
        <v>#N/A</v>
      </c>
      <c r="N354" s="22">
        <f>'Exposure Model'!O485</f>
        <v>0</v>
      </c>
      <c r="O354" s="22" t="e">
        <f>IF(LEN(VLOOKUP(N354,A2:D500,4,FALSE))=0,,VLOOKUP(N354,A2:D500,4,FALSE))</f>
        <v>#N/A</v>
      </c>
      <c r="P354" s="56">
        <f>'QRA Models'!Q485</f>
        <v>0</v>
      </c>
      <c r="Q354" s="22" t="e">
        <f>IF(LEN(VLOOKUP(P354,A2:D500,4,FALSE))=0,,VLOOKUP(P354,A2:D500,4,FALSE))</f>
        <v>#N/A</v>
      </c>
      <c r="R354" s="56">
        <f>'Health metrics Models'!Q468</f>
        <v>0</v>
      </c>
      <c r="S354" s="22" t="e">
        <f>IF(LEN(VLOOKUP(R354,A2:D500,4,FALSE))=0,,VLOOKUP(R354,A2:D500,4,FALSE))</f>
        <v>#N/A</v>
      </c>
      <c r="T354" s="56">
        <f>'Process Model'!P466</f>
        <v>0</v>
      </c>
      <c r="U354" s="22" t="e">
        <f>IF(LEN(VLOOKUP(T354,A2:D500,4,FALSE))=0,,VLOOKUP(T354,A2:D500,4,FALSE))</f>
        <v>#N/A</v>
      </c>
      <c r="V354" s="56">
        <f>'Toxicological reference value M'!P468</f>
        <v>0</v>
      </c>
      <c r="W354" s="22" t="e">
        <f>IF(LEN(VLOOKUP(V354,A2:D500,4,FALSE))=0,,VLOOKUP(V354,A2:D500,4,FALSE))</f>
        <v>#N/A</v>
      </c>
      <c r="Y354" s="56">
        <f>'Other Empirical Model'!P479</f>
        <v>0</v>
      </c>
      <c r="Z354" s="22" t="e">
        <f>IF(LEN(VLOOKUP(Y354,A2:D500,4,FALSE))=0,,VLOOKUP(Y354,A2:D500,4,FALSE))</f>
        <v>#N/A</v>
      </c>
      <c r="AA354" s="56">
        <f>'Predictive Model'!P466</f>
        <v>0</v>
      </c>
      <c r="AB354" s="22" t="e">
        <f>IF(LEN(VLOOKUP(AA354,A2:D500,4,FALSE))=0,,VLOOKUP(AA354,A2:D500,4,FALSE))</f>
        <v>#N/A</v>
      </c>
      <c r="AC354" s="56">
        <f>'Consumption Model'!P471</f>
        <v>0</v>
      </c>
      <c r="AD354" s="22" t="e">
        <f>IF(LEN(VLOOKUP(AC354,A2:D500,4,FALSE))=0,,VLOOKUP(AC354,A2:D500,4,FALSE))</f>
        <v>#N/A</v>
      </c>
      <c r="AE354" s="22">
        <f>'(Data)'!Q467</f>
        <v>0</v>
      </c>
      <c r="AF354" s="22" t="e">
        <f>IF(LEN(VLOOKUP(AE353:AE354,A2:D500,4,FALSE))=0,,VLOOKUP(AE353:AE354,A2:D500,4,FALSE))</f>
        <v>#N/A</v>
      </c>
      <c r="AH354" s="45">
        <f>'Risk Charact Model'!P485</f>
        <v>0</v>
      </c>
      <c r="AI354" s="58" t="e">
        <f>IF(LEN(VLOOKUP(AH354,A2:D500,4,FALSE))=0,,VLOOKUP(AH354,A2:D500,4,FALSE))</f>
        <v>#N/A</v>
      </c>
    </row>
    <row r="355" spans="9:35" ht="14" x14ac:dyDescent="0.3">
      <c r="I355" s="60">
        <f>'Generic Metadata Schema'!P485</f>
        <v>0</v>
      </c>
      <c r="J355" s="22" t="e">
        <f>IF(LEN(VLOOKUP(I355,A2:D500,4,FALSE))=0,"",VLOOKUP(I355,A2:D500,4,FALSE))</f>
        <v>#N/A</v>
      </c>
      <c r="L355" s="56">
        <f>'Dose-response Model'!O469</f>
        <v>0</v>
      </c>
      <c r="M355" s="22" t="e">
        <f>IF(LEN(VLOOKUP(L355,A2:D500,4,FALSE))=0,,VLOOKUP(L355,A2:D500,4,FALSE))</f>
        <v>#N/A</v>
      </c>
      <c r="N355" s="22">
        <f>'Exposure Model'!O486</f>
        <v>0</v>
      </c>
      <c r="O355" s="22" t="e">
        <f>IF(LEN(VLOOKUP(N355,A2:D500,4,FALSE))=0,,VLOOKUP(N355,A2:D500,4,FALSE))</f>
        <v>#N/A</v>
      </c>
      <c r="P355" s="56">
        <f>'QRA Models'!Q486</f>
        <v>0</v>
      </c>
      <c r="Q355" s="22" t="e">
        <f>IF(LEN(VLOOKUP(P355,A2:D500,4,FALSE))=0,,VLOOKUP(P355,A2:D500,4,FALSE))</f>
        <v>#N/A</v>
      </c>
      <c r="R355" s="56">
        <f>'Health metrics Models'!Q469</f>
        <v>0</v>
      </c>
      <c r="S355" s="22" t="e">
        <f>IF(LEN(VLOOKUP(R355,A2:D500,4,FALSE))=0,,VLOOKUP(R355,A2:D500,4,FALSE))</f>
        <v>#N/A</v>
      </c>
      <c r="T355" s="56">
        <f>'Process Model'!P467</f>
        <v>0</v>
      </c>
      <c r="U355" s="22" t="e">
        <f>IF(LEN(VLOOKUP(T355,A2:D500,4,FALSE))=0,,VLOOKUP(T355,A2:D500,4,FALSE))</f>
        <v>#N/A</v>
      </c>
      <c r="V355" s="56">
        <f>'Toxicological reference value M'!P469</f>
        <v>0</v>
      </c>
      <c r="W355" s="22" t="e">
        <f>IF(LEN(VLOOKUP(V355,A2:D500,4,FALSE))=0,,VLOOKUP(V355,A2:D500,4,FALSE))</f>
        <v>#N/A</v>
      </c>
      <c r="Y355" s="56">
        <f>'Other Empirical Model'!P480</f>
        <v>0</v>
      </c>
      <c r="Z355" s="22" t="e">
        <f>IF(LEN(VLOOKUP(Y355,A2:D500,4,FALSE))=0,,VLOOKUP(Y355,A2:D500,4,FALSE))</f>
        <v>#N/A</v>
      </c>
      <c r="AA355" s="56">
        <f>'Predictive Model'!P467</f>
        <v>0</v>
      </c>
      <c r="AB355" s="22" t="e">
        <f>IF(LEN(VLOOKUP(AA355,A2:D500,4,FALSE))=0,,VLOOKUP(AA355,A2:D500,4,FALSE))</f>
        <v>#N/A</v>
      </c>
      <c r="AC355" s="56">
        <f>'Consumption Model'!P472</f>
        <v>0</v>
      </c>
      <c r="AD355" s="22" t="e">
        <f>IF(LEN(VLOOKUP(AC355,A2:D500,4,FALSE))=0,,VLOOKUP(AC355,A2:D500,4,FALSE))</f>
        <v>#N/A</v>
      </c>
      <c r="AE355" s="22">
        <f>'(Data)'!Q468</f>
        <v>0</v>
      </c>
      <c r="AF355" s="22" t="e">
        <f>IF(LEN(VLOOKUP(AE354:AE355,A2:D500,4,FALSE))=0,,VLOOKUP(AE354:AE355,A2:D500,4,FALSE))</f>
        <v>#N/A</v>
      </c>
      <c r="AH355" s="45">
        <f>'Risk Charact Model'!P486</f>
        <v>0</v>
      </c>
      <c r="AI355" s="58" t="e">
        <f>IF(LEN(VLOOKUP(AH355,A2:D500,4,FALSE))=0,,VLOOKUP(AH355,A2:D500,4,FALSE))</f>
        <v>#N/A</v>
      </c>
    </row>
    <row r="356" spans="9:35" ht="14" x14ac:dyDescent="0.3">
      <c r="I356" s="60">
        <f>'Generic Metadata Schema'!P486</f>
        <v>0</v>
      </c>
      <c r="J356" s="22" t="e">
        <f>IF(LEN(VLOOKUP(I356,A2:D500,4,FALSE))=0,"",VLOOKUP(I356,A2:D500,4,FALSE))</f>
        <v>#N/A</v>
      </c>
      <c r="L356" s="56">
        <f>'Dose-response Model'!O470</f>
        <v>0</v>
      </c>
      <c r="M356" s="22" t="e">
        <f>IF(LEN(VLOOKUP(L356,A2:D500,4,FALSE))=0,,VLOOKUP(L356,A2:D500,4,FALSE))</f>
        <v>#N/A</v>
      </c>
      <c r="N356" s="22">
        <f>'Exposure Model'!O487</f>
        <v>0</v>
      </c>
      <c r="O356" s="22" t="e">
        <f>IF(LEN(VLOOKUP(N356,A2:D500,4,FALSE))=0,,VLOOKUP(N356,A2:D500,4,FALSE))</f>
        <v>#N/A</v>
      </c>
      <c r="P356" s="56">
        <f>'QRA Models'!Q487</f>
        <v>0</v>
      </c>
      <c r="Q356" s="22" t="e">
        <f>IF(LEN(VLOOKUP(P356,A2:D500,4,FALSE))=0,,VLOOKUP(P356,A2:D500,4,FALSE))</f>
        <v>#N/A</v>
      </c>
      <c r="R356" s="56">
        <f>'Health metrics Models'!Q470</f>
        <v>0</v>
      </c>
      <c r="S356" s="22" t="e">
        <f>IF(LEN(VLOOKUP(R356,A2:D500,4,FALSE))=0,,VLOOKUP(R356,A2:D500,4,FALSE))</f>
        <v>#N/A</v>
      </c>
      <c r="T356" s="56">
        <f>'Process Model'!P468</f>
        <v>0</v>
      </c>
      <c r="U356" s="22" t="e">
        <f>IF(LEN(VLOOKUP(T356,A2:D500,4,FALSE))=0,,VLOOKUP(T356,A2:D500,4,FALSE))</f>
        <v>#N/A</v>
      </c>
      <c r="V356" s="56">
        <f>'Toxicological reference value M'!P470</f>
        <v>0</v>
      </c>
      <c r="W356" s="22" t="e">
        <f>IF(LEN(VLOOKUP(V356,A2:D500,4,FALSE))=0,,VLOOKUP(V356,A2:D500,4,FALSE))</f>
        <v>#N/A</v>
      </c>
      <c r="Y356" s="56">
        <f>'Other Empirical Model'!P481</f>
        <v>0</v>
      </c>
      <c r="Z356" s="22" t="e">
        <f>IF(LEN(VLOOKUP(Y356,A2:D500,4,FALSE))=0,,VLOOKUP(Y356,A2:D500,4,FALSE))</f>
        <v>#N/A</v>
      </c>
      <c r="AA356" s="56">
        <f>'Predictive Model'!P468</f>
        <v>0</v>
      </c>
      <c r="AB356" s="22" t="e">
        <f>IF(LEN(VLOOKUP(AA356,A2:D500,4,FALSE))=0,,VLOOKUP(AA356,A2:D500,4,FALSE))</f>
        <v>#N/A</v>
      </c>
      <c r="AC356" s="56">
        <f>'Consumption Model'!P473</f>
        <v>0</v>
      </c>
      <c r="AD356" s="22" t="e">
        <f>IF(LEN(VLOOKUP(AC356,A2:D500,4,FALSE))=0,,VLOOKUP(AC356,A2:D500,4,FALSE))</f>
        <v>#N/A</v>
      </c>
      <c r="AE356" s="22">
        <f>'(Data)'!Q469</f>
        <v>0</v>
      </c>
      <c r="AF356" s="22" t="e">
        <f>IF(LEN(VLOOKUP(AE355:AE356,A2:D500,4,FALSE))=0,,VLOOKUP(AE355:AE356,A2:D500,4,FALSE))</f>
        <v>#N/A</v>
      </c>
      <c r="AH356" s="45">
        <f>'Risk Charact Model'!P487</f>
        <v>0</v>
      </c>
      <c r="AI356" s="58" t="e">
        <f>IF(LEN(VLOOKUP(AH356,A2:D500,4,FALSE))=0,,VLOOKUP(AH356,A2:D500,4,FALSE))</f>
        <v>#N/A</v>
      </c>
    </row>
    <row r="357" spans="9:35" ht="14" x14ac:dyDescent="0.3">
      <c r="I357" s="60">
        <f>'Generic Metadata Schema'!P487</f>
        <v>0</v>
      </c>
      <c r="J357" s="22" t="e">
        <f>IF(LEN(VLOOKUP(I357,A2:D500,4,FALSE))=0,"",VLOOKUP(I357,A2:D500,4,FALSE))</f>
        <v>#N/A</v>
      </c>
      <c r="L357" s="56">
        <f>'Dose-response Model'!O471</f>
        <v>0</v>
      </c>
      <c r="M357" s="22" t="e">
        <f>IF(LEN(VLOOKUP(L357,A2:D500,4,FALSE))=0,,VLOOKUP(L357,A2:D500,4,FALSE))</f>
        <v>#N/A</v>
      </c>
      <c r="N357" s="22">
        <f>'Exposure Model'!O488</f>
        <v>0</v>
      </c>
      <c r="O357" s="22" t="e">
        <f>IF(LEN(VLOOKUP(N357,A2:D500,4,FALSE))=0,,VLOOKUP(N357,A2:D500,4,FALSE))</f>
        <v>#N/A</v>
      </c>
      <c r="P357" s="56">
        <f>'QRA Models'!Q488</f>
        <v>0</v>
      </c>
      <c r="Q357" s="22" t="e">
        <f>IF(LEN(VLOOKUP(P357,A2:D500,4,FALSE))=0,,VLOOKUP(P357,A2:D500,4,FALSE))</f>
        <v>#N/A</v>
      </c>
      <c r="R357" s="56">
        <f>'Health metrics Models'!Q471</f>
        <v>0</v>
      </c>
      <c r="S357" s="22" t="e">
        <f>IF(LEN(VLOOKUP(R357,A2:D500,4,FALSE))=0,,VLOOKUP(R357,A2:D500,4,FALSE))</f>
        <v>#N/A</v>
      </c>
      <c r="T357" s="56">
        <f>'Process Model'!P469</f>
        <v>0</v>
      </c>
      <c r="U357" s="22" t="e">
        <f>IF(LEN(VLOOKUP(T357,A2:D500,4,FALSE))=0,,VLOOKUP(T357,A2:D500,4,FALSE))</f>
        <v>#N/A</v>
      </c>
      <c r="V357" s="56">
        <f>'Toxicological reference value M'!P471</f>
        <v>0</v>
      </c>
      <c r="W357" s="22" t="e">
        <f>IF(LEN(VLOOKUP(V357,A2:D500,4,FALSE))=0,,VLOOKUP(V357,A2:D500,4,FALSE))</f>
        <v>#N/A</v>
      </c>
      <c r="Y357" s="56">
        <f>'Other Empirical Model'!P482</f>
        <v>0</v>
      </c>
      <c r="Z357" s="22" t="e">
        <f>IF(LEN(VLOOKUP(Y357,A2:D500,4,FALSE))=0,,VLOOKUP(Y357,A2:D500,4,FALSE))</f>
        <v>#N/A</v>
      </c>
      <c r="AA357" s="56">
        <f>'Predictive Model'!P469</f>
        <v>0</v>
      </c>
      <c r="AB357" s="22" t="e">
        <f>IF(LEN(VLOOKUP(AA357,A2:D500,4,FALSE))=0,,VLOOKUP(AA357,A2:D500,4,FALSE))</f>
        <v>#N/A</v>
      </c>
      <c r="AC357" s="56">
        <f>'Consumption Model'!P474</f>
        <v>0</v>
      </c>
      <c r="AD357" s="22" t="e">
        <f>IF(LEN(VLOOKUP(AC357,A2:D500,4,FALSE))=0,,VLOOKUP(AC357,A2:D500,4,FALSE))</f>
        <v>#N/A</v>
      </c>
      <c r="AE357" s="22">
        <f>'(Data)'!Q470</f>
        <v>0</v>
      </c>
      <c r="AF357" s="22" t="e">
        <f>IF(LEN(VLOOKUP(AE356:AE357,A2:D500,4,FALSE))=0,,VLOOKUP(AE356:AE357,A2:D500,4,FALSE))</f>
        <v>#N/A</v>
      </c>
      <c r="AH357" s="45">
        <f>'Risk Charact Model'!P488</f>
        <v>0</v>
      </c>
      <c r="AI357" s="58" t="e">
        <f>IF(LEN(VLOOKUP(AH357,A2:D500,4,FALSE))=0,,VLOOKUP(AH357,A2:D500,4,FALSE))</f>
        <v>#N/A</v>
      </c>
    </row>
    <row r="358" spans="9:35" ht="14" x14ac:dyDescent="0.3">
      <c r="I358" s="60">
        <f>'Generic Metadata Schema'!P488</f>
        <v>0</v>
      </c>
      <c r="J358" s="22" t="e">
        <f>IF(LEN(VLOOKUP(I358,A2:D500,4,FALSE))=0,"",VLOOKUP(I358,A2:D500,4,FALSE))</f>
        <v>#N/A</v>
      </c>
      <c r="L358" s="56">
        <f>'Dose-response Model'!O472</f>
        <v>0</v>
      </c>
      <c r="M358" s="22" t="e">
        <f>IF(LEN(VLOOKUP(L358,A2:D500,4,FALSE))=0,,VLOOKUP(L358,A2:D500,4,FALSE))</f>
        <v>#N/A</v>
      </c>
      <c r="N358" s="22">
        <f>'Exposure Model'!O489</f>
        <v>0</v>
      </c>
      <c r="O358" s="22" t="e">
        <f>IF(LEN(VLOOKUP(N358,A2:D500,4,FALSE))=0,,VLOOKUP(N358,A2:D500,4,FALSE))</f>
        <v>#N/A</v>
      </c>
      <c r="P358" s="56">
        <f>'QRA Models'!Q489</f>
        <v>0</v>
      </c>
      <c r="Q358" s="22" t="e">
        <f>IF(LEN(VLOOKUP(P358,A2:D500,4,FALSE))=0,,VLOOKUP(P358,A2:D500,4,FALSE))</f>
        <v>#N/A</v>
      </c>
      <c r="R358" s="56">
        <f>'Health metrics Models'!Q472</f>
        <v>0</v>
      </c>
      <c r="S358" s="22" t="e">
        <f>IF(LEN(VLOOKUP(R358,A2:D500,4,FALSE))=0,,VLOOKUP(R358,A2:D500,4,FALSE))</f>
        <v>#N/A</v>
      </c>
      <c r="T358" s="56">
        <f>'Process Model'!P470</f>
        <v>0</v>
      </c>
      <c r="U358" s="22" t="e">
        <f>IF(LEN(VLOOKUP(T358,A2:D500,4,FALSE))=0,,VLOOKUP(T358,A2:D500,4,FALSE))</f>
        <v>#N/A</v>
      </c>
      <c r="V358" s="56">
        <f>'Toxicological reference value M'!P472</f>
        <v>0</v>
      </c>
      <c r="W358" s="22" t="e">
        <f>IF(LEN(VLOOKUP(V358,A2:D500,4,FALSE))=0,,VLOOKUP(V358,A2:D500,4,FALSE))</f>
        <v>#N/A</v>
      </c>
      <c r="Y358" s="56">
        <f>'Other Empirical Model'!P483</f>
        <v>0</v>
      </c>
      <c r="Z358" s="22" t="e">
        <f>IF(LEN(VLOOKUP(Y358,A2:D500,4,FALSE))=0,,VLOOKUP(Y358,A2:D500,4,FALSE))</f>
        <v>#N/A</v>
      </c>
      <c r="AA358" s="56">
        <f>'Predictive Model'!P470</f>
        <v>0</v>
      </c>
      <c r="AB358" s="22" t="e">
        <f>IF(LEN(VLOOKUP(AA358,A2:D500,4,FALSE))=0,,VLOOKUP(AA358,A2:D500,4,FALSE))</f>
        <v>#N/A</v>
      </c>
      <c r="AC358" s="56">
        <f>'Consumption Model'!P475</f>
        <v>0</v>
      </c>
      <c r="AD358" s="22" t="e">
        <f>IF(LEN(VLOOKUP(AC358,A2:D500,4,FALSE))=0,,VLOOKUP(AC358,A2:D500,4,FALSE))</f>
        <v>#N/A</v>
      </c>
      <c r="AE358" s="22">
        <f>'(Data)'!Q471</f>
        <v>0</v>
      </c>
      <c r="AF358" s="22" t="e">
        <f>IF(LEN(VLOOKUP(AE357:AE358,A2:D500,4,FALSE))=0,,VLOOKUP(AE357:AE358,A2:D500,4,FALSE))</f>
        <v>#N/A</v>
      </c>
      <c r="AH358" s="45">
        <f>'Risk Charact Model'!P489</f>
        <v>0</v>
      </c>
      <c r="AI358" s="58" t="e">
        <f>IF(LEN(VLOOKUP(AH358,A2:D500,4,FALSE))=0,,VLOOKUP(AH358,A2:D500,4,FALSE))</f>
        <v>#N/A</v>
      </c>
    </row>
    <row r="359" spans="9:35" ht="14" x14ac:dyDescent="0.3">
      <c r="I359" s="60">
        <f>'Generic Metadata Schema'!P489</f>
        <v>0</v>
      </c>
      <c r="J359" s="22" t="e">
        <f>IF(LEN(VLOOKUP(I359,A2:D500,4,FALSE))=0,"",VLOOKUP(I359,A2:D500,4,FALSE))</f>
        <v>#N/A</v>
      </c>
      <c r="L359" s="56">
        <f>'Dose-response Model'!O473</f>
        <v>0</v>
      </c>
      <c r="M359" s="22" t="e">
        <f>IF(LEN(VLOOKUP(L359,A2:D500,4,FALSE))=0,,VLOOKUP(L359,A2:D500,4,FALSE))</f>
        <v>#N/A</v>
      </c>
      <c r="N359" s="22">
        <f>'Exposure Model'!O490</f>
        <v>0</v>
      </c>
      <c r="O359" s="22" t="e">
        <f>IF(LEN(VLOOKUP(N359,A2:D500,4,FALSE))=0,,VLOOKUP(N359,A2:D500,4,FALSE))</f>
        <v>#N/A</v>
      </c>
      <c r="P359" s="56">
        <f>'QRA Models'!Q490</f>
        <v>0</v>
      </c>
      <c r="Q359" s="22" t="e">
        <f>IF(LEN(VLOOKUP(P359,A2:D500,4,FALSE))=0,,VLOOKUP(P359,A2:D500,4,FALSE))</f>
        <v>#N/A</v>
      </c>
      <c r="R359" s="56">
        <f>'Health metrics Models'!Q473</f>
        <v>0</v>
      </c>
      <c r="S359" s="22" t="e">
        <f>IF(LEN(VLOOKUP(R359,A2:D500,4,FALSE))=0,,VLOOKUP(R359,A2:D500,4,FALSE))</f>
        <v>#N/A</v>
      </c>
      <c r="T359" s="56">
        <f>'Process Model'!P471</f>
        <v>0</v>
      </c>
      <c r="U359" s="22" t="e">
        <f>IF(LEN(VLOOKUP(T359,A2:D500,4,FALSE))=0,,VLOOKUP(T359,A2:D500,4,FALSE))</f>
        <v>#N/A</v>
      </c>
      <c r="V359" s="56">
        <f>'Toxicological reference value M'!P473</f>
        <v>0</v>
      </c>
      <c r="W359" s="22" t="e">
        <f>IF(LEN(VLOOKUP(V359,A2:D500,4,FALSE))=0,,VLOOKUP(V359,A2:D500,4,FALSE))</f>
        <v>#N/A</v>
      </c>
      <c r="Y359" s="56">
        <f>'Other Empirical Model'!P484</f>
        <v>0</v>
      </c>
      <c r="Z359" s="22" t="e">
        <f>IF(LEN(VLOOKUP(Y359,A2:D500,4,FALSE))=0,,VLOOKUP(Y359,A2:D500,4,FALSE))</f>
        <v>#N/A</v>
      </c>
      <c r="AA359" s="56">
        <f>'Predictive Model'!P471</f>
        <v>0</v>
      </c>
      <c r="AB359" s="22" t="e">
        <f>IF(LEN(VLOOKUP(AA359,A2:D500,4,FALSE))=0,,VLOOKUP(AA359,A2:D500,4,FALSE))</f>
        <v>#N/A</v>
      </c>
      <c r="AC359" s="56">
        <f>'Consumption Model'!P476</f>
        <v>0</v>
      </c>
      <c r="AD359" s="22" t="e">
        <f>IF(LEN(VLOOKUP(AC359,A2:D500,4,FALSE))=0,,VLOOKUP(AC359,A2:D500,4,FALSE))</f>
        <v>#N/A</v>
      </c>
      <c r="AE359" s="22">
        <f>'(Data)'!Q472</f>
        <v>0</v>
      </c>
      <c r="AF359" s="22" t="e">
        <f>IF(LEN(VLOOKUP(AE358:AE359,A2:D500,4,FALSE))=0,,VLOOKUP(AE358:AE359,A2:D500,4,FALSE))</f>
        <v>#N/A</v>
      </c>
      <c r="AH359" s="45">
        <f>'Risk Charact Model'!P490</f>
        <v>0</v>
      </c>
      <c r="AI359" s="58" t="e">
        <f>IF(LEN(VLOOKUP(AH359,A2:D500,4,FALSE))=0,,VLOOKUP(AH359,A2:D500,4,FALSE))</f>
        <v>#N/A</v>
      </c>
    </row>
    <row r="360" spans="9:35" ht="14" x14ac:dyDescent="0.3">
      <c r="I360" s="60">
        <f>'Generic Metadata Schema'!P490</f>
        <v>0</v>
      </c>
      <c r="J360" s="22" t="e">
        <f>IF(LEN(VLOOKUP(I360,A2:D500,4,FALSE))=0,"",VLOOKUP(I360,A2:D500,4,FALSE))</f>
        <v>#N/A</v>
      </c>
      <c r="L360" s="56">
        <f>'Dose-response Model'!O474</f>
        <v>0</v>
      </c>
      <c r="M360" s="22" t="e">
        <f>IF(LEN(VLOOKUP(L360,A2:D500,4,FALSE))=0,,VLOOKUP(L360,A2:D500,4,FALSE))</f>
        <v>#N/A</v>
      </c>
      <c r="N360" s="22">
        <f>'Exposure Model'!O491</f>
        <v>0</v>
      </c>
      <c r="O360" s="22" t="e">
        <f>IF(LEN(VLOOKUP(N360,A2:D500,4,FALSE))=0,,VLOOKUP(N360,A2:D500,4,FALSE))</f>
        <v>#N/A</v>
      </c>
      <c r="P360" s="56">
        <f>'QRA Models'!Q491</f>
        <v>0</v>
      </c>
      <c r="Q360" s="22" t="e">
        <f>IF(LEN(VLOOKUP(P360,A2:D500,4,FALSE))=0,,VLOOKUP(P360,A2:D500,4,FALSE))</f>
        <v>#N/A</v>
      </c>
      <c r="R360" s="56">
        <f>'Health metrics Models'!Q474</f>
        <v>0</v>
      </c>
      <c r="S360" s="22" t="e">
        <f>IF(LEN(VLOOKUP(R360,A2:D500,4,FALSE))=0,,VLOOKUP(R360,A2:D500,4,FALSE))</f>
        <v>#N/A</v>
      </c>
      <c r="T360" s="56">
        <f>'Process Model'!P472</f>
        <v>0</v>
      </c>
      <c r="U360" s="22" t="e">
        <f>IF(LEN(VLOOKUP(T360,A2:D500,4,FALSE))=0,,VLOOKUP(T360,A2:D500,4,FALSE))</f>
        <v>#N/A</v>
      </c>
      <c r="V360" s="56">
        <f>'Toxicological reference value M'!P474</f>
        <v>0</v>
      </c>
      <c r="W360" s="22" t="e">
        <f>IF(LEN(VLOOKUP(V360,A2:D500,4,FALSE))=0,,VLOOKUP(V360,A2:D500,4,FALSE))</f>
        <v>#N/A</v>
      </c>
      <c r="Y360" s="56">
        <f>'Other Empirical Model'!P485</f>
        <v>0</v>
      </c>
      <c r="Z360" s="22" t="e">
        <f>IF(LEN(VLOOKUP(Y360,A2:D500,4,FALSE))=0,,VLOOKUP(Y360,A2:D500,4,FALSE))</f>
        <v>#N/A</v>
      </c>
      <c r="AA360" s="56">
        <f>'Predictive Model'!P472</f>
        <v>0</v>
      </c>
      <c r="AB360" s="22" t="e">
        <f>IF(LEN(VLOOKUP(AA360,A2:D500,4,FALSE))=0,,VLOOKUP(AA360,A2:D500,4,FALSE))</f>
        <v>#N/A</v>
      </c>
      <c r="AC360" s="56">
        <f>'Consumption Model'!P477</f>
        <v>0</v>
      </c>
      <c r="AD360" s="22" t="e">
        <f>IF(LEN(VLOOKUP(AC360,A2:D500,4,FALSE))=0,,VLOOKUP(AC360,A2:D500,4,FALSE))</f>
        <v>#N/A</v>
      </c>
      <c r="AE360" s="22">
        <f>'(Data)'!Q473</f>
        <v>0</v>
      </c>
      <c r="AF360" s="22" t="e">
        <f>IF(LEN(VLOOKUP(AE359:AE360,A2:D500,4,FALSE))=0,,VLOOKUP(AE359:AE360,A2:D500,4,FALSE))</f>
        <v>#N/A</v>
      </c>
      <c r="AH360" s="45">
        <f>'Risk Charact Model'!P491</f>
        <v>0</v>
      </c>
      <c r="AI360" s="58" t="e">
        <f>IF(LEN(VLOOKUP(AH360,A2:D500,4,FALSE))=0,,VLOOKUP(AH360,A2:D500,4,FALSE))</f>
        <v>#N/A</v>
      </c>
    </row>
    <row r="361" spans="9:35" ht="14" x14ac:dyDescent="0.3">
      <c r="I361" s="60">
        <f>'Generic Metadata Schema'!P491</f>
        <v>0</v>
      </c>
      <c r="J361" s="22" t="e">
        <f>IF(LEN(VLOOKUP(I361,A2:D500,4,FALSE))=0,"",VLOOKUP(I361,A2:D500,4,FALSE))</f>
        <v>#N/A</v>
      </c>
      <c r="L361" s="56">
        <f>'Dose-response Model'!O475</f>
        <v>0</v>
      </c>
      <c r="M361" s="22" t="e">
        <f>IF(LEN(VLOOKUP(L361,A2:D500,4,FALSE))=0,,VLOOKUP(L361,A2:D500,4,FALSE))</f>
        <v>#N/A</v>
      </c>
      <c r="N361" s="22">
        <f>'Exposure Model'!O492</f>
        <v>0</v>
      </c>
      <c r="O361" s="22" t="e">
        <f>IF(LEN(VLOOKUP(N361,A2:D500,4,FALSE))=0,,VLOOKUP(N361,A2:D500,4,FALSE))</f>
        <v>#N/A</v>
      </c>
      <c r="P361" s="56">
        <f>'QRA Models'!Q492</f>
        <v>0</v>
      </c>
      <c r="Q361" s="22" t="e">
        <f>IF(LEN(VLOOKUP(P361,A2:D500,4,FALSE))=0,,VLOOKUP(P361,A2:D500,4,FALSE))</f>
        <v>#N/A</v>
      </c>
      <c r="R361" s="56">
        <f>'Health metrics Models'!Q475</f>
        <v>0</v>
      </c>
      <c r="S361" s="22" t="e">
        <f>IF(LEN(VLOOKUP(R361,A2:D500,4,FALSE))=0,,VLOOKUP(R361,A2:D500,4,FALSE))</f>
        <v>#N/A</v>
      </c>
      <c r="T361" s="56">
        <f>'Process Model'!P473</f>
        <v>0</v>
      </c>
      <c r="U361" s="22" t="e">
        <f>IF(LEN(VLOOKUP(T361,A2:D500,4,FALSE))=0,,VLOOKUP(T361,A2:D500,4,FALSE))</f>
        <v>#N/A</v>
      </c>
      <c r="V361" s="56">
        <f>'Toxicological reference value M'!P475</f>
        <v>0</v>
      </c>
      <c r="W361" s="22" t="e">
        <f>IF(LEN(VLOOKUP(V361,A2:D500,4,FALSE))=0,,VLOOKUP(V361,A2:D500,4,FALSE))</f>
        <v>#N/A</v>
      </c>
      <c r="Y361" s="56">
        <f>'Other Empirical Model'!P486</f>
        <v>0</v>
      </c>
      <c r="Z361" s="22" t="e">
        <f>IF(LEN(VLOOKUP(Y361,A2:D500,4,FALSE))=0,,VLOOKUP(Y361,A2:D500,4,FALSE))</f>
        <v>#N/A</v>
      </c>
      <c r="AA361" s="56">
        <f>'Predictive Model'!P473</f>
        <v>0</v>
      </c>
      <c r="AB361" s="22" t="e">
        <f>IF(LEN(VLOOKUP(AA361,A2:D500,4,FALSE))=0,,VLOOKUP(AA361,A2:D500,4,FALSE))</f>
        <v>#N/A</v>
      </c>
      <c r="AC361" s="56">
        <f>'Consumption Model'!P478</f>
        <v>0</v>
      </c>
      <c r="AD361" s="22" t="e">
        <f>IF(LEN(VLOOKUP(AC361,A2:D500,4,FALSE))=0,,VLOOKUP(AC361,A2:D500,4,FALSE))</f>
        <v>#N/A</v>
      </c>
      <c r="AE361" s="22">
        <f>'(Data)'!Q474</f>
        <v>0</v>
      </c>
      <c r="AF361" s="22" t="e">
        <f>IF(LEN(VLOOKUP(AE360:AE361,A2:D500,4,FALSE))=0,,VLOOKUP(AE360:AE361,A2:D500,4,FALSE))</f>
        <v>#N/A</v>
      </c>
      <c r="AH361" s="45">
        <f>'Risk Charact Model'!P492</f>
        <v>0</v>
      </c>
      <c r="AI361" s="58" t="e">
        <f>IF(LEN(VLOOKUP(AH361,A2:D500,4,FALSE))=0,,VLOOKUP(AH361,A2:D500,4,FALSE))</f>
        <v>#N/A</v>
      </c>
    </row>
    <row r="362" spans="9:35" ht="14" x14ac:dyDescent="0.3">
      <c r="I362" s="60">
        <f>'Generic Metadata Schema'!P492</f>
        <v>0</v>
      </c>
      <c r="J362" s="22" t="e">
        <f>IF(LEN(VLOOKUP(I362,A2:D500,4,FALSE))=0,"",VLOOKUP(I362,A2:D500,4,FALSE))</f>
        <v>#N/A</v>
      </c>
      <c r="L362" s="56">
        <f>'Dose-response Model'!O476</f>
        <v>0</v>
      </c>
      <c r="M362" s="22" t="e">
        <f>IF(LEN(VLOOKUP(L362,A2:D500,4,FALSE))=0,,VLOOKUP(L362,A2:D500,4,FALSE))</f>
        <v>#N/A</v>
      </c>
      <c r="N362" s="22">
        <f>'Exposure Model'!O493</f>
        <v>0</v>
      </c>
      <c r="O362" s="22" t="e">
        <f>IF(LEN(VLOOKUP(N362,A2:D500,4,FALSE))=0,,VLOOKUP(N362,A2:D500,4,FALSE))</f>
        <v>#N/A</v>
      </c>
      <c r="P362" s="56">
        <f>'QRA Models'!Q493</f>
        <v>0</v>
      </c>
      <c r="Q362" s="22" t="e">
        <f>IF(LEN(VLOOKUP(P362,A2:D500,4,FALSE))=0,,VLOOKUP(P362,A2:D500,4,FALSE))</f>
        <v>#N/A</v>
      </c>
      <c r="R362" s="56">
        <f>'Health metrics Models'!Q476</f>
        <v>0</v>
      </c>
      <c r="S362" s="22" t="e">
        <f>IF(LEN(VLOOKUP(R362,A2:D500,4,FALSE))=0,,VLOOKUP(R362,A2:D500,4,FALSE))</f>
        <v>#N/A</v>
      </c>
      <c r="T362" s="56">
        <f>'Process Model'!P474</f>
        <v>0</v>
      </c>
      <c r="U362" s="22" t="e">
        <f>IF(LEN(VLOOKUP(T362,A2:D500,4,FALSE))=0,,VLOOKUP(T362,A2:D500,4,FALSE))</f>
        <v>#N/A</v>
      </c>
      <c r="V362" s="56">
        <f>'Toxicological reference value M'!P476</f>
        <v>0</v>
      </c>
      <c r="W362" s="22" t="e">
        <f>IF(LEN(VLOOKUP(V362,A2:D500,4,FALSE))=0,,VLOOKUP(V362,A2:D500,4,FALSE))</f>
        <v>#N/A</v>
      </c>
      <c r="Y362" s="56">
        <f>'Other Empirical Model'!P487</f>
        <v>0</v>
      </c>
      <c r="Z362" s="22" t="e">
        <f>IF(LEN(VLOOKUP(Y362,A2:D500,4,FALSE))=0,,VLOOKUP(Y362,A2:D500,4,FALSE))</f>
        <v>#N/A</v>
      </c>
      <c r="AA362" s="56">
        <f>'Predictive Model'!P474</f>
        <v>0</v>
      </c>
      <c r="AB362" s="22" t="e">
        <f>IF(LEN(VLOOKUP(AA362,A2:D500,4,FALSE))=0,,VLOOKUP(AA362,A2:D500,4,FALSE))</f>
        <v>#N/A</v>
      </c>
      <c r="AC362" s="56">
        <f>'Consumption Model'!P479</f>
        <v>0</v>
      </c>
      <c r="AD362" s="22" t="e">
        <f>IF(LEN(VLOOKUP(AC362,A2:D500,4,FALSE))=0,,VLOOKUP(AC362,A2:D500,4,FALSE))</f>
        <v>#N/A</v>
      </c>
      <c r="AE362" s="22">
        <f>'(Data)'!Q475</f>
        <v>0</v>
      </c>
      <c r="AF362" s="22" t="e">
        <f>IF(LEN(VLOOKUP(AE361:AE362,A2:D500,4,FALSE))=0,,VLOOKUP(AE361:AE362,A2:D500,4,FALSE))</f>
        <v>#N/A</v>
      </c>
      <c r="AH362" s="45">
        <f>'Risk Charact Model'!P493</f>
        <v>0</v>
      </c>
      <c r="AI362" s="58" t="e">
        <f>IF(LEN(VLOOKUP(AH362,A2:D500,4,FALSE))=0,,VLOOKUP(AH362,A2:D500,4,FALSE))</f>
        <v>#N/A</v>
      </c>
    </row>
    <row r="363" spans="9:35" ht="14" x14ac:dyDescent="0.3">
      <c r="I363" s="60">
        <f>'Generic Metadata Schema'!P493</f>
        <v>0</v>
      </c>
      <c r="J363" s="22" t="e">
        <f>IF(LEN(VLOOKUP(I363,A2:D500,4,FALSE))=0,"",VLOOKUP(I363,A2:D500,4,FALSE))</f>
        <v>#N/A</v>
      </c>
      <c r="L363" s="56">
        <f>'Dose-response Model'!O477</f>
        <v>0</v>
      </c>
      <c r="M363" s="22" t="e">
        <f>IF(LEN(VLOOKUP(L363,A2:D500,4,FALSE))=0,,VLOOKUP(L363,A2:D500,4,FALSE))</f>
        <v>#N/A</v>
      </c>
      <c r="N363" s="22">
        <f>'Exposure Model'!O494</f>
        <v>0</v>
      </c>
      <c r="O363" s="22" t="e">
        <f>IF(LEN(VLOOKUP(N363,A2:D500,4,FALSE))=0,,VLOOKUP(N363,A2:D500,4,FALSE))</f>
        <v>#N/A</v>
      </c>
      <c r="P363" s="56">
        <f>'QRA Models'!Q494</f>
        <v>0</v>
      </c>
      <c r="Q363" s="22" t="e">
        <f>IF(LEN(VLOOKUP(P363,A2:D500,4,FALSE))=0,,VLOOKUP(P363,A2:D500,4,FALSE))</f>
        <v>#N/A</v>
      </c>
      <c r="R363" s="56">
        <f>'Health metrics Models'!Q477</f>
        <v>0</v>
      </c>
      <c r="S363" s="22" t="e">
        <f>IF(LEN(VLOOKUP(R363,A2:D500,4,FALSE))=0,,VLOOKUP(R363,A2:D500,4,FALSE))</f>
        <v>#N/A</v>
      </c>
      <c r="T363" s="56">
        <f>'Process Model'!P475</f>
        <v>0</v>
      </c>
      <c r="U363" s="22" t="e">
        <f>IF(LEN(VLOOKUP(T363,A2:D500,4,FALSE))=0,,VLOOKUP(T363,A2:D500,4,FALSE))</f>
        <v>#N/A</v>
      </c>
      <c r="V363" s="56">
        <f>'Toxicological reference value M'!P477</f>
        <v>0</v>
      </c>
      <c r="W363" s="22" t="e">
        <f>IF(LEN(VLOOKUP(V363,A2:D500,4,FALSE))=0,,VLOOKUP(V363,A2:D500,4,FALSE))</f>
        <v>#N/A</v>
      </c>
      <c r="Y363" s="56">
        <f>'Other Empirical Model'!P488</f>
        <v>0</v>
      </c>
      <c r="Z363" s="22" t="e">
        <f>IF(LEN(VLOOKUP(Y363,A2:D500,4,FALSE))=0,,VLOOKUP(Y363,A2:D500,4,FALSE))</f>
        <v>#N/A</v>
      </c>
      <c r="AA363" s="56">
        <f>'Predictive Model'!P475</f>
        <v>0</v>
      </c>
      <c r="AB363" s="22" t="e">
        <f>IF(LEN(VLOOKUP(AA363,A2:D500,4,FALSE))=0,,VLOOKUP(AA363,A2:D500,4,FALSE))</f>
        <v>#N/A</v>
      </c>
      <c r="AC363" s="56">
        <f>'Consumption Model'!P480</f>
        <v>0</v>
      </c>
      <c r="AD363" s="22" t="e">
        <f>IF(LEN(VLOOKUP(AC363,A2:D500,4,FALSE))=0,,VLOOKUP(AC363,A2:D500,4,FALSE))</f>
        <v>#N/A</v>
      </c>
      <c r="AE363" s="22">
        <f>'(Data)'!Q476</f>
        <v>0</v>
      </c>
      <c r="AF363" s="22" t="e">
        <f>IF(LEN(VLOOKUP(AE362:AE363,A2:D500,4,FALSE))=0,,VLOOKUP(AE362:AE363,A2:D500,4,FALSE))</f>
        <v>#N/A</v>
      </c>
      <c r="AH363" s="45">
        <f>'Risk Charact Model'!P494</f>
        <v>0</v>
      </c>
      <c r="AI363" s="58" t="e">
        <f>IF(LEN(VLOOKUP(AH363,A2:D500,4,FALSE))=0,,VLOOKUP(AH363,A2:D500,4,FALSE))</f>
        <v>#N/A</v>
      </c>
    </row>
    <row r="364" spans="9:35" ht="14" x14ac:dyDescent="0.3">
      <c r="I364" s="60">
        <f>'Generic Metadata Schema'!P494</f>
        <v>0</v>
      </c>
      <c r="J364" s="22" t="e">
        <f>IF(LEN(VLOOKUP(I364,A2:D500,4,FALSE))=0,"",VLOOKUP(I364,A2:D500,4,FALSE))</f>
        <v>#N/A</v>
      </c>
      <c r="L364" s="56">
        <f>'Dose-response Model'!O478</f>
        <v>0</v>
      </c>
      <c r="M364" s="22" t="e">
        <f>IF(LEN(VLOOKUP(L364,A2:D500,4,FALSE))=0,,VLOOKUP(L364,A2:D500,4,FALSE))</f>
        <v>#N/A</v>
      </c>
      <c r="N364" s="22">
        <f>'Exposure Model'!O495</f>
        <v>0</v>
      </c>
      <c r="O364" s="22" t="e">
        <f>IF(LEN(VLOOKUP(N364,A2:D500,4,FALSE))=0,,VLOOKUP(N364,A2:D500,4,FALSE))</f>
        <v>#N/A</v>
      </c>
      <c r="P364" s="56">
        <f>'QRA Models'!Q495</f>
        <v>0</v>
      </c>
      <c r="Q364" s="22" t="e">
        <f>IF(LEN(VLOOKUP(P364,A2:D500,4,FALSE))=0,,VLOOKUP(P364,A2:D500,4,FALSE))</f>
        <v>#N/A</v>
      </c>
      <c r="R364" s="56">
        <f>'Health metrics Models'!Q478</f>
        <v>0</v>
      </c>
      <c r="S364" s="22" t="e">
        <f>IF(LEN(VLOOKUP(R364,A2:D500,4,FALSE))=0,,VLOOKUP(R364,A2:D500,4,FALSE))</f>
        <v>#N/A</v>
      </c>
      <c r="T364" s="56">
        <f>'Process Model'!P476</f>
        <v>0</v>
      </c>
      <c r="U364" s="22" t="e">
        <f>IF(LEN(VLOOKUP(T364,A2:D500,4,FALSE))=0,,VLOOKUP(T364,A2:D500,4,FALSE))</f>
        <v>#N/A</v>
      </c>
      <c r="V364" s="56">
        <f>'Toxicological reference value M'!P478</f>
        <v>0</v>
      </c>
      <c r="W364" s="22" t="e">
        <f>IF(LEN(VLOOKUP(V364,A2:D500,4,FALSE))=0,,VLOOKUP(V364,A2:D500,4,FALSE))</f>
        <v>#N/A</v>
      </c>
      <c r="Y364" s="56">
        <f>'Other Empirical Model'!P489</f>
        <v>0</v>
      </c>
      <c r="Z364" s="22" t="e">
        <f>IF(LEN(VLOOKUP(Y364,A2:D500,4,FALSE))=0,,VLOOKUP(Y364,A2:D500,4,FALSE))</f>
        <v>#N/A</v>
      </c>
      <c r="AA364" s="56">
        <f>'Predictive Model'!P476</f>
        <v>0</v>
      </c>
      <c r="AB364" s="22" t="e">
        <f>IF(LEN(VLOOKUP(AA364,A2:D500,4,FALSE))=0,,VLOOKUP(AA364,A2:D500,4,FALSE))</f>
        <v>#N/A</v>
      </c>
      <c r="AC364" s="56">
        <f>'Consumption Model'!P481</f>
        <v>0</v>
      </c>
      <c r="AD364" s="22" t="e">
        <f>IF(LEN(VLOOKUP(AC364,A2:D500,4,FALSE))=0,,VLOOKUP(AC364,A2:D500,4,FALSE))</f>
        <v>#N/A</v>
      </c>
      <c r="AE364" s="22">
        <f>'(Data)'!Q477</f>
        <v>0</v>
      </c>
      <c r="AF364" s="22" t="e">
        <f>IF(LEN(VLOOKUP(AE363:AE364,A2:D500,4,FALSE))=0,,VLOOKUP(AE363:AE364,A2:D500,4,FALSE))</f>
        <v>#N/A</v>
      </c>
      <c r="AH364" s="45">
        <f>'Risk Charact Model'!P495</f>
        <v>0</v>
      </c>
      <c r="AI364" s="58" t="e">
        <f>IF(LEN(VLOOKUP(AH364,A2:D500,4,FALSE))=0,,VLOOKUP(AH364,A2:D500,4,FALSE))</f>
        <v>#N/A</v>
      </c>
    </row>
    <row r="365" spans="9:35" ht="14" x14ac:dyDescent="0.3">
      <c r="I365" s="60">
        <f>'Generic Metadata Schema'!P495</f>
        <v>0</v>
      </c>
      <c r="J365" s="22" t="e">
        <f>IF(LEN(VLOOKUP(I365,A2:D500,4,FALSE))=0,"",VLOOKUP(I365,A2:D500,4,FALSE))</f>
        <v>#N/A</v>
      </c>
      <c r="L365" s="56">
        <f>'Dose-response Model'!O479</f>
        <v>0</v>
      </c>
      <c r="M365" s="22" t="e">
        <f>IF(LEN(VLOOKUP(L365,A2:D500,4,FALSE))=0,,VLOOKUP(L365,A2:D500,4,FALSE))</f>
        <v>#N/A</v>
      </c>
      <c r="N365" s="22">
        <f>'Exposure Model'!O496</f>
        <v>0</v>
      </c>
      <c r="O365" s="22" t="e">
        <f>IF(LEN(VLOOKUP(N365,A2:D500,4,FALSE))=0,,VLOOKUP(N365,A2:D500,4,FALSE))</f>
        <v>#N/A</v>
      </c>
      <c r="P365" s="56">
        <f>'QRA Models'!Q496</f>
        <v>0</v>
      </c>
      <c r="Q365" s="22" t="e">
        <f>IF(LEN(VLOOKUP(P365,A2:D500,4,FALSE))=0,,VLOOKUP(P365,A2:D500,4,FALSE))</f>
        <v>#N/A</v>
      </c>
      <c r="R365" s="56">
        <f>'Health metrics Models'!Q479</f>
        <v>0</v>
      </c>
      <c r="S365" s="22" t="e">
        <f>IF(LEN(VLOOKUP(R365,A2:D500,4,FALSE))=0,,VLOOKUP(R365,A2:D500,4,FALSE))</f>
        <v>#N/A</v>
      </c>
      <c r="T365" s="56">
        <f>'Process Model'!P477</f>
        <v>0</v>
      </c>
      <c r="U365" s="22" t="e">
        <f>IF(LEN(VLOOKUP(T365,A2:D500,4,FALSE))=0,,VLOOKUP(T365,A2:D500,4,FALSE))</f>
        <v>#N/A</v>
      </c>
      <c r="V365" s="56">
        <f>'Toxicological reference value M'!P479</f>
        <v>0</v>
      </c>
      <c r="W365" s="22" t="e">
        <f>IF(LEN(VLOOKUP(V365,A2:D500,4,FALSE))=0,,VLOOKUP(V365,A2:D500,4,FALSE))</f>
        <v>#N/A</v>
      </c>
      <c r="Y365" s="56">
        <f>'Other Empirical Model'!P490</f>
        <v>0</v>
      </c>
      <c r="Z365" s="22" t="e">
        <f>IF(LEN(VLOOKUP(Y365,A2:D500,4,FALSE))=0,,VLOOKUP(Y365,A2:D500,4,FALSE))</f>
        <v>#N/A</v>
      </c>
      <c r="AA365" s="56">
        <f>'Predictive Model'!P477</f>
        <v>0</v>
      </c>
      <c r="AB365" s="22" t="e">
        <f>IF(LEN(VLOOKUP(AA365,A2:D500,4,FALSE))=0,,VLOOKUP(AA365,A2:D500,4,FALSE))</f>
        <v>#N/A</v>
      </c>
      <c r="AC365" s="56">
        <f>'Consumption Model'!P482</f>
        <v>0</v>
      </c>
      <c r="AD365" s="22" t="e">
        <f>IF(LEN(VLOOKUP(AC365,A2:D500,4,FALSE))=0,,VLOOKUP(AC365,A2:D500,4,FALSE))</f>
        <v>#N/A</v>
      </c>
      <c r="AE365" s="22">
        <f>'(Data)'!Q478</f>
        <v>0</v>
      </c>
      <c r="AF365" s="22" t="e">
        <f>IF(LEN(VLOOKUP(AE364:AE365,A2:D500,4,FALSE))=0,,VLOOKUP(AE364:AE365,A2:D500,4,FALSE))</f>
        <v>#N/A</v>
      </c>
      <c r="AH365" s="45">
        <f>'Risk Charact Model'!P496</f>
        <v>0</v>
      </c>
      <c r="AI365" s="58" t="e">
        <f>IF(LEN(VLOOKUP(AH365,A2:D500,4,FALSE))=0,,VLOOKUP(AH365,A2:D500,4,FALSE))</f>
        <v>#N/A</v>
      </c>
    </row>
    <row r="366" spans="9:35" ht="14" x14ac:dyDescent="0.3">
      <c r="I366" s="60">
        <f>'Generic Metadata Schema'!P496</f>
        <v>0</v>
      </c>
      <c r="J366" s="22" t="e">
        <f>IF(LEN(VLOOKUP(I366,A2:D500,4,FALSE))=0,"",VLOOKUP(I366,A2:D500,4,FALSE))</f>
        <v>#N/A</v>
      </c>
      <c r="L366" s="56">
        <f>'Dose-response Model'!O480</f>
        <v>0</v>
      </c>
      <c r="M366" s="22" t="e">
        <f>IF(LEN(VLOOKUP(L366,A2:D500,4,FALSE))=0,,VLOOKUP(L366,A2:D500,4,FALSE))</f>
        <v>#N/A</v>
      </c>
      <c r="N366" s="22">
        <f>'Exposure Model'!O497</f>
        <v>0</v>
      </c>
      <c r="O366" s="22" t="e">
        <f>IF(LEN(VLOOKUP(N366,A2:D500,4,FALSE))=0,,VLOOKUP(N366,A2:D500,4,FALSE))</f>
        <v>#N/A</v>
      </c>
      <c r="P366" s="56">
        <f>'QRA Models'!Q497</f>
        <v>0</v>
      </c>
      <c r="Q366" s="22" t="e">
        <f>IF(LEN(VLOOKUP(P366,A2:D500,4,FALSE))=0,,VLOOKUP(P366,A2:D500,4,FALSE))</f>
        <v>#N/A</v>
      </c>
      <c r="R366" s="56">
        <f>'Health metrics Models'!Q480</f>
        <v>0</v>
      </c>
      <c r="S366" s="22" t="e">
        <f>IF(LEN(VLOOKUP(R366,A2:D500,4,FALSE))=0,,VLOOKUP(R366,A2:D500,4,FALSE))</f>
        <v>#N/A</v>
      </c>
      <c r="T366" s="56">
        <f>'Process Model'!P478</f>
        <v>0</v>
      </c>
      <c r="U366" s="22" t="e">
        <f>IF(LEN(VLOOKUP(T366,A2:D500,4,FALSE))=0,,VLOOKUP(T366,A2:D500,4,FALSE))</f>
        <v>#N/A</v>
      </c>
      <c r="V366" s="56">
        <f>'Toxicological reference value M'!P480</f>
        <v>0</v>
      </c>
      <c r="W366" s="22" t="e">
        <f>IF(LEN(VLOOKUP(V366,A2:D500,4,FALSE))=0,,VLOOKUP(V366,A2:D500,4,FALSE))</f>
        <v>#N/A</v>
      </c>
      <c r="Y366" s="56">
        <f>'Other Empirical Model'!P491</f>
        <v>0</v>
      </c>
      <c r="Z366" s="22" t="e">
        <f>IF(LEN(VLOOKUP(Y366,A2:D500,4,FALSE))=0,,VLOOKUP(Y366,A2:D500,4,FALSE))</f>
        <v>#N/A</v>
      </c>
      <c r="AA366" s="56">
        <f>'Predictive Model'!P478</f>
        <v>0</v>
      </c>
      <c r="AB366" s="22" t="e">
        <f>IF(LEN(VLOOKUP(AA366,A2:D500,4,FALSE))=0,,VLOOKUP(AA366,A2:D500,4,FALSE))</f>
        <v>#N/A</v>
      </c>
      <c r="AC366" s="56">
        <f>'Consumption Model'!P483</f>
        <v>0</v>
      </c>
      <c r="AD366" s="22" t="e">
        <f>IF(LEN(VLOOKUP(AC366,A2:D500,4,FALSE))=0,,VLOOKUP(AC366,A2:D500,4,FALSE))</f>
        <v>#N/A</v>
      </c>
      <c r="AE366" s="22">
        <f>'(Data)'!Q479</f>
        <v>0</v>
      </c>
      <c r="AF366" s="22" t="e">
        <f>IF(LEN(VLOOKUP(AE365:AE366,A2:D500,4,FALSE))=0,,VLOOKUP(AE365:AE366,A2:D500,4,FALSE))</f>
        <v>#N/A</v>
      </c>
      <c r="AH366" s="45">
        <f>'Risk Charact Model'!P497</f>
        <v>0</v>
      </c>
      <c r="AI366" s="58" t="e">
        <f>IF(LEN(VLOOKUP(AH366,A2:D500,4,FALSE))=0,,VLOOKUP(AH366,A2:D500,4,FALSE))</f>
        <v>#N/A</v>
      </c>
    </row>
    <row r="367" spans="9:35" ht="14" x14ac:dyDescent="0.3">
      <c r="I367" s="60">
        <f>'Generic Metadata Schema'!P497</f>
        <v>0</v>
      </c>
      <c r="J367" s="22" t="e">
        <f>IF(LEN(VLOOKUP(I367,A2:D500,4,FALSE))=0,"",VLOOKUP(I367,A2:D500,4,FALSE))</f>
        <v>#N/A</v>
      </c>
      <c r="L367" s="56">
        <f>'Dose-response Model'!O481</f>
        <v>0</v>
      </c>
      <c r="M367" s="22" t="e">
        <f>IF(LEN(VLOOKUP(L367,A2:D500,4,FALSE))=0,,VLOOKUP(L367,A2:D500,4,FALSE))</f>
        <v>#N/A</v>
      </c>
      <c r="N367" s="22">
        <f>'Exposure Model'!O498</f>
        <v>0</v>
      </c>
      <c r="O367" s="22" t="e">
        <f>IF(LEN(VLOOKUP(N367,A2:D500,4,FALSE))=0,,VLOOKUP(N367,A2:D500,4,FALSE))</f>
        <v>#N/A</v>
      </c>
      <c r="P367" s="56">
        <f>'QRA Models'!Q498</f>
        <v>0</v>
      </c>
      <c r="Q367" s="22" t="e">
        <f>IF(LEN(VLOOKUP(P367,A2:D500,4,FALSE))=0,,VLOOKUP(P367,A2:D500,4,FALSE))</f>
        <v>#N/A</v>
      </c>
      <c r="R367" s="56">
        <f>'Health metrics Models'!Q481</f>
        <v>0</v>
      </c>
      <c r="S367" s="22" t="e">
        <f>IF(LEN(VLOOKUP(R367,A2:D500,4,FALSE))=0,,VLOOKUP(R367,A2:D500,4,FALSE))</f>
        <v>#N/A</v>
      </c>
      <c r="T367" s="56">
        <f>'Process Model'!P479</f>
        <v>0</v>
      </c>
      <c r="U367" s="22" t="e">
        <f>IF(LEN(VLOOKUP(T367,A2:D500,4,FALSE))=0,,VLOOKUP(T367,A2:D500,4,FALSE))</f>
        <v>#N/A</v>
      </c>
      <c r="V367" s="56">
        <f>'Toxicological reference value M'!P481</f>
        <v>0</v>
      </c>
      <c r="W367" s="22" t="e">
        <f>IF(LEN(VLOOKUP(V367,A2:D500,4,FALSE))=0,,VLOOKUP(V367,A2:D500,4,FALSE))</f>
        <v>#N/A</v>
      </c>
      <c r="Y367" s="56">
        <f>'Other Empirical Model'!P492</f>
        <v>0</v>
      </c>
      <c r="Z367" s="22" t="e">
        <f>IF(LEN(VLOOKUP(Y367,A2:D500,4,FALSE))=0,,VLOOKUP(Y367,A2:D500,4,FALSE))</f>
        <v>#N/A</v>
      </c>
      <c r="AA367" s="56">
        <f>'Predictive Model'!P479</f>
        <v>0</v>
      </c>
      <c r="AB367" s="22" t="e">
        <f>IF(LEN(VLOOKUP(AA367,A2:D500,4,FALSE))=0,,VLOOKUP(AA367,A2:D500,4,FALSE))</f>
        <v>#N/A</v>
      </c>
      <c r="AC367" s="56">
        <f>'Consumption Model'!P484</f>
        <v>0</v>
      </c>
      <c r="AD367" s="22" t="e">
        <f>IF(LEN(VLOOKUP(AC367,A2:D500,4,FALSE))=0,,VLOOKUP(AC367,A2:D500,4,FALSE))</f>
        <v>#N/A</v>
      </c>
      <c r="AE367" s="22">
        <f>'(Data)'!Q480</f>
        <v>0</v>
      </c>
      <c r="AF367" s="22" t="e">
        <f>IF(LEN(VLOOKUP(AE366:AE367,A2:D500,4,FALSE))=0,,VLOOKUP(AE366:AE367,A2:D500,4,FALSE))</f>
        <v>#N/A</v>
      </c>
      <c r="AH367" s="45">
        <f>'Risk Charact Model'!P498</f>
        <v>0</v>
      </c>
      <c r="AI367" s="58" t="e">
        <f>IF(LEN(VLOOKUP(AH367,A2:D500,4,FALSE))=0,,VLOOKUP(AH367,A2:D500,4,FALSE))</f>
        <v>#N/A</v>
      </c>
    </row>
    <row r="368" spans="9:35" ht="14" x14ac:dyDescent="0.3">
      <c r="I368" s="60">
        <f>'Generic Metadata Schema'!P498</f>
        <v>0</v>
      </c>
      <c r="J368" s="22" t="e">
        <f>IF(LEN(VLOOKUP(I368,A2:D500,4,FALSE))=0,"",VLOOKUP(I368,A2:D500,4,FALSE))</f>
        <v>#N/A</v>
      </c>
      <c r="L368" s="56">
        <f>'Dose-response Model'!O482</f>
        <v>0</v>
      </c>
      <c r="M368" s="22" t="e">
        <f>IF(LEN(VLOOKUP(L368,A2:D500,4,FALSE))=0,,VLOOKUP(L368,A2:D500,4,FALSE))</f>
        <v>#N/A</v>
      </c>
      <c r="N368" s="22">
        <f>'Exposure Model'!O499</f>
        <v>0</v>
      </c>
      <c r="O368" s="22" t="e">
        <f>IF(LEN(VLOOKUP(N368,A2:D500,4,FALSE))=0,,VLOOKUP(N368,A2:D500,4,FALSE))</f>
        <v>#N/A</v>
      </c>
      <c r="P368" s="56">
        <f>'QRA Models'!Q499</f>
        <v>0</v>
      </c>
      <c r="Q368" s="22" t="e">
        <f>IF(LEN(VLOOKUP(P368,A2:D500,4,FALSE))=0,,VLOOKUP(P368,A2:D500,4,FALSE))</f>
        <v>#N/A</v>
      </c>
      <c r="R368" s="56">
        <f>'Health metrics Models'!Q482</f>
        <v>0</v>
      </c>
      <c r="S368" s="22" t="e">
        <f>IF(LEN(VLOOKUP(R368,A2:D500,4,FALSE))=0,,VLOOKUP(R368,A2:D500,4,FALSE))</f>
        <v>#N/A</v>
      </c>
      <c r="T368" s="56">
        <f>'Process Model'!P480</f>
        <v>0</v>
      </c>
      <c r="U368" s="22" t="e">
        <f>IF(LEN(VLOOKUP(T368,A2:D500,4,FALSE))=0,,VLOOKUP(T368,A2:D500,4,FALSE))</f>
        <v>#N/A</v>
      </c>
      <c r="V368" s="56">
        <f>'Toxicological reference value M'!P482</f>
        <v>0</v>
      </c>
      <c r="W368" s="22" t="e">
        <f>IF(LEN(VLOOKUP(V368,A2:D500,4,FALSE))=0,,VLOOKUP(V368,A2:D500,4,FALSE))</f>
        <v>#N/A</v>
      </c>
      <c r="Y368" s="56">
        <f>'Other Empirical Model'!P493</f>
        <v>0</v>
      </c>
      <c r="Z368" s="22" t="e">
        <f>IF(LEN(VLOOKUP(Y368,A2:D500,4,FALSE))=0,,VLOOKUP(Y368,A2:D500,4,FALSE))</f>
        <v>#N/A</v>
      </c>
      <c r="AA368" s="56">
        <f>'Predictive Model'!P480</f>
        <v>0</v>
      </c>
      <c r="AB368" s="22" t="e">
        <f>IF(LEN(VLOOKUP(AA368,A2:D500,4,FALSE))=0,,VLOOKUP(AA368,A2:D500,4,FALSE))</f>
        <v>#N/A</v>
      </c>
      <c r="AC368" s="56">
        <f>'Consumption Model'!P485</f>
        <v>0</v>
      </c>
      <c r="AD368" s="22" t="e">
        <f>IF(LEN(VLOOKUP(AC368,A2:D500,4,FALSE))=0,,VLOOKUP(AC368,A2:D500,4,FALSE))</f>
        <v>#N/A</v>
      </c>
      <c r="AE368" s="22">
        <f>'(Data)'!Q481</f>
        <v>0</v>
      </c>
      <c r="AF368" s="22" t="e">
        <f>IF(LEN(VLOOKUP(AE367:AE368,A2:D500,4,FALSE))=0,,VLOOKUP(AE367:AE368,A2:D500,4,FALSE))</f>
        <v>#N/A</v>
      </c>
      <c r="AH368" s="45">
        <f>'Risk Charact Model'!P499</f>
        <v>0</v>
      </c>
      <c r="AI368" s="58" t="e">
        <f>IF(LEN(VLOOKUP(AH368,A2:D500,4,FALSE))=0,,VLOOKUP(AH368,A2:D500,4,FALSE))</f>
        <v>#N/A</v>
      </c>
    </row>
    <row r="369" spans="9:35" ht="14" x14ac:dyDescent="0.3">
      <c r="I369" s="60">
        <f>'Generic Metadata Schema'!P499</f>
        <v>0</v>
      </c>
      <c r="J369" s="22" t="e">
        <f>IF(LEN(VLOOKUP(I369,A2:D500,4,FALSE))=0,"",VLOOKUP(I369,A2:D500,4,FALSE))</f>
        <v>#N/A</v>
      </c>
      <c r="L369" s="56">
        <f>'Dose-response Model'!O483</f>
        <v>0</v>
      </c>
      <c r="M369" s="22" t="e">
        <f>IF(LEN(VLOOKUP(L369,A2:D500,4,FALSE))=0,,VLOOKUP(L369,A2:D500,4,FALSE))</f>
        <v>#N/A</v>
      </c>
      <c r="N369" s="22">
        <f>'Exposure Model'!O500</f>
        <v>0</v>
      </c>
      <c r="O369" s="22" t="e">
        <f>IF(LEN(VLOOKUP(N369,A2:D500,4,FALSE))=0,,VLOOKUP(N369,A2:D500,4,FALSE))</f>
        <v>#N/A</v>
      </c>
      <c r="P369" s="56">
        <f>'QRA Models'!Q500</f>
        <v>0</v>
      </c>
      <c r="Q369" s="22" t="e">
        <f>IF(LEN(VLOOKUP(P369,A2:D500,4,FALSE))=0,,VLOOKUP(P369,A2:D500,4,FALSE))</f>
        <v>#N/A</v>
      </c>
      <c r="R369" s="56">
        <f>'Health metrics Models'!Q483</f>
        <v>0</v>
      </c>
      <c r="S369" s="22" t="e">
        <f>IF(LEN(VLOOKUP(R369,A2:D500,4,FALSE))=0,,VLOOKUP(R369,A2:D500,4,FALSE))</f>
        <v>#N/A</v>
      </c>
      <c r="T369" s="56">
        <f>'Process Model'!P481</f>
        <v>0</v>
      </c>
      <c r="U369" s="22" t="e">
        <f>IF(LEN(VLOOKUP(T369,A2:D500,4,FALSE))=0,,VLOOKUP(T369,A2:D500,4,FALSE))</f>
        <v>#N/A</v>
      </c>
      <c r="V369" s="56">
        <f>'Toxicological reference value M'!P483</f>
        <v>0</v>
      </c>
      <c r="W369" s="22" t="e">
        <f>IF(LEN(VLOOKUP(V369,A2:D500,4,FALSE))=0,,VLOOKUP(V369,A2:D500,4,FALSE))</f>
        <v>#N/A</v>
      </c>
      <c r="Y369" s="56">
        <f>'Other Empirical Model'!P494</f>
        <v>0</v>
      </c>
      <c r="Z369" s="22" t="e">
        <f>IF(LEN(VLOOKUP(Y369,A2:D500,4,FALSE))=0,,VLOOKUP(Y369,A2:D500,4,FALSE))</f>
        <v>#N/A</v>
      </c>
      <c r="AA369" s="56">
        <f>'Predictive Model'!P481</f>
        <v>0</v>
      </c>
      <c r="AB369" s="22" t="e">
        <f>IF(LEN(VLOOKUP(AA369,A2:D500,4,FALSE))=0,,VLOOKUP(AA369,A2:D500,4,FALSE))</f>
        <v>#N/A</v>
      </c>
      <c r="AC369" s="56">
        <f>'Consumption Model'!P486</f>
        <v>0</v>
      </c>
      <c r="AD369" s="22" t="e">
        <f>IF(LEN(VLOOKUP(AC369,A2:D500,4,FALSE))=0,,VLOOKUP(AC369,A2:D500,4,FALSE))</f>
        <v>#N/A</v>
      </c>
      <c r="AE369" s="22">
        <f>'(Data)'!Q482</f>
        <v>0</v>
      </c>
      <c r="AF369" s="22" t="e">
        <f>IF(LEN(VLOOKUP(AE368:AE369,A2:D500,4,FALSE))=0,,VLOOKUP(AE368:AE369,A2:D500,4,FALSE))</f>
        <v>#N/A</v>
      </c>
      <c r="AH369" s="45">
        <f>'Risk Charact Model'!P500</f>
        <v>0</v>
      </c>
      <c r="AI369" s="58" t="e">
        <f>IF(LEN(VLOOKUP(AH369,A2:D500,4,FALSE))=0,,VLOOKUP(AH369,A2:D500,4,FALSE))</f>
        <v>#N/A</v>
      </c>
    </row>
    <row r="370" spans="9:35" ht="14" x14ac:dyDescent="0.3">
      <c r="I370" s="60">
        <f>'Generic Metadata Schema'!P500</f>
        <v>0</v>
      </c>
      <c r="J370" s="22" t="e">
        <f>IF(LEN(VLOOKUP(I370,A2:D500,4,FALSE))=0,"",VLOOKUP(I370,A2:D500,4,FALSE))</f>
        <v>#N/A</v>
      </c>
      <c r="L370" s="56">
        <f>'Dose-response Model'!O484</f>
        <v>0</v>
      </c>
      <c r="M370" s="22" t="e">
        <f>IF(LEN(VLOOKUP(L370,A2:D500,4,FALSE))=0,,VLOOKUP(L370,A2:D500,4,FALSE))</f>
        <v>#N/A</v>
      </c>
      <c r="N370" s="22">
        <f>'Exposure Model'!O501</f>
        <v>0</v>
      </c>
      <c r="O370" s="22" t="e">
        <f>IF(LEN(VLOOKUP(N370,A2:D500,4,FALSE))=0,,VLOOKUP(N370,A2:D500,4,FALSE))</f>
        <v>#N/A</v>
      </c>
      <c r="P370" s="56">
        <f>'QRA Models'!Q501</f>
        <v>0</v>
      </c>
      <c r="Q370" s="22" t="e">
        <f>IF(LEN(VLOOKUP(P370,A2:D500,4,FALSE))=0,,VLOOKUP(P370,A2:D500,4,FALSE))</f>
        <v>#N/A</v>
      </c>
      <c r="R370" s="56">
        <f>'Health metrics Models'!Q484</f>
        <v>0</v>
      </c>
      <c r="S370" s="22" t="e">
        <f>IF(LEN(VLOOKUP(R370,A2:D500,4,FALSE))=0,,VLOOKUP(R370,A2:D500,4,FALSE))</f>
        <v>#N/A</v>
      </c>
      <c r="T370" s="56">
        <f>'Process Model'!P482</f>
        <v>0</v>
      </c>
      <c r="U370" s="22" t="e">
        <f>IF(LEN(VLOOKUP(T370,A2:D500,4,FALSE))=0,,VLOOKUP(T370,A2:D500,4,FALSE))</f>
        <v>#N/A</v>
      </c>
      <c r="V370" s="56">
        <f>'Toxicological reference value M'!P484</f>
        <v>0</v>
      </c>
      <c r="W370" s="22" t="e">
        <f>IF(LEN(VLOOKUP(V370,A2:D500,4,FALSE))=0,,VLOOKUP(V370,A2:D500,4,FALSE))</f>
        <v>#N/A</v>
      </c>
      <c r="Y370" s="56">
        <f>'Other Empirical Model'!P495</f>
        <v>0</v>
      </c>
      <c r="Z370" s="22" t="e">
        <f>IF(LEN(VLOOKUP(Y370,A2:D500,4,FALSE))=0,,VLOOKUP(Y370,A2:D500,4,FALSE))</f>
        <v>#N/A</v>
      </c>
      <c r="AA370" s="56">
        <f>'Predictive Model'!P482</f>
        <v>0</v>
      </c>
      <c r="AB370" s="22" t="e">
        <f>IF(LEN(VLOOKUP(AA370,A2:D500,4,FALSE))=0,,VLOOKUP(AA370,A2:D500,4,FALSE))</f>
        <v>#N/A</v>
      </c>
      <c r="AC370" s="56">
        <f>'Consumption Model'!P487</f>
        <v>0</v>
      </c>
      <c r="AD370" s="22" t="e">
        <f>IF(LEN(VLOOKUP(AC370,A2:D500,4,FALSE))=0,,VLOOKUP(AC370,A2:D500,4,FALSE))</f>
        <v>#N/A</v>
      </c>
      <c r="AE370" s="22">
        <f>'(Data)'!Q483</f>
        <v>0</v>
      </c>
      <c r="AF370" s="22" t="e">
        <f>IF(LEN(VLOOKUP(AE369:AE370,A2:D500,4,FALSE))=0,,VLOOKUP(AE369:AE370,A2:D500,4,FALSE))</f>
        <v>#N/A</v>
      </c>
      <c r="AH370" s="45">
        <f>'Risk Charact Model'!P501</f>
        <v>0</v>
      </c>
      <c r="AI370" s="58" t="e">
        <f>IF(LEN(VLOOKUP(AH370,A2:D500,4,FALSE))=0,,VLOOKUP(AH370,A2:D500,4,FALSE))</f>
        <v>#N/A</v>
      </c>
    </row>
    <row r="371" spans="9:35" ht="14" x14ac:dyDescent="0.3">
      <c r="I371" s="60">
        <f>'Generic Metadata Schema'!P501</f>
        <v>0</v>
      </c>
      <c r="J371" s="22" t="e">
        <f>IF(LEN(VLOOKUP(I371,A2:D500,4,FALSE))=0,"",VLOOKUP(I371,A2:D500,4,FALSE))</f>
        <v>#N/A</v>
      </c>
      <c r="L371" s="56">
        <f>'Dose-response Model'!O485</f>
        <v>0</v>
      </c>
      <c r="M371" s="22" t="e">
        <f>IF(LEN(VLOOKUP(L371,A2:D500,4,FALSE))=0,,VLOOKUP(L371,A2:D500,4,FALSE))</f>
        <v>#N/A</v>
      </c>
      <c r="N371" s="22">
        <f>'Exposure Model'!O502</f>
        <v>0</v>
      </c>
      <c r="O371" s="22" t="e">
        <f>IF(LEN(VLOOKUP(N371,A2:D500,4,FALSE))=0,,VLOOKUP(N371,A2:D500,4,FALSE))</f>
        <v>#N/A</v>
      </c>
      <c r="P371" s="56">
        <f>'QRA Models'!Q502</f>
        <v>0</v>
      </c>
      <c r="Q371" s="22" t="e">
        <f>IF(LEN(VLOOKUP(P371,A2:D500,4,FALSE))=0,,VLOOKUP(P371,A2:D500,4,FALSE))</f>
        <v>#N/A</v>
      </c>
      <c r="R371" s="56">
        <f>'Health metrics Models'!Q485</f>
        <v>0</v>
      </c>
      <c r="S371" s="22" t="e">
        <f>IF(LEN(VLOOKUP(R371,A2:D500,4,FALSE))=0,,VLOOKUP(R371,A2:D500,4,FALSE))</f>
        <v>#N/A</v>
      </c>
      <c r="T371" s="56">
        <f>'Process Model'!P483</f>
        <v>0</v>
      </c>
      <c r="U371" s="22" t="e">
        <f>IF(LEN(VLOOKUP(T371,A2:D500,4,FALSE))=0,,VLOOKUP(T371,A2:D500,4,FALSE))</f>
        <v>#N/A</v>
      </c>
      <c r="V371" s="56">
        <f>'Toxicological reference value M'!P485</f>
        <v>0</v>
      </c>
      <c r="W371" s="22" t="e">
        <f>IF(LEN(VLOOKUP(V371,A2:D500,4,FALSE))=0,,VLOOKUP(V371,A2:D500,4,FALSE))</f>
        <v>#N/A</v>
      </c>
      <c r="Y371" s="56">
        <f>'Other Empirical Model'!P496</f>
        <v>0</v>
      </c>
      <c r="Z371" s="22" t="e">
        <f>IF(LEN(VLOOKUP(Y371,A2:D500,4,FALSE))=0,,VLOOKUP(Y371,A2:D500,4,FALSE))</f>
        <v>#N/A</v>
      </c>
      <c r="AA371" s="56">
        <f>'Predictive Model'!P483</f>
        <v>0</v>
      </c>
      <c r="AB371" s="22" t="e">
        <f>IF(LEN(VLOOKUP(AA371,A2:D500,4,FALSE))=0,,VLOOKUP(AA371,A2:D500,4,FALSE))</f>
        <v>#N/A</v>
      </c>
      <c r="AC371" s="56">
        <f>'Consumption Model'!P488</f>
        <v>0</v>
      </c>
      <c r="AD371" s="22" t="e">
        <f>IF(LEN(VLOOKUP(AC371,A2:D500,4,FALSE))=0,,VLOOKUP(AC371,A2:D500,4,FALSE))</f>
        <v>#N/A</v>
      </c>
      <c r="AE371" s="22">
        <f>'(Data)'!Q484</f>
        <v>0</v>
      </c>
      <c r="AF371" s="22" t="e">
        <f>IF(LEN(VLOOKUP(AE370:AE371,A2:D500,4,FALSE))=0,,VLOOKUP(AE370:AE371,A2:D500,4,FALSE))</f>
        <v>#N/A</v>
      </c>
      <c r="AH371" s="45">
        <f>'Risk Charact Model'!P502</f>
        <v>0</v>
      </c>
      <c r="AI371" s="58" t="e">
        <f>IF(LEN(VLOOKUP(AH371,A2:D500,4,FALSE))=0,,VLOOKUP(AH371,A2:D500,4,FALSE))</f>
        <v>#N/A</v>
      </c>
    </row>
    <row r="372" spans="9:35" ht="14" x14ac:dyDescent="0.3">
      <c r="I372" s="60">
        <f>'Generic Metadata Schema'!P502</f>
        <v>0</v>
      </c>
      <c r="J372" s="22" t="e">
        <f>IF(LEN(VLOOKUP(I372,A2:D500,4,FALSE))=0,"",VLOOKUP(I372,A2:D500,4,FALSE))</f>
        <v>#N/A</v>
      </c>
      <c r="L372" s="56">
        <f>'Dose-response Model'!O486</f>
        <v>0</v>
      </c>
      <c r="M372" s="22" t="e">
        <f>IF(LEN(VLOOKUP(L372,A2:D500,4,FALSE))=0,,VLOOKUP(L372,A2:D500,4,FALSE))</f>
        <v>#N/A</v>
      </c>
      <c r="N372" s="22">
        <f>'Exposure Model'!O503</f>
        <v>0</v>
      </c>
      <c r="O372" s="22" t="e">
        <f>IF(LEN(VLOOKUP(N372,A2:D500,4,FALSE))=0,,VLOOKUP(N372,A2:D500,4,FALSE))</f>
        <v>#N/A</v>
      </c>
      <c r="P372" s="56">
        <f>'QRA Models'!Q503</f>
        <v>0</v>
      </c>
      <c r="Q372" s="22" t="e">
        <f>IF(LEN(VLOOKUP(P372,A2:D500,4,FALSE))=0,,VLOOKUP(P372,A2:D500,4,FALSE))</f>
        <v>#N/A</v>
      </c>
      <c r="R372" s="56">
        <f>'Health metrics Models'!Q486</f>
        <v>0</v>
      </c>
      <c r="S372" s="22" t="e">
        <f>IF(LEN(VLOOKUP(R372,A2:D500,4,FALSE))=0,,VLOOKUP(R372,A2:D500,4,FALSE))</f>
        <v>#N/A</v>
      </c>
      <c r="T372" s="56">
        <f>'Process Model'!P484</f>
        <v>0</v>
      </c>
      <c r="U372" s="22" t="e">
        <f>IF(LEN(VLOOKUP(T372,A2:D500,4,FALSE))=0,,VLOOKUP(T372,A2:D500,4,FALSE))</f>
        <v>#N/A</v>
      </c>
      <c r="V372" s="56">
        <f>'Toxicological reference value M'!P486</f>
        <v>0</v>
      </c>
      <c r="W372" s="22" t="e">
        <f>IF(LEN(VLOOKUP(V372,A2:D500,4,FALSE))=0,,VLOOKUP(V372,A2:D500,4,FALSE))</f>
        <v>#N/A</v>
      </c>
      <c r="Y372" s="56">
        <f>'Other Empirical Model'!P497</f>
        <v>0</v>
      </c>
      <c r="Z372" s="22" t="e">
        <f>IF(LEN(VLOOKUP(Y372,A2:D500,4,FALSE))=0,,VLOOKUP(Y372,A2:D500,4,FALSE))</f>
        <v>#N/A</v>
      </c>
      <c r="AA372" s="56">
        <f>'Predictive Model'!P484</f>
        <v>0</v>
      </c>
      <c r="AB372" s="22" t="e">
        <f>IF(LEN(VLOOKUP(AA372,A2:D500,4,FALSE))=0,,VLOOKUP(AA372,A2:D500,4,FALSE))</f>
        <v>#N/A</v>
      </c>
      <c r="AC372" s="56">
        <f>'Consumption Model'!P489</f>
        <v>0</v>
      </c>
      <c r="AD372" s="22" t="e">
        <f>IF(LEN(VLOOKUP(AC372,A2:D500,4,FALSE))=0,,VLOOKUP(AC372,A2:D500,4,FALSE))</f>
        <v>#N/A</v>
      </c>
      <c r="AE372" s="22">
        <f>'(Data)'!Q485</f>
        <v>0</v>
      </c>
      <c r="AF372" s="22" t="e">
        <f>IF(LEN(VLOOKUP(AE371:AE372,A2:D500,4,FALSE))=0,,VLOOKUP(AE371:AE372,A2:D500,4,FALSE))</f>
        <v>#N/A</v>
      </c>
      <c r="AH372" s="45">
        <f>'Risk Charact Model'!P503</f>
        <v>0</v>
      </c>
      <c r="AI372" s="58" t="e">
        <f>IF(LEN(VLOOKUP(AH372,A2:D500,4,FALSE))=0,,VLOOKUP(AH372,A2:D500,4,FALSE))</f>
        <v>#N/A</v>
      </c>
    </row>
    <row r="373" spans="9:35" ht="14" x14ac:dyDescent="0.3">
      <c r="I373" s="60">
        <f>'Generic Metadata Schema'!P503</f>
        <v>0</v>
      </c>
      <c r="J373" s="22" t="e">
        <f>IF(LEN(VLOOKUP(I373,A2:D500,4,FALSE))=0,"",VLOOKUP(I373,A2:D500,4,FALSE))</f>
        <v>#N/A</v>
      </c>
      <c r="L373" s="56">
        <f>'Dose-response Model'!O487</f>
        <v>0</v>
      </c>
      <c r="M373" s="22" t="e">
        <f>IF(LEN(VLOOKUP(L373,A2:D500,4,FALSE))=0,,VLOOKUP(L373,A2:D500,4,FALSE))</f>
        <v>#N/A</v>
      </c>
      <c r="N373" s="22">
        <f>'Exposure Model'!O504</f>
        <v>0</v>
      </c>
      <c r="O373" s="22" t="e">
        <f>IF(LEN(VLOOKUP(N373,A2:D500,4,FALSE))=0,,VLOOKUP(N373,A2:D500,4,FALSE))</f>
        <v>#N/A</v>
      </c>
      <c r="P373" s="56">
        <f>'QRA Models'!Q504</f>
        <v>0</v>
      </c>
      <c r="Q373" s="22" t="e">
        <f>IF(LEN(VLOOKUP(P373,A2:D500,4,FALSE))=0,,VLOOKUP(P373,A2:D500,4,FALSE))</f>
        <v>#N/A</v>
      </c>
      <c r="R373" s="56">
        <f>'Health metrics Models'!Q487</f>
        <v>0</v>
      </c>
      <c r="S373" s="22" t="e">
        <f>IF(LEN(VLOOKUP(R373,A2:D500,4,FALSE))=0,,VLOOKUP(R373,A2:D500,4,FALSE))</f>
        <v>#N/A</v>
      </c>
      <c r="T373" s="56">
        <f>'Process Model'!P485</f>
        <v>0</v>
      </c>
      <c r="U373" s="22" t="e">
        <f>IF(LEN(VLOOKUP(T373,A2:D500,4,FALSE))=0,,VLOOKUP(T373,A2:D500,4,FALSE))</f>
        <v>#N/A</v>
      </c>
      <c r="V373" s="56">
        <f>'Toxicological reference value M'!P487</f>
        <v>0</v>
      </c>
      <c r="W373" s="22" t="e">
        <f>IF(LEN(VLOOKUP(V373,A2:D500,4,FALSE))=0,,VLOOKUP(V373,A2:D500,4,FALSE))</f>
        <v>#N/A</v>
      </c>
      <c r="Y373" s="56">
        <f>'Other Empirical Model'!P498</f>
        <v>0</v>
      </c>
      <c r="Z373" s="22" t="e">
        <f>IF(LEN(VLOOKUP(Y373,A2:D500,4,FALSE))=0,,VLOOKUP(Y373,A2:D500,4,FALSE))</f>
        <v>#N/A</v>
      </c>
      <c r="AA373" s="56">
        <f>'Predictive Model'!P485</f>
        <v>0</v>
      </c>
      <c r="AB373" s="22" t="e">
        <f>IF(LEN(VLOOKUP(AA373,A2:D500,4,FALSE))=0,,VLOOKUP(AA373,A2:D500,4,FALSE))</f>
        <v>#N/A</v>
      </c>
      <c r="AC373" s="56">
        <f>'Consumption Model'!P490</f>
        <v>0</v>
      </c>
      <c r="AD373" s="22" t="e">
        <f>IF(LEN(VLOOKUP(AC373,A2:D500,4,FALSE))=0,,VLOOKUP(AC373,A2:D500,4,FALSE))</f>
        <v>#N/A</v>
      </c>
      <c r="AE373" s="22">
        <f>'(Data)'!Q486</f>
        <v>0</v>
      </c>
      <c r="AF373" s="22" t="e">
        <f>IF(LEN(VLOOKUP(AE372:AE373,A2:D500,4,FALSE))=0,,VLOOKUP(AE372:AE373,A2:D500,4,FALSE))</f>
        <v>#N/A</v>
      </c>
      <c r="AH373" s="45">
        <f>'Risk Charact Model'!P504</f>
        <v>0</v>
      </c>
      <c r="AI373" s="58" t="e">
        <f>IF(LEN(VLOOKUP(AH373,A2:D500,4,FALSE))=0,,VLOOKUP(AH373,A2:D500,4,FALSE))</f>
        <v>#N/A</v>
      </c>
    </row>
    <row r="374" spans="9:35" ht="14" x14ac:dyDescent="0.3">
      <c r="I374" s="60">
        <f>'Generic Metadata Schema'!P504</f>
        <v>0</v>
      </c>
      <c r="J374" s="22" t="e">
        <f>IF(LEN(VLOOKUP(I374,A2:D500,4,FALSE))=0,"",VLOOKUP(I374,A2:D500,4,FALSE))</f>
        <v>#N/A</v>
      </c>
      <c r="L374" s="56">
        <f>'Dose-response Model'!O488</f>
        <v>0</v>
      </c>
      <c r="M374" s="22" t="e">
        <f>IF(LEN(VLOOKUP(L374,A2:D500,4,FALSE))=0,,VLOOKUP(L374,A2:D500,4,FALSE))</f>
        <v>#N/A</v>
      </c>
      <c r="N374" s="22">
        <f>'Exposure Model'!O505</f>
        <v>0</v>
      </c>
      <c r="O374" s="22" t="e">
        <f>IF(LEN(VLOOKUP(N374,A2:D500,4,FALSE))=0,,VLOOKUP(N374,A2:D500,4,FALSE))</f>
        <v>#N/A</v>
      </c>
      <c r="P374" s="56">
        <f>'QRA Models'!Q505</f>
        <v>0</v>
      </c>
      <c r="Q374" s="22" t="e">
        <f>IF(LEN(VLOOKUP(P374,A2:D500,4,FALSE))=0,,VLOOKUP(P374,A2:D500,4,FALSE))</f>
        <v>#N/A</v>
      </c>
      <c r="R374" s="56">
        <f>'Health metrics Models'!Q488</f>
        <v>0</v>
      </c>
      <c r="S374" s="22" t="e">
        <f>IF(LEN(VLOOKUP(R374,A2:D500,4,FALSE))=0,,VLOOKUP(R374,A2:D500,4,FALSE))</f>
        <v>#N/A</v>
      </c>
      <c r="T374" s="56">
        <f>'Process Model'!P486</f>
        <v>0</v>
      </c>
      <c r="U374" s="22" t="e">
        <f>IF(LEN(VLOOKUP(T374,A2:D500,4,FALSE))=0,,VLOOKUP(T374,A2:D500,4,FALSE))</f>
        <v>#N/A</v>
      </c>
      <c r="V374" s="56">
        <f>'Toxicological reference value M'!P488</f>
        <v>0</v>
      </c>
      <c r="W374" s="22" t="e">
        <f>IF(LEN(VLOOKUP(V374,A2:D500,4,FALSE))=0,,VLOOKUP(V374,A2:D500,4,FALSE))</f>
        <v>#N/A</v>
      </c>
      <c r="Y374" s="56">
        <f>'Other Empirical Model'!P499</f>
        <v>0</v>
      </c>
      <c r="Z374" s="22" t="e">
        <f>IF(LEN(VLOOKUP(Y374,A2:D500,4,FALSE))=0,,VLOOKUP(Y374,A2:D500,4,FALSE))</f>
        <v>#N/A</v>
      </c>
      <c r="AA374" s="56">
        <f>'Predictive Model'!P486</f>
        <v>0</v>
      </c>
      <c r="AB374" s="22" t="e">
        <f>IF(LEN(VLOOKUP(AA374,A2:D500,4,FALSE))=0,,VLOOKUP(AA374,A2:D500,4,FALSE))</f>
        <v>#N/A</v>
      </c>
      <c r="AC374" s="56">
        <f>'Consumption Model'!P491</f>
        <v>0</v>
      </c>
      <c r="AD374" s="22" t="e">
        <f>IF(LEN(VLOOKUP(AC374,A2:D500,4,FALSE))=0,,VLOOKUP(AC374,A2:D500,4,FALSE))</f>
        <v>#N/A</v>
      </c>
      <c r="AE374" s="22">
        <f>'(Data)'!Q487</f>
        <v>0</v>
      </c>
      <c r="AF374" s="22" t="e">
        <f>IF(LEN(VLOOKUP(AE373:AE374,A2:D500,4,FALSE))=0,,VLOOKUP(AE373:AE374,A2:D500,4,FALSE))</f>
        <v>#N/A</v>
      </c>
      <c r="AH374" s="45">
        <f>'Risk Charact Model'!P505</f>
        <v>0</v>
      </c>
      <c r="AI374" s="58" t="e">
        <f>IF(LEN(VLOOKUP(AH374,A2:D500,4,FALSE))=0,,VLOOKUP(AH374,A2:D500,4,FALSE))</f>
        <v>#N/A</v>
      </c>
    </row>
    <row r="375" spans="9:35" ht="14" x14ac:dyDescent="0.3">
      <c r="I375" s="60">
        <f>'Generic Metadata Schema'!P505</f>
        <v>0</v>
      </c>
      <c r="J375" s="22" t="e">
        <f>IF(LEN(VLOOKUP(I375,A2:D500,4,FALSE))=0,"",VLOOKUP(I375,A2:D500,4,FALSE))</f>
        <v>#N/A</v>
      </c>
      <c r="L375" s="56">
        <f>'Dose-response Model'!O489</f>
        <v>0</v>
      </c>
      <c r="M375" s="22" t="e">
        <f>IF(LEN(VLOOKUP(L375,A2:D500,4,FALSE))=0,,VLOOKUP(L375,A2:D500,4,FALSE))</f>
        <v>#N/A</v>
      </c>
      <c r="N375" s="22">
        <f>'Exposure Model'!O506</f>
        <v>0</v>
      </c>
      <c r="O375" s="22" t="e">
        <f>IF(LEN(VLOOKUP(N375,A2:D500,4,FALSE))=0,,VLOOKUP(N375,A2:D500,4,FALSE))</f>
        <v>#N/A</v>
      </c>
      <c r="P375" s="56">
        <f>'QRA Models'!Q506</f>
        <v>0</v>
      </c>
      <c r="Q375" s="22" t="e">
        <f>IF(LEN(VLOOKUP(P375,A2:D500,4,FALSE))=0,,VLOOKUP(P375,A2:D500,4,FALSE))</f>
        <v>#N/A</v>
      </c>
      <c r="R375" s="56">
        <f>'Health metrics Models'!Q489</f>
        <v>0</v>
      </c>
      <c r="S375" s="22" t="e">
        <f>IF(LEN(VLOOKUP(R375,A2:D500,4,FALSE))=0,,VLOOKUP(R375,A2:D500,4,FALSE))</f>
        <v>#N/A</v>
      </c>
      <c r="T375" s="56">
        <f>'Process Model'!P487</f>
        <v>0</v>
      </c>
      <c r="U375" s="22" t="e">
        <f>IF(LEN(VLOOKUP(T375,A2:D500,4,FALSE))=0,,VLOOKUP(T375,A2:D500,4,FALSE))</f>
        <v>#N/A</v>
      </c>
      <c r="V375" s="56">
        <f>'Toxicological reference value M'!P489</f>
        <v>0</v>
      </c>
      <c r="W375" s="22" t="e">
        <f>IF(LEN(VLOOKUP(V375,A2:D500,4,FALSE))=0,,VLOOKUP(V375,A2:D500,4,FALSE))</f>
        <v>#N/A</v>
      </c>
      <c r="Y375" s="56">
        <f>'Other Empirical Model'!P500</f>
        <v>0</v>
      </c>
      <c r="Z375" s="22" t="e">
        <f>IF(LEN(VLOOKUP(Y375,A2:D500,4,FALSE))=0,,VLOOKUP(Y375,A2:D500,4,FALSE))</f>
        <v>#N/A</v>
      </c>
      <c r="AA375" s="56">
        <f>'Predictive Model'!P487</f>
        <v>0</v>
      </c>
      <c r="AB375" s="22" t="e">
        <f>IF(LEN(VLOOKUP(AA375,A2:D500,4,FALSE))=0,,VLOOKUP(AA375,A2:D500,4,FALSE))</f>
        <v>#N/A</v>
      </c>
      <c r="AC375" s="56">
        <f>'Consumption Model'!P492</f>
        <v>0</v>
      </c>
      <c r="AD375" s="22" t="e">
        <f>IF(LEN(VLOOKUP(AC375,A2:D500,4,FALSE))=0,,VLOOKUP(AC375,A2:D500,4,FALSE))</f>
        <v>#N/A</v>
      </c>
      <c r="AE375" s="22">
        <f>'(Data)'!Q488</f>
        <v>0</v>
      </c>
      <c r="AF375" s="22" t="e">
        <f>IF(LEN(VLOOKUP(AE374:AE375,A2:D500,4,FALSE))=0,,VLOOKUP(AE374:AE375,A2:D500,4,FALSE))</f>
        <v>#N/A</v>
      </c>
      <c r="AH375" s="45">
        <f>'Risk Charact Model'!P506</f>
        <v>0</v>
      </c>
      <c r="AI375" s="58" t="e">
        <f>IF(LEN(VLOOKUP(AH375,A2:D500,4,FALSE))=0,,VLOOKUP(AH375,A2:D500,4,FALSE))</f>
        <v>#N/A</v>
      </c>
    </row>
    <row r="376" spans="9:35" ht="14" x14ac:dyDescent="0.3">
      <c r="I376" s="60">
        <f>'Generic Metadata Schema'!P506</f>
        <v>0</v>
      </c>
      <c r="J376" s="22" t="e">
        <f>IF(LEN(VLOOKUP(I376,A2:D500,4,FALSE))=0,"",VLOOKUP(I376,A2:D500,4,FALSE))</f>
        <v>#N/A</v>
      </c>
      <c r="L376" s="56">
        <f>'Dose-response Model'!O490</f>
        <v>0</v>
      </c>
      <c r="M376" s="22" t="e">
        <f>IF(LEN(VLOOKUP(L376,A2:D500,4,FALSE))=0,,VLOOKUP(L376,A2:D500,4,FALSE))</f>
        <v>#N/A</v>
      </c>
      <c r="N376" s="22">
        <f>'Exposure Model'!O507</f>
        <v>0</v>
      </c>
      <c r="O376" s="22" t="e">
        <f>IF(LEN(VLOOKUP(N376,A2:D500,4,FALSE))=0,,VLOOKUP(N376,A2:D500,4,FALSE))</f>
        <v>#N/A</v>
      </c>
      <c r="P376" s="56">
        <f>'QRA Models'!Q507</f>
        <v>0</v>
      </c>
      <c r="Q376" s="22" t="e">
        <f>IF(LEN(VLOOKUP(P376,A2:D500,4,FALSE))=0,,VLOOKUP(P376,A2:D500,4,FALSE))</f>
        <v>#N/A</v>
      </c>
      <c r="R376" s="56">
        <f>'Health metrics Models'!Q490</f>
        <v>0</v>
      </c>
      <c r="S376" s="22" t="e">
        <f>IF(LEN(VLOOKUP(R376,A2:D500,4,FALSE))=0,,VLOOKUP(R376,A2:D500,4,FALSE))</f>
        <v>#N/A</v>
      </c>
      <c r="T376" s="56">
        <f>'Process Model'!P488</f>
        <v>0</v>
      </c>
      <c r="U376" s="22" t="e">
        <f>IF(LEN(VLOOKUP(T376,A2:D500,4,FALSE))=0,,VLOOKUP(T376,A2:D500,4,FALSE))</f>
        <v>#N/A</v>
      </c>
      <c r="V376" s="56">
        <f>'Toxicological reference value M'!P490</f>
        <v>0</v>
      </c>
      <c r="W376" s="22" t="e">
        <f>IF(LEN(VLOOKUP(V376,A2:D500,4,FALSE))=0,,VLOOKUP(V376,A2:D500,4,FALSE))</f>
        <v>#N/A</v>
      </c>
      <c r="Y376" s="56">
        <f>'Other Empirical Model'!P501</f>
        <v>0</v>
      </c>
      <c r="Z376" s="22" t="e">
        <f>IF(LEN(VLOOKUP(Y376,A2:D500,4,FALSE))=0,,VLOOKUP(Y376,A2:D500,4,FALSE))</f>
        <v>#N/A</v>
      </c>
      <c r="AA376" s="56">
        <f>'Predictive Model'!P488</f>
        <v>0</v>
      </c>
      <c r="AB376" s="22" t="e">
        <f>IF(LEN(VLOOKUP(AA376,A2:D500,4,FALSE))=0,,VLOOKUP(AA376,A2:D500,4,FALSE))</f>
        <v>#N/A</v>
      </c>
      <c r="AC376" s="56">
        <f>'Consumption Model'!P493</f>
        <v>0</v>
      </c>
      <c r="AD376" s="22" t="e">
        <f>IF(LEN(VLOOKUP(AC376,A2:D500,4,FALSE))=0,,VLOOKUP(AC376,A2:D500,4,FALSE))</f>
        <v>#N/A</v>
      </c>
      <c r="AE376" s="22">
        <f>'(Data)'!Q489</f>
        <v>0</v>
      </c>
      <c r="AF376" s="22" t="e">
        <f>IF(LEN(VLOOKUP(AE375:AE376,A2:D500,4,FALSE))=0,,VLOOKUP(AE375:AE376,A2:D500,4,FALSE))</f>
        <v>#N/A</v>
      </c>
      <c r="AH376" s="45">
        <f>'Risk Charact Model'!P507</f>
        <v>0</v>
      </c>
      <c r="AI376" s="58" t="e">
        <f>IF(LEN(VLOOKUP(AH376,A2:D500,4,FALSE))=0,,VLOOKUP(AH376,A2:D500,4,FALSE))</f>
        <v>#N/A</v>
      </c>
    </row>
    <row r="377" spans="9:35" ht="14" x14ac:dyDescent="0.3">
      <c r="I377" s="60">
        <f>'Generic Metadata Schema'!P507</f>
        <v>0</v>
      </c>
      <c r="J377" s="22" t="e">
        <f>IF(LEN(VLOOKUP(I377,A2:D500,4,FALSE))=0,"",VLOOKUP(I377,A2:D500,4,FALSE))</f>
        <v>#N/A</v>
      </c>
      <c r="L377" s="56">
        <f>'Dose-response Model'!O491</f>
        <v>0</v>
      </c>
      <c r="M377" s="22" t="e">
        <f>IF(LEN(VLOOKUP(L377,A2:D500,4,FALSE))=0,,VLOOKUP(L377,A2:D500,4,FALSE))</f>
        <v>#N/A</v>
      </c>
      <c r="N377" s="22">
        <f>'Exposure Model'!O508</f>
        <v>0</v>
      </c>
      <c r="O377" s="22" t="e">
        <f>IF(LEN(VLOOKUP(N377,A2:D500,4,FALSE))=0,,VLOOKUP(N377,A2:D500,4,FALSE))</f>
        <v>#N/A</v>
      </c>
      <c r="P377" s="56">
        <f>'QRA Models'!Q508</f>
        <v>0</v>
      </c>
      <c r="Q377" s="22" t="e">
        <f>IF(LEN(VLOOKUP(P377,A2:D500,4,FALSE))=0,,VLOOKUP(P377,A2:D500,4,FALSE))</f>
        <v>#N/A</v>
      </c>
      <c r="R377" s="56">
        <f>'Health metrics Models'!Q491</f>
        <v>0</v>
      </c>
      <c r="S377" s="22" t="e">
        <f>IF(LEN(VLOOKUP(R377,A2:D500,4,FALSE))=0,,VLOOKUP(R377,A2:D500,4,FALSE))</f>
        <v>#N/A</v>
      </c>
      <c r="T377" s="56">
        <f>'Process Model'!P489</f>
        <v>0</v>
      </c>
      <c r="U377" s="22" t="e">
        <f>IF(LEN(VLOOKUP(T377,A2:D500,4,FALSE))=0,,VLOOKUP(T377,A2:D500,4,FALSE))</f>
        <v>#N/A</v>
      </c>
      <c r="V377" s="56">
        <f>'Toxicological reference value M'!P491</f>
        <v>0</v>
      </c>
      <c r="W377" s="22" t="e">
        <f>IF(LEN(VLOOKUP(V377,A2:D500,4,FALSE))=0,,VLOOKUP(V377,A2:D500,4,FALSE))</f>
        <v>#N/A</v>
      </c>
      <c r="Y377" s="56">
        <f>'Other Empirical Model'!P502</f>
        <v>0</v>
      </c>
      <c r="Z377" s="22" t="e">
        <f>IF(LEN(VLOOKUP(Y377,A2:D500,4,FALSE))=0,,VLOOKUP(Y377,A2:D500,4,FALSE))</f>
        <v>#N/A</v>
      </c>
      <c r="AA377" s="56">
        <f>'Predictive Model'!P489</f>
        <v>0</v>
      </c>
      <c r="AB377" s="22" t="e">
        <f>IF(LEN(VLOOKUP(AA377,A2:D500,4,FALSE))=0,,VLOOKUP(AA377,A2:D500,4,FALSE))</f>
        <v>#N/A</v>
      </c>
      <c r="AC377" s="56">
        <f>'Consumption Model'!P494</f>
        <v>0</v>
      </c>
      <c r="AD377" s="22" t="e">
        <f>IF(LEN(VLOOKUP(AC377,A2:D500,4,FALSE))=0,,VLOOKUP(AC377,A2:D500,4,FALSE))</f>
        <v>#N/A</v>
      </c>
      <c r="AE377" s="22">
        <f>'(Data)'!Q490</f>
        <v>0</v>
      </c>
      <c r="AF377" s="22" t="e">
        <f>IF(LEN(VLOOKUP(AE376:AE377,A2:D500,4,FALSE))=0,,VLOOKUP(AE376:AE377,A2:D500,4,FALSE))</f>
        <v>#N/A</v>
      </c>
      <c r="AH377" s="45">
        <f>'Risk Charact Model'!P508</f>
        <v>0</v>
      </c>
      <c r="AI377" s="58" t="e">
        <f>IF(LEN(VLOOKUP(AH377,A2:D500,4,FALSE))=0,,VLOOKUP(AH377,A2:D500,4,FALSE))</f>
        <v>#N/A</v>
      </c>
    </row>
    <row r="378" spans="9:35" ht="14" x14ac:dyDescent="0.3">
      <c r="I378" s="60">
        <f>'Generic Metadata Schema'!P508</f>
        <v>0</v>
      </c>
      <c r="J378" s="22" t="e">
        <f>IF(LEN(VLOOKUP(I378,A2:D500,4,FALSE))=0,"",VLOOKUP(I378,A2:D500,4,FALSE))</f>
        <v>#N/A</v>
      </c>
      <c r="L378" s="56">
        <f>'Dose-response Model'!O492</f>
        <v>0</v>
      </c>
      <c r="M378" s="22" t="e">
        <f>IF(LEN(VLOOKUP(L378,A2:D500,4,FALSE))=0,,VLOOKUP(L378,A2:D500,4,FALSE))</f>
        <v>#N/A</v>
      </c>
      <c r="N378" s="22">
        <f>'Exposure Model'!O509</f>
        <v>0</v>
      </c>
      <c r="O378" s="22" t="e">
        <f>IF(LEN(VLOOKUP(N378,A2:D500,4,FALSE))=0,,VLOOKUP(N378,A2:D500,4,FALSE))</f>
        <v>#N/A</v>
      </c>
      <c r="P378" s="56">
        <f>'QRA Models'!Q509</f>
        <v>0</v>
      </c>
      <c r="Q378" s="22" t="e">
        <f>IF(LEN(VLOOKUP(P378,A2:D500,4,FALSE))=0,,VLOOKUP(P378,A2:D500,4,FALSE))</f>
        <v>#N/A</v>
      </c>
      <c r="R378" s="56">
        <f>'Health metrics Models'!Q492</f>
        <v>0</v>
      </c>
      <c r="S378" s="22" t="e">
        <f>IF(LEN(VLOOKUP(R378,A2:D500,4,FALSE))=0,,VLOOKUP(R378,A2:D500,4,FALSE))</f>
        <v>#N/A</v>
      </c>
      <c r="T378" s="56">
        <f>'Process Model'!P490</f>
        <v>0</v>
      </c>
      <c r="U378" s="22" t="e">
        <f>IF(LEN(VLOOKUP(T378,A2:D500,4,FALSE))=0,,VLOOKUP(T378,A2:D500,4,FALSE))</f>
        <v>#N/A</v>
      </c>
      <c r="V378" s="56">
        <f>'Toxicological reference value M'!P492</f>
        <v>0</v>
      </c>
      <c r="W378" s="22" t="e">
        <f>IF(LEN(VLOOKUP(V378,A2:D500,4,FALSE))=0,,VLOOKUP(V378,A2:D500,4,FALSE))</f>
        <v>#N/A</v>
      </c>
      <c r="Y378" s="56">
        <f>'Other Empirical Model'!P503</f>
        <v>0</v>
      </c>
      <c r="Z378" s="22" t="e">
        <f>IF(LEN(VLOOKUP(Y378,A2:D500,4,FALSE))=0,,VLOOKUP(Y378,A2:D500,4,FALSE))</f>
        <v>#N/A</v>
      </c>
      <c r="AA378" s="56">
        <f>'Predictive Model'!P490</f>
        <v>0</v>
      </c>
      <c r="AB378" s="22" t="e">
        <f>IF(LEN(VLOOKUP(AA378,A2:D500,4,FALSE))=0,,VLOOKUP(AA378,A2:D500,4,FALSE))</f>
        <v>#N/A</v>
      </c>
      <c r="AC378" s="56">
        <f>'Consumption Model'!P495</f>
        <v>0</v>
      </c>
      <c r="AD378" s="22" t="e">
        <f>IF(LEN(VLOOKUP(AC378,A2:D500,4,FALSE))=0,,VLOOKUP(AC378,A2:D500,4,FALSE))</f>
        <v>#N/A</v>
      </c>
      <c r="AE378" s="22">
        <f>'(Data)'!Q491</f>
        <v>0</v>
      </c>
      <c r="AF378" s="22" t="e">
        <f>IF(LEN(VLOOKUP(AE377:AE378,A2:D500,4,FALSE))=0,,VLOOKUP(AE377:AE378,A2:D500,4,FALSE))</f>
        <v>#N/A</v>
      </c>
      <c r="AH378" s="45">
        <f>'Risk Charact Model'!P509</f>
        <v>0</v>
      </c>
      <c r="AI378" s="58" t="e">
        <f>IF(LEN(VLOOKUP(AH378,A2:D500,4,FALSE))=0,,VLOOKUP(AH378,A2:D500,4,FALSE))</f>
        <v>#N/A</v>
      </c>
    </row>
    <row r="379" spans="9:35" ht="14" x14ac:dyDescent="0.3">
      <c r="I379" s="60">
        <f>'Generic Metadata Schema'!P509</f>
        <v>0</v>
      </c>
      <c r="J379" s="22" t="e">
        <f>IF(LEN(VLOOKUP(I379,A2:D500,4,FALSE))=0,"",VLOOKUP(I379,A2:D500,4,FALSE))</f>
        <v>#N/A</v>
      </c>
      <c r="L379" s="56">
        <f>'Dose-response Model'!O493</f>
        <v>0</v>
      </c>
      <c r="M379" s="22" t="e">
        <f>IF(LEN(VLOOKUP(L379,A2:D500,4,FALSE))=0,,VLOOKUP(L379,A2:D500,4,FALSE))</f>
        <v>#N/A</v>
      </c>
      <c r="N379" s="22">
        <f>'Exposure Model'!O510</f>
        <v>0</v>
      </c>
      <c r="O379" s="22" t="e">
        <f>IF(LEN(VLOOKUP(N379,A2:D500,4,FALSE))=0,,VLOOKUP(N379,A2:D500,4,FALSE))</f>
        <v>#N/A</v>
      </c>
      <c r="P379" s="56">
        <f>'QRA Models'!Q510</f>
        <v>0</v>
      </c>
      <c r="Q379" s="22" t="e">
        <f>IF(LEN(VLOOKUP(P379,A2:D500,4,FALSE))=0,,VLOOKUP(P379,A2:D500,4,FALSE))</f>
        <v>#N/A</v>
      </c>
      <c r="R379" s="56">
        <f>'Health metrics Models'!Q493</f>
        <v>0</v>
      </c>
      <c r="S379" s="22" t="e">
        <f>IF(LEN(VLOOKUP(R379,A2:D500,4,FALSE))=0,,VLOOKUP(R379,A2:D500,4,FALSE))</f>
        <v>#N/A</v>
      </c>
      <c r="T379" s="56">
        <f>'Process Model'!P491</f>
        <v>0</v>
      </c>
      <c r="U379" s="22" t="e">
        <f>IF(LEN(VLOOKUP(T379,A2:D500,4,FALSE))=0,,VLOOKUP(T379,A2:D500,4,FALSE))</f>
        <v>#N/A</v>
      </c>
      <c r="V379" s="56">
        <f>'Toxicological reference value M'!P493</f>
        <v>0</v>
      </c>
      <c r="W379" s="22" t="e">
        <f>IF(LEN(VLOOKUP(V379,A2:D500,4,FALSE))=0,,VLOOKUP(V379,A2:D500,4,FALSE))</f>
        <v>#N/A</v>
      </c>
      <c r="Y379" s="56">
        <f>'Other Empirical Model'!P504</f>
        <v>0</v>
      </c>
      <c r="Z379" s="22" t="e">
        <f>IF(LEN(VLOOKUP(Y379,A2:D500,4,FALSE))=0,,VLOOKUP(Y379,A2:D500,4,FALSE))</f>
        <v>#N/A</v>
      </c>
      <c r="AA379" s="56">
        <f>'Predictive Model'!P491</f>
        <v>0</v>
      </c>
      <c r="AB379" s="22" t="e">
        <f>IF(LEN(VLOOKUP(AA379,A2:D500,4,FALSE))=0,,VLOOKUP(AA379,A2:D500,4,FALSE))</f>
        <v>#N/A</v>
      </c>
      <c r="AC379" s="56">
        <f>'Consumption Model'!P496</f>
        <v>0</v>
      </c>
      <c r="AD379" s="22" t="e">
        <f>IF(LEN(VLOOKUP(AC379,A2:D500,4,FALSE))=0,,VLOOKUP(AC379,A2:D500,4,FALSE))</f>
        <v>#N/A</v>
      </c>
      <c r="AE379" s="22">
        <f>'(Data)'!Q492</f>
        <v>0</v>
      </c>
      <c r="AF379" s="22" t="e">
        <f>IF(LEN(VLOOKUP(AE378:AE379,A2:D500,4,FALSE))=0,,VLOOKUP(AE378:AE379,A2:D500,4,FALSE))</f>
        <v>#N/A</v>
      </c>
      <c r="AH379" s="45">
        <f>'Risk Charact Model'!P510</f>
        <v>0</v>
      </c>
      <c r="AI379" s="58" t="e">
        <f>IF(LEN(VLOOKUP(AH379,A2:D500,4,FALSE))=0,,VLOOKUP(AH379,A2:D500,4,FALSE))</f>
        <v>#N/A</v>
      </c>
    </row>
    <row r="380" spans="9:35" ht="14" x14ac:dyDescent="0.3">
      <c r="I380" s="60">
        <f>'Generic Metadata Schema'!P510</f>
        <v>0</v>
      </c>
      <c r="J380" s="22" t="e">
        <f>IF(LEN(VLOOKUP(I380,A2:D500,4,FALSE))=0,"",VLOOKUP(I380,A2:D500,4,FALSE))</f>
        <v>#N/A</v>
      </c>
      <c r="L380" s="56">
        <f>'Dose-response Model'!O494</f>
        <v>0</v>
      </c>
      <c r="M380" s="22" t="e">
        <f>IF(LEN(VLOOKUP(L380,A2:D500,4,FALSE))=0,,VLOOKUP(L380,A2:D500,4,FALSE))</f>
        <v>#N/A</v>
      </c>
      <c r="N380" s="22">
        <f>'Exposure Model'!O511</f>
        <v>0</v>
      </c>
      <c r="O380" s="22" t="e">
        <f>IF(LEN(VLOOKUP(N380,A2:D500,4,FALSE))=0,,VLOOKUP(N380,A2:D500,4,FALSE))</f>
        <v>#N/A</v>
      </c>
      <c r="P380" s="56">
        <f>'QRA Models'!Q511</f>
        <v>0</v>
      </c>
      <c r="Q380" s="22" t="e">
        <f>IF(LEN(VLOOKUP(P380,A2:D500,4,FALSE))=0,,VLOOKUP(P380,A2:D500,4,FALSE))</f>
        <v>#N/A</v>
      </c>
      <c r="R380" s="56">
        <f>'Health metrics Models'!Q494</f>
        <v>0</v>
      </c>
      <c r="S380" s="22" t="e">
        <f>IF(LEN(VLOOKUP(R380,A2:D500,4,FALSE))=0,,VLOOKUP(R380,A2:D500,4,FALSE))</f>
        <v>#N/A</v>
      </c>
      <c r="T380" s="56">
        <f>'Process Model'!P492</f>
        <v>0</v>
      </c>
      <c r="U380" s="22" t="e">
        <f>IF(LEN(VLOOKUP(T380,A2:D500,4,FALSE))=0,,VLOOKUP(T380,A2:D500,4,FALSE))</f>
        <v>#N/A</v>
      </c>
      <c r="V380" s="56">
        <f>'Toxicological reference value M'!P494</f>
        <v>0</v>
      </c>
      <c r="W380" s="22" t="e">
        <f>IF(LEN(VLOOKUP(V380,A2:D500,4,FALSE))=0,,VLOOKUP(V380,A2:D500,4,FALSE))</f>
        <v>#N/A</v>
      </c>
      <c r="Y380" s="56">
        <f>'Other Empirical Model'!P505</f>
        <v>0</v>
      </c>
      <c r="Z380" s="22" t="e">
        <f>IF(LEN(VLOOKUP(Y380,A2:D500,4,FALSE))=0,,VLOOKUP(Y380,A2:D500,4,FALSE))</f>
        <v>#N/A</v>
      </c>
      <c r="AA380" s="56">
        <f>'Predictive Model'!P492</f>
        <v>0</v>
      </c>
      <c r="AB380" s="22" t="e">
        <f>IF(LEN(VLOOKUP(AA380,A2:D500,4,FALSE))=0,,VLOOKUP(AA380,A2:D500,4,FALSE))</f>
        <v>#N/A</v>
      </c>
      <c r="AC380" s="56">
        <f>'Consumption Model'!P497</f>
        <v>0</v>
      </c>
      <c r="AD380" s="22" t="e">
        <f>IF(LEN(VLOOKUP(AC380,A2:D500,4,FALSE))=0,,VLOOKUP(AC380,A2:D500,4,FALSE))</f>
        <v>#N/A</v>
      </c>
      <c r="AE380" s="22">
        <f>'(Data)'!Q493</f>
        <v>0</v>
      </c>
      <c r="AF380" s="22" t="e">
        <f>IF(LEN(VLOOKUP(AE379:AE380,A2:D500,4,FALSE))=0,,VLOOKUP(AE379:AE380,A2:D500,4,FALSE))</f>
        <v>#N/A</v>
      </c>
      <c r="AH380" s="45">
        <f>'Risk Charact Model'!P511</f>
        <v>0</v>
      </c>
      <c r="AI380" s="58" t="e">
        <f>IF(LEN(VLOOKUP(AH380,A2:D500,4,FALSE))=0,,VLOOKUP(AH380,A2:D500,4,FALSE))</f>
        <v>#N/A</v>
      </c>
    </row>
    <row r="381" spans="9:35" ht="14" x14ac:dyDescent="0.3">
      <c r="I381" s="60">
        <f>'Generic Metadata Schema'!P511</f>
        <v>0</v>
      </c>
      <c r="J381" s="22" t="e">
        <f>IF(LEN(VLOOKUP(I381,A2:D500,4,FALSE))=0,"",VLOOKUP(I381,A2:D500,4,FALSE))</f>
        <v>#N/A</v>
      </c>
      <c r="L381" s="56">
        <f>'Dose-response Model'!O495</f>
        <v>0</v>
      </c>
      <c r="M381" s="22" t="e">
        <f>IF(LEN(VLOOKUP(L381,A2:D500,4,FALSE))=0,,VLOOKUP(L381,A2:D500,4,FALSE))</f>
        <v>#N/A</v>
      </c>
      <c r="N381" s="22">
        <f>'Exposure Model'!O512</f>
        <v>0</v>
      </c>
      <c r="O381" s="22" t="e">
        <f>IF(LEN(VLOOKUP(N381,A2:D500,4,FALSE))=0,,VLOOKUP(N381,A2:D500,4,FALSE))</f>
        <v>#N/A</v>
      </c>
      <c r="P381" s="56">
        <f>'QRA Models'!Q512</f>
        <v>0</v>
      </c>
      <c r="Q381" s="22" t="e">
        <f>IF(LEN(VLOOKUP(P381,A2:D500,4,FALSE))=0,,VLOOKUP(P381,A2:D500,4,FALSE))</f>
        <v>#N/A</v>
      </c>
      <c r="R381" s="56">
        <f>'Health metrics Models'!Q495</f>
        <v>0</v>
      </c>
      <c r="S381" s="22" t="e">
        <f>IF(LEN(VLOOKUP(R381,A2:D500,4,FALSE))=0,,VLOOKUP(R381,A2:D500,4,FALSE))</f>
        <v>#N/A</v>
      </c>
      <c r="T381" s="56">
        <f>'Process Model'!P493</f>
        <v>0</v>
      </c>
      <c r="U381" s="22" t="e">
        <f>IF(LEN(VLOOKUP(T381,A2:D500,4,FALSE))=0,,VLOOKUP(T381,A2:D500,4,FALSE))</f>
        <v>#N/A</v>
      </c>
      <c r="V381" s="56">
        <f>'Toxicological reference value M'!P495</f>
        <v>0</v>
      </c>
      <c r="W381" s="22" t="e">
        <f>IF(LEN(VLOOKUP(V381,A2:D500,4,FALSE))=0,,VLOOKUP(V381,A2:D500,4,FALSE))</f>
        <v>#N/A</v>
      </c>
      <c r="Y381" s="56">
        <f>'Other Empirical Model'!P506</f>
        <v>0</v>
      </c>
      <c r="Z381" s="22" t="e">
        <f>IF(LEN(VLOOKUP(Y381,A2:D500,4,FALSE))=0,,VLOOKUP(Y381,A2:D500,4,FALSE))</f>
        <v>#N/A</v>
      </c>
      <c r="AA381" s="56">
        <f>'Predictive Model'!P493</f>
        <v>0</v>
      </c>
      <c r="AB381" s="22" t="e">
        <f>IF(LEN(VLOOKUP(AA381,A2:D500,4,FALSE))=0,,VLOOKUP(AA381,A2:D500,4,FALSE))</f>
        <v>#N/A</v>
      </c>
      <c r="AC381" s="56">
        <f>'Consumption Model'!P498</f>
        <v>0</v>
      </c>
      <c r="AD381" s="22" t="e">
        <f>IF(LEN(VLOOKUP(AC381,A2:D500,4,FALSE))=0,,VLOOKUP(AC381,A2:D500,4,FALSE))</f>
        <v>#N/A</v>
      </c>
      <c r="AE381" s="22">
        <f>'(Data)'!Q494</f>
        <v>0</v>
      </c>
      <c r="AF381" s="22" t="e">
        <f>IF(LEN(VLOOKUP(AE380:AE381,A2:D500,4,FALSE))=0,,VLOOKUP(AE380:AE381,A2:D500,4,FALSE))</f>
        <v>#N/A</v>
      </c>
      <c r="AH381" s="45">
        <f>'Risk Charact Model'!P512</f>
        <v>0</v>
      </c>
      <c r="AI381" s="58" t="e">
        <f>IF(LEN(VLOOKUP(AH381,A2:D500,4,FALSE))=0,,VLOOKUP(AH381,A2:D500,4,FALSE))</f>
        <v>#N/A</v>
      </c>
    </row>
    <row r="382" spans="9:35" ht="14" x14ac:dyDescent="0.3">
      <c r="I382" s="60">
        <f>'Generic Metadata Schema'!P512</f>
        <v>0</v>
      </c>
      <c r="J382" s="22" t="e">
        <f>IF(LEN(VLOOKUP(I382,A2:D500,4,FALSE))=0,"",VLOOKUP(I382,A2:D500,4,FALSE))</f>
        <v>#N/A</v>
      </c>
      <c r="L382" s="56">
        <f>'Dose-response Model'!O496</f>
        <v>0</v>
      </c>
      <c r="M382" s="22" t="e">
        <f>IF(LEN(VLOOKUP(L382,A2:D500,4,FALSE))=0,,VLOOKUP(L382,A2:D500,4,FALSE))</f>
        <v>#N/A</v>
      </c>
      <c r="N382" s="22">
        <f>'Exposure Model'!O513</f>
        <v>0</v>
      </c>
      <c r="O382" s="22" t="e">
        <f>IF(LEN(VLOOKUP(N382,A2:D500,4,FALSE))=0,,VLOOKUP(N382,A2:D500,4,FALSE))</f>
        <v>#N/A</v>
      </c>
      <c r="P382" s="56">
        <f>'QRA Models'!Q513</f>
        <v>0</v>
      </c>
      <c r="Q382" s="22" t="e">
        <f>IF(LEN(VLOOKUP(P382,A2:D500,4,FALSE))=0,,VLOOKUP(P382,A2:D500,4,FALSE))</f>
        <v>#N/A</v>
      </c>
      <c r="R382" s="56">
        <f>'Health metrics Models'!Q496</f>
        <v>0</v>
      </c>
      <c r="S382" s="22" t="e">
        <f>IF(LEN(VLOOKUP(R382,A2:D500,4,FALSE))=0,,VLOOKUP(R382,A2:D500,4,FALSE))</f>
        <v>#N/A</v>
      </c>
      <c r="T382" s="56">
        <f>'Process Model'!P494</f>
        <v>0</v>
      </c>
      <c r="U382" s="22" t="e">
        <f>IF(LEN(VLOOKUP(T382,A2:D500,4,FALSE))=0,,VLOOKUP(T382,A2:D500,4,FALSE))</f>
        <v>#N/A</v>
      </c>
      <c r="V382" s="56">
        <f>'Toxicological reference value M'!P496</f>
        <v>0</v>
      </c>
      <c r="W382" s="22" t="e">
        <f>IF(LEN(VLOOKUP(V382,A2:D500,4,FALSE))=0,,VLOOKUP(V382,A2:D500,4,FALSE))</f>
        <v>#N/A</v>
      </c>
      <c r="Y382" s="56">
        <f>'Other Empirical Model'!P507</f>
        <v>0</v>
      </c>
      <c r="Z382" s="22" t="e">
        <f>IF(LEN(VLOOKUP(Y382,A2:D500,4,FALSE))=0,,VLOOKUP(Y382,A2:D500,4,FALSE))</f>
        <v>#N/A</v>
      </c>
      <c r="AA382" s="56">
        <f>'Predictive Model'!P494</f>
        <v>0</v>
      </c>
      <c r="AB382" s="22" t="e">
        <f>IF(LEN(VLOOKUP(AA382,A2:D500,4,FALSE))=0,,VLOOKUP(AA382,A2:D500,4,FALSE))</f>
        <v>#N/A</v>
      </c>
      <c r="AC382" s="56">
        <f>'Consumption Model'!P499</f>
        <v>0</v>
      </c>
      <c r="AD382" s="22" t="e">
        <f>IF(LEN(VLOOKUP(AC382,A2:D500,4,FALSE))=0,,VLOOKUP(AC382,A2:D500,4,FALSE))</f>
        <v>#N/A</v>
      </c>
      <c r="AE382" s="22">
        <f>'(Data)'!Q495</f>
        <v>0</v>
      </c>
      <c r="AF382" s="22" t="e">
        <f>IF(LEN(VLOOKUP(AE381:AE382,A2:D500,4,FALSE))=0,,VLOOKUP(AE381:AE382,A2:D500,4,FALSE))</f>
        <v>#N/A</v>
      </c>
      <c r="AH382" s="45">
        <f>'Risk Charact Model'!P513</f>
        <v>0</v>
      </c>
      <c r="AI382" s="58" t="e">
        <f>IF(LEN(VLOOKUP(AH382,A2:D500,4,FALSE))=0,,VLOOKUP(AH382,A2:D500,4,FALSE))</f>
        <v>#N/A</v>
      </c>
    </row>
    <row r="383" spans="9:35" ht="14" x14ac:dyDescent="0.3">
      <c r="I383" s="60">
        <f>'Generic Metadata Schema'!P513</f>
        <v>0</v>
      </c>
      <c r="J383" s="22" t="e">
        <f>IF(LEN(VLOOKUP(I383,A2:D500,4,FALSE))=0,"",VLOOKUP(I383,A2:D500,4,FALSE))</f>
        <v>#N/A</v>
      </c>
      <c r="L383" s="56">
        <f>'Dose-response Model'!O497</f>
        <v>0</v>
      </c>
      <c r="M383" s="22" t="e">
        <f>IF(LEN(VLOOKUP(L383,A2:D500,4,FALSE))=0,,VLOOKUP(L383,A2:D500,4,FALSE))</f>
        <v>#N/A</v>
      </c>
      <c r="N383" s="22">
        <f>'Exposure Model'!O514</f>
        <v>0</v>
      </c>
      <c r="O383" s="22" t="e">
        <f>IF(LEN(VLOOKUP(N383,A2:D500,4,FALSE))=0,,VLOOKUP(N383,A2:D500,4,FALSE))</f>
        <v>#N/A</v>
      </c>
      <c r="P383" s="56">
        <f>'QRA Models'!Q514</f>
        <v>0</v>
      </c>
      <c r="Q383" s="22" t="e">
        <f>IF(LEN(VLOOKUP(P383,A2:D500,4,FALSE))=0,,VLOOKUP(P383,A2:D500,4,FALSE))</f>
        <v>#N/A</v>
      </c>
      <c r="R383" s="56">
        <f>'Health metrics Models'!Q497</f>
        <v>0</v>
      </c>
      <c r="S383" s="22" t="e">
        <f>IF(LEN(VLOOKUP(R383,A2:D500,4,FALSE))=0,,VLOOKUP(R383,A2:D500,4,FALSE))</f>
        <v>#N/A</v>
      </c>
      <c r="T383" s="56">
        <f>'Process Model'!P495</f>
        <v>0</v>
      </c>
      <c r="U383" s="22" t="e">
        <f>IF(LEN(VLOOKUP(T383,A2:D500,4,FALSE))=0,,VLOOKUP(T383,A2:D500,4,FALSE))</f>
        <v>#N/A</v>
      </c>
      <c r="V383" s="56">
        <f>'Toxicological reference value M'!P497</f>
        <v>0</v>
      </c>
      <c r="W383" s="22" t="e">
        <f>IF(LEN(VLOOKUP(V383,A2:D500,4,FALSE))=0,,VLOOKUP(V383,A2:D500,4,FALSE))</f>
        <v>#N/A</v>
      </c>
      <c r="Y383" s="56">
        <f>'Other Empirical Model'!P508</f>
        <v>0</v>
      </c>
      <c r="Z383" s="22" t="e">
        <f>IF(LEN(VLOOKUP(Y383,A2:D500,4,FALSE))=0,,VLOOKUP(Y383,A2:D500,4,FALSE))</f>
        <v>#N/A</v>
      </c>
      <c r="AA383" s="56">
        <f>'Predictive Model'!P495</f>
        <v>0</v>
      </c>
      <c r="AB383" s="22" t="e">
        <f>IF(LEN(VLOOKUP(AA383,A2:D500,4,FALSE))=0,,VLOOKUP(AA383,A2:D500,4,FALSE))</f>
        <v>#N/A</v>
      </c>
      <c r="AC383" s="56">
        <f>'Consumption Model'!P500</f>
        <v>0</v>
      </c>
      <c r="AD383" s="22" t="e">
        <f>IF(LEN(VLOOKUP(AC383,A2:D500,4,FALSE))=0,,VLOOKUP(AC383,A2:D500,4,FALSE))</f>
        <v>#N/A</v>
      </c>
      <c r="AE383" s="22">
        <f>'(Data)'!Q496</f>
        <v>0</v>
      </c>
      <c r="AF383" s="22" t="e">
        <f>IF(LEN(VLOOKUP(AE382:AE383,A2:D500,4,FALSE))=0,,VLOOKUP(AE382:AE383,A2:D500,4,FALSE))</f>
        <v>#N/A</v>
      </c>
      <c r="AH383" s="45">
        <f>'Risk Charact Model'!P514</f>
        <v>0</v>
      </c>
      <c r="AI383" s="58" t="e">
        <f>IF(LEN(VLOOKUP(AH383,A2:D500,4,FALSE))=0,,VLOOKUP(AH383,A2:D500,4,FALSE))</f>
        <v>#N/A</v>
      </c>
    </row>
    <row r="384" spans="9:35" ht="14" x14ac:dyDescent="0.3">
      <c r="I384" s="60">
        <f>'Generic Metadata Schema'!P514</f>
        <v>0</v>
      </c>
      <c r="J384" s="22" t="e">
        <f>IF(LEN(VLOOKUP(I384,A2:D500,4,FALSE))=0,"",VLOOKUP(I384,A2:D500,4,FALSE))</f>
        <v>#N/A</v>
      </c>
      <c r="L384" s="56">
        <f>'Dose-response Model'!O498</f>
        <v>0</v>
      </c>
      <c r="M384" s="22" t="e">
        <f>IF(LEN(VLOOKUP(L384,A2:D500,4,FALSE))=0,,VLOOKUP(L384,A2:D500,4,FALSE))</f>
        <v>#N/A</v>
      </c>
      <c r="N384" s="22">
        <f>'Exposure Model'!O515</f>
        <v>0</v>
      </c>
      <c r="O384" s="22" t="e">
        <f>IF(LEN(VLOOKUP(N384,A2:D500,4,FALSE))=0,,VLOOKUP(N384,A2:D500,4,FALSE))</f>
        <v>#N/A</v>
      </c>
      <c r="P384" s="56">
        <f>'QRA Models'!Q515</f>
        <v>0</v>
      </c>
      <c r="Q384" s="22" t="e">
        <f>IF(LEN(VLOOKUP(P384,A2:D500,4,FALSE))=0,,VLOOKUP(P384,A2:D500,4,FALSE))</f>
        <v>#N/A</v>
      </c>
      <c r="R384" s="56">
        <f>'Health metrics Models'!Q498</f>
        <v>0</v>
      </c>
      <c r="S384" s="22" t="e">
        <f>IF(LEN(VLOOKUP(R384,A2:D500,4,FALSE))=0,,VLOOKUP(R384,A2:D500,4,FALSE))</f>
        <v>#N/A</v>
      </c>
      <c r="T384" s="56">
        <f>'Process Model'!P496</f>
        <v>0</v>
      </c>
      <c r="U384" s="22" t="e">
        <f>IF(LEN(VLOOKUP(T384,A2:D500,4,FALSE))=0,,VLOOKUP(T384,A2:D500,4,FALSE))</f>
        <v>#N/A</v>
      </c>
      <c r="V384" s="56">
        <f>'Toxicological reference value M'!P498</f>
        <v>0</v>
      </c>
      <c r="W384" s="22" t="e">
        <f>IF(LEN(VLOOKUP(V384,A2:D500,4,FALSE))=0,,VLOOKUP(V384,A2:D500,4,FALSE))</f>
        <v>#N/A</v>
      </c>
      <c r="Y384" s="56">
        <f>'Other Empirical Model'!P509</f>
        <v>0</v>
      </c>
      <c r="Z384" s="22" t="e">
        <f>IF(LEN(VLOOKUP(Y384,A2:D500,4,FALSE))=0,,VLOOKUP(Y384,A2:D500,4,FALSE))</f>
        <v>#N/A</v>
      </c>
      <c r="AA384" s="56">
        <f>'Predictive Model'!P496</f>
        <v>0</v>
      </c>
      <c r="AB384" s="22" t="e">
        <f>IF(LEN(VLOOKUP(AA384,A2:D500,4,FALSE))=0,,VLOOKUP(AA384,A2:D500,4,FALSE))</f>
        <v>#N/A</v>
      </c>
      <c r="AC384" s="56">
        <f>'Consumption Model'!P501</f>
        <v>0</v>
      </c>
      <c r="AD384" s="22" t="e">
        <f>IF(LEN(VLOOKUP(AC384,A2:D500,4,FALSE))=0,,VLOOKUP(AC384,A2:D500,4,FALSE))</f>
        <v>#N/A</v>
      </c>
      <c r="AE384" s="22">
        <f>'(Data)'!Q497</f>
        <v>0</v>
      </c>
      <c r="AF384" s="22" t="e">
        <f>IF(LEN(VLOOKUP(AE383:AE384,A2:D500,4,FALSE))=0,,VLOOKUP(AE383:AE384,A2:D500,4,FALSE))</f>
        <v>#N/A</v>
      </c>
      <c r="AH384" s="45">
        <f>'Risk Charact Model'!P515</f>
        <v>0</v>
      </c>
      <c r="AI384" s="58" t="e">
        <f>IF(LEN(VLOOKUP(AH384,A2:D500,4,FALSE))=0,,VLOOKUP(AH384,A2:D500,4,FALSE))</f>
        <v>#N/A</v>
      </c>
    </row>
    <row r="385" spans="9:35" ht="14" x14ac:dyDescent="0.3">
      <c r="I385" s="60">
        <f>'Generic Metadata Schema'!P515</f>
        <v>0</v>
      </c>
      <c r="J385" s="22" t="e">
        <f>IF(LEN(VLOOKUP(I385,A2:D500,4,FALSE))=0,"",VLOOKUP(I385,A2:D500,4,FALSE))</f>
        <v>#N/A</v>
      </c>
      <c r="L385" s="56">
        <f>'Dose-response Model'!O499</f>
        <v>0</v>
      </c>
      <c r="M385" s="22" t="e">
        <f>IF(LEN(VLOOKUP(L385,A2:D500,4,FALSE))=0,,VLOOKUP(L385,A2:D500,4,FALSE))</f>
        <v>#N/A</v>
      </c>
      <c r="N385" s="22">
        <f>'Exposure Model'!O516</f>
        <v>0</v>
      </c>
      <c r="O385" s="22" t="e">
        <f>IF(LEN(VLOOKUP(N385,A2:D500,4,FALSE))=0,,VLOOKUP(N385,A2:D500,4,FALSE))</f>
        <v>#N/A</v>
      </c>
      <c r="P385" s="56">
        <f>'QRA Models'!Q516</f>
        <v>0</v>
      </c>
      <c r="Q385" s="22" t="e">
        <f>IF(LEN(VLOOKUP(P385,A2:D500,4,FALSE))=0,,VLOOKUP(P385,A2:D500,4,FALSE))</f>
        <v>#N/A</v>
      </c>
      <c r="R385" s="56">
        <f>'Health metrics Models'!Q499</f>
        <v>0</v>
      </c>
      <c r="S385" s="22" t="e">
        <f>IF(LEN(VLOOKUP(R385,A2:D500,4,FALSE))=0,,VLOOKUP(R385,A2:D500,4,FALSE))</f>
        <v>#N/A</v>
      </c>
      <c r="T385" s="56">
        <f>'Process Model'!P497</f>
        <v>0</v>
      </c>
      <c r="U385" s="22" t="e">
        <f>IF(LEN(VLOOKUP(T385,A2:D500,4,FALSE))=0,,VLOOKUP(T385,A2:D500,4,FALSE))</f>
        <v>#N/A</v>
      </c>
      <c r="V385" s="56">
        <f>'Toxicological reference value M'!P499</f>
        <v>0</v>
      </c>
      <c r="W385" s="22" t="e">
        <f>IF(LEN(VLOOKUP(V385,A2:D500,4,FALSE))=0,,VLOOKUP(V385,A2:D500,4,FALSE))</f>
        <v>#N/A</v>
      </c>
      <c r="Y385" s="56">
        <f>'Other Empirical Model'!P510</f>
        <v>0</v>
      </c>
      <c r="Z385" s="22" t="e">
        <f>IF(LEN(VLOOKUP(Y385,A2:D500,4,FALSE))=0,,VLOOKUP(Y385,A2:D500,4,FALSE))</f>
        <v>#N/A</v>
      </c>
      <c r="AA385" s="56">
        <f>'Predictive Model'!P497</f>
        <v>0</v>
      </c>
      <c r="AB385" s="22" t="e">
        <f>IF(LEN(VLOOKUP(AA385,A2:D500,4,FALSE))=0,,VLOOKUP(AA385,A2:D500,4,FALSE))</f>
        <v>#N/A</v>
      </c>
      <c r="AC385" s="56">
        <f>'Consumption Model'!P502</f>
        <v>0</v>
      </c>
      <c r="AD385" s="22" t="e">
        <f>IF(LEN(VLOOKUP(AC385,A2:D500,4,FALSE))=0,,VLOOKUP(AC385,A2:D500,4,FALSE))</f>
        <v>#N/A</v>
      </c>
      <c r="AE385" s="22">
        <f>'(Data)'!Q498</f>
        <v>0</v>
      </c>
      <c r="AF385" s="22" t="e">
        <f>IF(LEN(VLOOKUP(AE384:AE385,A2:D500,4,FALSE))=0,,VLOOKUP(AE384:AE385,A2:D500,4,FALSE))</f>
        <v>#N/A</v>
      </c>
      <c r="AH385" s="45">
        <f>'Risk Charact Model'!P516</f>
        <v>0</v>
      </c>
      <c r="AI385" s="58" t="e">
        <f>IF(LEN(VLOOKUP(AH385,A2:D500,4,FALSE))=0,,VLOOKUP(AH385,A2:D500,4,FALSE))</f>
        <v>#N/A</v>
      </c>
    </row>
    <row r="386" spans="9:35" ht="14" x14ac:dyDescent="0.3">
      <c r="I386" s="60">
        <f>'Generic Metadata Schema'!P516</f>
        <v>0</v>
      </c>
      <c r="J386" s="22" t="e">
        <f>IF(LEN(VLOOKUP(I386,A2:D500,4,FALSE))=0,"",VLOOKUP(I386,A2:D500,4,FALSE))</f>
        <v>#N/A</v>
      </c>
      <c r="L386" s="56">
        <f>'Dose-response Model'!O500</f>
        <v>0</v>
      </c>
      <c r="M386" s="22" t="e">
        <f>IF(LEN(VLOOKUP(L386,A2:D500,4,FALSE))=0,,VLOOKUP(L386,A2:D500,4,FALSE))</f>
        <v>#N/A</v>
      </c>
      <c r="N386" s="22">
        <f>'Exposure Model'!O517</f>
        <v>0</v>
      </c>
      <c r="O386" s="22" t="e">
        <f>IF(LEN(VLOOKUP(N386,A2:D500,4,FALSE))=0,,VLOOKUP(N386,A2:D500,4,FALSE))</f>
        <v>#N/A</v>
      </c>
      <c r="P386" s="56">
        <f>'QRA Models'!Q517</f>
        <v>0</v>
      </c>
      <c r="Q386" s="22" t="e">
        <f>IF(LEN(VLOOKUP(P386,A2:D500,4,FALSE))=0,,VLOOKUP(P386,A2:D500,4,FALSE))</f>
        <v>#N/A</v>
      </c>
      <c r="R386" s="56">
        <f>'Health metrics Models'!Q500</f>
        <v>0</v>
      </c>
      <c r="S386" s="22" t="e">
        <f>IF(LEN(VLOOKUP(R386,A2:D500,4,FALSE))=0,,VLOOKUP(R386,A2:D500,4,FALSE))</f>
        <v>#N/A</v>
      </c>
      <c r="T386" s="56">
        <f>'Process Model'!P498</f>
        <v>0</v>
      </c>
      <c r="U386" s="22" t="e">
        <f>IF(LEN(VLOOKUP(T386,A2:D500,4,FALSE))=0,,VLOOKUP(T386,A2:D500,4,FALSE))</f>
        <v>#N/A</v>
      </c>
      <c r="V386" s="56">
        <f>'Toxicological reference value M'!P500</f>
        <v>0</v>
      </c>
      <c r="W386" s="22" t="e">
        <f>IF(LEN(VLOOKUP(V386,A2:D500,4,FALSE))=0,,VLOOKUP(V386,A2:D500,4,FALSE))</f>
        <v>#N/A</v>
      </c>
      <c r="Y386" s="56">
        <f>'Other Empirical Model'!P511</f>
        <v>0</v>
      </c>
      <c r="Z386" s="22" t="e">
        <f>IF(LEN(VLOOKUP(Y386,A2:D500,4,FALSE))=0,,VLOOKUP(Y386,A2:D500,4,FALSE))</f>
        <v>#N/A</v>
      </c>
      <c r="AA386" s="56">
        <f>'Predictive Model'!P498</f>
        <v>0</v>
      </c>
      <c r="AB386" s="22" t="e">
        <f>IF(LEN(VLOOKUP(AA386,A2:D500,4,FALSE))=0,,VLOOKUP(AA386,A2:D500,4,FALSE))</f>
        <v>#N/A</v>
      </c>
      <c r="AC386" s="56">
        <f>'Consumption Model'!P503</f>
        <v>0</v>
      </c>
      <c r="AD386" s="22" t="e">
        <f>IF(LEN(VLOOKUP(AC386,A2:D500,4,FALSE))=0,,VLOOKUP(AC386,A2:D500,4,FALSE))</f>
        <v>#N/A</v>
      </c>
      <c r="AE386" s="22">
        <f>'(Data)'!Q499</f>
        <v>0</v>
      </c>
      <c r="AF386" s="22" t="e">
        <f>IF(LEN(VLOOKUP(AE385:AE386,A2:D500,4,FALSE))=0,,VLOOKUP(AE385:AE386,A2:D500,4,FALSE))</f>
        <v>#N/A</v>
      </c>
      <c r="AH386" s="45">
        <f>'Risk Charact Model'!P517</f>
        <v>0</v>
      </c>
      <c r="AI386" s="58" t="e">
        <f>IF(LEN(VLOOKUP(AH386,A2:D500,4,FALSE))=0,,VLOOKUP(AH386,A2:D500,4,FALSE))</f>
        <v>#N/A</v>
      </c>
    </row>
    <row r="387" spans="9:35" ht="14" x14ac:dyDescent="0.3">
      <c r="I387" s="60">
        <f>'Generic Metadata Schema'!P517</f>
        <v>0</v>
      </c>
      <c r="J387" s="22" t="e">
        <f>IF(LEN(VLOOKUP(I387,A2:D500,4,FALSE))=0,"",VLOOKUP(I387,A2:D500,4,FALSE))</f>
        <v>#N/A</v>
      </c>
      <c r="L387" s="56">
        <f>'Dose-response Model'!O501</f>
        <v>0</v>
      </c>
      <c r="M387" s="22" t="e">
        <f>IF(LEN(VLOOKUP(L387,A2:D500,4,FALSE))=0,,VLOOKUP(L387,A2:D500,4,FALSE))</f>
        <v>#N/A</v>
      </c>
      <c r="N387" s="22">
        <f>'Exposure Model'!O518</f>
        <v>0</v>
      </c>
      <c r="O387" s="22" t="e">
        <f>IF(LEN(VLOOKUP(N387,A2:D500,4,FALSE))=0,,VLOOKUP(N387,A2:D500,4,FALSE))</f>
        <v>#N/A</v>
      </c>
      <c r="P387" s="56">
        <f>'QRA Models'!Q518</f>
        <v>0</v>
      </c>
      <c r="Q387" s="22" t="e">
        <f>IF(LEN(VLOOKUP(P387,A2:D500,4,FALSE))=0,,VLOOKUP(P387,A2:D500,4,FALSE))</f>
        <v>#N/A</v>
      </c>
      <c r="R387" s="56">
        <f>'Health metrics Models'!Q501</f>
        <v>0</v>
      </c>
      <c r="S387" s="22" t="e">
        <f>IF(LEN(VLOOKUP(R387,A2:D500,4,FALSE))=0,,VLOOKUP(R387,A2:D500,4,FALSE))</f>
        <v>#N/A</v>
      </c>
      <c r="T387" s="56">
        <f>'Process Model'!P499</f>
        <v>0</v>
      </c>
      <c r="U387" s="22" t="e">
        <f>IF(LEN(VLOOKUP(T387,A2:D500,4,FALSE))=0,,VLOOKUP(T387,A2:D500,4,FALSE))</f>
        <v>#N/A</v>
      </c>
      <c r="V387" s="56">
        <f>'Toxicological reference value M'!P501</f>
        <v>0</v>
      </c>
      <c r="W387" s="22" t="e">
        <f>IF(LEN(VLOOKUP(V387,A2:D500,4,FALSE))=0,,VLOOKUP(V387,A2:D500,4,FALSE))</f>
        <v>#N/A</v>
      </c>
      <c r="Y387" s="56">
        <f>'Other Empirical Model'!P512</f>
        <v>0</v>
      </c>
      <c r="Z387" s="22" t="e">
        <f>IF(LEN(VLOOKUP(Y387,A2:D500,4,FALSE))=0,,VLOOKUP(Y387,A2:D500,4,FALSE))</f>
        <v>#N/A</v>
      </c>
      <c r="AA387" s="56">
        <f>'Predictive Model'!P499</f>
        <v>0</v>
      </c>
      <c r="AB387" s="22" t="e">
        <f>IF(LEN(VLOOKUP(AA387,A2:D500,4,FALSE))=0,,VLOOKUP(AA387,A2:D500,4,FALSE))</f>
        <v>#N/A</v>
      </c>
      <c r="AC387" s="56">
        <f>'Consumption Model'!P504</f>
        <v>0</v>
      </c>
      <c r="AD387" s="22" t="e">
        <f>IF(LEN(VLOOKUP(AC387,A2:D500,4,FALSE))=0,,VLOOKUP(AC387,A2:D500,4,FALSE))</f>
        <v>#N/A</v>
      </c>
      <c r="AE387" s="22">
        <f>'(Data)'!Q500</f>
        <v>0</v>
      </c>
      <c r="AF387" s="22" t="e">
        <f>IF(LEN(VLOOKUP(AE386:AE387,A2:D500,4,FALSE))=0,,VLOOKUP(AE386:AE387,A2:D500,4,FALSE))</f>
        <v>#N/A</v>
      </c>
      <c r="AH387" s="45">
        <f>'Risk Charact Model'!P518</f>
        <v>0</v>
      </c>
      <c r="AI387" s="58" t="e">
        <f>IF(LEN(VLOOKUP(AH387,A2:D500,4,FALSE))=0,,VLOOKUP(AH387,A2:D500,4,FALSE))</f>
        <v>#N/A</v>
      </c>
    </row>
    <row r="388" spans="9:35" ht="14" x14ac:dyDescent="0.3">
      <c r="I388" s="60">
        <f>'Generic Metadata Schema'!P518</f>
        <v>0</v>
      </c>
      <c r="J388" s="22" t="e">
        <f>IF(LEN(VLOOKUP(I388,A2:D500,4,FALSE))=0,"",VLOOKUP(I388,A2:D500,4,FALSE))</f>
        <v>#N/A</v>
      </c>
      <c r="L388" s="56">
        <f>'Dose-response Model'!O502</f>
        <v>0</v>
      </c>
      <c r="M388" s="22" t="e">
        <f>IF(LEN(VLOOKUP(L388,A2:D500,4,FALSE))=0,,VLOOKUP(L388,A2:D500,4,FALSE))</f>
        <v>#N/A</v>
      </c>
      <c r="N388" s="22">
        <f>'Exposure Model'!O519</f>
        <v>0</v>
      </c>
      <c r="O388" s="22" t="e">
        <f>IF(LEN(VLOOKUP(N388,A2:D500,4,FALSE))=0,,VLOOKUP(N388,A2:D500,4,FALSE))</f>
        <v>#N/A</v>
      </c>
      <c r="P388" s="56">
        <f>'QRA Models'!Q519</f>
        <v>0</v>
      </c>
      <c r="Q388" s="22" t="e">
        <f>IF(LEN(VLOOKUP(P388,A2:D500,4,FALSE))=0,,VLOOKUP(P388,A2:D500,4,FALSE))</f>
        <v>#N/A</v>
      </c>
      <c r="R388" s="56">
        <f>'Health metrics Models'!Q502</f>
        <v>0</v>
      </c>
      <c r="S388" s="22" t="e">
        <f>IF(LEN(VLOOKUP(R388,A2:D500,4,FALSE))=0,,VLOOKUP(R388,A2:D500,4,FALSE))</f>
        <v>#N/A</v>
      </c>
      <c r="T388" s="56">
        <f>'Process Model'!P500</f>
        <v>0</v>
      </c>
      <c r="U388" s="22" t="e">
        <f>IF(LEN(VLOOKUP(T388,A2:D500,4,FALSE))=0,,VLOOKUP(T388,A2:D500,4,FALSE))</f>
        <v>#N/A</v>
      </c>
      <c r="V388" s="56">
        <f>'Toxicological reference value M'!P502</f>
        <v>0</v>
      </c>
      <c r="W388" s="22" t="e">
        <f>IF(LEN(VLOOKUP(V388,A2:D500,4,FALSE))=0,,VLOOKUP(V388,A2:D500,4,FALSE))</f>
        <v>#N/A</v>
      </c>
      <c r="Y388" s="56">
        <f>'Other Empirical Model'!P513</f>
        <v>0</v>
      </c>
      <c r="Z388" s="22" t="e">
        <f>IF(LEN(VLOOKUP(Y388,A2:D500,4,FALSE))=0,,VLOOKUP(Y388,A2:D500,4,FALSE))</f>
        <v>#N/A</v>
      </c>
      <c r="AA388" s="56">
        <f>'Predictive Model'!P500</f>
        <v>0</v>
      </c>
      <c r="AB388" s="22" t="e">
        <f>IF(LEN(VLOOKUP(AA388,A2:D500,4,FALSE))=0,,VLOOKUP(AA388,A2:D500,4,FALSE))</f>
        <v>#N/A</v>
      </c>
      <c r="AC388" s="56">
        <f>'Consumption Model'!P505</f>
        <v>0</v>
      </c>
      <c r="AD388" s="22" t="e">
        <f>IF(LEN(VLOOKUP(AC388,A2:D500,4,FALSE))=0,,VLOOKUP(AC388,A2:D500,4,FALSE))</f>
        <v>#N/A</v>
      </c>
      <c r="AE388" s="22">
        <f>'(Data)'!Q501</f>
        <v>0</v>
      </c>
      <c r="AF388" s="22" t="e">
        <f>IF(LEN(VLOOKUP(AE387:AE388,A2:D500,4,FALSE))=0,,VLOOKUP(AE387:AE388,A2:D500,4,FALSE))</f>
        <v>#N/A</v>
      </c>
      <c r="AH388" s="45">
        <f>'Risk Charact Model'!P519</f>
        <v>0</v>
      </c>
      <c r="AI388" s="58" t="e">
        <f>IF(LEN(VLOOKUP(AH388,A2:D500,4,FALSE))=0,,VLOOKUP(AH388,A2:D500,4,FALSE))</f>
        <v>#N/A</v>
      </c>
    </row>
    <row r="389" spans="9:35" ht="14" x14ac:dyDescent="0.3">
      <c r="I389" s="60">
        <f>'Generic Metadata Schema'!P519</f>
        <v>0</v>
      </c>
      <c r="J389" s="22" t="e">
        <f>IF(LEN(VLOOKUP(I389,A2:D500,4,FALSE))=0,"",VLOOKUP(I389,A2:D500,4,FALSE))</f>
        <v>#N/A</v>
      </c>
      <c r="L389" s="56">
        <f>'Dose-response Model'!O503</f>
        <v>0</v>
      </c>
      <c r="M389" s="22" t="e">
        <f>IF(LEN(VLOOKUP(L389,A2:D500,4,FALSE))=0,,VLOOKUP(L389,A2:D500,4,FALSE))</f>
        <v>#N/A</v>
      </c>
      <c r="N389" s="22">
        <f>'Exposure Model'!O520</f>
        <v>0</v>
      </c>
      <c r="O389" s="22" t="e">
        <f>IF(LEN(VLOOKUP(N389,A2:D500,4,FALSE))=0,,VLOOKUP(N389,A2:D500,4,FALSE))</f>
        <v>#N/A</v>
      </c>
      <c r="P389" s="56">
        <f>'QRA Models'!Q520</f>
        <v>0</v>
      </c>
      <c r="Q389" s="22" t="e">
        <f>IF(LEN(VLOOKUP(P389,A2:D500,4,FALSE))=0,,VLOOKUP(P389,A2:D500,4,FALSE))</f>
        <v>#N/A</v>
      </c>
      <c r="R389" s="56">
        <f>'Health metrics Models'!Q503</f>
        <v>0</v>
      </c>
      <c r="S389" s="22" t="e">
        <f>IF(LEN(VLOOKUP(R389,A2:D500,4,FALSE))=0,,VLOOKUP(R389,A2:D500,4,FALSE))</f>
        <v>#N/A</v>
      </c>
      <c r="T389" s="56">
        <f>'Process Model'!P501</f>
        <v>0</v>
      </c>
      <c r="U389" s="22" t="e">
        <f>IF(LEN(VLOOKUP(T389,A2:D500,4,FALSE))=0,,VLOOKUP(T389,A2:D500,4,FALSE))</f>
        <v>#N/A</v>
      </c>
      <c r="V389" s="56">
        <f>'Toxicological reference value M'!P503</f>
        <v>0</v>
      </c>
      <c r="W389" s="22" t="e">
        <f>IF(LEN(VLOOKUP(V389,A2:D500,4,FALSE))=0,,VLOOKUP(V389,A2:D500,4,FALSE))</f>
        <v>#N/A</v>
      </c>
      <c r="Y389" s="56">
        <f>'Other Empirical Model'!P514</f>
        <v>0</v>
      </c>
      <c r="Z389" s="22" t="e">
        <f>IF(LEN(VLOOKUP(Y389,A2:D500,4,FALSE))=0,,VLOOKUP(Y389,A2:D500,4,FALSE))</f>
        <v>#N/A</v>
      </c>
      <c r="AA389" s="56">
        <f>'Predictive Model'!P501</f>
        <v>0</v>
      </c>
      <c r="AB389" s="22" t="e">
        <f>IF(LEN(VLOOKUP(AA389,A2:D500,4,FALSE))=0,,VLOOKUP(AA389,A2:D500,4,FALSE))</f>
        <v>#N/A</v>
      </c>
      <c r="AC389" s="56">
        <f>'Consumption Model'!P506</f>
        <v>0</v>
      </c>
      <c r="AD389" s="22" t="e">
        <f>IF(LEN(VLOOKUP(AC389,A2:D500,4,FALSE))=0,,VLOOKUP(AC389,A2:D500,4,FALSE))</f>
        <v>#N/A</v>
      </c>
      <c r="AE389" s="22">
        <f>'(Data)'!Q502</f>
        <v>0</v>
      </c>
      <c r="AF389" s="22" t="e">
        <f>IF(LEN(VLOOKUP(AE388:AE389,A2:D500,4,FALSE))=0,,VLOOKUP(AE388:AE389,A2:D500,4,FALSE))</f>
        <v>#N/A</v>
      </c>
      <c r="AH389" s="45">
        <f>'Risk Charact Model'!P520</f>
        <v>0</v>
      </c>
      <c r="AI389" s="58" t="e">
        <f>IF(LEN(VLOOKUP(AH389,A2:D500,4,FALSE))=0,,VLOOKUP(AH389,A2:D500,4,FALSE))</f>
        <v>#N/A</v>
      </c>
    </row>
    <row r="390" spans="9:35" ht="14" x14ac:dyDescent="0.3">
      <c r="I390" s="60">
        <f>'Generic Metadata Schema'!P520</f>
        <v>0</v>
      </c>
      <c r="J390" s="22" t="e">
        <f>IF(LEN(VLOOKUP(I390,A2:D500,4,FALSE))=0,"",VLOOKUP(I390,A2:D500,4,FALSE))</f>
        <v>#N/A</v>
      </c>
      <c r="L390" s="56">
        <f>'Dose-response Model'!O504</f>
        <v>0</v>
      </c>
      <c r="M390" s="22" t="e">
        <f>IF(LEN(VLOOKUP(L390,A2:D500,4,FALSE))=0,,VLOOKUP(L390,A2:D500,4,FALSE))</f>
        <v>#N/A</v>
      </c>
      <c r="N390" s="22">
        <f>'Exposure Model'!O521</f>
        <v>0</v>
      </c>
      <c r="O390" s="22" t="e">
        <f>IF(LEN(VLOOKUP(N390,A2:D500,4,FALSE))=0,,VLOOKUP(N390,A2:D500,4,FALSE))</f>
        <v>#N/A</v>
      </c>
      <c r="P390" s="56">
        <f>'QRA Models'!Q521</f>
        <v>0</v>
      </c>
      <c r="Q390" s="22" t="e">
        <f>IF(LEN(VLOOKUP(P390,A2:D500,4,FALSE))=0,,VLOOKUP(P390,A2:D500,4,FALSE))</f>
        <v>#N/A</v>
      </c>
      <c r="R390" s="56">
        <f>'Health metrics Models'!Q504</f>
        <v>0</v>
      </c>
      <c r="S390" s="22" t="e">
        <f>IF(LEN(VLOOKUP(R390,A2:D500,4,FALSE))=0,,VLOOKUP(R390,A2:D500,4,FALSE))</f>
        <v>#N/A</v>
      </c>
      <c r="T390" s="56">
        <f>'Process Model'!P502</f>
        <v>0</v>
      </c>
      <c r="U390" s="22" t="e">
        <f>IF(LEN(VLOOKUP(T390,A2:D500,4,FALSE))=0,,VLOOKUP(T390,A2:D500,4,FALSE))</f>
        <v>#N/A</v>
      </c>
      <c r="V390" s="56">
        <f>'Toxicological reference value M'!P504</f>
        <v>0</v>
      </c>
      <c r="W390" s="22" t="e">
        <f>IF(LEN(VLOOKUP(V390,A2:D500,4,FALSE))=0,,VLOOKUP(V390,A2:D500,4,FALSE))</f>
        <v>#N/A</v>
      </c>
      <c r="Y390" s="56">
        <f>'Other Empirical Model'!P515</f>
        <v>0</v>
      </c>
      <c r="Z390" s="22" t="e">
        <f>IF(LEN(VLOOKUP(Y390,A2:D500,4,FALSE))=0,,VLOOKUP(Y390,A2:D500,4,FALSE))</f>
        <v>#N/A</v>
      </c>
      <c r="AA390" s="56">
        <f>'Predictive Model'!P502</f>
        <v>0</v>
      </c>
      <c r="AB390" s="22" t="e">
        <f>IF(LEN(VLOOKUP(AA390,A2:D500,4,FALSE))=0,,VLOOKUP(AA390,A2:D500,4,FALSE))</f>
        <v>#N/A</v>
      </c>
      <c r="AC390" s="56">
        <f>'Consumption Model'!P507</f>
        <v>0</v>
      </c>
      <c r="AD390" s="22" t="e">
        <f>IF(LEN(VLOOKUP(AC390,A2:D500,4,FALSE))=0,,VLOOKUP(AC390,A2:D500,4,FALSE))</f>
        <v>#N/A</v>
      </c>
      <c r="AE390" s="22">
        <f>'(Data)'!Q503</f>
        <v>0</v>
      </c>
      <c r="AF390" s="22" t="e">
        <f>IF(LEN(VLOOKUP(AE389:AE390,A2:D500,4,FALSE))=0,,VLOOKUP(AE389:AE390,A2:D500,4,FALSE))</f>
        <v>#N/A</v>
      </c>
      <c r="AH390" s="45">
        <f>'Risk Charact Model'!P521</f>
        <v>0</v>
      </c>
      <c r="AI390" s="58" t="e">
        <f>IF(LEN(VLOOKUP(AH390,A2:D500,4,FALSE))=0,,VLOOKUP(AH390,A2:D500,4,FALSE))</f>
        <v>#N/A</v>
      </c>
    </row>
    <row r="391" spans="9:35" ht="14" x14ac:dyDescent="0.3">
      <c r="I391" s="60">
        <f>'Generic Metadata Schema'!P521</f>
        <v>0</v>
      </c>
      <c r="J391" s="22" t="e">
        <f>IF(LEN(VLOOKUP(I391,A2:D500,4,FALSE))=0,"",VLOOKUP(I391,A2:D500,4,FALSE))</f>
        <v>#N/A</v>
      </c>
      <c r="L391" s="56">
        <f>'Dose-response Model'!O505</f>
        <v>0</v>
      </c>
      <c r="M391" s="22" t="e">
        <f>IF(LEN(VLOOKUP(L391,A2:D500,4,FALSE))=0,,VLOOKUP(L391,A2:D500,4,FALSE))</f>
        <v>#N/A</v>
      </c>
      <c r="N391" s="22">
        <f>'Exposure Model'!O522</f>
        <v>0</v>
      </c>
      <c r="O391" s="22" t="e">
        <f>IF(LEN(VLOOKUP(N391,A2:D500,4,FALSE))=0,,VLOOKUP(N391,A2:D500,4,FALSE))</f>
        <v>#N/A</v>
      </c>
      <c r="P391" s="56">
        <f>'QRA Models'!Q522</f>
        <v>0</v>
      </c>
      <c r="Q391" s="22" t="e">
        <f>IF(LEN(VLOOKUP(P391,A2:D500,4,FALSE))=0,,VLOOKUP(P391,A2:D500,4,FALSE))</f>
        <v>#N/A</v>
      </c>
      <c r="R391" s="56">
        <f>'Health metrics Models'!Q505</f>
        <v>0</v>
      </c>
      <c r="S391" s="22" t="e">
        <f>IF(LEN(VLOOKUP(R391,A2:D500,4,FALSE))=0,,VLOOKUP(R391,A2:D500,4,FALSE))</f>
        <v>#N/A</v>
      </c>
      <c r="T391" s="56">
        <f>'Process Model'!P503</f>
        <v>0</v>
      </c>
      <c r="U391" s="22" t="e">
        <f>IF(LEN(VLOOKUP(T391,A2:D500,4,FALSE))=0,,VLOOKUP(T391,A2:D500,4,FALSE))</f>
        <v>#N/A</v>
      </c>
      <c r="V391" s="56">
        <f>'Toxicological reference value M'!P505</f>
        <v>0</v>
      </c>
      <c r="W391" s="22" t="e">
        <f>IF(LEN(VLOOKUP(V391,A2:D500,4,FALSE))=0,,VLOOKUP(V391,A2:D500,4,FALSE))</f>
        <v>#N/A</v>
      </c>
      <c r="Y391" s="56">
        <f>'Other Empirical Model'!P516</f>
        <v>0</v>
      </c>
      <c r="Z391" s="22" t="e">
        <f>IF(LEN(VLOOKUP(Y391,A2:D500,4,FALSE))=0,,VLOOKUP(Y391,A2:D500,4,FALSE))</f>
        <v>#N/A</v>
      </c>
      <c r="AA391" s="56">
        <f>'Predictive Model'!P503</f>
        <v>0</v>
      </c>
      <c r="AB391" s="22" t="e">
        <f>IF(LEN(VLOOKUP(AA391,A2:D500,4,FALSE))=0,,VLOOKUP(AA391,A2:D500,4,FALSE))</f>
        <v>#N/A</v>
      </c>
      <c r="AC391" s="56">
        <f>'Consumption Model'!P508</f>
        <v>0</v>
      </c>
      <c r="AD391" s="22" t="e">
        <f>IF(LEN(VLOOKUP(AC391,A2:D500,4,FALSE))=0,,VLOOKUP(AC391,A2:D500,4,FALSE))</f>
        <v>#N/A</v>
      </c>
      <c r="AE391" s="22">
        <f>'(Data)'!Q504</f>
        <v>0</v>
      </c>
      <c r="AF391" s="22" t="e">
        <f>IF(LEN(VLOOKUP(AE390:AE391,A2:D500,4,FALSE))=0,,VLOOKUP(AE390:AE391,A2:D500,4,FALSE))</f>
        <v>#N/A</v>
      </c>
      <c r="AH391" s="45">
        <f>'Risk Charact Model'!P522</f>
        <v>0</v>
      </c>
      <c r="AI391" s="58" t="e">
        <f>IF(LEN(VLOOKUP(AH391,A2:D500,4,FALSE))=0,,VLOOKUP(AH391,A2:D500,4,FALSE))</f>
        <v>#N/A</v>
      </c>
    </row>
    <row r="392" spans="9:35" ht="14" x14ac:dyDescent="0.3">
      <c r="I392" s="60">
        <f>'Generic Metadata Schema'!P522</f>
        <v>0</v>
      </c>
      <c r="J392" s="22" t="e">
        <f>IF(LEN(VLOOKUP(I392,A2:D500,4,FALSE))=0,"",VLOOKUP(I392,A2:D500,4,FALSE))</f>
        <v>#N/A</v>
      </c>
      <c r="L392" s="56">
        <f>'Dose-response Model'!O506</f>
        <v>0</v>
      </c>
      <c r="M392" s="22" t="e">
        <f>IF(LEN(VLOOKUP(L392,A2:D500,4,FALSE))=0,,VLOOKUP(L392,A2:D500,4,FALSE))</f>
        <v>#N/A</v>
      </c>
      <c r="N392" s="22">
        <f>'Exposure Model'!O523</f>
        <v>0</v>
      </c>
      <c r="O392" s="22" t="e">
        <f>IF(LEN(VLOOKUP(N392,A2:D500,4,FALSE))=0,,VLOOKUP(N392,A2:D500,4,FALSE))</f>
        <v>#N/A</v>
      </c>
      <c r="P392" s="56">
        <f>'QRA Models'!Q523</f>
        <v>0</v>
      </c>
      <c r="Q392" s="22" t="e">
        <f>IF(LEN(VLOOKUP(P392,A2:D500,4,FALSE))=0,,VLOOKUP(P392,A2:D500,4,FALSE))</f>
        <v>#N/A</v>
      </c>
      <c r="R392" s="56">
        <f>'Health metrics Models'!Q506</f>
        <v>0</v>
      </c>
      <c r="S392" s="22" t="e">
        <f>IF(LEN(VLOOKUP(R392,A2:D500,4,FALSE))=0,,VLOOKUP(R392,A2:D500,4,FALSE))</f>
        <v>#N/A</v>
      </c>
      <c r="T392" s="56">
        <f>'Process Model'!P504</f>
        <v>0</v>
      </c>
      <c r="U392" s="22" t="e">
        <f>IF(LEN(VLOOKUP(T392,A2:D500,4,FALSE))=0,,VLOOKUP(T392,A2:D500,4,FALSE))</f>
        <v>#N/A</v>
      </c>
      <c r="V392" s="56">
        <f>'Toxicological reference value M'!P506</f>
        <v>0</v>
      </c>
      <c r="W392" s="22" t="e">
        <f>IF(LEN(VLOOKUP(V392,A2:D500,4,FALSE))=0,,VLOOKUP(V392,A2:D500,4,FALSE))</f>
        <v>#N/A</v>
      </c>
      <c r="Y392" s="56">
        <f>'Other Empirical Model'!P517</f>
        <v>0</v>
      </c>
      <c r="Z392" s="22" t="e">
        <f>IF(LEN(VLOOKUP(Y392,A2:D500,4,FALSE))=0,,VLOOKUP(Y392,A2:D500,4,FALSE))</f>
        <v>#N/A</v>
      </c>
      <c r="AA392" s="56">
        <f>'Predictive Model'!P504</f>
        <v>0</v>
      </c>
      <c r="AB392" s="22" t="e">
        <f>IF(LEN(VLOOKUP(AA392,A2:D500,4,FALSE))=0,,VLOOKUP(AA392,A2:D500,4,FALSE))</f>
        <v>#N/A</v>
      </c>
      <c r="AC392" s="56">
        <f>'Consumption Model'!P509</f>
        <v>0</v>
      </c>
      <c r="AD392" s="22" t="e">
        <f>IF(LEN(VLOOKUP(AC392,A2:D500,4,FALSE))=0,,VLOOKUP(AC392,A2:D500,4,FALSE))</f>
        <v>#N/A</v>
      </c>
      <c r="AE392" s="22">
        <f>'(Data)'!Q505</f>
        <v>0</v>
      </c>
      <c r="AF392" s="22" t="e">
        <f>IF(LEN(VLOOKUP(AE391:AE392,A2:D500,4,FALSE))=0,,VLOOKUP(AE391:AE392,A2:D500,4,FALSE))</f>
        <v>#N/A</v>
      </c>
      <c r="AH392" s="45">
        <f>'Risk Charact Model'!P523</f>
        <v>0</v>
      </c>
      <c r="AI392" s="58" t="e">
        <f>IF(LEN(VLOOKUP(AH392,A2:D500,4,FALSE))=0,,VLOOKUP(AH392,A2:D500,4,FALSE))</f>
        <v>#N/A</v>
      </c>
    </row>
    <row r="393" spans="9:35" ht="14" x14ac:dyDescent="0.3">
      <c r="I393" s="60">
        <f>'Generic Metadata Schema'!P523</f>
        <v>0</v>
      </c>
      <c r="J393" s="22" t="e">
        <f>IF(LEN(VLOOKUP(I393,A2:D500,4,FALSE))=0,"",VLOOKUP(I393,A2:D500,4,FALSE))</f>
        <v>#N/A</v>
      </c>
      <c r="L393" s="56">
        <f>'Dose-response Model'!O507</f>
        <v>0</v>
      </c>
      <c r="M393" s="22" t="e">
        <f>IF(LEN(VLOOKUP(L393,A2:D500,4,FALSE))=0,,VLOOKUP(L393,A2:D500,4,FALSE))</f>
        <v>#N/A</v>
      </c>
      <c r="N393" s="22">
        <f>'Exposure Model'!O524</f>
        <v>0</v>
      </c>
      <c r="O393" s="22" t="e">
        <f>IF(LEN(VLOOKUP(N393,A2:D500,4,FALSE))=0,,VLOOKUP(N393,A2:D500,4,FALSE))</f>
        <v>#N/A</v>
      </c>
      <c r="P393" s="56">
        <f>'QRA Models'!Q524</f>
        <v>0</v>
      </c>
      <c r="Q393" s="22" t="e">
        <f>IF(LEN(VLOOKUP(P393,A2:D500,4,FALSE))=0,,VLOOKUP(P393,A2:D500,4,FALSE))</f>
        <v>#N/A</v>
      </c>
      <c r="R393" s="56">
        <f>'Health metrics Models'!Q507</f>
        <v>0</v>
      </c>
      <c r="S393" s="22" t="e">
        <f>IF(LEN(VLOOKUP(R393,A2:D500,4,FALSE))=0,,VLOOKUP(R393,A2:D500,4,FALSE))</f>
        <v>#N/A</v>
      </c>
      <c r="T393" s="56">
        <f>'Process Model'!P505</f>
        <v>0</v>
      </c>
      <c r="U393" s="22" t="e">
        <f>IF(LEN(VLOOKUP(T393,A2:D500,4,FALSE))=0,,VLOOKUP(T393,A2:D500,4,FALSE))</f>
        <v>#N/A</v>
      </c>
      <c r="V393" s="56">
        <f>'Toxicological reference value M'!P507</f>
        <v>0</v>
      </c>
      <c r="W393" s="22" t="e">
        <f>IF(LEN(VLOOKUP(V393,A2:D500,4,FALSE))=0,,VLOOKUP(V393,A2:D500,4,FALSE))</f>
        <v>#N/A</v>
      </c>
      <c r="Y393" s="56">
        <f>'Other Empirical Model'!P518</f>
        <v>0</v>
      </c>
      <c r="Z393" s="22" t="e">
        <f>IF(LEN(VLOOKUP(Y393,A2:D500,4,FALSE))=0,,VLOOKUP(Y393,A2:D500,4,FALSE))</f>
        <v>#N/A</v>
      </c>
      <c r="AA393" s="56">
        <f>'Predictive Model'!P505</f>
        <v>0</v>
      </c>
      <c r="AB393" s="22" t="e">
        <f>IF(LEN(VLOOKUP(AA393,A2:D500,4,FALSE))=0,,VLOOKUP(AA393,A2:D500,4,FALSE))</f>
        <v>#N/A</v>
      </c>
      <c r="AC393" s="56">
        <f>'Consumption Model'!P510</f>
        <v>0</v>
      </c>
      <c r="AD393" s="22" t="e">
        <f>IF(LEN(VLOOKUP(AC393,A2:D500,4,FALSE))=0,,VLOOKUP(AC393,A2:D500,4,FALSE))</f>
        <v>#N/A</v>
      </c>
      <c r="AE393" s="22">
        <f>'(Data)'!Q506</f>
        <v>0</v>
      </c>
      <c r="AF393" s="22" t="e">
        <f>IF(LEN(VLOOKUP(AE392:AE393,A2:D500,4,FALSE))=0,,VLOOKUP(AE392:AE393,A2:D500,4,FALSE))</f>
        <v>#N/A</v>
      </c>
      <c r="AH393" s="45">
        <f>'Risk Charact Model'!P524</f>
        <v>0</v>
      </c>
      <c r="AI393" s="58" t="e">
        <f>IF(LEN(VLOOKUP(AH393,A2:D500,4,FALSE))=0,,VLOOKUP(AH393,A2:D500,4,FALSE))</f>
        <v>#N/A</v>
      </c>
    </row>
    <row r="394" spans="9:35" ht="14" x14ac:dyDescent="0.3">
      <c r="I394" s="60">
        <f>'Generic Metadata Schema'!P524</f>
        <v>0</v>
      </c>
      <c r="J394" s="22" t="e">
        <f>IF(LEN(VLOOKUP(I394,A2:D500,4,FALSE))=0,"",VLOOKUP(I394,A2:D500,4,FALSE))</f>
        <v>#N/A</v>
      </c>
      <c r="L394" s="56">
        <f>'Dose-response Model'!O508</f>
        <v>0</v>
      </c>
      <c r="M394" s="22" t="e">
        <f>IF(LEN(VLOOKUP(L394,A2:D500,4,FALSE))=0,,VLOOKUP(L394,A2:D500,4,FALSE))</f>
        <v>#N/A</v>
      </c>
      <c r="N394" s="22">
        <f>'Exposure Model'!O525</f>
        <v>0</v>
      </c>
      <c r="O394" s="22" t="e">
        <f>IF(LEN(VLOOKUP(N394,A2:D500,4,FALSE))=0,,VLOOKUP(N394,A2:D500,4,FALSE))</f>
        <v>#N/A</v>
      </c>
      <c r="P394" s="56">
        <f>'QRA Models'!Q525</f>
        <v>0</v>
      </c>
      <c r="Q394" s="22" t="e">
        <f>IF(LEN(VLOOKUP(P394,A2:D500,4,FALSE))=0,,VLOOKUP(P394,A2:D500,4,FALSE))</f>
        <v>#N/A</v>
      </c>
      <c r="R394" s="56">
        <f>'Health metrics Models'!Q508</f>
        <v>0</v>
      </c>
      <c r="S394" s="22" t="e">
        <f>IF(LEN(VLOOKUP(R394,A2:D500,4,FALSE))=0,,VLOOKUP(R394,A2:D500,4,FALSE))</f>
        <v>#N/A</v>
      </c>
      <c r="T394" s="56">
        <f>'Process Model'!P506</f>
        <v>0</v>
      </c>
      <c r="U394" s="22" t="e">
        <f>IF(LEN(VLOOKUP(T394,A2:D500,4,FALSE))=0,,VLOOKUP(T394,A2:D500,4,FALSE))</f>
        <v>#N/A</v>
      </c>
      <c r="V394" s="56">
        <f>'Toxicological reference value M'!P508</f>
        <v>0</v>
      </c>
      <c r="W394" s="22" t="e">
        <f>IF(LEN(VLOOKUP(V394,A2:D500,4,FALSE))=0,,VLOOKUP(V394,A2:D500,4,FALSE))</f>
        <v>#N/A</v>
      </c>
      <c r="Y394" s="56">
        <f>'Other Empirical Model'!P519</f>
        <v>0</v>
      </c>
      <c r="Z394" s="22" t="e">
        <f>IF(LEN(VLOOKUP(Y394,A2:D500,4,FALSE))=0,,VLOOKUP(Y394,A2:D500,4,FALSE))</f>
        <v>#N/A</v>
      </c>
      <c r="AA394" s="56">
        <f>'Predictive Model'!P506</f>
        <v>0</v>
      </c>
      <c r="AB394" s="22" t="e">
        <f>IF(LEN(VLOOKUP(AA394,A2:D500,4,FALSE))=0,,VLOOKUP(AA394,A2:D500,4,FALSE))</f>
        <v>#N/A</v>
      </c>
      <c r="AC394" s="56">
        <f>'Consumption Model'!P511</f>
        <v>0</v>
      </c>
      <c r="AD394" s="22" t="e">
        <f>IF(LEN(VLOOKUP(AC394,A2:D500,4,FALSE))=0,,VLOOKUP(AC394,A2:D500,4,FALSE))</f>
        <v>#N/A</v>
      </c>
      <c r="AE394" s="22">
        <f>'(Data)'!Q507</f>
        <v>0</v>
      </c>
      <c r="AF394" s="22" t="e">
        <f>IF(LEN(VLOOKUP(AE393:AE394,A2:D500,4,FALSE))=0,,VLOOKUP(AE393:AE394,A2:D500,4,FALSE))</f>
        <v>#N/A</v>
      </c>
      <c r="AH394" s="45">
        <f>'Risk Charact Model'!P525</f>
        <v>0</v>
      </c>
      <c r="AI394" s="58" t="e">
        <f>IF(LEN(VLOOKUP(AH394,A2:D500,4,FALSE))=0,,VLOOKUP(AH394,A2:D500,4,FALSE))</f>
        <v>#N/A</v>
      </c>
    </row>
    <row r="395" spans="9:35" ht="14" x14ac:dyDescent="0.3">
      <c r="I395" s="60">
        <f>'Generic Metadata Schema'!P525</f>
        <v>0</v>
      </c>
      <c r="J395" s="22" t="e">
        <f>IF(LEN(VLOOKUP(I395,A2:D500,4,FALSE))=0,"",VLOOKUP(I395,A2:D500,4,FALSE))</f>
        <v>#N/A</v>
      </c>
      <c r="L395" s="56">
        <f>'Dose-response Model'!O509</f>
        <v>0</v>
      </c>
      <c r="M395" s="22" t="e">
        <f>IF(LEN(VLOOKUP(L395,A2:D500,4,FALSE))=0,,VLOOKUP(L395,A2:D500,4,FALSE))</f>
        <v>#N/A</v>
      </c>
      <c r="N395" s="22">
        <f>'Exposure Model'!O526</f>
        <v>0</v>
      </c>
      <c r="O395" s="22" t="e">
        <f>IF(LEN(VLOOKUP(N395,A2:D500,4,FALSE))=0,,VLOOKUP(N395,A2:D500,4,FALSE))</f>
        <v>#N/A</v>
      </c>
      <c r="P395" s="56">
        <f>'QRA Models'!Q526</f>
        <v>0</v>
      </c>
      <c r="Q395" s="22" t="e">
        <f>IF(LEN(VLOOKUP(P395,A2:D500,4,FALSE))=0,,VLOOKUP(P395,A2:D500,4,FALSE))</f>
        <v>#N/A</v>
      </c>
      <c r="R395" s="56">
        <f>'Health metrics Models'!Q509</f>
        <v>0</v>
      </c>
      <c r="S395" s="22" t="e">
        <f>IF(LEN(VLOOKUP(R395,A2:D500,4,FALSE))=0,,VLOOKUP(R395,A2:D500,4,FALSE))</f>
        <v>#N/A</v>
      </c>
      <c r="T395" s="56">
        <f>'Process Model'!P507</f>
        <v>0</v>
      </c>
      <c r="U395" s="22" t="e">
        <f>IF(LEN(VLOOKUP(T395,A2:D500,4,FALSE))=0,,VLOOKUP(T395,A2:D500,4,FALSE))</f>
        <v>#N/A</v>
      </c>
      <c r="V395" s="56">
        <f>'Toxicological reference value M'!P509</f>
        <v>0</v>
      </c>
      <c r="W395" s="22" t="e">
        <f>IF(LEN(VLOOKUP(V395,A2:D500,4,FALSE))=0,,VLOOKUP(V395,A2:D500,4,FALSE))</f>
        <v>#N/A</v>
      </c>
      <c r="Y395" s="56">
        <f>'Other Empirical Model'!P520</f>
        <v>0</v>
      </c>
      <c r="Z395" s="22" t="e">
        <f>IF(LEN(VLOOKUP(Y395,A2:D500,4,FALSE))=0,,VLOOKUP(Y395,A2:D500,4,FALSE))</f>
        <v>#N/A</v>
      </c>
      <c r="AA395" s="56">
        <f>'Predictive Model'!P507</f>
        <v>0</v>
      </c>
      <c r="AB395" s="22" t="e">
        <f>IF(LEN(VLOOKUP(AA395,A2:D500,4,FALSE))=0,,VLOOKUP(AA395,A2:D500,4,FALSE))</f>
        <v>#N/A</v>
      </c>
      <c r="AC395" s="56">
        <f>'Consumption Model'!P512</f>
        <v>0</v>
      </c>
      <c r="AD395" s="22" t="e">
        <f>IF(LEN(VLOOKUP(AC395,A2:D500,4,FALSE))=0,,VLOOKUP(AC395,A2:D500,4,FALSE))</f>
        <v>#N/A</v>
      </c>
      <c r="AE395" s="22">
        <f>'(Data)'!Q508</f>
        <v>0</v>
      </c>
      <c r="AF395" s="22" t="e">
        <f>IF(LEN(VLOOKUP(AE394:AE395,A2:D500,4,FALSE))=0,,VLOOKUP(AE394:AE395,A2:D500,4,FALSE))</f>
        <v>#N/A</v>
      </c>
      <c r="AH395" s="45">
        <f>'Risk Charact Model'!P526</f>
        <v>0</v>
      </c>
      <c r="AI395" s="58" t="e">
        <f>IF(LEN(VLOOKUP(AH395,A2:D500,4,FALSE))=0,,VLOOKUP(AH395,A2:D500,4,FALSE))</f>
        <v>#N/A</v>
      </c>
    </row>
    <row r="396" spans="9:35" ht="14" x14ac:dyDescent="0.3">
      <c r="I396" s="60">
        <f>'Generic Metadata Schema'!P526</f>
        <v>0</v>
      </c>
      <c r="J396" s="22" t="e">
        <f>IF(LEN(VLOOKUP(I396,A2:D500,4,FALSE))=0,"",VLOOKUP(I396,A2:D500,4,FALSE))</f>
        <v>#N/A</v>
      </c>
      <c r="L396" s="56">
        <f>'Dose-response Model'!O510</f>
        <v>0</v>
      </c>
      <c r="M396" s="22" t="e">
        <f>IF(LEN(VLOOKUP(L396,A2:D500,4,FALSE))=0,,VLOOKUP(L396,A2:D500,4,FALSE))</f>
        <v>#N/A</v>
      </c>
      <c r="N396" s="22">
        <f>'Exposure Model'!O527</f>
        <v>0</v>
      </c>
      <c r="O396" s="22" t="e">
        <f>IF(LEN(VLOOKUP(N396,A2:D500,4,FALSE))=0,,VLOOKUP(N396,A2:D500,4,FALSE))</f>
        <v>#N/A</v>
      </c>
      <c r="P396" s="56">
        <f>'QRA Models'!Q527</f>
        <v>0</v>
      </c>
      <c r="Q396" s="22" t="e">
        <f>IF(LEN(VLOOKUP(P396,A2:D500,4,FALSE))=0,,VLOOKUP(P396,A2:D500,4,FALSE))</f>
        <v>#N/A</v>
      </c>
      <c r="R396" s="56">
        <f>'Health metrics Models'!Q510</f>
        <v>0</v>
      </c>
      <c r="S396" s="22" t="e">
        <f>IF(LEN(VLOOKUP(R396,A2:D500,4,FALSE))=0,,VLOOKUP(R396,A2:D500,4,FALSE))</f>
        <v>#N/A</v>
      </c>
      <c r="T396" s="56">
        <f>'Process Model'!P508</f>
        <v>0</v>
      </c>
      <c r="U396" s="22" t="e">
        <f>IF(LEN(VLOOKUP(T396,A2:D500,4,FALSE))=0,,VLOOKUP(T396,A2:D500,4,FALSE))</f>
        <v>#N/A</v>
      </c>
      <c r="V396" s="56">
        <f>'Toxicological reference value M'!P510</f>
        <v>0</v>
      </c>
      <c r="W396" s="22" t="e">
        <f>IF(LEN(VLOOKUP(V396,A2:D500,4,FALSE))=0,,VLOOKUP(V396,A2:D500,4,FALSE))</f>
        <v>#N/A</v>
      </c>
      <c r="Y396" s="56">
        <f>'Other Empirical Model'!P521</f>
        <v>0</v>
      </c>
      <c r="Z396" s="22" t="e">
        <f>IF(LEN(VLOOKUP(Y396,A2:D500,4,FALSE))=0,,VLOOKUP(Y396,A2:D500,4,FALSE))</f>
        <v>#N/A</v>
      </c>
      <c r="AA396" s="56">
        <f>'Predictive Model'!P508</f>
        <v>0</v>
      </c>
      <c r="AB396" s="22" t="e">
        <f>IF(LEN(VLOOKUP(AA396,A2:D500,4,FALSE))=0,,VLOOKUP(AA396,A2:D500,4,FALSE))</f>
        <v>#N/A</v>
      </c>
      <c r="AC396" s="56">
        <f>'Consumption Model'!P513</f>
        <v>0</v>
      </c>
      <c r="AD396" s="22" t="e">
        <f>IF(LEN(VLOOKUP(AC396,A2:D500,4,FALSE))=0,,VLOOKUP(AC396,A2:D500,4,FALSE))</f>
        <v>#N/A</v>
      </c>
      <c r="AE396" s="22">
        <f>'(Data)'!Q509</f>
        <v>0</v>
      </c>
      <c r="AF396" s="22" t="e">
        <f>IF(LEN(VLOOKUP(AE395:AE396,A2:D500,4,FALSE))=0,,VLOOKUP(AE395:AE396,A2:D500,4,FALSE))</f>
        <v>#N/A</v>
      </c>
      <c r="AH396" s="45">
        <f>'Risk Charact Model'!P527</f>
        <v>0</v>
      </c>
      <c r="AI396" s="58" t="e">
        <f>IF(LEN(VLOOKUP(AH396,A2:D500,4,FALSE))=0,,VLOOKUP(AH396,A2:D500,4,FALSE))</f>
        <v>#N/A</v>
      </c>
    </row>
    <row r="397" spans="9:35" ht="14" x14ac:dyDescent="0.3">
      <c r="I397" s="60">
        <f>'Generic Metadata Schema'!P527</f>
        <v>0</v>
      </c>
      <c r="J397" s="22" t="e">
        <f>IF(LEN(VLOOKUP(I397,A2:D500,4,FALSE))=0,"",VLOOKUP(I397,A2:D500,4,FALSE))</f>
        <v>#N/A</v>
      </c>
      <c r="L397" s="56">
        <f>'Dose-response Model'!O511</f>
        <v>0</v>
      </c>
      <c r="M397" s="22" t="e">
        <f>IF(LEN(VLOOKUP(L397,A2:D500,4,FALSE))=0,,VLOOKUP(L397,A2:D500,4,FALSE))</f>
        <v>#N/A</v>
      </c>
      <c r="N397" s="22">
        <f>'Exposure Model'!O528</f>
        <v>0</v>
      </c>
      <c r="O397" s="22" t="e">
        <f>IF(LEN(VLOOKUP(N397,A2:D500,4,FALSE))=0,,VLOOKUP(N397,A2:D500,4,FALSE))</f>
        <v>#N/A</v>
      </c>
      <c r="P397" s="56">
        <f>'QRA Models'!Q528</f>
        <v>0</v>
      </c>
      <c r="Q397" s="22" t="e">
        <f>IF(LEN(VLOOKUP(P397,A2:D500,4,FALSE))=0,,VLOOKUP(P397,A2:D500,4,FALSE))</f>
        <v>#N/A</v>
      </c>
      <c r="R397" s="56">
        <f>'Health metrics Models'!Q511</f>
        <v>0</v>
      </c>
      <c r="S397" s="22" t="e">
        <f>IF(LEN(VLOOKUP(R397,A2:D500,4,FALSE))=0,,VLOOKUP(R397,A2:D500,4,FALSE))</f>
        <v>#N/A</v>
      </c>
      <c r="T397" s="56">
        <f>'Process Model'!P509</f>
        <v>0</v>
      </c>
      <c r="U397" s="22" t="e">
        <f>IF(LEN(VLOOKUP(T397,A2:D500,4,FALSE))=0,,VLOOKUP(T397,A2:D500,4,FALSE))</f>
        <v>#N/A</v>
      </c>
      <c r="V397" s="56">
        <f>'Toxicological reference value M'!P511</f>
        <v>0</v>
      </c>
      <c r="W397" s="22" t="e">
        <f>IF(LEN(VLOOKUP(V397,A2:D500,4,FALSE))=0,,VLOOKUP(V397,A2:D500,4,FALSE))</f>
        <v>#N/A</v>
      </c>
      <c r="Y397" s="56">
        <f>'Other Empirical Model'!P522</f>
        <v>0</v>
      </c>
      <c r="Z397" s="22" t="e">
        <f>IF(LEN(VLOOKUP(Y397,A2:D500,4,FALSE))=0,,VLOOKUP(Y397,A2:D500,4,FALSE))</f>
        <v>#N/A</v>
      </c>
      <c r="AA397" s="56">
        <f>'Predictive Model'!P509</f>
        <v>0</v>
      </c>
      <c r="AB397" s="22" t="e">
        <f>IF(LEN(VLOOKUP(AA397,A2:D500,4,FALSE))=0,,VLOOKUP(AA397,A2:D500,4,FALSE))</f>
        <v>#N/A</v>
      </c>
      <c r="AC397" s="56">
        <f>'Consumption Model'!P514</f>
        <v>0</v>
      </c>
      <c r="AD397" s="22" t="e">
        <f>IF(LEN(VLOOKUP(AC397,A2:D500,4,FALSE))=0,,VLOOKUP(AC397,A2:D500,4,FALSE))</f>
        <v>#N/A</v>
      </c>
      <c r="AE397" s="22">
        <f>'(Data)'!Q510</f>
        <v>0</v>
      </c>
      <c r="AF397" s="22" t="e">
        <f>IF(LEN(VLOOKUP(AE396:AE397,A2:D500,4,FALSE))=0,,VLOOKUP(AE396:AE397,A2:D500,4,FALSE))</f>
        <v>#N/A</v>
      </c>
      <c r="AH397" s="45">
        <f>'Risk Charact Model'!P528</f>
        <v>0</v>
      </c>
      <c r="AI397" s="58" t="e">
        <f>IF(LEN(VLOOKUP(AH397,A2:D500,4,FALSE))=0,,VLOOKUP(AH397,A2:D500,4,FALSE))</f>
        <v>#N/A</v>
      </c>
    </row>
    <row r="398" spans="9:35" ht="14" x14ac:dyDescent="0.3">
      <c r="I398" s="60">
        <f>'Generic Metadata Schema'!P528</f>
        <v>0</v>
      </c>
      <c r="J398" s="22" t="e">
        <f>IF(LEN(VLOOKUP(I398,A2:D500,4,FALSE))=0,"",VLOOKUP(I398,A2:D500,4,FALSE))</f>
        <v>#N/A</v>
      </c>
      <c r="L398" s="56">
        <f>'Dose-response Model'!O512</f>
        <v>0</v>
      </c>
      <c r="M398" s="22" t="e">
        <f>IF(LEN(VLOOKUP(L398,A2:D500,4,FALSE))=0,,VLOOKUP(L398,A2:D500,4,FALSE))</f>
        <v>#N/A</v>
      </c>
      <c r="N398" s="22">
        <f>'Exposure Model'!O529</f>
        <v>0</v>
      </c>
      <c r="O398" s="22" t="e">
        <f>IF(LEN(VLOOKUP(N398,A2:D500,4,FALSE))=0,,VLOOKUP(N398,A2:D500,4,FALSE))</f>
        <v>#N/A</v>
      </c>
      <c r="P398" s="56">
        <f>'QRA Models'!Q529</f>
        <v>0</v>
      </c>
      <c r="Q398" s="22" t="e">
        <f>IF(LEN(VLOOKUP(P398,A2:D500,4,FALSE))=0,,VLOOKUP(P398,A2:D500,4,FALSE))</f>
        <v>#N/A</v>
      </c>
      <c r="R398" s="56">
        <f>'Health metrics Models'!Q512</f>
        <v>0</v>
      </c>
      <c r="S398" s="22" t="e">
        <f>IF(LEN(VLOOKUP(R398,A2:D500,4,FALSE))=0,,VLOOKUP(R398,A2:D500,4,FALSE))</f>
        <v>#N/A</v>
      </c>
      <c r="T398" s="56">
        <f>'Process Model'!P510</f>
        <v>0</v>
      </c>
      <c r="U398" s="22" t="e">
        <f>IF(LEN(VLOOKUP(T398,A2:D500,4,FALSE))=0,,VLOOKUP(T398,A2:D500,4,FALSE))</f>
        <v>#N/A</v>
      </c>
      <c r="V398" s="56">
        <f>'Toxicological reference value M'!P512</f>
        <v>0</v>
      </c>
      <c r="W398" s="22" t="e">
        <f>IF(LEN(VLOOKUP(V398,A2:D500,4,FALSE))=0,,VLOOKUP(V398,A2:D500,4,FALSE))</f>
        <v>#N/A</v>
      </c>
      <c r="Y398" s="56">
        <f>'Other Empirical Model'!P523</f>
        <v>0</v>
      </c>
      <c r="Z398" s="22" t="e">
        <f>IF(LEN(VLOOKUP(Y398,A2:D500,4,FALSE))=0,,VLOOKUP(Y398,A2:D500,4,FALSE))</f>
        <v>#N/A</v>
      </c>
      <c r="AA398" s="56">
        <f>'Predictive Model'!P510</f>
        <v>0</v>
      </c>
      <c r="AB398" s="22" t="e">
        <f>IF(LEN(VLOOKUP(AA398,A2:D500,4,FALSE))=0,,VLOOKUP(AA398,A2:D500,4,FALSE))</f>
        <v>#N/A</v>
      </c>
      <c r="AC398" s="56">
        <f>'Consumption Model'!P515</f>
        <v>0</v>
      </c>
      <c r="AD398" s="22" t="e">
        <f>IF(LEN(VLOOKUP(AC398,A2:D500,4,FALSE))=0,,VLOOKUP(AC398,A2:D500,4,FALSE))</f>
        <v>#N/A</v>
      </c>
      <c r="AE398" s="22">
        <f>'(Data)'!Q511</f>
        <v>0</v>
      </c>
      <c r="AF398" s="22" t="e">
        <f>IF(LEN(VLOOKUP(AE397:AE398,A2:D500,4,FALSE))=0,,VLOOKUP(AE397:AE398,A2:D500,4,FALSE))</f>
        <v>#N/A</v>
      </c>
      <c r="AH398" s="45">
        <f>'Risk Charact Model'!P529</f>
        <v>0</v>
      </c>
      <c r="AI398" s="58" t="e">
        <f>IF(LEN(VLOOKUP(AH398,A2:D500,4,FALSE))=0,,VLOOKUP(AH398,A2:D500,4,FALSE))</f>
        <v>#N/A</v>
      </c>
    </row>
    <row r="399" spans="9:35" ht="14" x14ac:dyDescent="0.3">
      <c r="I399" s="60">
        <f>'Generic Metadata Schema'!P529</f>
        <v>0</v>
      </c>
      <c r="J399" s="22" t="e">
        <f>IF(LEN(VLOOKUP(I399,A2:D500,4,FALSE))=0,"",VLOOKUP(I399,A2:D500,4,FALSE))</f>
        <v>#N/A</v>
      </c>
      <c r="L399" s="56">
        <f>'Dose-response Model'!O513</f>
        <v>0</v>
      </c>
      <c r="M399" s="22" t="e">
        <f>IF(LEN(VLOOKUP(L399,A2:D500,4,FALSE))=0,,VLOOKUP(L399,A2:D500,4,FALSE))</f>
        <v>#N/A</v>
      </c>
      <c r="N399" s="22">
        <f>'Exposure Model'!O530</f>
        <v>0</v>
      </c>
      <c r="O399" s="22" t="e">
        <f>IF(LEN(VLOOKUP(N399,A2:D500,4,FALSE))=0,,VLOOKUP(N399,A2:D500,4,FALSE))</f>
        <v>#N/A</v>
      </c>
      <c r="P399" s="56">
        <f>'QRA Models'!Q530</f>
        <v>0</v>
      </c>
      <c r="Q399" s="22" t="e">
        <f>IF(LEN(VLOOKUP(P399,A2:D500,4,FALSE))=0,,VLOOKUP(P399,A2:D500,4,FALSE))</f>
        <v>#N/A</v>
      </c>
      <c r="R399" s="56">
        <f>'Health metrics Models'!Q513</f>
        <v>0</v>
      </c>
      <c r="S399" s="22" t="e">
        <f>IF(LEN(VLOOKUP(R399,A2:D500,4,FALSE))=0,,VLOOKUP(R399,A2:D500,4,FALSE))</f>
        <v>#N/A</v>
      </c>
      <c r="T399" s="56">
        <f>'Process Model'!P511</f>
        <v>0</v>
      </c>
      <c r="U399" s="22" t="e">
        <f>IF(LEN(VLOOKUP(T399,A2:D500,4,FALSE))=0,,VLOOKUP(T399,A2:D500,4,FALSE))</f>
        <v>#N/A</v>
      </c>
      <c r="V399" s="56">
        <f>'Toxicological reference value M'!P513</f>
        <v>0</v>
      </c>
      <c r="W399" s="22" t="e">
        <f>IF(LEN(VLOOKUP(V399,A2:D500,4,FALSE))=0,,VLOOKUP(V399,A2:D500,4,FALSE))</f>
        <v>#N/A</v>
      </c>
      <c r="Y399" s="56">
        <f>'Other Empirical Model'!P524</f>
        <v>0</v>
      </c>
      <c r="Z399" s="22" t="e">
        <f>IF(LEN(VLOOKUP(Y399,A2:D500,4,FALSE))=0,,VLOOKUP(Y399,A2:D500,4,FALSE))</f>
        <v>#N/A</v>
      </c>
      <c r="AA399" s="56">
        <f>'Predictive Model'!P511</f>
        <v>0</v>
      </c>
      <c r="AB399" s="22" t="e">
        <f>IF(LEN(VLOOKUP(AA399,A2:D500,4,FALSE))=0,,VLOOKUP(AA399,A2:D500,4,FALSE))</f>
        <v>#N/A</v>
      </c>
      <c r="AC399" s="56">
        <f>'Consumption Model'!P516</f>
        <v>0</v>
      </c>
      <c r="AD399" s="22" t="e">
        <f>IF(LEN(VLOOKUP(AC399,A2:D500,4,FALSE))=0,,VLOOKUP(AC399,A2:D500,4,FALSE))</f>
        <v>#N/A</v>
      </c>
      <c r="AE399" s="22">
        <f>'(Data)'!Q512</f>
        <v>0</v>
      </c>
      <c r="AF399" s="22" t="e">
        <f>IF(LEN(VLOOKUP(AE398:AE399,A2:D500,4,FALSE))=0,,VLOOKUP(AE398:AE399,A2:D500,4,FALSE))</f>
        <v>#N/A</v>
      </c>
      <c r="AH399" s="45">
        <f>'Risk Charact Model'!P530</f>
        <v>0</v>
      </c>
      <c r="AI399" s="58" t="e">
        <f>IF(LEN(VLOOKUP(AH399,A2:D500,4,FALSE))=0,,VLOOKUP(AH399,A2:D500,4,FALSE))</f>
        <v>#N/A</v>
      </c>
    </row>
    <row r="400" spans="9:35" ht="14" x14ac:dyDescent="0.3">
      <c r="I400" s="60">
        <f>'Generic Metadata Schema'!P530</f>
        <v>0</v>
      </c>
      <c r="J400" s="22" t="e">
        <f>IF(LEN(VLOOKUP(I400,A2:D500,4,FALSE))=0,"",VLOOKUP(I400,A2:D500,4,FALSE))</f>
        <v>#N/A</v>
      </c>
      <c r="L400" s="56">
        <f>'Dose-response Model'!O514</f>
        <v>0</v>
      </c>
      <c r="M400" s="22" t="e">
        <f>IF(LEN(VLOOKUP(L400,A2:D500,4,FALSE))=0,,VLOOKUP(L400,A2:D500,4,FALSE))</f>
        <v>#N/A</v>
      </c>
      <c r="N400" s="22">
        <f>'Exposure Model'!O531</f>
        <v>0</v>
      </c>
      <c r="O400" s="22" t="e">
        <f>IF(LEN(VLOOKUP(N400,A2:D500,4,FALSE))=0,,VLOOKUP(N400,A2:D500,4,FALSE))</f>
        <v>#N/A</v>
      </c>
      <c r="P400" s="56">
        <f>'QRA Models'!Q531</f>
        <v>0</v>
      </c>
      <c r="Q400" s="22" t="e">
        <f>IF(LEN(VLOOKUP(P400,A2:D500,4,FALSE))=0,,VLOOKUP(P400,A2:D500,4,FALSE))</f>
        <v>#N/A</v>
      </c>
      <c r="R400" s="56">
        <f>'Health metrics Models'!Q514</f>
        <v>0</v>
      </c>
      <c r="S400" s="22" t="e">
        <f>IF(LEN(VLOOKUP(R400,A2:D500,4,FALSE))=0,,VLOOKUP(R400,A2:D500,4,FALSE))</f>
        <v>#N/A</v>
      </c>
      <c r="T400" s="56">
        <f>'Process Model'!P512</f>
        <v>0</v>
      </c>
      <c r="U400" s="22" t="e">
        <f>IF(LEN(VLOOKUP(T400,A2:D500,4,FALSE))=0,,VLOOKUP(T400,A2:D500,4,FALSE))</f>
        <v>#N/A</v>
      </c>
      <c r="V400" s="56">
        <f>'Toxicological reference value M'!P514</f>
        <v>0</v>
      </c>
      <c r="W400" s="22" t="e">
        <f>IF(LEN(VLOOKUP(V400,A2:D500,4,FALSE))=0,,VLOOKUP(V400,A2:D500,4,FALSE))</f>
        <v>#N/A</v>
      </c>
      <c r="Y400" s="56">
        <f>'Other Empirical Model'!P525</f>
        <v>0</v>
      </c>
      <c r="Z400" s="22" t="e">
        <f>IF(LEN(VLOOKUP(Y400,A2:D500,4,FALSE))=0,,VLOOKUP(Y400,A2:D500,4,FALSE))</f>
        <v>#N/A</v>
      </c>
      <c r="AA400" s="56">
        <f>'Predictive Model'!P512</f>
        <v>0</v>
      </c>
      <c r="AB400" s="22" t="e">
        <f>IF(LEN(VLOOKUP(AA400,A2:D500,4,FALSE))=0,,VLOOKUP(AA400,A2:D500,4,FALSE))</f>
        <v>#N/A</v>
      </c>
      <c r="AC400" s="56">
        <f>'Consumption Model'!P517</f>
        <v>0</v>
      </c>
      <c r="AD400" s="22" t="e">
        <f>IF(LEN(VLOOKUP(AC400,A2:D500,4,FALSE))=0,,VLOOKUP(AC400,A2:D500,4,FALSE))</f>
        <v>#N/A</v>
      </c>
      <c r="AE400" s="22">
        <f>'(Data)'!Q513</f>
        <v>0</v>
      </c>
      <c r="AF400" s="22" t="e">
        <f>IF(LEN(VLOOKUP(AE399:AE400,A2:D500,4,FALSE))=0,,VLOOKUP(AE399:AE400,A2:D500,4,FALSE))</f>
        <v>#N/A</v>
      </c>
      <c r="AH400" s="45">
        <f>'Risk Charact Model'!P531</f>
        <v>0</v>
      </c>
      <c r="AI400" s="58" t="e">
        <f>IF(LEN(VLOOKUP(AH400,A2:D500,4,FALSE))=0,,VLOOKUP(AH400,A2:D500,4,FALSE))</f>
        <v>#N/A</v>
      </c>
    </row>
    <row r="401" spans="9:35" ht="14" x14ac:dyDescent="0.3">
      <c r="I401" s="60">
        <f>'Generic Metadata Schema'!P531</f>
        <v>0</v>
      </c>
      <c r="J401" s="22" t="e">
        <f>IF(LEN(VLOOKUP(I401,A2:D500,4,FALSE))=0,"",VLOOKUP(I401,A2:D500,4,FALSE))</f>
        <v>#N/A</v>
      </c>
      <c r="L401" s="56">
        <f>'Dose-response Model'!O515</f>
        <v>0</v>
      </c>
      <c r="M401" s="22" t="e">
        <f>IF(LEN(VLOOKUP(L401,A2:D500,4,FALSE))=0,,VLOOKUP(L401,A2:D500,4,FALSE))</f>
        <v>#N/A</v>
      </c>
      <c r="N401" s="22">
        <f>'Exposure Model'!O532</f>
        <v>0</v>
      </c>
      <c r="O401" s="22" t="e">
        <f>IF(LEN(VLOOKUP(N401,A2:D500,4,FALSE))=0,,VLOOKUP(N401,A2:D500,4,FALSE))</f>
        <v>#N/A</v>
      </c>
      <c r="P401" s="56">
        <f>'QRA Models'!Q532</f>
        <v>0</v>
      </c>
      <c r="Q401" s="22" t="e">
        <f>IF(LEN(VLOOKUP(P401,A2:D500,4,FALSE))=0,,VLOOKUP(P401,A2:D500,4,FALSE))</f>
        <v>#N/A</v>
      </c>
      <c r="R401" s="56">
        <f>'Health metrics Models'!Q515</f>
        <v>0</v>
      </c>
      <c r="S401" s="22" t="e">
        <f>IF(LEN(VLOOKUP(R401,A2:D500,4,FALSE))=0,,VLOOKUP(R401,A2:D500,4,FALSE))</f>
        <v>#N/A</v>
      </c>
      <c r="T401" s="56">
        <f>'Process Model'!P513</f>
        <v>0</v>
      </c>
      <c r="U401" s="22" t="e">
        <f>IF(LEN(VLOOKUP(T401,A2:D500,4,FALSE))=0,,VLOOKUP(T401,A2:D500,4,FALSE))</f>
        <v>#N/A</v>
      </c>
      <c r="V401" s="56">
        <f>'Toxicological reference value M'!P515</f>
        <v>0</v>
      </c>
      <c r="W401" s="22" t="e">
        <f>IF(LEN(VLOOKUP(V401,A2:D500,4,FALSE))=0,,VLOOKUP(V401,A2:D500,4,FALSE))</f>
        <v>#N/A</v>
      </c>
      <c r="Y401" s="56">
        <f>'Other Empirical Model'!P526</f>
        <v>0</v>
      </c>
      <c r="Z401" s="22" t="e">
        <f>IF(LEN(VLOOKUP(Y401,A2:D500,4,FALSE))=0,,VLOOKUP(Y401,A2:D500,4,FALSE))</f>
        <v>#N/A</v>
      </c>
      <c r="AA401" s="56">
        <f>'Predictive Model'!P513</f>
        <v>0</v>
      </c>
      <c r="AB401" s="22" t="e">
        <f>IF(LEN(VLOOKUP(AA401,A2:D500,4,FALSE))=0,,VLOOKUP(AA401,A2:D500,4,FALSE))</f>
        <v>#N/A</v>
      </c>
      <c r="AC401" s="56">
        <f>'Consumption Model'!P518</f>
        <v>0</v>
      </c>
      <c r="AD401" s="22" t="e">
        <f>IF(LEN(VLOOKUP(AC401,A2:D500,4,FALSE))=0,,VLOOKUP(AC401,A2:D500,4,FALSE))</f>
        <v>#N/A</v>
      </c>
      <c r="AE401" s="22">
        <f>'(Data)'!Q514</f>
        <v>0</v>
      </c>
      <c r="AF401" s="22" t="e">
        <f>IF(LEN(VLOOKUP(AE400:AE401,A2:D500,4,FALSE))=0,,VLOOKUP(AE400:AE401,A2:D500,4,FALSE))</f>
        <v>#N/A</v>
      </c>
      <c r="AH401" s="45">
        <f>'Risk Charact Model'!P532</f>
        <v>0</v>
      </c>
      <c r="AI401" s="58" t="e">
        <f>IF(LEN(VLOOKUP(AH401,A2:D500,4,FALSE))=0,,VLOOKUP(AH401,A2:D500,4,FALSE))</f>
        <v>#N/A</v>
      </c>
    </row>
    <row r="402" spans="9:35" ht="14" x14ac:dyDescent="0.3">
      <c r="I402" s="60">
        <f>'Generic Metadata Schema'!P532</f>
        <v>0</v>
      </c>
      <c r="J402" s="22" t="e">
        <f>IF(LEN(VLOOKUP(I402,A2:D500,4,FALSE))=0,"",VLOOKUP(I402,A2:D500,4,FALSE))</f>
        <v>#N/A</v>
      </c>
      <c r="L402" s="56">
        <f>'Dose-response Model'!O516</f>
        <v>0</v>
      </c>
      <c r="M402" s="22" t="e">
        <f>IF(LEN(VLOOKUP(L402,A2:D500,4,FALSE))=0,,VLOOKUP(L402,A2:D500,4,FALSE))</f>
        <v>#N/A</v>
      </c>
      <c r="N402" s="22">
        <f>'Exposure Model'!O533</f>
        <v>0</v>
      </c>
      <c r="O402" s="22" t="e">
        <f>IF(LEN(VLOOKUP(N402,A2:D500,4,FALSE))=0,,VLOOKUP(N402,A2:D500,4,FALSE))</f>
        <v>#N/A</v>
      </c>
      <c r="P402" s="56">
        <f>'QRA Models'!Q533</f>
        <v>0</v>
      </c>
      <c r="Q402" s="22" t="e">
        <f>IF(LEN(VLOOKUP(P402,A2:D500,4,FALSE))=0,,VLOOKUP(P402,A2:D500,4,FALSE))</f>
        <v>#N/A</v>
      </c>
      <c r="R402" s="56">
        <f>'Health metrics Models'!Q516</f>
        <v>0</v>
      </c>
      <c r="S402" s="22" t="e">
        <f>IF(LEN(VLOOKUP(R402,A2:D500,4,FALSE))=0,,VLOOKUP(R402,A2:D500,4,FALSE))</f>
        <v>#N/A</v>
      </c>
      <c r="T402" s="56">
        <f>'Process Model'!P514</f>
        <v>0</v>
      </c>
      <c r="U402" s="22" t="e">
        <f>IF(LEN(VLOOKUP(T402,A2:D500,4,FALSE))=0,,VLOOKUP(T402,A2:D500,4,FALSE))</f>
        <v>#N/A</v>
      </c>
      <c r="V402" s="56">
        <f>'Toxicological reference value M'!P516</f>
        <v>0</v>
      </c>
      <c r="W402" s="22" t="e">
        <f>IF(LEN(VLOOKUP(V402,A2:D500,4,FALSE))=0,,VLOOKUP(V402,A2:D500,4,FALSE))</f>
        <v>#N/A</v>
      </c>
      <c r="Y402" s="56">
        <f>'Other Empirical Model'!P527</f>
        <v>0</v>
      </c>
      <c r="Z402" s="22" t="e">
        <f>IF(LEN(VLOOKUP(Y402,A2:D500,4,FALSE))=0,,VLOOKUP(Y402,A2:D500,4,FALSE))</f>
        <v>#N/A</v>
      </c>
      <c r="AA402" s="56">
        <f>'Predictive Model'!P514</f>
        <v>0</v>
      </c>
      <c r="AB402" s="22" t="e">
        <f>IF(LEN(VLOOKUP(AA402,A2:D500,4,FALSE))=0,,VLOOKUP(AA402,A2:D500,4,FALSE))</f>
        <v>#N/A</v>
      </c>
      <c r="AC402" s="56">
        <f>'Consumption Model'!P519</f>
        <v>0</v>
      </c>
      <c r="AD402" s="22" t="e">
        <f>IF(LEN(VLOOKUP(AC402,A2:D500,4,FALSE))=0,,VLOOKUP(AC402,A2:D500,4,FALSE))</f>
        <v>#N/A</v>
      </c>
      <c r="AE402" s="22">
        <f>'(Data)'!Q515</f>
        <v>0</v>
      </c>
      <c r="AF402" s="22" t="e">
        <f>IF(LEN(VLOOKUP(AE401:AE402,A2:D500,4,FALSE))=0,,VLOOKUP(AE401:AE402,A2:D500,4,FALSE))</f>
        <v>#N/A</v>
      </c>
      <c r="AH402" s="45">
        <f>'Risk Charact Model'!P533</f>
        <v>0</v>
      </c>
      <c r="AI402" s="58" t="e">
        <f>IF(LEN(VLOOKUP(AH402,A2:D500,4,FALSE))=0,,VLOOKUP(AH402,A2:D500,4,FALSE))</f>
        <v>#N/A</v>
      </c>
    </row>
    <row r="403" spans="9:35" ht="14" x14ac:dyDescent="0.3">
      <c r="I403" s="60">
        <f>'Generic Metadata Schema'!P533</f>
        <v>0</v>
      </c>
      <c r="J403" s="22" t="e">
        <f>IF(LEN(VLOOKUP(I403,A2:D500,4,FALSE))=0,"",VLOOKUP(I403,A2:D500,4,FALSE))</f>
        <v>#N/A</v>
      </c>
      <c r="L403" s="56">
        <f>'Dose-response Model'!O517</f>
        <v>0</v>
      </c>
      <c r="M403" s="22" t="e">
        <f>IF(LEN(VLOOKUP(L403,A2:D500,4,FALSE))=0,,VLOOKUP(L403,A2:D500,4,FALSE))</f>
        <v>#N/A</v>
      </c>
      <c r="N403" s="22">
        <f>'Exposure Model'!O534</f>
        <v>0</v>
      </c>
      <c r="O403" s="22" t="e">
        <f>IF(LEN(VLOOKUP(N403,A2:D500,4,FALSE))=0,,VLOOKUP(N403,A2:D500,4,FALSE))</f>
        <v>#N/A</v>
      </c>
      <c r="P403" s="56">
        <f>'QRA Models'!Q534</f>
        <v>0</v>
      </c>
      <c r="Q403" s="22" t="e">
        <f>IF(LEN(VLOOKUP(P403,A2:D500,4,FALSE))=0,,VLOOKUP(P403,A2:D500,4,FALSE))</f>
        <v>#N/A</v>
      </c>
      <c r="R403" s="56">
        <f>'Health metrics Models'!Q517</f>
        <v>0</v>
      </c>
      <c r="S403" s="22" t="e">
        <f>IF(LEN(VLOOKUP(R403,A2:D500,4,FALSE))=0,,VLOOKUP(R403,A2:D500,4,FALSE))</f>
        <v>#N/A</v>
      </c>
      <c r="T403" s="56">
        <f>'Process Model'!P515</f>
        <v>0</v>
      </c>
      <c r="U403" s="22" t="e">
        <f>IF(LEN(VLOOKUP(T403,A2:D500,4,FALSE))=0,,VLOOKUP(T403,A2:D500,4,FALSE))</f>
        <v>#N/A</v>
      </c>
      <c r="V403" s="56">
        <f>'Toxicological reference value M'!P517</f>
        <v>0</v>
      </c>
      <c r="W403" s="22" t="e">
        <f>IF(LEN(VLOOKUP(V403,A2:D500,4,FALSE))=0,,VLOOKUP(V403,A2:D500,4,FALSE))</f>
        <v>#N/A</v>
      </c>
      <c r="Y403" s="56">
        <f>'Other Empirical Model'!P528</f>
        <v>0</v>
      </c>
      <c r="Z403" s="22" t="e">
        <f>IF(LEN(VLOOKUP(Y403,A2:D500,4,FALSE))=0,,VLOOKUP(Y403,A2:D500,4,FALSE))</f>
        <v>#N/A</v>
      </c>
      <c r="AA403" s="56">
        <f>'Predictive Model'!P515</f>
        <v>0</v>
      </c>
      <c r="AB403" s="22" t="e">
        <f>IF(LEN(VLOOKUP(AA403,A2:D500,4,FALSE))=0,,VLOOKUP(AA403,A2:D500,4,FALSE))</f>
        <v>#N/A</v>
      </c>
      <c r="AC403" s="56">
        <f>'Consumption Model'!P520</f>
        <v>0</v>
      </c>
      <c r="AD403" s="22" t="e">
        <f>IF(LEN(VLOOKUP(AC403,A2:D500,4,FALSE))=0,,VLOOKUP(AC403,A2:D500,4,FALSE))</f>
        <v>#N/A</v>
      </c>
      <c r="AE403" s="22">
        <f>'(Data)'!Q516</f>
        <v>0</v>
      </c>
      <c r="AF403" s="22" t="e">
        <f>IF(LEN(VLOOKUP(AE402:AE403,A2:D500,4,FALSE))=0,,VLOOKUP(AE402:AE403,A2:D500,4,FALSE))</f>
        <v>#N/A</v>
      </c>
      <c r="AH403" s="45">
        <f>'Risk Charact Model'!P534</f>
        <v>0</v>
      </c>
      <c r="AI403" s="58" t="e">
        <f>IF(LEN(VLOOKUP(AH403,A2:D500,4,FALSE))=0,,VLOOKUP(AH403,A2:D500,4,FALSE))</f>
        <v>#N/A</v>
      </c>
    </row>
    <row r="404" spans="9:35" ht="14" x14ac:dyDescent="0.3">
      <c r="I404" s="60">
        <f>'Generic Metadata Schema'!P534</f>
        <v>0</v>
      </c>
      <c r="J404" s="22" t="e">
        <f>IF(LEN(VLOOKUP(I404,A2:D500,4,FALSE))=0,"",VLOOKUP(I404,A2:D500,4,FALSE))</f>
        <v>#N/A</v>
      </c>
      <c r="L404" s="56">
        <f>'Dose-response Model'!O518</f>
        <v>0</v>
      </c>
      <c r="M404" s="22" t="e">
        <f>IF(LEN(VLOOKUP(L404,A2:D500,4,FALSE))=0,,VLOOKUP(L404,A2:D500,4,FALSE))</f>
        <v>#N/A</v>
      </c>
      <c r="N404" s="22">
        <f>'Exposure Model'!O535</f>
        <v>0</v>
      </c>
      <c r="O404" s="22" t="e">
        <f>IF(LEN(VLOOKUP(N404,A2:D500,4,FALSE))=0,,VLOOKUP(N404,A2:D500,4,FALSE))</f>
        <v>#N/A</v>
      </c>
      <c r="P404" s="56">
        <f>'QRA Models'!Q535</f>
        <v>0</v>
      </c>
      <c r="Q404" s="22" t="e">
        <f>IF(LEN(VLOOKUP(P404,A2:D500,4,FALSE))=0,,VLOOKUP(P404,A2:D500,4,FALSE))</f>
        <v>#N/A</v>
      </c>
      <c r="R404" s="56">
        <f>'Health metrics Models'!Q518</f>
        <v>0</v>
      </c>
      <c r="S404" s="22" t="e">
        <f>IF(LEN(VLOOKUP(R404,A2:D500,4,FALSE))=0,,VLOOKUP(R404,A2:D500,4,FALSE))</f>
        <v>#N/A</v>
      </c>
      <c r="T404" s="56">
        <f>'Process Model'!P516</f>
        <v>0</v>
      </c>
      <c r="U404" s="22" t="e">
        <f>IF(LEN(VLOOKUP(T404,A2:D500,4,FALSE))=0,,VLOOKUP(T404,A2:D500,4,FALSE))</f>
        <v>#N/A</v>
      </c>
      <c r="V404" s="56">
        <f>'Toxicological reference value M'!P518</f>
        <v>0</v>
      </c>
      <c r="W404" s="22" t="e">
        <f>IF(LEN(VLOOKUP(V404,A2:D500,4,FALSE))=0,,VLOOKUP(V404,A2:D500,4,FALSE))</f>
        <v>#N/A</v>
      </c>
      <c r="Y404" s="56">
        <f>'Other Empirical Model'!P529</f>
        <v>0</v>
      </c>
      <c r="Z404" s="22" t="e">
        <f>IF(LEN(VLOOKUP(Y404,A2:D500,4,FALSE))=0,,VLOOKUP(Y404,A2:D500,4,FALSE))</f>
        <v>#N/A</v>
      </c>
      <c r="AA404" s="56">
        <f>'Predictive Model'!P516</f>
        <v>0</v>
      </c>
      <c r="AB404" s="22" t="e">
        <f>IF(LEN(VLOOKUP(AA404,A2:D500,4,FALSE))=0,,VLOOKUP(AA404,A2:D500,4,FALSE))</f>
        <v>#N/A</v>
      </c>
      <c r="AC404" s="56">
        <f>'Consumption Model'!P521</f>
        <v>0</v>
      </c>
      <c r="AD404" s="22" t="e">
        <f>IF(LEN(VLOOKUP(AC404,A2:D500,4,FALSE))=0,,VLOOKUP(AC404,A2:D500,4,FALSE))</f>
        <v>#N/A</v>
      </c>
      <c r="AE404" s="22">
        <f>'(Data)'!Q517</f>
        <v>0</v>
      </c>
      <c r="AF404" s="22" t="e">
        <f>IF(LEN(VLOOKUP(AE403:AE404,A2:D500,4,FALSE))=0,,VLOOKUP(AE403:AE404,A2:D500,4,FALSE))</f>
        <v>#N/A</v>
      </c>
      <c r="AH404" s="45">
        <f>'Risk Charact Model'!P535</f>
        <v>0</v>
      </c>
      <c r="AI404" s="58" t="e">
        <f>IF(LEN(VLOOKUP(AH404,A2:D500,4,FALSE))=0,,VLOOKUP(AH404,A2:D500,4,FALSE))</f>
        <v>#N/A</v>
      </c>
    </row>
    <row r="405" spans="9:35" ht="14" x14ac:dyDescent="0.3">
      <c r="I405" s="60">
        <f>'Generic Metadata Schema'!P535</f>
        <v>0</v>
      </c>
      <c r="J405" s="22" t="e">
        <f>IF(LEN(VLOOKUP(I405,A2:D500,4,FALSE))=0,"",VLOOKUP(I405,A2:D500,4,FALSE))</f>
        <v>#N/A</v>
      </c>
      <c r="L405" s="56">
        <f>'Dose-response Model'!O519</f>
        <v>0</v>
      </c>
      <c r="M405" s="22" t="e">
        <f>IF(LEN(VLOOKUP(L405,A2:D500,4,FALSE))=0,,VLOOKUP(L405,A2:D500,4,FALSE))</f>
        <v>#N/A</v>
      </c>
      <c r="N405" s="22">
        <f>'Exposure Model'!O536</f>
        <v>0</v>
      </c>
      <c r="O405" s="22" t="e">
        <f>IF(LEN(VLOOKUP(N405,A2:D500,4,FALSE))=0,,VLOOKUP(N405,A2:D500,4,FALSE))</f>
        <v>#N/A</v>
      </c>
      <c r="P405" s="56">
        <f>'QRA Models'!Q536</f>
        <v>0</v>
      </c>
      <c r="Q405" s="22" t="e">
        <f>IF(LEN(VLOOKUP(P405,A2:D500,4,FALSE))=0,,VLOOKUP(P405,A2:D500,4,FALSE))</f>
        <v>#N/A</v>
      </c>
      <c r="R405" s="56">
        <f>'Health metrics Models'!Q519</f>
        <v>0</v>
      </c>
      <c r="S405" s="22" t="e">
        <f>IF(LEN(VLOOKUP(R405,A2:D500,4,FALSE))=0,,VLOOKUP(R405,A2:D500,4,FALSE))</f>
        <v>#N/A</v>
      </c>
      <c r="T405" s="56">
        <f>'Process Model'!P517</f>
        <v>0</v>
      </c>
      <c r="U405" s="22" t="e">
        <f>IF(LEN(VLOOKUP(T405,A2:D500,4,FALSE))=0,,VLOOKUP(T405,A2:D500,4,FALSE))</f>
        <v>#N/A</v>
      </c>
      <c r="V405" s="56">
        <f>'Toxicological reference value M'!P519</f>
        <v>0</v>
      </c>
      <c r="W405" s="22" t="e">
        <f>IF(LEN(VLOOKUP(V405,A2:D500,4,FALSE))=0,,VLOOKUP(V405,A2:D500,4,FALSE))</f>
        <v>#N/A</v>
      </c>
      <c r="Y405" s="56">
        <f>'Other Empirical Model'!P530</f>
        <v>0</v>
      </c>
      <c r="Z405" s="22" t="e">
        <f>IF(LEN(VLOOKUP(Y405,A2:D500,4,FALSE))=0,,VLOOKUP(Y405,A2:D500,4,FALSE))</f>
        <v>#N/A</v>
      </c>
      <c r="AA405" s="56">
        <f>'Predictive Model'!P517</f>
        <v>0</v>
      </c>
      <c r="AB405" s="22" t="e">
        <f>IF(LEN(VLOOKUP(AA405,A2:D500,4,FALSE))=0,,VLOOKUP(AA405,A2:D500,4,FALSE))</f>
        <v>#N/A</v>
      </c>
      <c r="AC405" s="56">
        <f>'Consumption Model'!P522</f>
        <v>0</v>
      </c>
      <c r="AD405" s="22" t="e">
        <f>IF(LEN(VLOOKUP(AC405,A2:D500,4,FALSE))=0,,VLOOKUP(AC405,A2:D500,4,FALSE))</f>
        <v>#N/A</v>
      </c>
      <c r="AE405" s="22">
        <f>'(Data)'!Q518</f>
        <v>0</v>
      </c>
      <c r="AF405" s="22" t="e">
        <f>IF(LEN(VLOOKUP(AE404:AE405,A2:D500,4,FALSE))=0,,VLOOKUP(AE404:AE405,A2:D500,4,FALSE))</f>
        <v>#N/A</v>
      </c>
      <c r="AH405" s="45">
        <f>'Risk Charact Model'!P536</f>
        <v>0</v>
      </c>
      <c r="AI405" s="58" t="e">
        <f>IF(LEN(VLOOKUP(AH405,A2:D500,4,FALSE))=0,,VLOOKUP(AH405,A2:D500,4,FALSE))</f>
        <v>#N/A</v>
      </c>
    </row>
    <row r="406" spans="9:35" ht="14" x14ac:dyDescent="0.3">
      <c r="I406" s="60">
        <f>'Generic Metadata Schema'!P536</f>
        <v>0</v>
      </c>
      <c r="J406" s="22" t="e">
        <f>IF(LEN(VLOOKUP(I406,A2:D500,4,FALSE))=0,"",VLOOKUP(I406,A2:D500,4,FALSE))</f>
        <v>#N/A</v>
      </c>
      <c r="L406" s="56">
        <f>'Dose-response Model'!O520</f>
        <v>0</v>
      </c>
      <c r="M406" s="22" t="e">
        <f>IF(LEN(VLOOKUP(L406,A2:D500,4,FALSE))=0,,VLOOKUP(L406,A2:D500,4,FALSE))</f>
        <v>#N/A</v>
      </c>
      <c r="N406" s="22">
        <f>'Exposure Model'!O537</f>
        <v>0</v>
      </c>
      <c r="O406" s="22" t="e">
        <f>IF(LEN(VLOOKUP(N406,A2:D500,4,FALSE))=0,,VLOOKUP(N406,A2:D500,4,FALSE))</f>
        <v>#N/A</v>
      </c>
      <c r="P406" s="56">
        <f>'QRA Models'!Q537</f>
        <v>0</v>
      </c>
      <c r="Q406" s="22" t="e">
        <f>IF(LEN(VLOOKUP(P406,A2:D500,4,FALSE))=0,,VLOOKUP(P406,A2:D500,4,FALSE))</f>
        <v>#N/A</v>
      </c>
      <c r="R406" s="56">
        <f>'Health metrics Models'!Q520</f>
        <v>0</v>
      </c>
      <c r="S406" s="22" t="e">
        <f>IF(LEN(VLOOKUP(R406,A2:D500,4,FALSE))=0,,VLOOKUP(R406,A2:D500,4,FALSE))</f>
        <v>#N/A</v>
      </c>
      <c r="T406" s="56">
        <f>'Process Model'!P518</f>
        <v>0</v>
      </c>
      <c r="U406" s="22" t="e">
        <f>IF(LEN(VLOOKUP(T406,A2:D500,4,FALSE))=0,,VLOOKUP(T406,A2:D500,4,FALSE))</f>
        <v>#N/A</v>
      </c>
      <c r="V406" s="56">
        <f>'Toxicological reference value M'!P520</f>
        <v>0</v>
      </c>
      <c r="W406" s="22" t="e">
        <f>IF(LEN(VLOOKUP(V406,A2:D500,4,FALSE))=0,,VLOOKUP(V406,A2:D500,4,FALSE))</f>
        <v>#N/A</v>
      </c>
      <c r="Y406" s="56">
        <f>'Other Empirical Model'!P531</f>
        <v>0</v>
      </c>
      <c r="Z406" s="22" t="e">
        <f>IF(LEN(VLOOKUP(Y406,A2:D500,4,FALSE))=0,,VLOOKUP(Y406,A2:D500,4,FALSE))</f>
        <v>#N/A</v>
      </c>
      <c r="AA406" s="56">
        <f>'Predictive Model'!P518</f>
        <v>0</v>
      </c>
      <c r="AB406" s="22" t="e">
        <f>IF(LEN(VLOOKUP(AA406,A2:D500,4,FALSE))=0,,VLOOKUP(AA406,A2:D500,4,FALSE))</f>
        <v>#N/A</v>
      </c>
      <c r="AC406" s="56">
        <f>'Consumption Model'!P523</f>
        <v>0</v>
      </c>
      <c r="AD406" s="22" t="e">
        <f>IF(LEN(VLOOKUP(AC406,A2:D500,4,FALSE))=0,,VLOOKUP(AC406,A2:D500,4,FALSE))</f>
        <v>#N/A</v>
      </c>
      <c r="AE406" s="22">
        <f>'(Data)'!Q519</f>
        <v>0</v>
      </c>
      <c r="AF406" s="22" t="e">
        <f>IF(LEN(VLOOKUP(AE405:AE406,A2:D500,4,FALSE))=0,,VLOOKUP(AE405:AE406,A2:D500,4,FALSE))</f>
        <v>#N/A</v>
      </c>
      <c r="AH406" s="45">
        <f>'Risk Charact Model'!P537</f>
        <v>0</v>
      </c>
      <c r="AI406" s="58" t="e">
        <f>IF(LEN(VLOOKUP(AH406,A2:D500,4,FALSE))=0,,VLOOKUP(AH406,A2:D500,4,FALSE))</f>
        <v>#N/A</v>
      </c>
    </row>
    <row r="407" spans="9:35" ht="14" x14ac:dyDescent="0.3">
      <c r="I407" s="60">
        <f>'Generic Metadata Schema'!P537</f>
        <v>0</v>
      </c>
      <c r="J407" s="22" t="e">
        <f>IF(LEN(VLOOKUP(I407,A2:D500,4,FALSE))=0,"",VLOOKUP(I407,A2:D500,4,FALSE))</f>
        <v>#N/A</v>
      </c>
      <c r="L407" s="56">
        <f>'Dose-response Model'!O521</f>
        <v>0</v>
      </c>
      <c r="M407" s="22" t="e">
        <f>IF(LEN(VLOOKUP(L407,A2:D500,4,FALSE))=0,,VLOOKUP(L407,A2:D500,4,FALSE))</f>
        <v>#N/A</v>
      </c>
      <c r="N407" s="22">
        <f>'Exposure Model'!O538</f>
        <v>0</v>
      </c>
      <c r="O407" s="22" t="e">
        <f>IF(LEN(VLOOKUP(N407,A2:D500,4,FALSE))=0,,VLOOKUP(N407,A2:D500,4,FALSE))</f>
        <v>#N/A</v>
      </c>
      <c r="P407" s="56">
        <f>'QRA Models'!Q538</f>
        <v>0</v>
      </c>
      <c r="Q407" s="22" t="e">
        <f>IF(LEN(VLOOKUP(P407,A2:D500,4,FALSE))=0,,VLOOKUP(P407,A2:D500,4,FALSE))</f>
        <v>#N/A</v>
      </c>
      <c r="R407" s="56">
        <f>'Health metrics Models'!Q521</f>
        <v>0</v>
      </c>
      <c r="S407" s="22" t="e">
        <f>IF(LEN(VLOOKUP(R407,A2:D500,4,FALSE))=0,,VLOOKUP(R407,A2:D500,4,FALSE))</f>
        <v>#N/A</v>
      </c>
      <c r="T407" s="56">
        <f>'Process Model'!P519</f>
        <v>0</v>
      </c>
      <c r="U407" s="22" t="e">
        <f>IF(LEN(VLOOKUP(T407,A2:D500,4,FALSE))=0,,VLOOKUP(T407,A2:D500,4,FALSE))</f>
        <v>#N/A</v>
      </c>
      <c r="V407" s="56">
        <f>'Toxicological reference value M'!P521</f>
        <v>0</v>
      </c>
      <c r="W407" s="22" t="e">
        <f>IF(LEN(VLOOKUP(V407,A2:D500,4,FALSE))=0,,VLOOKUP(V407,A2:D500,4,FALSE))</f>
        <v>#N/A</v>
      </c>
      <c r="Y407" s="56">
        <f>'Other Empirical Model'!P532</f>
        <v>0</v>
      </c>
      <c r="Z407" s="22" t="e">
        <f>IF(LEN(VLOOKUP(Y407,A2:D500,4,FALSE))=0,,VLOOKUP(Y407,A2:D500,4,FALSE))</f>
        <v>#N/A</v>
      </c>
      <c r="AA407" s="56">
        <f>'Predictive Model'!P519</f>
        <v>0</v>
      </c>
      <c r="AB407" s="22" t="e">
        <f>IF(LEN(VLOOKUP(AA407,A2:D500,4,FALSE))=0,,VLOOKUP(AA407,A2:D500,4,FALSE))</f>
        <v>#N/A</v>
      </c>
      <c r="AC407" s="56">
        <f>'Consumption Model'!P524</f>
        <v>0</v>
      </c>
      <c r="AD407" s="22" t="e">
        <f>IF(LEN(VLOOKUP(AC407,A2:D500,4,FALSE))=0,,VLOOKUP(AC407,A2:D500,4,FALSE))</f>
        <v>#N/A</v>
      </c>
      <c r="AE407" s="22">
        <f>'(Data)'!Q520</f>
        <v>0</v>
      </c>
      <c r="AF407" s="22" t="e">
        <f>IF(LEN(VLOOKUP(AE406:AE407,A2:D500,4,FALSE))=0,,VLOOKUP(AE406:AE407,A2:D500,4,FALSE))</f>
        <v>#N/A</v>
      </c>
      <c r="AH407" s="45">
        <f>'Risk Charact Model'!P538</f>
        <v>0</v>
      </c>
      <c r="AI407" s="58" t="e">
        <f>IF(LEN(VLOOKUP(AH407,A2:D500,4,FALSE))=0,,VLOOKUP(AH407,A2:D500,4,FALSE))</f>
        <v>#N/A</v>
      </c>
    </row>
    <row r="408" spans="9:35" ht="14" x14ac:dyDescent="0.3">
      <c r="I408" s="60">
        <f>'Generic Metadata Schema'!P538</f>
        <v>0</v>
      </c>
      <c r="J408" s="22" t="e">
        <f>IF(LEN(VLOOKUP(I408,A2:D500,4,FALSE))=0,"",VLOOKUP(I408,A2:D500,4,FALSE))</f>
        <v>#N/A</v>
      </c>
      <c r="L408" s="56">
        <f>'Dose-response Model'!O522</f>
        <v>0</v>
      </c>
      <c r="M408" s="22" t="e">
        <f>IF(LEN(VLOOKUP(L408,A2:D500,4,FALSE))=0,,VLOOKUP(L408,A2:D500,4,FALSE))</f>
        <v>#N/A</v>
      </c>
      <c r="N408" s="22">
        <f>'Exposure Model'!O539</f>
        <v>0</v>
      </c>
      <c r="O408" s="22" t="e">
        <f>IF(LEN(VLOOKUP(N408,A2:D500,4,FALSE))=0,,VLOOKUP(N408,A2:D500,4,FALSE))</f>
        <v>#N/A</v>
      </c>
      <c r="P408" s="56">
        <f>'QRA Models'!Q539</f>
        <v>0</v>
      </c>
      <c r="Q408" s="22" t="e">
        <f>IF(LEN(VLOOKUP(P408,A2:D500,4,FALSE))=0,,VLOOKUP(P408,A2:D500,4,FALSE))</f>
        <v>#N/A</v>
      </c>
      <c r="R408" s="56">
        <f>'Health metrics Models'!Q522</f>
        <v>0</v>
      </c>
      <c r="S408" s="22" t="e">
        <f>IF(LEN(VLOOKUP(R408,A2:D500,4,FALSE))=0,,VLOOKUP(R408,A2:D500,4,FALSE))</f>
        <v>#N/A</v>
      </c>
      <c r="T408" s="56">
        <f>'Process Model'!P520</f>
        <v>0</v>
      </c>
      <c r="U408" s="22" t="e">
        <f>IF(LEN(VLOOKUP(T408,A2:D500,4,FALSE))=0,,VLOOKUP(T408,A2:D500,4,FALSE))</f>
        <v>#N/A</v>
      </c>
      <c r="V408" s="56">
        <f>'Toxicological reference value M'!P522</f>
        <v>0</v>
      </c>
      <c r="W408" s="22" t="e">
        <f>IF(LEN(VLOOKUP(V408,A2:D500,4,FALSE))=0,,VLOOKUP(V408,A2:D500,4,FALSE))</f>
        <v>#N/A</v>
      </c>
      <c r="Y408" s="56">
        <f>'Other Empirical Model'!P533</f>
        <v>0</v>
      </c>
      <c r="Z408" s="22" t="e">
        <f>IF(LEN(VLOOKUP(Y408,A2:D500,4,FALSE))=0,,VLOOKUP(Y408,A2:D500,4,FALSE))</f>
        <v>#N/A</v>
      </c>
      <c r="AA408" s="56">
        <f>'Predictive Model'!P520</f>
        <v>0</v>
      </c>
      <c r="AB408" s="22" t="e">
        <f>IF(LEN(VLOOKUP(AA408,A2:D500,4,FALSE))=0,,VLOOKUP(AA408,A2:D500,4,FALSE))</f>
        <v>#N/A</v>
      </c>
      <c r="AC408" s="56">
        <f>'Consumption Model'!P525</f>
        <v>0</v>
      </c>
      <c r="AD408" s="22" t="e">
        <f>IF(LEN(VLOOKUP(AC408,A2:D500,4,FALSE))=0,,VLOOKUP(AC408,A2:D500,4,FALSE))</f>
        <v>#N/A</v>
      </c>
      <c r="AE408" s="22">
        <f>'(Data)'!Q521</f>
        <v>0</v>
      </c>
      <c r="AF408" s="22" t="e">
        <f>IF(LEN(VLOOKUP(AE407:AE408,A2:D500,4,FALSE))=0,,VLOOKUP(AE407:AE408,A2:D500,4,FALSE))</f>
        <v>#N/A</v>
      </c>
      <c r="AH408" s="45">
        <f>'Risk Charact Model'!P539</f>
        <v>0</v>
      </c>
      <c r="AI408" s="58" t="e">
        <f>IF(LEN(VLOOKUP(AH408,A2:D500,4,FALSE))=0,,VLOOKUP(AH408,A2:D500,4,FALSE))</f>
        <v>#N/A</v>
      </c>
    </row>
    <row r="409" spans="9:35" ht="14" x14ac:dyDescent="0.3">
      <c r="I409" s="60">
        <f>'Generic Metadata Schema'!P539</f>
        <v>0</v>
      </c>
      <c r="J409" s="22" t="e">
        <f>IF(LEN(VLOOKUP(I409,A2:D500,4,FALSE))=0,"",VLOOKUP(I409,A2:D500,4,FALSE))</f>
        <v>#N/A</v>
      </c>
      <c r="L409" s="56">
        <f>'Dose-response Model'!O523</f>
        <v>0</v>
      </c>
      <c r="M409" s="22" t="e">
        <f>IF(LEN(VLOOKUP(L409,A2:D500,4,FALSE))=0,,VLOOKUP(L409,A2:D500,4,FALSE))</f>
        <v>#N/A</v>
      </c>
      <c r="N409" s="22">
        <f>'Exposure Model'!O540</f>
        <v>0</v>
      </c>
      <c r="O409" s="22" t="e">
        <f>IF(LEN(VLOOKUP(N409,A2:D500,4,FALSE))=0,,VLOOKUP(N409,A2:D500,4,FALSE))</f>
        <v>#N/A</v>
      </c>
      <c r="P409" s="56">
        <f>'QRA Models'!Q540</f>
        <v>0</v>
      </c>
      <c r="Q409" s="22" t="e">
        <f>IF(LEN(VLOOKUP(P409,A2:D500,4,FALSE))=0,,VLOOKUP(P409,A2:D500,4,FALSE))</f>
        <v>#N/A</v>
      </c>
      <c r="R409" s="56">
        <f>'Health metrics Models'!Q523</f>
        <v>0</v>
      </c>
      <c r="S409" s="22" t="e">
        <f>IF(LEN(VLOOKUP(R409,A2:D500,4,FALSE))=0,,VLOOKUP(R409,A2:D500,4,FALSE))</f>
        <v>#N/A</v>
      </c>
      <c r="T409" s="56">
        <f>'Process Model'!P521</f>
        <v>0</v>
      </c>
      <c r="U409" s="22" t="e">
        <f>IF(LEN(VLOOKUP(T409,A2:D500,4,FALSE))=0,,VLOOKUP(T409,A2:D500,4,FALSE))</f>
        <v>#N/A</v>
      </c>
      <c r="V409" s="56">
        <f>'Toxicological reference value M'!P523</f>
        <v>0</v>
      </c>
      <c r="W409" s="22" t="e">
        <f>IF(LEN(VLOOKUP(V409,A2:D500,4,FALSE))=0,,VLOOKUP(V409,A2:D500,4,FALSE))</f>
        <v>#N/A</v>
      </c>
      <c r="Y409" s="56">
        <f>'Other Empirical Model'!P534</f>
        <v>0</v>
      </c>
      <c r="Z409" s="22" t="e">
        <f>IF(LEN(VLOOKUP(Y409,A2:D500,4,FALSE))=0,,VLOOKUP(Y409,A2:D500,4,FALSE))</f>
        <v>#N/A</v>
      </c>
      <c r="AA409" s="56">
        <f>'Predictive Model'!P521</f>
        <v>0</v>
      </c>
      <c r="AB409" s="22" t="e">
        <f>IF(LEN(VLOOKUP(AA409,A2:D500,4,FALSE))=0,,VLOOKUP(AA409,A2:D500,4,FALSE))</f>
        <v>#N/A</v>
      </c>
      <c r="AC409" s="56">
        <f>'Consumption Model'!P526</f>
        <v>0</v>
      </c>
      <c r="AD409" s="22" t="e">
        <f>IF(LEN(VLOOKUP(AC409,A2:D500,4,FALSE))=0,,VLOOKUP(AC409,A2:D500,4,FALSE))</f>
        <v>#N/A</v>
      </c>
      <c r="AE409" s="22">
        <f>'(Data)'!Q522</f>
        <v>0</v>
      </c>
      <c r="AF409" s="22" t="e">
        <f>IF(LEN(VLOOKUP(AE408:AE409,A2:D500,4,FALSE))=0,,VLOOKUP(AE408:AE409,A2:D500,4,FALSE))</f>
        <v>#N/A</v>
      </c>
      <c r="AH409" s="45">
        <f>'Risk Charact Model'!P540</f>
        <v>0</v>
      </c>
      <c r="AI409" s="58" t="e">
        <f>IF(LEN(VLOOKUP(AH409,A2:D500,4,FALSE))=0,,VLOOKUP(AH409,A2:D500,4,FALSE))</f>
        <v>#N/A</v>
      </c>
    </row>
    <row r="410" spans="9:35" ht="14" x14ac:dyDescent="0.3">
      <c r="I410" s="60">
        <f>'Generic Metadata Schema'!P540</f>
        <v>0</v>
      </c>
      <c r="J410" s="22" t="e">
        <f>IF(LEN(VLOOKUP(I410,A2:D500,4,FALSE))=0,"",VLOOKUP(I410,A2:D500,4,FALSE))</f>
        <v>#N/A</v>
      </c>
      <c r="L410" s="56">
        <f>'Dose-response Model'!O524</f>
        <v>0</v>
      </c>
      <c r="M410" s="22" t="e">
        <f>IF(LEN(VLOOKUP(L410,A2:D500,4,FALSE))=0,,VLOOKUP(L410,A2:D500,4,FALSE))</f>
        <v>#N/A</v>
      </c>
      <c r="N410" s="22">
        <f>'Exposure Model'!O541</f>
        <v>0</v>
      </c>
      <c r="O410" s="22" t="e">
        <f>IF(LEN(VLOOKUP(N410,A2:D500,4,FALSE))=0,,VLOOKUP(N410,A2:D500,4,FALSE))</f>
        <v>#N/A</v>
      </c>
      <c r="P410" s="56">
        <f>'QRA Models'!Q541</f>
        <v>0</v>
      </c>
      <c r="Q410" s="22" t="e">
        <f>IF(LEN(VLOOKUP(P410,A2:D500,4,FALSE))=0,,VLOOKUP(P410,A2:D500,4,FALSE))</f>
        <v>#N/A</v>
      </c>
      <c r="R410" s="56">
        <f>'Health metrics Models'!Q524</f>
        <v>0</v>
      </c>
      <c r="S410" s="22" t="e">
        <f>IF(LEN(VLOOKUP(R410,A2:D500,4,FALSE))=0,,VLOOKUP(R410,A2:D500,4,FALSE))</f>
        <v>#N/A</v>
      </c>
      <c r="T410" s="56">
        <f>'Process Model'!P522</f>
        <v>0</v>
      </c>
      <c r="U410" s="22" t="e">
        <f>IF(LEN(VLOOKUP(T410,A2:D500,4,FALSE))=0,,VLOOKUP(T410,A2:D500,4,FALSE))</f>
        <v>#N/A</v>
      </c>
      <c r="V410" s="56">
        <f>'Toxicological reference value M'!P524</f>
        <v>0</v>
      </c>
      <c r="W410" s="22" t="e">
        <f>IF(LEN(VLOOKUP(V410,A2:D500,4,FALSE))=0,,VLOOKUP(V410,A2:D500,4,FALSE))</f>
        <v>#N/A</v>
      </c>
      <c r="Y410" s="56">
        <f>'Other Empirical Model'!P535</f>
        <v>0</v>
      </c>
      <c r="Z410" s="22" t="e">
        <f>IF(LEN(VLOOKUP(Y410,A2:D500,4,FALSE))=0,,VLOOKUP(Y410,A2:D500,4,FALSE))</f>
        <v>#N/A</v>
      </c>
      <c r="AA410" s="56">
        <f>'Predictive Model'!P522</f>
        <v>0</v>
      </c>
      <c r="AB410" s="22" t="e">
        <f>IF(LEN(VLOOKUP(AA410,A2:D500,4,FALSE))=0,,VLOOKUP(AA410,A2:D500,4,FALSE))</f>
        <v>#N/A</v>
      </c>
      <c r="AC410" s="56">
        <f>'Consumption Model'!P527</f>
        <v>0</v>
      </c>
      <c r="AD410" s="22" t="e">
        <f>IF(LEN(VLOOKUP(AC410,A2:D500,4,FALSE))=0,,VLOOKUP(AC410,A2:D500,4,FALSE))</f>
        <v>#N/A</v>
      </c>
      <c r="AE410" s="22">
        <f>'(Data)'!Q523</f>
        <v>0</v>
      </c>
      <c r="AF410" s="22" t="e">
        <f>IF(LEN(VLOOKUP(AE409:AE410,A2:D500,4,FALSE))=0,,VLOOKUP(AE409:AE410,A2:D500,4,FALSE))</f>
        <v>#N/A</v>
      </c>
      <c r="AH410" s="45">
        <f>'Risk Charact Model'!P541</f>
        <v>0</v>
      </c>
      <c r="AI410" s="58" t="e">
        <f>IF(LEN(VLOOKUP(AH410,A2:D500,4,FALSE))=0,,VLOOKUP(AH410,A2:D500,4,FALSE))</f>
        <v>#N/A</v>
      </c>
    </row>
    <row r="411" spans="9:35" ht="14" x14ac:dyDescent="0.3">
      <c r="I411" s="60">
        <f>'Generic Metadata Schema'!P541</f>
        <v>0</v>
      </c>
      <c r="J411" s="22" t="e">
        <f>IF(LEN(VLOOKUP(I411,A2:D500,4,FALSE))=0,"",VLOOKUP(I411,A2:D500,4,FALSE))</f>
        <v>#N/A</v>
      </c>
      <c r="L411" s="56">
        <f>'Dose-response Model'!O525</f>
        <v>0</v>
      </c>
      <c r="M411" s="22" t="e">
        <f>IF(LEN(VLOOKUP(L411,A2:D500,4,FALSE))=0,,VLOOKUP(L411,A2:D500,4,FALSE))</f>
        <v>#N/A</v>
      </c>
      <c r="N411" s="22">
        <f>'Exposure Model'!O542</f>
        <v>0</v>
      </c>
      <c r="O411" s="22" t="e">
        <f>IF(LEN(VLOOKUP(N411,A2:D500,4,FALSE))=0,,VLOOKUP(N411,A2:D500,4,FALSE))</f>
        <v>#N/A</v>
      </c>
      <c r="P411" s="56">
        <f>'QRA Models'!Q542</f>
        <v>0</v>
      </c>
      <c r="Q411" s="22" t="e">
        <f>IF(LEN(VLOOKUP(P411,A2:D500,4,FALSE))=0,,VLOOKUP(P411,A2:D500,4,FALSE))</f>
        <v>#N/A</v>
      </c>
      <c r="R411" s="56">
        <f>'Health metrics Models'!Q525</f>
        <v>0</v>
      </c>
      <c r="S411" s="22" t="e">
        <f>IF(LEN(VLOOKUP(R411,A2:D500,4,FALSE))=0,,VLOOKUP(R411,A2:D500,4,FALSE))</f>
        <v>#N/A</v>
      </c>
      <c r="T411" s="56">
        <f>'Process Model'!P523</f>
        <v>0</v>
      </c>
      <c r="U411" s="22" t="e">
        <f>IF(LEN(VLOOKUP(T411,A2:D500,4,FALSE))=0,,VLOOKUP(T411,A2:D500,4,FALSE))</f>
        <v>#N/A</v>
      </c>
      <c r="V411" s="56">
        <f>'Toxicological reference value M'!P525</f>
        <v>0</v>
      </c>
      <c r="W411" s="22" t="e">
        <f>IF(LEN(VLOOKUP(V411,A2:D500,4,FALSE))=0,,VLOOKUP(V411,A2:D500,4,FALSE))</f>
        <v>#N/A</v>
      </c>
      <c r="Y411" s="56">
        <f>'Other Empirical Model'!P536</f>
        <v>0</v>
      </c>
      <c r="Z411" s="22" t="e">
        <f>IF(LEN(VLOOKUP(Y411,A2:D500,4,FALSE))=0,,VLOOKUP(Y411,A2:D500,4,FALSE))</f>
        <v>#N/A</v>
      </c>
      <c r="AA411" s="56">
        <f>'Predictive Model'!P523</f>
        <v>0</v>
      </c>
      <c r="AB411" s="22" t="e">
        <f>IF(LEN(VLOOKUP(AA411,A2:D500,4,FALSE))=0,,VLOOKUP(AA411,A2:D500,4,FALSE))</f>
        <v>#N/A</v>
      </c>
      <c r="AC411" s="56">
        <f>'Consumption Model'!P528</f>
        <v>0</v>
      </c>
      <c r="AD411" s="22" t="e">
        <f>IF(LEN(VLOOKUP(AC411,A2:D500,4,FALSE))=0,,VLOOKUP(AC411,A2:D500,4,FALSE))</f>
        <v>#N/A</v>
      </c>
      <c r="AE411" s="22">
        <f>'(Data)'!Q524</f>
        <v>0</v>
      </c>
      <c r="AF411" s="22" t="e">
        <f>IF(LEN(VLOOKUP(AE410:AE411,A2:D500,4,FALSE))=0,,VLOOKUP(AE410:AE411,A2:D500,4,FALSE))</f>
        <v>#N/A</v>
      </c>
      <c r="AH411" s="45">
        <f>'Risk Charact Model'!P542</f>
        <v>0</v>
      </c>
      <c r="AI411" s="58" t="e">
        <f>IF(LEN(VLOOKUP(AH411,A2:D500,4,FALSE))=0,,VLOOKUP(AH411,A2:D500,4,FALSE))</f>
        <v>#N/A</v>
      </c>
    </row>
    <row r="412" spans="9:35" ht="14" x14ac:dyDescent="0.3">
      <c r="I412" s="60">
        <f>'Generic Metadata Schema'!P542</f>
        <v>0</v>
      </c>
      <c r="J412" s="22" t="e">
        <f>IF(LEN(VLOOKUP(I412,A2:D500,4,FALSE))=0,"",VLOOKUP(I412,A2:D500,4,FALSE))</f>
        <v>#N/A</v>
      </c>
      <c r="L412" s="56">
        <f>'Dose-response Model'!O526</f>
        <v>0</v>
      </c>
      <c r="M412" s="22" t="e">
        <f>IF(LEN(VLOOKUP(L412,A2:D500,4,FALSE))=0,,VLOOKUP(L412,A2:D500,4,FALSE))</f>
        <v>#N/A</v>
      </c>
      <c r="N412" s="22">
        <f>'Exposure Model'!O543</f>
        <v>0</v>
      </c>
      <c r="O412" s="22" t="e">
        <f>IF(LEN(VLOOKUP(N412,A2:D500,4,FALSE))=0,,VLOOKUP(N412,A2:D500,4,FALSE))</f>
        <v>#N/A</v>
      </c>
      <c r="P412" s="56">
        <f>'QRA Models'!Q543</f>
        <v>0</v>
      </c>
      <c r="Q412" s="22" t="e">
        <f>IF(LEN(VLOOKUP(P412,A2:D500,4,FALSE))=0,,VLOOKUP(P412,A2:D500,4,FALSE))</f>
        <v>#N/A</v>
      </c>
      <c r="R412" s="56">
        <f>'Health metrics Models'!Q526</f>
        <v>0</v>
      </c>
      <c r="S412" s="22" t="e">
        <f>IF(LEN(VLOOKUP(R412,A2:D500,4,FALSE))=0,,VLOOKUP(R412,A2:D500,4,FALSE))</f>
        <v>#N/A</v>
      </c>
      <c r="T412" s="56">
        <f>'Process Model'!P524</f>
        <v>0</v>
      </c>
      <c r="U412" s="22" t="e">
        <f>IF(LEN(VLOOKUP(T412,A2:D500,4,FALSE))=0,,VLOOKUP(T412,A2:D500,4,FALSE))</f>
        <v>#N/A</v>
      </c>
      <c r="V412" s="56">
        <f>'Toxicological reference value M'!P526</f>
        <v>0</v>
      </c>
      <c r="W412" s="22" t="e">
        <f>IF(LEN(VLOOKUP(V412,A2:D500,4,FALSE))=0,,VLOOKUP(V412,A2:D500,4,FALSE))</f>
        <v>#N/A</v>
      </c>
      <c r="Y412" s="56">
        <f>'Other Empirical Model'!P537</f>
        <v>0</v>
      </c>
      <c r="Z412" s="22" t="e">
        <f>IF(LEN(VLOOKUP(Y412,A2:D500,4,FALSE))=0,,VLOOKUP(Y412,A2:D500,4,FALSE))</f>
        <v>#N/A</v>
      </c>
      <c r="AA412" s="56">
        <f>'Predictive Model'!P524</f>
        <v>0</v>
      </c>
      <c r="AB412" s="22" t="e">
        <f>IF(LEN(VLOOKUP(AA412,A2:D500,4,FALSE))=0,,VLOOKUP(AA412,A2:D500,4,FALSE))</f>
        <v>#N/A</v>
      </c>
      <c r="AC412" s="56">
        <f>'Consumption Model'!P529</f>
        <v>0</v>
      </c>
      <c r="AD412" s="22" t="e">
        <f>IF(LEN(VLOOKUP(AC412,A2:D500,4,FALSE))=0,,VLOOKUP(AC412,A2:D500,4,FALSE))</f>
        <v>#N/A</v>
      </c>
      <c r="AE412" s="22">
        <f>'(Data)'!Q525</f>
        <v>0</v>
      </c>
      <c r="AF412" s="22" t="e">
        <f>IF(LEN(VLOOKUP(AE411:AE412,A2:D500,4,FALSE))=0,,VLOOKUP(AE411:AE412,A2:D500,4,FALSE))</f>
        <v>#N/A</v>
      </c>
      <c r="AH412" s="45">
        <f>'Risk Charact Model'!P543</f>
        <v>0</v>
      </c>
      <c r="AI412" s="58" t="e">
        <f>IF(LEN(VLOOKUP(AH412,A2:D500,4,FALSE))=0,,VLOOKUP(AH412,A2:D500,4,FALSE))</f>
        <v>#N/A</v>
      </c>
    </row>
    <row r="413" spans="9:35" ht="14" x14ac:dyDescent="0.3">
      <c r="I413" s="60">
        <f>'Generic Metadata Schema'!P543</f>
        <v>0</v>
      </c>
      <c r="J413" s="22" t="e">
        <f>IF(LEN(VLOOKUP(I413,A2:D500,4,FALSE))=0,"",VLOOKUP(I413,A2:D500,4,FALSE))</f>
        <v>#N/A</v>
      </c>
      <c r="L413" s="56">
        <f>'Dose-response Model'!O527</f>
        <v>0</v>
      </c>
      <c r="M413" s="22" t="e">
        <f>IF(LEN(VLOOKUP(L413,A2:D500,4,FALSE))=0,,VLOOKUP(L413,A2:D500,4,FALSE))</f>
        <v>#N/A</v>
      </c>
      <c r="N413" s="22">
        <f>'Exposure Model'!O544</f>
        <v>0</v>
      </c>
      <c r="O413" s="22" t="e">
        <f>IF(LEN(VLOOKUP(N413,A2:D500,4,FALSE))=0,,VLOOKUP(N413,A2:D500,4,FALSE))</f>
        <v>#N/A</v>
      </c>
      <c r="P413" s="56">
        <f>'QRA Models'!Q544</f>
        <v>0</v>
      </c>
      <c r="Q413" s="22" t="e">
        <f>IF(LEN(VLOOKUP(P413,A2:D500,4,FALSE))=0,,VLOOKUP(P413,A2:D500,4,FALSE))</f>
        <v>#N/A</v>
      </c>
      <c r="R413" s="56">
        <f>'Health metrics Models'!Q527</f>
        <v>0</v>
      </c>
      <c r="S413" s="22" t="e">
        <f>IF(LEN(VLOOKUP(R413,A2:D500,4,FALSE))=0,,VLOOKUP(R413,A2:D500,4,FALSE))</f>
        <v>#N/A</v>
      </c>
      <c r="T413" s="56">
        <f>'Process Model'!P525</f>
        <v>0</v>
      </c>
      <c r="U413" s="22" t="e">
        <f>IF(LEN(VLOOKUP(T413,A2:D500,4,FALSE))=0,,VLOOKUP(T413,A2:D500,4,FALSE))</f>
        <v>#N/A</v>
      </c>
      <c r="V413" s="56">
        <f>'Toxicological reference value M'!P527</f>
        <v>0</v>
      </c>
      <c r="W413" s="22" t="e">
        <f>IF(LEN(VLOOKUP(V413,A2:D500,4,FALSE))=0,,VLOOKUP(V413,A2:D500,4,FALSE))</f>
        <v>#N/A</v>
      </c>
      <c r="Y413" s="56">
        <f>'Other Empirical Model'!P538</f>
        <v>0</v>
      </c>
      <c r="Z413" s="22" t="e">
        <f>IF(LEN(VLOOKUP(Y413,A2:D500,4,FALSE))=0,,VLOOKUP(Y413,A2:D500,4,FALSE))</f>
        <v>#N/A</v>
      </c>
      <c r="AA413" s="56">
        <f>'Predictive Model'!P525</f>
        <v>0</v>
      </c>
      <c r="AB413" s="22" t="e">
        <f>IF(LEN(VLOOKUP(AA413,A2:D500,4,FALSE))=0,,VLOOKUP(AA413,A2:D500,4,FALSE))</f>
        <v>#N/A</v>
      </c>
      <c r="AC413" s="56">
        <f>'Consumption Model'!P530</f>
        <v>0</v>
      </c>
      <c r="AD413" s="22" t="e">
        <f>IF(LEN(VLOOKUP(AC413,A2:D500,4,FALSE))=0,,VLOOKUP(AC413,A2:D500,4,FALSE))</f>
        <v>#N/A</v>
      </c>
      <c r="AE413" s="22">
        <f>'(Data)'!Q526</f>
        <v>0</v>
      </c>
      <c r="AF413" s="22" t="e">
        <f>IF(LEN(VLOOKUP(AE412:AE413,A2:D500,4,FALSE))=0,,VLOOKUP(AE412:AE413,A2:D500,4,FALSE))</f>
        <v>#N/A</v>
      </c>
      <c r="AH413" s="45">
        <f>'Risk Charact Model'!P544</f>
        <v>0</v>
      </c>
      <c r="AI413" s="58" t="e">
        <f>IF(LEN(VLOOKUP(AH413,A2:D500,4,FALSE))=0,,VLOOKUP(AH413,A2:D500,4,FALSE))</f>
        <v>#N/A</v>
      </c>
    </row>
    <row r="414" spans="9:35" ht="14" x14ac:dyDescent="0.3">
      <c r="I414" s="60">
        <f>'Generic Metadata Schema'!P544</f>
        <v>0</v>
      </c>
      <c r="J414" s="22" t="e">
        <f>IF(LEN(VLOOKUP(I414,A2:D500,4,FALSE))=0,"",VLOOKUP(I414,A2:D500,4,FALSE))</f>
        <v>#N/A</v>
      </c>
      <c r="L414" s="56">
        <f>'Dose-response Model'!O528</f>
        <v>0</v>
      </c>
      <c r="M414" s="22" t="e">
        <f>IF(LEN(VLOOKUP(L414,A2:D500,4,FALSE))=0,,VLOOKUP(L414,A2:D500,4,FALSE))</f>
        <v>#N/A</v>
      </c>
      <c r="N414" s="22">
        <f>'Exposure Model'!O545</f>
        <v>0</v>
      </c>
      <c r="O414" s="22" t="e">
        <f>IF(LEN(VLOOKUP(N414,A2:D500,4,FALSE))=0,,VLOOKUP(N414,A2:D500,4,FALSE))</f>
        <v>#N/A</v>
      </c>
      <c r="P414" s="56">
        <f>'QRA Models'!Q545</f>
        <v>0</v>
      </c>
      <c r="Q414" s="22" t="e">
        <f>IF(LEN(VLOOKUP(P414,A2:D500,4,FALSE))=0,,VLOOKUP(P414,A2:D500,4,FALSE))</f>
        <v>#N/A</v>
      </c>
      <c r="R414" s="56">
        <f>'Health metrics Models'!Q528</f>
        <v>0</v>
      </c>
      <c r="S414" s="22" t="e">
        <f>IF(LEN(VLOOKUP(R414,A2:D500,4,FALSE))=0,,VLOOKUP(R414,A2:D500,4,FALSE))</f>
        <v>#N/A</v>
      </c>
      <c r="T414" s="56">
        <f>'Process Model'!P526</f>
        <v>0</v>
      </c>
      <c r="U414" s="22" t="e">
        <f>IF(LEN(VLOOKUP(T414,A2:D500,4,FALSE))=0,,VLOOKUP(T414,A2:D500,4,FALSE))</f>
        <v>#N/A</v>
      </c>
      <c r="V414" s="56">
        <f>'Toxicological reference value M'!P528</f>
        <v>0</v>
      </c>
      <c r="W414" s="22" t="e">
        <f>IF(LEN(VLOOKUP(V414,A2:D500,4,FALSE))=0,,VLOOKUP(V414,A2:D500,4,FALSE))</f>
        <v>#N/A</v>
      </c>
      <c r="Y414" s="56">
        <f>'Other Empirical Model'!P539</f>
        <v>0</v>
      </c>
      <c r="Z414" s="22" t="e">
        <f>IF(LEN(VLOOKUP(Y414,A2:D500,4,FALSE))=0,,VLOOKUP(Y414,A2:D500,4,FALSE))</f>
        <v>#N/A</v>
      </c>
      <c r="AA414" s="56">
        <f>'Predictive Model'!P526</f>
        <v>0</v>
      </c>
      <c r="AB414" s="22" t="e">
        <f>IF(LEN(VLOOKUP(AA414,A2:D500,4,FALSE))=0,,VLOOKUP(AA414,A2:D500,4,FALSE))</f>
        <v>#N/A</v>
      </c>
      <c r="AC414" s="56">
        <f>'Consumption Model'!P531</f>
        <v>0</v>
      </c>
      <c r="AD414" s="22" t="e">
        <f>IF(LEN(VLOOKUP(AC414,A2:D500,4,FALSE))=0,,VLOOKUP(AC414,A2:D500,4,FALSE))</f>
        <v>#N/A</v>
      </c>
      <c r="AE414" s="22">
        <f>'(Data)'!Q527</f>
        <v>0</v>
      </c>
      <c r="AF414" s="22" t="e">
        <f>IF(LEN(VLOOKUP(AE413:AE414,A2:D500,4,FALSE))=0,,VLOOKUP(AE413:AE414,A2:D500,4,FALSE))</f>
        <v>#N/A</v>
      </c>
      <c r="AH414" s="45">
        <f>'Risk Charact Model'!P545</f>
        <v>0</v>
      </c>
      <c r="AI414" s="58" t="e">
        <f>IF(LEN(VLOOKUP(AH414,A2:D500,4,FALSE))=0,,VLOOKUP(AH414,A2:D500,4,FALSE))</f>
        <v>#N/A</v>
      </c>
    </row>
    <row r="415" spans="9:35" ht="14" x14ac:dyDescent="0.3">
      <c r="I415" s="60">
        <f>'Generic Metadata Schema'!P545</f>
        <v>0</v>
      </c>
      <c r="J415" s="22" t="e">
        <f>IF(LEN(VLOOKUP(I415,A2:D500,4,FALSE))=0,"",VLOOKUP(I415,A2:D500,4,FALSE))</f>
        <v>#N/A</v>
      </c>
      <c r="L415" s="56">
        <f>'Dose-response Model'!O529</f>
        <v>0</v>
      </c>
      <c r="M415" s="22" t="e">
        <f>IF(LEN(VLOOKUP(L415,A2:D500,4,FALSE))=0,,VLOOKUP(L415,A2:D500,4,FALSE))</f>
        <v>#N/A</v>
      </c>
      <c r="N415" s="22">
        <f>'Exposure Model'!O546</f>
        <v>0</v>
      </c>
      <c r="O415" s="22" t="e">
        <f>IF(LEN(VLOOKUP(N415,A2:D500,4,FALSE))=0,,VLOOKUP(N415,A2:D500,4,FALSE))</f>
        <v>#N/A</v>
      </c>
      <c r="P415" s="56">
        <f>'QRA Models'!Q546</f>
        <v>0</v>
      </c>
      <c r="Q415" s="22" t="e">
        <f>IF(LEN(VLOOKUP(P415,A2:D500,4,FALSE))=0,,VLOOKUP(P415,A2:D500,4,FALSE))</f>
        <v>#N/A</v>
      </c>
      <c r="R415" s="56">
        <f>'Health metrics Models'!Q529</f>
        <v>0</v>
      </c>
      <c r="S415" s="22" t="e">
        <f>IF(LEN(VLOOKUP(R415,A2:D500,4,FALSE))=0,,VLOOKUP(R415,A2:D500,4,FALSE))</f>
        <v>#N/A</v>
      </c>
      <c r="T415" s="56">
        <f>'Process Model'!P527</f>
        <v>0</v>
      </c>
      <c r="U415" s="22" t="e">
        <f>IF(LEN(VLOOKUP(T415,A2:D500,4,FALSE))=0,,VLOOKUP(T415,A2:D500,4,FALSE))</f>
        <v>#N/A</v>
      </c>
      <c r="V415" s="56">
        <f>'Toxicological reference value M'!P529</f>
        <v>0</v>
      </c>
      <c r="W415" s="22" t="e">
        <f>IF(LEN(VLOOKUP(V415,A2:D500,4,FALSE))=0,,VLOOKUP(V415,A2:D500,4,FALSE))</f>
        <v>#N/A</v>
      </c>
      <c r="Y415" s="56">
        <f>'Other Empirical Model'!P540</f>
        <v>0</v>
      </c>
      <c r="Z415" s="22" t="e">
        <f>IF(LEN(VLOOKUP(Y415,A2:D500,4,FALSE))=0,,VLOOKUP(Y415,A2:D500,4,FALSE))</f>
        <v>#N/A</v>
      </c>
      <c r="AA415" s="56">
        <f>'Predictive Model'!P527</f>
        <v>0</v>
      </c>
      <c r="AB415" s="22" t="e">
        <f>IF(LEN(VLOOKUP(AA415,A2:D500,4,FALSE))=0,,VLOOKUP(AA415,A2:D500,4,FALSE))</f>
        <v>#N/A</v>
      </c>
      <c r="AC415" s="56">
        <f>'Consumption Model'!P532</f>
        <v>0</v>
      </c>
      <c r="AD415" s="22" t="e">
        <f>IF(LEN(VLOOKUP(AC415,A2:D500,4,FALSE))=0,,VLOOKUP(AC415,A2:D500,4,FALSE))</f>
        <v>#N/A</v>
      </c>
      <c r="AE415" s="22">
        <f>'(Data)'!Q528</f>
        <v>0</v>
      </c>
      <c r="AF415" s="22" t="e">
        <f>IF(LEN(VLOOKUP(AE414:AE415,A2:D500,4,FALSE))=0,,VLOOKUP(AE414:AE415,A2:D500,4,FALSE))</f>
        <v>#N/A</v>
      </c>
      <c r="AH415" s="45">
        <f>'Risk Charact Model'!P546</f>
        <v>0</v>
      </c>
      <c r="AI415" s="58" t="e">
        <f>IF(LEN(VLOOKUP(AH415,A2:D500,4,FALSE))=0,,VLOOKUP(AH415,A2:D500,4,FALSE))</f>
        <v>#N/A</v>
      </c>
    </row>
    <row r="416" spans="9:35" ht="14" x14ac:dyDescent="0.3">
      <c r="I416" s="60">
        <f>'Generic Metadata Schema'!P546</f>
        <v>0</v>
      </c>
      <c r="J416" s="22" t="e">
        <f>IF(LEN(VLOOKUP(I416,A2:D500,4,FALSE))=0,"",VLOOKUP(I416,A2:D500,4,FALSE))</f>
        <v>#N/A</v>
      </c>
      <c r="L416" s="56">
        <f>'Dose-response Model'!O530</f>
        <v>0</v>
      </c>
      <c r="M416" s="22" t="e">
        <f>IF(LEN(VLOOKUP(L416,A2:D500,4,FALSE))=0,,VLOOKUP(L416,A2:D500,4,FALSE))</f>
        <v>#N/A</v>
      </c>
      <c r="N416" s="22">
        <f>'Exposure Model'!O547</f>
        <v>0</v>
      </c>
      <c r="O416" s="22" t="e">
        <f>IF(LEN(VLOOKUP(N416,A2:D500,4,FALSE))=0,,VLOOKUP(N416,A2:D500,4,FALSE))</f>
        <v>#N/A</v>
      </c>
      <c r="P416" s="56">
        <f>'QRA Models'!Q547</f>
        <v>0</v>
      </c>
      <c r="Q416" s="22" t="e">
        <f>IF(LEN(VLOOKUP(P416,A2:D500,4,FALSE))=0,,VLOOKUP(P416,A2:D500,4,FALSE))</f>
        <v>#N/A</v>
      </c>
      <c r="R416" s="56">
        <f>'Health metrics Models'!Q530</f>
        <v>0</v>
      </c>
      <c r="S416" s="22" t="e">
        <f>IF(LEN(VLOOKUP(R416,A2:D500,4,FALSE))=0,,VLOOKUP(R416,A2:D500,4,FALSE))</f>
        <v>#N/A</v>
      </c>
      <c r="T416" s="56">
        <f>'Process Model'!P528</f>
        <v>0</v>
      </c>
      <c r="U416" s="22" t="e">
        <f>IF(LEN(VLOOKUP(T416,A2:D500,4,FALSE))=0,,VLOOKUP(T416,A2:D500,4,FALSE))</f>
        <v>#N/A</v>
      </c>
      <c r="V416" s="56">
        <f>'Toxicological reference value M'!P530</f>
        <v>0</v>
      </c>
      <c r="W416" s="22" t="e">
        <f>IF(LEN(VLOOKUP(V416,A2:D500,4,FALSE))=0,,VLOOKUP(V416,A2:D500,4,FALSE))</f>
        <v>#N/A</v>
      </c>
      <c r="Y416" s="56">
        <f>'Other Empirical Model'!P541</f>
        <v>0</v>
      </c>
      <c r="Z416" s="22" t="e">
        <f>IF(LEN(VLOOKUP(Y416,A2:D500,4,FALSE))=0,,VLOOKUP(Y416,A2:D500,4,FALSE))</f>
        <v>#N/A</v>
      </c>
      <c r="AA416" s="56">
        <f>'Predictive Model'!P528</f>
        <v>0</v>
      </c>
      <c r="AB416" s="22" t="e">
        <f>IF(LEN(VLOOKUP(AA416,A2:D500,4,FALSE))=0,,VLOOKUP(AA416,A2:D500,4,FALSE))</f>
        <v>#N/A</v>
      </c>
      <c r="AC416" s="56">
        <f>'Consumption Model'!P533</f>
        <v>0</v>
      </c>
      <c r="AD416" s="22" t="e">
        <f>IF(LEN(VLOOKUP(AC416,A2:D500,4,FALSE))=0,,VLOOKUP(AC416,A2:D500,4,FALSE))</f>
        <v>#N/A</v>
      </c>
      <c r="AE416" s="22">
        <f>'(Data)'!Q529</f>
        <v>0</v>
      </c>
      <c r="AF416" s="22" t="e">
        <f>IF(LEN(VLOOKUP(AE415:AE416,A2:D500,4,FALSE))=0,,VLOOKUP(AE415:AE416,A2:D500,4,FALSE))</f>
        <v>#N/A</v>
      </c>
      <c r="AH416" s="45">
        <f>'Risk Charact Model'!P547</f>
        <v>0</v>
      </c>
      <c r="AI416" s="58" t="e">
        <f>IF(LEN(VLOOKUP(AH416,A2:D500,4,FALSE))=0,,VLOOKUP(AH416,A2:D500,4,FALSE))</f>
        <v>#N/A</v>
      </c>
    </row>
    <row r="417" spans="9:35" ht="14" x14ac:dyDescent="0.3">
      <c r="I417" s="60">
        <f>'Generic Metadata Schema'!P547</f>
        <v>0</v>
      </c>
      <c r="J417" s="22" t="e">
        <f>IF(LEN(VLOOKUP(I417,A2:D500,4,FALSE))=0,"",VLOOKUP(I417,A2:D500,4,FALSE))</f>
        <v>#N/A</v>
      </c>
      <c r="L417" s="56">
        <f>'Dose-response Model'!O531</f>
        <v>0</v>
      </c>
      <c r="M417" s="22" t="e">
        <f>IF(LEN(VLOOKUP(L417,A2:D500,4,FALSE))=0,,VLOOKUP(L417,A2:D500,4,FALSE))</f>
        <v>#N/A</v>
      </c>
      <c r="N417" s="22">
        <f>'Exposure Model'!O548</f>
        <v>0</v>
      </c>
      <c r="O417" s="22" t="e">
        <f>IF(LEN(VLOOKUP(N417,A2:D500,4,FALSE))=0,,VLOOKUP(N417,A2:D500,4,FALSE))</f>
        <v>#N/A</v>
      </c>
      <c r="P417" s="56">
        <f>'QRA Models'!Q548</f>
        <v>0</v>
      </c>
      <c r="Q417" s="22" t="e">
        <f>IF(LEN(VLOOKUP(P417,A2:D500,4,FALSE))=0,,VLOOKUP(P417,A2:D500,4,FALSE))</f>
        <v>#N/A</v>
      </c>
      <c r="R417" s="56">
        <f>'Health metrics Models'!Q531</f>
        <v>0</v>
      </c>
      <c r="S417" s="22" t="e">
        <f>IF(LEN(VLOOKUP(R417,A2:D500,4,FALSE))=0,,VLOOKUP(R417,A2:D500,4,FALSE))</f>
        <v>#N/A</v>
      </c>
      <c r="T417" s="56">
        <f>'Process Model'!P529</f>
        <v>0</v>
      </c>
      <c r="U417" s="22" t="e">
        <f>IF(LEN(VLOOKUP(T417,A2:D500,4,FALSE))=0,,VLOOKUP(T417,A2:D500,4,FALSE))</f>
        <v>#N/A</v>
      </c>
      <c r="V417" s="56">
        <f>'Toxicological reference value M'!P531</f>
        <v>0</v>
      </c>
      <c r="W417" s="22" t="e">
        <f>IF(LEN(VLOOKUP(V417,A2:D500,4,FALSE))=0,,VLOOKUP(V417,A2:D500,4,FALSE))</f>
        <v>#N/A</v>
      </c>
      <c r="Y417" s="56">
        <f>'Other Empirical Model'!P542</f>
        <v>0</v>
      </c>
      <c r="Z417" s="22" t="e">
        <f>IF(LEN(VLOOKUP(Y417,A2:D500,4,FALSE))=0,,VLOOKUP(Y417,A2:D500,4,FALSE))</f>
        <v>#N/A</v>
      </c>
      <c r="AA417" s="56">
        <f>'Predictive Model'!P529</f>
        <v>0</v>
      </c>
      <c r="AB417" s="22" t="e">
        <f>IF(LEN(VLOOKUP(AA417,A2:D500,4,FALSE))=0,,VLOOKUP(AA417,A2:D500,4,FALSE))</f>
        <v>#N/A</v>
      </c>
      <c r="AC417" s="56">
        <f>'Consumption Model'!P534</f>
        <v>0</v>
      </c>
      <c r="AD417" s="22" t="e">
        <f>IF(LEN(VLOOKUP(AC417,A2:D500,4,FALSE))=0,,VLOOKUP(AC417,A2:D500,4,FALSE))</f>
        <v>#N/A</v>
      </c>
      <c r="AE417" s="22">
        <f>'(Data)'!Q530</f>
        <v>0</v>
      </c>
      <c r="AF417" s="22" t="e">
        <f>IF(LEN(VLOOKUP(AE416:AE417,A2:D500,4,FALSE))=0,,VLOOKUP(AE416:AE417,A2:D500,4,FALSE))</f>
        <v>#N/A</v>
      </c>
      <c r="AH417" s="45">
        <f>'Risk Charact Model'!P548</f>
        <v>0</v>
      </c>
      <c r="AI417" s="58" t="e">
        <f>IF(LEN(VLOOKUP(AH417,A2:D500,4,FALSE))=0,,VLOOKUP(AH417,A2:D500,4,FALSE))</f>
        <v>#N/A</v>
      </c>
    </row>
    <row r="418" spans="9:35" ht="14" x14ac:dyDescent="0.3">
      <c r="I418" s="60">
        <f>'Generic Metadata Schema'!P548</f>
        <v>0</v>
      </c>
      <c r="J418" s="22" t="e">
        <f>IF(LEN(VLOOKUP(I418,A2:D500,4,FALSE))=0,"",VLOOKUP(I418,A2:D500,4,FALSE))</f>
        <v>#N/A</v>
      </c>
      <c r="L418" s="56">
        <f>'Dose-response Model'!O532</f>
        <v>0</v>
      </c>
      <c r="M418" s="22" t="e">
        <f>IF(LEN(VLOOKUP(L418,A2:D500,4,FALSE))=0,,VLOOKUP(L418,A2:D500,4,FALSE))</f>
        <v>#N/A</v>
      </c>
      <c r="N418" s="22">
        <f>'Exposure Model'!O549</f>
        <v>0</v>
      </c>
      <c r="O418" s="22" t="e">
        <f>IF(LEN(VLOOKUP(N418,A2:D500,4,FALSE))=0,,VLOOKUP(N418,A2:D500,4,FALSE))</f>
        <v>#N/A</v>
      </c>
      <c r="P418" s="56">
        <f>'QRA Models'!Q549</f>
        <v>0</v>
      </c>
      <c r="Q418" s="22" t="e">
        <f>IF(LEN(VLOOKUP(P418,A2:D500,4,FALSE))=0,,VLOOKUP(P418,A2:D500,4,FALSE))</f>
        <v>#N/A</v>
      </c>
      <c r="R418" s="56">
        <f>'Health metrics Models'!Q532</f>
        <v>0</v>
      </c>
      <c r="S418" s="22" t="e">
        <f>IF(LEN(VLOOKUP(R418,A2:D500,4,FALSE))=0,,VLOOKUP(R418,A2:D500,4,FALSE))</f>
        <v>#N/A</v>
      </c>
      <c r="T418" s="56">
        <f>'Process Model'!P530</f>
        <v>0</v>
      </c>
      <c r="U418" s="22" t="e">
        <f>IF(LEN(VLOOKUP(T418,A2:D500,4,FALSE))=0,,VLOOKUP(T418,A2:D500,4,FALSE))</f>
        <v>#N/A</v>
      </c>
      <c r="V418" s="56">
        <f>'Toxicological reference value M'!P532</f>
        <v>0</v>
      </c>
      <c r="W418" s="22" t="e">
        <f>IF(LEN(VLOOKUP(V418,A2:D500,4,FALSE))=0,,VLOOKUP(V418,A2:D500,4,FALSE))</f>
        <v>#N/A</v>
      </c>
      <c r="Y418" s="56">
        <f>'Other Empirical Model'!P543</f>
        <v>0</v>
      </c>
      <c r="Z418" s="22" t="e">
        <f>IF(LEN(VLOOKUP(Y418,A2:D500,4,FALSE))=0,,VLOOKUP(Y418,A2:D500,4,FALSE))</f>
        <v>#N/A</v>
      </c>
      <c r="AA418" s="56">
        <f>'Predictive Model'!P530</f>
        <v>0</v>
      </c>
      <c r="AB418" s="22" t="e">
        <f>IF(LEN(VLOOKUP(AA418,A2:D500,4,FALSE))=0,,VLOOKUP(AA418,A2:D500,4,FALSE))</f>
        <v>#N/A</v>
      </c>
      <c r="AC418" s="56">
        <f>'Consumption Model'!P535</f>
        <v>0</v>
      </c>
      <c r="AD418" s="22" t="e">
        <f>IF(LEN(VLOOKUP(AC418,A2:D500,4,FALSE))=0,,VLOOKUP(AC418,A2:D500,4,FALSE))</f>
        <v>#N/A</v>
      </c>
      <c r="AE418" s="22">
        <f>'(Data)'!Q531</f>
        <v>0</v>
      </c>
      <c r="AF418" s="22" t="e">
        <f>IF(LEN(VLOOKUP(AE417:AE418,A2:D500,4,FALSE))=0,,VLOOKUP(AE417:AE418,A2:D500,4,FALSE))</f>
        <v>#N/A</v>
      </c>
      <c r="AH418" s="45">
        <f>'Risk Charact Model'!P549</f>
        <v>0</v>
      </c>
      <c r="AI418" s="58" t="e">
        <f>IF(LEN(VLOOKUP(AH418,A2:D500,4,FALSE))=0,,VLOOKUP(AH418,A2:D500,4,FALSE))</f>
        <v>#N/A</v>
      </c>
    </row>
    <row r="419" spans="9:35" ht="14" x14ac:dyDescent="0.3">
      <c r="I419" s="60">
        <f>'Generic Metadata Schema'!P549</f>
        <v>0</v>
      </c>
      <c r="J419" s="22" t="e">
        <f>IF(LEN(VLOOKUP(I419,A2:D500,4,FALSE))=0,"",VLOOKUP(I419,A2:D500,4,FALSE))</f>
        <v>#N/A</v>
      </c>
      <c r="L419" s="56">
        <f>'Dose-response Model'!O533</f>
        <v>0</v>
      </c>
      <c r="M419" s="22" t="e">
        <f>IF(LEN(VLOOKUP(L419,A2:D500,4,FALSE))=0,,VLOOKUP(L419,A2:D500,4,FALSE))</f>
        <v>#N/A</v>
      </c>
      <c r="N419" s="22">
        <f>'Exposure Model'!O550</f>
        <v>0</v>
      </c>
      <c r="O419" s="22" t="e">
        <f>IF(LEN(VLOOKUP(N419,A2:D500,4,FALSE))=0,,VLOOKUP(N419,A2:D500,4,FALSE))</f>
        <v>#N/A</v>
      </c>
      <c r="P419" s="56">
        <f>'QRA Models'!Q550</f>
        <v>0</v>
      </c>
      <c r="Q419" s="22" t="e">
        <f>IF(LEN(VLOOKUP(P419,A2:D500,4,FALSE))=0,,VLOOKUP(P419,A2:D500,4,FALSE))</f>
        <v>#N/A</v>
      </c>
      <c r="R419" s="56">
        <f>'Health metrics Models'!Q533</f>
        <v>0</v>
      </c>
      <c r="S419" s="22" t="e">
        <f>IF(LEN(VLOOKUP(R419,A2:D500,4,FALSE))=0,,VLOOKUP(R419,A2:D500,4,FALSE))</f>
        <v>#N/A</v>
      </c>
      <c r="T419" s="56">
        <f>'Process Model'!P531</f>
        <v>0</v>
      </c>
      <c r="U419" s="22" t="e">
        <f>IF(LEN(VLOOKUP(T419,A2:D500,4,FALSE))=0,,VLOOKUP(T419,A2:D500,4,FALSE))</f>
        <v>#N/A</v>
      </c>
      <c r="V419" s="56">
        <f>'Toxicological reference value M'!P533</f>
        <v>0</v>
      </c>
      <c r="W419" s="22" t="e">
        <f>IF(LEN(VLOOKUP(V419,A2:D500,4,FALSE))=0,,VLOOKUP(V419,A2:D500,4,FALSE))</f>
        <v>#N/A</v>
      </c>
      <c r="Y419" s="56">
        <f>'Other Empirical Model'!P544</f>
        <v>0</v>
      </c>
      <c r="Z419" s="22" t="e">
        <f>IF(LEN(VLOOKUP(Y419,A2:D500,4,FALSE))=0,,VLOOKUP(Y419,A2:D500,4,FALSE))</f>
        <v>#N/A</v>
      </c>
      <c r="AA419" s="56">
        <f>'Predictive Model'!P531</f>
        <v>0</v>
      </c>
      <c r="AB419" s="22" t="e">
        <f>IF(LEN(VLOOKUP(AA419,A2:D500,4,FALSE))=0,,VLOOKUP(AA419,A2:D500,4,FALSE))</f>
        <v>#N/A</v>
      </c>
      <c r="AC419" s="56">
        <f>'Consumption Model'!P536</f>
        <v>0</v>
      </c>
      <c r="AD419" s="22" t="e">
        <f>IF(LEN(VLOOKUP(AC419,A2:D500,4,FALSE))=0,,VLOOKUP(AC419,A2:D500,4,FALSE))</f>
        <v>#N/A</v>
      </c>
      <c r="AE419" s="22">
        <f>'(Data)'!Q532</f>
        <v>0</v>
      </c>
      <c r="AF419" s="22" t="e">
        <f>IF(LEN(VLOOKUP(AE418:AE419,A2:D500,4,FALSE))=0,,VLOOKUP(AE418:AE419,A2:D500,4,FALSE))</f>
        <v>#N/A</v>
      </c>
      <c r="AH419" s="45">
        <f>'Risk Charact Model'!P550</f>
        <v>0</v>
      </c>
      <c r="AI419" s="58" t="e">
        <f>IF(LEN(VLOOKUP(AH419,A2:D500,4,FALSE))=0,,VLOOKUP(AH419,A2:D500,4,FALSE))</f>
        <v>#N/A</v>
      </c>
    </row>
    <row r="420" spans="9:35" ht="14" x14ac:dyDescent="0.3">
      <c r="I420" s="60">
        <f>'Generic Metadata Schema'!P550</f>
        <v>0</v>
      </c>
      <c r="J420" s="22" t="e">
        <f>IF(LEN(VLOOKUP(I420,A2:D500,4,FALSE))=0,"",VLOOKUP(I420,A2:D500,4,FALSE))</f>
        <v>#N/A</v>
      </c>
      <c r="L420" s="56">
        <f>'Dose-response Model'!O534</f>
        <v>0</v>
      </c>
      <c r="M420" s="22" t="e">
        <f>IF(LEN(VLOOKUP(L420,A2:D500,4,FALSE))=0,,VLOOKUP(L420,A2:D500,4,FALSE))</f>
        <v>#N/A</v>
      </c>
      <c r="N420" s="22">
        <f>'Exposure Model'!O551</f>
        <v>0</v>
      </c>
      <c r="O420" s="22" t="e">
        <f>IF(LEN(VLOOKUP(N420,A2:D500,4,FALSE))=0,,VLOOKUP(N420,A2:D500,4,FALSE))</f>
        <v>#N/A</v>
      </c>
      <c r="P420" s="56">
        <f>'QRA Models'!Q551</f>
        <v>0</v>
      </c>
      <c r="Q420" s="22" t="e">
        <f>IF(LEN(VLOOKUP(P420,A2:D500,4,FALSE))=0,,VLOOKUP(P420,A2:D500,4,FALSE))</f>
        <v>#N/A</v>
      </c>
      <c r="R420" s="56">
        <f>'Health metrics Models'!Q534</f>
        <v>0</v>
      </c>
      <c r="S420" s="22" t="e">
        <f>IF(LEN(VLOOKUP(R420,A2:D500,4,FALSE))=0,,VLOOKUP(R420,A2:D500,4,FALSE))</f>
        <v>#N/A</v>
      </c>
      <c r="T420" s="56">
        <f>'Process Model'!P532</f>
        <v>0</v>
      </c>
      <c r="U420" s="22" t="e">
        <f>IF(LEN(VLOOKUP(T420,A2:D500,4,FALSE))=0,,VLOOKUP(T420,A2:D500,4,FALSE))</f>
        <v>#N/A</v>
      </c>
      <c r="V420" s="56">
        <f>'Toxicological reference value M'!P534</f>
        <v>0</v>
      </c>
      <c r="W420" s="22" t="e">
        <f>IF(LEN(VLOOKUP(V420,A2:D500,4,FALSE))=0,,VLOOKUP(V420,A2:D500,4,FALSE))</f>
        <v>#N/A</v>
      </c>
      <c r="Y420" s="56">
        <f>'Other Empirical Model'!P545</f>
        <v>0</v>
      </c>
      <c r="Z420" s="22" t="e">
        <f>IF(LEN(VLOOKUP(Y420,A2:D500,4,FALSE))=0,,VLOOKUP(Y420,A2:D500,4,FALSE))</f>
        <v>#N/A</v>
      </c>
      <c r="AA420" s="56">
        <f>'Predictive Model'!P532</f>
        <v>0</v>
      </c>
      <c r="AB420" s="22" t="e">
        <f>IF(LEN(VLOOKUP(AA420,A2:D500,4,FALSE))=0,,VLOOKUP(AA420,A2:D500,4,FALSE))</f>
        <v>#N/A</v>
      </c>
      <c r="AC420" s="56">
        <f>'Consumption Model'!P537</f>
        <v>0</v>
      </c>
      <c r="AD420" s="22" t="e">
        <f>IF(LEN(VLOOKUP(AC420,A2:D500,4,FALSE))=0,,VLOOKUP(AC420,A2:D500,4,FALSE))</f>
        <v>#N/A</v>
      </c>
      <c r="AE420" s="22">
        <f>'(Data)'!Q533</f>
        <v>0</v>
      </c>
      <c r="AF420" s="22" t="e">
        <f>IF(LEN(VLOOKUP(AE419:AE420,A2:D500,4,FALSE))=0,,VLOOKUP(AE419:AE420,A2:D500,4,FALSE))</f>
        <v>#N/A</v>
      </c>
      <c r="AH420" s="45">
        <f>'Risk Charact Model'!P551</f>
        <v>0</v>
      </c>
      <c r="AI420" s="58" t="e">
        <f>IF(LEN(VLOOKUP(AH420,A2:D500,4,FALSE))=0,,VLOOKUP(AH420,A2:D500,4,FALSE))</f>
        <v>#N/A</v>
      </c>
    </row>
    <row r="421" spans="9:35" ht="14" x14ac:dyDescent="0.3">
      <c r="I421" s="60">
        <f>'Generic Metadata Schema'!P551</f>
        <v>0</v>
      </c>
      <c r="J421" s="22" t="e">
        <f>IF(LEN(VLOOKUP(I421,A2:D500,4,FALSE))=0,"",VLOOKUP(I421,A2:D500,4,FALSE))</f>
        <v>#N/A</v>
      </c>
      <c r="L421" s="56">
        <f>'Dose-response Model'!O535</f>
        <v>0</v>
      </c>
      <c r="M421" s="22" t="e">
        <f>IF(LEN(VLOOKUP(L421,A2:D500,4,FALSE))=0,,VLOOKUP(L421,A2:D500,4,FALSE))</f>
        <v>#N/A</v>
      </c>
      <c r="N421" s="22">
        <f>'Exposure Model'!O552</f>
        <v>0</v>
      </c>
      <c r="O421" s="22" t="e">
        <f>IF(LEN(VLOOKUP(N421,A2:D500,4,FALSE))=0,,VLOOKUP(N421,A2:D500,4,FALSE))</f>
        <v>#N/A</v>
      </c>
      <c r="P421" s="56">
        <f>'QRA Models'!Q552</f>
        <v>0</v>
      </c>
      <c r="Q421" s="22" t="e">
        <f>IF(LEN(VLOOKUP(P421,A2:D500,4,FALSE))=0,,VLOOKUP(P421,A2:D500,4,FALSE))</f>
        <v>#N/A</v>
      </c>
      <c r="R421" s="56">
        <f>'Health metrics Models'!Q535</f>
        <v>0</v>
      </c>
      <c r="S421" s="22" t="e">
        <f>IF(LEN(VLOOKUP(R421,A2:D500,4,FALSE))=0,,VLOOKUP(R421,A2:D500,4,FALSE))</f>
        <v>#N/A</v>
      </c>
      <c r="T421" s="56">
        <f>'Process Model'!P533</f>
        <v>0</v>
      </c>
      <c r="U421" s="22" t="e">
        <f>IF(LEN(VLOOKUP(T421,A2:D500,4,FALSE))=0,,VLOOKUP(T421,A2:D500,4,FALSE))</f>
        <v>#N/A</v>
      </c>
      <c r="V421" s="56">
        <f>'Toxicological reference value M'!P535</f>
        <v>0</v>
      </c>
      <c r="W421" s="22" t="e">
        <f>IF(LEN(VLOOKUP(V421,A2:D500,4,FALSE))=0,,VLOOKUP(V421,A2:D500,4,FALSE))</f>
        <v>#N/A</v>
      </c>
      <c r="Y421" s="56">
        <f>'Other Empirical Model'!P546</f>
        <v>0</v>
      </c>
      <c r="Z421" s="22" t="e">
        <f>IF(LEN(VLOOKUP(Y421,A2:D500,4,FALSE))=0,,VLOOKUP(Y421,A2:D500,4,FALSE))</f>
        <v>#N/A</v>
      </c>
      <c r="AA421" s="56">
        <f>'Predictive Model'!P533</f>
        <v>0</v>
      </c>
      <c r="AB421" s="22" t="e">
        <f>IF(LEN(VLOOKUP(AA421,A2:D500,4,FALSE))=0,,VLOOKUP(AA421,A2:D500,4,FALSE))</f>
        <v>#N/A</v>
      </c>
      <c r="AC421" s="56">
        <f>'Consumption Model'!P538</f>
        <v>0</v>
      </c>
      <c r="AD421" s="22" t="e">
        <f>IF(LEN(VLOOKUP(AC421,A2:D500,4,FALSE))=0,,VLOOKUP(AC421,A2:D500,4,FALSE))</f>
        <v>#N/A</v>
      </c>
      <c r="AE421" s="22">
        <f>'(Data)'!Q534</f>
        <v>0</v>
      </c>
      <c r="AF421" s="22" t="e">
        <f>IF(LEN(VLOOKUP(AE420:AE421,A2:D500,4,FALSE))=0,,VLOOKUP(AE420:AE421,A2:D500,4,FALSE))</f>
        <v>#N/A</v>
      </c>
      <c r="AH421" s="45">
        <f>'Risk Charact Model'!P552</f>
        <v>0</v>
      </c>
      <c r="AI421" s="58" t="e">
        <f>IF(LEN(VLOOKUP(AH421,A2:D500,4,FALSE))=0,,VLOOKUP(AH421,A2:D500,4,FALSE))</f>
        <v>#N/A</v>
      </c>
    </row>
    <row r="422" spans="9:35" ht="14" x14ac:dyDescent="0.3">
      <c r="I422" s="60">
        <f>'Generic Metadata Schema'!P552</f>
        <v>0</v>
      </c>
      <c r="J422" s="22" t="e">
        <f>IF(LEN(VLOOKUP(I422,A2:D500,4,FALSE))=0,"",VLOOKUP(I422,A2:D500,4,FALSE))</f>
        <v>#N/A</v>
      </c>
      <c r="L422" s="56">
        <f>'Dose-response Model'!O536</f>
        <v>0</v>
      </c>
      <c r="M422" s="22" t="e">
        <f>IF(LEN(VLOOKUP(L422,A2:D500,4,FALSE))=0,,VLOOKUP(L422,A2:D500,4,FALSE))</f>
        <v>#N/A</v>
      </c>
      <c r="N422" s="22">
        <f>'Exposure Model'!O553</f>
        <v>0</v>
      </c>
      <c r="O422" s="22" t="e">
        <f>IF(LEN(VLOOKUP(N422,A2:D500,4,FALSE))=0,,VLOOKUP(N422,A2:D500,4,FALSE))</f>
        <v>#N/A</v>
      </c>
      <c r="P422" s="56">
        <f>'QRA Models'!Q553</f>
        <v>0</v>
      </c>
      <c r="Q422" s="22" t="e">
        <f>IF(LEN(VLOOKUP(P422,A2:D500,4,FALSE))=0,,VLOOKUP(P422,A2:D500,4,FALSE))</f>
        <v>#N/A</v>
      </c>
      <c r="R422" s="56">
        <f>'Health metrics Models'!Q536</f>
        <v>0</v>
      </c>
      <c r="S422" s="22" t="e">
        <f>IF(LEN(VLOOKUP(R422,A2:D500,4,FALSE))=0,,VLOOKUP(R422,A2:D500,4,FALSE))</f>
        <v>#N/A</v>
      </c>
      <c r="T422" s="56">
        <f>'Process Model'!P534</f>
        <v>0</v>
      </c>
      <c r="U422" s="22" t="e">
        <f>IF(LEN(VLOOKUP(T422,A2:D500,4,FALSE))=0,,VLOOKUP(T422,A2:D500,4,FALSE))</f>
        <v>#N/A</v>
      </c>
      <c r="V422" s="56">
        <f>'Toxicological reference value M'!P536</f>
        <v>0</v>
      </c>
      <c r="W422" s="22" t="e">
        <f>IF(LEN(VLOOKUP(V422,A2:D500,4,FALSE))=0,,VLOOKUP(V422,A2:D500,4,FALSE))</f>
        <v>#N/A</v>
      </c>
      <c r="Y422" s="56">
        <f>'Other Empirical Model'!P547</f>
        <v>0</v>
      </c>
      <c r="Z422" s="22" t="e">
        <f>IF(LEN(VLOOKUP(Y422,A2:D500,4,FALSE))=0,,VLOOKUP(Y422,A2:D500,4,FALSE))</f>
        <v>#N/A</v>
      </c>
      <c r="AA422" s="56">
        <f>'Predictive Model'!P534</f>
        <v>0</v>
      </c>
      <c r="AB422" s="22" t="e">
        <f>IF(LEN(VLOOKUP(AA422,A2:D500,4,FALSE))=0,,VLOOKUP(AA422,A2:D500,4,FALSE))</f>
        <v>#N/A</v>
      </c>
      <c r="AC422" s="56">
        <f>'Consumption Model'!P539</f>
        <v>0</v>
      </c>
      <c r="AD422" s="22" t="e">
        <f>IF(LEN(VLOOKUP(AC422,A2:D500,4,FALSE))=0,,VLOOKUP(AC422,A2:D500,4,FALSE))</f>
        <v>#N/A</v>
      </c>
      <c r="AE422" s="22">
        <f>'(Data)'!Q535</f>
        <v>0</v>
      </c>
      <c r="AF422" s="22" t="e">
        <f>IF(LEN(VLOOKUP(AE421:AE422,A2:D500,4,FALSE))=0,,VLOOKUP(AE421:AE422,A2:D500,4,FALSE))</f>
        <v>#N/A</v>
      </c>
      <c r="AH422" s="45">
        <f>'Risk Charact Model'!P553</f>
        <v>0</v>
      </c>
      <c r="AI422" s="58" t="e">
        <f>IF(LEN(VLOOKUP(AH422,A2:D500,4,FALSE))=0,,VLOOKUP(AH422,A2:D500,4,FALSE))</f>
        <v>#N/A</v>
      </c>
    </row>
    <row r="423" spans="9:35" ht="14" x14ac:dyDescent="0.3">
      <c r="I423" s="60">
        <f>'Generic Metadata Schema'!P553</f>
        <v>0</v>
      </c>
      <c r="J423" s="22" t="e">
        <f>IF(LEN(VLOOKUP(I423,A2:D500,4,FALSE))=0,"",VLOOKUP(I423,A2:D500,4,FALSE))</f>
        <v>#N/A</v>
      </c>
      <c r="L423" s="56">
        <f>'Dose-response Model'!O537</f>
        <v>0</v>
      </c>
      <c r="M423" s="22" t="e">
        <f>IF(LEN(VLOOKUP(L423,A2:D500,4,FALSE))=0,,VLOOKUP(L423,A2:D500,4,FALSE))</f>
        <v>#N/A</v>
      </c>
      <c r="N423" s="22">
        <f>'Exposure Model'!O554</f>
        <v>0</v>
      </c>
      <c r="O423" s="22" t="e">
        <f>IF(LEN(VLOOKUP(N423,A2:D500,4,FALSE))=0,,VLOOKUP(N423,A2:D500,4,FALSE))</f>
        <v>#N/A</v>
      </c>
      <c r="P423" s="56">
        <f>'QRA Models'!Q554</f>
        <v>0</v>
      </c>
      <c r="Q423" s="22" t="e">
        <f>IF(LEN(VLOOKUP(P423,A2:D500,4,FALSE))=0,,VLOOKUP(P423,A2:D500,4,FALSE))</f>
        <v>#N/A</v>
      </c>
      <c r="R423" s="56">
        <f>'Health metrics Models'!Q537</f>
        <v>0</v>
      </c>
      <c r="S423" s="22" t="e">
        <f>IF(LEN(VLOOKUP(R423,A2:D500,4,FALSE))=0,,VLOOKUP(R423,A2:D500,4,FALSE))</f>
        <v>#N/A</v>
      </c>
      <c r="T423" s="56">
        <f>'Process Model'!P535</f>
        <v>0</v>
      </c>
      <c r="U423" s="22" t="e">
        <f>IF(LEN(VLOOKUP(T423,A2:D500,4,FALSE))=0,,VLOOKUP(T423,A2:D500,4,FALSE))</f>
        <v>#N/A</v>
      </c>
      <c r="V423" s="56">
        <f>'Toxicological reference value M'!P537</f>
        <v>0</v>
      </c>
      <c r="W423" s="22" t="e">
        <f>IF(LEN(VLOOKUP(V423,A2:D500,4,FALSE))=0,,VLOOKUP(V423,A2:D500,4,FALSE))</f>
        <v>#N/A</v>
      </c>
      <c r="Y423" s="56">
        <f>'Other Empirical Model'!P548</f>
        <v>0</v>
      </c>
      <c r="Z423" s="22" t="e">
        <f>IF(LEN(VLOOKUP(Y423,A2:D500,4,FALSE))=0,,VLOOKUP(Y423,A2:D500,4,FALSE))</f>
        <v>#N/A</v>
      </c>
      <c r="AA423" s="56">
        <f>'Predictive Model'!P535</f>
        <v>0</v>
      </c>
      <c r="AB423" s="22" t="e">
        <f>IF(LEN(VLOOKUP(AA423,A2:D500,4,FALSE))=0,,VLOOKUP(AA423,A2:D500,4,FALSE))</f>
        <v>#N/A</v>
      </c>
      <c r="AC423" s="56">
        <f>'Consumption Model'!P540</f>
        <v>0</v>
      </c>
      <c r="AD423" s="22" t="e">
        <f>IF(LEN(VLOOKUP(AC423,A2:D500,4,FALSE))=0,,VLOOKUP(AC423,A2:D500,4,FALSE))</f>
        <v>#N/A</v>
      </c>
      <c r="AE423" s="22">
        <f>'(Data)'!Q536</f>
        <v>0</v>
      </c>
      <c r="AF423" s="22" t="e">
        <f>IF(LEN(VLOOKUP(AE422:AE423,A2:D500,4,FALSE))=0,,VLOOKUP(AE422:AE423,A2:D500,4,FALSE))</f>
        <v>#N/A</v>
      </c>
      <c r="AH423" s="45">
        <f>'Risk Charact Model'!P554</f>
        <v>0</v>
      </c>
      <c r="AI423" s="58" t="e">
        <f>IF(LEN(VLOOKUP(AH423,A2:D500,4,FALSE))=0,,VLOOKUP(AH423,A2:D500,4,FALSE))</f>
        <v>#N/A</v>
      </c>
    </row>
    <row r="424" spans="9:35" ht="14" x14ac:dyDescent="0.3">
      <c r="I424" s="60">
        <f>'Generic Metadata Schema'!P554</f>
        <v>0</v>
      </c>
      <c r="J424" s="22" t="e">
        <f>IF(LEN(VLOOKUP(I424,A2:D500,4,FALSE))=0,"",VLOOKUP(I424,A2:D500,4,FALSE))</f>
        <v>#N/A</v>
      </c>
      <c r="L424" s="56">
        <f>'Dose-response Model'!O538</f>
        <v>0</v>
      </c>
      <c r="M424" s="22" t="e">
        <f>IF(LEN(VLOOKUP(L424,A2:D500,4,FALSE))=0,,VLOOKUP(L424,A2:D500,4,FALSE))</f>
        <v>#N/A</v>
      </c>
      <c r="N424" s="22">
        <f>'Exposure Model'!O555</f>
        <v>0</v>
      </c>
      <c r="O424" s="22" t="e">
        <f>IF(LEN(VLOOKUP(N424,A2:D500,4,FALSE))=0,,VLOOKUP(N424,A2:D500,4,FALSE))</f>
        <v>#N/A</v>
      </c>
      <c r="P424" s="56">
        <f>'QRA Models'!Q555</f>
        <v>0</v>
      </c>
      <c r="Q424" s="22" t="e">
        <f>IF(LEN(VLOOKUP(P424,A2:D500,4,FALSE))=0,,VLOOKUP(P424,A2:D500,4,FALSE))</f>
        <v>#N/A</v>
      </c>
      <c r="R424" s="56">
        <f>'Health metrics Models'!Q538</f>
        <v>0</v>
      </c>
      <c r="S424" s="22" t="e">
        <f>IF(LEN(VLOOKUP(R424,A2:D500,4,FALSE))=0,,VLOOKUP(R424,A2:D500,4,FALSE))</f>
        <v>#N/A</v>
      </c>
      <c r="T424" s="56">
        <f>'Process Model'!P536</f>
        <v>0</v>
      </c>
      <c r="U424" s="22" t="e">
        <f>IF(LEN(VLOOKUP(T424,A2:D500,4,FALSE))=0,,VLOOKUP(T424,A2:D500,4,FALSE))</f>
        <v>#N/A</v>
      </c>
      <c r="V424" s="56">
        <f>'Toxicological reference value M'!P538</f>
        <v>0</v>
      </c>
      <c r="W424" s="22" t="e">
        <f>IF(LEN(VLOOKUP(V424,A2:D500,4,FALSE))=0,,VLOOKUP(V424,A2:D500,4,FALSE))</f>
        <v>#N/A</v>
      </c>
      <c r="Y424" s="56">
        <f>'Other Empirical Model'!P549</f>
        <v>0</v>
      </c>
      <c r="Z424" s="22" t="e">
        <f>IF(LEN(VLOOKUP(Y424,A2:D500,4,FALSE))=0,,VLOOKUP(Y424,A2:D500,4,FALSE))</f>
        <v>#N/A</v>
      </c>
      <c r="AA424" s="56">
        <f>'Predictive Model'!P536</f>
        <v>0</v>
      </c>
      <c r="AB424" s="22" t="e">
        <f>IF(LEN(VLOOKUP(AA424,A2:D500,4,FALSE))=0,,VLOOKUP(AA424,A2:D500,4,FALSE))</f>
        <v>#N/A</v>
      </c>
      <c r="AC424" s="56">
        <f>'Consumption Model'!P541</f>
        <v>0</v>
      </c>
      <c r="AD424" s="22" t="e">
        <f>IF(LEN(VLOOKUP(AC424,A2:D500,4,FALSE))=0,,VLOOKUP(AC424,A2:D500,4,FALSE))</f>
        <v>#N/A</v>
      </c>
      <c r="AE424" s="22">
        <f>'(Data)'!Q537</f>
        <v>0</v>
      </c>
      <c r="AF424" s="22" t="e">
        <f>IF(LEN(VLOOKUP(AE423:AE424,A2:D500,4,FALSE))=0,,VLOOKUP(AE423:AE424,A2:D500,4,FALSE))</f>
        <v>#N/A</v>
      </c>
      <c r="AH424" s="45">
        <f>'Risk Charact Model'!P555</f>
        <v>0</v>
      </c>
      <c r="AI424" s="58" t="e">
        <f>IF(LEN(VLOOKUP(AH424,A2:D500,4,FALSE))=0,,VLOOKUP(AH424,A2:D500,4,FALSE))</f>
        <v>#N/A</v>
      </c>
    </row>
    <row r="425" spans="9:35" ht="14" x14ac:dyDescent="0.3">
      <c r="I425" s="60">
        <f>'Generic Metadata Schema'!P555</f>
        <v>0</v>
      </c>
      <c r="J425" s="22" t="e">
        <f>IF(LEN(VLOOKUP(I425,A2:D500,4,FALSE))=0,"",VLOOKUP(I425,A2:D500,4,FALSE))</f>
        <v>#N/A</v>
      </c>
      <c r="L425" s="56">
        <f>'Dose-response Model'!O539</f>
        <v>0</v>
      </c>
      <c r="M425" s="22" t="e">
        <f>IF(LEN(VLOOKUP(L425,A2:D500,4,FALSE))=0,,VLOOKUP(L425,A2:D500,4,FALSE))</f>
        <v>#N/A</v>
      </c>
      <c r="N425" s="22">
        <f>'Exposure Model'!O556</f>
        <v>0</v>
      </c>
      <c r="O425" s="22" t="e">
        <f>IF(LEN(VLOOKUP(N425,A2:D500,4,FALSE))=0,,VLOOKUP(N425,A2:D500,4,FALSE))</f>
        <v>#N/A</v>
      </c>
      <c r="P425" s="56">
        <f>'QRA Models'!Q556</f>
        <v>0</v>
      </c>
      <c r="Q425" s="22" t="e">
        <f>IF(LEN(VLOOKUP(P425,A2:D500,4,FALSE))=0,,VLOOKUP(P425,A2:D500,4,FALSE))</f>
        <v>#N/A</v>
      </c>
      <c r="R425" s="56">
        <f>'Health metrics Models'!Q539</f>
        <v>0</v>
      </c>
      <c r="S425" s="22" t="e">
        <f>IF(LEN(VLOOKUP(R425,A2:D500,4,FALSE))=0,,VLOOKUP(R425,A2:D500,4,FALSE))</f>
        <v>#N/A</v>
      </c>
      <c r="T425" s="56">
        <f>'Process Model'!P537</f>
        <v>0</v>
      </c>
      <c r="U425" s="22" t="e">
        <f>IF(LEN(VLOOKUP(T425,A2:D500,4,FALSE))=0,,VLOOKUP(T425,A2:D500,4,FALSE))</f>
        <v>#N/A</v>
      </c>
      <c r="V425" s="56">
        <f>'Toxicological reference value M'!P539</f>
        <v>0</v>
      </c>
      <c r="W425" s="22" t="e">
        <f>IF(LEN(VLOOKUP(V425,A2:D500,4,FALSE))=0,,VLOOKUP(V425,A2:D500,4,FALSE))</f>
        <v>#N/A</v>
      </c>
      <c r="Y425" s="56">
        <f>'Other Empirical Model'!P550</f>
        <v>0</v>
      </c>
      <c r="Z425" s="22" t="e">
        <f>IF(LEN(VLOOKUP(Y425,A2:D500,4,FALSE))=0,,VLOOKUP(Y425,A2:D500,4,FALSE))</f>
        <v>#N/A</v>
      </c>
      <c r="AA425" s="56">
        <f>'Predictive Model'!P537</f>
        <v>0</v>
      </c>
      <c r="AB425" s="22" t="e">
        <f>IF(LEN(VLOOKUP(AA425,A2:D500,4,FALSE))=0,,VLOOKUP(AA425,A2:D500,4,FALSE))</f>
        <v>#N/A</v>
      </c>
      <c r="AC425" s="56">
        <f>'Consumption Model'!P542</f>
        <v>0</v>
      </c>
      <c r="AD425" s="22" t="e">
        <f>IF(LEN(VLOOKUP(AC425,A2:D500,4,FALSE))=0,,VLOOKUP(AC425,A2:D500,4,FALSE))</f>
        <v>#N/A</v>
      </c>
      <c r="AE425" s="22">
        <f>'(Data)'!Q538</f>
        <v>0</v>
      </c>
      <c r="AF425" s="22" t="e">
        <f>IF(LEN(VLOOKUP(AE424:AE425,A2:D500,4,FALSE))=0,,VLOOKUP(AE424:AE425,A2:D500,4,FALSE))</f>
        <v>#N/A</v>
      </c>
      <c r="AH425" s="45">
        <f>'Risk Charact Model'!P556</f>
        <v>0</v>
      </c>
      <c r="AI425" s="58" t="e">
        <f>IF(LEN(VLOOKUP(AH425,A2:D500,4,FALSE))=0,,VLOOKUP(AH425,A2:D500,4,FALSE))</f>
        <v>#N/A</v>
      </c>
    </row>
    <row r="426" spans="9:35" ht="14" x14ac:dyDescent="0.3">
      <c r="I426" s="60">
        <f>'Generic Metadata Schema'!P556</f>
        <v>0</v>
      </c>
      <c r="J426" s="22" t="e">
        <f>IF(LEN(VLOOKUP(I426,A2:D500,4,FALSE))=0,"",VLOOKUP(I426,A2:D500,4,FALSE))</f>
        <v>#N/A</v>
      </c>
      <c r="L426" s="56">
        <f>'Dose-response Model'!O540</f>
        <v>0</v>
      </c>
      <c r="M426" s="22" t="e">
        <f>IF(LEN(VLOOKUP(L426,A2:D500,4,FALSE))=0,,VLOOKUP(L426,A2:D500,4,FALSE))</f>
        <v>#N/A</v>
      </c>
      <c r="N426" s="22">
        <f>'Exposure Model'!O557</f>
        <v>0</v>
      </c>
      <c r="O426" s="22" t="e">
        <f>IF(LEN(VLOOKUP(N426,A2:D500,4,FALSE))=0,,VLOOKUP(N426,A2:D500,4,FALSE))</f>
        <v>#N/A</v>
      </c>
      <c r="P426" s="56">
        <f>'QRA Models'!Q557</f>
        <v>0</v>
      </c>
      <c r="Q426" s="22" t="e">
        <f>IF(LEN(VLOOKUP(P426,A2:D500,4,FALSE))=0,,VLOOKUP(P426,A2:D500,4,FALSE))</f>
        <v>#N/A</v>
      </c>
      <c r="R426" s="56">
        <f>'Health metrics Models'!Q540</f>
        <v>0</v>
      </c>
      <c r="S426" s="22" t="e">
        <f>IF(LEN(VLOOKUP(R426,A2:D500,4,FALSE))=0,,VLOOKUP(R426,A2:D500,4,FALSE))</f>
        <v>#N/A</v>
      </c>
      <c r="T426" s="56">
        <f>'Process Model'!P538</f>
        <v>0</v>
      </c>
      <c r="U426" s="22" t="e">
        <f>IF(LEN(VLOOKUP(T426,A2:D500,4,FALSE))=0,,VLOOKUP(T426,A2:D500,4,FALSE))</f>
        <v>#N/A</v>
      </c>
      <c r="V426" s="56">
        <f>'Toxicological reference value M'!P540</f>
        <v>0</v>
      </c>
      <c r="W426" s="22" t="e">
        <f>IF(LEN(VLOOKUP(V426,A2:D500,4,FALSE))=0,,VLOOKUP(V426,A2:D500,4,FALSE))</f>
        <v>#N/A</v>
      </c>
      <c r="Y426" s="56">
        <f>'Other Empirical Model'!P551</f>
        <v>0</v>
      </c>
      <c r="Z426" s="22" t="e">
        <f>IF(LEN(VLOOKUP(Y426,A2:D500,4,FALSE))=0,,VLOOKUP(Y426,A2:D500,4,FALSE))</f>
        <v>#N/A</v>
      </c>
      <c r="AA426" s="56">
        <f>'Predictive Model'!P538</f>
        <v>0</v>
      </c>
      <c r="AB426" s="22" t="e">
        <f>IF(LEN(VLOOKUP(AA426,A2:D500,4,FALSE))=0,,VLOOKUP(AA426,A2:D500,4,FALSE))</f>
        <v>#N/A</v>
      </c>
      <c r="AC426" s="56">
        <f>'Consumption Model'!P543</f>
        <v>0</v>
      </c>
      <c r="AD426" s="22" t="e">
        <f>IF(LEN(VLOOKUP(AC426,A2:D500,4,FALSE))=0,,VLOOKUP(AC426,A2:D500,4,FALSE))</f>
        <v>#N/A</v>
      </c>
      <c r="AE426" s="22">
        <f>'(Data)'!Q539</f>
        <v>0</v>
      </c>
      <c r="AF426" s="22" t="e">
        <f>IF(LEN(VLOOKUP(AE425:AE426,A2:D500,4,FALSE))=0,,VLOOKUP(AE425:AE426,A2:D500,4,FALSE))</f>
        <v>#N/A</v>
      </c>
      <c r="AH426" s="45">
        <f>'Risk Charact Model'!P557</f>
        <v>0</v>
      </c>
      <c r="AI426" s="58" t="e">
        <f>IF(LEN(VLOOKUP(AH426,A2:D500,4,FALSE))=0,,VLOOKUP(AH426,A2:D500,4,FALSE))</f>
        <v>#N/A</v>
      </c>
    </row>
    <row r="427" spans="9:35" ht="14" x14ac:dyDescent="0.3">
      <c r="I427" s="60">
        <f>'Generic Metadata Schema'!P557</f>
        <v>0</v>
      </c>
      <c r="J427" s="22" t="e">
        <f>IF(LEN(VLOOKUP(I427,A2:D500,4,FALSE))=0,"",VLOOKUP(I427,A2:D500,4,FALSE))</f>
        <v>#N/A</v>
      </c>
      <c r="L427" s="56">
        <f>'Dose-response Model'!O541</f>
        <v>0</v>
      </c>
      <c r="M427" s="22" t="e">
        <f>IF(LEN(VLOOKUP(L427,A2:D500,4,FALSE))=0,,VLOOKUP(L427,A2:D500,4,FALSE))</f>
        <v>#N/A</v>
      </c>
      <c r="N427" s="22">
        <f>'Exposure Model'!O558</f>
        <v>0</v>
      </c>
      <c r="O427" s="22" t="e">
        <f>IF(LEN(VLOOKUP(N427,A2:D500,4,FALSE))=0,,VLOOKUP(N427,A2:D500,4,FALSE))</f>
        <v>#N/A</v>
      </c>
      <c r="P427" s="56">
        <f>'QRA Models'!Q558</f>
        <v>0</v>
      </c>
      <c r="Q427" s="22" t="e">
        <f>IF(LEN(VLOOKUP(P427,A2:D500,4,FALSE))=0,,VLOOKUP(P427,A2:D500,4,FALSE))</f>
        <v>#N/A</v>
      </c>
      <c r="R427" s="56">
        <f>'Health metrics Models'!Q541</f>
        <v>0</v>
      </c>
      <c r="S427" s="22" t="e">
        <f>IF(LEN(VLOOKUP(R427,A2:D500,4,FALSE))=0,,VLOOKUP(R427,A2:D500,4,FALSE))</f>
        <v>#N/A</v>
      </c>
      <c r="T427" s="56">
        <f>'Process Model'!P539</f>
        <v>0</v>
      </c>
      <c r="U427" s="22" t="e">
        <f>IF(LEN(VLOOKUP(T427,A2:D500,4,FALSE))=0,,VLOOKUP(T427,A2:D500,4,FALSE))</f>
        <v>#N/A</v>
      </c>
      <c r="V427" s="56">
        <f>'Toxicological reference value M'!P541</f>
        <v>0</v>
      </c>
      <c r="W427" s="22" t="e">
        <f>IF(LEN(VLOOKUP(V427,A2:D500,4,FALSE))=0,,VLOOKUP(V427,A2:D500,4,FALSE))</f>
        <v>#N/A</v>
      </c>
      <c r="Y427" s="56">
        <f>'Other Empirical Model'!P552</f>
        <v>0</v>
      </c>
      <c r="Z427" s="22" t="e">
        <f>IF(LEN(VLOOKUP(Y427,A2:D500,4,FALSE))=0,,VLOOKUP(Y427,A2:D500,4,FALSE))</f>
        <v>#N/A</v>
      </c>
      <c r="AA427" s="56">
        <f>'Predictive Model'!P539</f>
        <v>0</v>
      </c>
      <c r="AB427" s="22" t="e">
        <f>IF(LEN(VLOOKUP(AA427,A2:D500,4,FALSE))=0,,VLOOKUP(AA427,A2:D500,4,FALSE))</f>
        <v>#N/A</v>
      </c>
      <c r="AC427" s="56">
        <f>'Consumption Model'!P544</f>
        <v>0</v>
      </c>
      <c r="AD427" s="22" t="e">
        <f>IF(LEN(VLOOKUP(AC427,A2:D500,4,FALSE))=0,,VLOOKUP(AC427,A2:D500,4,FALSE))</f>
        <v>#N/A</v>
      </c>
      <c r="AE427" s="22">
        <f>'(Data)'!Q540</f>
        <v>0</v>
      </c>
      <c r="AF427" s="22" t="e">
        <f>IF(LEN(VLOOKUP(AE426:AE427,A2:D500,4,FALSE))=0,,VLOOKUP(AE426:AE427,A2:D500,4,FALSE))</f>
        <v>#N/A</v>
      </c>
      <c r="AH427" s="45">
        <f>'Risk Charact Model'!P558</f>
        <v>0</v>
      </c>
      <c r="AI427" s="58" t="e">
        <f>IF(LEN(VLOOKUP(AH427,A2:D500,4,FALSE))=0,,VLOOKUP(AH427,A2:D500,4,FALSE))</f>
        <v>#N/A</v>
      </c>
    </row>
    <row r="428" spans="9:35" ht="14" x14ac:dyDescent="0.3">
      <c r="I428" s="60">
        <f>'Generic Metadata Schema'!P558</f>
        <v>0</v>
      </c>
      <c r="J428" s="22" t="e">
        <f>IF(LEN(VLOOKUP(I428,A2:D500,4,FALSE))=0,"",VLOOKUP(I428,A2:D500,4,FALSE))</f>
        <v>#N/A</v>
      </c>
      <c r="L428" s="56">
        <f>'Dose-response Model'!O542</f>
        <v>0</v>
      </c>
      <c r="M428" s="22" t="e">
        <f>IF(LEN(VLOOKUP(L428,A2:D500,4,FALSE))=0,,VLOOKUP(L428,A2:D500,4,FALSE))</f>
        <v>#N/A</v>
      </c>
      <c r="N428" s="22">
        <f>'Exposure Model'!O559</f>
        <v>0</v>
      </c>
      <c r="O428" s="22" t="e">
        <f>IF(LEN(VLOOKUP(N428,A2:D500,4,FALSE))=0,,VLOOKUP(N428,A2:D500,4,FALSE))</f>
        <v>#N/A</v>
      </c>
      <c r="P428" s="56">
        <f>'QRA Models'!Q559</f>
        <v>0</v>
      </c>
      <c r="Q428" s="22" t="e">
        <f>IF(LEN(VLOOKUP(P428,A2:D500,4,FALSE))=0,,VLOOKUP(P428,A2:D500,4,FALSE))</f>
        <v>#N/A</v>
      </c>
      <c r="R428" s="56">
        <f>'Health metrics Models'!Q542</f>
        <v>0</v>
      </c>
      <c r="S428" s="22" t="e">
        <f>IF(LEN(VLOOKUP(R428,A2:D500,4,FALSE))=0,,VLOOKUP(R428,A2:D500,4,FALSE))</f>
        <v>#N/A</v>
      </c>
      <c r="T428" s="56">
        <f>'Process Model'!P540</f>
        <v>0</v>
      </c>
      <c r="U428" s="22" t="e">
        <f>IF(LEN(VLOOKUP(T428,A2:D500,4,FALSE))=0,,VLOOKUP(T428,A2:D500,4,FALSE))</f>
        <v>#N/A</v>
      </c>
      <c r="V428" s="56">
        <f>'Toxicological reference value M'!P542</f>
        <v>0</v>
      </c>
      <c r="W428" s="22" t="e">
        <f>IF(LEN(VLOOKUP(V428,A2:D500,4,FALSE))=0,,VLOOKUP(V428,A2:D500,4,FALSE))</f>
        <v>#N/A</v>
      </c>
      <c r="Y428" s="56">
        <f>'Other Empirical Model'!P553</f>
        <v>0</v>
      </c>
      <c r="Z428" s="22" t="e">
        <f>IF(LEN(VLOOKUP(Y428,A2:D500,4,FALSE))=0,,VLOOKUP(Y428,A2:D500,4,FALSE))</f>
        <v>#N/A</v>
      </c>
      <c r="AA428" s="56">
        <f>'Predictive Model'!P540</f>
        <v>0</v>
      </c>
      <c r="AB428" s="22" t="e">
        <f>IF(LEN(VLOOKUP(AA428,A2:D500,4,FALSE))=0,,VLOOKUP(AA428,A2:D500,4,FALSE))</f>
        <v>#N/A</v>
      </c>
      <c r="AC428" s="56">
        <f>'Consumption Model'!P545</f>
        <v>0</v>
      </c>
      <c r="AD428" s="22" t="e">
        <f>IF(LEN(VLOOKUP(AC428,A2:D500,4,FALSE))=0,,VLOOKUP(AC428,A2:D500,4,FALSE))</f>
        <v>#N/A</v>
      </c>
      <c r="AE428" s="22">
        <f>'(Data)'!Q541</f>
        <v>0</v>
      </c>
      <c r="AF428" s="22" t="e">
        <f>IF(LEN(VLOOKUP(AE427:AE428,A2:D500,4,FALSE))=0,,VLOOKUP(AE427:AE428,A2:D500,4,FALSE))</f>
        <v>#N/A</v>
      </c>
      <c r="AH428" s="45">
        <f>'Risk Charact Model'!P559</f>
        <v>0</v>
      </c>
      <c r="AI428" s="58" t="e">
        <f>IF(LEN(VLOOKUP(AH428,A2:D500,4,FALSE))=0,,VLOOKUP(AH428,A2:D500,4,FALSE))</f>
        <v>#N/A</v>
      </c>
    </row>
    <row r="429" spans="9:35" ht="14" x14ac:dyDescent="0.3">
      <c r="I429" s="60">
        <f>'Generic Metadata Schema'!P559</f>
        <v>0</v>
      </c>
      <c r="J429" s="22" t="e">
        <f>IF(LEN(VLOOKUP(I429,A2:D500,4,FALSE))=0,"",VLOOKUP(I429,A2:D500,4,FALSE))</f>
        <v>#N/A</v>
      </c>
      <c r="L429" s="56">
        <f>'Dose-response Model'!O543</f>
        <v>0</v>
      </c>
      <c r="M429" s="22" t="e">
        <f>IF(LEN(VLOOKUP(L429,A2:D500,4,FALSE))=0,,VLOOKUP(L429,A2:D500,4,FALSE))</f>
        <v>#N/A</v>
      </c>
      <c r="N429" s="22">
        <f>'Exposure Model'!O560</f>
        <v>0</v>
      </c>
      <c r="O429" s="22" t="e">
        <f>IF(LEN(VLOOKUP(N429,A2:D500,4,FALSE))=0,,VLOOKUP(N429,A2:D500,4,FALSE))</f>
        <v>#N/A</v>
      </c>
      <c r="P429" s="56">
        <f>'QRA Models'!Q560</f>
        <v>0</v>
      </c>
      <c r="Q429" s="22" t="e">
        <f>IF(LEN(VLOOKUP(P429,A2:D500,4,FALSE))=0,,VLOOKUP(P429,A2:D500,4,FALSE))</f>
        <v>#N/A</v>
      </c>
      <c r="R429" s="56">
        <f>'Health metrics Models'!Q543</f>
        <v>0</v>
      </c>
      <c r="S429" s="22" t="e">
        <f>IF(LEN(VLOOKUP(R429,A2:D500,4,FALSE))=0,,VLOOKUP(R429,A2:D500,4,FALSE))</f>
        <v>#N/A</v>
      </c>
      <c r="T429" s="56">
        <f>'Process Model'!P541</f>
        <v>0</v>
      </c>
      <c r="U429" s="22" t="e">
        <f>IF(LEN(VLOOKUP(T429,A2:D500,4,FALSE))=0,,VLOOKUP(T429,A2:D500,4,FALSE))</f>
        <v>#N/A</v>
      </c>
      <c r="V429" s="56">
        <f>'Toxicological reference value M'!P543</f>
        <v>0</v>
      </c>
      <c r="W429" s="22" t="e">
        <f>IF(LEN(VLOOKUP(V429,A2:D500,4,FALSE))=0,,VLOOKUP(V429,A2:D500,4,FALSE))</f>
        <v>#N/A</v>
      </c>
      <c r="Y429" s="56">
        <f>'Other Empirical Model'!P554</f>
        <v>0</v>
      </c>
      <c r="Z429" s="22" t="e">
        <f>IF(LEN(VLOOKUP(Y429,A2:D500,4,FALSE))=0,,VLOOKUP(Y429,A2:D500,4,FALSE))</f>
        <v>#N/A</v>
      </c>
      <c r="AA429" s="56">
        <f>'Predictive Model'!P541</f>
        <v>0</v>
      </c>
      <c r="AB429" s="22" t="e">
        <f>IF(LEN(VLOOKUP(AA429,A2:D500,4,FALSE))=0,,VLOOKUP(AA429,A2:D500,4,FALSE))</f>
        <v>#N/A</v>
      </c>
      <c r="AC429" s="56">
        <f>'Consumption Model'!P546</f>
        <v>0</v>
      </c>
      <c r="AD429" s="22" t="e">
        <f>IF(LEN(VLOOKUP(AC429,A2:D500,4,FALSE))=0,,VLOOKUP(AC429,A2:D500,4,FALSE))</f>
        <v>#N/A</v>
      </c>
      <c r="AE429" s="22">
        <f>'(Data)'!Q542</f>
        <v>0</v>
      </c>
      <c r="AF429" s="22" t="e">
        <f>IF(LEN(VLOOKUP(AE428:AE429,A2:D500,4,FALSE))=0,,VLOOKUP(AE428:AE429,A2:D500,4,FALSE))</f>
        <v>#N/A</v>
      </c>
      <c r="AH429" s="45">
        <f>'Risk Charact Model'!P560</f>
        <v>0</v>
      </c>
      <c r="AI429" s="58" t="e">
        <f>IF(LEN(VLOOKUP(AH429,A2:D500,4,FALSE))=0,,VLOOKUP(AH429,A2:D500,4,FALSE))</f>
        <v>#N/A</v>
      </c>
    </row>
    <row r="430" spans="9:35" ht="14" x14ac:dyDescent="0.3">
      <c r="I430" s="60">
        <f>'Generic Metadata Schema'!P560</f>
        <v>0</v>
      </c>
      <c r="J430" s="22" t="e">
        <f>IF(LEN(VLOOKUP(I430,A2:D500,4,FALSE))=0,"",VLOOKUP(I430,A2:D500,4,FALSE))</f>
        <v>#N/A</v>
      </c>
      <c r="L430" s="56">
        <f>'Dose-response Model'!O544</f>
        <v>0</v>
      </c>
      <c r="M430" s="22" t="e">
        <f>IF(LEN(VLOOKUP(L430,A2:D500,4,FALSE))=0,,VLOOKUP(L430,A2:D500,4,FALSE))</f>
        <v>#N/A</v>
      </c>
      <c r="N430" s="22">
        <f>'Exposure Model'!O561</f>
        <v>0</v>
      </c>
      <c r="O430" s="22" t="e">
        <f>IF(LEN(VLOOKUP(N430,A2:D500,4,FALSE))=0,,VLOOKUP(N430,A2:D500,4,FALSE))</f>
        <v>#N/A</v>
      </c>
      <c r="P430" s="56">
        <f>'QRA Models'!Q561</f>
        <v>0</v>
      </c>
      <c r="Q430" s="22" t="e">
        <f>IF(LEN(VLOOKUP(P430,A2:D500,4,FALSE))=0,,VLOOKUP(P430,A2:D500,4,FALSE))</f>
        <v>#N/A</v>
      </c>
      <c r="R430" s="56">
        <f>'Health metrics Models'!Q544</f>
        <v>0</v>
      </c>
      <c r="S430" s="22" t="e">
        <f>IF(LEN(VLOOKUP(R430,A2:D500,4,FALSE))=0,,VLOOKUP(R430,A2:D500,4,FALSE))</f>
        <v>#N/A</v>
      </c>
      <c r="T430" s="56">
        <f>'Process Model'!P542</f>
        <v>0</v>
      </c>
      <c r="U430" s="22" t="e">
        <f>IF(LEN(VLOOKUP(T430,A2:D500,4,FALSE))=0,,VLOOKUP(T430,A2:D500,4,FALSE))</f>
        <v>#N/A</v>
      </c>
      <c r="V430" s="56">
        <f>'Toxicological reference value M'!P544</f>
        <v>0</v>
      </c>
      <c r="W430" s="22" t="e">
        <f>IF(LEN(VLOOKUP(V430,A2:D500,4,FALSE))=0,,VLOOKUP(V430,A2:D500,4,FALSE))</f>
        <v>#N/A</v>
      </c>
      <c r="Y430" s="56">
        <f>'Other Empirical Model'!P555</f>
        <v>0</v>
      </c>
      <c r="Z430" s="22" t="e">
        <f>IF(LEN(VLOOKUP(Y430,A2:D500,4,FALSE))=0,,VLOOKUP(Y430,A2:D500,4,FALSE))</f>
        <v>#N/A</v>
      </c>
      <c r="AA430" s="56">
        <f>'Predictive Model'!P542</f>
        <v>0</v>
      </c>
      <c r="AB430" s="22" t="e">
        <f>IF(LEN(VLOOKUP(AA430,A2:D500,4,FALSE))=0,,VLOOKUP(AA430,A2:D500,4,FALSE))</f>
        <v>#N/A</v>
      </c>
      <c r="AC430" s="56">
        <f>'Consumption Model'!P547</f>
        <v>0</v>
      </c>
      <c r="AD430" s="22" t="e">
        <f>IF(LEN(VLOOKUP(AC430,A2:D500,4,FALSE))=0,,VLOOKUP(AC430,A2:D500,4,FALSE))</f>
        <v>#N/A</v>
      </c>
      <c r="AE430" s="22">
        <f>'(Data)'!Q543</f>
        <v>0</v>
      </c>
      <c r="AF430" s="22" t="e">
        <f>IF(LEN(VLOOKUP(AE429:AE430,A2:D500,4,FALSE))=0,,VLOOKUP(AE429:AE430,A2:D500,4,FALSE))</f>
        <v>#N/A</v>
      </c>
      <c r="AH430" s="45">
        <f>'Risk Charact Model'!P561</f>
        <v>0</v>
      </c>
      <c r="AI430" s="58" t="e">
        <f>IF(LEN(VLOOKUP(AH430,A2:D500,4,FALSE))=0,,VLOOKUP(AH430,A2:D500,4,FALSE))</f>
        <v>#N/A</v>
      </c>
    </row>
    <row r="431" spans="9:35" ht="14" x14ac:dyDescent="0.3">
      <c r="I431" s="60">
        <f>'Generic Metadata Schema'!P561</f>
        <v>0</v>
      </c>
      <c r="J431" s="22" t="e">
        <f>IF(LEN(VLOOKUP(I431,A2:D500,4,FALSE))=0,"",VLOOKUP(I431,A2:D500,4,FALSE))</f>
        <v>#N/A</v>
      </c>
      <c r="L431" s="56">
        <f>'Dose-response Model'!O545</f>
        <v>0</v>
      </c>
      <c r="M431" s="22" t="e">
        <f>IF(LEN(VLOOKUP(L431,A2:D500,4,FALSE))=0,,VLOOKUP(L431,A2:D500,4,FALSE))</f>
        <v>#N/A</v>
      </c>
      <c r="N431" s="22">
        <f>'Exposure Model'!O562</f>
        <v>0</v>
      </c>
      <c r="O431" s="22" t="e">
        <f>IF(LEN(VLOOKUP(N431,A2:D500,4,FALSE))=0,,VLOOKUP(N431,A2:D500,4,FALSE))</f>
        <v>#N/A</v>
      </c>
      <c r="P431" s="56">
        <f>'QRA Models'!Q562</f>
        <v>0</v>
      </c>
      <c r="Q431" s="22" t="e">
        <f>IF(LEN(VLOOKUP(P431,A2:D500,4,FALSE))=0,,VLOOKUP(P431,A2:D500,4,FALSE))</f>
        <v>#N/A</v>
      </c>
      <c r="R431" s="56">
        <f>'Health metrics Models'!Q545</f>
        <v>0</v>
      </c>
      <c r="S431" s="22" t="e">
        <f>IF(LEN(VLOOKUP(R431,A2:D500,4,FALSE))=0,,VLOOKUP(R431,A2:D500,4,FALSE))</f>
        <v>#N/A</v>
      </c>
      <c r="T431" s="56">
        <f>'Process Model'!P543</f>
        <v>0</v>
      </c>
      <c r="U431" s="22" t="e">
        <f>IF(LEN(VLOOKUP(T431,A2:D500,4,FALSE))=0,,VLOOKUP(T431,A2:D500,4,FALSE))</f>
        <v>#N/A</v>
      </c>
      <c r="V431" s="56">
        <f>'Toxicological reference value M'!P545</f>
        <v>0</v>
      </c>
      <c r="W431" s="22" t="e">
        <f>IF(LEN(VLOOKUP(V431,A2:D500,4,FALSE))=0,,VLOOKUP(V431,A2:D500,4,FALSE))</f>
        <v>#N/A</v>
      </c>
      <c r="Y431" s="56">
        <f>'Other Empirical Model'!P556</f>
        <v>0</v>
      </c>
      <c r="Z431" s="22" t="e">
        <f>IF(LEN(VLOOKUP(Y431,A2:D500,4,FALSE))=0,,VLOOKUP(Y431,A2:D500,4,FALSE))</f>
        <v>#N/A</v>
      </c>
      <c r="AA431" s="56">
        <f>'Predictive Model'!P543</f>
        <v>0</v>
      </c>
      <c r="AB431" s="22" t="e">
        <f>IF(LEN(VLOOKUP(AA431,A2:D500,4,FALSE))=0,,VLOOKUP(AA431,A2:D500,4,FALSE))</f>
        <v>#N/A</v>
      </c>
      <c r="AC431" s="56">
        <f>'Consumption Model'!P548</f>
        <v>0</v>
      </c>
      <c r="AD431" s="22" t="e">
        <f>IF(LEN(VLOOKUP(AC431,A2:D500,4,FALSE))=0,,VLOOKUP(AC431,A2:D500,4,FALSE))</f>
        <v>#N/A</v>
      </c>
      <c r="AE431" s="22">
        <f>'(Data)'!Q544</f>
        <v>0</v>
      </c>
      <c r="AF431" s="22" t="e">
        <f>IF(LEN(VLOOKUP(AE430:AE431,A2:D500,4,FALSE))=0,,VLOOKUP(AE430:AE431,A2:D500,4,FALSE))</f>
        <v>#N/A</v>
      </c>
      <c r="AH431" s="45">
        <f>'Risk Charact Model'!P562</f>
        <v>0</v>
      </c>
      <c r="AI431" s="58" t="e">
        <f>IF(LEN(VLOOKUP(AH431,A2:D500,4,FALSE))=0,,VLOOKUP(AH431,A2:D500,4,FALSE))</f>
        <v>#N/A</v>
      </c>
    </row>
    <row r="432" spans="9:35" ht="14" x14ac:dyDescent="0.3">
      <c r="I432" s="60">
        <f>'Generic Metadata Schema'!P562</f>
        <v>0</v>
      </c>
      <c r="J432" s="22" t="e">
        <f>IF(LEN(VLOOKUP(I432,A2:D500,4,FALSE))=0,"",VLOOKUP(I432,A2:D500,4,FALSE))</f>
        <v>#N/A</v>
      </c>
      <c r="L432" s="56">
        <f>'Dose-response Model'!O546</f>
        <v>0</v>
      </c>
      <c r="M432" s="22" t="e">
        <f>IF(LEN(VLOOKUP(L432,A2:D500,4,FALSE))=0,,VLOOKUP(L432,A2:D500,4,FALSE))</f>
        <v>#N/A</v>
      </c>
      <c r="N432" s="22">
        <f>'Exposure Model'!O563</f>
        <v>0</v>
      </c>
      <c r="O432" s="22" t="e">
        <f>IF(LEN(VLOOKUP(N432,A2:D500,4,FALSE))=0,,VLOOKUP(N432,A2:D500,4,FALSE))</f>
        <v>#N/A</v>
      </c>
      <c r="P432" s="56">
        <f>'QRA Models'!Q563</f>
        <v>0</v>
      </c>
      <c r="Q432" s="22" t="e">
        <f>IF(LEN(VLOOKUP(P432,A2:D500,4,FALSE))=0,,VLOOKUP(P432,A2:D500,4,FALSE))</f>
        <v>#N/A</v>
      </c>
      <c r="R432" s="56">
        <f>'Health metrics Models'!Q546</f>
        <v>0</v>
      </c>
      <c r="S432" s="22" t="e">
        <f>IF(LEN(VLOOKUP(R432,A2:D500,4,FALSE))=0,,VLOOKUP(R432,A2:D500,4,FALSE))</f>
        <v>#N/A</v>
      </c>
      <c r="T432" s="56">
        <f>'Process Model'!P544</f>
        <v>0</v>
      </c>
      <c r="U432" s="22" t="e">
        <f>IF(LEN(VLOOKUP(T432,A2:D500,4,FALSE))=0,,VLOOKUP(T432,A2:D500,4,FALSE))</f>
        <v>#N/A</v>
      </c>
      <c r="V432" s="56">
        <f>'Toxicological reference value M'!P546</f>
        <v>0</v>
      </c>
      <c r="W432" s="22" t="e">
        <f>IF(LEN(VLOOKUP(V432,A2:D500,4,FALSE))=0,,VLOOKUP(V432,A2:D500,4,FALSE))</f>
        <v>#N/A</v>
      </c>
      <c r="Y432" s="56">
        <f>'Other Empirical Model'!P557</f>
        <v>0</v>
      </c>
      <c r="Z432" s="22" t="e">
        <f>IF(LEN(VLOOKUP(Y432,A2:D500,4,FALSE))=0,,VLOOKUP(Y432,A2:D500,4,FALSE))</f>
        <v>#N/A</v>
      </c>
      <c r="AA432" s="56">
        <f>'Predictive Model'!P544</f>
        <v>0</v>
      </c>
      <c r="AB432" s="22" t="e">
        <f>IF(LEN(VLOOKUP(AA432,A2:D500,4,FALSE))=0,,VLOOKUP(AA432,A2:D500,4,FALSE))</f>
        <v>#N/A</v>
      </c>
      <c r="AC432" s="56">
        <f>'Consumption Model'!P549</f>
        <v>0</v>
      </c>
      <c r="AD432" s="22" t="e">
        <f>IF(LEN(VLOOKUP(AC432,A2:D500,4,FALSE))=0,,VLOOKUP(AC432,A2:D500,4,FALSE))</f>
        <v>#N/A</v>
      </c>
      <c r="AE432" s="22">
        <f>'(Data)'!Q545</f>
        <v>0</v>
      </c>
      <c r="AF432" s="22" t="e">
        <f>IF(LEN(VLOOKUP(AE431:AE432,A2:D500,4,FALSE))=0,,VLOOKUP(AE431:AE432,A2:D500,4,FALSE))</f>
        <v>#N/A</v>
      </c>
      <c r="AH432" s="45">
        <f>'Risk Charact Model'!P563</f>
        <v>0</v>
      </c>
      <c r="AI432" s="58" t="e">
        <f>IF(LEN(VLOOKUP(AH432,A2:D500,4,FALSE))=0,,VLOOKUP(AH432,A2:D500,4,FALSE))</f>
        <v>#N/A</v>
      </c>
    </row>
    <row r="433" spans="9:35" ht="14" x14ac:dyDescent="0.3">
      <c r="I433" s="60">
        <f>'Generic Metadata Schema'!P563</f>
        <v>0</v>
      </c>
      <c r="J433" s="22" t="e">
        <f>IF(LEN(VLOOKUP(I433,A2:D500,4,FALSE))=0,"",VLOOKUP(I433,A2:D500,4,FALSE))</f>
        <v>#N/A</v>
      </c>
      <c r="L433" s="56">
        <f>'Dose-response Model'!O547</f>
        <v>0</v>
      </c>
      <c r="M433" s="22" t="e">
        <f>IF(LEN(VLOOKUP(L433,A2:D500,4,FALSE))=0,,VLOOKUP(L433,A2:D500,4,FALSE))</f>
        <v>#N/A</v>
      </c>
      <c r="N433" s="22">
        <f>'Exposure Model'!O564</f>
        <v>0</v>
      </c>
      <c r="O433" s="22" t="e">
        <f>IF(LEN(VLOOKUP(N433,A2:D500,4,FALSE))=0,,VLOOKUP(N433,A2:D500,4,FALSE))</f>
        <v>#N/A</v>
      </c>
      <c r="P433" s="56">
        <f>'QRA Models'!Q564</f>
        <v>0</v>
      </c>
      <c r="Q433" s="22" t="e">
        <f>IF(LEN(VLOOKUP(P433,A2:D500,4,FALSE))=0,,VLOOKUP(P433,A2:D500,4,FALSE))</f>
        <v>#N/A</v>
      </c>
      <c r="R433" s="56">
        <f>'Health metrics Models'!Q547</f>
        <v>0</v>
      </c>
      <c r="S433" s="22" t="e">
        <f>IF(LEN(VLOOKUP(R433,A2:D500,4,FALSE))=0,,VLOOKUP(R433,A2:D500,4,FALSE))</f>
        <v>#N/A</v>
      </c>
      <c r="T433" s="56">
        <f>'Process Model'!P545</f>
        <v>0</v>
      </c>
      <c r="U433" s="22" t="e">
        <f>IF(LEN(VLOOKUP(T433,A2:D500,4,FALSE))=0,,VLOOKUP(T433,A2:D500,4,FALSE))</f>
        <v>#N/A</v>
      </c>
      <c r="V433" s="56">
        <f>'Toxicological reference value M'!P547</f>
        <v>0</v>
      </c>
      <c r="W433" s="22" t="e">
        <f>IF(LEN(VLOOKUP(V433,A2:D500,4,FALSE))=0,,VLOOKUP(V433,A2:D500,4,FALSE))</f>
        <v>#N/A</v>
      </c>
      <c r="Y433" s="56">
        <f>'Other Empirical Model'!P558</f>
        <v>0</v>
      </c>
      <c r="Z433" s="22" t="e">
        <f>IF(LEN(VLOOKUP(Y433,A2:D500,4,FALSE))=0,,VLOOKUP(Y433,A2:D500,4,FALSE))</f>
        <v>#N/A</v>
      </c>
      <c r="AA433" s="56">
        <f>'Predictive Model'!P545</f>
        <v>0</v>
      </c>
      <c r="AB433" s="22" t="e">
        <f>IF(LEN(VLOOKUP(AA433,A2:D500,4,FALSE))=0,,VLOOKUP(AA433,A2:D500,4,FALSE))</f>
        <v>#N/A</v>
      </c>
      <c r="AC433" s="56">
        <f>'Consumption Model'!P550</f>
        <v>0</v>
      </c>
      <c r="AD433" s="22" t="e">
        <f>IF(LEN(VLOOKUP(AC433,A2:D500,4,FALSE))=0,,VLOOKUP(AC433,A2:D500,4,FALSE))</f>
        <v>#N/A</v>
      </c>
      <c r="AE433" s="22">
        <f>'(Data)'!Q546</f>
        <v>0</v>
      </c>
      <c r="AF433" s="22" t="e">
        <f>IF(LEN(VLOOKUP(AE432:AE433,A2:D500,4,FALSE))=0,,VLOOKUP(AE432:AE433,A2:D500,4,FALSE))</f>
        <v>#N/A</v>
      </c>
      <c r="AH433" s="45">
        <f>'Risk Charact Model'!P564</f>
        <v>0</v>
      </c>
      <c r="AI433" s="58" t="e">
        <f>IF(LEN(VLOOKUP(AH433,A2:D500,4,FALSE))=0,,VLOOKUP(AH433,A2:D500,4,FALSE))</f>
        <v>#N/A</v>
      </c>
    </row>
    <row r="434" spans="9:35" ht="14" x14ac:dyDescent="0.3">
      <c r="I434" s="60">
        <f>'Generic Metadata Schema'!P564</f>
        <v>0</v>
      </c>
      <c r="J434" s="22" t="e">
        <f>IF(LEN(VLOOKUP(I434,A2:D500,4,FALSE))=0,"",VLOOKUP(I434,A2:D500,4,FALSE))</f>
        <v>#N/A</v>
      </c>
      <c r="L434" s="56">
        <f>'Dose-response Model'!O548</f>
        <v>0</v>
      </c>
      <c r="M434" s="22" t="e">
        <f>IF(LEN(VLOOKUP(L434,A2:D500,4,FALSE))=0,,VLOOKUP(L434,A2:D500,4,FALSE))</f>
        <v>#N/A</v>
      </c>
      <c r="N434" s="22">
        <f>'Exposure Model'!O565</f>
        <v>0</v>
      </c>
      <c r="O434" s="22" t="e">
        <f>IF(LEN(VLOOKUP(N434,A2:D500,4,FALSE))=0,,VLOOKUP(N434,A2:D500,4,FALSE))</f>
        <v>#N/A</v>
      </c>
      <c r="P434" s="56">
        <f>'QRA Models'!Q565</f>
        <v>0</v>
      </c>
      <c r="Q434" s="22" t="e">
        <f>IF(LEN(VLOOKUP(P434,A2:D500,4,FALSE))=0,,VLOOKUP(P434,A2:D500,4,FALSE))</f>
        <v>#N/A</v>
      </c>
      <c r="R434" s="56">
        <f>'Health metrics Models'!Q548</f>
        <v>0</v>
      </c>
      <c r="S434" s="22" t="e">
        <f>IF(LEN(VLOOKUP(R434,A2:D500,4,FALSE))=0,,VLOOKUP(R434,A2:D500,4,FALSE))</f>
        <v>#N/A</v>
      </c>
      <c r="T434" s="56">
        <f>'Process Model'!P546</f>
        <v>0</v>
      </c>
      <c r="U434" s="22" t="e">
        <f>IF(LEN(VLOOKUP(T434,A2:D500,4,FALSE))=0,,VLOOKUP(T434,A2:D500,4,FALSE))</f>
        <v>#N/A</v>
      </c>
      <c r="V434" s="56">
        <f>'Toxicological reference value M'!P548</f>
        <v>0</v>
      </c>
      <c r="W434" s="22" t="e">
        <f>IF(LEN(VLOOKUP(V434,A2:D500,4,FALSE))=0,,VLOOKUP(V434,A2:D500,4,FALSE))</f>
        <v>#N/A</v>
      </c>
      <c r="Y434" s="56">
        <f>'Other Empirical Model'!P559</f>
        <v>0</v>
      </c>
      <c r="Z434" s="22" t="e">
        <f>IF(LEN(VLOOKUP(Y434,A2:D500,4,FALSE))=0,,VLOOKUP(Y434,A2:D500,4,FALSE))</f>
        <v>#N/A</v>
      </c>
      <c r="AA434" s="56">
        <f>'Predictive Model'!P546</f>
        <v>0</v>
      </c>
      <c r="AB434" s="22" t="e">
        <f>IF(LEN(VLOOKUP(AA434,A2:D500,4,FALSE))=0,,VLOOKUP(AA434,A2:D500,4,FALSE))</f>
        <v>#N/A</v>
      </c>
      <c r="AC434" s="56">
        <f>'Consumption Model'!P551</f>
        <v>0</v>
      </c>
      <c r="AD434" s="22" t="e">
        <f>IF(LEN(VLOOKUP(AC434,A2:D500,4,FALSE))=0,,VLOOKUP(AC434,A2:D500,4,FALSE))</f>
        <v>#N/A</v>
      </c>
      <c r="AE434" s="22">
        <f>'(Data)'!Q547</f>
        <v>0</v>
      </c>
      <c r="AF434" s="22" t="e">
        <f>IF(LEN(VLOOKUP(AE433:AE434,A2:D500,4,FALSE))=0,,VLOOKUP(AE433:AE434,A2:D500,4,FALSE))</f>
        <v>#N/A</v>
      </c>
      <c r="AH434" s="45">
        <f>'Risk Charact Model'!P565</f>
        <v>0</v>
      </c>
      <c r="AI434" s="58" t="e">
        <f>IF(LEN(VLOOKUP(AH434,A2:D500,4,FALSE))=0,,VLOOKUP(AH434,A2:D500,4,FALSE))</f>
        <v>#N/A</v>
      </c>
    </row>
    <row r="435" spans="9:35" ht="14" x14ac:dyDescent="0.3">
      <c r="I435" s="60">
        <f>'Generic Metadata Schema'!P565</f>
        <v>0</v>
      </c>
      <c r="J435" s="22" t="e">
        <f>IF(LEN(VLOOKUP(I435,A2:D500,4,FALSE))=0,"",VLOOKUP(I435,A2:D500,4,FALSE))</f>
        <v>#N/A</v>
      </c>
      <c r="L435" s="56">
        <f>'Dose-response Model'!O549</f>
        <v>0</v>
      </c>
      <c r="M435" s="22" t="e">
        <f>IF(LEN(VLOOKUP(L435,A2:D500,4,FALSE))=0,,VLOOKUP(L435,A2:D500,4,FALSE))</f>
        <v>#N/A</v>
      </c>
      <c r="N435" s="22">
        <f>'Exposure Model'!O566</f>
        <v>0</v>
      </c>
      <c r="O435" s="22" t="e">
        <f>IF(LEN(VLOOKUP(N435,A2:D500,4,FALSE))=0,,VLOOKUP(N435,A2:D500,4,FALSE))</f>
        <v>#N/A</v>
      </c>
      <c r="P435" s="56">
        <f>'QRA Models'!Q566</f>
        <v>0</v>
      </c>
      <c r="Q435" s="22" t="e">
        <f>IF(LEN(VLOOKUP(P435,A2:D500,4,FALSE))=0,,VLOOKUP(P435,A2:D500,4,FALSE))</f>
        <v>#N/A</v>
      </c>
      <c r="R435" s="56">
        <f>'Health metrics Models'!Q549</f>
        <v>0</v>
      </c>
      <c r="S435" s="22" t="e">
        <f>IF(LEN(VLOOKUP(R435,A2:D500,4,FALSE))=0,,VLOOKUP(R435,A2:D500,4,FALSE))</f>
        <v>#N/A</v>
      </c>
      <c r="T435" s="56">
        <f>'Process Model'!P547</f>
        <v>0</v>
      </c>
      <c r="U435" s="22" t="e">
        <f>IF(LEN(VLOOKUP(T435,A2:D500,4,FALSE))=0,,VLOOKUP(T435,A2:D500,4,FALSE))</f>
        <v>#N/A</v>
      </c>
      <c r="V435" s="56">
        <f>'Toxicological reference value M'!P549</f>
        <v>0</v>
      </c>
      <c r="W435" s="22" t="e">
        <f>IF(LEN(VLOOKUP(V435,A2:D500,4,FALSE))=0,,VLOOKUP(V435,A2:D500,4,FALSE))</f>
        <v>#N/A</v>
      </c>
      <c r="Y435" s="56">
        <f>'Other Empirical Model'!P560</f>
        <v>0</v>
      </c>
      <c r="Z435" s="22" t="e">
        <f>IF(LEN(VLOOKUP(Y435,A2:D500,4,FALSE))=0,,VLOOKUP(Y435,A2:D500,4,FALSE))</f>
        <v>#N/A</v>
      </c>
      <c r="AA435" s="56">
        <f>'Predictive Model'!P547</f>
        <v>0</v>
      </c>
      <c r="AB435" s="22" t="e">
        <f>IF(LEN(VLOOKUP(AA435,A2:D500,4,FALSE))=0,,VLOOKUP(AA435,A2:D500,4,FALSE))</f>
        <v>#N/A</v>
      </c>
      <c r="AC435" s="56">
        <f>'Consumption Model'!P552</f>
        <v>0</v>
      </c>
      <c r="AD435" s="22" t="e">
        <f>IF(LEN(VLOOKUP(AC435,A2:D500,4,FALSE))=0,,VLOOKUP(AC435,A2:D500,4,FALSE))</f>
        <v>#N/A</v>
      </c>
      <c r="AE435" s="22">
        <f>'(Data)'!Q548</f>
        <v>0</v>
      </c>
      <c r="AF435" s="22" t="e">
        <f>IF(LEN(VLOOKUP(AE434:AE435,A2:D500,4,FALSE))=0,,VLOOKUP(AE434:AE435,A2:D500,4,FALSE))</f>
        <v>#N/A</v>
      </c>
      <c r="AH435" s="45">
        <f>'Risk Charact Model'!P566</f>
        <v>0</v>
      </c>
      <c r="AI435" s="58" t="e">
        <f>IF(LEN(VLOOKUP(AH435,A2:D500,4,FALSE))=0,,VLOOKUP(AH435,A2:D500,4,FALSE))</f>
        <v>#N/A</v>
      </c>
    </row>
    <row r="436" spans="9:35" ht="14" x14ac:dyDescent="0.3">
      <c r="I436" s="60">
        <f>'Generic Metadata Schema'!P566</f>
        <v>0</v>
      </c>
      <c r="J436" s="22" t="e">
        <f>IF(LEN(VLOOKUP(I436,A2:D500,4,FALSE))=0,"",VLOOKUP(I436,A2:D500,4,FALSE))</f>
        <v>#N/A</v>
      </c>
      <c r="L436" s="56">
        <f>'Dose-response Model'!O550</f>
        <v>0</v>
      </c>
      <c r="M436" s="22" t="e">
        <f>IF(LEN(VLOOKUP(L436,A2:D500,4,FALSE))=0,,VLOOKUP(L436,A2:D500,4,FALSE))</f>
        <v>#N/A</v>
      </c>
      <c r="N436" s="22">
        <f>'Exposure Model'!O567</f>
        <v>0</v>
      </c>
      <c r="O436" s="22" t="e">
        <f>IF(LEN(VLOOKUP(N436,A2:D500,4,FALSE))=0,,VLOOKUP(N436,A2:D500,4,FALSE))</f>
        <v>#N/A</v>
      </c>
      <c r="P436" s="56">
        <f>'QRA Models'!Q567</f>
        <v>0</v>
      </c>
      <c r="Q436" s="22" t="e">
        <f>IF(LEN(VLOOKUP(P436,A2:D500,4,FALSE))=0,,VLOOKUP(P436,A2:D500,4,FALSE))</f>
        <v>#N/A</v>
      </c>
      <c r="R436" s="56">
        <f>'Health metrics Models'!Q550</f>
        <v>0</v>
      </c>
      <c r="S436" s="22" t="e">
        <f>IF(LEN(VLOOKUP(R436,A2:D500,4,FALSE))=0,,VLOOKUP(R436,A2:D500,4,FALSE))</f>
        <v>#N/A</v>
      </c>
      <c r="T436" s="56">
        <f>'Process Model'!P548</f>
        <v>0</v>
      </c>
      <c r="U436" s="22" t="e">
        <f>IF(LEN(VLOOKUP(T436,A2:D500,4,FALSE))=0,,VLOOKUP(T436,A2:D500,4,FALSE))</f>
        <v>#N/A</v>
      </c>
      <c r="V436" s="56">
        <f>'Toxicological reference value M'!P550</f>
        <v>0</v>
      </c>
      <c r="W436" s="22" t="e">
        <f>IF(LEN(VLOOKUP(V436,A2:D500,4,FALSE))=0,,VLOOKUP(V436,A2:D500,4,FALSE))</f>
        <v>#N/A</v>
      </c>
      <c r="Y436" s="56">
        <f>'Other Empirical Model'!P561</f>
        <v>0</v>
      </c>
      <c r="Z436" s="22" t="e">
        <f>IF(LEN(VLOOKUP(Y436,A2:D500,4,FALSE))=0,,VLOOKUP(Y436,A2:D500,4,FALSE))</f>
        <v>#N/A</v>
      </c>
      <c r="AA436" s="56">
        <f>'Predictive Model'!P548</f>
        <v>0</v>
      </c>
      <c r="AB436" s="22" t="e">
        <f>IF(LEN(VLOOKUP(AA436,A2:D500,4,FALSE))=0,,VLOOKUP(AA436,A2:D500,4,FALSE))</f>
        <v>#N/A</v>
      </c>
      <c r="AC436" s="56">
        <f>'Consumption Model'!P553</f>
        <v>0</v>
      </c>
      <c r="AD436" s="22" t="e">
        <f>IF(LEN(VLOOKUP(AC436,A2:D500,4,FALSE))=0,,VLOOKUP(AC436,A2:D500,4,FALSE))</f>
        <v>#N/A</v>
      </c>
      <c r="AE436" s="22">
        <f>'(Data)'!Q549</f>
        <v>0</v>
      </c>
      <c r="AF436" s="22" t="e">
        <f>IF(LEN(VLOOKUP(AE435:AE436,A2:D500,4,FALSE))=0,,VLOOKUP(AE435:AE436,A2:D500,4,FALSE))</f>
        <v>#N/A</v>
      </c>
      <c r="AH436" s="45">
        <f>'Risk Charact Model'!P567</f>
        <v>0</v>
      </c>
      <c r="AI436" s="58" t="e">
        <f>IF(LEN(VLOOKUP(AH436,A2:D500,4,FALSE))=0,,VLOOKUP(AH436,A2:D500,4,FALSE))</f>
        <v>#N/A</v>
      </c>
    </row>
    <row r="437" spans="9:35" ht="14" x14ac:dyDescent="0.3">
      <c r="I437" s="60">
        <f>'Generic Metadata Schema'!P567</f>
        <v>0</v>
      </c>
      <c r="J437" s="22" t="e">
        <f>IF(LEN(VLOOKUP(I437,A2:D500,4,FALSE))=0,"",VLOOKUP(I437,A2:D500,4,FALSE))</f>
        <v>#N/A</v>
      </c>
      <c r="L437" s="56">
        <f>'Dose-response Model'!O551</f>
        <v>0</v>
      </c>
      <c r="M437" s="22" t="e">
        <f>IF(LEN(VLOOKUP(L437,A2:D500,4,FALSE))=0,,VLOOKUP(L437,A2:D500,4,FALSE))</f>
        <v>#N/A</v>
      </c>
      <c r="N437" s="22">
        <f>'Exposure Model'!O568</f>
        <v>0</v>
      </c>
      <c r="O437" s="22" t="e">
        <f>IF(LEN(VLOOKUP(N437,A2:D500,4,FALSE))=0,,VLOOKUP(N437,A2:D500,4,FALSE))</f>
        <v>#N/A</v>
      </c>
      <c r="P437" s="56">
        <f>'QRA Models'!Q568</f>
        <v>0</v>
      </c>
      <c r="Q437" s="22" t="e">
        <f>IF(LEN(VLOOKUP(P437,A2:D500,4,FALSE))=0,,VLOOKUP(P437,A2:D500,4,FALSE))</f>
        <v>#N/A</v>
      </c>
      <c r="R437" s="56">
        <f>'Health metrics Models'!Q551</f>
        <v>0</v>
      </c>
      <c r="S437" s="22" t="e">
        <f>IF(LEN(VLOOKUP(R437,A2:D500,4,FALSE))=0,,VLOOKUP(R437,A2:D500,4,FALSE))</f>
        <v>#N/A</v>
      </c>
      <c r="T437" s="56">
        <f>'Process Model'!P549</f>
        <v>0</v>
      </c>
      <c r="U437" s="22" t="e">
        <f>IF(LEN(VLOOKUP(T437,A2:D500,4,FALSE))=0,,VLOOKUP(T437,A2:D500,4,FALSE))</f>
        <v>#N/A</v>
      </c>
      <c r="V437" s="56">
        <f>'Toxicological reference value M'!P551</f>
        <v>0</v>
      </c>
      <c r="W437" s="22" t="e">
        <f>IF(LEN(VLOOKUP(V437,A2:D500,4,FALSE))=0,,VLOOKUP(V437,A2:D500,4,FALSE))</f>
        <v>#N/A</v>
      </c>
      <c r="Y437" s="56">
        <f>'Other Empirical Model'!P562</f>
        <v>0</v>
      </c>
      <c r="Z437" s="22" t="e">
        <f>IF(LEN(VLOOKUP(Y437,A2:D500,4,FALSE))=0,,VLOOKUP(Y437,A2:D500,4,FALSE))</f>
        <v>#N/A</v>
      </c>
      <c r="AA437" s="56">
        <f>'Predictive Model'!P549</f>
        <v>0</v>
      </c>
      <c r="AB437" s="22" t="e">
        <f>IF(LEN(VLOOKUP(AA437,A2:D500,4,FALSE))=0,,VLOOKUP(AA437,A2:D500,4,FALSE))</f>
        <v>#N/A</v>
      </c>
      <c r="AC437" s="56">
        <f>'Consumption Model'!P554</f>
        <v>0</v>
      </c>
      <c r="AD437" s="22" t="e">
        <f>IF(LEN(VLOOKUP(AC437,A2:D500,4,FALSE))=0,,VLOOKUP(AC437,A2:D500,4,FALSE))</f>
        <v>#N/A</v>
      </c>
      <c r="AE437" s="22">
        <f>'(Data)'!Q550</f>
        <v>0</v>
      </c>
      <c r="AF437" s="22" t="e">
        <f>IF(LEN(VLOOKUP(AE436:AE437,A2:D500,4,FALSE))=0,,VLOOKUP(AE436:AE437,A2:D500,4,FALSE))</f>
        <v>#N/A</v>
      </c>
      <c r="AH437" s="45">
        <f>'Risk Charact Model'!P568</f>
        <v>0</v>
      </c>
      <c r="AI437" s="58" t="e">
        <f>IF(LEN(VLOOKUP(AH437,A2:D500,4,FALSE))=0,,VLOOKUP(AH437,A2:D500,4,FALSE))</f>
        <v>#N/A</v>
      </c>
    </row>
    <row r="438" spans="9:35" ht="14" x14ac:dyDescent="0.3">
      <c r="I438" s="60">
        <f>'Generic Metadata Schema'!P568</f>
        <v>0</v>
      </c>
      <c r="J438" s="22" t="e">
        <f>IF(LEN(VLOOKUP(I438,A2:D500,4,FALSE))=0,"",VLOOKUP(I438,A2:D500,4,FALSE))</f>
        <v>#N/A</v>
      </c>
      <c r="L438" s="56">
        <f>'Dose-response Model'!O552</f>
        <v>0</v>
      </c>
      <c r="M438" s="22" t="e">
        <f>IF(LEN(VLOOKUP(L438,A2:D500,4,FALSE))=0,,VLOOKUP(L438,A2:D500,4,FALSE))</f>
        <v>#N/A</v>
      </c>
      <c r="N438" s="22">
        <f>'Exposure Model'!O569</f>
        <v>0</v>
      </c>
      <c r="O438" s="22" t="e">
        <f>IF(LEN(VLOOKUP(N438,A2:D500,4,FALSE))=0,,VLOOKUP(N438,A2:D500,4,FALSE))</f>
        <v>#N/A</v>
      </c>
      <c r="P438" s="56">
        <f>'QRA Models'!Q569</f>
        <v>0</v>
      </c>
      <c r="Q438" s="22" t="e">
        <f>IF(LEN(VLOOKUP(P438,A2:D500,4,FALSE))=0,,VLOOKUP(P438,A2:D500,4,FALSE))</f>
        <v>#N/A</v>
      </c>
      <c r="R438" s="56">
        <f>'Health metrics Models'!Q552</f>
        <v>0</v>
      </c>
      <c r="S438" s="22" t="e">
        <f>IF(LEN(VLOOKUP(R438,A2:D500,4,FALSE))=0,,VLOOKUP(R438,A2:D500,4,FALSE))</f>
        <v>#N/A</v>
      </c>
      <c r="T438" s="56">
        <f>'Process Model'!P550</f>
        <v>0</v>
      </c>
      <c r="U438" s="22" t="e">
        <f>IF(LEN(VLOOKUP(T438,A2:D500,4,FALSE))=0,,VLOOKUP(T438,A2:D500,4,FALSE))</f>
        <v>#N/A</v>
      </c>
      <c r="V438" s="56">
        <f>'Toxicological reference value M'!P552</f>
        <v>0</v>
      </c>
      <c r="W438" s="22" t="e">
        <f>IF(LEN(VLOOKUP(V438,A2:D500,4,FALSE))=0,,VLOOKUP(V438,A2:D500,4,FALSE))</f>
        <v>#N/A</v>
      </c>
      <c r="Y438" s="56">
        <f>'Other Empirical Model'!P563</f>
        <v>0</v>
      </c>
      <c r="Z438" s="22" t="e">
        <f>IF(LEN(VLOOKUP(Y438,A2:D500,4,FALSE))=0,,VLOOKUP(Y438,A2:D500,4,FALSE))</f>
        <v>#N/A</v>
      </c>
      <c r="AA438" s="56">
        <f>'Predictive Model'!P550</f>
        <v>0</v>
      </c>
      <c r="AB438" s="22" t="e">
        <f>IF(LEN(VLOOKUP(AA438,A2:D500,4,FALSE))=0,,VLOOKUP(AA438,A2:D500,4,FALSE))</f>
        <v>#N/A</v>
      </c>
      <c r="AC438" s="56">
        <f>'Consumption Model'!P555</f>
        <v>0</v>
      </c>
      <c r="AD438" s="22" t="e">
        <f>IF(LEN(VLOOKUP(AC438,A2:D500,4,FALSE))=0,,VLOOKUP(AC438,A2:D500,4,FALSE))</f>
        <v>#N/A</v>
      </c>
      <c r="AE438" s="22">
        <f>'(Data)'!Q551</f>
        <v>0</v>
      </c>
      <c r="AF438" s="22" t="e">
        <f>IF(LEN(VLOOKUP(AE437:AE438,A2:D500,4,FALSE))=0,,VLOOKUP(AE437:AE438,A2:D500,4,FALSE))</f>
        <v>#N/A</v>
      </c>
      <c r="AH438" s="45">
        <f>'Risk Charact Model'!P569</f>
        <v>0</v>
      </c>
      <c r="AI438" s="58" t="e">
        <f>IF(LEN(VLOOKUP(AH438,A2:D500,4,FALSE))=0,,VLOOKUP(AH438,A2:D500,4,FALSE))</f>
        <v>#N/A</v>
      </c>
    </row>
    <row r="439" spans="9:35" ht="14" x14ac:dyDescent="0.3">
      <c r="I439" s="60">
        <f>'Generic Metadata Schema'!P569</f>
        <v>0</v>
      </c>
      <c r="J439" s="22" t="e">
        <f>IF(LEN(VLOOKUP(I439,A2:D500,4,FALSE))=0,"",VLOOKUP(I439,A2:D500,4,FALSE))</f>
        <v>#N/A</v>
      </c>
      <c r="L439" s="56">
        <f>'Dose-response Model'!O553</f>
        <v>0</v>
      </c>
      <c r="M439" s="22" t="e">
        <f>IF(LEN(VLOOKUP(L439,A2:D500,4,FALSE))=0,,VLOOKUP(L439,A2:D500,4,FALSE))</f>
        <v>#N/A</v>
      </c>
      <c r="N439" s="22">
        <f>'Exposure Model'!O570</f>
        <v>0</v>
      </c>
      <c r="O439" s="22" t="e">
        <f>IF(LEN(VLOOKUP(N439,A2:D500,4,FALSE))=0,,VLOOKUP(N439,A2:D500,4,FALSE))</f>
        <v>#N/A</v>
      </c>
      <c r="P439" s="56">
        <f>'QRA Models'!Q570</f>
        <v>0</v>
      </c>
      <c r="Q439" s="22" t="e">
        <f>IF(LEN(VLOOKUP(P439,A2:D500,4,FALSE))=0,,VLOOKUP(P439,A2:D500,4,FALSE))</f>
        <v>#N/A</v>
      </c>
      <c r="R439" s="56">
        <f>'Health metrics Models'!Q553</f>
        <v>0</v>
      </c>
      <c r="S439" s="22" t="e">
        <f>IF(LEN(VLOOKUP(R439,A2:D500,4,FALSE))=0,,VLOOKUP(R439,A2:D500,4,FALSE))</f>
        <v>#N/A</v>
      </c>
      <c r="T439" s="56">
        <f>'Process Model'!P551</f>
        <v>0</v>
      </c>
      <c r="U439" s="22" t="e">
        <f>IF(LEN(VLOOKUP(T439,A2:D500,4,FALSE))=0,,VLOOKUP(T439,A2:D500,4,FALSE))</f>
        <v>#N/A</v>
      </c>
      <c r="V439" s="56">
        <f>'Toxicological reference value M'!P553</f>
        <v>0</v>
      </c>
      <c r="W439" s="22" t="e">
        <f>IF(LEN(VLOOKUP(V439,A2:D500,4,FALSE))=0,,VLOOKUP(V439,A2:D500,4,FALSE))</f>
        <v>#N/A</v>
      </c>
      <c r="Y439" s="56">
        <f>'Other Empirical Model'!P564</f>
        <v>0</v>
      </c>
      <c r="Z439" s="22" t="e">
        <f>IF(LEN(VLOOKUP(Y439,A2:D500,4,FALSE))=0,,VLOOKUP(Y439,A2:D500,4,FALSE))</f>
        <v>#N/A</v>
      </c>
      <c r="AA439" s="56">
        <f>'Predictive Model'!P551</f>
        <v>0</v>
      </c>
      <c r="AB439" s="22" t="e">
        <f>IF(LEN(VLOOKUP(AA439,A2:D500,4,FALSE))=0,,VLOOKUP(AA439,A2:D500,4,FALSE))</f>
        <v>#N/A</v>
      </c>
      <c r="AC439" s="56">
        <f>'Consumption Model'!P556</f>
        <v>0</v>
      </c>
      <c r="AD439" s="22" t="e">
        <f>IF(LEN(VLOOKUP(AC439,A2:D500,4,FALSE))=0,,VLOOKUP(AC439,A2:D500,4,FALSE))</f>
        <v>#N/A</v>
      </c>
      <c r="AE439" s="22">
        <f>'(Data)'!Q552</f>
        <v>0</v>
      </c>
      <c r="AF439" s="22" t="e">
        <f>IF(LEN(VLOOKUP(AE438:AE439,A2:D500,4,FALSE))=0,,VLOOKUP(AE438:AE439,A2:D500,4,FALSE))</f>
        <v>#N/A</v>
      </c>
      <c r="AH439" s="45">
        <f>'Risk Charact Model'!P570</f>
        <v>0</v>
      </c>
      <c r="AI439" s="58" t="e">
        <f>IF(LEN(VLOOKUP(AH439,A2:D500,4,FALSE))=0,,VLOOKUP(AH439,A2:D500,4,FALSE))</f>
        <v>#N/A</v>
      </c>
    </row>
    <row r="440" spans="9:35" ht="14" x14ac:dyDescent="0.3">
      <c r="I440" s="60">
        <f>'Generic Metadata Schema'!P570</f>
        <v>0</v>
      </c>
      <c r="J440" s="22" t="e">
        <f>IF(LEN(VLOOKUP(I440,A2:D500,4,FALSE))=0,"",VLOOKUP(I440,A2:D500,4,FALSE))</f>
        <v>#N/A</v>
      </c>
      <c r="L440" s="56">
        <f>'Dose-response Model'!O554</f>
        <v>0</v>
      </c>
      <c r="M440" s="22" t="e">
        <f>IF(LEN(VLOOKUP(L440,A2:D500,4,FALSE))=0,,VLOOKUP(L440,A2:D500,4,FALSE))</f>
        <v>#N/A</v>
      </c>
      <c r="N440" s="22">
        <f>'Exposure Model'!O571</f>
        <v>0</v>
      </c>
      <c r="O440" s="22" t="e">
        <f>IF(LEN(VLOOKUP(N440,A2:D500,4,FALSE))=0,,VLOOKUP(N440,A2:D500,4,FALSE))</f>
        <v>#N/A</v>
      </c>
      <c r="P440" s="56">
        <f>'QRA Models'!Q571</f>
        <v>0</v>
      </c>
      <c r="Q440" s="22" t="e">
        <f>IF(LEN(VLOOKUP(P440,A2:D500,4,FALSE))=0,,VLOOKUP(P440,A2:D500,4,FALSE))</f>
        <v>#N/A</v>
      </c>
      <c r="R440" s="56">
        <f>'Health metrics Models'!Q554</f>
        <v>0</v>
      </c>
      <c r="S440" s="22" t="e">
        <f>IF(LEN(VLOOKUP(R440,A2:D500,4,FALSE))=0,,VLOOKUP(R440,A2:D500,4,FALSE))</f>
        <v>#N/A</v>
      </c>
      <c r="T440" s="56">
        <f>'Process Model'!P552</f>
        <v>0</v>
      </c>
      <c r="U440" s="22" t="e">
        <f>IF(LEN(VLOOKUP(T440,A2:D500,4,FALSE))=0,,VLOOKUP(T440,A2:D500,4,FALSE))</f>
        <v>#N/A</v>
      </c>
      <c r="V440" s="56">
        <f>'Toxicological reference value M'!P554</f>
        <v>0</v>
      </c>
      <c r="W440" s="22" t="e">
        <f>IF(LEN(VLOOKUP(V440,A2:D500,4,FALSE))=0,,VLOOKUP(V440,A2:D500,4,FALSE))</f>
        <v>#N/A</v>
      </c>
      <c r="Y440" s="56">
        <f>'Other Empirical Model'!P565</f>
        <v>0</v>
      </c>
      <c r="Z440" s="22" t="e">
        <f>IF(LEN(VLOOKUP(Y440,A2:D500,4,FALSE))=0,,VLOOKUP(Y440,A2:D500,4,FALSE))</f>
        <v>#N/A</v>
      </c>
      <c r="AA440" s="56">
        <f>'Predictive Model'!P552</f>
        <v>0</v>
      </c>
      <c r="AB440" s="22" t="e">
        <f>IF(LEN(VLOOKUP(AA440,A2:D500,4,FALSE))=0,,VLOOKUP(AA440,A2:D500,4,FALSE))</f>
        <v>#N/A</v>
      </c>
      <c r="AC440" s="56">
        <f>'Consumption Model'!P557</f>
        <v>0</v>
      </c>
      <c r="AD440" s="22" t="e">
        <f>IF(LEN(VLOOKUP(AC440,A2:D500,4,FALSE))=0,,VLOOKUP(AC440,A2:D500,4,FALSE))</f>
        <v>#N/A</v>
      </c>
      <c r="AE440" s="22">
        <f>'(Data)'!Q553</f>
        <v>0</v>
      </c>
      <c r="AF440" s="22" t="e">
        <f>IF(LEN(VLOOKUP(AE439:AE440,A2:D500,4,FALSE))=0,,VLOOKUP(AE439:AE440,A2:D500,4,FALSE))</f>
        <v>#N/A</v>
      </c>
      <c r="AH440" s="45">
        <f>'Risk Charact Model'!P571</f>
        <v>0</v>
      </c>
      <c r="AI440" s="58" t="e">
        <f>IF(LEN(VLOOKUP(AH440,A2:D500,4,FALSE))=0,,VLOOKUP(AH440,A2:D500,4,FALSE))</f>
        <v>#N/A</v>
      </c>
    </row>
    <row r="441" spans="9:35" ht="14" x14ac:dyDescent="0.3">
      <c r="I441" s="60">
        <f>'Generic Metadata Schema'!P571</f>
        <v>0</v>
      </c>
      <c r="J441" s="22" t="e">
        <f>IF(LEN(VLOOKUP(I441,A2:D500,4,FALSE))=0,"",VLOOKUP(I441,A2:D500,4,FALSE))</f>
        <v>#N/A</v>
      </c>
      <c r="L441" s="56">
        <f>'Dose-response Model'!O555</f>
        <v>0</v>
      </c>
      <c r="M441" s="22" t="e">
        <f>IF(LEN(VLOOKUP(L441,A2:D500,4,FALSE))=0,,VLOOKUP(L441,A2:D500,4,FALSE))</f>
        <v>#N/A</v>
      </c>
      <c r="N441" s="22">
        <f>'Exposure Model'!O572</f>
        <v>0</v>
      </c>
      <c r="O441" s="22" t="e">
        <f>IF(LEN(VLOOKUP(N441,A2:D500,4,FALSE))=0,,VLOOKUP(N441,A2:D500,4,FALSE))</f>
        <v>#N/A</v>
      </c>
      <c r="P441" s="56">
        <f>'QRA Models'!Q572</f>
        <v>0</v>
      </c>
      <c r="Q441" s="22" t="e">
        <f>IF(LEN(VLOOKUP(P441,A2:D500,4,FALSE))=0,,VLOOKUP(P441,A2:D500,4,FALSE))</f>
        <v>#N/A</v>
      </c>
      <c r="R441" s="56">
        <f>'Health metrics Models'!Q555</f>
        <v>0</v>
      </c>
      <c r="S441" s="22" t="e">
        <f>IF(LEN(VLOOKUP(R441,A2:D500,4,FALSE))=0,,VLOOKUP(R441,A2:D500,4,FALSE))</f>
        <v>#N/A</v>
      </c>
      <c r="T441" s="56">
        <f>'Process Model'!P553</f>
        <v>0</v>
      </c>
      <c r="U441" s="22" t="e">
        <f>IF(LEN(VLOOKUP(T441,A2:D500,4,FALSE))=0,,VLOOKUP(T441,A2:D500,4,FALSE))</f>
        <v>#N/A</v>
      </c>
      <c r="V441" s="56">
        <f>'Toxicological reference value M'!P555</f>
        <v>0</v>
      </c>
      <c r="W441" s="22" t="e">
        <f>IF(LEN(VLOOKUP(V441,A2:D500,4,FALSE))=0,,VLOOKUP(V441,A2:D500,4,FALSE))</f>
        <v>#N/A</v>
      </c>
      <c r="Y441" s="56">
        <f>'Other Empirical Model'!P566</f>
        <v>0</v>
      </c>
      <c r="Z441" s="22" t="e">
        <f>IF(LEN(VLOOKUP(Y441,A2:D500,4,FALSE))=0,,VLOOKUP(Y441,A2:D500,4,FALSE))</f>
        <v>#N/A</v>
      </c>
      <c r="AA441" s="56">
        <f>'Predictive Model'!P553</f>
        <v>0</v>
      </c>
      <c r="AB441" s="22" t="e">
        <f>IF(LEN(VLOOKUP(AA441,A2:D500,4,FALSE))=0,,VLOOKUP(AA441,A2:D500,4,FALSE))</f>
        <v>#N/A</v>
      </c>
      <c r="AC441" s="56">
        <f>'Consumption Model'!P558</f>
        <v>0</v>
      </c>
      <c r="AD441" s="22" t="e">
        <f>IF(LEN(VLOOKUP(AC441,A2:D500,4,FALSE))=0,,VLOOKUP(AC441,A2:D500,4,FALSE))</f>
        <v>#N/A</v>
      </c>
      <c r="AE441" s="22">
        <f>'(Data)'!Q554</f>
        <v>0</v>
      </c>
      <c r="AF441" s="22" t="e">
        <f>IF(LEN(VLOOKUP(AE440:AE441,A2:D500,4,FALSE))=0,,VLOOKUP(AE440:AE441,A2:D500,4,FALSE))</f>
        <v>#N/A</v>
      </c>
      <c r="AH441" s="45">
        <f>'Risk Charact Model'!P572</f>
        <v>0</v>
      </c>
      <c r="AI441" s="58" t="e">
        <f>IF(LEN(VLOOKUP(AH441,A2:D500,4,FALSE))=0,,VLOOKUP(AH441,A2:D500,4,FALSE))</f>
        <v>#N/A</v>
      </c>
    </row>
    <row r="442" spans="9:35" ht="14" x14ac:dyDescent="0.3">
      <c r="I442" s="60">
        <f>'Generic Metadata Schema'!P572</f>
        <v>0</v>
      </c>
      <c r="J442" s="22" t="e">
        <f>IF(LEN(VLOOKUP(I442,A2:D500,4,FALSE))=0,"",VLOOKUP(I442,A2:D500,4,FALSE))</f>
        <v>#N/A</v>
      </c>
      <c r="L442" s="56">
        <f>'Dose-response Model'!O556</f>
        <v>0</v>
      </c>
      <c r="M442" s="22" t="e">
        <f>IF(LEN(VLOOKUP(L442,A2:D500,4,FALSE))=0,,VLOOKUP(L442,A2:D500,4,FALSE))</f>
        <v>#N/A</v>
      </c>
      <c r="N442" s="22">
        <f>'Exposure Model'!O573</f>
        <v>0</v>
      </c>
      <c r="O442" s="22" t="e">
        <f>IF(LEN(VLOOKUP(N442,A2:D500,4,FALSE))=0,,VLOOKUP(N442,A2:D500,4,FALSE))</f>
        <v>#N/A</v>
      </c>
      <c r="P442" s="56">
        <f>'QRA Models'!Q573</f>
        <v>0</v>
      </c>
      <c r="Q442" s="22" t="e">
        <f>IF(LEN(VLOOKUP(P442,A2:D500,4,FALSE))=0,,VLOOKUP(P442,A2:D500,4,FALSE))</f>
        <v>#N/A</v>
      </c>
      <c r="R442" s="56">
        <f>'Health metrics Models'!Q556</f>
        <v>0</v>
      </c>
      <c r="S442" s="22" t="e">
        <f>IF(LEN(VLOOKUP(R442,A2:D500,4,FALSE))=0,,VLOOKUP(R442,A2:D500,4,FALSE))</f>
        <v>#N/A</v>
      </c>
      <c r="T442" s="56">
        <f>'Process Model'!P554</f>
        <v>0</v>
      </c>
      <c r="U442" s="22" t="e">
        <f>IF(LEN(VLOOKUP(T442,A2:D500,4,FALSE))=0,,VLOOKUP(T442,A2:D500,4,FALSE))</f>
        <v>#N/A</v>
      </c>
      <c r="V442" s="56">
        <f>'Toxicological reference value M'!P556</f>
        <v>0</v>
      </c>
      <c r="W442" s="22" t="e">
        <f>IF(LEN(VLOOKUP(V442,A2:D500,4,FALSE))=0,,VLOOKUP(V442,A2:D500,4,FALSE))</f>
        <v>#N/A</v>
      </c>
      <c r="Y442" s="56">
        <f>'Other Empirical Model'!P567</f>
        <v>0</v>
      </c>
      <c r="Z442" s="22" t="e">
        <f>IF(LEN(VLOOKUP(Y442,A2:D500,4,FALSE))=0,,VLOOKUP(Y442,A2:D500,4,FALSE))</f>
        <v>#N/A</v>
      </c>
      <c r="AA442" s="56">
        <f>'Predictive Model'!P554</f>
        <v>0</v>
      </c>
      <c r="AB442" s="22" t="e">
        <f>IF(LEN(VLOOKUP(AA442,A2:D500,4,FALSE))=0,,VLOOKUP(AA442,A2:D500,4,FALSE))</f>
        <v>#N/A</v>
      </c>
      <c r="AC442" s="56">
        <f>'Consumption Model'!P559</f>
        <v>0</v>
      </c>
      <c r="AD442" s="22" t="e">
        <f>IF(LEN(VLOOKUP(AC442,A2:D500,4,FALSE))=0,,VLOOKUP(AC442,A2:D500,4,FALSE))</f>
        <v>#N/A</v>
      </c>
      <c r="AE442" s="22">
        <f>'(Data)'!Q555</f>
        <v>0</v>
      </c>
      <c r="AF442" s="22" t="e">
        <f>IF(LEN(VLOOKUP(AE441:AE442,A2:D500,4,FALSE))=0,,VLOOKUP(AE441:AE442,A2:D500,4,FALSE))</f>
        <v>#N/A</v>
      </c>
      <c r="AH442" s="45">
        <f>'Risk Charact Model'!P573</f>
        <v>0</v>
      </c>
      <c r="AI442" s="58" t="e">
        <f>IF(LEN(VLOOKUP(AH442,A2:D500,4,FALSE))=0,,VLOOKUP(AH442,A2:D500,4,FALSE))</f>
        <v>#N/A</v>
      </c>
    </row>
    <row r="443" spans="9:35" ht="14" x14ac:dyDescent="0.3">
      <c r="I443" s="60">
        <f>'Generic Metadata Schema'!P573</f>
        <v>0</v>
      </c>
      <c r="J443" s="22" t="e">
        <f>IF(LEN(VLOOKUP(I443,A2:D500,4,FALSE))=0,"",VLOOKUP(I443,A2:D500,4,FALSE))</f>
        <v>#N/A</v>
      </c>
      <c r="L443" s="56">
        <f>'Dose-response Model'!O557</f>
        <v>0</v>
      </c>
      <c r="M443" s="22" t="e">
        <f>IF(LEN(VLOOKUP(L443,A2:D500,4,FALSE))=0,,VLOOKUP(L443,A2:D500,4,FALSE))</f>
        <v>#N/A</v>
      </c>
      <c r="N443" s="22">
        <f>'Exposure Model'!O574</f>
        <v>0</v>
      </c>
      <c r="O443" s="22" t="e">
        <f>IF(LEN(VLOOKUP(N443,A2:D500,4,FALSE))=0,,VLOOKUP(N443,A2:D500,4,FALSE))</f>
        <v>#N/A</v>
      </c>
      <c r="P443" s="56">
        <f>'QRA Models'!Q574</f>
        <v>0</v>
      </c>
      <c r="Q443" s="22" t="e">
        <f>IF(LEN(VLOOKUP(P443,A2:D500,4,FALSE))=0,,VLOOKUP(P443,A2:D500,4,FALSE))</f>
        <v>#N/A</v>
      </c>
      <c r="R443" s="56">
        <f>'Health metrics Models'!Q557</f>
        <v>0</v>
      </c>
      <c r="S443" s="22" t="e">
        <f>IF(LEN(VLOOKUP(R443,A2:D500,4,FALSE))=0,,VLOOKUP(R443,A2:D500,4,FALSE))</f>
        <v>#N/A</v>
      </c>
      <c r="T443" s="56">
        <f>'Process Model'!P555</f>
        <v>0</v>
      </c>
      <c r="U443" s="22" t="e">
        <f>IF(LEN(VLOOKUP(T443,A2:D500,4,FALSE))=0,,VLOOKUP(T443,A2:D500,4,FALSE))</f>
        <v>#N/A</v>
      </c>
      <c r="V443" s="56">
        <f>'Toxicological reference value M'!P557</f>
        <v>0</v>
      </c>
      <c r="W443" s="22" t="e">
        <f>IF(LEN(VLOOKUP(V443,A2:D500,4,FALSE))=0,,VLOOKUP(V443,A2:D500,4,FALSE))</f>
        <v>#N/A</v>
      </c>
      <c r="Y443" s="56">
        <f>'Other Empirical Model'!P568</f>
        <v>0</v>
      </c>
      <c r="Z443" s="22" t="e">
        <f>IF(LEN(VLOOKUP(Y443,A2:D500,4,FALSE))=0,,VLOOKUP(Y443,A2:D500,4,FALSE))</f>
        <v>#N/A</v>
      </c>
      <c r="AA443" s="56">
        <f>'Predictive Model'!P555</f>
        <v>0</v>
      </c>
      <c r="AB443" s="22" t="e">
        <f>IF(LEN(VLOOKUP(AA443,A2:D500,4,FALSE))=0,,VLOOKUP(AA443,A2:D500,4,FALSE))</f>
        <v>#N/A</v>
      </c>
      <c r="AC443" s="56">
        <f>'Consumption Model'!P560</f>
        <v>0</v>
      </c>
      <c r="AD443" s="22" t="e">
        <f>IF(LEN(VLOOKUP(AC443,A2:D500,4,FALSE))=0,,VLOOKUP(AC443,A2:D500,4,FALSE))</f>
        <v>#N/A</v>
      </c>
      <c r="AE443" s="22">
        <f>'(Data)'!Q556</f>
        <v>0</v>
      </c>
      <c r="AF443" s="22" t="e">
        <f>IF(LEN(VLOOKUP(AE442:AE443,A2:D500,4,FALSE))=0,,VLOOKUP(AE442:AE443,A2:D500,4,FALSE))</f>
        <v>#N/A</v>
      </c>
      <c r="AH443" s="45">
        <f>'Risk Charact Model'!P574</f>
        <v>0</v>
      </c>
      <c r="AI443" s="58" t="e">
        <f>IF(LEN(VLOOKUP(AH443,A2:D500,4,FALSE))=0,,VLOOKUP(AH443,A2:D500,4,FALSE))</f>
        <v>#N/A</v>
      </c>
    </row>
    <row r="444" spans="9:35" ht="14" x14ac:dyDescent="0.3">
      <c r="I444" s="60">
        <f>'Generic Metadata Schema'!P574</f>
        <v>0</v>
      </c>
      <c r="J444" s="22" t="e">
        <f>IF(LEN(VLOOKUP(I444,A2:D500,4,FALSE))=0,"",VLOOKUP(I444,A2:D500,4,FALSE))</f>
        <v>#N/A</v>
      </c>
      <c r="L444" s="56">
        <f>'Dose-response Model'!O558</f>
        <v>0</v>
      </c>
      <c r="M444" s="22" t="e">
        <f>IF(LEN(VLOOKUP(L444,A2:D500,4,FALSE))=0,,VLOOKUP(L444,A2:D500,4,FALSE))</f>
        <v>#N/A</v>
      </c>
      <c r="N444" s="22">
        <f>'Exposure Model'!O575</f>
        <v>0</v>
      </c>
      <c r="O444" s="22" t="e">
        <f>IF(LEN(VLOOKUP(N444,A2:D500,4,FALSE))=0,,VLOOKUP(N444,A2:D500,4,FALSE))</f>
        <v>#N/A</v>
      </c>
      <c r="P444" s="56">
        <f>'QRA Models'!Q575</f>
        <v>0</v>
      </c>
      <c r="Q444" s="22" t="e">
        <f>IF(LEN(VLOOKUP(P444,A2:D500,4,FALSE))=0,,VLOOKUP(P444,A2:D500,4,FALSE))</f>
        <v>#N/A</v>
      </c>
      <c r="R444" s="56">
        <f>'Health metrics Models'!Q558</f>
        <v>0</v>
      </c>
      <c r="S444" s="22" t="e">
        <f>IF(LEN(VLOOKUP(R444,A2:D500,4,FALSE))=0,,VLOOKUP(R444,A2:D500,4,FALSE))</f>
        <v>#N/A</v>
      </c>
      <c r="T444" s="56">
        <f>'Process Model'!P556</f>
        <v>0</v>
      </c>
      <c r="U444" s="22" t="e">
        <f>IF(LEN(VLOOKUP(T444,A2:D500,4,FALSE))=0,,VLOOKUP(T444,A2:D500,4,FALSE))</f>
        <v>#N/A</v>
      </c>
      <c r="V444" s="56">
        <f>'Toxicological reference value M'!P558</f>
        <v>0</v>
      </c>
      <c r="W444" s="22" t="e">
        <f>IF(LEN(VLOOKUP(V444,A2:D500,4,FALSE))=0,,VLOOKUP(V444,A2:D500,4,FALSE))</f>
        <v>#N/A</v>
      </c>
      <c r="Y444" s="56">
        <f>'Other Empirical Model'!P569</f>
        <v>0</v>
      </c>
      <c r="Z444" s="22" t="e">
        <f>IF(LEN(VLOOKUP(Y444,A2:D500,4,FALSE))=0,,VLOOKUP(Y444,A2:D500,4,FALSE))</f>
        <v>#N/A</v>
      </c>
      <c r="AA444" s="56">
        <f>'Predictive Model'!P556</f>
        <v>0</v>
      </c>
      <c r="AB444" s="22" t="e">
        <f>IF(LEN(VLOOKUP(AA444,A2:D500,4,FALSE))=0,,VLOOKUP(AA444,A2:D500,4,FALSE))</f>
        <v>#N/A</v>
      </c>
      <c r="AC444" s="56">
        <f>'Consumption Model'!P561</f>
        <v>0</v>
      </c>
      <c r="AD444" s="22" t="e">
        <f>IF(LEN(VLOOKUP(AC444,A2:D500,4,FALSE))=0,,VLOOKUP(AC444,A2:D500,4,FALSE))</f>
        <v>#N/A</v>
      </c>
      <c r="AE444" s="22">
        <f>'(Data)'!Q557</f>
        <v>0</v>
      </c>
      <c r="AF444" s="22" t="e">
        <f>IF(LEN(VLOOKUP(AE443:AE444,A2:D500,4,FALSE))=0,,VLOOKUP(AE443:AE444,A2:D500,4,FALSE))</f>
        <v>#N/A</v>
      </c>
      <c r="AH444" s="45">
        <f>'Risk Charact Model'!P575</f>
        <v>0</v>
      </c>
      <c r="AI444" s="58" t="e">
        <f>IF(LEN(VLOOKUP(AH444,A2:D500,4,FALSE))=0,,VLOOKUP(AH444,A2:D500,4,FALSE))</f>
        <v>#N/A</v>
      </c>
    </row>
    <row r="445" spans="9:35" ht="14" x14ac:dyDescent="0.3">
      <c r="I445" s="60">
        <f>'Generic Metadata Schema'!P575</f>
        <v>0</v>
      </c>
      <c r="J445" s="22" t="e">
        <f>IF(LEN(VLOOKUP(I445,A2:D500,4,FALSE))=0,"",VLOOKUP(I445,A2:D500,4,FALSE))</f>
        <v>#N/A</v>
      </c>
      <c r="L445" s="56">
        <f>'Dose-response Model'!O559</f>
        <v>0</v>
      </c>
      <c r="M445" s="22" t="e">
        <f>IF(LEN(VLOOKUP(L445,A2:D500,4,FALSE))=0,,VLOOKUP(L445,A2:D500,4,FALSE))</f>
        <v>#N/A</v>
      </c>
      <c r="N445" s="22">
        <f>'Exposure Model'!O576</f>
        <v>0</v>
      </c>
      <c r="O445" s="22" t="e">
        <f>IF(LEN(VLOOKUP(N445,A2:D500,4,FALSE))=0,,VLOOKUP(N445,A2:D500,4,FALSE))</f>
        <v>#N/A</v>
      </c>
      <c r="P445" s="56">
        <f>'QRA Models'!Q576</f>
        <v>0</v>
      </c>
      <c r="Q445" s="22" t="e">
        <f>IF(LEN(VLOOKUP(P445,A2:D500,4,FALSE))=0,,VLOOKUP(P445,A2:D500,4,FALSE))</f>
        <v>#N/A</v>
      </c>
      <c r="R445" s="56">
        <f>'Health metrics Models'!Q559</f>
        <v>0</v>
      </c>
      <c r="S445" s="22" t="e">
        <f>IF(LEN(VLOOKUP(R445,A2:D500,4,FALSE))=0,,VLOOKUP(R445,A2:D500,4,FALSE))</f>
        <v>#N/A</v>
      </c>
      <c r="T445" s="56">
        <f>'Process Model'!P557</f>
        <v>0</v>
      </c>
      <c r="U445" s="22" t="e">
        <f>IF(LEN(VLOOKUP(T445,A2:D500,4,FALSE))=0,,VLOOKUP(T445,A2:D500,4,FALSE))</f>
        <v>#N/A</v>
      </c>
      <c r="V445" s="56">
        <f>'Toxicological reference value M'!P559</f>
        <v>0</v>
      </c>
      <c r="W445" s="22" t="e">
        <f>IF(LEN(VLOOKUP(V445,A2:D500,4,FALSE))=0,,VLOOKUP(V445,A2:D500,4,FALSE))</f>
        <v>#N/A</v>
      </c>
      <c r="Y445" s="56">
        <f>'Other Empirical Model'!P570</f>
        <v>0</v>
      </c>
      <c r="Z445" s="22" t="e">
        <f>IF(LEN(VLOOKUP(Y445,A2:D500,4,FALSE))=0,,VLOOKUP(Y445,A2:D500,4,FALSE))</f>
        <v>#N/A</v>
      </c>
      <c r="AA445" s="56">
        <f>'Predictive Model'!P557</f>
        <v>0</v>
      </c>
      <c r="AB445" s="22" t="e">
        <f>IF(LEN(VLOOKUP(AA445,A2:D500,4,FALSE))=0,,VLOOKUP(AA445,A2:D500,4,FALSE))</f>
        <v>#N/A</v>
      </c>
      <c r="AC445" s="56">
        <f>'Consumption Model'!P562</f>
        <v>0</v>
      </c>
      <c r="AD445" s="22" t="e">
        <f>IF(LEN(VLOOKUP(AC445,A2:D500,4,FALSE))=0,,VLOOKUP(AC445,A2:D500,4,FALSE))</f>
        <v>#N/A</v>
      </c>
      <c r="AE445" s="22">
        <f>'(Data)'!Q558</f>
        <v>0</v>
      </c>
      <c r="AF445" s="22" t="e">
        <f>IF(LEN(VLOOKUP(AE444:AE445,A2:D500,4,FALSE))=0,,VLOOKUP(AE444:AE445,A2:D500,4,FALSE))</f>
        <v>#N/A</v>
      </c>
      <c r="AH445" s="45">
        <f>'Risk Charact Model'!P576</f>
        <v>0</v>
      </c>
      <c r="AI445" s="58" t="e">
        <f>IF(LEN(VLOOKUP(AH445,A2:D500,4,FALSE))=0,,VLOOKUP(AH445,A2:D500,4,FALSE))</f>
        <v>#N/A</v>
      </c>
    </row>
    <row r="446" spans="9:35" ht="14" x14ac:dyDescent="0.3">
      <c r="I446" s="60">
        <f>'Generic Metadata Schema'!P576</f>
        <v>0</v>
      </c>
      <c r="J446" s="22" t="e">
        <f>IF(LEN(VLOOKUP(I446,A2:D500,4,FALSE))=0,"",VLOOKUP(I446,A2:D500,4,FALSE))</f>
        <v>#N/A</v>
      </c>
      <c r="L446" s="56">
        <f>'Dose-response Model'!O560</f>
        <v>0</v>
      </c>
      <c r="M446" s="22" t="e">
        <f>IF(LEN(VLOOKUP(L446,A2:D500,4,FALSE))=0,,VLOOKUP(L446,A2:D500,4,FALSE))</f>
        <v>#N/A</v>
      </c>
      <c r="N446" s="22">
        <f>'Exposure Model'!O577</f>
        <v>0</v>
      </c>
      <c r="O446" s="22" t="e">
        <f>IF(LEN(VLOOKUP(N446,A2:D500,4,FALSE))=0,,VLOOKUP(N446,A2:D500,4,FALSE))</f>
        <v>#N/A</v>
      </c>
      <c r="P446" s="56">
        <f>'QRA Models'!Q577</f>
        <v>0</v>
      </c>
      <c r="Q446" s="22" t="e">
        <f>IF(LEN(VLOOKUP(P446,A2:D500,4,FALSE))=0,,VLOOKUP(P446,A2:D500,4,FALSE))</f>
        <v>#N/A</v>
      </c>
      <c r="R446" s="56">
        <f>'Health metrics Models'!Q560</f>
        <v>0</v>
      </c>
      <c r="S446" s="22" t="e">
        <f>IF(LEN(VLOOKUP(R446,A2:D500,4,FALSE))=0,,VLOOKUP(R446,A2:D500,4,FALSE))</f>
        <v>#N/A</v>
      </c>
      <c r="T446" s="56">
        <f>'Process Model'!P558</f>
        <v>0</v>
      </c>
      <c r="U446" s="22" t="e">
        <f>IF(LEN(VLOOKUP(T446,A2:D500,4,FALSE))=0,,VLOOKUP(T446,A2:D500,4,FALSE))</f>
        <v>#N/A</v>
      </c>
      <c r="V446" s="56">
        <f>'Toxicological reference value M'!P560</f>
        <v>0</v>
      </c>
      <c r="W446" s="22" t="e">
        <f>IF(LEN(VLOOKUP(V446,A2:D500,4,FALSE))=0,,VLOOKUP(V446,A2:D500,4,FALSE))</f>
        <v>#N/A</v>
      </c>
      <c r="Y446" s="56">
        <f>'Other Empirical Model'!P571</f>
        <v>0</v>
      </c>
      <c r="Z446" s="22" t="e">
        <f>IF(LEN(VLOOKUP(Y446,A2:D500,4,FALSE))=0,,VLOOKUP(Y446,A2:D500,4,FALSE))</f>
        <v>#N/A</v>
      </c>
      <c r="AA446" s="56">
        <f>'Predictive Model'!P558</f>
        <v>0</v>
      </c>
      <c r="AB446" s="22" t="e">
        <f>IF(LEN(VLOOKUP(AA446,A2:D500,4,FALSE))=0,,VLOOKUP(AA446,A2:D500,4,FALSE))</f>
        <v>#N/A</v>
      </c>
      <c r="AC446" s="56">
        <f>'Consumption Model'!P563</f>
        <v>0</v>
      </c>
      <c r="AD446" s="22" t="e">
        <f>IF(LEN(VLOOKUP(AC446,A2:D500,4,FALSE))=0,,VLOOKUP(AC446,A2:D500,4,FALSE))</f>
        <v>#N/A</v>
      </c>
      <c r="AE446" s="22">
        <f>'(Data)'!Q559</f>
        <v>0</v>
      </c>
      <c r="AF446" s="22" t="e">
        <f>IF(LEN(VLOOKUP(AE445:AE446,A2:D500,4,FALSE))=0,,VLOOKUP(AE445:AE446,A2:D500,4,FALSE))</f>
        <v>#N/A</v>
      </c>
      <c r="AH446" s="45">
        <f>'Risk Charact Model'!P577</f>
        <v>0</v>
      </c>
      <c r="AI446" s="58" t="e">
        <f>IF(LEN(VLOOKUP(AH446,A2:D500,4,FALSE))=0,,VLOOKUP(AH446,A2:D500,4,FALSE))</f>
        <v>#N/A</v>
      </c>
    </row>
    <row r="447" spans="9:35" ht="14" x14ac:dyDescent="0.3">
      <c r="I447" s="60">
        <f>'Generic Metadata Schema'!P577</f>
        <v>0</v>
      </c>
      <c r="J447" s="22" t="e">
        <f>IF(LEN(VLOOKUP(I447,A2:D500,4,FALSE))=0,"",VLOOKUP(I447,A2:D500,4,FALSE))</f>
        <v>#N/A</v>
      </c>
      <c r="L447" s="56">
        <f>'Dose-response Model'!O561</f>
        <v>0</v>
      </c>
      <c r="M447" s="22" t="e">
        <f>IF(LEN(VLOOKUP(L447,A2:D500,4,FALSE))=0,,VLOOKUP(L447,A2:D500,4,FALSE))</f>
        <v>#N/A</v>
      </c>
      <c r="N447" s="22">
        <f>'Exposure Model'!O578</f>
        <v>0</v>
      </c>
      <c r="O447" s="22" t="e">
        <f>IF(LEN(VLOOKUP(N447,A2:D500,4,FALSE))=0,,VLOOKUP(N447,A2:D500,4,FALSE))</f>
        <v>#N/A</v>
      </c>
      <c r="P447" s="56">
        <f>'QRA Models'!Q578</f>
        <v>0</v>
      </c>
      <c r="Q447" s="22" t="e">
        <f>IF(LEN(VLOOKUP(P447,A2:D500,4,FALSE))=0,,VLOOKUP(P447,A2:D500,4,FALSE))</f>
        <v>#N/A</v>
      </c>
      <c r="R447" s="56">
        <f>'Health metrics Models'!Q561</f>
        <v>0</v>
      </c>
      <c r="S447" s="22" t="e">
        <f>IF(LEN(VLOOKUP(R447,A2:D500,4,FALSE))=0,,VLOOKUP(R447,A2:D500,4,FALSE))</f>
        <v>#N/A</v>
      </c>
      <c r="T447" s="56">
        <f>'Process Model'!P559</f>
        <v>0</v>
      </c>
      <c r="U447" s="22" t="e">
        <f>IF(LEN(VLOOKUP(T447,A2:D500,4,FALSE))=0,,VLOOKUP(T447,A2:D500,4,FALSE))</f>
        <v>#N/A</v>
      </c>
      <c r="V447" s="56">
        <f>'Toxicological reference value M'!P561</f>
        <v>0</v>
      </c>
      <c r="W447" s="22" t="e">
        <f>IF(LEN(VLOOKUP(V447,A2:D500,4,FALSE))=0,,VLOOKUP(V447,A2:D500,4,FALSE))</f>
        <v>#N/A</v>
      </c>
      <c r="Y447" s="56">
        <f>'Other Empirical Model'!P572</f>
        <v>0</v>
      </c>
      <c r="Z447" s="22" t="e">
        <f>IF(LEN(VLOOKUP(Y447,A2:D500,4,FALSE))=0,,VLOOKUP(Y447,A2:D500,4,FALSE))</f>
        <v>#N/A</v>
      </c>
      <c r="AA447" s="56">
        <f>'Predictive Model'!P559</f>
        <v>0</v>
      </c>
      <c r="AB447" s="22" t="e">
        <f>IF(LEN(VLOOKUP(AA447,A2:D500,4,FALSE))=0,,VLOOKUP(AA447,A2:D500,4,FALSE))</f>
        <v>#N/A</v>
      </c>
      <c r="AC447" s="56">
        <f>'Consumption Model'!P564</f>
        <v>0</v>
      </c>
      <c r="AD447" s="22" t="e">
        <f>IF(LEN(VLOOKUP(AC447,A2:D500,4,FALSE))=0,,VLOOKUP(AC447,A2:D500,4,FALSE))</f>
        <v>#N/A</v>
      </c>
      <c r="AE447" s="22">
        <f>'(Data)'!Q560</f>
        <v>0</v>
      </c>
      <c r="AF447" s="22" t="e">
        <f>IF(LEN(VLOOKUP(AE446:AE447,A2:D500,4,FALSE))=0,,VLOOKUP(AE446:AE447,A2:D500,4,FALSE))</f>
        <v>#N/A</v>
      </c>
      <c r="AH447" s="45">
        <f>'Risk Charact Model'!P578</f>
        <v>0</v>
      </c>
      <c r="AI447" s="58" t="e">
        <f>IF(LEN(VLOOKUP(AH447,A2:D500,4,FALSE))=0,,VLOOKUP(AH447,A2:D500,4,FALSE))</f>
        <v>#N/A</v>
      </c>
    </row>
    <row r="448" spans="9:35" ht="14" x14ac:dyDescent="0.3">
      <c r="I448" s="60">
        <f>'Generic Metadata Schema'!P578</f>
        <v>0</v>
      </c>
      <c r="J448" s="22" t="e">
        <f>IF(LEN(VLOOKUP(I448,A2:D500,4,FALSE))=0,"",VLOOKUP(I448,A2:D500,4,FALSE))</f>
        <v>#N/A</v>
      </c>
      <c r="L448" s="56">
        <f>'Dose-response Model'!O562</f>
        <v>0</v>
      </c>
      <c r="M448" s="22" t="e">
        <f>IF(LEN(VLOOKUP(L448,A2:D500,4,FALSE))=0,,VLOOKUP(L448,A2:D500,4,FALSE))</f>
        <v>#N/A</v>
      </c>
      <c r="N448" s="22">
        <f>'Exposure Model'!O579</f>
        <v>0</v>
      </c>
      <c r="O448" s="22" t="e">
        <f>IF(LEN(VLOOKUP(N448,A2:D500,4,FALSE))=0,,VLOOKUP(N448,A2:D500,4,FALSE))</f>
        <v>#N/A</v>
      </c>
      <c r="P448" s="56">
        <f>'QRA Models'!Q579</f>
        <v>0</v>
      </c>
      <c r="Q448" s="22" t="e">
        <f>IF(LEN(VLOOKUP(P448,A2:D500,4,FALSE))=0,,VLOOKUP(P448,A2:D500,4,FALSE))</f>
        <v>#N/A</v>
      </c>
      <c r="R448" s="56">
        <f>'Health metrics Models'!Q562</f>
        <v>0</v>
      </c>
      <c r="S448" s="22" t="e">
        <f>IF(LEN(VLOOKUP(R448,A2:D500,4,FALSE))=0,,VLOOKUP(R448,A2:D500,4,FALSE))</f>
        <v>#N/A</v>
      </c>
      <c r="T448" s="56">
        <f>'Process Model'!P560</f>
        <v>0</v>
      </c>
      <c r="U448" s="22" t="e">
        <f>IF(LEN(VLOOKUP(T448,A2:D500,4,FALSE))=0,,VLOOKUP(T448,A2:D500,4,FALSE))</f>
        <v>#N/A</v>
      </c>
      <c r="V448" s="56">
        <f>'Toxicological reference value M'!P562</f>
        <v>0</v>
      </c>
      <c r="W448" s="22" t="e">
        <f>IF(LEN(VLOOKUP(V448,A2:D500,4,FALSE))=0,,VLOOKUP(V448,A2:D500,4,FALSE))</f>
        <v>#N/A</v>
      </c>
      <c r="Y448" s="56">
        <f>'Other Empirical Model'!P573</f>
        <v>0</v>
      </c>
      <c r="Z448" s="22" t="e">
        <f>IF(LEN(VLOOKUP(Y448,A2:D500,4,FALSE))=0,,VLOOKUP(Y448,A2:D500,4,FALSE))</f>
        <v>#N/A</v>
      </c>
      <c r="AA448" s="56">
        <f>'Predictive Model'!P560</f>
        <v>0</v>
      </c>
      <c r="AB448" s="22" t="e">
        <f>IF(LEN(VLOOKUP(AA448,A2:D500,4,FALSE))=0,,VLOOKUP(AA448,A2:D500,4,FALSE))</f>
        <v>#N/A</v>
      </c>
      <c r="AC448" s="56">
        <f>'Consumption Model'!P565</f>
        <v>0</v>
      </c>
      <c r="AD448" s="22" t="e">
        <f>IF(LEN(VLOOKUP(AC448,A2:D500,4,FALSE))=0,,VLOOKUP(AC448,A2:D500,4,FALSE))</f>
        <v>#N/A</v>
      </c>
      <c r="AE448" s="22">
        <f>'(Data)'!Q561</f>
        <v>0</v>
      </c>
      <c r="AF448" s="22" t="e">
        <f>IF(LEN(VLOOKUP(AE447:AE448,A2:D500,4,FALSE))=0,,VLOOKUP(AE447:AE448,A2:D500,4,FALSE))</f>
        <v>#N/A</v>
      </c>
      <c r="AH448" s="45">
        <f>'Risk Charact Model'!P579</f>
        <v>0</v>
      </c>
      <c r="AI448" s="58" t="e">
        <f>IF(LEN(VLOOKUP(AH448,A2:D500,4,FALSE))=0,,VLOOKUP(AH448,A2:D500,4,FALSE))</f>
        <v>#N/A</v>
      </c>
    </row>
    <row r="449" spans="9:35" ht="14" x14ac:dyDescent="0.3">
      <c r="I449" s="60">
        <f>'Generic Metadata Schema'!P579</f>
        <v>0</v>
      </c>
      <c r="J449" s="22" t="e">
        <f>IF(LEN(VLOOKUP(I449,A2:D500,4,FALSE))=0,"",VLOOKUP(I449,A2:D500,4,FALSE))</f>
        <v>#N/A</v>
      </c>
      <c r="L449" s="56">
        <f>'Dose-response Model'!O563</f>
        <v>0</v>
      </c>
      <c r="M449" s="22" t="e">
        <f>IF(LEN(VLOOKUP(L449,A2:D500,4,FALSE))=0,,VLOOKUP(L449,A2:D500,4,FALSE))</f>
        <v>#N/A</v>
      </c>
      <c r="N449" s="22">
        <f>'Exposure Model'!O580</f>
        <v>0</v>
      </c>
      <c r="O449" s="22" t="e">
        <f>IF(LEN(VLOOKUP(N449,A2:D500,4,FALSE))=0,,VLOOKUP(N449,A2:D500,4,FALSE))</f>
        <v>#N/A</v>
      </c>
      <c r="P449" s="56">
        <f>'QRA Models'!Q580</f>
        <v>0</v>
      </c>
      <c r="Q449" s="22" t="e">
        <f>IF(LEN(VLOOKUP(P449,A2:D500,4,FALSE))=0,,VLOOKUP(P449,A2:D500,4,FALSE))</f>
        <v>#N/A</v>
      </c>
      <c r="R449" s="56">
        <f>'Health metrics Models'!Q563</f>
        <v>0</v>
      </c>
      <c r="S449" s="22" t="e">
        <f>IF(LEN(VLOOKUP(R449,A2:D500,4,FALSE))=0,,VLOOKUP(R449,A2:D500,4,FALSE))</f>
        <v>#N/A</v>
      </c>
      <c r="T449" s="56">
        <f>'Process Model'!P561</f>
        <v>0</v>
      </c>
      <c r="U449" s="22" t="e">
        <f>IF(LEN(VLOOKUP(T449,A2:D500,4,FALSE))=0,,VLOOKUP(T449,A2:D500,4,FALSE))</f>
        <v>#N/A</v>
      </c>
      <c r="V449" s="56">
        <f>'Toxicological reference value M'!P563</f>
        <v>0</v>
      </c>
      <c r="W449" s="22" t="e">
        <f>IF(LEN(VLOOKUP(V449,A2:D500,4,FALSE))=0,,VLOOKUP(V449,A2:D500,4,FALSE))</f>
        <v>#N/A</v>
      </c>
      <c r="Y449" s="56">
        <f>'Other Empirical Model'!P574</f>
        <v>0</v>
      </c>
      <c r="Z449" s="22" t="e">
        <f>IF(LEN(VLOOKUP(Y449,A2:D500,4,FALSE))=0,,VLOOKUP(Y449,A2:D500,4,FALSE))</f>
        <v>#N/A</v>
      </c>
      <c r="AA449" s="56">
        <f>'Predictive Model'!P561</f>
        <v>0</v>
      </c>
      <c r="AB449" s="22" t="e">
        <f>IF(LEN(VLOOKUP(AA449,A2:D500,4,FALSE))=0,,VLOOKUP(AA449,A2:D500,4,FALSE))</f>
        <v>#N/A</v>
      </c>
      <c r="AC449" s="56">
        <f>'Consumption Model'!P566</f>
        <v>0</v>
      </c>
      <c r="AD449" s="22" t="e">
        <f>IF(LEN(VLOOKUP(AC449,A2:D500,4,FALSE))=0,,VLOOKUP(AC449,A2:D500,4,FALSE))</f>
        <v>#N/A</v>
      </c>
      <c r="AE449" s="22">
        <f>'(Data)'!Q562</f>
        <v>0</v>
      </c>
      <c r="AF449" s="22" t="e">
        <f>IF(LEN(VLOOKUP(AE448:AE449,A2:D500,4,FALSE))=0,,VLOOKUP(AE448:AE449,A2:D500,4,FALSE))</f>
        <v>#N/A</v>
      </c>
      <c r="AH449" s="45">
        <f>'Risk Charact Model'!P580</f>
        <v>0</v>
      </c>
      <c r="AI449" s="58" t="e">
        <f>IF(LEN(VLOOKUP(AH449,A2:D500,4,FALSE))=0,,VLOOKUP(AH449,A2:D500,4,FALSE))</f>
        <v>#N/A</v>
      </c>
    </row>
    <row r="450" spans="9:35" ht="14" x14ac:dyDescent="0.3">
      <c r="I450" s="60">
        <f>'Generic Metadata Schema'!P580</f>
        <v>0</v>
      </c>
      <c r="J450" s="22" t="e">
        <f>IF(LEN(VLOOKUP(I450,A2:D500,4,FALSE))=0,"",VLOOKUP(I450,A2:D500,4,FALSE))</f>
        <v>#N/A</v>
      </c>
      <c r="L450" s="56">
        <f>'Dose-response Model'!O564</f>
        <v>0</v>
      </c>
      <c r="M450" s="22" t="e">
        <f>IF(LEN(VLOOKUP(L450,A2:D500,4,FALSE))=0,,VLOOKUP(L450,A2:D500,4,FALSE))</f>
        <v>#N/A</v>
      </c>
      <c r="N450" s="22">
        <f>'Exposure Model'!O581</f>
        <v>0</v>
      </c>
      <c r="O450" s="22" t="e">
        <f>IF(LEN(VLOOKUP(N450,A2:D500,4,FALSE))=0,,VLOOKUP(N450,A2:D500,4,FALSE))</f>
        <v>#N/A</v>
      </c>
      <c r="P450" s="56">
        <f>'QRA Models'!Q581</f>
        <v>0</v>
      </c>
      <c r="Q450" s="22" t="e">
        <f>IF(LEN(VLOOKUP(P450,A2:D500,4,FALSE))=0,,VLOOKUP(P450,A2:D500,4,FALSE))</f>
        <v>#N/A</v>
      </c>
      <c r="R450" s="56">
        <f>'Health metrics Models'!Q564</f>
        <v>0</v>
      </c>
      <c r="S450" s="22" t="e">
        <f>IF(LEN(VLOOKUP(R450,A2:D500,4,FALSE))=0,,VLOOKUP(R450,A2:D500,4,FALSE))</f>
        <v>#N/A</v>
      </c>
      <c r="T450" s="56">
        <f>'Process Model'!P562</f>
        <v>0</v>
      </c>
      <c r="U450" s="22" t="e">
        <f>IF(LEN(VLOOKUP(T450,A2:D500,4,FALSE))=0,,VLOOKUP(T450,A2:D500,4,FALSE))</f>
        <v>#N/A</v>
      </c>
      <c r="V450" s="56">
        <f>'Toxicological reference value M'!P564</f>
        <v>0</v>
      </c>
      <c r="W450" s="22" t="e">
        <f>IF(LEN(VLOOKUP(V450,A2:D500,4,FALSE))=0,,VLOOKUP(V450,A2:D500,4,FALSE))</f>
        <v>#N/A</v>
      </c>
      <c r="Y450" s="56">
        <f>'Other Empirical Model'!P575</f>
        <v>0</v>
      </c>
      <c r="Z450" s="22" t="e">
        <f>IF(LEN(VLOOKUP(Y450,A2:D500,4,FALSE))=0,,VLOOKUP(Y450,A2:D500,4,FALSE))</f>
        <v>#N/A</v>
      </c>
      <c r="AA450" s="56">
        <f>'Predictive Model'!P562</f>
        <v>0</v>
      </c>
      <c r="AB450" s="22" t="e">
        <f>IF(LEN(VLOOKUP(AA450,A2:D500,4,FALSE))=0,,VLOOKUP(AA450,A2:D500,4,FALSE))</f>
        <v>#N/A</v>
      </c>
      <c r="AC450" s="56">
        <f>'Consumption Model'!P567</f>
        <v>0</v>
      </c>
      <c r="AD450" s="22" t="e">
        <f>IF(LEN(VLOOKUP(AC450,A2:D500,4,FALSE))=0,,VLOOKUP(AC450,A2:D500,4,FALSE))</f>
        <v>#N/A</v>
      </c>
      <c r="AE450" s="22">
        <f>'(Data)'!Q563</f>
        <v>0</v>
      </c>
      <c r="AF450" s="22" t="e">
        <f>IF(LEN(VLOOKUP(AE449:AE450,A2:D500,4,FALSE))=0,,VLOOKUP(AE449:AE450,A2:D500,4,FALSE))</f>
        <v>#N/A</v>
      </c>
      <c r="AH450" s="45">
        <f>'Risk Charact Model'!P581</f>
        <v>0</v>
      </c>
      <c r="AI450" s="58" t="e">
        <f>IF(LEN(VLOOKUP(AH450,A2:D500,4,FALSE))=0,,VLOOKUP(AH450,A2:D500,4,FALSE))</f>
        <v>#N/A</v>
      </c>
    </row>
    <row r="451" spans="9:35" ht="14" x14ac:dyDescent="0.3">
      <c r="I451" s="60">
        <f>'Generic Metadata Schema'!P581</f>
        <v>0</v>
      </c>
      <c r="J451" s="22" t="e">
        <f>IF(LEN(VLOOKUP(I451,A2:D500,4,FALSE))=0,"",VLOOKUP(I451,A2:D500,4,FALSE))</f>
        <v>#N/A</v>
      </c>
      <c r="L451" s="56">
        <f>'Dose-response Model'!O565</f>
        <v>0</v>
      </c>
      <c r="M451" s="22" t="e">
        <f>IF(LEN(VLOOKUP(L451,A2:D500,4,FALSE))=0,,VLOOKUP(L451,A2:D500,4,FALSE))</f>
        <v>#N/A</v>
      </c>
      <c r="N451" s="22">
        <f>'Exposure Model'!O582</f>
        <v>0</v>
      </c>
      <c r="O451" s="22" t="e">
        <f>IF(LEN(VLOOKUP(N451,A2:D500,4,FALSE))=0,,VLOOKUP(N451,A2:D500,4,FALSE))</f>
        <v>#N/A</v>
      </c>
      <c r="P451" s="56">
        <f>'QRA Models'!Q582</f>
        <v>0</v>
      </c>
      <c r="Q451" s="22" t="e">
        <f>IF(LEN(VLOOKUP(P451,A2:D500,4,FALSE))=0,,VLOOKUP(P451,A2:D500,4,FALSE))</f>
        <v>#N/A</v>
      </c>
      <c r="R451" s="56">
        <f>'Health metrics Models'!Q565</f>
        <v>0</v>
      </c>
      <c r="S451" s="22" t="e">
        <f>IF(LEN(VLOOKUP(R451,A2:D500,4,FALSE))=0,,VLOOKUP(R451,A2:D500,4,FALSE))</f>
        <v>#N/A</v>
      </c>
      <c r="T451" s="56">
        <f>'Process Model'!P563</f>
        <v>0</v>
      </c>
      <c r="U451" s="22" t="e">
        <f>IF(LEN(VLOOKUP(T451,A2:D500,4,FALSE))=0,,VLOOKUP(T451,A2:D500,4,FALSE))</f>
        <v>#N/A</v>
      </c>
      <c r="V451" s="56">
        <f>'Toxicological reference value M'!P565</f>
        <v>0</v>
      </c>
      <c r="W451" s="22" t="e">
        <f>IF(LEN(VLOOKUP(V451,A2:D500,4,FALSE))=0,,VLOOKUP(V451,A2:D500,4,FALSE))</f>
        <v>#N/A</v>
      </c>
      <c r="Y451" s="56">
        <f>'Other Empirical Model'!P576</f>
        <v>0</v>
      </c>
      <c r="Z451" s="22" t="e">
        <f>IF(LEN(VLOOKUP(Y451,A2:D500,4,FALSE))=0,,VLOOKUP(Y451,A2:D500,4,FALSE))</f>
        <v>#N/A</v>
      </c>
      <c r="AA451" s="56">
        <f>'Predictive Model'!P563</f>
        <v>0</v>
      </c>
      <c r="AB451" s="22" t="e">
        <f>IF(LEN(VLOOKUP(AA451,A2:D500,4,FALSE))=0,,VLOOKUP(AA451,A2:D500,4,FALSE))</f>
        <v>#N/A</v>
      </c>
      <c r="AC451" s="56">
        <f>'Consumption Model'!P568</f>
        <v>0</v>
      </c>
      <c r="AD451" s="22" t="e">
        <f>IF(LEN(VLOOKUP(AC451,A2:D500,4,FALSE))=0,,VLOOKUP(AC451,A2:D500,4,FALSE))</f>
        <v>#N/A</v>
      </c>
      <c r="AE451" s="22">
        <f>'(Data)'!Q564</f>
        <v>0</v>
      </c>
      <c r="AF451" s="22" t="e">
        <f>IF(LEN(VLOOKUP(AE450:AE451,A2:D500,4,FALSE))=0,,VLOOKUP(AE450:AE451,A2:D500,4,FALSE))</f>
        <v>#N/A</v>
      </c>
      <c r="AH451" s="45">
        <f>'Risk Charact Model'!P582</f>
        <v>0</v>
      </c>
      <c r="AI451" s="58" t="e">
        <f>IF(LEN(VLOOKUP(AH451,A2:D500,4,FALSE))=0,,VLOOKUP(AH451,A2:D500,4,FALSE))</f>
        <v>#N/A</v>
      </c>
    </row>
    <row r="452" spans="9:35" ht="14" x14ac:dyDescent="0.3">
      <c r="I452" s="60">
        <f>'Generic Metadata Schema'!P582</f>
        <v>0</v>
      </c>
      <c r="J452" s="22" t="e">
        <f>IF(LEN(VLOOKUP(I452,A2:D500,4,FALSE))=0,"",VLOOKUP(I452,A2:D500,4,FALSE))</f>
        <v>#N/A</v>
      </c>
      <c r="L452" s="56">
        <f>'Dose-response Model'!O566</f>
        <v>0</v>
      </c>
      <c r="M452" s="22" t="e">
        <f>IF(LEN(VLOOKUP(L452,A2:D500,4,FALSE))=0,,VLOOKUP(L452,A2:D500,4,FALSE))</f>
        <v>#N/A</v>
      </c>
      <c r="N452" s="22">
        <f>'Exposure Model'!O583</f>
        <v>0</v>
      </c>
      <c r="O452" s="22" t="e">
        <f>IF(LEN(VLOOKUP(N452,A2:D500,4,FALSE))=0,,VLOOKUP(N452,A2:D500,4,FALSE))</f>
        <v>#N/A</v>
      </c>
      <c r="P452" s="56">
        <f>'QRA Models'!Q583</f>
        <v>0</v>
      </c>
      <c r="Q452" s="22" t="e">
        <f>IF(LEN(VLOOKUP(P452,A2:D500,4,FALSE))=0,,VLOOKUP(P452,A2:D500,4,FALSE))</f>
        <v>#N/A</v>
      </c>
      <c r="R452" s="56">
        <f>'Health metrics Models'!Q566</f>
        <v>0</v>
      </c>
      <c r="S452" s="22" t="e">
        <f>IF(LEN(VLOOKUP(R452,A2:D500,4,FALSE))=0,,VLOOKUP(R452,A2:D500,4,FALSE))</f>
        <v>#N/A</v>
      </c>
      <c r="T452" s="56">
        <f>'Process Model'!P564</f>
        <v>0</v>
      </c>
      <c r="U452" s="22" t="e">
        <f>IF(LEN(VLOOKUP(T452,A2:D500,4,FALSE))=0,,VLOOKUP(T452,A2:D500,4,FALSE))</f>
        <v>#N/A</v>
      </c>
      <c r="V452" s="56">
        <f>'Toxicological reference value M'!P566</f>
        <v>0</v>
      </c>
      <c r="W452" s="22" t="e">
        <f>IF(LEN(VLOOKUP(V452,A2:D500,4,FALSE))=0,,VLOOKUP(V452,A2:D500,4,FALSE))</f>
        <v>#N/A</v>
      </c>
      <c r="Y452" s="56">
        <f>'Other Empirical Model'!P577</f>
        <v>0</v>
      </c>
      <c r="Z452" s="22" t="e">
        <f>IF(LEN(VLOOKUP(Y452,A2:D500,4,FALSE))=0,,VLOOKUP(Y452,A2:D500,4,FALSE))</f>
        <v>#N/A</v>
      </c>
      <c r="AA452" s="56">
        <f>'Predictive Model'!P564</f>
        <v>0</v>
      </c>
      <c r="AB452" s="22" t="e">
        <f>IF(LEN(VLOOKUP(AA452,A2:D500,4,FALSE))=0,,VLOOKUP(AA452,A2:D500,4,FALSE))</f>
        <v>#N/A</v>
      </c>
      <c r="AC452" s="56">
        <f>'Consumption Model'!P569</f>
        <v>0</v>
      </c>
      <c r="AD452" s="22" t="e">
        <f>IF(LEN(VLOOKUP(AC452,A2:D500,4,FALSE))=0,,VLOOKUP(AC452,A2:D500,4,FALSE))</f>
        <v>#N/A</v>
      </c>
      <c r="AE452" s="22">
        <f>'(Data)'!Q565</f>
        <v>0</v>
      </c>
      <c r="AF452" s="22" t="e">
        <f>IF(LEN(VLOOKUP(AE451:AE452,A2:D500,4,FALSE))=0,,VLOOKUP(AE451:AE452,A2:D500,4,FALSE))</f>
        <v>#N/A</v>
      </c>
      <c r="AH452" s="45">
        <f>'Risk Charact Model'!P583</f>
        <v>0</v>
      </c>
      <c r="AI452" s="58" t="e">
        <f>IF(LEN(VLOOKUP(AH452,A2:D500,4,FALSE))=0,,VLOOKUP(AH452,A2:D500,4,FALSE))</f>
        <v>#N/A</v>
      </c>
    </row>
    <row r="453" spans="9:35" ht="14" x14ac:dyDescent="0.3">
      <c r="I453" s="60">
        <f>'Generic Metadata Schema'!P583</f>
        <v>0</v>
      </c>
      <c r="J453" s="22" t="e">
        <f>IF(LEN(VLOOKUP(I453,A2:D500,4,FALSE))=0,"",VLOOKUP(I453,A2:D500,4,FALSE))</f>
        <v>#N/A</v>
      </c>
      <c r="L453" s="56">
        <f>'Dose-response Model'!O567</f>
        <v>0</v>
      </c>
      <c r="M453" s="22" t="e">
        <f>IF(LEN(VLOOKUP(L453,A2:D500,4,FALSE))=0,,VLOOKUP(L453,A2:D500,4,FALSE))</f>
        <v>#N/A</v>
      </c>
      <c r="N453" s="22">
        <f>'Exposure Model'!O584</f>
        <v>0</v>
      </c>
      <c r="O453" s="22" t="e">
        <f>IF(LEN(VLOOKUP(N453,A2:D500,4,FALSE))=0,,VLOOKUP(N453,A2:D500,4,FALSE))</f>
        <v>#N/A</v>
      </c>
      <c r="P453" s="56">
        <f>'QRA Models'!Q584</f>
        <v>0</v>
      </c>
      <c r="Q453" s="22" t="e">
        <f>IF(LEN(VLOOKUP(P453,A2:D500,4,FALSE))=0,,VLOOKUP(P453,A2:D500,4,FALSE))</f>
        <v>#N/A</v>
      </c>
      <c r="R453" s="56">
        <f>'Health metrics Models'!Q567</f>
        <v>0</v>
      </c>
      <c r="S453" s="22" t="e">
        <f>IF(LEN(VLOOKUP(R453,A2:D500,4,FALSE))=0,,VLOOKUP(R453,A2:D500,4,FALSE))</f>
        <v>#N/A</v>
      </c>
      <c r="T453" s="56">
        <f>'Process Model'!P565</f>
        <v>0</v>
      </c>
      <c r="U453" s="22" t="e">
        <f>IF(LEN(VLOOKUP(T453,A2:D500,4,FALSE))=0,,VLOOKUP(T453,A2:D500,4,FALSE))</f>
        <v>#N/A</v>
      </c>
      <c r="V453" s="56">
        <f>'Toxicological reference value M'!P567</f>
        <v>0</v>
      </c>
      <c r="W453" s="22" t="e">
        <f>IF(LEN(VLOOKUP(V453,A2:D500,4,FALSE))=0,,VLOOKUP(V453,A2:D500,4,FALSE))</f>
        <v>#N/A</v>
      </c>
      <c r="Y453" s="56">
        <f>'Other Empirical Model'!P578</f>
        <v>0</v>
      </c>
      <c r="Z453" s="22" t="e">
        <f>IF(LEN(VLOOKUP(Y453,A2:D500,4,FALSE))=0,,VLOOKUP(Y453,A2:D500,4,FALSE))</f>
        <v>#N/A</v>
      </c>
      <c r="AA453" s="56">
        <f>'Predictive Model'!P565</f>
        <v>0</v>
      </c>
      <c r="AB453" s="22" t="e">
        <f>IF(LEN(VLOOKUP(AA453,A2:D500,4,FALSE))=0,,VLOOKUP(AA453,A2:D500,4,FALSE))</f>
        <v>#N/A</v>
      </c>
      <c r="AC453" s="56">
        <f>'Consumption Model'!P570</f>
        <v>0</v>
      </c>
      <c r="AD453" s="22" t="e">
        <f>IF(LEN(VLOOKUP(AC453,A2:D500,4,FALSE))=0,,VLOOKUP(AC453,A2:D500,4,FALSE))</f>
        <v>#N/A</v>
      </c>
      <c r="AE453" s="22">
        <f>'(Data)'!Q566</f>
        <v>0</v>
      </c>
      <c r="AF453" s="22" t="e">
        <f>IF(LEN(VLOOKUP(AE452:AE453,A2:D500,4,FALSE))=0,,VLOOKUP(AE452:AE453,A2:D500,4,FALSE))</f>
        <v>#N/A</v>
      </c>
      <c r="AH453" s="45">
        <f>'Risk Charact Model'!P584</f>
        <v>0</v>
      </c>
      <c r="AI453" s="58" t="e">
        <f>IF(LEN(VLOOKUP(AH453,A2:D500,4,FALSE))=0,,VLOOKUP(AH453,A2:D500,4,FALSE))</f>
        <v>#N/A</v>
      </c>
    </row>
    <row r="454" spans="9:35" ht="14" x14ac:dyDescent="0.3">
      <c r="I454" s="60">
        <f>'Generic Metadata Schema'!P584</f>
        <v>0</v>
      </c>
      <c r="J454" s="22" t="e">
        <f>IF(LEN(VLOOKUP(I454,A2:D500,4,FALSE))=0,"",VLOOKUP(I454,A2:D500,4,FALSE))</f>
        <v>#N/A</v>
      </c>
      <c r="L454" s="56">
        <f>'Dose-response Model'!O568</f>
        <v>0</v>
      </c>
      <c r="M454" s="22" t="e">
        <f>IF(LEN(VLOOKUP(L454,A2:D500,4,FALSE))=0,,VLOOKUP(L454,A2:D500,4,FALSE))</f>
        <v>#N/A</v>
      </c>
      <c r="N454" s="22">
        <f>'Exposure Model'!O585</f>
        <v>0</v>
      </c>
      <c r="O454" s="22" t="e">
        <f>IF(LEN(VLOOKUP(N454,A2:D500,4,FALSE))=0,,VLOOKUP(N454,A2:D500,4,FALSE))</f>
        <v>#N/A</v>
      </c>
      <c r="P454" s="56">
        <f>'QRA Models'!Q585</f>
        <v>0</v>
      </c>
      <c r="Q454" s="22" t="e">
        <f>IF(LEN(VLOOKUP(P454,A2:D500,4,FALSE))=0,,VLOOKUP(P454,A2:D500,4,FALSE))</f>
        <v>#N/A</v>
      </c>
      <c r="R454" s="56">
        <f>'Health metrics Models'!Q568</f>
        <v>0</v>
      </c>
      <c r="S454" s="22" t="e">
        <f>IF(LEN(VLOOKUP(R454,A2:D500,4,FALSE))=0,,VLOOKUP(R454,A2:D500,4,FALSE))</f>
        <v>#N/A</v>
      </c>
      <c r="T454" s="56">
        <f>'Process Model'!P566</f>
        <v>0</v>
      </c>
      <c r="U454" s="22" t="e">
        <f>IF(LEN(VLOOKUP(T454,A2:D500,4,FALSE))=0,,VLOOKUP(T454,A2:D500,4,FALSE))</f>
        <v>#N/A</v>
      </c>
      <c r="V454" s="56">
        <f>'Toxicological reference value M'!P568</f>
        <v>0</v>
      </c>
      <c r="W454" s="22" t="e">
        <f>IF(LEN(VLOOKUP(V454,A2:D500,4,FALSE))=0,,VLOOKUP(V454,A2:D500,4,FALSE))</f>
        <v>#N/A</v>
      </c>
      <c r="Y454" s="56">
        <f>'Other Empirical Model'!P579</f>
        <v>0</v>
      </c>
      <c r="Z454" s="22" t="e">
        <f>IF(LEN(VLOOKUP(Y454,A2:D500,4,FALSE))=0,,VLOOKUP(Y454,A2:D500,4,FALSE))</f>
        <v>#N/A</v>
      </c>
      <c r="AA454" s="56">
        <f>'Predictive Model'!P566</f>
        <v>0</v>
      </c>
      <c r="AB454" s="22" t="e">
        <f>IF(LEN(VLOOKUP(AA454,A2:D500,4,FALSE))=0,,VLOOKUP(AA454,A2:D500,4,FALSE))</f>
        <v>#N/A</v>
      </c>
      <c r="AC454" s="56">
        <f>'Consumption Model'!P571</f>
        <v>0</v>
      </c>
      <c r="AD454" s="22" t="e">
        <f>IF(LEN(VLOOKUP(AC454,A2:D500,4,FALSE))=0,,VLOOKUP(AC454,A2:D500,4,FALSE))</f>
        <v>#N/A</v>
      </c>
      <c r="AE454" s="22">
        <f>'(Data)'!Q567</f>
        <v>0</v>
      </c>
      <c r="AF454" s="22" t="e">
        <f>IF(LEN(VLOOKUP(AE453:AE454,A2:D500,4,FALSE))=0,,VLOOKUP(AE453:AE454,A2:D500,4,FALSE))</f>
        <v>#N/A</v>
      </c>
      <c r="AH454" s="45">
        <f>'Risk Charact Model'!P585</f>
        <v>0</v>
      </c>
      <c r="AI454" s="58" t="e">
        <f>IF(LEN(VLOOKUP(AH454,A2:D500,4,FALSE))=0,,VLOOKUP(AH454,A2:D500,4,FALSE))</f>
        <v>#N/A</v>
      </c>
    </row>
    <row r="455" spans="9:35" ht="14" x14ac:dyDescent="0.3">
      <c r="I455" s="60">
        <f>'Generic Metadata Schema'!P585</f>
        <v>0</v>
      </c>
      <c r="J455" s="22" t="e">
        <f>IF(LEN(VLOOKUP(I455,A2:D500,4,FALSE))=0,"",VLOOKUP(I455,A2:D500,4,FALSE))</f>
        <v>#N/A</v>
      </c>
      <c r="L455" s="56">
        <f>'Dose-response Model'!O569</f>
        <v>0</v>
      </c>
      <c r="M455" s="22" t="e">
        <f>IF(LEN(VLOOKUP(L455,A2:D500,4,FALSE))=0,,VLOOKUP(L455,A2:D500,4,FALSE))</f>
        <v>#N/A</v>
      </c>
      <c r="N455" s="22">
        <f>'Exposure Model'!O586</f>
        <v>0</v>
      </c>
      <c r="O455" s="22" t="e">
        <f>IF(LEN(VLOOKUP(N455,A2:D500,4,FALSE))=0,,VLOOKUP(N455,A2:D500,4,FALSE))</f>
        <v>#N/A</v>
      </c>
      <c r="P455" s="56">
        <f>'QRA Models'!Q586</f>
        <v>0</v>
      </c>
      <c r="Q455" s="22" t="e">
        <f>IF(LEN(VLOOKUP(P455,A2:D500,4,FALSE))=0,,VLOOKUP(P455,A2:D500,4,FALSE))</f>
        <v>#N/A</v>
      </c>
      <c r="R455" s="56">
        <f>'Health metrics Models'!Q569</f>
        <v>0</v>
      </c>
      <c r="S455" s="22" t="e">
        <f>IF(LEN(VLOOKUP(R455,A2:D500,4,FALSE))=0,,VLOOKUP(R455,A2:D500,4,FALSE))</f>
        <v>#N/A</v>
      </c>
      <c r="T455" s="56">
        <f>'Process Model'!P567</f>
        <v>0</v>
      </c>
      <c r="U455" s="22" t="e">
        <f>IF(LEN(VLOOKUP(T455,A2:D500,4,FALSE))=0,,VLOOKUP(T455,A2:D500,4,FALSE))</f>
        <v>#N/A</v>
      </c>
      <c r="V455" s="56">
        <f>'Toxicological reference value M'!P569</f>
        <v>0</v>
      </c>
      <c r="W455" s="22" t="e">
        <f>IF(LEN(VLOOKUP(V455,A2:D500,4,FALSE))=0,,VLOOKUP(V455,A2:D500,4,FALSE))</f>
        <v>#N/A</v>
      </c>
      <c r="Y455" s="56">
        <f>'Other Empirical Model'!P580</f>
        <v>0</v>
      </c>
      <c r="Z455" s="22" t="e">
        <f>IF(LEN(VLOOKUP(Y455,A2:D500,4,FALSE))=0,,VLOOKUP(Y455,A2:D500,4,FALSE))</f>
        <v>#N/A</v>
      </c>
      <c r="AA455" s="56">
        <f>'Predictive Model'!P567</f>
        <v>0</v>
      </c>
      <c r="AB455" s="22" t="e">
        <f>IF(LEN(VLOOKUP(AA455,A2:D500,4,FALSE))=0,,VLOOKUP(AA455,A2:D500,4,FALSE))</f>
        <v>#N/A</v>
      </c>
      <c r="AC455" s="56">
        <f>'Consumption Model'!P572</f>
        <v>0</v>
      </c>
      <c r="AD455" s="22" t="e">
        <f>IF(LEN(VLOOKUP(AC455,A2:D500,4,FALSE))=0,,VLOOKUP(AC455,A2:D500,4,FALSE))</f>
        <v>#N/A</v>
      </c>
      <c r="AE455" s="22">
        <f>'(Data)'!Q568</f>
        <v>0</v>
      </c>
      <c r="AF455" s="22" t="e">
        <f>IF(LEN(VLOOKUP(AE454:AE455,A2:D500,4,FALSE))=0,,VLOOKUP(AE454:AE455,A2:D500,4,FALSE))</f>
        <v>#N/A</v>
      </c>
      <c r="AH455" s="45">
        <f>'Risk Charact Model'!P586</f>
        <v>0</v>
      </c>
      <c r="AI455" s="58" t="e">
        <f>IF(LEN(VLOOKUP(AH455,A2:D500,4,FALSE))=0,,VLOOKUP(AH455,A2:D500,4,FALSE))</f>
        <v>#N/A</v>
      </c>
    </row>
    <row r="456" spans="9:35" ht="14" x14ac:dyDescent="0.3">
      <c r="I456" s="60">
        <f>'Generic Metadata Schema'!P586</f>
        <v>0</v>
      </c>
      <c r="J456" s="22" t="e">
        <f>IF(LEN(VLOOKUP(I456,A2:D500,4,FALSE))=0,"",VLOOKUP(I456,A2:D500,4,FALSE))</f>
        <v>#N/A</v>
      </c>
      <c r="L456" s="56">
        <f>'Dose-response Model'!O570</f>
        <v>0</v>
      </c>
      <c r="M456" s="22" t="e">
        <f>IF(LEN(VLOOKUP(L456,A2:D500,4,FALSE))=0,,VLOOKUP(L456,A2:D500,4,FALSE))</f>
        <v>#N/A</v>
      </c>
      <c r="N456" s="22">
        <f>'Exposure Model'!O587</f>
        <v>0</v>
      </c>
      <c r="O456" s="22" t="e">
        <f>IF(LEN(VLOOKUP(N456,A2:D500,4,FALSE))=0,,VLOOKUP(N456,A2:D500,4,FALSE))</f>
        <v>#N/A</v>
      </c>
      <c r="P456" s="56">
        <f>'QRA Models'!Q587</f>
        <v>0</v>
      </c>
      <c r="Q456" s="22" t="e">
        <f>IF(LEN(VLOOKUP(P456,A2:D500,4,FALSE))=0,,VLOOKUP(P456,A2:D500,4,FALSE))</f>
        <v>#N/A</v>
      </c>
      <c r="R456" s="56">
        <f>'Health metrics Models'!Q570</f>
        <v>0</v>
      </c>
      <c r="S456" s="22" t="e">
        <f>IF(LEN(VLOOKUP(R456,A2:D500,4,FALSE))=0,,VLOOKUP(R456,A2:D500,4,FALSE))</f>
        <v>#N/A</v>
      </c>
      <c r="T456" s="56">
        <f>'Process Model'!P568</f>
        <v>0</v>
      </c>
      <c r="U456" s="22" t="e">
        <f>IF(LEN(VLOOKUP(T456,A2:D500,4,FALSE))=0,,VLOOKUP(T456,A2:D500,4,FALSE))</f>
        <v>#N/A</v>
      </c>
      <c r="V456" s="56">
        <f>'Toxicological reference value M'!P570</f>
        <v>0</v>
      </c>
      <c r="W456" s="22" t="e">
        <f>IF(LEN(VLOOKUP(V456,A2:D500,4,FALSE))=0,,VLOOKUP(V456,A2:D500,4,FALSE))</f>
        <v>#N/A</v>
      </c>
      <c r="Y456" s="56">
        <f>'Other Empirical Model'!P581</f>
        <v>0</v>
      </c>
      <c r="Z456" s="22" t="e">
        <f>IF(LEN(VLOOKUP(Y456,A2:D500,4,FALSE))=0,,VLOOKUP(Y456,A2:D500,4,FALSE))</f>
        <v>#N/A</v>
      </c>
      <c r="AA456" s="56">
        <f>'Predictive Model'!P568</f>
        <v>0</v>
      </c>
      <c r="AB456" s="22" t="e">
        <f>IF(LEN(VLOOKUP(AA456,A2:D500,4,FALSE))=0,,VLOOKUP(AA456,A2:D500,4,FALSE))</f>
        <v>#N/A</v>
      </c>
      <c r="AC456" s="56">
        <f>'Consumption Model'!P573</f>
        <v>0</v>
      </c>
      <c r="AD456" s="22" t="e">
        <f>IF(LEN(VLOOKUP(AC456,A2:D500,4,FALSE))=0,,VLOOKUP(AC456,A2:D500,4,FALSE))</f>
        <v>#N/A</v>
      </c>
      <c r="AE456" s="22">
        <f>'(Data)'!Q569</f>
        <v>0</v>
      </c>
      <c r="AF456" s="22" t="e">
        <f>IF(LEN(VLOOKUP(AE455:AE456,A2:D500,4,FALSE))=0,,VLOOKUP(AE455:AE456,A2:D500,4,FALSE))</f>
        <v>#N/A</v>
      </c>
      <c r="AH456" s="45">
        <f>'Risk Charact Model'!P587</f>
        <v>0</v>
      </c>
      <c r="AI456" s="58" t="e">
        <f>IF(LEN(VLOOKUP(AH456,A2:D500,4,FALSE))=0,,VLOOKUP(AH456,A2:D500,4,FALSE))</f>
        <v>#N/A</v>
      </c>
    </row>
    <row r="457" spans="9:35" ht="14" x14ac:dyDescent="0.3">
      <c r="I457" s="60">
        <f>'Generic Metadata Schema'!P587</f>
        <v>0</v>
      </c>
      <c r="J457" s="22" t="e">
        <f>IF(LEN(VLOOKUP(I457,A2:D500,4,FALSE))=0,"",VLOOKUP(I457,A2:D500,4,FALSE))</f>
        <v>#N/A</v>
      </c>
      <c r="L457" s="56">
        <f>'Dose-response Model'!O571</f>
        <v>0</v>
      </c>
      <c r="M457" s="22" t="e">
        <f>IF(LEN(VLOOKUP(L457,A2:D500,4,FALSE))=0,,VLOOKUP(L457,A2:D500,4,FALSE))</f>
        <v>#N/A</v>
      </c>
      <c r="N457" s="22">
        <f>'Exposure Model'!O588</f>
        <v>0</v>
      </c>
      <c r="O457" s="22" t="e">
        <f>IF(LEN(VLOOKUP(N457,A2:D500,4,FALSE))=0,,VLOOKUP(N457,A2:D500,4,FALSE))</f>
        <v>#N/A</v>
      </c>
      <c r="P457" s="56">
        <f>'QRA Models'!Q588</f>
        <v>0</v>
      </c>
      <c r="Q457" s="22" t="e">
        <f>IF(LEN(VLOOKUP(P457,A2:D500,4,FALSE))=0,,VLOOKUP(P457,A2:D500,4,FALSE))</f>
        <v>#N/A</v>
      </c>
      <c r="R457" s="56">
        <f>'Health metrics Models'!Q571</f>
        <v>0</v>
      </c>
      <c r="S457" s="22" t="e">
        <f>IF(LEN(VLOOKUP(R457,A2:D500,4,FALSE))=0,,VLOOKUP(R457,A2:D500,4,FALSE))</f>
        <v>#N/A</v>
      </c>
      <c r="T457" s="56">
        <f>'Process Model'!P569</f>
        <v>0</v>
      </c>
      <c r="U457" s="22" t="e">
        <f>IF(LEN(VLOOKUP(T457,A2:D500,4,FALSE))=0,,VLOOKUP(T457,A2:D500,4,FALSE))</f>
        <v>#N/A</v>
      </c>
      <c r="V457" s="56">
        <f>'Toxicological reference value M'!P571</f>
        <v>0</v>
      </c>
      <c r="W457" s="22" t="e">
        <f>IF(LEN(VLOOKUP(V457,A2:D500,4,FALSE))=0,,VLOOKUP(V457,A2:D500,4,FALSE))</f>
        <v>#N/A</v>
      </c>
      <c r="Y457" s="56">
        <f>'Other Empirical Model'!P582</f>
        <v>0</v>
      </c>
      <c r="Z457" s="22" t="e">
        <f>IF(LEN(VLOOKUP(Y457,A2:D500,4,FALSE))=0,,VLOOKUP(Y457,A2:D500,4,FALSE))</f>
        <v>#N/A</v>
      </c>
      <c r="AA457" s="56">
        <f>'Predictive Model'!P569</f>
        <v>0</v>
      </c>
      <c r="AB457" s="22" t="e">
        <f>IF(LEN(VLOOKUP(AA457,A2:D500,4,FALSE))=0,,VLOOKUP(AA457,A2:D500,4,FALSE))</f>
        <v>#N/A</v>
      </c>
      <c r="AC457" s="56">
        <f>'Consumption Model'!P574</f>
        <v>0</v>
      </c>
      <c r="AD457" s="22" t="e">
        <f>IF(LEN(VLOOKUP(AC457,A2:D500,4,FALSE))=0,,VLOOKUP(AC457,A2:D500,4,FALSE))</f>
        <v>#N/A</v>
      </c>
      <c r="AE457" s="22">
        <f>'(Data)'!Q570</f>
        <v>0</v>
      </c>
      <c r="AF457" s="22" t="e">
        <f>IF(LEN(VLOOKUP(AE456:AE457,A2:D500,4,FALSE))=0,,VLOOKUP(AE456:AE457,A2:D500,4,FALSE))</f>
        <v>#N/A</v>
      </c>
      <c r="AH457" s="45">
        <f>'Risk Charact Model'!P588</f>
        <v>0</v>
      </c>
      <c r="AI457" s="58" t="e">
        <f>IF(LEN(VLOOKUP(AH457,A2:D500,4,FALSE))=0,,VLOOKUP(AH457,A2:D500,4,FALSE))</f>
        <v>#N/A</v>
      </c>
    </row>
    <row r="458" spans="9:35" ht="14" x14ac:dyDescent="0.3">
      <c r="I458" s="60">
        <f>'Generic Metadata Schema'!P588</f>
        <v>0</v>
      </c>
      <c r="J458" s="22" t="e">
        <f>IF(LEN(VLOOKUP(I458,A2:D500,4,FALSE))=0,"",VLOOKUP(I458,A2:D500,4,FALSE))</f>
        <v>#N/A</v>
      </c>
      <c r="L458" s="56">
        <f>'Dose-response Model'!O572</f>
        <v>0</v>
      </c>
      <c r="M458" s="22" t="e">
        <f>IF(LEN(VLOOKUP(L458,A2:D500,4,FALSE))=0,,VLOOKUP(L458,A2:D500,4,FALSE))</f>
        <v>#N/A</v>
      </c>
      <c r="N458" s="22">
        <f>'Exposure Model'!O589</f>
        <v>0</v>
      </c>
      <c r="O458" s="22" t="e">
        <f>IF(LEN(VLOOKUP(N458,A2:D500,4,FALSE))=0,,VLOOKUP(N458,A2:D500,4,FALSE))</f>
        <v>#N/A</v>
      </c>
      <c r="P458" s="56">
        <f>'QRA Models'!Q589</f>
        <v>0</v>
      </c>
      <c r="Q458" s="22" t="e">
        <f>IF(LEN(VLOOKUP(P458,A2:D500,4,FALSE))=0,,VLOOKUP(P458,A2:D500,4,FALSE))</f>
        <v>#N/A</v>
      </c>
      <c r="R458" s="56">
        <f>'Health metrics Models'!Q572</f>
        <v>0</v>
      </c>
      <c r="S458" s="22" t="e">
        <f>IF(LEN(VLOOKUP(R458,A2:D500,4,FALSE))=0,,VLOOKUP(R458,A2:D500,4,FALSE))</f>
        <v>#N/A</v>
      </c>
      <c r="T458" s="56">
        <f>'Process Model'!P570</f>
        <v>0</v>
      </c>
      <c r="U458" s="22" t="e">
        <f>IF(LEN(VLOOKUP(T458,A2:D500,4,FALSE))=0,,VLOOKUP(T458,A2:D500,4,FALSE))</f>
        <v>#N/A</v>
      </c>
      <c r="V458" s="56">
        <f>'Toxicological reference value M'!P572</f>
        <v>0</v>
      </c>
      <c r="W458" s="22" t="e">
        <f>IF(LEN(VLOOKUP(V458,A2:D500,4,FALSE))=0,,VLOOKUP(V458,A2:D500,4,FALSE))</f>
        <v>#N/A</v>
      </c>
      <c r="Y458" s="56">
        <f>'Other Empirical Model'!P583</f>
        <v>0</v>
      </c>
      <c r="Z458" s="22" t="e">
        <f>IF(LEN(VLOOKUP(Y458,A2:D500,4,FALSE))=0,,VLOOKUP(Y458,A2:D500,4,FALSE))</f>
        <v>#N/A</v>
      </c>
      <c r="AA458" s="56">
        <f>'Predictive Model'!P570</f>
        <v>0</v>
      </c>
      <c r="AB458" s="22" t="e">
        <f>IF(LEN(VLOOKUP(AA458,A2:D500,4,FALSE))=0,,VLOOKUP(AA458,A2:D500,4,FALSE))</f>
        <v>#N/A</v>
      </c>
      <c r="AC458" s="56">
        <f>'Consumption Model'!P575</f>
        <v>0</v>
      </c>
      <c r="AD458" s="22" t="e">
        <f>IF(LEN(VLOOKUP(AC458,A2:D500,4,FALSE))=0,,VLOOKUP(AC458,A2:D500,4,FALSE))</f>
        <v>#N/A</v>
      </c>
      <c r="AE458" s="22">
        <f>'(Data)'!Q571</f>
        <v>0</v>
      </c>
      <c r="AF458" s="22" t="e">
        <f>IF(LEN(VLOOKUP(AE457:AE458,A2:D500,4,FALSE))=0,,VLOOKUP(AE457:AE458,A2:D500,4,FALSE))</f>
        <v>#N/A</v>
      </c>
      <c r="AH458" s="45">
        <f>'Risk Charact Model'!P589</f>
        <v>0</v>
      </c>
      <c r="AI458" s="58" t="e">
        <f>IF(LEN(VLOOKUP(AH458,A2:D500,4,FALSE))=0,,VLOOKUP(AH458,A2:D500,4,FALSE))</f>
        <v>#N/A</v>
      </c>
    </row>
    <row r="459" spans="9:35" ht="14" x14ac:dyDescent="0.3">
      <c r="I459" s="60">
        <f>'Generic Metadata Schema'!P589</f>
        <v>0</v>
      </c>
      <c r="J459" s="22" t="e">
        <f>IF(LEN(VLOOKUP(I459,A2:D500,4,FALSE))=0,"",VLOOKUP(I459,A2:D500,4,FALSE))</f>
        <v>#N/A</v>
      </c>
      <c r="L459" s="56">
        <f>'Dose-response Model'!O573</f>
        <v>0</v>
      </c>
      <c r="M459" s="22" t="e">
        <f>IF(LEN(VLOOKUP(L459,A2:D500,4,FALSE))=0,,VLOOKUP(L459,A2:D500,4,FALSE))</f>
        <v>#N/A</v>
      </c>
      <c r="N459" s="22">
        <f>'Exposure Model'!O590</f>
        <v>0</v>
      </c>
      <c r="O459" s="22" t="e">
        <f>IF(LEN(VLOOKUP(N459,A2:D500,4,FALSE))=0,,VLOOKUP(N459,A2:D500,4,FALSE))</f>
        <v>#N/A</v>
      </c>
      <c r="P459" s="56">
        <f>'QRA Models'!Q590</f>
        <v>0</v>
      </c>
      <c r="Q459" s="22" t="e">
        <f>IF(LEN(VLOOKUP(P459,A2:D500,4,FALSE))=0,,VLOOKUP(P459,A2:D500,4,FALSE))</f>
        <v>#N/A</v>
      </c>
      <c r="R459" s="56">
        <f>'Health metrics Models'!Q573</f>
        <v>0</v>
      </c>
      <c r="S459" s="22" t="e">
        <f>IF(LEN(VLOOKUP(R459,A2:D500,4,FALSE))=0,,VLOOKUP(R459,A2:D500,4,FALSE))</f>
        <v>#N/A</v>
      </c>
      <c r="T459" s="56">
        <f>'Process Model'!P571</f>
        <v>0</v>
      </c>
      <c r="U459" s="22" t="e">
        <f>IF(LEN(VLOOKUP(T459,A2:D500,4,FALSE))=0,,VLOOKUP(T459,A2:D500,4,FALSE))</f>
        <v>#N/A</v>
      </c>
      <c r="V459" s="56">
        <f>'Toxicological reference value M'!P573</f>
        <v>0</v>
      </c>
      <c r="W459" s="22" t="e">
        <f>IF(LEN(VLOOKUP(V459,A2:D500,4,FALSE))=0,,VLOOKUP(V459,A2:D500,4,FALSE))</f>
        <v>#N/A</v>
      </c>
      <c r="Y459" s="56">
        <f>'Other Empirical Model'!P584</f>
        <v>0</v>
      </c>
      <c r="Z459" s="22" t="e">
        <f>IF(LEN(VLOOKUP(Y459,A2:D500,4,FALSE))=0,,VLOOKUP(Y459,A2:D500,4,FALSE))</f>
        <v>#N/A</v>
      </c>
      <c r="AA459" s="56">
        <f>'Predictive Model'!P571</f>
        <v>0</v>
      </c>
      <c r="AB459" s="22" t="e">
        <f>IF(LEN(VLOOKUP(AA459,A2:D500,4,FALSE))=0,,VLOOKUP(AA459,A2:D500,4,FALSE))</f>
        <v>#N/A</v>
      </c>
      <c r="AC459" s="56">
        <f>'Consumption Model'!P576</f>
        <v>0</v>
      </c>
      <c r="AD459" s="22" t="e">
        <f>IF(LEN(VLOOKUP(AC459,A2:D500,4,FALSE))=0,,VLOOKUP(AC459,A2:D500,4,FALSE))</f>
        <v>#N/A</v>
      </c>
      <c r="AE459" s="22">
        <f>'(Data)'!Q572</f>
        <v>0</v>
      </c>
      <c r="AF459" s="22" t="e">
        <f>IF(LEN(VLOOKUP(AE458:AE459,A2:D500,4,FALSE))=0,,VLOOKUP(AE458:AE459,A2:D500,4,FALSE))</f>
        <v>#N/A</v>
      </c>
      <c r="AH459" s="45">
        <f>'Risk Charact Model'!P590</f>
        <v>0</v>
      </c>
      <c r="AI459" s="58" t="e">
        <f>IF(LEN(VLOOKUP(AH459,A2:D500,4,FALSE))=0,,VLOOKUP(AH459,A2:D500,4,FALSE))</f>
        <v>#N/A</v>
      </c>
    </row>
    <row r="460" spans="9:35" ht="14" x14ac:dyDescent="0.3">
      <c r="I460" s="60">
        <f>'Generic Metadata Schema'!P590</f>
        <v>0</v>
      </c>
      <c r="J460" s="22" t="e">
        <f>IF(LEN(VLOOKUP(I460,A2:D500,4,FALSE))=0,"",VLOOKUP(I460,A2:D500,4,FALSE))</f>
        <v>#N/A</v>
      </c>
      <c r="L460" s="56">
        <f>'Dose-response Model'!O574</f>
        <v>0</v>
      </c>
      <c r="M460" s="22" t="e">
        <f>IF(LEN(VLOOKUP(L460,A2:D500,4,FALSE))=0,,VLOOKUP(L460,A2:D500,4,FALSE))</f>
        <v>#N/A</v>
      </c>
      <c r="N460" s="22">
        <f>'Exposure Model'!O591</f>
        <v>0</v>
      </c>
      <c r="O460" s="22" t="e">
        <f>IF(LEN(VLOOKUP(N460,A2:D500,4,FALSE))=0,,VLOOKUP(N460,A2:D500,4,FALSE))</f>
        <v>#N/A</v>
      </c>
      <c r="P460" s="56">
        <f>'QRA Models'!Q591</f>
        <v>0</v>
      </c>
      <c r="Q460" s="22" t="e">
        <f>IF(LEN(VLOOKUP(P460,A2:D500,4,FALSE))=0,,VLOOKUP(P460,A2:D500,4,FALSE))</f>
        <v>#N/A</v>
      </c>
      <c r="R460" s="56">
        <f>'Health metrics Models'!Q574</f>
        <v>0</v>
      </c>
      <c r="S460" s="22" t="e">
        <f>IF(LEN(VLOOKUP(R460,A2:D500,4,FALSE))=0,,VLOOKUP(R460,A2:D500,4,FALSE))</f>
        <v>#N/A</v>
      </c>
      <c r="T460" s="56">
        <f>'Process Model'!P572</f>
        <v>0</v>
      </c>
      <c r="U460" s="22" t="e">
        <f>IF(LEN(VLOOKUP(T460,A2:D500,4,FALSE))=0,,VLOOKUP(T460,A2:D500,4,FALSE))</f>
        <v>#N/A</v>
      </c>
      <c r="V460" s="56">
        <f>'Toxicological reference value M'!P574</f>
        <v>0</v>
      </c>
      <c r="W460" s="22" t="e">
        <f>IF(LEN(VLOOKUP(V460,A2:D500,4,FALSE))=0,,VLOOKUP(V460,A2:D500,4,FALSE))</f>
        <v>#N/A</v>
      </c>
      <c r="Y460" s="56">
        <f>'Other Empirical Model'!P585</f>
        <v>0</v>
      </c>
      <c r="Z460" s="22" t="e">
        <f>IF(LEN(VLOOKUP(Y460,A2:D500,4,FALSE))=0,,VLOOKUP(Y460,A2:D500,4,FALSE))</f>
        <v>#N/A</v>
      </c>
      <c r="AA460" s="56">
        <f>'Predictive Model'!P572</f>
        <v>0</v>
      </c>
      <c r="AB460" s="22" t="e">
        <f>IF(LEN(VLOOKUP(AA460,A2:D500,4,FALSE))=0,,VLOOKUP(AA460,A2:D500,4,FALSE))</f>
        <v>#N/A</v>
      </c>
      <c r="AC460" s="56">
        <f>'Consumption Model'!P577</f>
        <v>0</v>
      </c>
      <c r="AD460" s="22" t="e">
        <f>IF(LEN(VLOOKUP(AC460,A2:D500,4,FALSE))=0,,VLOOKUP(AC460,A2:D500,4,FALSE))</f>
        <v>#N/A</v>
      </c>
      <c r="AE460" s="22">
        <f>'(Data)'!Q573</f>
        <v>0</v>
      </c>
      <c r="AF460" s="22" t="e">
        <f>IF(LEN(VLOOKUP(AE459:AE460,A2:D500,4,FALSE))=0,,VLOOKUP(AE459:AE460,A2:D500,4,FALSE))</f>
        <v>#N/A</v>
      </c>
      <c r="AH460" s="45">
        <f>'Risk Charact Model'!P591</f>
        <v>0</v>
      </c>
      <c r="AI460" s="58" t="e">
        <f>IF(LEN(VLOOKUP(AH460,A2:D500,4,FALSE))=0,,VLOOKUP(AH460,A2:D500,4,FALSE))</f>
        <v>#N/A</v>
      </c>
    </row>
    <row r="461" spans="9:35" ht="14" x14ac:dyDescent="0.3">
      <c r="I461" s="60">
        <f>'Generic Metadata Schema'!P591</f>
        <v>0</v>
      </c>
      <c r="J461" s="22" t="e">
        <f>IF(LEN(VLOOKUP(I461,A2:D500,4,FALSE))=0,"",VLOOKUP(I461,A2:D500,4,FALSE))</f>
        <v>#N/A</v>
      </c>
      <c r="L461" s="56">
        <f>'Dose-response Model'!O575</f>
        <v>0</v>
      </c>
      <c r="M461" s="22" t="e">
        <f>IF(LEN(VLOOKUP(L461,A2:D500,4,FALSE))=0,,VLOOKUP(L461,A2:D500,4,FALSE))</f>
        <v>#N/A</v>
      </c>
      <c r="N461" s="22">
        <f>'Exposure Model'!O592</f>
        <v>0</v>
      </c>
      <c r="O461" s="22" t="e">
        <f>IF(LEN(VLOOKUP(N461,A2:D500,4,FALSE))=0,,VLOOKUP(N461,A2:D500,4,FALSE))</f>
        <v>#N/A</v>
      </c>
      <c r="P461" s="56">
        <f>'QRA Models'!Q592</f>
        <v>0</v>
      </c>
      <c r="Q461" s="22" t="e">
        <f>IF(LEN(VLOOKUP(P461,A2:D500,4,FALSE))=0,,VLOOKUP(P461,A2:D500,4,FALSE))</f>
        <v>#N/A</v>
      </c>
      <c r="R461" s="56">
        <f>'Health metrics Models'!Q575</f>
        <v>0</v>
      </c>
      <c r="S461" s="22" t="e">
        <f>IF(LEN(VLOOKUP(R461,A2:D500,4,FALSE))=0,,VLOOKUP(R461,A2:D500,4,FALSE))</f>
        <v>#N/A</v>
      </c>
      <c r="T461" s="56">
        <f>'Process Model'!P573</f>
        <v>0</v>
      </c>
      <c r="U461" s="22" t="e">
        <f>IF(LEN(VLOOKUP(T461,A2:D500,4,FALSE))=0,,VLOOKUP(T461,A2:D500,4,FALSE))</f>
        <v>#N/A</v>
      </c>
      <c r="V461" s="56">
        <f>'Toxicological reference value M'!P575</f>
        <v>0</v>
      </c>
      <c r="W461" s="22" t="e">
        <f>IF(LEN(VLOOKUP(V461,A2:D500,4,FALSE))=0,,VLOOKUP(V461,A2:D500,4,FALSE))</f>
        <v>#N/A</v>
      </c>
      <c r="Y461" s="56">
        <f>'Other Empirical Model'!P586</f>
        <v>0</v>
      </c>
      <c r="Z461" s="22" t="e">
        <f>IF(LEN(VLOOKUP(Y461,A2:D500,4,FALSE))=0,,VLOOKUP(Y461,A2:D500,4,FALSE))</f>
        <v>#N/A</v>
      </c>
      <c r="AA461" s="56">
        <f>'Predictive Model'!P573</f>
        <v>0</v>
      </c>
      <c r="AB461" s="22" t="e">
        <f>IF(LEN(VLOOKUP(AA461,A2:D500,4,FALSE))=0,,VLOOKUP(AA461,A2:D500,4,FALSE))</f>
        <v>#N/A</v>
      </c>
      <c r="AC461" s="56">
        <f>'Consumption Model'!P578</f>
        <v>0</v>
      </c>
      <c r="AD461" s="22" t="e">
        <f>IF(LEN(VLOOKUP(AC461,A2:D500,4,FALSE))=0,,VLOOKUP(AC461,A2:D500,4,FALSE))</f>
        <v>#N/A</v>
      </c>
      <c r="AE461" s="22">
        <f>'(Data)'!Q574</f>
        <v>0</v>
      </c>
      <c r="AF461" s="22" t="e">
        <f>IF(LEN(VLOOKUP(AE460:AE461,A2:D500,4,FALSE))=0,,VLOOKUP(AE460:AE461,A2:D500,4,FALSE))</f>
        <v>#N/A</v>
      </c>
      <c r="AH461" s="45">
        <f>'Risk Charact Model'!P592</f>
        <v>0</v>
      </c>
      <c r="AI461" s="58" t="e">
        <f>IF(LEN(VLOOKUP(AH461,A2:D500,4,FALSE))=0,,VLOOKUP(AH461,A2:D500,4,FALSE))</f>
        <v>#N/A</v>
      </c>
    </row>
    <row r="462" spans="9:35" ht="14" x14ac:dyDescent="0.3">
      <c r="I462" s="60">
        <f>'Generic Metadata Schema'!P592</f>
        <v>0</v>
      </c>
      <c r="J462" s="22" t="e">
        <f>IF(LEN(VLOOKUP(I462,A2:D500,4,FALSE))=0,"",VLOOKUP(I462,A2:D500,4,FALSE))</f>
        <v>#N/A</v>
      </c>
      <c r="L462" s="56">
        <f>'Dose-response Model'!O576</f>
        <v>0</v>
      </c>
      <c r="M462" s="22" t="e">
        <f>IF(LEN(VLOOKUP(L462,A2:D500,4,FALSE))=0,,VLOOKUP(L462,A2:D500,4,FALSE))</f>
        <v>#N/A</v>
      </c>
      <c r="N462" s="22">
        <f>'Exposure Model'!O593</f>
        <v>0</v>
      </c>
      <c r="O462" s="22" t="e">
        <f>IF(LEN(VLOOKUP(N462,A2:D500,4,FALSE))=0,,VLOOKUP(N462,A2:D500,4,FALSE))</f>
        <v>#N/A</v>
      </c>
      <c r="P462" s="56">
        <f>'QRA Models'!Q593</f>
        <v>0</v>
      </c>
      <c r="Q462" s="22" t="e">
        <f>IF(LEN(VLOOKUP(P462,A2:D500,4,FALSE))=0,,VLOOKUP(P462,A2:D500,4,FALSE))</f>
        <v>#N/A</v>
      </c>
      <c r="R462" s="56">
        <f>'Health metrics Models'!Q576</f>
        <v>0</v>
      </c>
      <c r="S462" s="22" t="e">
        <f>IF(LEN(VLOOKUP(R462,A2:D500,4,FALSE))=0,,VLOOKUP(R462,A2:D500,4,FALSE))</f>
        <v>#N/A</v>
      </c>
      <c r="T462" s="56">
        <f>'Process Model'!P574</f>
        <v>0</v>
      </c>
      <c r="U462" s="22" t="e">
        <f>IF(LEN(VLOOKUP(T462,A2:D500,4,FALSE))=0,,VLOOKUP(T462,A2:D500,4,FALSE))</f>
        <v>#N/A</v>
      </c>
      <c r="V462" s="56">
        <f>'Toxicological reference value M'!P576</f>
        <v>0</v>
      </c>
      <c r="W462" s="22" t="e">
        <f>IF(LEN(VLOOKUP(V462,A2:D500,4,FALSE))=0,,VLOOKUP(V462,A2:D500,4,FALSE))</f>
        <v>#N/A</v>
      </c>
      <c r="Y462" s="56">
        <f>'Other Empirical Model'!P587</f>
        <v>0</v>
      </c>
      <c r="Z462" s="22" t="e">
        <f>IF(LEN(VLOOKUP(Y462,A2:D500,4,FALSE))=0,,VLOOKUP(Y462,A2:D500,4,FALSE))</f>
        <v>#N/A</v>
      </c>
      <c r="AA462" s="56">
        <f>'Predictive Model'!P574</f>
        <v>0</v>
      </c>
      <c r="AB462" s="22" t="e">
        <f>IF(LEN(VLOOKUP(AA462,A2:D500,4,FALSE))=0,,VLOOKUP(AA462,A2:D500,4,FALSE))</f>
        <v>#N/A</v>
      </c>
      <c r="AC462" s="56">
        <f>'Consumption Model'!P579</f>
        <v>0</v>
      </c>
      <c r="AD462" s="22" t="e">
        <f>IF(LEN(VLOOKUP(AC462,A2:D500,4,FALSE))=0,,VLOOKUP(AC462,A2:D500,4,FALSE))</f>
        <v>#N/A</v>
      </c>
      <c r="AE462" s="22">
        <f>'(Data)'!Q575</f>
        <v>0</v>
      </c>
      <c r="AF462" s="22" t="e">
        <f>IF(LEN(VLOOKUP(AE461:AE462,A2:D500,4,FALSE))=0,,VLOOKUP(AE461:AE462,A2:D500,4,FALSE))</f>
        <v>#N/A</v>
      </c>
      <c r="AH462" s="45">
        <f>'Risk Charact Model'!P593</f>
        <v>0</v>
      </c>
      <c r="AI462" s="58" t="e">
        <f>IF(LEN(VLOOKUP(AH462,A2:D500,4,FALSE))=0,,VLOOKUP(AH462,A2:D500,4,FALSE))</f>
        <v>#N/A</v>
      </c>
    </row>
    <row r="463" spans="9:35" ht="14" x14ac:dyDescent="0.3">
      <c r="I463" s="60">
        <f>'Generic Metadata Schema'!P593</f>
        <v>0</v>
      </c>
      <c r="J463" s="22" t="e">
        <f>IF(LEN(VLOOKUP(I463,A2:D500,4,FALSE))=0,"",VLOOKUP(I463,A2:D500,4,FALSE))</f>
        <v>#N/A</v>
      </c>
      <c r="L463" s="56">
        <f>'Dose-response Model'!O577</f>
        <v>0</v>
      </c>
      <c r="M463" s="22" t="e">
        <f>IF(LEN(VLOOKUP(L463,A2:D500,4,FALSE))=0,,VLOOKUP(L463,A2:D500,4,FALSE))</f>
        <v>#N/A</v>
      </c>
      <c r="N463" s="22">
        <f>'Exposure Model'!O594</f>
        <v>0</v>
      </c>
      <c r="O463" s="22" t="e">
        <f>IF(LEN(VLOOKUP(N463,A2:D500,4,FALSE))=0,,VLOOKUP(N463,A2:D500,4,FALSE))</f>
        <v>#N/A</v>
      </c>
      <c r="P463" s="56">
        <f>'QRA Models'!Q594</f>
        <v>0</v>
      </c>
      <c r="Q463" s="22" t="e">
        <f>IF(LEN(VLOOKUP(P463,A2:D500,4,FALSE))=0,,VLOOKUP(P463,A2:D500,4,FALSE))</f>
        <v>#N/A</v>
      </c>
      <c r="R463" s="56">
        <f>'Health metrics Models'!Q577</f>
        <v>0</v>
      </c>
      <c r="S463" s="22" t="e">
        <f>IF(LEN(VLOOKUP(R463,A2:D500,4,FALSE))=0,,VLOOKUP(R463,A2:D500,4,FALSE))</f>
        <v>#N/A</v>
      </c>
      <c r="T463" s="56">
        <f>'Process Model'!P575</f>
        <v>0</v>
      </c>
      <c r="U463" s="22" t="e">
        <f>IF(LEN(VLOOKUP(T463,A2:D500,4,FALSE))=0,,VLOOKUP(T463,A2:D500,4,FALSE))</f>
        <v>#N/A</v>
      </c>
      <c r="V463" s="56">
        <f>'Toxicological reference value M'!P577</f>
        <v>0</v>
      </c>
      <c r="W463" s="22" t="e">
        <f>IF(LEN(VLOOKUP(V463,A2:D500,4,FALSE))=0,,VLOOKUP(V463,A2:D500,4,FALSE))</f>
        <v>#N/A</v>
      </c>
      <c r="Y463" s="56">
        <f>'Other Empirical Model'!P588</f>
        <v>0</v>
      </c>
      <c r="Z463" s="22" t="e">
        <f>IF(LEN(VLOOKUP(Y463,A2:D500,4,FALSE))=0,,VLOOKUP(Y463,A2:D500,4,FALSE))</f>
        <v>#N/A</v>
      </c>
      <c r="AA463" s="56">
        <f>'Predictive Model'!P575</f>
        <v>0</v>
      </c>
      <c r="AB463" s="22" t="e">
        <f>IF(LEN(VLOOKUP(AA463,A2:D500,4,FALSE))=0,,VLOOKUP(AA463,A2:D500,4,FALSE))</f>
        <v>#N/A</v>
      </c>
      <c r="AC463" s="56">
        <f>'Consumption Model'!P580</f>
        <v>0</v>
      </c>
      <c r="AD463" s="22" t="e">
        <f>IF(LEN(VLOOKUP(AC463,A2:D500,4,FALSE))=0,,VLOOKUP(AC463,A2:D500,4,FALSE))</f>
        <v>#N/A</v>
      </c>
      <c r="AE463" s="22">
        <f>'(Data)'!Q576</f>
        <v>0</v>
      </c>
      <c r="AF463" s="22" t="e">
        <f>IF(LEN(VLOOKUP(AE462:AE463,A2:D500,4,FALSE))=0,,VLOOKUP(AE462:AE463,A2:D500,4,FALSE))</f>
        <v>#N/A</v>
      </c>
      <c r="AH463" s="45">
        <f>'Risk Charact Model'!P594</f>
        <v>0</v>
      </c>
      <c r="AI463" s="58" t="e">
        <f>IF(LEN(VLOOKUP(AH463,A2:D500,4,FALSE))=0,,VLOOKUP(AH463,A2:D500,4,FALSE))</f>
        <v>#N/A</v>
      </c>
    </row>
    <row r="464" spans="9:35" ht="14" x14ac:dyDescent="0.3">
      <c r="I464" s="60">
        <f>'Generic Metadata Schema'!P594</f>
        <v>0</v>
      </c>
      <c r="J464" s="22" t="e">
        <f>IF(LEN(VLOOKUP(I464,A2:D500,4,FALSE))=0,"",VLOOKUP(I464,A2:D500,4,FALSE))</f>
        <v>#N/A</v>
      </c>
      <c r="L464" s="56">
        <f>'Dose-response Model'!O578</f>
        <v>0</v>
      </c>
      <c r="M464" s="22" t="e">
        <f>IF(LEN(VLOOKUP(L464,A2:D500,4,FALSE))=0,,VLOOKUP(L464,A2:D500,4,FALSE))</f>
        <v>#N/A</v>
      </c>
      <c r="N464" s="22">
        <f>'Exposure Model'!O595</f>
        <v>0</v>
      </c>
      <c r="O464" s="22" t="e">
        <f>IF(LEN(VLOOKUP(N464,A2:D500,4,FALSE))=0,,VLOOKUP(N464,A2:D500,4,FALSE))</f>
        <v>#N/A</v>
      </c>
      <c r="P464" s="56">
        <f>'QRA Models'!Q595</f>
        <v>0</v>
      </c>
      <c r="Q464" s="22" t="e">
        <f>IF(LEN(VLOOKUP(P464,A2:D500,4,FALSE))=0,,VLOOKUP(P464,A2:D500,4,FALSE))</f>
        <v>#N/A</v>
      </c>
      <c r="R464" s="56">
        <f>'Health metrics Models'!Q578</f>
        <v>0</v>
      </c>
      <c r="S464" s="22" t="e">
        <f>IF(LEN(VLOOKUP(R464,A2:D500,4,FALSE))=0,,VLOOKUP(R464,A2:D500,4,FALSE))</f>
        <v>#N/A</v>
      </c>
      <c r="T464" s="56">
        <f>'Process Model'!P576</f>
        <v>0</v>
      </c>
      <c r="U464" s="22" t="e">
        <f>IF(LEN(VLOOKUP(T464,A2:D500,4,FALSE))=0,,VLOOKUP(T464,A2:D500,4,FALSE))</f>
        <v>#N/A</v>
      </c>
      <c r="V464" s="56">
        <f>'Toxicological reference value M'!P578</f>
        <v>0</v>
      </c>
      <c r="W464" s="22" t="e">
        <f>IF(LEN(VLOOKUP(V464,A2:D500,4,FALSE))=0,,VLOOKUP(V464,A2:D500,4,FALSE))</f>
        <v>#N/A</v>
      </c>
      <c r="Y464" s="56">
        <f>'Other Empirical Model'!P589</f>
        <v>0</v>
      </c>
      <c r="Z464" s="22" t="e">
        <f>IF(LEN(VLOOKUP(Y464,A2:D500,4,FALSE))=0,,VLOOKUP(Y464,A2:D500,4,FALSE))</f>
        <v>#N/A</v>
      </c>
      <c r="AA464" s="56">
        <f>'Predictive Model'!P576</f>
        <v>0</v>
      </c>
      <c r="AB464" s="22" t="e">
        <f>IF(LEN(VLOOKUP(AA464,A2:D500,4,FALSE))=0,,VLOOKUP(AA464,A2:D500,4,FALSE))</f>
        <v>#N/A</v>
      </c>
      <c r="AC464" s="56">
        <f>'Consumption Model'!P581</f>
        <v>0</v>
      </c>
      <c r="AD464" s="22" t="e">
        <f>IF(LEN(VLOOKUP(AC464,A2:D500,4,FALSE))=0,,VLOOKUP(AC464,A2:D500,4,FALSE))</f>
        <v>#N/A</v>
      </c>
      <c r="AE464" s="22">
        <f>'(Data)'!Q577</f>
        <v>0</v>
      </c>
      <c r="AF464" s="22" t="e">
        <f>IF(LEN(VLOOKUP(AE463:AE464,A2:D500,4,FALSE))=0,,VLOOKUP(AE463:AE464,A2:D500,4,FALSE))</f>
        <v>#N/A</v>
      </c>
      <c r="AH464" s="45">
        <f>'Risk Charact Model'!P595</f>
        <v>0</v>
      </c>
      <c r="AI464" s="58" t="e">
        <f>IF(LEN(VLOOKUP(AH464,A2:D500,4,FALSE))=0,,VLOOKUP(AH464,A2:D500,4,FALSE))</f>
        <v>#N/A</v>
      </c>
    </row>
    <row r="465" spans="9:35" ht="14" x14ac:dyDescent="0.3">
      <c r="I465" s="60">
        <f>'Generic Metadata Schema'!P595</f>
        <v>0</v>
      </c>
      <c r="J465" s="22" t="e">
        <f>IF(LEN(VLOOKUP(I465,A2:D500,4,FALSE))=0,"",VLOOKUP(I465,A2:D500,4,FALSE))</f>
        <v>#N/A</v>
      </c>
      <c r="L465" s="56">
        <f>'Dose-response Model'!O579</f>
        <v>0</v>
      </c>
      <c r="M465" s="22" t="e">
        <f>IF(LEN(VLOOKUP(L465,A2:D500,4,FALSE))=0,,VLOOKUP(L465,A2:D500,4,FALSE))</f>
        <v>#N/A</v>
      </c>
      <c r="N465" s="22">
        <f>'Exposure Model'!O596</f>
        <v>0</v>
      </c>
      <c r="O465" s="22" t="e">
        <f>IF(LEN(VLOOKUP(N465,A2:D500,4,FALSE))=0,,VLOOKUP(N465,A2:D500,4,FALSE))</f>
        <v>#N/A</v>
      </c>
      <c r="P465" s="56">
        <f>'QRA Models'!Q596</f>
        <v>0</v>
      </c>
      <c r="Q465" s="22" t="e">
        <f>IF(LEN(VLOOKUP(P465,A2:D500,4,FALSE))=0,,VLOOKUP(P465,A2:D500,4,FALSE))</f>
        <v>#N/A</v>
      </c>
      <c r="R465" s="56">
        <f>'Health metrics Models'!Q579</f>
        <v>0</v>
      </c>
      <c r="S465" s="22" t="e">
        <f>IF(LEN(VLOOKUP(R465,A2:D500,4,FALSE))=0,,VLOOKUP(R465,A2:D500,4,FALSE))</f>
        <v>#N/A</v>
      </c>
      <c r="T465" s="56">
        <f>'Process Model'!P577</f>
        <v>0</v>
      </c>
      <c r="U465" s="22" t="e">
        <f>IF(LEN(VLOOKUP(T465,A2:D500,4,FALSE))=0,,VLOOKUP(T465,A2:D500,4,FALSE))</f>
        <v>#N/A</v>
      </c>
      <c r="V465" s="56">
        <f>'Toxicological reference value M'!P579</f>
        <v>0</v>
      </c>
      <c r="W465" s="22" t="e">
        <f>IF(LEN(VLOOKUP(V465,A2:D500,4,FALSE))=0,,VLOOKUP(V465,A2:D500,4,FALSE))</f>
        <v>#N/A</v>
      </c>
      <c r="Y465" s="56">
        <f>'Other Empirical Model'!P590</f>
        <v>0</v>
      </c>
      <c r="Z465" s="22" t="e">
        <f>IF(LEN(VLOOKUP(Y465,A2:D500,4,FALSE))=0,,VLOOKUP(Y465,A2:D500,4,FALSE))</f>
        <v>#N/A</v>
      </c>
      <c r="AA465" s="56">
        <f>'Predictive Model'!P577</f>
        <v>0</v>
      </c>
      <c r="AB465" s="22" t="e">
        <f>IF(LEN(VLOOKUP(AA465,A2:D500,4,FALSE))=0,,VLOOKUP(AA465,A2:D500,4,FALSE))</f>
        <v>#N/A</v>
      </c>
      <c r="AC465" s="56">
        <f>'Consumption Model'!P582</f>
        <v>0</v>
      </c>
      <c r="AD465" s="22" t="e">
        <f>IF(LEN(VLOOKUP(AC465,A2:D500,4,FALSE))=0,,VLOOKUP(AC465,A2:D500,4,FALSE))</f>
        <v>#N/A</v>
      </c>
      <c r="AE465" s="22">
        <f>'(Data)'!Q578</f>
        <v>0</v>
      </c>
      <c r="AF465" s="22" t="e">
        <f>IF(LEN(VLOOKUP(AE464:AE465,A2:D500,4,FALSE))=0,,VLOOKUP(AE464:AE465,A2:D500,4,FALSE))</f>
        <v>#N/A</v>
      </c>
      <c r="AH465" s="45">
        <f>'Risk Charact Model'!P596</f>
        <v>0</v>
      </c>
      <c r="AI465" s="58" t="e">
        <f>IF(LEN(VLOOKUP(AH465,A2:D500,4,FALSE))=0,,VLOOKUP(AH465,A2:D500,4,FALSE))</f>
        <v>#N/A</v>
      </c>
    </row>
    <row r="466" spans="9:35" ht="14" x14ac:dyDescent="0.3">
      <c r="I466" s="60">
        <f>'Generic Metadata Schema'!P596</f>
        <v>0</v>
      </c>
      <c r="J466" s="22" t="e">
        <f>IF(LEN(VLOOKUP(I466,A2:D500,4,FALSE))=0,"",VLOOKUP(I466,A2:D500,4,FALSE))</f>
        <v>#N/A</v>
      </c>
      <c r="L466" s="56">
        <f>'Dose-response Model'!O580</f>
        <v>0</v>
      </c>
      <c r="M466" s="22" t="e">
        <f>IF(LEN(VLOOKUP(L466,A2:D500,4,FALSE))=0,,VLOOKUP(L466,A2:D500,4,FALSE))</f>
        <v>#N/A</v>
      </c>
      <c r="N466" s="22">
        <f>'Exposure Model'!O597</f>
        <v>0</v>
      </c>
      <c r="O466" s="22" t="e">
        <f>IF(LEN(VLOOKUP(N466,A2:D500,4,FALSE))=0,,VLOOKUP(N466,A2:D500,4,FALSE))</f>
        <v>#N/A</v>
      </c>
      <c r="P466" s="56">
        <f>'QRA Models'!Q597</f>
        <v>0</v>
      </c>
      <c r="Q466" s="22" t="e">
        <f>IF(LEN(VLOOKUP(P466,A2:D500,4,FALSE))=0,,VLOOKUP(P466,A2:D500,4,FALSE))</f>
        <v>#N/A</v>
      </c>
      <c r="R466" s="56">
        <f>'Health metrics Models'!Q580</f>
        <v>0</v>
      </c>
      <c r="S466" s="22" t="e">
        <f>IF(LEN(VLOOKUP(R466,A2:D500,4,FALSE))=0,,VLOOKUP(R466,A2:D500,4,FALSE))</f>
        <v>#N/A</v>
      </c>
      <c r="T466" s="56">
        <f>'Process Model'!P578</f>
        <v>0</v>
      </c>
      <c r="U466" s="22" t="e">
        <f>IF(LEN(VLOOKUP(T466,A2:D500,4,FALSE))=0,,VLOOKUP(T466,A2:D500,4,FALSE))</f>
        <v>#N/A</v>
      </c>
      <c r="V466" s="56">
        <f>'Toxicological reference value M'!P580</f>
        <v>0</v>
      </c>
      <c r="W466" s="22" t="e">
        <f>IF(LEN(VLOOKUP(V466,A2:D500,4,FALSE))=0,,VLOOKUP(V466,A2:D500,4,FALSE))</f>
        <v>#N/A</v>
      </c>
      <c r="Y466" s="56">
        <f>'Other Empirical Model'!P591</f>
        <v>0</v>
      </c>
      <c r="Z466" s="22" t="e">
        <f>IF(LEN(VLOOKUP(Y466,A2:D500,4,FALSE))=0,,VLOOKUP(Y466,A2:D500,4,FALSE))</f>
        <v>#N/A</v>
      </c>
      <c r="AA466" s="56">
        <f>'Predictive Model'!P578</f>
        <v>0</v>
      </c>
      <c r="AB466" s="22" t="e">
        <f>IF(LEN(VLOOKUP(AA466,A2:D500,4,FALSE))=0,,VLOOKUP(AA466,A2:D500,4,FALSE))</f>
        <v>#N/A</v>
      </c>
      <c r="AC466" s="56">
        <f>'Consumption Model'!P583</f>
        <v>0</v>
      </c>
      <c r="AD466" s="22" t="e">
        <f>IF(LEN(VLOOKUP(AC466,A2:D500,4,FALSE))=0,,VLOOKUP(AC466,A2:D500,4,FALSE))</f>
        <v>#N/A</v>
      </c>
      <c r="AE466" s="22">
        <f>'(Data)'!Q579</f>
        <v>0</v>
      </c>
      <c r="AF466" s="22" t="e">
        <f>IF(LEN(VLOOKUP(AE465:AE466,A2:D500,4,FALSE))=0,,VLOOKUP(AE465:AE466,A2:D500,4,FALSE))</f>
        <v>#N/A</v>
      </c>
      <c r="AH466" s="45">
        <f>'Risk Charact Model'!P597</f>
        <v>0</v>
      </c>
      <c r="AI466" s="58" t="e">
        <f>IF(LEN(VLOOKUP(AH466,A2:D500,4,FALSE))=0,,VLOOKUP(AH466,A2:D500,4,FALSE))</f>
        <v>#N/A</v>
      </c>
    </row>
    <row r="467" spans="9:35" ht="14" x14ac:dyDescent="0.3">
      <c r="I467" s="60">
        <f>'Generic Metadata Schema'!P597</f>
        <v>0</v>
      </c>
      <c r="J467" s="22" t="e">
        <f>IF(LEN(VLOOKUP(I467,A2:D500,4,FALSE))=0,"",VLOOKUP(I467,A2:D500,4,FALSE))</f>
        <v>#N/A</v>
      </c>
      <c r="L467" s="56">
        <f>'Dose-response Model'!O581</f>
        <v>0</v>
      </c>
      <c r="M467" s="22" t="e">
        <f>IF(LEN(VLOOKUP(L467,A2:D500,4,FALSE))=0,,VLOOKUP(L467,A2:D500,4,FALSE))</f>
        <v>#N/A</v>
      </c>
      <c r="N467" s="22">
        <f>'Exposure Model'!O598</f>
        <v>0</v>
      </c>
      <c r="O467" s="22" t="e">
        <f>IF(LEN(VLOOKUP(N467,A2:D500,4,FALSE))=0,,VLOOKUP(N467,A2:D500,4,FALSE))</f>
        <v>#N/A</v>
      </c>
      <c r="P467" s="56">
        <f>'QRA Models'!Q598</f>
        <v>0</v>
      </c>
      <c r="Q467" s="22" t="e">
        <f>IF(LEN(VLOOKUP(P467,A2:D500,4,FALSE))=0,,VLOOKUP(P467,A2:D500,4,FALSE))</f>
        <v>#N/A</v>
      </c>
      <c r="R467" s="56">
        <f>'Health metrics Models'!Q581</f>
        <v>0</v>
      </c>
      <c r="S467" s="22" t="e">
        <f>IF(LEN(VLOOKUP(R467,A2:D500,4,FALSE))=0,,VLOOKUP(R467,A2:D500,4,FALSE))</f>
        <v>#N/A</v>
      </c>
      <c r="T467" s="56">
        <f>'Process Model'!P579</f>
        <v>0</v>
      </c>
      <c r="U467" s="22" t="e">
        <f>IF(LEN(VLOOKUP(T467,A2:D500,4,FALSE))=0,,VLOOKUP(T467,A2:D500,4,FALSE))</f>
        <v>#N/A</v>
      </c>
      <c r="V467" s="56">
        <f>'Toxicological reference value M'!P581</f>
        <v>0</v>
      </c>
      <c r="W467" s="22" t="e">
        <f>IF(LEN(VLOOKUP(V467,A2:D500,4,FALSE))=0,,VLOOKUP(V467,A2:D500,4,FALSE))</f>
        <v>#N/A</v>
      </c>
      <c r="Y467" s="56">
        <f>'Other Empirical Model'!P592</f>
        <v>0</v>
      </c>
      <c r="Z467" s="22" t="e">
        <f>IF(LEN(VLOOKUP(Y467,A2:D500,4,FALSE))=0,,VLOOKUP(Y467,A2:D500,4,FALSE))</f>
        <v>#N/A</v>
      </c>
      <c r="AA467" s="56">
        <f>'Predictive Model'!P579</f>
        <v>0</v>
      </c>
      <c r="AB467" s="22" t="e">
        <f>IF(LEN(VLOOKUP(AA467,A2:D500,4,FALSE))=0,,VLOOKUP(AA467,A2:D500,4,FALSE))</f>
        <v>#N/A</v>
      </c>
      <c r="AC467" s="56">
        <f>'Consumption Model'!P584</f>
        <v>0</v>
      </c>
      <c r="AD467" s="22" t="e">
        <f>IF(LEN(VLOOKUP(AC467,A2:D500,4,FALSE))=0,,VLOOKUP(AC467,A2:D500,4,FALSE))</f>
        <v>#N/A</v>
      </c>
      <c r="AE467" s="22">
        <f>'(Data)'!Q580</f>
        <v>0</v>
      </c>
      <c r="AF467" s="22" t="e">
        <f>IF(LEN(VLOOKUP(AE466:AE467,A2:D500,4,FALSE))=0,,VLOOKUP(AE466:AE467,A2:D500,4,FALSE))</f>
        <v>#N/A</v>
      </c>
      <c r="AH467" s="45">
        <f>'Risk Charact Model'!P598</f>
        <v>0</v>
      </c>
      <c r="AI467" s="58" t="e">
        <f>IF(LEN(VLOOKUP(AH467,A2:D500,4,FALSE))=0,,VLOOKUP(AH467,A2:D500,4,FALSE))</f>
        <v>#N/A</v>
      </c>
    </row>
    <row r="468" spans="9:35" ht="14" x14ac:dyDescent="0.3">
      <c r="I468" s="60">
        <f>'Generic Metadata Schema'!P598</f>
        <v>0</v>
      </c>
      <c r="J468" s="22" t="e">
        <f>IF(LEN(VLOOKUP(I468,A2:D500,4,FALSE))=0,"",VLOOKUP(I468,A2:D500,4,FALSE))</f>
        <v>#N/A</v>
      </c>
      <c r="L468" s="56">
        <f>'Dose-response Model'!O582</f>
        <v>0</v>
      </c>
      <c r="M468" s="22" t="e">
        <f>IF(LEN(VLOOKUP(L468,A2:D500,4,FALSE))=0,,VLOOKUP(L468,A2:D500,4,FALSE))</f>
        <v>#N/A</v>
      </c>
      <c r="N468" s="22">
        <f>'Exposure Model'!O599</f>
        <v>0</v>
      </c>
      <c r="O468" s="22" t="e">
        <f>IF(LEN(VLOOKUP(N468,A2:D500,4,FALSE))=0,,VLOOKUP(N468,A2:D500,4,FALSE))</f>
        <v>#N/A</v>
      </c>
      <c r="P468" s="56">
        <f>'QRA Models'!Q599</f>
        <v>0</v>
      </c>
      <c r="Q468" s="22" t="e">
        <f>IF(LEN(VLOOKUP(P468,A2:D500,4,FALSE))=0,,VLOOKUP(P468,A2:D500,4,FALSE))</f>
        <v>#N/A</v>
      </c>
      <c r="R468" s="56">
        <f>'Health metrics Models'!Q582</f>
        <v>0</v>
      </c>
      <c r="S468" s="22" t="e">
        <f>IF(LEN(VLOOKUP(R468,A2:D500,4,FALSE))=0,,VLOOKUP(R468,A2:D500,4,FALSE))</f>
        <v>#N/A</v>
      </c>
      <c r="T468" s="56">
        <f>'Process Model'!P580</f>
        <v>0</v>
      </c>
      <c r="U468" s="22" t="e">
        <f>IF(LEN(VLOOKUP(T468,A2:D500,4,FALSE))=0,,VLOOKUP(T468,A2:D500,4,FALSE))</f>
        <v>#N/A</v>
      </c>
      <c r="V468" s="56">
        <f>'Toxicological reference value M'!P582</f>
        <v>0</v>
      </c>
      <c r="W468" s="22" t="e">
        <f>IF(LEN(VLOOKUP(V468,A2:D500,4,FALSE))=0,,VLOOKUP(V468,A2:D500,4,FALSE))</f>
        <v>#N/A</v>
      </c>
      <c r="Y468" s="56">
        <f>'Other Empirical Model'!P593</f>
        <v>0</v>
      </c>
      <c r="Z468" s="22" t="e">
        <f>IF(LEN(VLOOKUP(Y468,A2:D500,4,FALSE))=0,,VLOOKUP(Y468,A2:D500,4,FALSE))</f>
        <v>#N/A</v>
      </c>
      <c r="AA468" s="56">
        <f>'Predictive Model'!P580</f>
        <v>0</v>
      </c>
      <c r="AB468" s="22" t="e">
        <f>IF(LEN(VLOOKUP(AA468,A2:D500,4,FALSE))=0,,VLOOKUP(AA468,A2:D500,4,FALSE))</f>
        <v>#N/A</v>
      </c>
      <c r="AC468" s="56">
        <f>'Consumption Model'!P585</f>
        <v>0</v>
      </c>
      <c r="AD468" s="22" t="e">
        <f>IF(LEN(VLOOKUP(AC468,A2:D500,4,FALSE))=0,,VLOOKUP(AC468,A2:D500,4,FALSE))</f>
        <v>#N/A</v>
      </c>
      <c r="AE468" s="22">
        <f>'(Data)'!Q581</f>
        <v>0</v>
      </c>
      <c r="AF468" s="22" t="e">
        <f>IF(LEN(VLOOKUP(AE467:AE468,A2:D500,4,FALSE))=0,,VLOOKUP(AE467:AE468,A2:D500,4,FALSE))</f>
        <v>#N/A</v>
      </c>
      <c r="AH468" s="45">
        <f>'Risk Charact Model'!P599</f>
        <v>0</v>
      </c>
      <c r="AI468" s="58" t="e">
        <f>IF(LEN(VLOOKUP(AH468,A2:D500,4,FALSE))=0,,VLOOKUP(AH468,A2:D500,4,FALSE))</f>
        <v>#N/A</v>
      </c>
    </row>
    <row r="469" spans="9:35" ht="14" x14ac:dyDescent="0.3">
      <c r="I469" s="60">
        <f>'Generic Metadata Schema'!P599</f>
        <v>0</v>
      </c>
      <c r="J469" s="22" t="e">
        <f>IF(LEN(VLOOKUP(I469,A2:D500,4,FALSE))=0,"",VLOOKUP(I469,A2:D500,4,FALSE))</f>
        <v>#N/A</v>
      </c>
      <c r="L469" s="56">
        <f>'Dose-response Model'!O583</f>
        <v>0</v>
      </c>
      <c r="M469" s="22" t="e">
        <f>IF(LEN(VLOOKUP(L469,A2:D500,4,FALSE))=0,,VLOOKUP(L469,A2:D500,4,FALSE))</f>
        <v>#N/A</v>
      </c>
      <c r="N469" s="22">
        <f>'Exposure Model'!O600</f>
        <v>0</v>
      </c>
      <c r="O469" s="22" t="e">
        <f>IF(LEN(VLOOKUP(N469,A2:D500,4,FALSE))=0,,VLOOKUP(N469,A2:D500,4,FALSE))</f>
        <v>#N/A</v>
      </c>
      <c r="P469" s="56">
        <f>'QRA Models'!Q600</f>
        <v>0</v>
      </c>
      <c r="Q469" s="22" t="e">
        <f>IF(LEN(VLOOKUP(P469,A2:D500,4,FALSE))=0,,VLOOKUP(P469,A2:D500,4,FALSE))</f>
        <v>#N/A</v>
      </c>
      <c r="R469" s="56">
        <f>'Health metrics Models'!Q583</f>
        <v>0</v>
      </c>
      <c r="S469" s="22" t="e">
        <f>IF(LEN(VLOOKUP(R469,A2:D500,4,FALSE))=0,,VLOOKUP(R469,A2:D500,4,FALSE))</f>
        <v>#N/A</v>
      </c>
      <c r="T469" s="56">
        <f>'Process Model'!P581</f>
        <v>0</v>
      </c>
      <c r="U469" s="22" t="e">
        <f>IF(LEN(VLOOKUP(T469,A2:D500,4,FALSE))=0,,VLOOKUP(T469,A2:D500,4,FALSE))</f>
        <v>#N/A</v>
      </c>
      <c r="V469" s="56">
        <f>'Toxicological reference value M'!P583</f>
        <v>0</v>
      </c>
      <c r="W469" s="22" t="e">
        <f>IF(LEN(VLOOKUP(V469,A2:D500,4,FALSE))=0,,VLOOKUP(V469,A2:D500,4,FALSE))</f>
        <v>#N/A</v>
      </c>
      <c r="Y469" s="56">
        <f>'Other Empirical Model'!P594</f>
        <v>0</v>
      </c>
      <c r="Z469" s="22" t="e">
        <f>IF(LEN(VLOOKUP(Y469,A2:D500,4,FALSE))=0,,VLOOKUP(Y469,A2:D500,4,FALSE))</f>
        <v>#N/A</v>
      </c>
      <c r="AA469" s="56">
        <f>'Predictive Model'!P581</f>
        <v>0</v>
      </c>
      <c r="AB469" s="22" t="e">
        <f>IF(LEN(VLOOKUP(AA469,A2:D500,4,FALSE))=0,,VLOOKUP(AA469,A2:D500,4,FALSE))</f>
        <v>#N/A</v>
      </c>
      <c r="AC469" s="56">
        <f>'Consumption Model'!P586</f>
        <v>0</v>
      </c>
      <c r="AD469" s="22" t="e">
        <f>IF(LEN(VLOOKUP(AC469,A2:D500,4,FALSE))=0,,VLOOKUP(AC469,A2:D500,4,FALSE))</f>
        <v>#N/A</v>
      </c>
      <c r="AE469" s="22">
        <f>'(Data)'!Q582</f>
        <v>0</v>
      </c>
      <c r="AF469" s="22" t="e">
        <f>IF(LEN(VLOOKUP(AE468:AE469,A2:D500,4,FALSE))=0,,VLOOKUP(AE468:AE469,A2:D500,4,FALSE))</f>
        <v>#N/A</v>
      </c>
      <c r="AH469" s="45">
        <f>'Risk Charact Model'!P600</f>
        <v>0</v>
      </c>
      <c r="AI469" s="58" t="e">
        <f>IF(LEN(VLOOKUP(AH469,A2:D500,4,FALSE))=0,,VLOOKUP(AH469,A2:D500,4,FALSE))</f>
        <v>#N/A</v>
      </c>
    </row>
    <row r="470" spans="9:35" ht="14" x14ac:dyDescent="0.3">
      <c r="I470" s="60">
        <f>'Generic Metadata Schema'!P600</f>
        <v>0</v>
      </c>
      <c r="J470" s="22" t="e">
        <f>IF(LEN(VLOOKUP(I470,A2:D500,4,FALSE))=0,"",VLOOKUP(I470,A2:D500,4,FALSE))</f>
        <v>#N/A</v>
      </c>
      <c r="L470" s="56">
        <f>'Dose-response Model'!O584</f>
        <v>0</v>
      </c>
      <c r="M470" s="22" t="e">
        <f>IF(LEN(VLOOKUP(L470,A2:D500,4,FALSE))=0,,VLOOKUP(L470,A2:D500,4,FALSE))</f>
        <v>#N/A</v>
      </c>
      <c r="N470" s="22">
        <f>'Exposure Model'!O601</f>
        <v>0</v>
      </c>
      <c r="O470" s="22" t="e">
        <f>IF(LEN(VLOOKUP(N470,A2:D500,4,FALSE))=0,,VLOOKUP(N470,A2:D500,4,FALSE))</f>
        <v>#N/A</v>
      </c>
      <c r="P470" s="56">
        <f>'QRA Models'!Q601</f>
        <v>0</v>
      </c>
      <c r="Q470" s="22" t="e">
        <f>IF(LEN(VLOOKUP(P470,A2:D500,4,FALSE))=0,,VLOOKUP(P470,A2:D500,4,FALSE))</f>
        <v>#N/A</v>
      </c>
      <c r="R470" s="56">
        <f>'Health metrics Models'!Q584</f>
        <v>0</v>
      </c>
      <c r="S470" s="22" t="e">
        <f>IF(LEN(VLOOKUP(R470,A2:D500,4,FALSE))=0,,VLOOKUP(R470,A2:D500,4,FALSE))</f>
        <v>#N/A</v>
      </c>
      <c r="T470" s="56">
        <f>'Process Model'!P582</f>
        <v>0</v>
      </c>
      <c r="U470" s="22" t="e">
        <f>IF(LEN(VLOOKUP(T470,A2:D500,4,FALSE))=0,,VLOOKUP(T470,A2:D500,4,FALSE))</f>
        <v>#N/A</v>
      </c>
      <c r="V470" s="56">
        <f>'Toxicological reference value M'!P584</f>
        <v>0</v>
      </c>
      <c r="W470" s="22" t="e">
        <f>IF(LEN(VLOOKUP(V470,A2:D500,4,FALSE))=0,,VLOOKUP(V470,A2:D500,4,FALSE))</f>
        <v>#N/A</v>
      </c>
      <c r="Y470" s="56">
        <f>'Other Empirical Model'!P595</f>
        <v>0</v>
      </c>
      <c r="Z470" s="22" t="e">
        <f>IF(LEN(VLOOKUP(Y470,A2:D500,4,FALSE))=0,,VLOOKUP(Y470,A2:D500,4,FALSE))</f>
        <v>#N/A</v>
      </c>
      <c r="AA470" s="56">
        <f>'Predictive Model'!P582</f>
        <v>0</v>
      </c>
      <c r="AB470" s="22" t="e">
        <f>IF(LEN(VLOOKUP(AA470,A2:D500,4,FALSE))=0,,VLOOKUP(AA470,A2:D500,4,FALSE))</f>
        <v>#N/A</v>
      </c>
      <c r="AC470" s="56">
        <f>'Consumption Model'!P587</f>
        <v>0</v>
      </c>
      <c r="AD470" s="22" t="e">
        <f>IF(LEN(VLOOKUP(AC470,A2:D500,4,FALSE))=0,,VLOOKUP(AC470,A2:D500,4,FALSE))</f>
        <v>#N/A</v>
      </c>
      <c r="AE470" s="22">
        <f>'(Data)'!Q583</f>
        <v>0</v>
      </c>
      <c r="AF470" s="22" t="e">
        <f>IF(LEN(VLOOKUP(AE469:AE470,A2:D500,4,FALSE))=0,,VLOOKUP(AE469:AE470,A2:D500,4,FALSE))</f>
        <v>#N/A</v>
      </c>
      <c r="AH470" s="45">
        <f>'Risk Charact Model'!P601</f>
        <v>0</v>
      </c>
      <c r="AI470" s="58" t="e">
        <f>IF(LEN(VLOOKUP(AH470,A2:D500,4,FALSE))=0,,VLOOKUP(AH470,A2:D500,4,FALSE))</f>
        <v>#N/A</v>
      </c>
    </row>
    <row r="471" spans="9:35" ht="14" x14ac:dyDescent="0.3">
      <c r="I471" s="60">
        <f>'Generic Metadata Schema'!P601</f>
        <v>0</v>
      </c>
      <c r="J471" s="22" t="e">
        <f>IF(LEN(VLOOKUP(I471,A2:D500,4,FALSE))=0,"",VLOOKUP(I471,A2:D500,4,FALSE))</f>
        <v>#N/A</v>
      </c>
      <c r="L471" s="56">
        <f>'Dose-response Model'!O585</f>
        <v>0</v>
      </c>
      <c r="M471" s="22" t="e">
        <f>IF(LEN(VLOOKUP(L471,A2:D500,4,FALSE))=0,,VLOOKUP(L471,A2:D500,4,FALSE))</f>
        <v>#N/A</v>
      </c>
      <c r="N471" s="22">
        <f>'Exposure Model'!O602</f>
        <v>0</v>
      </c>
      <c r="O471" s="22" t="e">
        <f>IF(LEN(VLOOKUP(N471,A2:D500,4,FALSE))=0,,VLOOKUP(N471,A2:D500,4,FALSE))</f>
        <v>#N/A</v>
      </c>
      <c r="P471" s="56">
        <f>'QRA Models'!Q602</f>
        <v>0</v>
      </c>
      <c r="Q471" s="22" t="e">
        <f>IF(LEN(VLOOKUP(P471,A2:D500,4,FALSE))=0,,VLOOKUP(P471,A2:D500,4,FALSE))</f>
        <v>#N/A</v>
      </c>
      <c r="R471" s="56">
        <f>'Health metrics Models'!Q585</f>
        <v>0</v>
      </c>
      <c r="S471" s="22" t="e">
        <f>IF(LEN(VLOOKUP(R471,A2:D500,4,FALSE))=0,,VLOOKUP(R471,A2:D500,4,FALSE))</f>
        <v>#N/A</v>
      </c>
      <c r="T471" s="56">
        <f>'Process Model'!P583</f>
        <v>0</v>
      </c>
      <c r="U471" s="22" t="e">
        <f>IF(LEN(VLOOKUP(T471,A2:D500,4,FALSE))=0,,VLOOKUP(T471,A2:D500,4,FALSE))</f>
        <v>#N/A</v>
      </c>
      <c r="V471" s="56">
        <f>'Toxicological reference value M'!P585</f>
        <v>0</v>
      </c>
      <c r="W471" s="22" t="e">
        <f>IF(LEN(VLOOKUP(V471,A2:D500,4,FALSE))=0,,VLOOKUP(V471,A2:D500,4,FALSE))</f>
        <v>#N/A</v>
      </c>
      <c r="Y471" s="56">
        <f>'Other Empirical Model'!P596</f>
        <v>0</v>
      </c>
      <c r="Z471" s="22" t="e">
        <f>IF(LEN(VLOOKUP(Y471,A2:D500,4,FALSE))=0,,VLOOKUP(Y471,A2:D500,4,FALSE))</f>
        <v>#N/A</v>
      </c>
      <c r="AA471" s="56">
        <f>'Predictive Model'!P583</f>
        <v>0</v>
      </c>
      <c r="AB471" s="22" t="e">
        <f>IF(LEN(VLOOKUP(AA471,A2:D500,4,FALSE))=0,,VLOOKUP(AA471,A2:D500,4,FALSE))</f>
        <v>#N/A</v>
      </c>
      <c r="AC471" s="56">
        <f>'Consumption Model'!P588</f>
        <v>0</v>
      </c>
      <c r="AD471" s="22" t="e">
        <f>IF(LEN(VLOOKUP(AC471,A2:D500,4,FALSE))=0,,VLOOKUP(AC471,A2:D500,4,FALSE))</f>
        <v>#N/A</v>
      </c>
      <c r="AE471" s="22">
        <f>'(Data)'!Q584</f>
        <v>0</v>
      </c>
      <c r="AF471" s="22" t="e">
        <f>IF(LEN(VLOOKUP(AE470:AE471,A2:D500,4,FALSE))=0,,VLOOKUP(AE470:AE471,A2:D500,4,FALSE))</f>
        <v>#N/A</v>
      </c>
      <c r="AH471" s="45">
        <f>'Risk Charact Model'!P602</f>
        <v>0</v>
      </c>
      <c r="AI471" s="58" t="e">
        <f>IF(LEN(VLOOKUP(AH471,A2:D500,4,FALSE))=0,,VLOOKUP(AH471,A2:D500,4,FALSE))</f>
        <v>#N/A</v>
      </c>
    </row>
    <row r="472" spans="9:35" ht="14" x14ac:dyDescent="0.3">
      <c r="I472" s="60">
        <f>'Generic Metadata Schema'!P602</f>
        <v>0</v>
      </c>
      <c r="J472" s="22" t="e">
        <f>IF(LEN(VLOOKUP(I472,A2:D500,4,FALSE))=0,"",VLOOKUP(I472,A2:D500,4,FALSE))</f>
        <v>#N/A</v>
      </c>
      <c r="L472" s="56">
        <f>'Dose-response Model'!O586</f>
        <v>0</v>
      </c>
      <c r="M472" s="22" t="e">
        <f>IF(LEN(VLOOKUP(L472,A2:D500,4,FALSE))=0,,VLOOKUP(L472,A2:D500,4,FALSE))</f>
        <v>#N/A</v>
      </c>
      <c r="N472" s="22">
        <f>'Exposure Model'!O603</f>
        <v>0</v>
      </c>
      <c r="O472" s="22" t="e">
        <f>IF(LEN(VLOOKUP(N472,A2:D500,4,FALSE))=0,,VLOOKUP(N472,A2:D500,4,FALSE))</f>
        <v>#N/A</v>
      </c>
      <c r="P472" s="56">
        <f>'QRA Models'!Q603</f>
        <v>0</v>
      </c>
      <c r="Q472" s="22" t="e">
        <f>IF(LEN(VLOOKUP(P472,A2:D500,4,FALSE))=0,,VLOOKUP(P472,A2:D500,4,FALSE))</f>
        <v>#N/A</v>
      </c>
      <c r="R472" s="56">
        <f>'Health metrics Models'!Q586</f>
        <v>0</v>
      </c>
      <c r="S472" s="22" t="e">
        <f>IF(LEN(VLOOKUP(R472,A2:D500,4,FALSE))=0,,VLOOKUP(R472,A2:D500,4,FALSE))</f>
        <v>#N/A</v>
      </c>
      <c r="T472" s="56">
        <f>'Process Model'!P584</f>
        <v>0</v>
      </c>
      <c r="U472" s="22" t="e">
        <f>IF(LEN(VLOOKUP(T472,A2:D500,4,FALSE))=0,,VLOOKUP(T472,A2:D500,4,FALSE))</f>
        <v>#N/A</v>
      </c>
      <c r="V472" s="56">
        <f>'Toxicological reference value M'!P586</f>
        <v>0</v>
      </c>
      <c r="W472" s="22" t="e">
        <f>IF(LEN(VLOOKUP(V472,A2:D500,4,FALSE))=0,,VLOOKUP(V472,A2:D500,4,FALSE))</f>
        <v>#N/A</v>
      </c>
      <c r="Y472" s="56">
        <f>'Other Empirical Model'!P597</f>
        <v>0</v>
      </c>
      <c r="Z472" s="22" t="e">
        <f>IF(LEN(VLOOKUP(Y472,A2:D500,4,FALSE))=0,,VLOOKUP(Y472,A2:D500,4,FALSE))</f>
        <v>#N/A</v>
      </c>
      <c r="AA472" s="56">
        <f>'Predictive Model'!P584</f>
        <v>0</v>
      </c>
      <c r="AB472" s="22" t="e">
        <f>IF(LEN(VLOOKUP(AA472,A2:D500,4,FALSE))=0,,VLOOKUP(AA472,A2:D500,4,FALSE))</f>
        <v>#N/A</v>
      </c>
      <c r="AC472" s="56">
        <f>'Consumption Model'!P589</f>
        <v>0</v>
      </c>
      <c r="AD472" s="22" t="e">
        <f>IF(LEN(VLOOKUP(AC472,A2:D500,4,FALSE))=0,,VLOOKUP(AC472,A2:D500,4,FALSE))</f>
        <v>#N/A</v>
      </c>
      <c r="AE472" s="22">
        <f>'(Data)'!Q585</f>
        <v>0</v>
      </c>
      <c r="AF472" s="22" t="e">
        <f>IF(LEN(VLOOKUP(AE471:AE472,A2:D500,4,FALSE))=0,,VLOOKUP(AE471:AE472,A2:D500,4,FALSE))</f>
        <v>#N/A</v>
      </c>
      <c r="AH472" s="45">
        <f>'Risk Charact Model'!P603</f>
        <v>0</v>
      </c>
      <c r="AI472" s="58" t="e">
        <f>IF(LEN(VLOOKUP(AH472,A2:D500,4,FALSE))=0,,VLOOKUP(AH472,A2:D500,4,FALSE))</f>
        <v>#N/A</v>
      </c>
    </row>
    <row r="473" spans="9:35" ht="14" x14ac:dyDescent="0.3">
      <c r="I473" s="60">
        <f>'Generic Metadata Schema'!P603</f>
        <v>0</v>
      </c>
      <c r="J473" s="22" t="e">
        <f>IF(LEN(VLOOKUP(I473,A2:D500,4,FALSE))=0,"",VLOOKUP(I473,A2:D500,4,FALSE))</f>
        <v>#N/A</v>
      </c>
      <c r="L473" s="56">
        <f>'Dose-response Model'!O587</f>
        <v>0</v>
      </c>
      <c r="M473" s="22" t="e">
        <f>IF(LEN(VLOOKUP(L473,A2:D500,4,FALSE))=0,,VLOOKUP(L473,A2:D500,4,FALSE))</f>
        <v>#N/A</v>
      </c>
      <c r="N473" s="22">
        <f>'Exposure Model'!O604</f>
        <v>0</v>
      </c>
      <c r="O473" s="22" t="e">
        <f>IF(LEN(VLOOKUP(N473,A2:D500,4,FALSE))=0,,VLOOKUP(N473,A2:D500,4,FALSE))</f>
        <v>#N/A</v>
      </c>
      <c r="P473" s="56">
        <f>'QRA Models'!Q604</f>
        <v>0</v>
      </c>
      <c r="Q473" s="22" t="e">
        <f>IF(LEN(VLOOKUP(P473,A2:D500,4,FALSE))=0,,VLOOKUP(P473,A2:D500,4,FALSE))</f>
        <v>#N/A</v>
      </c>
      <c r="R473" s="56">
        <f>'Health metrics Models'!Q587</f>
        <v>0</v>
      </c>
      <c r="S473" s="22" t="e">
        <f>IF(LEN(VLOOKUP(R473,A2:D500,4,FALSE))=0,,VLOOKUP(R473,A2:D500,4,FALSE))</f>
        <v>#N/A</v>
      </c>
      <c r="T473" s="56">
        <f>'Process Model'!P585</f>
        <v>0</v>
      </c>
      <c r="U473" s="22" t="e">
        <f>IF(LEN(VLOOKUP(T473,A2:D500,4,FALSE))=0,,VLOOKUP(T473,A2:D500,4,FALSE))</f>
        <v>#N/A</v>
      </c>
      <c r="V473" s="56">
        <f>'Toxicological reference value M'!P587</f>
        <v>0</v>
      </c>
      <c r="W473" s="22" t="e">
        <f>IF(LEN(VLOOKUP(V473,A2:D500,4,FALSE))=0,,VLOOKUP(V473,A2:D500,4,FALSE))</f>
        <v>#N/A</v>
      </c>
      <c r="Y473" s="56">
        <f>'Other Empirical Model'!P598</f>
        <v>0</v>
      </c>
      <c r="Z473" s="22" t="e">
        <f>IF(LEN(VLOOKUP(Y473,A2:D500,4,FALSE))=0,,VLOOKUP(Y473,A2:D500,4,FALSE))</f>
        <v>#N/A</v>
      </c>
      <c r="AA473" s="56">
        <f>'Predictive Model'!P585</f>
        <v>0</v>
      </c>
      <c r="AB473" s="22" t="e">
        <f>IF(LEN(VLOOKUP(AA473,A2:D500,4,FALSE))=0,,VLOOKUP(AA473,A2:D500,4,FALSE))</f>
        <v>#N/A</v>
      </c>
      <c r="AC473" s="56">
        <f>'Consumption Model'!P590</f>
        <v>0</v>
      </c>
      <c r="AD473" s="22" t="e">
        <f>IF(LEN(VLOOKUP(AC473,A2:D500,4,FALSE))=0,,VLOOKUP(AC473,A2:D500,4,FALSE))</f>
        <v>#N/A</v>
      </c>
      <c r="AE473" s="22">
        <f>'(Data)'!Q586</f>
        <v>0</v>
      </c>
      <c r="AF473" s="22" t="e">
        <f>IF(LEN(VLOOKUP(AE472:AE473,A2:D500,4,FALSE))=0,,VLOOKUP(AE472:AE473,A2:D500,4,FALSE))</f>
        <v>#N/A</v>
      </c>
      <c r="AH473" s="45">
        <f>'Risk Charact Model'!P604</f>
        <v>0</v>
      </c>
      <c r="AI473" s="58" t="e">
        <f>IF(LEN(VLOOKUP(AH473,A2:D500,4,FALSE))=0,,VLOOKUP(AH473,A2:D500,4,FALSE))</f>
        <v>#N/A</v>
      </c>
    </row>
    <row r="474" spans="9:35" ht="14" x14ac:dyDescent="0.3">
      <c r="I474" s="60">
        <f>'Generic Metadata Schema'!P604</f>
        <v>0</v>
      </c>
      <c r="J474" s="22" t="e">
        <f>IF(LEN(VLOOKUP(I474,A2:D500,4,FALSE))=0,"",VLOOKUP(I474,A2:D500,4,FALSE))</f>
        <v>#N/A</v>
      </c>
      <c r="L474" s="56">
        <f>'Dose-response Model'!O588</f>
        <v>0</v>
      </c>
      <c r="M474" s="22" t="e">
        <f>IF(LEN(VLOOKUP(L474,A2:D500,4,FALSE))=0,,VLOOKUP(L474,A2:D500,4,FALSE))</f>
        <v>#N/A</v>
      </c>
      <c r="N474" s="22">
        <f>'Exposure Model'!O605</f>
        <v>0</v>
      </c>
      <c r="O474" s="22" t="e">
        <f>IF(LEN(VLOOKUP(N474,A2:D500,4,FALSE))=0,,VLOOKUP(N474,A2:D500,4,FALSE))</f>
        <v>#N/A</v>
      </c>
      <c r="P474" s="56">
        <f>'QRA Models'!Q605</f>
        <v>0</v>
      </c>
      <c r="Q474" s="22" t="e">
        <f>IF(LEN(VLOOKUP(P474,A2:D500,4,FALSE))=0,,VLOOKUP(P474,A2:D500,4,FALSE))</f>
        <v>#N/A</v>
      </c>
      <c r="R474" s="56">
        <f>'Health metrics Models'!Q588</f>
        <v>0</v>
      </c>
      <c r="S474" s="22" t="e">
        <f>IF(LEN(VLOOKUP(R474,A2:D500,4,FALSE))=0,,VLOOKUP(R474,A2:D500,4,FALSE))</f>
        <v>#N/A</v>
      </c>
      <c r="T474" s="56">
        <f>'Process Model'!P586</f>
        <v>0</v>
      </c>
      <c r="U474" s="22" t="e">
        <f>IF(LEN(VLOOKUP(T474,A2:D500,4,FALSE))=0,,VLOOKUP(T474,A2:D500,4,FALSE))</f>
        <v>#N/A</v>
      </c>
      <c r="V474" s="56">
        <f>'Toxicological reference value M'!P588</f>
        <v>0</v>
      </c>
      <c r="W474" s="22" t="e">
        <f>IF(LEN(VLOOKUP(V474,A2:D500,4,FALSE))=0,,VLOOKUP(V474,A2:D500,4,FALSE))</f>
        <v>#N/A</v>
      </c>
      <c r="Y474" s="56">
        <f>'Other Empirical Model'!P599</f>
        <v>0</v>
      </c>
      <c r="Z474" s="22" t="e">
        <f>IF(LEN(VLOOKUP(Y474,A2:D500,4,FALSE))=0,,VLOOKUP(Y474,A2:D500,4,FALSE))</f>
        <v>#N/A</v>
      </c>
      <c r="AA474" s="56">
        <f>'Predictive Model'!P586</f>
        <v>0</v>
      </c>
      <c r="AB474" s="22" t="e">
        <f>IF(LEN(VLOOKUP(AA474,A2:D500,4,FALSE))=0,,VLOOKUP(AA474,A2:D500,4,FALSE))</f>
        <v>#N/A</v>
      </c>
      <c r="AC474" s="56">
        <f>'Consumption Model'!P591</f>
        <v>0</v>
      </c>
      <c r="AD474" s="22" t="e">
        <f>IF(LEN(VLOOKUP(AC474,A2:D500,4,FALSE))=0,,VLOOKUP(AC474,A2:D500,4,FALSE))</f>
        <v>#N/A</v>
      </c>
      <c r="AE474" s="22">
        <f>'(Data)'!Q587</f>
        <v>0</v>
      </c>
      <c r="AF474" s="22" t="e">
        <f>IF(LEN(VLOOKUP(AE473:AE474,A2:D500,4,FALSE))=0,,VLOOKUP(AE473:AE474,A2:D500,4,FALSE))</f>
        <v>#N/A</v>
      </c>
      <c r="AH474" s="45">
        <f>'Risk Charact Model'!P605</f>
        <v>0</v>
      </c>
      <c r="AI474" s="58" t="e">
        <f>IF(LEN(VLOOKUP(AH474,A2:D500,4,FALSE))=0,,VLOOKUP(AH474,A2:D500,4,FALSE))</f>
        <v>#N/A</v>
      </c>
    </row>
    <row r="475" spans="9:35" ht="14" x14ac:dyDescent="0.3">
      <c r="I475" s="60">
        <f>'Generic Metadata Schema'!P605</f>
        <v>0</v>
      </c>
      <c r="J475" s="22" t="e">
        <f>IF(LEN(VLOOKUP(I475,A2:D500,4,FALSE))=0,"",VLOOKUP(I475,A2:D500,4,FALSE))</f>
        <v>#N/A</v>
      </c>
      <c r="L475" s="56">
        <f>'Dose-response Model'!O589</f>
        <v>0</v>
      </c>
      <c r="M475" s="22" t="e">
        <f>IF(LEN(VLOOKUP(L475,A2:D500,4,FALSE))=0,,VLOOKUP(L475,A2:D500,4,FALSE))</f>
        <v>#N/A</v>
      </c>
      <c r="N475" s="22">
        <f>'Exposure Model'!O606</f>
        <v>0</v>
      </c>
      <c r="O475" s="22" t="e">
        <f>IF(LEN(VLOOKUP(N475,A2:D500,4,FALSE))=0,,VLOOKUP(N475,A2:D500,4,FALSE))</f>
        <v>#N/A</v>
      </c>
      <c r="P475" s="56">
        <f>'QRA Models'!Q606</f>
        <v>0</v>
      </c>
      <c r="Q475" s="22" t="e">
        <f>IF(LEN(VLOOKUP(P475,A2:D500,4,FALSE))=0,,VLOOKUP(P475,A2:D500,4,FALSE))</f>
        <v>#N/A</v>
      </c>
      <c r="R475" s="56">
        <f>'Health metrics Models'!Q589</f>
        <v>0</v>
      </c>
      <c r="S475" s="22" t="e">
        <f>IF(LEN(VLOOKUP(R475,A2:D500,4,FALSE))=0,,VLOOKUP(R475,A2:D500,4,FALSE))</f>
        <v>#N/A</v>
      </c>
      <c r="T475" s="56">
        <f>'Process Model'!P587</f>
        <v>0</v>
      </c>
      <c r="U475" s="22" t="e">
        <f>IF(LEN(VLOOKUP(T475,A2:D500,4,FALSE))=0,,VLOOKUP(T475,A2:D500,4,FALSE))</f>
        <v>#N/A</v>
      </c>
      <c r="V475" s="56">
        <f>'Toxicological reference value M'!P589</f>
        <v>0</v>
      </c>
      <c r="W475" s="22" t="e">
        <f>IF(LEN(VLOOKUP(V475,A2:D500,4,FALSE))=0,,VLOOKUP(V475,A2:D500,4,FALSE))</f>
        <v>#N/A</v>
      </c>
      <c r="Y475" s="56">
        <f>'Other Empirical Model'!P600</f>
        <v>0</v>
      </c>
      <c r="Z475" s="22" t="e">
        <f>IF(LEN(VLOOKUP(Y475,A2:D500,4,FALSE))=0,,VLOOKUP(Y475,A2:D500,4,FALSE))</f>
        <v>#N/A</v>
      </c>
      <c r="AA475" s="56">
        <f>'Predictive Model'!P587</f>
        <v>0</v>
      </c>
      <c r="AB475" s="22" t="e">
        <f>IF(LEN(VLOOKUP(AA475,A2:D500,4,FALSE))=0,,VLOOKUP(AA475,A2:D500,4,FALSE))</f>
        <v>#N/A</v>
      </c>
      <c r="AC475" s="56">
        <f>'Consumption Model'!P592</f>
        <v>0</v>
      </c>
      <c r="AD475" s="22" t="e">
        <f>IF(LEN(VLOOKUP(AC475,A2:D500,4,FALSE))=0,,VLOOKUP(AC475,A2:D500,4,FALSE))</f>
        <v>#N/A</v>
      </c>
      <c r="AE475" s="22">
        <f>'(Data)'!Q588</f>
        <v>0</v>
      </c>
      <c r="AF475" s="22" t="e">
        <f>IF(LEN(VLOOKUP(AE474:AE475,A2:D500,4,FALSE))=0,,VLOOKUP(AE474:AE475,A2:D500,4,FALSE))</f>
        <v>#N/A</v>
      </c>
      <c r="AH475" s="45">
        <f>'Risk Charact Model'!P606</f>
        <v>0</v>
      </c>
      <c r="AI475" s="58" t="e">
        <f>IF(LEN(VLOOKUP(AH475,A2:D500,4,FALSE))=0,,VLOOKUP(AH475,A2:D500,4,FALSE))</f>
        <v>#N/A</v>
      </c>
    </row>
    <row r="476" spans="9:35" ht="14" x14ac:dyDescent="0.3">
      <c r="I476" s="60">
        <f>'Generic Metadata Schema'!P606</f>
        <v>0</v>
      </c>
      <c r="J476" s="22" t="e">
        <f>IF(LEN(VLOOKUP(I476,A2:D500,4,FALSE))=0,"",VLOOKUP(I476,A2:D500,4,FALSE))</f>
        <v>#N/A</v>
      </c>
      <c r="L476" s="56">
        <f>'Dose-response Model'!O590</f>
        <v>0</v>
      </c>
      <c r="M476" s="22" t="e">
        <f>IF(LEN(VLOOKUP(L476,A2:D500,4,FALSE))=0,,VLOOKUP(L476,A2:D500,4,FALSE))</f>
        <v>#N/A</v>
      </c>
      <c r="N476" s="22">
        <f>'Exposure Model'!O607</f>
        <v>0</v>
      </c>
      <c r="O476" s="22" t="e">
        <f>IF(LEN(VLOOKUP(N476,A2:D500,4,FALSE))=0,,VLOOKUP(N476,A2:D500,4,FALSE))</f>
        <v>#N/A</v>
      </c>
      <c r="P476" s="56">
        <f>'QRA Models'!Q607</f>
        <v>0</v>
      </c>
      <c r="Q476" s="22" t="e">
        <f>IF(LEN(VLOOKUP(P476,A2:D500,4,FALSE))=0,,VLOOKUP(P476,A2:D500,4,FALSE))</f>
        <v>#N/A</v>
      </c>
      <c r="R476" s="56">
        <f>'Health metrics Models'!Q590</f>
        <v>0</v>
      </c>
      <c r="S476" s="22" t="e">
        <f>IF(LEN(VLOOKUP(R476,A2:D500,4,FALSE))=0,,VLOOKUP(R476,A2:D500,4,FALSE))</f>
        <v>#N/A</v>
      </c>
      <c r="T476" s="56">
        <f>'Process Model'!P588</f>
        <v>0</v>
      </c>
      <c r="U476" s="22" t="e">
        <f>IF(LEN(VLOOKUP(T476,A2:D500,4,FALSE))=0,,VLOOKUP(T476,A2:D500,4,FALSE))</f>
        <v>#N/A</v>
      </c>
      <c r="V476" s="56">
        <f>'Toxicological reference value M'!P590</f>
        <v>0</v>
      </c>
      <c r="W476" s="22" t="e">
        <f>IF(LEN(VLOOKUP(V476,A2:D500,4,FALSE))=0,,VLOOKUP(V476,A2:D500,4,FALSE))</f>
        <v>#N/A</v>
      </c>
      <c r="Y476" s="56">
        <f>'Other Empirical Model'!P601</f>
        <v>0</v>
      </c>
      <c r="Z476" s="22" t="e">
        <f>IF(LEN(VLOOKUP(Y476,A2:D500,4,FALSE))=0,,VLOOKUP(Y476,A2:D500,4,FALSE))</f>
        <v>#N/A</v>
      </c>
      <c r="AA476" s="56">
        <f>'Predictive Model'!P588</f>
        <v>0</v>
      </c>
      <c r="AB476" s="22" t="e">
        <f>IF(LEN(VLOOKUP(AA476,A2:D500,4,FALSE))=0,,VLOOKUP(AA476,A2:D500,4,FALSE))</f>
        <v>#N/A</v>
      </c>
      <c r="AC476" s="56">
        <f>'Consumption Model'!P593</f>
        <v>0</v>
      </c>
      <c r="AD476" s="22" t="e">
        <f>IF(LEN(VLOOKUP(AC476,A2:D500,4,FALSE))=0,,VLOOKUP(AC476,A2:D500,4,FALSE))</f>
        <v>#N/A</v>
      </c>
      <c r="AE476" s="22">
        <f>'(Data)'!Q589</f>
        <v>0</v>
      </c>
      <c r="AF476" s="22" t="e">
        <f>IF(LEN(VLOOKUP(AE475:AE476,A2:D500,4,FALSE))=0,,VLOOKUP(AE475:AE476,A2:D500,4,FALSE))</f>
        <v>#N/A</v>
      </c>
      <c r="AH476" s="45">
        <f>'Risk Charact Model'!P607</f>
        <v>0</v>
      </c>
      <c r="AI476" s="58" t="e">
        <f>IF(LEN(VLOOKUP(AH476,A2:D500,4,FALSE))=0,,VLOOKUP(AH476,A2:D500,4,FALSE))</f>
        <v>#N/A</v>
      </c>
    </row>
    <row r="477" spans="9:35" ht="14" x14ac:dyDescent="0.3">
      <c r="I477" s="60">
        <f>'Generic Metadata Schema'!P607</f>
        <v>0</v>
      </c>
      <c r="J477" s="22" t="e">
        <f>IF(LEN(VLOOKUP(I477,A2:D500,4,FALSE))=0,"",VLOOKUP(I477,A2:D500,4,FALSE))</f>
        <v>#N/A</v>
      </c>
      <c r="L477" s="56">
        <f>'Dose-response Model'!O591</f>
        <v>0</v>
      </c>
      <c r="M477" s="22" t="e">
        <f>IF(LEN(VLOOKUP(L477,A2:D500,4,FALSE))=0,,VLOOKUP(L477,A2:D500,4,FALSE))</f>
        <v>#N/A</v>
      </c>
      <c r="N477" s="22">
        <f>'Exposure Model'!O608</f>
        <v>0</v>
      </c>
      <c r="O477" s="22" t="e">
        <f>IF(LEN(VLOOKUP(N477,A2:D500,4,FALSE))=0,,VLOOKUP(N477,A2:D500,4,FALSE))</f>
        <v>#N/A</v>
      </c>
      <c r="P477" s="56">
        <f>'QRA Models'!Q608</f>
        <v>0</v>
      </c>
      <c r="Q477" s="22" t="e">
        <f>IF(LEN(VLOOKUP(P477,A2:D500,4,FALSE))=0,,VLOOKUP(P477,A2:D500,4,FALSE))</f>
        <v>#N/A</v>
      </c>
      <c r="R477" s="56">
        <f>'Health metrics Models'!Q591</f>
        <v>0</v>
      </c>
      <c r="S477" s="22" t="e">
        <f>IF(LEN(VLOOKUP(R477,A2:D500,4,FALSE))=0,,VLOOKUP(R477,A2:D500,4,FALSE))</f>
        <v>#N/A</v>
      </c>
      <c r="T477" s="56">
        <f>'Process Model'!P589</f>
        <v>0</v>
      </c>
      <c r="U477" s="22" t="e">
        <f>IF(LEN(VLOOKUP(T477,A2:D500,4,FALSE))=0,,VLOOKUP(T477,A2:D500,4,FALSE))</f>
        <v>#N/A</v>
      </c>
      <c r="V477" s="56">
        <f>'Toxicological reference value M'!P591</f>
        <v>0</v>
      </c>
      <c r="W477" s="22" t="e">
        <f>IF(LEN(VLOOKUP(V477,A2:D500,4,FALSE))=0,,VLOOKUP(V477,A2:D500,4,FALSE))</f>
        <v>#N/A</v>
      </c>
      <c r="Y477" s="56">
        <f>'Other Empirical Model'!P602</f>
        <v>0</v>
      </c>
      <c r="Z477" s="22" t="e">
        <f>IF(LEN(VLOOKUP(Y477,A2:D500,4,FALSE))=0,,VLOOKUP(Y477,A2:D500,4,FALSE))</f>
        <v>#N/A</v>
      </c>
      <c r="AA477" s="56">
        <f>'Predictive Model'!P589</f>
        <v>0</v>
      </c>
      <c r="AB477" s="22" t="e">
        <f>IF(LEN(VLOOKUP(AA477,A2:D500,4,FALSE))=0,,VLOOKUP(AA477,A2:D500,4,FALSE))</f>
        <v>#N/A</v>
      </c>
      <c r="AC477" s="56">
        <f>'Consumption Model'!P594</f>
        <v>0</v>
      </c>
      <c r="AD477" s="22" t="e">
        <f>IF(LEN(VLOOKUP(AC477,A2:D500,4,FALSE))=0,,VLOOKUP(AC477,A2:D500,4,FALSE))</f>
        <v>#N/A</v>
      </c>
      <c r="AE477" s="22">
        <f>'(Data)'!Q590</f>
        <v>0</v>
      </c>
      <c r="AF477" s="22" t="e">
        <f>IF(LEN(VLOOKUP(AE476:AE477,A2:D500,4,FALSE))=0,,VLOOKUP(AE476:AE477,A2:D500,4,FALSE))</f>
        <v>#N/A</v>
      </c>
      <c r="AH477" s="45">
        <f>'Risk Charact Model'!P608</f>
        <v>0</v>
      </c>
      <c r="AI477" s="58" t="e">
        <f>IF(LEN(VLOOKUP(AH477,A2:D500,4,FALSE))=0,,VLOOKUP(AH477,A2:D500,4,FALSE))</f>
        <v>#N/A</v>
      </c>
    </row>
    <row r="478" spans="9:35" ht="14" x14ac:dyDescent="0.3">
      <c r="I478" s="60">
        <f>'Generic Metadata Schema'!P608</f>
        <v>0</v>
      </c>
      <c r="J478" s="22" t="e">
        <f>IF(LEN(VLOOKUP(I478,A2:D500,4,FALSE))=0,"",VLOOKUP(I478,A2:D500,4,FALSE))</f>
        <v>#N/A</v>
      </c>
      <c r="L478" s="56">
        <f>'Dose-response Model'!O592</f>
        <v>0</v>
      </c>
      <c r="M478" s="22" t="e">
        <f>IF(LEN(VLOOKUP(L478,A2:D500,4,FALSE))=0,,VLOOKUP(L478,A2:D500,4,FALSE))</f>
        <v>#N/A</v>
      </c>
      <c r="N478" s="22">
        <f>'Exposure Model'!O609</f>
        <v>0</v>
      </c>
      <c r="O478" s="22" t="e">
        <f>IF(LEN(VLOOKUP(N478,A2:D500,4,FALSE))=0,,VLOOKUP(N478,A2:D500,4,FALSE))</f>
        <v>#N/A</v>
      </c>
      <c r="P478" s="56">
        <f>'QRA Models'!Q609</f>
        <v>0</v>
      </c>
      <c r="Q478" s="22" t="e">
        <f>IF(LEN(VLOOKUP(P478,A2:D500,4,FALSE))=0,,VLOOKUP(P478,A2:D500,4,FALSE))</f>
        <v>#N/A</v>
      </c>
      <c r="R478" s="56">
        <f>'Health metrics Models'!Q592</f>
        <v>0</v>
      </c>
      <c r="S478" s="22" t="e">
        <f>IF(LEN(VLOOKUP(R478,A2:D500,4,FALSE))=0,,VLOOKUP(R478,A2:D500,4,FALSE))</f>
        <v>#N/A</v>
      </c>
      <c r="T478" s="56">
        <f>'Process Model'!P590</f>
        <v>0</v>
      </c>
      <c r="U478" s="22" t="e">
        <f>IF(LEN(VLOOKUP(T478,A2:D500,4,FALSE))=0,,VLOOKUP(T478,A2:D500,4,FALSE))</f>
        <v>#N/A</v>
      </c>
      <c r="V478" s="56">
        <f>'Toxicological reference value M'!P592</f>
        <v>0</v>
      </c>
      <c r="W478" s="22" t="e">
        <f>IF(LEN(VLOOKUP(V478,A2:D500,4,FALSE))=0,,VLOOKUP(V478,A2:D500,4,FALSE))</f>
        <v>#N/A</v>
      </c>
      <c r="Y478" s="56">
        <f>'Other Empirical Model'!P603</f>
        <v>0</v>
      </c>
      <c r="Z478" s="22" t="e">
        <f>IF(LEN(VLOOKUP(Y478,A2:D500,4,FALSE))=0,,VLOOKUP(Y478,A2:D500,4,FALSE))</f>
        <v>#N/A</v>
      </c>
      <c r="AA478" s="56">
        <f>'Predictive Model'!P590</f>
        <v>0</v>
      </c>
      <c r="AB478" s="22" t="e">
        <f>IF(LEN(VLOOKUP(AA478,A2:D500,4,FALSE))=0,,VLOOKUP(AA478,A2:D500,4,FALSE))</f>
        <v>#N/A</v>
      </c>
      <c r="AC478" s="56">
        <f>'Consumption Model'!P595</f>
        <v>0</v>
      </c>
      <c r="AD478" s="22" t="e">
        <f>IF(LEN(VLOOKUP(AC478,A2:D500,4,FALSE))=0,,VLOOKUP(AC478,A2:D500,4,FALSE))</f>
        <v>#N/A</v>
      </c>
      <c r="AE478" s="22">
        <f>'(Data)'!Q591</f>
        <v>0</v>
      </c>
      <c r="AF478" s="22" t="e">
        <f>IF(LEN(VLOOKUP(AE477:AE478,A2:D500,4,FALSE))=0,,VLOOKUP(AE477:AE478,A2:D500,4,FALSE))</f>
        <v>#N/A</v>
      </c>
      <c r="AH478" s="45">
        <f>'Risk Charact Model'!P609</f>
        <v>0</v>
      </c>
      <c r="AI478" s="58" t="e">
        <f>IF(LEN(VLOOKUP(AH478,A2:D500,4,FALSE))=0,,VLOOKUP(AH478,A2:D500,4,FALSE))</f>
        <v>#N/A</v>
      </c>
    </row>
    <row r="479" spans="9:35" ht="14" x14ac:dyDescent="0.3">
      <c r="I479" s="60">
        <f>'Generic Metadata Schema'!P609</f>
        <v>0</v>
      </c>
      <c r="J479" s="22" t="e">
        <f>IF(LEN(VLOOKUP(I479,A2:D500,4,FALSE))=0,"",VLOOKUP(I479,A2:D500,4,FALSE))</f>
        <v>#N/A</v>
      </c>
      <c r="L479" s="56">
        <f>'Dose-response Model'!O593</f>
        <v>0</v>
      </c>
      <c r="M479" s="22" t="e">
        <f>IF(LEN(VLOOKUP(L479,A2:D500,4,FALSE))=0,,VLOOKUP(L479,A2:D500,4,FALSE))</f>
        <v>#N/A</v>
      </c>
      <c r="N479" s="22">
        <f>'Exposure Model'!O610</f>
        <v>0</v>
      </c>
      <c r="O479" s="22" t="e">
        <f>IF(LEN(VLOOKUP(N479,A2:D500,4,FALSE))=0,,VLOOKUP(N479,A2:D500,4,FALSE))</f>
        <v>#N/A</v>
      </c>
      <c r="P479" s="56">
        <f>'QRA Models'!Q610</f>
        <v>0</v>
      </c>
      <c r="Q479" s="22" t="e">
        <f>IF(LEN(VLOOKUP(P479,A2:D500,4,FALSE))=0,,VLOOKUP(P479,A2:D500,4,FALSE))</f>
        <v>#N/A</v>
      </c>
      <c r="R479" s="56">
        <f>'Health metrics Models'!Q593</f>
        <v>0</v>
      </c>
      <c r="S479" s="22" t="e">
        <f>IF(LEN(VLOOKUP(R479,A2:D500,4,FALSE))=0,,VLOOKUP(R479,A2:D500,4,FALSE))</f>
        <v>#N/A</v>
      </c>
      <c r="T479" s="56">
        <f>'Process Model'!P591</f>
        <v>0</v>
      </c>
      <c r="U479" s="22" t="e">
        <f>IF(LEN(VLOOKUP(T479,A2:D500,4,FALSE))=0,,VLOOKUP(T479,A2:D500,4,FALSE))</f>
        <v>#N/A</v>
      </c>
      <c r="V479" s="56">
        <f>'Toxicological reference value M'!P593</f>
        <v>0</v>
      </c>
      <c r="W479" s="22" t="e">
        <f>IF(LEN(VLOOKUP(V479,A2:D500,4,FALSE))=0,,VLOOKUP(V479,A2:D500,4,FALSE))</f>
        <v>#N/A</v>
      </c>
      <c r="Y479" s="56">
        <f>'Other Empirical Model'!P604</f>
        <v>0</v>
      </c>
      <c r="Z479" s="22" t="e">
        <f>IF(LEN(VLOOKUP(Y479,A2:D500,4,FALSE))=0,,VLOOKUP(Y479,A2:D500,4,FALSE))</f>
        <v>#N/A</v>
      </c>
      <c r="AA479" s="56">
        <f>'Predictive Model'!P591</f>
        <v>0</v>
      </c>
      <c r="AB479" s="22" t="e">
        <f>IF(LEN(VLOOKUP(AA479,A2:D500,4,FALSE))=0,,VLOOKUP(AA479,A2:D500,4,FALSE))</f>
        <v>#N/A</v>
      </c>
      <c r="AC479" s="56">
        <f>'Consumption Model'!P596</f>
        <v>0</v>
      </c>
      <c r="AD479" s="22" t="e">
        <f>IF(LEN(VLOOKUP(AC479,A2:D500,4,FALSE))=0,,VLOOKUP(AC479,A2:D500,4,FALSE))</f>
        <v>#N/A</v>
      </c>
      <c r="AE479" s="22">
        <f>'(Data)'!Q592</f>
        <v>0</v>
      </c>
      <c r="AF479" s="22" t="e">
        <f>IF(LEN(VLOOKUP(AE478:AE479,A2:D500,4,FALSE))=0,,VLOOKUP(AE478:AE479,A2:D500,4,FALSE))</f>
        <v>#N/A</v>
      </c>
      <c r="AH479" s="45">
        <f>'Risk Charact Model'!P610</f>
        <v>0</v>
      </c>
      <c r="AI479" s="58" t="e">
        <f>IF(LEN(VLOOKUP(AH479,A2:D500,4,FALSE))=0,,VLOOKUP(AH479,A2:D500,4,FALSE))</f>
        <v>#N/A</v>
      </c>
    </row>
    <row r="480" spans="9:35" ht="14" x14ac:dyDescent="0.3">
      <c r="I480" s="60">
        <f>'Generic Metadata Schema'!P610</f>
        <v>0</v>
      </c>
      <c r="J480" s="22" t="e">
        <f>IF(LEN(VLOOKUP(I480,A2:D500,4,FALSE))=0,"",VLOOKUP(I480,A2:D500,4,FALSE))</f>
        <v>#N/A</v>
      </c>
      <c r="L480" s="56">
        <f>'Dose-response Model'!O594</f>
        <v>0</v>
      </c>
      <c r="M480" s="22" t="e">
        <f>IF(LEN(VLOOKUP(L480,A2:D500,4,FALSE))=0,,VLOOKUP(L480,A2:D500,4,FALSE))</f>
        <v>#N/A</v>
      </c>
      <c r="N480" s="22">
        <f>'Exposure Model'!O611</f>
        <v>0</v>
      </c>
      <c r="O480" s="22" t="e">
        <f>IF(LEN(VLOOKUP(N480,A2:D500,4,FALSE))=0,,VLOOKUP(N480,A2:D500,4,FALSE))</f>
        <v>#N/A</v>
      </c>
      <c r="P480" s="56">
        <f>'QRA Models'!Q611</f>
        <v>0</v>
      </c>
      <c r="Q480" s="22" t="e">
        <f>IF(LEN(VLOOKUP(P480,A2:D500,4,FALSE))=0,,VLOOKUP(P480,A2:D500,4,FALSE))</f>
        <v>#N/A</v>
      </c>
      <c r="R480" s="56">
        <f>'Health metrics Models'!Q594</f>
        <v>0</v>
      </c>
      <c r="S480" s="22" t="e">
        <f>IF(LEN(VLOOKUP(R480,A2:D500,4,FALSE))=0,,VLOOKUP(R480,A2:D500,4,FALSE))</f>
        <v>#N/A</v>
      </c>
      <c r="T480" s="56">
        <f>'Process Model'!P592</f>
        <v>0</v>
      </c>
      <c r="U480" s="22" t="e">
        <f>IF(LEN(VLOOKUP(T480,A2:D500,4,FALSE))=0,,VLOOKUP(T480,A2:D500,4,FALSE))</f>
        <v>#N/A</v>
      </c>
      <c r="V480" s="56">
        <f>'Toxicological reference value M'!P594</f>
        <v>0</v>
      </c>
      <c r="W480" s="22" t="e">
        <f>IF(LEN(VLOOKUP(V480,A2:D500,4,FALSE))=0,,VLOOKUP(V480,A2:D500,4,FALSE))</f>
        <v>#N/A</v>
      </c>
      <c r="Y480" s="56">
        <f>'Other Empirical Model'!P605</f>
        <v>0</v>
      </c>
      <c r="Z480" s="22" t="e">
        <f>IF(LEN(VLOOKUP(Y480,A2:D500,4,FALSE))=0,,VLOOKUP(Y480,A2:D500,4,FALSE))</f>
        <v>#N/A</v>
      </c>
      <c r="AA480" s="56">
        <f>'Predictive Model'!P592</f>
        <v>0</v>
      </c>
      <c r="AB480" s="22" t="e">
        <f>IF(LEN(VLOOKUP(AA480,A2:D500,4,FALSE))=0,,VLOOKUP(AA480,A2:D500,4,FALSE))</f>
        <v>#N/A</v>
      </c>
      <c r="AC480" s="56">
        <f>'Consumption Model'!P597</f>
        <v>0</v>
      </c>
      <c r="AD480" s="22" t="e">
        <f>IF(LEN(VLOOKUP(AC480,A2:D500,4,FALSE))=0,,VLOOKUP(AC480,A2:D500,4,FALSE))</f>
        <v>#N/A</v>
      </c>
      <c r="AE480" s="22">
        <f>'(Data)'!Q593</f>
        <v>0</v>
      </c>
      <c r="AF480" s="22" t="e">
        <f>IF(LEN(VLOOKUP(AE479:AE480,A2:D500,4,FALSE))=0,,VLOOKUP(AE479:AE480,A2:D500,4,FALSE))</f>
        <v>#N/A</v>
      </c>
      <c r="AH480" s="45">
        <f>'Risk Charact Model'!P611</f>
        <v>0</v>
      </c>
      <c r="AI480" s="58" t="e">
        <f>IF(LEN(VLOOKUP(AH480,A2:D500,4,FALSE))=0,,VLOOKUP(AH480,A2:D500,4,FALSE))</f>
        <v>#N/A</v>
      </c>
    </row>
    <row r="481" spans="9:35" ht="14" x14ac:dyDescent="0.3">
      <c r="I481" s="60">
        <f>'Generic Metadata Schema'!P611</f>
        <v>0</v>
      </c>
      <c r="J481" s="22" t="e">
        <f>IF(LEN(VLOOKUP(I481,A2:D500,4,FALSE))=0,"",VLOOKUP(I481,A2:D500,4,FALSE))</f>
        <v>#N/A</v>
      </c>
      <c r="L481" s="56">
        <f>'Dose-response Model'!O595</f>
        <v>0</v>
      </c>
      <c r="M481" s="22" t="e">
        <f>IF(LEN(VLOOKUP(L481,A2:D500,4,FALSE))=0,,VLOOKUP(L481,A2:D500,4,FALSE))</f>
        <v>#N/A</v>
      </c>
      <c r="N481" s="22">
        <f>'Exposure Model'!O612</f>
        <v>0</v>
      </c>
      <c r="O481" s="22" t="e">
        <f>IF(LEN(VLOOKUP(N481,A2:D500,4,FALSE))=0,,VLOOKUP(N481,A2:D500,4,FALSE))</f>
        <v>#N/A</v>
      </c>
      <c r="P481" s="56">
        <f>'QRA Models'!Q612</f>
        <v>0</v>
      </c>
      <c r="Q481" s="22" t="e">
        <f>IF(LEN(VLOOKUP(P481,A2:D500,4,FALSE))=0,,VLOOKUP(P481,A2:D500,4,FALSE))</f>
        <v>#N/A</v>
      </c>
      <c r="R481" s="56">
        <f>'Health metrics Models'!Q595</f>
        <v>0</v>
      </c>
      <c r="S481" s="22" t="e">
        <f>IF(LEN(VLOOKUP(R481,A2:D500,4,FALSE))=0,,VLOOKUP(R481,A2:D500,4,FALSE))</f>
        <v>#N/A</v>
      </c>
      <c r="T481" s="56">
        <f>'Process Model'!P593</f>
        <v>0</v>
      </c>
      <c r="U481" s="22" t="e">
        <f>IF(LEN(VLOOKUP(T481,A2:D500,4,FALSE))=0,,VLOOKUP(T481,A2:D500,4,FALSE))</f>
        <v>#N/A</v>
      </c>
      <c r="V481" s="56">
        <f>'Toxicological reference value M'!P595</f>
        <v>0</v>
      </c>
      <c r="W481" s="22" t="e">
        <f>IF(LEN(VLOOKUP(V481,A2:D500,4,FALSE))=0,,VLOOKUP(V481,A2:D500,4,FALSE))</f>
        <v>#N/A</v>
      </c>
      <c r="Y481" s="56">
        <f>'Other Empirical Model'!P606</f>
        <v>0</v>
      </c>
      <c r="Z481" s="22" t="e">
        <f>IF(LEN(VLOOKUP(Y481,A2:D500,4,FALSE))=0,,VLOOKUP(Y481,A2:D500,4,FALSE))</f>
        <v>#N/A</v>
      </c>
      <c r="AA481" s="56">
        <f>'Predictive Model'!P593</f>
        <v>0</v>
      </c>
      <c r="AB481" s="22" t="e">
        <f>IF(LEN(VLOOKUP(AA481,A2:D500,4,FALSE))=0,,VLOOKUP(AA481,A2:D500,4,FALSE))</f>
        <v>#N/A</v>
      </c>
      <c r="AC481" s="56">
        <f>'Consumption Model'!P598</f>
        <v>0</v>
      </c>
      <c r="AD481" s="22" t="e">
        <f>IF(LEN(VLOOKUP(AC481,A2:D500,4,FALSE))=0,,VLOOKUP(AC481,A2:D500,4,FALSE))</f>
        <v>#N/A</v>
      </c>
      <c r="AE481" s="22">
        <f>'(Data)'!Q594</f>
        <v>0</v>
      </c>
      <c r="AF481" s="22" t="e">
        <f>IF(LEN(VLOOKUP(AE480:AE481,A2:D500,4,FALSE))=0,,VLOOKUP(AE480:AE481,A2:D500,4,FALSE))</f>
        <v>#N/A</v>
      </c>
      <c r="AH481" s="45">
        <f>'Risk Charact Model'!P612</f>
        <v>0</v>
      </c>
      <c r="AI481" s="58" t="e">
        <f>IF(LEN(VLOOKUP(AH481,A2:D500,4,FALSE))=0,,VLOOKUP(AH481,A2:D500,4,FALSE))</f>
        <v>#N/A</v>
      </c>
    </row>
    <row r="482" spans="9:35" ht="14" x14ac:dyDescent="0.3">
      <c r="I482" s="60">
        <f>'Generic Metadata Schema'!P612</f>
        <v>0</v>
      </c>
      <c r="J482" s="22" t="e">
        <f>IF(LEN(VLOOKUP(I482,A2:D500,4,FALSE))=0,"",VLOOKUP(I482,A2:D500,4,FALSE))</f>
        <v>#N/A</v>
      </c>
      <c r="L482" s="56">
        <f>'Dose-response Model'!O596</f>
        <v>0</v>
      </c>
      <c r="M482" s="22" t="e">
        <f>IF(LEN(VLOOKUP(L482,A2:D500,4,FALSE))=0,,VLOOKUP(L482,A2:D500,4,FALSE))</f>
        <v>#N/A</v>
      </c>
      <c r="N482" s="22">
        <f>'Exposure Model'!O613</f>
        <v>0</v>
      </c>
      <c r="O482" s="22" t="e">
        <f>IF(LEN(VLOOKUP(N482,A2:D500,4,FALSE))=0,,VLOOKUP(N482,A2:D500,4,FALSE))</f>
        <v>#N/A</v>
      </c>
      <c r="P482" s="56">
        <f>'QRA Models'!Q613</f>
        <v>0</v>
      </c>
      <c r="Q482" s="22" t="e">
        <f>IF(LEN(VLOOKUP(P482,A2:D500,4,FALSE))=0,,VLOOKUP(P482,A2:D500,4,FALSE))</f>
        <v>#N/A</v>
      </c>
      <c r="R482" s="56">
        <f>'Health metrics Models'!Q596</f>
        <v>0</v>
      </c>
      <c r="S482" s="22" t="e">
        <f>IF(LEN(VLOOKUP(R482,A2:D500,4,FALSE))=0,,VLOOKUP(R482,A2:D500,4,FALSE))</f>
        <v>#N/A</v>
      </c>
      <c r="T482" s="56">
        <f>'Process Model'!P594</f>
        <v>0</v>
      </c>
      <c r="U482" s="22" t="e">
        <f>IF(LEN(VLOOKUP(T482,A2:D500,4,FALSE))=0,,VLOOKUP(T482,A2:D500,4,FALSE))</f>
        <v>#N/A</v>
      </c>
      <c r="V482" s="56">
        <f>'Toxicological reference value M'!P596</f>
        <v>0</v>
      </c>
      <c r="W482" s="22" t="e">
        <f>IF(LEN(VLOOKUP(V482,A2:D500,4,FALSE))=0,,VLOOKUP(V482,A2:D500,4,FALSE))</f>
        <v>#N/A</v>
      </c>
      <c r="Y482" s="56">
        <f>'Other Empirical Model'!P607</f>
        <v>0</v>
      </c>
      <c r="Z482" s="22" t="e">
        <f>IF(LEN(VLOOKUP(Y482,A2:D500,4,FALSE))=0,,VLOOKUP(Y482,A2:D500,4,FALSE))</f>
        <v>#N/A</v>
      </c>
      <c r="AA482" s="56">
        <f>'Predictive Model'!P594</f>
        <v>0</v>
      </c>
      <c r="AB482" s="22" t="e">
        <f>IF(LEN(VLOOKUP(AA482,A2:D500,4,FALSE))=0,,VLOOKUP(AA482,A2:D500,4,FALSE))</f>
        <v>#N/A</v>
      </c>
      <c r="AC482" s="56">
        <f>'Consumption Model'!P599</f>
        <v>0</v>
      </c>
      <c r="AD482" s="22" t="e">
        <f>IF(LEN(VLOOKUP(AC482,A2:D500,4,FALSE))=0,,VLOOKUP(AC482,A2:D500,4,FALSE))</f>
        <v>#N/A</v>
      </c>
      <c r="AE482" s="22">
        <f>'(Data)'!Q595</f>
        <v>0</v>
      </c>
      <c r="AF482" s="22" t="e">
        <f>IF(LEN(VLOOKUP(AE481:AE482,A2:D500,4,FALSE))=0,,VLOOKUP(AE481:AE482,A2:D500,4,FALSE))</f>
        <v>#N/A</v>
      </c>
      <c r="AH482" s="45">
        <f>'Risk Charact Model'!P613</f>
        <v>0</v>
      </c>
      <c r="AI482" s="58" t="e">
        <f>IF(LEN(VLOOKUP(AH482,A2:D500,4,FALSE))=0,,VLOOKUP(AH482,A2:D500,4,FALSE))</f>
        <v>#N/A</v>
      </c>
    </row>
    <row r="483" spans="9:35" ht="14" x14ac:dyDescent="0.3">
      <c r="I483" s="60">
        <f>'Generic Metadata Schema'!P613</f>
        <v>0</v>
      </c>
      <c r="J483" s="22" t="e">
        <f>IF(LEN(VLOOKUP(I483,A2:D500,4,FALSE))=0,"",VLOOKUP(I483,A2:D500,4,FALSE))</f>
        <v>#N/A</v>
      </c>
      <c r="L483" s="56">
        <f>'Dose-response Model'!O597</f>
        <v>0</v>
      </c>
      <c r="M483" s="22" t="e">
        <f>IF(LEN(VLOOKUP(L483,A2:D500,4,FALSE))=0,,VLOOKUP(L483,A2:D500,4,FALSE))</f>
        <v>#N/A</v>
      </c>
      <c r="N483" s="22">
        <f>'Exposure Model'!O614</f>
        <v>0</v>
      </c>
      <c r="O483" s="22" t="e">
        <f>IF(LEN(VLOOKUP(N483,A2:D500,4,FALSE))=0,,VLOOKUP(N483,A2:D500,4,FALSE))</f>
        <v>#N/A</v>
      </c>
      <c r="P483" s="56">
        <f>'QRA Models'!Q614</f>
        <v>0</v>
      </c>
      <c r="Q483" s="22" t="e">
        <f>IF(LEN(VLOOKUP(P483,A2:D500,4,FALSE))=0,,VLOOKUP(P483,A2:D500,4,FALSE))</f>
        <v>#N/A</v>
      </c>
      <c r="R483" s="56">
        <f>'Health metrics Models'!Q597</f>
        <v>0</v>
      </c>
      <c r="S483" s="22" t="e">
        <f>IF(LEN(VLOOKUP(R483,A2:D500,4,FALSE))=0,,VLOOKUP(R483,A2:D500,4,FALSE))</f>
        <v>#N/A</v>
      </c>
      <c r="T483" s="56">
        <f>'Process Model'!P595</f>
        <v>0</v>
      </c>
      <c r="U483" s="22" t="e">
        <f>IF(LEN(VLOOKUP(T483,A2:D500,4,FALSE))=0,,VLOOKUP(T483,A2:D500,4,FALSE))</f>
        <v>#N/A</v>
      </c>
      <c r="V483" s="56">
        <f>'Toxicological reference value M'!P597</f>
        <v>0</v>
      </c>
      <c r="W483" s="22" t="e">
        <f>IF(LEN(VLOOKUP(V483,A2:D500,4,FALSE))=0,,VLOOKUP(V483,A2:D500,4,FALSE))</f>
        <v>#N/A</v>
      </c>
      <c r="Y483" s="56">
        <f>'Other Empirical Model'!P608</f>
        <v>0</v>
      </c>
      <c r="Z483" s="22" t="e">
        <f>IF(LEN(VLOOKUP(Y483,A2:D500,4,FALSE))=0,,VLOOKUP(Y483,A2:D500,4,FALSE))</f>
        <v>#N/A</v>
      </c>
      <c r="AA483" s="56">
        <f>'Predictive Model'!P595</f>
        <v>0</v>
      </c>
      <c r="AB483" s="22" t="e">
        <f>IF(LEN(VLOOKUP(AA483,A2:D500,4,FALSE))=0,,VLOOKUP(AA483,A2:D500,4,FALSE))</f>
        <v>#N/A</v>
      </c>
      <c r="AC483" s="56">
        <f>'Consumption Model'!P600</f>
        <v>0</v>
      </c>
      <c r="AD483" s="22" t="e">
        <f>IF(LEN(VLOOKUP(AC483,A2:D500,4,FALSE))=0,,VLOOKUP(AC483,A2:D500,4,FALSE))</f>
        <v>#N/A</v>
      </c>
      <c r="AE483" s="22">
        <f>'(Data)'!Q596</f>
        <v>0</v>
      </c>
      <c r="AF483" s="22" t="e">
        <f>IF(LEN(VLOOKUP(AE482:AE483,A2:D500,4,FALSE))=0,,VLOOKUP(AE482:AE483,A2:D500,4,FALSE))</f>
        <v>#N/A</v>
      </c>
      <c r="AH483" s="45">
        <f>'Risk Charact Model'!P614</f>
        <v>0</v>
      </c>
      <c r="AI483" s="58" t="e">
        <f>IF(LEN(VLOOKUP(AH483,A2:D500,4,FALSE))=0,,VLOOKUP(AH483,A2:D500,4,FALSE))</f>
        <v>#N/A</v>
      </c>
    </row>
    <row r="484" spans="9:35" ht="14" x14ac:dyDescent="0.3">
      <c r="I484" s="60">
        <f>'Generic Metadata Schema'!P614</f>
        <v>0</v>
      </c>
      <c r="J484" s="22" t="e">
        <f>IF(LEN(VLOOKUP(I484,A2:D500,4,FALSE))=0,"",VLOOKUP(I484,A2:D500,4,FALSE))</f>
        <v>#N/A</v>
      </c>
      <c r="L484" s="56">
        <f>'Dose-response Model'!O598</f>
        <v>0</v>
      </c>
      <c r="M484" s="22" t="e">
        <f>IF(LEN(VLOOKUP(L484,A2:D500,4,FALSE))=0,,VLOOKUP(L484,A2:D500,4,FALSE))</f>
        <v>#N/A</v>
      </c>
      <c r="N484" s="22">
        <f>'Exposure Model'!O615</f>
        <v>0</v>
      </c>
      <c r="O484" s="22" t="e">
        <f>IF(LEN(VLOOKUP(N484,A2:D500,4,FALSE))=0,,VLOOKUP(N484,A2:D500,4,FALSE))</f>
        <v>#N/A</v>
      </c>
      <c r="P484" s="56">
        <f>'QRA Models'!Q615</f>
        <v>0</v>
      </c>
      <c r="Q484" s="22" t="e">
        <f>IF(LEN(VLOOKUP(P484,A2:D500,4,FALSE))=0,,VLOOKUP(P484,A2:D500,4,FALSE))</f>
        <v>#N/A</v>
      </c>
      <c r="R484" s="56">
        <f>'Health metrics Models'!Q598</f>
        <v>0</v>
      </c>
      <c r="S484" s="22" t="e">
        <f>IF(LEN(VLOOKUP(R484,A2:D500,4,FALSE))=0,,VLOOKUP(R484,A2:D500,4,FALSE))</f>
        <v>#N/A</v>
      </c>
      <c r="T484" s="56">
        <f>'Process Model'!P596</f>
        <v>0</v>
      </c>
      <c r="U484" s="22" t="e">
        <f>IF(LEN(VLOOKUP(T484,A2:D500,4,FALSE))=0,,VLOOKUP(T484,A2:D500,4,FALSE))</f>
        <v>#N/A</v>
      </c>
      <c r="V484" s="56">
        <f>'Toxicological reference value M'!P598</f>
        <v>0</v>
      </c>
      <c r="W484" s="22" t="e">
        <f>IF(LEN(VLOOKUP(V484,A2:D500,4,FALSE))=0,,VLOOKUP(V484,A2:D500,4,FALSE))</f>
        <v>#N/A</v>
      </c>
      <c r="Y484" s="56">
        <f>'Other Empirical Model'!P609</f>
        <v>0</v>
      </c>
      <c r="Z484" s="22" t="e">
        <f>IF(LEN(VLOOKUP(Y484,A2:D500,4,FALSE))=0,,VLOOKUP(Y484,A2:D500,4,FALSE))</f>
        <v>#N/A</v>
      </c>
      <c r="AA484" s="56">
        <f>'Predictive Model'!P596</f>
        <v>0</v>
      </c>
      <c r="AB484" s="22" t="e">
        <f>IF(LEN(VLOOKUP(AA484,A2:D500,4,FALSE))=0,,VLOOKUP(AA484,A2:D500,4,FALSE))</f>
        <v>#N/A</v>
      </c>
      <c r="AC484" s="56">
        <f>'Consumption Model'!P601</f>
        <v>0</v>
      </c>
      <c r="AD484" s="22" t="e">
        <f>IF(LEN(VLOOKUP(AC484,A2:D500,4,FALSE))=0,,VLOOKUP(AC484,A2:D500,4,FALSE))</f>
        <v>#N/A</v>
      </c>
      <c r="AE484" s="22">
        <f>'(Data)'!Q597</f>
        <v>0</v>
      </c>
      <c r="AF484" s="22" t="e">
        <f>IF(LEN(VLOOKUP(AE483:AE484,A2:D500,4,FALSE))=0,,VLOOKUP(AE483:AE484,A2:D500,4,FALSE))</f>
        <v>#N/A</v>
      </c>
      <c r="AH484" s="45">
        <f>'Risk Charact Model'!P615</f>
        <v>0</v>
      </c>
      <c r="AI484" s="58" t="e">
        <f>IF(LEN(VLOOKUP(AH484,A2:D500,4,FALSE))=0,,VLOOKUP(AH484,A2:D500,4,FALSE))</f>
        <v>#N/A</v>
      </c>
    </row>
    <row r="485" spans="9:35" ht="14" x14ac:dyDescent="0.3">
      <c r="I485" s="60">
        <f>'Generic Metadata Schema'!P615</f>
        <v>0</v>
      </c>
      <c r="J485" s="22" t="e">
        <f>IF(LEN(VLOOKUP(I485,A2:D500,4,FALSE))=0,"",VLOOKUP(I485,A2:D500,4,FALSE))</f>
        <v>#N/A</v>
      </c>
      <c r="L485" s="56">
        <f>'Dose-response Model'!O599</f>
        <v>0</v>
      </c>
      <c r="M485" s="22" t="e">
        <f>IF(LEN(VLOOKUP(L485,A2:D500,4,FALSE))=0,,VLOOKUP(L485,A2:D500,4,FALSE))</f>
        <v>#N/A</v>
      </c>
      <c r="N485" s="22">
        <f>'Exposure Model'!O616</f>
        <v>0</v>
      </c>
      <c r="O485" s="22" t="e">
        <f>IF(LEN(VLOOKUP(N485,A2:D500,4,FALSE))=0,,VLOOKUP(N485,A2:D500,4,FALSE))</f>
        <v>#N/A</v>
      </c>
      <c r="P485" s="56">
        <f>'QRA Models'!Q616</f>
        <v>0</v>
      </c>
      <c r="Q485" s="22" t="e">
        <f>IF(LEN(VLOOKUP(P485,A2:D500,4,FALSE))=0,,VLOOKUP(P485,A2:D500,4,FALSE))</f>
        <v>#N/A</v>
      </c>
      <c r="R485" s="56">
        <f>'Health metrics Models'!Q599</f>
        <v>0</v>
      </c>
      <c r="S485" s="22" t="e">
        <f>IF(LEN(VLOOKUP(R485,A2:D500,4,FALSE))=0,,VLOOKUP(R485,A2:D500,4,FALSE))</f>
        <v>#N/A</v>
      </c>
      <c r="T485" s="56">
        <f>'Process Model'!P597</f>
        <v>0</v>
      </c>
      <c r="U485" s="22" t="e">
        <f>IF(LEN(VLOOKUP(T485,A2:D500,4,FALSE))=0,,VLOOKUP(T485,A2:D500,4,FALSE))</f>
        <v>#N/A</v>
      </c>
      <c r="V485" s="56">
        <f>'Toxicological reference value M'!P599</f>
        <v>0</v>
      </c>
      <c r="W485" s="22" t="e">
        <f>IF(LEN(VLOOKUP(V485,A2:D500,4,FALSE))=0,,VLOOKUP(V485,A2:D500,4,FALSE))</f>
        <v>#N/A</v>
      </c>
      <c r="Y485" s="56">
        <f>'Other Empirical Model'!P610</f>
        <v>0</v>
      </c>
      <c r="Z485" s="22" t="e">
        <f>IF(LEN(VLOOKUP(Y485,A2:D500,4,FALSE))=0,,VLOOKUP(Y485,A2:D500,4,FALSE))</f>
        <v>#N/A</v>
      </c>
      <c r="AA485" s="56">
        <f>'Predictive Model'!P597</f>
        <v>0</v>
      </c>
      <c r="AB485" s="22" t="e">
        <f>IF(LEN(VLOOKUP(AA485,A2:D500,4,FALSE))=0,,VLOOKUP(AA485,A2:D500,4,FALSE))</f>
        <v>#N/A</v>
      </c>
      <c r="AC485" s="56">
        <f>'Consumption Model'!P602</f>
        <v>0</v>
      </c>
      <c r="AD485" s="22" t="e">
        <f>IF(LEN(VLOOKUP(AC485,A2:D500,4,FALSE))=0,,VLOOKUP(AC485,A2:D500,4,FALSE))</f>
        <v>#N/A</v>
      </c>
      <c r="AE485" s="22">
        <f>'(Data)'!Q598</f>
        <v>0</v>
      </c>
      <c r="AF485" s="22" t="e">
        <f>IF(LEN(VLOOKUP(AE484:AE485,A2:D500,4,FALSE))=0,,VLOOKUP(AE484:AE485,A2:D500,4,FALSE))</f>
        <v>#N/A</v>
      </c>
      <c r="AH485" s="45">
        <f>'Risk Charact Model'!P616</f>
        <v>0</v>
      </c>
      <c r="AI485" s="58" t="e">
        <f>IF(LEN(VLOOKUP(AH485,A2:D500,4,FALSE))=0,,VLOOKUP(AH485,A2:D500,4,FALSE))</f>
        <v>#N/A</v>
      </c>
    </row>
    <row r="486" spans="9:35" ht="14" x14ac:dyDescent="0.3">
      <c r="I486" s="60">
        <f>'Generic Metadata Schema'!P616</f>
        <v>0</v>
      </c>
      <c r="J486" s="22" t="e">
        <f>IF(LEN(VLOOKUP(I486,A2:D500,4,FALSE))=0,"",VLOOKUP(I486,A2:D500,4,FALSE))</f>
        <v>#N/A</v>
      </c>
      <c r="L486" s="56">
        <f>'Dose-response Model'!O600</f>
        <v>0</v>
      </c>
      <c r="M486" s="22" t="e">
        <f>IF(LEN(VLOOKUP(L486,A2:D500,4,FALSE))=0,,VLOOKUP(L486,A2:D500,4,FALSE))</f>
        <v>#N/A</v>
      </c>
      <c r="N486" s="22">
        <f>'Exposure Model'!O617</f>
        <v>0</v>
      </c>
      <c r="O486" s="22" t="e">
        <f>IF(LEN(VLOOKUP(N486,A2:D500,4,FALSE))=0,,VLOOKUP(N486,A2:D500,4,FALSE))</f>
        <v>#N/A</v>
      </c>
      <c r="P486" s="56">
        <f>'QRA Models'!Q617</f>
        <v>0</v>
      </c>
      <c r="Q486" s="22" t="e">
        <f>IF(LEN(VLOOKUP(P486,A2:D500,4,FALSE))=0,,VLOOKUP(P486,A2:D500,4,FALSE))</f>
        <v>#N/A</v>
      </c>
      <c r="R486" s="56">
        <f>'Health metrics Models'!Q600</f>
        <v>0</v>
      </c>
      <c r="S486" s="22" t="e">
        <f>IF(LEN(VLOOKUP(R486,A2:D500,4,FALSE))=0,,VLOOKUP(R486,A2:D500,4,FALSE))</f>
        <v>#N/A</v>
      </c>
      <c r="T486" s="56">
        <f>'Process Model'!P598</f>
        <v>0</v>
      </c>
      <c r="U486" s="22" t="e">
        <f>IF(LEN(VLOOKUP(T486,A2:D500,4,FALSE))=0,,VLOOKUP(T486,A2:D500,4,FALSE))</f>
        <v>#N/A</v>
      </c>
      <c r="V486" s="56">
        <f>'Toxicological reference value M'!P600</f>
        <v>0</v>
      </c>
      <c r="W486" s="22" t="e">
        <f>IF(LEN(VLOOKUP(V486,A2:D500,4,FALSE))=0,,VLOOKUP(V486,A2:D500,4,FALSE))</f>
        <v>#N/A</v>
      </c>
      <c r="Y486" s="56">
        <f>'Other Empirical Model'!P611</f>
        <v>0</v>
      </c>
      <c r="Z486" s="22" t="e">
        <f>IF(LEN(VLOOKUP(Y486,A2:D500,4,FALSE))=0,,VLOOKUP(Y486,A2:D500,4,FALSE))</f>
        <v>#N/A</v>
      </c>
      <c r="AA486" s="56">
        <f>'Predictive Model'!P598</f>
        <v>0</v>
      </c>
      <c r="AB486" s="22" t="e">
        <f>IF(LEN(VLOOKUP(AA486,A2:D500,4,FALSE))=0,,VLOOKUP(AA486,A2:D500,4,FALSE))</f>
        <v>#N/A</v>
      </c>
      <c r="AC486" s="56">
        <f>'Consumption Model'!P603</f>
        <v>0</v>
      </c>
      <c r="AD486" s="22" t="e">
        <f>IF(LEN(VLOOKUP(AC486,A2:D500,4,FALSE))=0,,VLOOKUP(AC486,A2:D500,4,FALSE))</f>
        <v>#N/A</v>
      </c>
      <c r="AE486" s="22">
        <f>'(Data)'!Q599</f>
        <v>0</v>
      </c>
      <c r="AF486" s="22" t="e">
        <f>IF(LEN(VLOOKUP(AE485:AE486,A2:D500,4,FALSE))=0,,VLOOKUP(AE485:AE486,A2:D500,4,FALSE))</f>
        <v>#N/A</v>
      </c>
      <c r="AH486" s="45">
        <f>'Risk Charact Model'!P617</f>
        <v>0</v>
      </c>
      <c r="AI486" s="58" t="e">
        <f>IF(LEN(VLOOKUP(AH486,A2:D500,4,FALSE))=0,,VLOOKUP(AH486,A2:D500,4,FALSE))</f>
        <v>#N/A</v>
      </c>
    </row>
    <row r="487" spans="9:35" ht="14" x14ac:dyDescent="0.3">
      <c r="I487" s="60">
        <f>'Generic Metadata Schema'!P617</f>
        <v>0</v>
      </c>
      <c r="J487" s="22" t="e">
        <f>IF(LEN(VLOOKUP(I487,A2:D500,4,FALSE))=0,"",VLOOKUP(I487,A2:D500,4,FALSE))</f>
        <v>#N/A</v>
      </c>
      <c r="L487" s="56">
        <f>'Dose-response Model'!O601</f>
        <v>0</v>
      </c>
      <c r="M487" s="22" t="e">
        <f>IF(LEN(VLOOKUP(L487,A2:D500,4,FALSE))=0,,VLOOKUP(L487,A2:D500,4,FALSE))</f>
        <v>#N/A</v>
      </c>
      <c r="N487" s="22">
        <f>'Exposure Model'!O618</f>
        <v>0</v>
      </c>
      <c r="O487" s="22" t="e">
        <f>IF(LEN(VLOOKUP(N487,A2:D500,4,FALSE))=0,,VLOOKUP(N487,A2:D500,4,FALSE))</f>
        <v>#N/A</v>
      </c>
      <c r="P487" s="56">
        <f>'QRA Models'!Q618</f>
        <v>0</v>
      </c>
      <c r="Q487" s="22" t="e">
        <f>IF(LEN(VLOOKUP(P487,A2:D500,4,FALSE))=0,,VLOOKUP(P487,A2:D500,4,FALSE))</f>
        <v>#N/A</v>
      </c>
      <c r="R487" s="56">
        <f>'Health metrics Models'!Q601</f>
        <v>0</v>
      </c>
      <c r="S487" s="22" t="e">
        <f>IF(LEN(VLOOKUP(R487,A2:D500,4,FALSE))=0,,VLOOKUP(R487,A2:D500,4,FALSE))</f>
        <v>#N/A</v>
      </c>
      <c r="T487" s="56">
        <f>'Process Model'!P599</f>
        <v>0</v>
      </c>
      <c r="U487" s="22" t="e">
        <f>IF(LEN(VLOOKUP(T487,A2:D500,4,FALSE))=0,,VLOOKUP(T487,A2:D500,4,FALSE))</f>
        <v>#N/A</v>
      </c>
      <c r="V487" s="56">
        <f>'Toxicological reference value M'!P601</f>
        <v>0</v>
      </c>
      <c r="W487" s="22" t="e">
        <f>IF(LEN(VLOOKUP(V487,A2:D500,4,FALSE))=0,,VLOOKUP(V487,A2:D500,4,FALSE))</f>
        <v>#N/A</v>
      </c>
      <c r="Y487" s="56">
        <f>'Other Empirical Model'!P612</f>
        <v>0</v>
      </c>
      <c r="Z487" s="22" t="e">
        <f>IF(LEN(VLOOKUP(Y487,A2:D500,4,FALSE))=0,,VLOOKUP(Y487,A2:D500,4,FALSE))</f>
        <v>#N/A</v>
      </c>
      <c r="AA487" s="56">
        <f>'Predictive Model'!P599</f>
        <v>0</v>
      </c>
      <c r="AB487" s="22" t="e">
        <f>IF(LEN(VLOOKUP(AA487,A2:D500,4,FALSE))=0,,VLOOKUP(AA487,A2:D500,4,FALSE))</f>
        <v>#N/A</v>
      </c>
      <c r="AC487" s="56">
        <f>'Consumption Model'!P604</f>
        <v>0</v>
      </c>
      <c r="AD487" s="22" t="e">
        <f>IF(LEN(VLOOKUP(AC487,A2:D500,4,FALSE))=0,,VLOOKUP(AC487,A2:D500,4,FALSE))</f>
        <v>#N/A</v>
      </c>
      <c r="AE487" s="22">
        <f>'(Data)'!Q600</f>
        <v>0</v>
      </c>
      <c r="AF487" s="22" t="e">
        <f>IF(LEN(VLOOKUP(AE486:AE487,A2:D500,4,FALSE))=0,,VLOOKUP(AE486:AE487,A2:D500,4,FALSE))</f>
        <v>#N/A</v>
      </c>
      <c r="AH487" s="45">
        <f>'Risk Charact Model'!P618</f>
        <v>0</v>
      </c>
      <c r="AI487" s="58" t="e">
        <f>IF(LEN(VLOOKUP(AH487,A2:D500,4,FALSE))=0,,VLOOKUP(AH487,A2:D500,4,FALSE))</f>
        <v>#N/A</v>
      </c>
    </row>
    <row r="488" spans="9:35" ht="14" x14ac:dyDescent="0.3">
      <c r="I488" s="60">
        <f>'Generic Metadata Schema'!P618</f>
        <v>0</v>
      </c>
      <c r="J488" s="22" t="e">
        <f>IF(LEN(VLOOKUP(I488,A2:D500,4,FALSE))=0,"",VLOOKUP(I488,A2:D500,4,FALSE))</f>
        <v>#N/A</v>
      </c>
      <c r="L488" s="56">
        <f>'Dose-response Model'!O602</f>
        <v>0</v>
      </c>
      <c r="M488" s="22" t="e">
        <f>IF(LEN(VLOOKUP(L488,A2:D500,4,FALSE))=0,,VLOOKUP(L488,A2:D500,4,FALSE))</f>
        <v>#N/A</v>
      </c>
      <c r="N488" s="22">
        <f>'Exposure Model'!O619</f>
        <v>0</v>
      </c>
      <c r="O488" s="22" t="e">
        <f>IF(LEN(VLOOKUP(N488,A2:D500,4,FALSE))=0,,VLOOKUP(N488,A2:D500,4,FALSE))</f>
        <v>#N/A</v>
      </c>
      <c r="P488" s="56">
        <f>'QRA Models'!Q619</f>
        <v>0</v>
      </c>
      <c r="Q488" s="22" t="e">
        <f>IF(LEN(VLOOKUP(P488,A2:D500,4,FALSE))=0,,VLOOKUP(P488,A2:D500,4,FALSE))</f>
        <v>#N/A</v>
      </c>
      <c r="R488" s="56">
        <f>'Health metrics Models'!Q602</f>
        <v>0</v>
      </c>
      <c r="S488" s="22" t="e">
        <f>IF(LEN(VLOOKUP(R488,A2:D500,4,FALSE))=0,,VLOOKUP(R488,A2:D500,4,FALSE))</f>
        <v>#N/A</v>
      </c>
      <c r="T488" s="56">
        <f>'Process Model'!P600</f>
        <v>0</v>
      </c>
      <c r="U488" s="22" t="e">
        <f>IF(LEN(VLOOKUP(T488,A2:D500,4,FALSE))=0,,VLOOKUP(T488,A2:D500,4,FALSE))</f>
        <v>#N/A</v>
      </c>
      <c r="V488" s="56">
        <f>'Toxicological reference value M'!P602</f>
        <v>0</v>
      </c>
      <c r="W488" s="22" t="e">
        <f>IF(LEN(VLOOKUP(V488,A2:D500,4,FALSE))=0,,VLOOKUP(V488,A2:D500,4,FALSE))</f>
        <v>#N/A</v>
      </c>
      <c r="Y488" s="56">
        <f>'Other Empirical Model'!P613</f>
        <v>0</v>
      </c>
      <c r="Z488" s="22" t="e">
        <f>IF(LEN(VLOOKUP(Y488,A2:D500,4,FALSE))=0,,VLOOKUP(Y488,A2:D500,4,FALSE))</f>
        <v>#N/A</v>
      </c>
      <c r="AA488" s="56">
        <f>'Predictive Model'!P600</f>
        <v>0</v>
      </c>
      <c r="AB488" s="22" t="e">
        <f>IF(LEN(VLOOKUP(AA488,A2:D500,4,FALSE))=0,,VLOOKUP(AA488,A2:D500,4,FALSE))</f>
        <v>#N/A</v>
      </c>
      <c r="AC488" s="56">
        <f>'Consumption Model'!P605</f>
        <v>0</v>
      </c>
      <c r="AD488" s="22" t="e">
        <f>IF(LEN(VLOOKUP(AC488,A2:D500,4,FALSE))=0,,VLOOKUP(AC488,A2:D500,4,FALSE))</f>
        <v>#N/A</v>
      </c>
      <c r="AE488" s="22">
        <f>'(Data)'!Q601</f>
        <v>0</v>
      </c>
      <c r="AF488" s="22" t="e">
        <f>IF(LEN(VLOOKUP(AE487:AE488,A2:D500,4,FALSE))=0,,VLOOKUP(AE487:AE488,A2:D500,4,FALSE))</f>
        <v>#N/A</v>
      </c>
      <c r="AH488" s="45">
        <f>'Risk Charact Model'!P619</f>
        <v>0</v>
      </c>
      <c r="AI488" s="58" t="e">
        <f>IF(LEN(VLOOKUP(AH488,A2:D500,4,FALSE))=0,,VLOOKUP(AH488,A2:D500,4,FALSE))</f>
        <v>#N/A</v>
      </c>
    </row>
    <row r="489" spans="9:35" ht="14" x14ac:dyDescent="0.3">
      <c r="I489" s="60">
        <f>'Generic Metadata Schema'!P619</f>
        <v>0</v>
      </c>
      <c r="J489" s="22" t="e">
        <f>IF(LEN(VLOOKUP(I489,A2:D500,4,FALSE))=0,"",VLOOKUP(I489,A2:D500,4,FALSE))</f>
        <v>#N/A</v>
      </c>
      <c r="L489" s="56">
        <f>'Dose-response Model'!O603</f>
        <v>0</v>
      </c>
      <c r="M489" s="22" t="e">
        <f>IF(LEN(VLOOKUP(L489,A2:D500,4,FALSE))=0,,VLOOKUP(L489,A2:D500,4,FALSE))</f>
        <v>#N/A</v>
      </c>
      <c r="N489" s="22">
        <f>'Exposure Model'!O620</f>
        <v>0</v>
      </c>
      <c r="O489" s="22" t="e">
        <f>IF(LEN(VLOOKUP(N489,A2:D500,4,FALSE))=0,,VLOOKUP(N489,A2:D500,4,FALSE))</f>
        <v>#N/A</v>
      </c>
      <c r="P489" s="56">
        <f>'QRA Models'!Q620</f>
        <v>0</v>
      </c>
      <c r="Q489" s="22" t="e">
        <f>IF(LEN(VLOOKUP(P489,A2:D500,4,FALSE))=0,,VLOOKUP(P489,A2:D500,4,FALSE))</f>
        <v>#N/A</v>
      </c>
      <c r="R489" s="56">
        <f>'Health metrics Models'!Q603</f>
        <v>0</v>
      </c>
      <c r="S489" s="22" t="e">
        <f>IF(LEN(VLOOKUP(R489,A2:D500,4,FALSE))=0,,VLOOKUP(R489,A2:D500,4,FALSE))</f>
        <v>#N/A</v>
      </c>
      <c r="T489" s="56">
        <f>'Process Model'!P601</f>
        <v>0</v>
      </c>
      <c r="U489" s="22" t="e">
        <f>IF(LEN(VLOOKUP(T489,A2:D500,4,FALSE))=0,,VLOOKUP(T489,A2:D500,4,FALSE))</f>
        <v>#N/A</v>
      </c>
      <c r="V489" s="56">
        <f>'Toxicological reference value M'!P603</f>
        <v>0</v>
      </c>
      <c r="W489" s="22" t="e">
        <f>IF(LEN(VLOOKUP(V489,A2:D500,4,FALSE))=0,,VLOOKUP(V489,A2:D500,4,FALSE))</f>
        <v>#N/A</v>
      </c>
      <c r="Y489" s="56">
        <f>'Other Empirical Model'!P614</f>
        <v>0</v>
      </c>
      <c r="Z489" s="22" t="e">
        <f>IF(LEN(VLOOKUP(Y489,A2:D500,4,FALSE))=0,,VLOOKUP(Y489,A2:D500,4,FALSE))</f>
        <v>#N/A</v>
      </c>
      <c r="AA489" s="56">
        <f>'Predictive Model'!P601</f>
        <v>0</v>
      </c>
      <c r="AB489" s="22" t="e">
        <f>IF(LEN(VLOOKUP(AA489,A2:D500,4,FALSE))=0,,VLOOKUP(AA489,A2:D500,4,FALSE))</f>
        <v>#N/A</v>
      </c>
      <c r="AC489" s="56">
        <f>'Consumption Model'!P606</f>
        <v>0</v>
      </c>
      <c r="AD489" s="22" t="e">
        <f>IF(LEN(VLOOKUP(AC489,A2:D500,4,FALSE))=0,,VLOOKUP(AC489,A2:D500,4,FALSE))</f>
        <v>#N/A</v>
      </c>
      <c r="AE489" s="22">
        <f>'(Data)'!Q602</f>
        <v>0</v>
      </c>
      <c r="AF489" s="22" t="e">
        <f>IF(LEN(VLOOKUP(AE488:AE489,A2:D500,4,FALSE))=0,,VLOOKUP(AE488:AE489,A2:D500,4,FALSE))</f>
        <v>#N/A</v>
      </c>
      <c r="AH489" s="45">
        <f>'Risk Charact Model'!P620</f>
        <v>0</v>
      </c>
      <c r="AI489" s="58" t="e">
        <f>IF(LEN(VLOOKUP(AH489,A2:D500,4,FALSE))=0,,VLOOKUP(AH489,A2:D500,4,FALSE))</f>
        <v>#N/A</v>
      </c>
    </row>
    <row r="490" spans="9:35" ht="14" x14ac:dyDescent="0.3">
      <c r="I490" s="60">
        <f>'Generic Metadata Schema'!P620</f>
        <v>0</v>
      </c>
      <c r="J490" s="22" t="e">
        <f>IF(LEN(VLOOKUP(I490,A2:D500,4,FALSE))=0,"",VLOOKUP(I490,A2:D500,4,FALSE))</f>
        <v>#N/A</v>
      </c>
      <c r="L490" s="56">
        <f>'Dose-response Model'!O604</f>
        <v>0</v>
      </c>
      <c r="M490" s="22" t="e">
        <f>IF(LEN(VLOOKUP(L490,A2:D500,4,FALSE))=0,,VLOOKUP(L490,A2:D500,4,FALSE))</f>
        <v>#N/A</v>
      </c>
      <c r="N490" s="22">
        <f>'Exposure Model'!O621</f>
        <v>0</v>
      </c>
      <c r="O490" s="22" t="e">
        <f>IF(LEN(VLOOKUP(N490,A2:D500,4,FALSE))=0,,VLOOKUP(N490,A2:D500,4,FALSE))</f>
        <v>#N/A</v>
      </c>
      <c r="P490" s="56">
        <f>'QRA Models'!Q621</f>
        <v>0</v>
      </c>
      <c r="Q490" s="22" t="e">
        <f>IF(LEN(VLOOKUP(P490,A2:D500,4,FALSE))=0,,VLOOKUP(P490,A2:D500,4,FALSE))</f>
        <v>#N/A</v>
      </c>
      <c r="R490" s="56">
        <f>'Health metrics Models'!Q604</f>
        <v>0</v>
      </c>
      <c r="S490" s="22" t="e">
        <f>IF(LEN(VLOOKUP(R490,A2:D500,4,FALSE))=0,,VLOOKUP(R490,A2:D500,4,FALSE))</f>
        <v>#N/A</v>
      </c>
      <c r="T490" s="56">
        <f>'Process Model'!P602</f>
        <v>0</v>
      </c>
      <c r="U490" s="22" t="e">
        <f>IF(LEN(VLOOKUP(T490,A2:D500,4,FALSE))=0,,VLOOKUP(T490,A2:D500,4,FALSE))</f>
        <v>#N/A</v>
      </c>
      <c r="V490" s="56">
        <f>'Toxicological reference value M'!P604</f>
        <v>0</v>
      </c>
      <c r="W490" s="22" t="e">
        <f>IF(LEN(VLOOKUP(V490,A2:D500,4,FALSE))=0,,VLOOKUP(V490,A2:D500,4,FALSE))</f>
        <v>#N/A</v>
      </c>
      <c r="Y490" s="56">
        <f>'Other Empirical Model'!P615</f>
        <v>0</v>
      </c>
      <c r="Z490" s="22" t="e">
        <f>IF(LEN(VLOOKUP(Y490,A2:D500,4,FALSE))=0,,VLOOKUP(Y490,A2:D500,4,FALSE))</f>
        <v>#N/A</v>
      </c>
      <c r="AA490" s="56">
        <f>'Predictive Model'!P602</f>
        <v>0</v>
      </c>
      <c r="AB490" s="22" t="e">
        <f>IF(LEN(VLOOKUP(AA490,A2:D500,4,FALSE))=0,,VLOOKUP(AA490,A2:D500,4,FALSE))</f>
        <v>#N/A</v>
      </c>
      <c r="AC490" s="56">
        <f>'Consumption Model'!P607</f>
        <v>0</v>
      </c>
      <c r="AD490" s="22" t="e">
        <f>IF(LEN(VLOOKUP(AC490,A2:D500,4,FALSE))=0,,VLOOKUP(AC490,A2:D500,4,FALSE))</f>
        <v>#N/A</v>
      </c>
      <c r="AE490" s="22">
        <f>'(Data)'!Q603</f>
        <v>0</v>
      </c>
      <c r="AF490" s="22" t="e">
        <f>IF(LEN(VLOOKUP(AE489:AE490,A2:D500,4,FALSE))=0,,VLOOKUP(AE489:AE490,A2:D500,4,FALSE))</f>
        <v>#N/A</v>
      </c>
      <c r="AH490" s="45">
        <f>'Risk Charact Model'!P621</f>
        <v>0</v>
      </c>
      <c r="AI490" s="58" t="e">
        <f>IF(LEN(VLOOKUP(AH490,A2:D500,4,FALSE))=0,,VLOOKUP(AH490,A2:D500,4,FALSE))</f>
        <v>#N/A</v>
      </c>
    </row>
    <row r="491" spans="9:35" ht="14" x14ac:dyDescent="0.3">
      <c r="I491" s="60">
        <f>'Generic Metadata Schema'!P621</f>
        <v>0</v>
      </c>
      <c r="J491" s="22" t="e">
        <f>IF(LEN(VLOOKUP(I491,A2:D500,4,FALSE))=0,"",VLOOKUP(I491,A2:D500,4,FALSE))</f>
        <v>#N/A</v>
      </c>
      <c r="L491" s="56">
        <f>'Dose-response Model'!O605</f>
        <v>0</v>
      </c>
      <c r="M491" s="22" t="e">
        <f>IF(LEN(VLOOKUP(L491,A2:D500,4,FALSE))=0,,VLOOKUP(L491,A2:D500,4,FALSE))</f>
        <v>#N/A</v>
      </c>
      <c r="N491" s="22">
        <f>'Exposure Model'!O622</f>
        <v>0</v>
      </c>
      <c r="O491" s="22" t="e">
        <f>IF(LEN(VLOOKUP(N491,A2:D500,4,FALSE))=0,,VLOOKUP(N491,A2:D500,4,FALSE))</f>
        <v>#N/A</v>
      </c>
      <c r="P491" s="56">
        <f>'QRA Models'!Q622</f>
        <v>0</v>
      </c>
      <c r="Q491" s="22" t="e">
        <f>IF(LEN(VLOOKUP(P491,A2:D500,4,FALSE))=0,,VLOOKUP(P491,A2:D500,4,FALSE))</f>
        <v>#N/A</v>
      </c>
      <c r="R491" s="56">
        <f>'Health metrics Models'!Q605</f>
        <v>0</v>
      </c>
      <c r="S491" s="22" t="e">
        <f>IF(LEN(VLOOKUP(R491,A2:D500,4,FALSE))=0,,VLOOKUP(R491,A2:D500,4,FALSE))</f>
        <v>#N/A</v>
      </c>
      <c r="T491" s="56">
        <f>'Process Model'!P603</f>
        <v>0</v>
      </c>
      <c r="U491" s="22" t="e">
        <f>IF(LEN(VLOOKUP(T491,A2:D500,4,FALSE))=0,,VLOOKUP(T491,A2:D500,4,FALSE))</f>
        <v>#N/A</v>
      </c>
      <c r="V491" s="56">
        <f>'Toxicological reference value M'!P605</f>
        <v>0</v>
      </c>
      <c r="W491" s="22" t="e">
        <f>IF(LEN(VLOOKUP(V491,A2:D500,4,FALSE))=0,,VLOOKUP(V491,A2:D500,4,FALSE))</f>
        <v>#N/A</v>
      </c>
      <c r="Y491" s="56">
        <f>'Other Empirical Model'!P616</f>
        <v>0</v>
      </c>
      <c r="Z491" s="22" t="e">
        <f>IF(LEN(VLOOKUP(Y491,A2:D500,4,FALSE))=0,,VLOOKUP(Y491,A2:D500,4,FALSE))</f>
        <v>#N/A</v>
      </c>
      <c r="AA491" s="56">
        <f>'Predictive Model'!P603</f>
        <v>0</v>
      </c>
      <c r="AB491" s="22" t="e">
        <f>IF(LEN(VLOOKUP(AA491,A2:D500,4,FALSE))=0,,VLOOKUP(AA491,A2:D500,4,FALSE))</f>
        <v>#N/A</v>
      </c>
      <c r="AC491" s="56">
        <f>'Consumption Model'!P608</f>
        <v>0</v>
      </c>
      <c r="AD491" s="22" t="e">
        <f>IF(LEN(VLOOKUP(AC491,A2:D500,4,FALSE))=0,,VLOOKUP(AC491,A2:D500,4,FALSE))</f>
        <v>#N/A</v>
      </c>
      <c r="AE491" s="22">
        <f>'(Data)'!Q604</f>
        <v>0</v>
      </c>
      <c r="AF491" s="22" t="e">
        <f>IF(LEN(VLOOKUP(AE490:AE491,A2:D500,4,FALSE))=0,,VLOOKUP(AE490:AE491,A2:D500,4,FALSE))</f>
        <v>#N/A</v>
      </c>
      <c r="AH491" s="45">
        <f>'Risk Charact Model'!P622</f>
        <v>0</v>
      </c>
      <c r="AI491" s="58" t="e">
        <f>IF(LEN(VLOOKUP(AH491,A2:D500,4,FALSE))=0,,VLOOKUP(AH491,A2:D500,4,FALSE))</f>
        <v>#N/A</v>
      </c>
    </row>
    <row r="492" spans="9:35" ht="14" x14ac:dyDescent="0.3">
      <c r="I492" s="60">
        <f>'Generic Metadata Schema'!P622</f>
        <v>0</v>
      </c>
      <c r="J492" s="22" t="e">
        <f>IF(LEN(VLOOKUP(I492,A2:D500,4,FALSE))=0,"",VLOOKUP(I492,A2:D500,4,FALSE))</f>
        <v>#N/A</v>
      </c>
      <c r="L492" s="56">
        <f>'Dose-response Model'!O606</f>
        <v>0</v>
      </c>
      <c r="M492" s="22" t="e">
        <f>IF(LEN(VLOOKUP(L492,A2:D500,4,FALSE))=0,,VLOOKUP(L492,A2:D500,4,FALSE))</f>
        <v>#N/A</v>
      </c>
      <c r="N492" s="22">
        <f>'Exposure Model'!O623</f>
        <v>0</v>
      </c>
      <c r="O492" s="22" t="e">
        <f>IF(LEN(VLOOKUP(N492,A2:D500,4,FALSE))=0,,VLOOKUP(N492,A2:D500,4,FALSE))</f>
        <v>#N/A</v>
      </c>
      <c r="P492" s="56">
        <f>'QRA Models'!Q623</f>
        <v>0</v>
      </c>
      <c r="Q492" s="22" t="e">
        <f>IF(LEN(VLOOKUP(P492,A2:D500,4,FALSE))=0,,VLOOKUP(P492,A2:D500,4,FALSE))</f>
        <v>#N/A</v>
      </c>
      <c r="R492" s="56">
        <f>'Health metrics Models'!Q606</f>
        <v>0</v>
      </c>
      <c r="S492" s="22" t="e">
        <f>IF(LEN(VLOOKUP(R492,A2:D500,4,FALSE))=0,,VLOOKUP(R492,A2:D500,4,FALSE))</f>
        <v>#N/A</v>
      </c>
      <c r="T492" s="56">
        <f>'Process Model'!P604</f>
        <v>0</v>
      </c>
      <c r="U492" s="22" t="e">
        <f>IF(LEN(VLOOKUP(T492,A2:D500,4,FALSE))=0,,VLOOKUP(T492,A2:D500,4,FALSE))</f>
        <v>#N/A</v>
      </c>
      <c r="V492" s="56">
        <f>'Toxicological reference value M'!P606</f>
        <v>0</v>
      </c>
      <c r="W492" s="22" t="e">
        <f>IF(LEN(VLOOKUP(V492,A2:D500,4,FALSE))=0,,VLOOKUP(V492,A2:D500,4,FALSE))</f>
        <v>#N/A</v>
      </c>
      <c r="Y492" s="56">
        <f>'Other Empirical Model'!P617</f>
        <v>0</v>
      </c>
      <c r="Z492" s="22" t="e">
        <f>IF(LEN(VLOOKUP(Y492,A2:D500,4,FALSE))=0,,VLOOKUP(Y492,A2:D500,4,FALSE))</f>
        <v>#N/A</v>
      </c>
      <c r="AA492" s="56">
        <f>'Predictive Model'!P604</f>
        <v>0</v>
      </c>
      <c r="AB492" s="22" t="e">
        <f>IF(LEN(VLOOKUP(AA492,A2:D500,4,FALSE))=0,,VLOOKUP(AA492,A2:D500,4,FALSE))</f>
        <v>#N/A</v>
      </c>
      <c r="AC492" s="56">
        <f>'Consumption Model'!P609</f>
        <v>0</v>
      </c>
      <c r="AD492" s="22" t="e">
        <f>IF(LEN(VLOOKUP(AC492,A2:D500,4,FALSE))=0,,VLOOKUP(AC492,A2:D500,4,FALSE))</f>
        <v>#N/A</v>
      </c>
      <c r="AE492" s="22">
        <f>'(Data)'!Q605</f>
        <v>0</v>
      </c>
      <c r="AF492" s="22" t="e">
        <f>IF(LEN(VLOOKUP(AE491:AE492,A2:D500,4,FALSE))=0,,VLOOKUP(AE491:AE492,A2:D500,4,FALSE))</f>
        <v>#N/A</v>
      </c>
      <c r="AH492" s="45">
        <f>'Risk Charact Model'!P623</f>
        <v>0</v>
      </c>
      <c r="AI492" s="58" t="e">
        <f>IF(LEN(VLOOKUP(AH492,A2:D500,4,FALSE))=0,,VLOOKUP(AH492,A2:D500,4,FALSE))</f>
        <v>#N/A</v>
      </c>
    </row>
    <row r="493" spans="9:35" ht="14" x14ac:dyDescent="0.3">
      <c r="I493" s="60">
        <f>'Generic Metadata Schema'!P623</f>
        <v>0</v>
      </c>
      <c r="J493" s="22" t="e">
        <f>IF(LEN(VLOOKUP(I493,A2:D500,4,FALSE))=0,"",VLOOKUP(I493,A2:D500,4,FALSE))</f>
        <v>#N/A</v>
      </c>
      <c r="L493" s="56">
        <f>'Dose-response Model'!O607</f>
        <v>0</v>
      </c>
      <c r="M493" s="22" t="e">
        <f>IF(LEN(VLOOKUP(L493,A2:D500,4,FALSE))=0,,VLOOKUP(L493,A2:D500,4,FALSE))</f>
        <v>#N/A</v>
      </c>
      <c r="N493" s="22">
        <f>'Exposure Model'!O624</f>
        <v>0</v>
      </c>
      <c r="O493" s="22" t="e">
        <f>IF(LEN(VLOOKUP(N493,A2:D500,4,FALSE))=0,,VLOOKUP(N493,A2:D500,4,FALSE))</f>
        <v>#N/A</v>
      </c>
      <c r="P493" s="56">
        <f>'QRA Models'!Q624</f>
        <v>0</v>
      </c>
      <c r="Q493" s="22" t="e">
        <f>IF(LEN(VLOOKUP(P493,A2:D500,4,FALSE))=0,,VLOOKUP(P493,A2:D500,4,FALSE))</f>
        <v>#N/A</v>
      </c>
      <c r="R493" s="56">
        <f>'Health metrics Models'!Q607</f>
        <v>0</v>
      </c>
      <c r="S493" s="22" t="e">
        <f>IF(LEN(VLOOKUP(R493,A2:D500,4,FALSE))=0,,VLOOKUP(R493,A2:D500,4,FALSE))</f>
        <v>#N/A</v>
      </c>
      <c r="T493" s="56">
        <f>'Process Model'!P605</f>
        <v>0</v>
      </c>
      <c r="U493" s="22" t="e">
        <f>IF(LEN(VLOOKUP(T493,A2:D500,4,FALSE))=0,,VLOOKUP(T493,A2:D500,4,FALSE))</f>
        <v>#N/A</v>
      </c>
      <c r="V493" s="56">
        <f>'Toxicological reference value M'!P607</f>
        <v>0</v>
      </c>
      <c r="W493" s="22" t="e">
        <f>IF(LEN(VLOOKUP(V493,A2:D500,4,FALSE))=0,,VLOOKUP(V493,A2:D500,4,FALSE))</f>
        <v>#N/A</v>
      </c>
      <c r="Y493" s="56">
        <f>'Other Empirical Model'!P618</f>
        <v>0</v>
      </c>
      <c r="Z493" s="22" t="e">
        <f>IF(LEN(VLOOKUP(Y493,A2:D500,4,FALSE))=0,,VLOOKUP(Y493,A2:D500,4,FALSE))</f>
        <v>#N/A</v>
      </c>
      <c r="AA493" s="56">
        <f>'Predictive Model'!P605</f>
        <v>0</v>
      </c>
      <c r="AB493" s="22" t="e">
        <f>IF(LEN(VLOOKUP(AA493,A2:D500,4,FALSE))=0,,VLOOKUP(AA493,A2:D500,4,FALSE))</f>
        <v>#N/A</v>
      </c>
      <c r="AC493" s="56">
        <f>'Consumption Model'!P610</f>
        <v>0</v>
      </c>
      <c r="AD493" s="22" t="e">
        <f>IF(LEN(VLOOKUP(AC493,A2:D500,4,FALSE))=0,,VLOOKUP(AC493,A2:D500,4,FALSE))</f>
        <v>#N/A</v>
      </c>
      <c r="AE493" s="22">
        <f>'(Data)'!Q606</f>
        <v>0</v>
      </c>
      <c r="AF493" s="22" t="e">
        <f>IF(LEN(VLOOKUP(AE492:AE493,A2:D500,4,FALSE))=0,,VLOOKUP(AE492:AE493,A2:D500,4,FALSE))</f>
        <v>#N/A</v>
      </c>
      <c r="AH493" s="45">
        <f>'Risk Charact Model'!P624</f>
        <v>0</v>
      </c>
      <c r="AI493" s="58" t="e">
        <f>IF(LEN(VLOOKUP(AH493,A2:D500,4,FALSE))=0,,VLOOKUP(AH493,A2:D500,4,FALSE))</f>
        <v>#N/A</v>
      </c>
    </row>
    <row r="494" spans="9:35" ht="14" x14ac:dyDescent="0.3">
      <c r="I494" s="60">
        <f>'Generic Metadata Schema'!P624</f>
        <v>0</v>
      </c>
      <c r="J494" s="22" t="e">
        <f>IF(LEN(VLOOKUP(I494,A2:D500,4,FALSE))=0,"",VLOOKUP(I494,A2:D500,4,FALSE))</f>
        <v>#N/A</v>
      </c>
      <c r="L494" s="56">
        <f>'Dose-response Model'!O608</f>
        <v>0</v>
      </c>
      <c r="M494" s="22" t="e">
        <f>IF(LEN(VLOOKUP(L494,A2:D500,4,FALSE))=0,,VLOOKUP(L494,A2:D500,4,FALSE))</f>
        <v>#N/A</v>
      </c>
      <c r="N494" s="22">
        <f>'Exposure Model'!O625</f>
        <v>0</v>
      </c>
      <c r="O494" s="22" t="e">
        <f>IF(LEN(VLOOKUP(N494,A2:D500,4,FALSE))=0,,VLOOKUP(N494,A2:D500,4,FALSE))</f>
        <v>#N/A</v>
      </c>
      <c r="P494" s="56">
        <f>'QRA Models'!Q625</f>
        <v>0</v>
      </c>
      <c r="Q494" s="22" t="e">
        <f>IF(LEN(VLOOKUP(P494,A2:D500,4,FALSE))=0,,VLOOKUP(P494,A2:D500,4,FALSE))</f>
        <v>#N/A</v>
      </c>
      <c r="R494" s="56">
        <f>'Health metrics Models'!Q608</f>
        <v>0</v>
      </c>
      <c r="S494" s="22" t="e">
        <f>IF(LEN(VLOOKUP(R494,A2:D500,4,FALSE))=0,,VLOOKUP(R494,A2:D500,4,FALSE))</f>
        <v>#N/A</v>
      </c>
      <c r="T494" s="56">
        <f>'Process Model'!P606</f>
        <v>0</v>
      </c>
      <c r="U494" s="22" t="e">
        <f>IF(LEN(VLOOKUP(T494,A2:D500,4,FALSE))=0,,VLOOKUP(T494,A2:D500,4,FALSE))</f>
        <v>#N/A</v>
      </c>
      <c r="V494" s="56">
        <f>'Toxicological reference value M'!P608</f>
        <v>0</v>
      </c>
      <c r="W494" s="22" t="e">
        <f>IF(LEN(VLOOKUP(V494,A2:D500,4,FALSE))=0,,VLOOKUP(V494,A2:D500,4,FALSE))</f>
        <v>#N/A</v>
      </c>
      <c r="Y494" s="56">
        <f>'Other Empirical Model'!P619</f>
        <v>0</v>
      </c>
      <c r="Z494" s="22" t="e">
        <f>IF(LEN(VLOOKUP(Y494,A2:D500,4,FALSE))=0,,VLOOKUP(Y494,A2:D500,4,FALSE))</f>
        <v>#N/A</v>
      </c>
      <c r="AA494" s="56">
        <f>'Predictive Model'!P606</f>
        <v>0</v>
      </c>
      <c r="AB494" s="22" t="e">
        <f>IF(LEN(VLOOKUP(AA494,A2:D500,4,FALSE))=0,,VLOOKUP(AA494,A2:D500,4,FALSE))</f>
        <v>#N/A</v>
      </c>
      <c r="AC494" s="56">
        <f>'Consumption Model'!P611</f>
        <v>0</v>
      </c>
      <c r="AD494" s="22" t="e">
        <f>IF(LEN(VLOOKUP(AC494,A2:D500,4,FALSE))=0,,VLOOKUP(AC494,A2:D500,4,FALSE))</f>
        <v>#N/A</v>
      </c>
      <c r="AE494" s="22">
        <f>'(Data)'!Q607</f>
        <v>0</v>
      </c>
      <c r="AF494" s="22" t="e">
        <f>IF(LEN(VLOOKUP(AE493:AE494,A2:D500,4,FALSE))=0,,VLOOKUP(AE493:AE494,A2:D500,4,FALSE))</f>
        <v>#N/A</v>
      </c>
      <c r="AH494" s="45">
        <f>'Risk Charact Model'!P625</f>
        <v>0</v>
      </c>
      <c r="AI494" s="58" t="e">
        <f>IF(LEN(VLOOKUP(AH494,A2:D500,4,FALSE))=0,,VLOOKUP(AH494,A2:D500,4,FALSE))</f>
        <v>#N/A</v>
      </c>
    </row>
    <row r="495" spans="9:35" ht="14" x14ac:dyDescent="0.3">
      <c r="I495" s="60">
        <f>'Generic Metadata Schema'!P625</f>
        <v>0</v>
      </c>
      <c r="J495" s="22" t="e">
        <f>IF(LEN(VLOOKUP(I495,A2:D500,4,FALSE))=0,"",VLOOKUP(I495,A2:D500,4,FALSE))</f>
        <v>#N/A</v>
      </c>
      <c r="L495" s="56">
        <f>'Dose-response Model'!O609</f>
        <v>0</v>
      </c>
      <c r="M495" s="22" t="e">
        <f>IF(LEN(VLOOKUP(L495,A2:D500,4,FALSE))=0,,VLOOKUP(L495,A2:D500,4,FALSE))</f>
        <v>#N/A</v>
      </c>
      <c r="N495" s="22">
        <f>'Exposure Model'!O626</f>
        <v>0</v>
      </c>
      <c r="O495" s="22" t="e">
        <f>IF(LEN(VLOOKUP(N495,A2:D500,4,FALSE))=0,,VLOOKUP(N495,A2:D500,4,FALSE))</f>
        <v>#N/A</v>
      </c>
      <c r="P495" s="56">
        <f>'QRA Models'!Q626</f>
        <v>0</v>
      </c>
      <c r="Q495" s="22" t="e">
        <f>IF(LEN(VLOOKUP(P495,A2:D500,4,FALSE))=0,,VLOOKUP(P495,A2:D500,4,FALSE))</f>
        <v>#N/A</v>
      </c>
      <c r="R495" s="56">
        <f>'Health metrics Models'!Q609</f>
        <v>0</v>
      </c>
      <c r="S495" s="22" t="e">
        <f>IF(LEN(VLOOKUP(R495,A2:D500,4,FALSE))=0,,VLOOKUP(R495,A2:D500,4,FALSE))</f>
        <v>#N/A</v>
      </c>
      <c r="T495" s="56">
        <f>'Process Model'!P607</f>
        <v>0</v>
      </c>
      <c r="U495" s="22" t="e">
        <f>IF(LEN(VLOOKUP(T495,A2:D500,4,FALSE))=0,,VLOOKUP(T495,A2:D500,4,FALSE))</f>
        <v>#N/A</v>
      </c>
      <c r="V495" s="56">
        <f>'Toxicological reference value M'!P609</f>
        <v>0</v>
      </c>
      <c r="W495" s="22" t="e">
        <f>IF(LEN(VLOOKUP(V495,A2:D500,4,FALSE))=0,,VLOOKUP(V495,A2:D500,4,FALSE))</f>
        <v>#N/A</v>
      </c>
      <c r="Y495" s="56">
        <f>'Other Empirical Model'!P620</f>
        <v>0</v>
      </c>
      <c r="Z495" s="22" t="e">
        <f>IF(LEN(VLOOKUP(Y495,A2:D500,4,FALSE))=0,,VLOOKUP(Y495,A2:D500,4,FALSE))</f>
        <v>#N/A</v>
      </c>
      <c r="AA495" s="56">
        <f>'Predictive Model'!P607</f>
        <v>0</v>
      </c>
      <c r="AB495" s="22" t="e">
        <f>IF(LEN(VLOOKUP(AA495,A2:D500,4,FALSE))=0,,VLOOKUP(AA495,A2:D500,4,FALSE))</f>
        <v>#N/A</v>
      </c>
      <c r="AC495" s="56">
        <f>'Consumption Model'!P612</f>
        <v>0</v>
      </c>
      <c r="AD495" s="22" t="e">
        <f>IF(LEN(VLOOKUP(AC495,A2:D500,4,FALSE))=0,,VLOOKUP(AC495,A2:D500,4,FALSE))</f>
        <v>#N/A</v>
      </c>
      <c r="AE495" s="22">
        <f>'(Data)'!Q608</f>
        <v>0</v>
      </c>
      <c r="AF495" s="22" t="e">
        <f>IF(LEN(VLOOKUP(AE494:AE495,A2:D500,4,FALSE))=0,,VLOOKUP(AE494:AE495,A2:D500,4,FALSE))</f>
        <v>#N/A</v>
      </c>
      <c r="AH495" s="45">
        <f>'Risk Charact Model'!P626</f>
        <v>0</v>
      </c>
      <c r="AI495" s="58" t="e">
        <f>IF(LEN(VLOOKUP(AH495,A2:D500,4,FALSE))=0,,VLOOKUP(AH495,A2:D500,4,FALSE))</f>
        <v>#N/A</v>
      </c>
    </row>
    <row r="496" spans="9:35" ht="14" x14ac:dyDescent="0.3">
      <c r="I496" s="60">
        <f>'Generic Metadata Schema'!P626</f>
        <v>0</v>
      </c>
      <c r="J496" s="22" t="e">
        <f>IF(LEN(VLOOKUP(I496,A2:D500,4,FALSE))=0,"",VLOOKUP(I496,A2:D500,4,FALSE))</f>
        <v>#N/A</v>
      </c>
      <c r="L496" s="56">
        <f>'Dose-response Model'!O610</f>
        <v>0</v>
      </c>
      <c r="M496" s="22" t="e">
        <f>IF(LEN(VLOOKUP(L496,A2:D500,4,FALSE))=0,,VLOOKUP(L496,A2:D500,4,FALSE))</f>
        <v>#N/A</v>
      </c>
      <c r="N496" s="22">
        <f>'Exposure Model'!O627</f>
        <v>0</v>
      </c>
      <c r="O496" s="22" t="e">
        <f>IF(LEN(VLOOKUP(N496,A2:D500,4,FALSE))=0,,VLOOKUP(N496,A2:D500,4,FALSE))</f>
        <v>#N/A</v>
      </c>
      <c r="P496" s="56">
        <f>'QRA Models'!Q627</f>
        <v>0</v>
      </c>
      <c r="Q496" s="22" t="e">
        <f>IF(LEN(VLOOKUP(P496,A2:D500,4,FALSE))=0,,VLOOKUP(P496,A2:D500,4,FALSE))</f>
        <v>#N/A</v>
      </c>
      <c r="R496" s="56">
        <f>'Health metrics Models'!Q610</f>
        <v>0</v>
      </c>
      <c r="S496" s="22" t="e">
        <f>IF(LEN(VLOOKUP(R496,A2:D500,4,FALSE))=0,,VLOOKUP(R496,A2:D500,4,FALSE))</f>
        <v>#N/A</v>
      </c>
      <c r="T496" s="56">
        <f>'Process Model'!P608</f>
        <v>0</v>
      </c>
      <c r="U496" s="22" t="e">
        <f>IF(LEN(VLOOKUP(T496,A2:D500,4,FALSE))=0,,VLOOKUP(T496,A2:D500,4,FALSE))</f>
        <v>#N/A</v>
      </c>
      <c r="V496" s="56">
        <f>'Toxicological reference value M'!P610</f>
        <v>0</v>
      </c>
      <c r="W496" s="22" t="e">
        <f>IF(LEN(VLOOKUP(V496,A2:D500,4,FALSE))=0,,VLOOKUP(V496,A2:D500,4,FALSE))</f>
        <v>#N/A</v>
      </c>
      <c r="Y496" s="56">
        <f>'Other Empirical Model'!P621</f>
        <v>0</v>
      </c>
      <c r="Z496" s="22" t="e">
        <f>IF(LEN(VLOOKUP(Y496,A2:D500,4,FALSE))=0,,VLOOKUP(Y496,A2:D500,4,FALSE))</f>
        <v>#N/A</v>
      </c>
      <c r="AA496" s="56">
        <f>'Predictive Model'!P608</f>
        <v>0</v>
      </c>
      <c r="AB496" s="22" t="e">
        <f>IF(LEN(VLOOKUP(AA496,A2:D500,4,FALSE))=0,,VLOOKUP(AA496,A2:D500,4,FALSE))</f>
        <v>#N/A</v>
      </c>
      <c r="AC496" s="56">
        <f>'Consumption Model'!P613</f>
        <v>0</v>
      </c>
      <c r="AD496" s="22" t="e">
        <f>IF(LEN(VLOOKUP(AC496,A2:D500,4,FALSE))=0,,VLOOKUP(AC496,A2:D500,4,FALSE))</f>
        <v>#N/A</v>
      </c>
      <c r="AE496" s="22">
        <f>'(Data)'!Q609</f>
        <v>0</v>
      </c>
      <c r="AF496" s="22" t="e">
        <f>IF(LEN(VLOOKUP(AE495:AE496,A2:D500,4,FALSE))=0,,VLOOKUP(AE495:AE496,A2:D500,4,FALSE))</f>
        <v>#N/A</v>
      </c>
      <c r="AH496" s="45">
        <f>'Risk Charact Model'!P627</f>
        <v>0</v>
      </c>
      <c r="AI496" s="58" t="e">
        <f>IF(LEN(VLOOKUP(AH496,A2:D500,4,FALSE))=0,,VLOOKUP(AH496,A2:D500,4,FALSE))</f>
        <v>#N/A</v>
      </c>
    </row>
    <row r="497" spans="1:35" ht="14" x14ac:dyDescent="0.3">
      <c r="I497" s="60">
        <f>'Generic Metadata Schema'!P627</f>
        <v>0</v>
      </c>
      <c r="J497" s="22" t="e">
        <f>IF(LEN(VLOOKUP(I497,A2:D500,4,FALSE))=0,"",VLOOKUP(I497,A2:D500,4,FALSE))</f>
        <v>#N/A</v>
      </c>
      <c r="L497" s="56">
        <f>'Dose-response Model'!O611</f>
        <v>0</v>
      </c>
      <c r="M497" s="22" t="e">
        <f>IF(LEN(VLOOKUP(L497,A2:D500,4,FALSE))=0,,VLOOKUP(L497,A2:D500,4,FALSE))</f>
        <v>#N/A</v>
      </c>
      <c r="N497" s="22">
        <f>'Exposure Model'!O628</f>
        <v>0</v>
      </c>
      <c r="O497" s="22" t="e">
        <f>IF(LEN(VLOOKUP(N497,A2:D500,4,FALSE))=0,,VLOOKUP(N497,A2:D500,4,FALSE))</f>
        <v>#N/A</v>
      </c>
      <c r="P497" s="56">
        <f>'QRA Models'!Q628</f>
        <v>0</v>
      </c>
      <c r="Q497" s="22" t="e">
        <f>IF(LEN(VLOOKUP(P497,A2:D500,4,FALSE))=0,,VLOOKUP(P497,A2:D500,4,FALSE))</f>
        <v>#N/A</v>
      </c>
      <c r="R497" s="56">
        <f>'Health metrics Models'!Q611</f>
        <v>0</v>
      </c>
      <c r="S497" s="22" t="e">
        <f>IF(LEN(VLOOKUP(R497,A2:D500,4,FALSE))=0,,VLOOKUP(R497,A2:D500,4,FALSE))</f>
        <v>#N/A</v>
      </c>
      <c r="T497" s="56">
        <f>'Process Model'!P609</f>
        <v>0</v>
      </c>
      <c r="U497" s="22" t="e">
        <f>IF(LEN(VLOOKUP(T497,A2:D500,4,FALSE))=0,,VLOOKUP(T497,A2:D500,4,FALSE))</f>
        <v>#N/A</v>
      </c>
      <c r="V497" s="56">
        <f>'Toxicological reference value M'!P611</f>
        <v>0</v>
      </c>
      <c r="W497" s="22" t="e">
        <f>IF(LEN(VLOOKUP(V497,A2:D500,4,FALSE))=0,,VLOOKUP(V497,A2:D500,4,FALSE))</f>
        <v>#N/A</v>
      </c>
      <c r="Y497" s="56">
        <f>'Other Empirical Model'!P622</f>
        <v>0</v>
      </c>
      <c r="Z497" s="22" t="e">
        <f>IF(LEN(VLOOKUP(Y497,A2:D500,4,FALSE))=0,,VLOOKUP(Y497,A2:D500,4,FALSE))</f>
        <v>#N/A</v>
      </c>
      <c r="AA497" s="56">
        <f>'Predictive Model'!P609</f>
        <v>0</v>
      </c>
      <c r="AB497" s="22" t="e">
        <f>IF(LEN(VLOOKUP(AA497,A2:D500,4,FALSE))=0,,VLOOKUP(AA497,A2:D500,4,FALSE))</f>
        <v>#N/A</v>
      </c>
      <c r="AC497" s="56">
        <f>'Consumption Model'!P614</f>
        <v>0</v>
      </c>
      <c r="AD497" s="22" t="e">
        <f>IF(LEN(VLOOKUP(AC497,A2:D500,4,FALSE))=0,,VLOOKUP(AC497,A2:D500,4,FALSE))</f>
        <v>#N/A</v>
      </c>
      <c r="AE497" s="22">
        <f>'(Data)'!Q610</f>
        <v>0</v>
      </c>
      <c r="AF497" s="22" t="e">
        <f>IF(LEN(VLOOKUP(AE496:AE497,A2:D500,4,FALSE))=0,,VLOOKUP(AE496:AE497,A2:D500,4,FALSE))</f>
        <v>#N/A</v>
      </c>
      <c r="AH497" s="45">
        <f>'Risk Charact Model'!P628</f>
        <v>0</v>
      </c>
      <c r="AI497" s="58" t="e">
        <f>IF(LEN(VLOOKUP(AH497,A2:D500,4,FALSE))=0,,VLOOKUP(AH497,A2:D500,4,FALSE))</f>
        <v>#N/A</v>
      </c>
    </row>
    <row r="498" spans="1:35" ht="14" x14ac:dyDescent="0.3">
      <c r="I498" s="60">
        <f>'Generic Metadata Schema'!P628</f>
        <v>0</v>
      </c>
      <c r="J498" s="22" t="e">
        <f>IF(LEN(VLOOKUP(I498,A2:D500,4,FALSE))=0,"",VLOOKUP(I498,A2:D500,4,FALSE))</f>
        <v>#N/A</v>
      </c>
      <c r="L498" s="56">
        <f>'Dose-response Model'!O612</f>
        <v>0</v>
      </c>
      <c r="M498" s="22" t="e">
        <f>IF(LEN(VLOOKUP(L498,A2:D500,4,FALSE))=0,,VLOOKUP(L498,A2:D500,4,FALSE))</f>
        <v>#N/A</v>
      </c>
      <c r="N498" s="22">
        <f>'Exposure Model'!O629</f>
        <v>0</v>
      </c>
      <c r="O498" s="22" t="e">
        <f>IF(LEN(VLOOKUP(N498,A2:D500,4,FALSE))=0,,VLOOKUP(N498,A2:D500,4,FALSE))</f>
        <v>#N/A</v>
      </c>
      <c r="P498" s="56">
        <f>'QRA Models'!Q629</f>
        <v>0</v>
      </c>
      <c r="Q498" s="22" t="e">
        <f>IF(LEN(VLOOKUP(P498,A2:D500,4,FALSE))=0,,VLOOKUP(P498,A2:D500,4,FALSE))</f>
        <v>#N/A</v>
      </c>
      <c r="R498" s="56">
        <f>'Health metrics Models'!Q612</f>
        <v>0</v>
      </c>
      <c r="S498" s="22" t="e">
        <f>IF(LEN(VLOOKUP(R498,A2:D500,4,FALSE))=0,,VLOOKUP(R498,A2:D500,4,FALSE))</f>
        <v>#N/A</v>
      </c>
      <c r="T498" s="56">
        <f>'Process Model'!P610</f>
        <v>0</v>
      </c>
      <c r="U498" s="22" t="e">
        <f>IF(LEN(VLOOKUP(T498,A2:D500,4,FALSE))=0,,VLOOKUP(T498,A2:D500,4,FALSE))</f>
        <v>#N/A</v>
      </c>
      <c r="V498" s="56">
        <f>'Toxicological reference value M'!P612</f>
        <v>0</v>
      </c>
      <c r="W498" s="22" t="e">
        <f>IF(LEN(VLOOKUP(V498,A2:D500,4,FALSE))=0,,VLOOKUP(V498,A2:D500,4,FALSE))</f>
        <v>#N/A</v>
      </c>
      <c r="Y498" s="56">
        <f>'Other Empirical Model'!P623</f>
        <v>0</v>
      </c>
      <c r="Z498" s="22" t="e">
        <f>IF(LEN(VLOOKUP(Y498,A2:D500,4,FALSE))=0,,VLOOKUP(Y498,A2:D500,4,FALSE))</f>
        <v>#N/A</v>
      </c>
      <c r="AA498" s="56">
        <f>'Predictive Model'!P610</f>
        <v>0</v>
      </c>
      <c r="AB498" s="22" t="e">
        <f>IF(LEN(VLOOKUP(AA498,A2:D500,4,FALSE))=0,,VLOOKUP(AA498,A2:D500,4,FALSE))</f>
        <v>#N/A</v>
      </c>
      <c r="AC498" s="56">
        <f>'Consumption Model'!P615</f>
        <v>0</v>
      </c>
      <c r="AD498" s="22" t="e">
        <f>IF(LEN(VLOOKUP(AC498,A2:D500,4,FALSE))=0,,VLOOKUP(AC498,A2:D500,4,FALSE))</f>
        <v>#N/A</v>
      </c>
      <c r="AE498" s="22">
        <f>'(Data)'!Q611</f>
        <v>0</v>
      </c>
      <c r="AF498" s="22" t="e">
        <f>IF(LEN(VLOOKUP(AE497:AE498,A2:D500,4,FALSE))=0,,VLOOKUP(AE497:AE498,A2:D500,4,FALSE))</f>
        <v>#N/A</v>
      </c>
      <c r="AH498" s="45">
        <f>'Risk Charact Model'!P629</f>
        <v>0</v>
      </c>
      <c r="AI498" s="58" t="e">
        <f>IF(LEN(VLOOKUP(AH498,A2:D500,4,FALSE))=0,,VLOOKUP(AH498,A2:D500,4,FALSE))</f>
        <v>#N/A</v>
      </c>
    </row>
    <row r="499" spans="1:35" ht="14" x14ac:dyDescent="0.3">
      <c r="I499" s="60">
        <f>'Generic Metadata Schema'!P629</f>
        <v>0</v>
      </c>
      <c r="J499" s="22" t="e">
        <f>IF(LEN(VLOOKUP(I499,A2:D500,4,FALSE))=0,"",VLOOKUP(I499,A2:D500,4,FALSE))</f>
        <v>#N/A</v>
      </c>
      <c r="L499" s="56">
        <f>'Dose-response Model'!O613</f>
        <v>0</v>
      </c>
      <c r="M499" s="22" t="e">
        <f>IF(LEN(VLOOKUP(L499,A2:D500,4,FALSE))=0,,VLOOKUP(L499,A2:D500,4,FALSE))</f>
        <v>#N/A</v>
      </c>
      <c r="N499" s="22">
        <f>'Exposure Model'!O630</f>
        <v>0</v>
      </c>
      <c r="O499" s="22" t="e">
        <f>IF(LEN(VLOOKUP(N499,A2:D500,4,FALSE))=0,,VLOOKUP(N499,A2:D500,4,FALSE))</f>
        <v>#N/A</v>
      </c>
      <c r="P499" s="56">
        <f>'QRA Models'!Q630</f>
        <v>0</v>
      </c>
      <c r="Q499" s="22" t="e">
        <f>IF(LEN(VLOOKUP(P499,A2:D500,4,FALSE))=0,,VLOOKUP(P499,A2:D500,4,FALSE))</f>
        <v>#N/A</v>
      </c>
      <c r="R499" s="56">
        <f>'Health metrics Models'!Q613</f>
        <v>0</v>
      </c>
      <c r="S499" s="22" t="e">
        <f>IF(LEN(VLOOKUP(R499,A2:D500,4,FALSE))=0,,VLOOKUP(R499,A2:D500,4,FALSE))</f>
        <v>#N/A</v>
      </c>
      <c r="T499" s="56">
        <f>'Process Model'!P611</f>
        <v>0</v>
      </c>
      <c r="U499" s="22" t="e">
        <f>IF(LEN(VLOOKUP(T499,A2:D500,4,FALSE))=0,,VLOOKUP(T499,A2:D500,4,FALSE))</f>
        <v>#N/A</v>
      </c>
      <c r="V499" s="56">
        <f>'Toxicological reference value M'!P613</f>
        <v>0</v>
      </c>
      <c r="W499" s="22" t="e">
        <f>IF(LEN(VLOOKUP(V499,A2:D500,4,FALSE))=0,,VLOOKUP(V499,A2:D500,4,FALSE))</f>
        <v>#N/A</v>
      </c>
      <c r="Y499" s="56">
        <f>'Other Empirical Model'!P624</f>
        <v>0</v>
      </c>
      <c r="Z499" s="22" t="e">
        <f>IF(LEN(VLOOKUP(Y499,A2:D500,4,FALSE))=0,,VLOOKUP(Y499,A2:D500,4,FALSE))</f>
        <v>#N/A</v>
      </c>
      <c r="AA499" s="56">
        <f>'Predictive Model'!P611</f>
        <v>0</v>
      </c>
      <c r="AB499" s="22" t="e">
        <f>IF(LEN(VLOOKUP(AA499,A2:D500,4,FALSE))=0,,VLOOKUP(AA499,A2:D500,4,FALSE))</f>
        <v>#N/A</v>
      </c>
      <c r="AC499" s="56">
        <f>'Consumption Model'!P616</f>
        <v>0</v>
      </c>
      <c r="AD499" s="22" t="e">
        <f>IF(LEN(VLOOKUP(AC499,A2:D500,4,FALSE))=0,,VLOOKUP(AC499,A2:D500,4,FALSE))</f>
        <v>#N/A</v>
      </c>
      <c r="AE499" s="22">
        <f>'(Data)'!Q612</f>
        <v>0</v>
      </c>
      <c r="AF499" s="22" t="e">
        <f>IF(LEN(VLOOKUP(AE498:AE499,A2:D500,4,FALSE))=0,,VLOOKUP(AE498:AE499,A2:D500,4,FALSE))</f>
        <v>#N/A</v>
      </c>
      <c r="AH499" s="45">
        <f>'Risk Charact Model'!P630</f>
        <v>0</v>
      </c>
      <c r="AI499" s="58" t="e">
        <f>IF(LEN(VLOOKUP(AH499,A2:D500,4,FALSE))=0,,VLOOKUP(AH499,A2:D500,4,FALSE))</f>
        <v>#N/A</v>
      </c>
    </row>
    <row r="500" spans="1:35" ht="14" x14ac:dyDescent="0.3">
      <c r="A500" s="45" t="s">
        <v>25</v>
      </c>
      <c r="I500" s="60">
        <f>'Generic Metadata Schema'!P630</f>
        <v>0</v>
      </c>
      <c r="J500" s="22" t="e">
        <f>IF(LEN(VLOOKUP(I500,A2:D500,4,FALSE))=0,"",VLOOKUP(I500,A2:D500,4,FALSE))</f>
        <v>#N/A</v>
      </c>
      <c r="L500" s="56">
        <f>'Dose-response Model'!O614</f>
        <v>0</v>
      </c>
      <c r="M500" s="22" t="e">
        <f>IF(LEN(VLOOKUP(L500,A2:D500,4,FALSE))=0,,VLOOKUP(L500,A2:D500,4,FALSE))</f>
        <v>#N/A</v>
      </c>
      <c r="N500" s="22">
        <f>'Exposure Model'!O631</f>
        <v>0</v>
      </c>
      <c r="O500" s="22" t="e">
        <f>IF(LEN(VLOOKUP(N500,A2:D500,4,FALSE))=0,,VLOOKUP(N500,A2:D500,4,FALSE))</f>
        <v>#N/A</v>
      </c>
      <c r="P500" s="56">
        <f>'QRA Models'!Q631</f>
        <v>0</v>
      </c>
      <c r="Q500" s="22" t="e">
        <f>IF(LEN(VLOOKUP(P500,A2:D500,4,FALSE))=0,,VLOOKUP(P500,A2:D500,4,FALSE))</f>
        <v>#N/A</v>
      </c>
      <c r="R500" s="56">
        <f>'Health metrics Models'!Q614</f>
        <v>0</v>
      </c>
      <c r="S500" s="22" t="e">
        <f>IF(LEN(VLOOKUP(R500,A2:D500,4,FALSE))=0,,VLOOKUP(R500,A2:D500,4,FALSE))</f>
        <v>#N/A</v>
      </c>
      <c r="T500" s="56">
        <f>'Process Model'!P612</f>
        <v>0</v>
      </c>
      <c r="U500" s="22" t="e">
        <f>IF(LEN(VLOOKUP(T500,A2:D500,4,FALSE))=0,,VLOOKUP(T500,A2:D500,4,FALSE))</f>
        <v>#N/A</v>
      </c>
      <c r="V500" s="56">
        <f>'Toxicological reference value M'!P614</f>
        <v>0</v>
      </c>
      <c r="W500" s="22" t="e">
        <f>IF(LEN(VLOOKUP(V500,A2:D500,4,FALSE))=0,,VLOOKUP(V500,A2:D500,4,FALSE))</f>
        <v>#N/A</v>
      </c>
      <c r="Y500" s="56">
        <f>'Other Empirical Model'!P625</f>
        <v>0</v>
      </c>
      <c r="Z500" s="22" t="e">
        <f>IF(LEN(VLOOKUP(Y500,A2:D500,4,FALSE))=0,,VLOOKUP(Y500,A2:D500,4,FALSE))</f>
        <v>#N/A</v>
      </c>
      <c r="AA500" s="56">
        <f>'Predictive Model'!P612</f>
        <v>0</v>
      </c>
      <c r="AB500" s="22" t="e">
        <f>IF(LEN(VLOOKUP(AA500,A2:D500,4,FALSE))=0,,VLOOKUP(AA500,A2:D500,4,FALSE))</f>
        <v>#N/A</v>
      </c>
      <c r="AC500" s="56">
        <f>'Consumption Model'!P617</f>
        <v>0</v>
      </c>
      <c r="AD500" s="22" t="e">
        <f>IF(LEN(VLOOKUP(AC500,A2:D500,4,FALSE))=0,,VLOOKUP(AC500,A2:D500,4,FALSE))</f>
        <v>#N/A</v>
      </c>
      <c r="AE500" s="22">
        <f>'(Data)'!Q613</f>
        <v>0</v>
      </c>
      <c r="AF500" s="22" t="e">
        <f>IF(LEN(VLOOKUP(AE499:AE500,A2:D500,4,FALSE))=0,,VLOOKUP(AE499:AE500,A2:D500,4,FALSE))</f>
        <v>#N/A</v>
      </c>
      <c r="AH500" s="45">
        <f>'Risk Charact Model'!P631</f>
        <v>0</v>
      </c>
      <c r="AI500" s="58" t="e">
        <f>IF(LEN(VLOOKUP(AH500,A2:D500,4,FALSE))=0,,VLOOKUP(AH500,A2:D500,4,FALSE))</f>
        <v>#N/A</v>
      </c>
    </row>
    <row r="501" spans="1:35" ht="14" x14ac:dyDescent="0.3">
      <c r="I501" s="60">
        <f>'Generic Metadata Schema'!P631</f>
        <v>0</v>
      </c>
      <c r="J501" s="22" t="e">
        <f>IF(LEN(VLOOKUP(I501,A2:D500,4,FALSE))=0,"",VLOOKUP(I501,A2:D500,4,FALSE))</f>
        <v>#N/A</v>
      </c>
      <c r="L501" s="56">
        <f>'Dose-response Model'!O615</f>
        <v>0</v>
      </c>
      <c r="M501" s="22" t="e">
        <f>IF(LEN(VLOOKUP(L501,A2:D500,4,FALSE))=0,,VLOOKUP(L501,A2:D500,4,FALSE))</f>
        <v>#N/A</v>
      </c>
      <c r="N501" s="22">
        <f>'Exposure Model'!O632</f>
        <v>0</v>
      </c>
      <c r="O501" s="22" t="e">
        <f>IF(LEN(VLOOKUP(N501,A2:D500,4,FALSE))=0,,VLOOKUP(N501,A2:D500,4,FALSE))</f>
        <v>#N/A</v>
      </c>
      <c r="P501" s="56">
        <f>'QRA Models'!Q632</f>
        <v>0</v>
      </c>
      <c r="Q501" s="22" t="e">
        <f>IF(LEN(VLOOKUP(P501,A2:D500,4,FALSE))=0,,VLOOKUP(P501,A2:D500,4,FALSE))</f>
        <v>#N/A</v>
      </c>
      <c r="R501" s="56">
        <f>'Health metrics Models'!Q615</f>
        <v>0</v>
      </c>
      <c r="S501" s="22" t="e">
        <f>IF(LEN(VLOOKUP(R501,A2:D500,4,FALSE))=0,,VLOOKUP(R501,A2:D500,4,FALSE))</f>
        <v>#N/A</v>
      </c>
      <c r="T501" s="56">
        <f>'Process Model'!P613</f>
        <v>0</v>
      </c>
      <c r="U501" s="22" t="e">
        <f>IF(LEN(VLOOKUP(T501,A2:D500,4,FALSE))=0,,VLOOKUP(T501,A2:D500,4,FALSE))</f>
        <v>#N/A</v>
      </c>
      <c r="V501" s="56">
        <f>'Toxicological reference value M'!P615</f>
        <v>0</v>
      </c>
      <c r="W501" s="22" t="e">
        <f>IF(LEN(VLOOKUP(V501,A2:D500,4,FALSE))=0,,VLOOKUP(V501,A2:D500,4,FALSE))</f>
        <v>#N/A</v>
      </c>
      <c r="Y501" s="56">
        <f>'Other Empirical Model'!P626</f>
        <v>0</v>
      </c>
      <c r="Z501" s="22" t="e">
        <f>IF(LEN(VLOOKUP(Y501,A2:D500,4,FALSE))=0,,VLOOKUP(Y501,A2:D500,4,FALSE))</f>
        <v>#N/A</v>
      </c>
      <c r="AA501" s="56">
        <f>'Predictive Model'!P613</f>
        <v>0</v>
      </c>
      <c r="AB501" s="22" t="e">
        <f>IF(LEN(VLOOKUP(AA501,A2:D500,4,FALSE))=0,,VLOOKUP(AA501,A2:D500,4,FALSE))</f>
        <v>#N/A</v>
      </c>
      <c r="AC501" s="56">
        <f>'Consumption Model'!P618</f>
        <v>0</v>
      </c>
      <c r="AD501" s="22" t="e">
        <f>IF(LEN(VLOOKUP(AC501,A2:D500,4,FALSE))=0,,VLOOKUP(AC501,A2:D500,4,FALSE))</f>
        <v>#N/A</v>
      </c>
      <c r="AE501" s="22">
        <f>'(Data)'!Q614</f>
        <v>0</v>
      </c>
      <c r="AF501" s="22" t="e">
        <f>IF(LEN(VLOOKUP(AE500:AE501,A2:D500,4,FALSE))=0,,VLOOKUP(AE500:AE501,A2:D500,4,FALSE))</f>
        <v>#N/A</v>
      </c>
      <c r="AH501" s="45">
        <f>'Risk Charact Model'!P632</f>
        <v>0</v>
      </c>
      <c r="AI501" s="58" t="e">
        <f>IF(LEN(VLOOKUP(AH501,A2:D500,4,FALSE))=0,,VLOOKUP(AH501,A2:D500,4,FALSE))</f>
        <v>#N/A</v>
      </c>
    </row>
    <row r="502" spans="1:35" ht="14" x14ac:dyDescent="0.3">
      <c r="I502" s="60">
        <f>'Generic Metadata Schema'!P632</f>
        <v>0</v>
      </c>
      <c r="J502" s="22" t="e">
        <f>IF(LEN(VLOOKUP(I502,A2:D500,4,FALSE))=0,"",VLOOKUP(I502,A2:D500,4,FALSE))</f>
        <v>#N/A</v>
      </c>
      <c r="L502" s="56">
        <f>'Dose-response Model'!O616</f>
        <v>0</v>
      </c>
      <c r="M502" s="22" t="e">
        <f>IF(LEN(VLOOKUP(L502,A2:D500,4,FALSE))=0,,VLOOKUP(L502,A2:D500,4,FALSE))</f>
        <v>#N/A</v>
      </c>
      <c r="N502" s="22">
        <f>'Exposure Model'!O633</f>
        <v>0</v>
      </c>
      <c r="O502" s="22" t="e">
        <f>IF(LEN(VLOOKUP(N502,A2:D500,4,FALSE))=0,,VLOOKUP(N502,A2:D500,4,FALSE))</f>
        <v>#N/A</v>
      </c>
      <c r="P502" s="56">
        <f>'QRA Models'!Q633</f>
        <v>0</v>
      </c>
      <c r="Q502" s="22" t="e">
        <f>IF(LEN(VLOOKUP(P502,A2:D500,4,FALSE))=0,,VLOOKUP(P502,A2:D500,4,FALSE))</f>
        <v>#N/A</v>
      </c>
      <c r="R502" s="56">
        <f>'Health metrics Models'!Q616</f>
        <v>0</v>
      </c>
      <c r="S502" s="22" t="e">
        <f>IF(LEN(VLOOKUP(R502,A2:D500,4,FALSE))=0,,VLOOKUP(R502,A2:D500,4,FALSE))</f>
        <v>#N/A</v>
      </c>
      <c r="T502" s="56">
        <f>'Process Model'!P614</f>
        <v>0</v>
      </c>
      <c r="U502" s="22" t="e">
        <f>IF(LEN(VLOOKUP(T502,A2:D500,4,FALSE))=0,,VLOOKUP(T502,A2:D500,4,FALSE))</f>
        <v>#N/A</v>
      </c>
      <c r="V502" s="56">
        <f>'Toxicological reference value M'!P616</f>
        <v>0</v>
      </c>
      <c r="W502" s="22" t="e">
        <f>IF(LEN(VLOOKUP(V502,A2:D500,4,FALSE))=0,,VLOOKUP(V502,A2:D500,4,FALSE))</f>
        <v>#N/A</v>
      </c>
      <c r="Y502" s="56">
        <f>'Other Empirical Model'!P627</f>
        <v>0</v>
      </c>
      <c r="Z502" s="22" t="e">
        <f>IF(LEN(VLOOKUP(Y502,A2:D500,4,FALSE))=0,,VLOOKUP(Y502,A2:D500,4,FALSE))</f>
        <v>#N/A</v>
      </c>
      <c r="AA502" s="56">
        <f>'Predictive Model'!P614</f>
        <v>0</v>
      </c>
      <c r="AB502" s="22" t="e">
        <f>IF(LEN(VLOOKUP(AA502,A2:D500,4,FALSE))=0,,VLOOKUP(AA502,A2:D500,4,FALSE))</f>
        <v>#N/A</v>
      </c>
      <c r="AC502" s="56">
        <f>'Consumption Model'!P619</f>
        <v>0</v>
      </c>
      <c r="AD502" s="22" t="e">
        <f>IF(LEN(VLOOKUP(AC502,A2:D500,4,FALSE))=0,,VLOOKUP(AC502,A2:D500,4,FALSE))</f>
        <v>#N/A</v>
      </c>
      <c r="AE502" s="22">
        <f>'(Data)'!Q615</f>
        <v>0</v>
      </c>
      <c r="AF502" s="22" t="e">
        <f>IF(LEN(VLOOKUP(AE501:AE502,A2:D500,4,FALSE))=0,,VLOOKUP(AE501:AE502,A2:D500,4,FALSE))</f>
        <v>#N/A</v>
      </c>
      <c r="AH502" s="45">
        <f>'Risk Charact Model'!P633</f>
        <v>0</v>
      </c>
      <c r="AI502" s="58" t="e">
        <f>IF(LEN(VLOOKUP(AH502,A2:D500,4,FALSE))=0,,VLOOKUP(AH502,A2:D500,4,FALSE))</f>
        <v>#N/A</v>
      </c>
    </row>
    <row r="503" spans="1:35" ht="14" x14ac:dyDescent="0.3">
      <c r="I503" s="60">
        <f>'Generic Metadata Schema'!P633</f>
        <v>0</v>
      </c>
      <c r="J503" s="22" t="e">
        <f>IF(LEN(VLOOKUP(I503,A2:D500,4,FALSE))=0,"",VLOOKUP(I503,A2:D500,4,FALSE))</f>
        <v>#N/A</v>
      </c>
      <c r="L503" s="56">
        <f>'Dose-response Model'!O617</f>
        <v>0</v>
      </c>
      <c r="M503" s="22" t="e">
        <f>IF(LEN(VLOOKUP(L503,A2:D500,4,FALSE))=0,,VLOOKUP(L503,A2:D500,4,FALSE))</f>
        <v>#N/A</v>
      </c>
      <c r="N503" s="22">
        <f>'Exposure Model'!O634</f>
        <v>0</v>
      </c>
      <c r="O503" s="22" t="e">
        <f>IF(LEN(VLOOKUP(N503,A2:D500,4,FALSE))=0,,VLOOKUP(N503,A2:D500,4,FALSE))</f>
        <v>#N/A</v>
      </c>
      <c r="P503" s="56">
        <f>'QRA Models'!Q634</f>
        <v>0</v>
      </c>
      <c r="Q503" s="22" t="e">
        <f>IF(LEN(VLOOKUP(P503,A2:D500,4,FALSE))=0,,VLOOKUP(P503,A2:D500,4,FALSE))</f>
        <v>#N/A</v>
      </c>
      <c r="R503" s="56">
        <f>'Health metrics Models'!Q617</f>
        <v>0</v>
      </c>
      <c r="S503" s="22" t="e">
        <f>IF(LEN(VLOOKUP(R503,A2:D500,4,FALSE))=0,,VLOOKUP(R503,A2:D500,4,FALSE))</f>
        <v>#N/A</v>
      </c>
      <c r="T503" s="56">
        <f>'Process Model'!P615</f>
        <v>0</v>
      </c>
      <c r="U503" s="22" t="e">
        <f>IF(LEN(VLOOKUP(T503,A2:D500,4,FALSE))=0,,VLOOKUP(T503,A2:D500,4,FALSE))</f>
        <v>#N/A</v>
      </c>
      <c r="V503" s="56">
        <f>'Toxicological reference value M'!P617</f>
        <v>0</v>
      </c>
      <c r="W503" s="22" t="e">
        <f>IF(LEN(VLOOKUP(V503,A2:D500,4,FALSE))=0,,VLOOKUP(V503,A2:D500,4,FALSE))</f>
        <v>#N/A</v>
      </c>
      <c r="Y503" s="56">
        <f>'Other Empirical Model'!P628</f>
        <v>0</v>
      </c>
      <c r="Z503" s="22" t="e">
        <f>IF(LEN(VLOOKUP(Y503,A2:D500,4,FALSE))=0,,VLOOKUP(Y503,A2:D500,4,FALSE))</f>
        <v>#N/A</v>
      </c>
      <c r="AA503" s="56">
        <f>'Predictive Model'!P615</f>
        <v>0</v>
      </c>
      <c r="AB503" s="22" t="e">
        <f>IF(LEN(VLOOKUP(AA503,A2:D500,4,FALSE))=0,,VLOOKUP(AA503,A2:D500,4,FALSE))</f>
        <v>#N/A</v>
      </c>
      <c r="AC503" s="56">
        <f>'Consumption Model'!P620</f>
        <v>0</v>
      </c>
      <c r="AD503" s="22" t="e">
        <f>IF(LEN(VLOOKUP(AC503,A2:D500,4,FALSE))=0,,VLOOKUP(AC503,A2:D500,4,FALSE))</f>
        <v>#N/A</v>
      </c>
      <c r="AE503" s="22">
        <f>'(Data)'!Q616</f>
        <v>0</v>
      </c>
      <c r="AF503" s="22" t="e">
        <f>IF(LEN(VLOOKUP(AE502:AE503,A2:D500,4,FALSE))=0,,VLOOKUP(AE502:AE503,A2:D500,4,FALSE))</f>
        <v>#N/A</v>
      </c>
      <c r="AH503" s="45">
        <f>'Risk Charact Model'!P634</f>
        <v>0</v>
      </c>
      <c r="AI503" s="58" t="e">
        <f>IF(LEN(VLOOKUP(AH503,A2:D500,4,FALSE))=0,,VLOOKUP(AH503,A2:D500,4,FALSE))</f>
        <v>#N/A</v>
      </c>
    </row>
    <row r="504" spans="1:35" ht="14" x14ac:dyDescent="0.3">
      <c r="I504" s="60">
        <f>'Generic Metadata Schema'!P634</f>
        <v>0</v>
      </c>
      <c r="J504" s="22" t="e">
        <f>IF(LEN(VLOOKUP(I504,A2:D500,4,FALSE))=0,"",VLOOKUP(I504,A2:D500,4,FALSE))</f>
        <v>#N/A</v>
      </c>
      <c r="L504" s="56">
        <f>'Dose-response Model'!O618</f>
        <v>0</v>
      </c>
      <c r="M504" s="22" t="e">
        <f>IF(LEN(VLOOKUP(L504,A2:D500,4,FALSE))=0,,VLOOKUP(L504,A2:D500,4,FALSE))</f>
        <v>#N/A</v>
      </c>
      <c r="N504" s="22">
        <f>'Exposure Model'!O635</f>
        <v>0</v>
      </c>
      <c r="O504" s="22" t="e">
        <f>IF(LEN(VLOOKUP(N504,A2:D500,4,FALSE))=0,,VLOOKUP(N504,A2:D500,4,FALSE))</f>
        <v>#N/A</v>
      </c>
      <c r="P504" s="56">
        <f>'QRA Models'!Q635</f>
        <v>0</v>
      </c>
      <c r="Q504" s="22" t="e">
        <f>IF(LEN(VLOOKUP(P504,A2:D500,4,FALSE))=0,,VLOOKUP(P504,A2:D500,4,FALSE))</f>
        <v>#N/A</v>
      </c>
      <c r="R504" s="56">
        <f>'Health metrics Models'!Q618</f>
        <v>0</v>
      </c>
      <c r="S504" s="22" t="e">
        <f>IF(LEN(VLOOKUP(R504,A2:D500,4,FALSE))=0,,VLOOKUP(R504,A2:D500,4,FALSE))</f>
        <v>#N/A</v>
      </c>
      <c r="T504" s="56">
        <f>'Process Model'!P616</f>
        <v>0</v>
      </c>
      <c r="U504" s="22" t="e">
        <f>IF(LEN(VLOOKUP(T504,A2:D500,4,FALSE))=0,,VLOOKUP(T504,A2:D500,4,FALSE))</f>
        <v>#N/A</v>
      </c>
      <c r="V504" s="56">
        <f>'Toxicological reference value M'!P618</f>
        <v>0</v>
      </c>
      <c r="W504" s="22" t="e">
        <f>IF(LEN(VLOOKUP(V504,A2:D500,4,FALSE))=0,,VLOOKUP(V504,A2:D500,4,FALSE))</f>
        <v>#N/A</v>
      </c>
      <c r="Y504" s="56">
        <f>'Other Empirical Model'!P629</f>
        <v>0</v>
      </c>
      <c r="Z504" s="22" t="e">
        <f>IF(LEN(VLOOKUP(Y504,A2:D500,4,FALSE))=0,,VLOOKUP(Y504,A2:D500,4,FALSE))</f>
        <v>#N/A</v>
      </c>
      <c r="AA504" s="56">
        <f>'Predictive Model'!P616</f>
        <v>0</v>
      </c>
      <c r="AB504" s="22" t="e">
        <f>IF(LEN(VLOOKUP(AA504,A2:D500,4,FALSE))=0,,VLOOKUP(AA504,A2:D500,4,FALSE))</f>
        <v>#N/A</v>
      </c>
      <c r="AC504" s="56">
        <f>'Consumption Model'!P621</f>
        <v>0</v>
      </c>
      <c r="AD504" s="22" t="e">
        <f>IF(LEN(VLOOKUP(AC504,A2:D500,4,FALSE))=0,,VLOOKUP(AC504,A2:D500,4,FALSE))</f>
        <v>#N/A</v>
      </c>
      <c r="AE504" s="22">
        <f>'(Data)'!Q617</f>
        <v>0</v>
      </c>
      <c r="AF504" s="22" t="e">
        <f>IF(LEN(VLOOKUP(AE503:AE504,A2:D500,4,FALSE))=0,,VLOOKUP(AE503:AE504,A2:D500,4,FALSE))</f>
        <v>#N/A</v>
      </c>
      <c r="AH504" s="45">
        <f>'Risk Charact Model'!P635</f>
        <v>0</v>
      </c>
      <c r="AI504" s="58" t="e">
        <f>IF(LEN(VLOOKUP(AH504,A2:D500,4,FALSE))=0,,VLOOKUP(AH504,A2:D500,4,FALSE))</f>
        <v>#N/A</v>
      </c>
    </row>
    <row r="505" spans="1:35" ht="14" x14ac:dyDescent="0.3">
      <c r="I505" s="60">
        <f>'Generic Metadata Schema'!P635</f>
        <v>0</v>
      </c>
      <c r="J505" s="22" t="e">
        <f>IF(LEN(VLOOKUP(I505,A2:D500,4,FALSE))=0,"",VLOOKUP(I505,A2:D500,4,FALSE))</f>
        <v>#N/A</v>
      </c>
      <c r="L505" s="56">
        <f>'Dose-response Model'!O619</f>
        <v>0</v>
      </c>
      <c r="M505" s="22" t="e">
        <f>IF(LEN(VLOOKUP(L505,A2:D500,4,FALSE))=0,,VLOOKUP(L505,A2:D500,4,FALSE))</f>
        <v>#N/A</v>
      </c>
      <c r="N505" s="22">
        <f>'Exposure Model'!O636</f>
        <v>0</v>
      </c>
      <c r="O505" s="22" t="e">
        <f>IF(LEN(VLOOKUP(N505,A2:D500,4,FALSE))=0,,VLOOKUP(N505,A2:D500,4,FALSE))</f>
        <v>#N/A</v>
      </c>
      <c r="P505" s="56">
        <f>'QRA Models'!Q636</f>
        <v>0</v>
      </c>
      <c r="Q505" s="22" t="e">
        <f>IF(LEN(VLOOKUP(P505,A2:D500,4,FALSE))=0,,VLOOKUP(P505,A2:D500,4,FALSE))</f>
        <v>#N/A</v>
      </c>
      <c r="R505" s="56">
        <f>'Health metrics Models'!Q619</f>
        <v>0</v>
      </c>
      <c r="S505" s="22" t="e">
        <f>IF(LEN(VLOOKUP(R505,A2:D500,4,FALSE))=0,,VLOOKUP(R505,A2:D500,4,FALSE))</f>
        <v>#N/A</v>
      </c>
      <c r="T505" s="56">
        <f>'Process Model'!P617</f>
        <v>0</v>
      </c>
      <c r="U505" s="22" t="e">
        <f>IF(LEN(VLOOKUP(T505,A2:D500,4,FALSE))=0,,VLOOKUP(T505,A2:D500,4,FALSE))</f>
        <v>#N/A</v>
      </c>
      <c r="V505" s="56">
        <f>'Toxicological reference value M'!P619</f>
        <v>0</v>
      </c>
      <c r="W505" s="22" t="e">
        <f>IF(LEN(VLOOKUP(V505,A2:D500,4,FALSE))=0,,VLOOKUP(V505,A2:D500,4,FALSE))</f>
        <v>#N/A</v>
      </c>
      <c r="Y505" s="56">
        <f>'Other Empirical Model'!P630</f>
        <v>0</v>
      </c>
      <c r="Z505" s="22" t="e">
        <f>IF(LEN(VLOOKUP(Y505,A2:D500,4,FALSE))=0,,VLOOKUP(Y505,A2:D500,4,FALSE))</f>
        <v>#N/A</v>
      </c>
      <c r="AA505" s="56">
        <f>'Predictive Model'!P617</f>
        <v>0</v>
      </c>
      <c r="AB505" s="22" t="e">
        <f>IF(LEN(VLOOKUP(AA505,A2:D500,4,FALSE))=0,,VLOOKUP(AA505,A2:D500,4,FALSE))</f>
        <v>#N/A</v>
      </c>
      <c r="AC505" s="56">
        <f>'Consumption Model'!P622</f>
        <v>0</v>
      </c>
      <c r="AD505" s="22" t="e">
        <f>IF(LEN(VLOOKUP(AC505,A2:D500,4,FALSE))=0,,VLOOKUP(AC505,A2:D500,4,FALSE))</f>
        <v>#N/A</v>
      </c>
      <c r="AE505" s="22">
        <f>'(Data)'!Q618</f>
        <v>0</v>
      </c>
      <c r="AF505" s="22" t="e">
        <f>IF(LEN(VLOOKUP(AE504:AE505,A2:D500,4,FALSE))=0,,VLOOKUP(AE504:AE505,A2:D500,4,FALSE))</f>
        <v>#N/A</v>
      </c>
      <c r="AH505" s="45">
        <f>'Risk Charact Model'!P636</f>
        <v>0</v>
      </c>
      <c r="AI505" s="58" t="e">
        <f>IF(LEN(VLOOKUP(AH505,A2:D500,4,FALSE))=0,,VLOOKUP(AH505,A2:D500,4,FALSE))</f>
        <v>#N/A</v>
      </c>
    </row>
    <row r="506" spans="1:35" ht="14" x14ac:dyDescent="0.3">
      <c r="I506" s="60">
        <f>'Generic Metadata Schema'!P636</f>
        <v>0</v>
      </c>
      <c r="J506" s="22" t="e">
        <f>IF(LEN(VLOOKUP(I506,A2:D500,4,FALSE))=0,"",VLOOKUP(I506,A2:D500,4,FALSE))</f>
        <v>#N/A</v>
      </c>
      <c r="L506" s="56">
        <f>'Dose-response Model'!O620</f>
        <v>0</v>
      </c>
      <c r="M506" s="22" t="e">
        <f>IF(LEN(VLOOKUP(L506,A2:D500,4,FALSE))=0,,VLOOKUP(L506,A2:D500,4,FALSE))</f>
        <v>#N/A</v>
      </c>
      <c r="N506" s="22">
        <f>'Exposure Model'!O637</f>
        <v>0</v>
      </c>
      <c r="O506" s="22" t="e">
        <f>IF(LEN(VLOOKUP(N506,A2:D500,4,FALSE))=0,,VLOOKUP(N506,A2:D500,4,FALSE))</f>
        <v>#N/A</v>
      </c>
      <c r="P506" s="56">
        <f>'QRA Models'!Q637</f>
        <v>0</v>
      </c>
      <c r="Q506" s="22" t="e">
        <f>IF(LEN(VLOOKUP(P506,A2:D500,4,FALSE))=0,,VLOOKUP(P506,A2:D500,4,FALSE))</f>
        <v>#N/A</v>
      </c>
      <c r="R506" s="56">
        <f>'Health metrics Models'!Q620</f>
        <v>0</v>
      </c>
      <c r="S506" s="22" t="e">
        <f>IF(LEN(VLOOKUP(R506,A2:D500,4,FALSE))=0,,VLOOKUP(R506,A2:D500,4,FALSE))</f>
        <v>#N/A</v>
      </c>
      <c r="T506" s="56">
        <f>'Process Model'!P618</f>
        <v>0</v>
      </c>
      <c r="U506" s="22" t="e">
        <f>IF(LEN(VLOOKUP(T506,A2:D500,4,FALSE))=0,,VLOOKUP(T506,A2:D500,4,FALSE))</f>
        <v>#N/A</v>
      </c>
      <c r="V506" s="56">
        <f>'Toxicological reference value M'!P620</f>
        <v>0</v>
      </c>
      <c r="W506" s="22" t="e">
        <f>IF(LEN(VLOOKUP(V506,A2:D500,4,FALSE))=0,,VLOOKUP(V506,A2:D500,4,FALSE))</f>
        <v>#N/A</v>
      </c>
      <c r="Y506" s="56">
        <f>'Other Empirical Model'!P631</f>
        <v>0</v>
      </c>
      <c r="Z506" s="22" t="e">
        <f>IF(LEN(VLOOKUP(Y506,A2:D500,4,FALSE))=0,,VLOOKUP(Y506,A2:D500,4,FALSE))</f>
        <v>#N/A</v>
      </c>
      <c r="AA506" s="56">
        <f>'Predictive Model'!P618</f>
        <v>0</v>
      </c>
      <c r="AB506" s="22" t="e">
        <f>IF(LEN(VLOOKUP(AA506,A2:D500,4,FALSE))=0,,VLOOKUP(AA506,A2:D500,4,FALSE))</f>
        <v>#N/A</v>
      </c>
      <c r="AC506" s="56">
        <f>'Consumption Model'!P623</f>
        <v>0</v>
      </c>
      <c r="AD506" s="22" t="e">
        <f>IF(LEN(VLOOKUP(AC506,A2:D500,4,FALSE))=0,,VLOOKUP(AC506,A2:D500,4,FALSE))</f>
        <v>#N/A</v>
      </c>
      <c r="AE506" s="22">
        <f>'(Data)'!Q619</f>
        <v>0</v>
      </c>
      <c r="AF506" s="22" t="e">
        <f>IF(LEN(VLOOKUP(AE505:AE506,A2:D500,4,FALSE))=0,,VLOOKUP(AE505:AE506,A2:D500,4,FALSE))</f>
        <v>#N/A</v>
      </c>
      <c r="AH506" s="45">
        <f>'Risk Charact Model'!P637</f>
        <v>0</v>
      </c>
      <c r="AI506" s="58" t="e">
        <f>IF(LEN(VLOOKUP(AH506,A2:D500,4,FALSE))=0,,VLOOKUP(AH506,A2:D500,4,FALSE))</f>
        <v>#N/A</v>
      </c>
    </row>
    <row r="507" spans="1:35" ht="14" x14ac:dyDescent="0.3">
      <c r="I507" s="60">
        <f>'Generic Metadata Schema'!P637</f>
        <v>0</v>
      </c>
      <c r="J507" s="22" t="e">
        <f>IF(LEN(VLOOKUP(I507,A2:D500,4,FALSE))=0,"",VLOOKUP(I507,A2:D500,4,FALSE))</f>
        <v>#N/A</v>
      </c>
      <c r="L507" s="56">
        <f>'Dose-response Model'!O621</f>
        <v>0</v>
      </c>
      <c r="M507" s="22" t="e">
        <f>IF(LEN(VLOOKUP(L507,A2:D500,4,FALSE))=0,,VLOOKUP(L507,A2:D500,4,FALSE))</f>
        <v>#N/A</v>
      </c>
      <c r="N507" s="22">
        <f>'Exposure Model'!O638</f>
        <v>0</v>
      </c>
      <c r="O507" s="22" t="e">
        <f>IF(LEN(VLOOKUP(N507,A2:D500,4,FALSE))=0,,VLOOKUP(N507,A2:D500,4,FALSE))</f>
        <v>#N/A</v>
      </c>
      <c r="P507" s="56">
        <f>'QRA Models'!Q638</f>
        <v>0</v>
      </c>
      <c r="Q507" s="22" t="e">
        <f>IF(LEN(VLOOKUP(P507,A2:D500,4,FALSE))=0,,VLOOKUP(P507,A2:D500,4,FALSE))</f>
        <v>#N/A</v>
      </c>
      <c r="R507" s="56">
        <f>'Health metrics Models'!Q621</f>
        <v>0</v>
      </c>
      <c r="S507" s="22" t="e">
        <f>IF(LEN(VLOOKUP(R507,A2:D500,4,FALSE))=0,,VLOOKUP(R507,A2:D500,4,FALSE))</f>
        <v>#N/A</v>
      </c>
      <c r="T507" s="56">
        <f>'Process Model'!P619</f>
        <v>0</v>
      </c>
      <c r="U507" s="22" t="e">
        <f>IF(LEN(VLOOKUP(T507,A2:D500,4,FALSE))=0,,VLOOKUP(T507,A2:D500,4,FALSE))</f>
        <v>#N/A</v>
      </c>
      <c r="V507" s="56">
        <f>'Toxicological reference value M'!P621</f>
        <v>0</v>
      </c>
      <c r="W507" s="22" t="e">
        <f>IF(LEN(VLOOKUP(V507,A2:D500,4,FALSE))=0,,VLOOKUP(V507,A2:D500,4,FALSE))</f>
        <v>#N/A</v>
      </c>
      <c r="Y507" s="56">
        <f>'Other Empirical Model'!P632</f>
        <v>0</v>
      </c>
      <c r="Z507" s="22" t="e">
        <f>IF(LEN(VLOOKUP(Y507,A2:D500,4,FALSE))=0,,VLOOKUP(Y507,A2:D500,4,FALSE))</f>
        <v>#N/A</v>
      </c>
      <c r="AA507" s="56">
        <f>'Predictive Model'!P619</f>
        <v>0</v>
      </c>
      <c r="AB507" s="22" t="e">
        <f>IF(LEN(VLOOKUP(AA507,A2:D500,4,FALSE))=0,,VLOOKUP(AA507,A2:D500,4,FALSE))</f>
        <v>#N/A</v>
      </c>
      <c r="AC507" s="56">
        <f>'Consumption Model'!P624</f>
        <v>0</v>
      </c>
      <c r="AD507" s="22" t="e">
        <f>IF(LEN(VLOOKUP(AC507,A2:D500,4,FALSE))=0,,VLOOKUP(AC507,A2:D500,4,FALSE))</f>
        <v>#N/A</v>
      </c>
      <c r="AE507" s="22">
        <f>'(Data)'!Q620</f>
        <v>0</v>
      </c>
      <c r="AF507" s="22" t="e">
        <f>IF(LEN(VLOOKUP(AE506:AE507,A2:D500,4,FALSE))=0,,VLOOKUP(AE506:AE507,A2:D500,4,FALSE))</f>
        <v>#N/A</v>
      </c>
      <c r="AH507" s="45">
        <f>'Risk Charact Model'!P638</f>
        <v>0</v>
      </c>
      <c r="AI507" s="58" t="e">
        <f>IF(LEN(VLOOKUP(AH507,A2:D500,4,FALSE))=0,,VLOOKUP(AH507,A2:D500,4,FALSE))</f>
        <v>#N/A</v>
      </c>
    </row>
    <row r="508" spans="1:35" ht="14" x14ac:dyDescent="0.3">
      <c r="I508" s="60">
        <f>'Generic Metadata Schema'!P638</f>
        <v>0</v>
      </c>
      <c r="J508" s="22" t="e">
        <f>IF(LEN(VLOOKUP(I508,A2:D500,4,FALSE))=0,"",VLOOKUP(I508,A2:D500,4,FALSE))</f>
        <v>#N/A</v>
      </c>
      <c r="L508" s="56">
        <f>'Dose-response Model'!O622</f>
        <v>0</v>
      </c>
      <c r="M508" s="22" t="e">
        <f>IF(LEN(VLOOKUP(L508,A2:D500,4,FALSE))=0,,VLOOKUP(L508,A2:D500,4,FALSE))</f>
        <v>#N/A</v>
      </c>
      <c r="N508" s="22">
        <f>'Exposure Model'!O639</f>
        <v>0</v>
      </c>
      <c r="O508" s="22" t="e">
        <f>IF(LEN(VLOOKUP(N508,A2:D500,4,FALSE))=0,,VLOOKUP(N508,A2:D500,4,FALSE))</f>
        <v>#N/A</v>
      </c>
      <c r="P508" s="56">
        <f>'QRA Models'!Q639</f>
        <v>0</v>
      </c>
      <c r="Q508" s="22" t="e">
        <f>IF(LEN(VLOOKUP(P508,A2:D500,4,FALSE))=0,,VLOOKUP(P508,A2:D500,4,FALSE))</f>
        <v>#N/A</v>
      </c>
      <c r="R508" s="56">
        <f>'Health metrics Models'!Q622</f>
        <v>0</v>
      </c>
      <c r="S508" s="22" t="e">
        <f>IF(LEN(VLOOKUP(R508,A2:D500,4,FALSE))=0,,VLOOKUP(R508,A2:D500,4,FALSE))</f>
        <v>#N/A</v>
      </c>
      <c r="T508" s="56">
        <f>'Process Model'!P620</f>
        <v>0</v>
      </c>
      <c r="U508" s="22" t="e">
        <f>IF(LEN(VLOOKUP(T508,A2:D500,4,FALSE))=0,,VLOOKUP(T508,A2:D500,4,FALSE))</f>
        <v>#N/A</v>
      </c>
      <c r="V508" s="56">
        <f>'Toxicological reference value M'!P622</f>
        <v>0</v>
      </c>
      <c r="W508" s="22" t="e">
        <f>IF(LEN(VLOOKUP(V508,A2:D500,4,FALSE))=0,,VLOOKUP(V508,A2:D500,4,FALSE))</f>
        <v>#N/A</v>
      </c>
      <c r="Y508" s="56">
        <f>'Other Empirical Model'!P633</f>
        <v>0</v>
      </c>
      <c r="Z508" s="22" t="e">
        <f>IF(LEN(VLOOKUP(Y508,A2:D500,4,FALSE))=0,,VLOOKUP(Y508,A2:D500,4,FALSE))</f>
        <v>#N/A</v>
      </c>
      <c r="AA508" s="56">
        <f>'Predictive Model'!P620</f>
        <v>0</v>
      </c>
      <c r="AB508" s="22" t="e">
        <f>IF(LEN(VLOOKUP(AA508,A2:D500,4,FALSE))=0,,VLOOKUP(AA508,A2:D500,4,FALSE))</f>
        <v>#N/A</v>
      </c>
      <c r="AC508" s="56">
        <f>'Consumption Model'!P625</f>
        <v>0</v>
      </c>
      <c r="AD508" s="22" t="e">
        <f>IF(LEN(VLOOKUP(AC508,A2:D500,4,FALSE))=0,,VLOOKUP(AC508,A2:D500,4,FALSE))</f>
        <v>#N/A</v>
      </c>
      <c r="AE508" s="22">
        <f>'(Data)'!Q621</f>
        <v>0</v>
      </c>
      <c r="AF508" s="22" t="e">
        <f>IF(LEN(VLOOKUP(AE507:AE508,A2:D500,4,FALSE))=0,,VLOOKUP(AE507:AE508,A2:D500,4,FALSE))</f>
        <v>#N/A</v>
      </c>
      <c r="AH508" s="45">
        <f>'Risk Charact Model'!P639</f>
        <v>0</v>
      </c>
      <c r="AI508" s="58" t="e">
        <f>IF(LEN(VLOOKUP(AH508,A2:D500,4,FALSE))=0,,VLOOKUP(AH508,A2:D500,4,FALSE))</f>
        <v>#N/A</v>
      </c>
    </row>
    <row r="509" spans="1:35" ht="14" x14ac:dyDescent="0.3">
      <c r="I509" s="60">
        <f>'Generic Metadata Schema'!P639</f>
        <v>0</v>
      </c>
      <c r="J509" s="22" t="e">
        <f>IF(LEN(VLOOKUP(I509,A2:D500,4,FALSE))=0,"",VLOOKUP(I509,A2:D500,4,FALSE))</f>
        <v>#N/A</v>
      </c>
      <c r="L509" s="56">
        <f>'Dose-response Model'!O623</f>
        <v>0</v>
      </c>
      <c r="M509" s="22" t="e">
        <f>IF(LEN(VLOOKUP(L509,A2:D500,4,FALSE))=0,,VLOOKUP(L509,A2:D500,4,FALSE))</f>
        <v>#N/A</v>
      </c>
      <c r="N509" s="22">
        <f>'Exposure Model'!O640</f>
        <v>0</v>
      </c>
      <c r="O509" s="22" t="e">
        <f>IF(LEN(VLOOKUP(N509,A2:D500,4,FALSE))=0,,VLOOKUP(N509,A2:D500,4,FALSE))</f>
        <v>#N/A</v>
      </c>
      <c r="P509" s="56">
        <f>'QRA Models'!Q640</f>
        <v>0</v>
      </c>
      <c r="Q509" s="22" t="e">
        <f>IF(LEN(VLOOKUP(P509,A2:D500,4,FALSE))=0,,VLOOKUP(P509,A2:D500,4,FALSE))</f>
        <v>#N/A</v>
      </c>
      <c r="R509" s="56">
        <f>'Health metrics Models'!Q623</f>
        <v>0</v>
      </c>
      <c r="S509" s="22" t="e">
        <f>IF(LEN(VLOOKUP(R509,A2:D500,4,FALSE))=0,,VLOOKUP(R509,A2:D500,4,FALSE))</f>
        <v>#N/A</v>
      </c>
      <c r="T509" s="56">
        <f>'Process Model'!P621</f>
        <v>0</v>
      </c>
      <c r="U509" s="22" t="e">
        <f>IF(LEN(VLOOKUP(T509,A2:D500,4,FALSE))=0,,VLOOKUP(T509,A2:D500,4,FALSE))</f>
        <v>#N/A</v>
      </c>
      <c r="V509" s="56">
        <f>'Toxicological reference value M'!P623</f>
        <v>0</v>
      </c>
      <c r="W509" s="22" t="e">
        <f>IF(LEN(VLOOKUP(V509,A2:D500,4,FALSE))=0,,VLOOKUP(V509,A2:D500,4,FALSE))</f>
        <v>#N/A</v>
      </c>
      <c r="Y509" s="56">
        <f>'Other Empirical Model'!P634</f>
        <v>0</v>
      </c>
      <c r="Z509" s="22" t="e">
        <f>IF(LEN(VLOOKUP(Y509,A2:D500,4,FALSE))=0,,VLOOKUP(Y509,A2:D500,4,FALSE))</f>
        <v>#N/A</v>
      </c>
      <c r="AA509" s="56">
        <f>'Predictive Model'!P621</f>
        <v>0</v>
      </c>
      <c r="AB509" s="22" t="e">
        <f>IF(LEN(VLOOKUP(AA509,A2:D500,4,FALSE))=0,,VLOOKUP(AA509,A2:D500,4,FALSE))</f>
        <v>#N/A</v>
      </c>
      <c r="AC509" s="56">
        <f>'Consumption Model'!P626</f>
        <v>0</v>
      </c>
      <c r="AD509" s="22" t="e">
        <f>IF(LEN(VLOOKUP(AC509,A2:D500,4,FALSE))=0,,VLOOKUP(AC509,A2:D500,4,FALSE))</f>
        <v>#N/A</v>
      </c>
      <c r="AE509" s="22">
        <f>'(Data)'!Q622</f>
        <v>0</v>
      </c>
      <c r="AF509" s="22" t="e">
        <f>IF(LEN(VLOOKUP(AE508:AE509,A2:D500,4,FALSE))=0,,VLOOKUP(AE508:AE509,A2:D500,4,FALSE))</f>
        <v>#N/A</v>
      </c>
      <c r="AH509" s="45">
        <f>'Risk Charact Model'!P640</f>
        <v>0</v>
      </c>
      <c r="AI509" s="58" t="e">
        <f>IF(LEN(VLOOKUP(AH509,A2:D500,4,FALSE))=0,,VLOOKUP(AH509,A2:D500,4,FALSE))</f>
        <v>#N/A</v>
      </c>
    </row>
    <row r="510" spans="1:35" ht="14" x14ac:dyDescent="0.3">
      <c r="I510" s="60">
        <f>'Generic Metadata Schema'!P640</f>
        <v>0</v>
      </c>
      <c r="J510" s="22" t="e">
        <f>IF(LEN(VLOOKUP(I510,A2:D500,4,FALSE))=0,"",VLOOKUP(I510,A2:D500,4,FALSE))</f>
        <v>#N/A</v>
      </c>
      <c r="L510" s="56">
        <f>'Dose-response Model'!O624</f>
        <v>0</v>
      </c>
      <c r="M510" s="22" t="e">
        <f>IF(LEN(VLOOKUP(L510,A2:D500,4,FALSE))=0,,VLOOKUP(L510,A2:D500,4,FALSE))</f>
        <v>#N/A</v>
      </c>
      <c r="N510" s="22">
        <f>'Exposure Model'!O641</f>
        <v>0</v>
      </c>
      <c r="O510" s="22" t="e">
        <f>IF(LEN(VLOOKUP(N510,A2:D500,4,FALSE))=0,,VLOOKUP(N510,A2:D500,4,FALSE))</f>
        <v>#N/A</v>
      </c>
      <c r="P510" s="56">
        <f>'QRA Models'!Q641</f>
        <v>0</v>
      </c>
      <c r="Q510" s="22" t="e">
        <f>IF(LEN(VLOOKUP(P510,A2:D500,4,FALSE))=0,,VLOOKUP(P510,A2:D500,4,FALSE))</f>
        <v>#N/A</v>
      </c>
      <c r="R510" s="56">
        <f>'Health metrics Models'!Q624</f>
        <v>0</v>
      </c>
      <c r="S510" s="22" t="e">
        <f>IF(LEN(VLOOKUP(R510,A2:D500,4,FALSE))=0,,VLOOKUP(R510,A2:D500,4,FALSE))</f>
        <v>#N/A</v>
      </c>
      <c r="T510" s="56">
        <f>'Process Model'!P622</f>
        <v>0</v>
      </c>
      <c r="U510" s="22" t="e">
        <f>IF(LEN(VLOOKUP(T510,A2:D500,4,FALSE))=0,,VLOOKUP(T510,A2:D500,4,FALSE))</f>
        <v>#N/A</v>
      </c>
      <c r="V510" s="56">
        <f>'Toxicological reference value M'!P624</f>
        <v>0</v>
      </c>
      <c r="W510" s="22" t="e">
        <f>IF(LEN(VLOOKUP(V510,A2:D500,4,FALSE))=0,,VLOOKUP(V510,A2:D500,4,FALSE))</f>
        <v>#N/A</v>
      </c>
      <c r="Y510" s="56">
        <f>'Other Empirical Model'!P635</f>
        <v>0</v>
      </c>
      <c r="Z510" s="22" t="e">
        <f>IF(LEN(VLOOKUP(Y510,A2:D500,4,FALSE))=0,,VLOOKUP(Y510,A2:D500,4,FALSE))</f>
        <v>#N/A</v>
      </c>
      <c r="AA510" s="56">
        <f>'Predictive Model'!P622</f>
        <v>0</v>
      </c>
      <c r="AB510" s="22" t="e">
        <f>IF(LEN(VLOOKUP(AA510,A2:D500,4,FALSE))=0,,VLOOKUP(AA510,A2:D500,4,FALSE))</f>
        <v>#N/A</v>
      </c>
      <c r="AC510" s="56">
        <f>'Consumption Model'!P627</f>
        <v>0</v>
      </c>
      <c r="AD510" s="22" t="e">
        <f>IF(LEN(VLOOKUP(AC510,A2:D500,4,FALSE))=0,,VLOOKUP(AC510,A2:D500,4,FALSE))</f>
        <v>#N/A</v>
      </c>
      <c r="AE510" s="22">
        <f>'(Data)'!Q623</f>
        <v>0</v>
      </c>
      <c r="AF510" s="22" t="e">
        <f>IF(LEN(VLOOKUP(AE509:AE510,A2:D500,4,FALSE))=0,,VLOOKUP(AE509:AE510,A2:D500,4,FALSE))</f>
        <v>#N/A</v>
      </c>
      <c r="AH510" s="45">
        <f>'Risk Charact Model'!P641</f>
        <v>0</v>
      </c>
      <c r="AI510" s="58" t="e">
        <f>IF(LEN(VLOOKUP(AH510,A2:D500,4,FALSE))=0,,VLOOKUP(AH510,A2:D500,4,FALSE))</f>
        <v>#N/A</v>
      </c>
    </row>
    <row r="511" spans="1:35" ht="14" x14ac:dyDescent="0.3">
      <c r="I511" s="60">
        <f>'Generic Metadata Schema'!P641</f>
        <v>0</v>
      </c>
      <c r="J511" s="22" t="e">
        <f>IF(LEN(VLOOKUP(I511,A2:D500,4,FALSE))=0,"",VLOOKUP(I511,A2:D500,4,FALSE))</f>
        <v>#N/A</v>
      </c>
      <c r="L511" s="56">
        <f>'Dose-response Model'!O625</f>
        <v>0</v>
      </c>
      <c r="M511" s="22" t="e">
        <f>IF(LEN(VLOOKUP(L511,A2:D500,4,FALSE))=0,,VLOOKUP(L511,A2:D500,4,FALSE))</f>
        <v>#N/A</v>
      </c>
      <c r="N511" s="22">
        <f>'Exposure Model'!O642</f>
        <v>0</v>
      </c>
      <c r="O511" s="22" t="e">
        <f>IF(LEN(VLOOKUP(N511,A2:D500,4,FALSE))=0,,VLOOKUP(N511,A2:D500,4,FALSE))</f>
        <v>#N/A</v>
      </c>
      <c r="P511" s="56">
        <f>'QRA Models'!Q642</f>
        <v>0</v>
      </c>
      <c r="Q511" s="22" t="e">
        <f>IF(LEN(VLOOKUP(P511,A2:D500,4,FALSE))=0,,VLOOKUP(P511,A2:D500,4,FALSE))</f>
        <v>#N/A</v>
      </c>
      <c r="R511" s="56">
        <f>'Health metrics Models'!Q625</f>
        <v>0</v>
      </c>
      <c r="S511" s="22" t="e">
        <f>IF(LEN(VLOOKUP(R511,A2:D500,4,FALSE))=0,,VLOOKUP(R511,A2:D500,4,FALSE))</f>
        <v>#N/A</v>
      </c>
      <c r="T511" s="56">
        <f>'Process Model'!P623</f>
        <v>0</v>
      </c>
      <c r="U511" s="22" t="e">
        <f>IF(LEN(VLOOKUP(T511,A2:D500,4,FALSE))=0,,VLOOKUP(T511,A2:D500,4,FALSE))</f>
        <v>#N/A</v>
      </c>
      <c r="V511" s="56">
        <f>'Toxicological reference value M'!P625</f>
        <v>0</v>
      </c>
      <c r="W511" s="22" t="e">
        <f>IF(LEN(VLOOKUP(V511,A2:D500,4,FALSE))=0,,VLOOKUP(V511,A2:D500,4,FALSE))</f>
        <v>#N/A</v>
      </c>
      <c r="Y511" s="56">
        <f>'Other Empirical Model'!P636</f>
        <v>0</v>
      </c>
      <c r="Z511" s="22" t="e">
        <f>IF(LEN(VLOOKUP(Y511,A2:D500,4,FALSE))=0,,VLOOKUP(Y511,A2:D500,4,FALSE))</f>
        <v>#N/A</v>
      </c>
      <c r="AA511" s="56">
        <f>'Predictive Model'!P623</f>
        <v>0</v>
      </c>
      <c r="AB511" s="22" t="e">
        <f>IF(LEN(VLOOKUP(AA511,A2:D500,4,FALSE))=0,,VLOOKUP(AA511,A2:D500,4,FALSE))</f>
        <v>#N/A</v>
      </c>
      <c r="AC511" s="56">
        <f>'Consumption Model'!P628</f>
        <v>0</v>
      </c>
      <c r="AD511" s="22" t="e">
        <f>IF(LEN(VLOOKUP(AC511,A2:D500,4,FALSE))=0,,VLOOKUP(AC511,A2:D500,4,FALSE))</f>
        <v>#N/A</v>
      </c>
      <c r="AE511" s="22">
        <f>'(Data)'!Q624</f>
        <v>0</v>
      </c>
      <c r="AF511" s="22" t="e">
        <f>IF(LEN(VLOOKUP(AE510:AE511,A2:D500,4,FALSE))=0,,VLOOKUP(AE510:AE511,A2:D500,4,FALSE))</f>
        <v>#N/A</v>
      </c>
      <c r="AH511" s="45">
        <f>'Risk Charact Model'!P642</f>
        <v>0</v>
      </c>
      <c r="AI511" s="58" t="e">
        <f>IF(LEN(VLOOKUP(AH511,A2:D500,4,FALSE))=0,,VLOOKUP(AH511,A2:D500,4,FALSE))</f>
        <v>#N/A</v>
      </c>
    </row>
    <row r="512" spans="1:35" ht="14" x14ac:dyDescent="0.3">
      <c r="I512" s="60">
        <f>'Generic Metadata Schema'!P642</f>
        <v>0</v>
      </c>
      <c r="J512" s="22" t="e">
        <f>IF(LEN(VLOOKUP(I512,A2:D500,4,FALSE))=0,"",VLOOKUP(I512,A2:D500,4,FALSE))</f>
        <v>#N/A</v>
      </c>
      <c r="L512" s="56">
        <f>'Dose-response Model'!O626</f>
        <v>0</v>
      </c>
      <c r="M512" s="22" t="e">
        <f>IF(LEN(VLOOKUP(L512,A2:D500,4,FALSE))=0,,VLOOKUP(L512,A2:D500,4,FALSE))</f>
        <v>#N/A</v>
      </c>
      <c r="N512" s="22">
        <f>'Exposure Model'!O643</f>
        <v>0</v>
      </c>
      <c r="O512" s="22" t="e">
        <f>IF(LEN(VLOOKUP(N512,A2:D500,4,FALSE))=0,,VLOOKUP(N512,A2:D500,4,FALSE))</f>
        <v>#N/A</v>
      </c>
      <c r="P512" s="56">
        <f>'QRA Models'!Q643</f>
        <v>0</v>
      </c>
      <c r="Q512" s="22" t="e">
        <f>IF(LEN(VLOOKUP(P512,A2:D500,4,FALSE))=0,,VLOOKUP(P512,A2:D500,4,FALSE))</f>
        <v>#N/A</v>
      </c>
      <c r="R512" s="56">
        <f>'Health metrics Models'!Q626</f>
        <v>0</v>
      </c>
      <c r="S512" s="22" t="e">
        <f>IF(LEN(VLOOKUP(R512,A2:D500,4,FALSE))=0,,VLOOKUP(R512,A2:D500,4,FALSE))</f>
        <v>#N/A</v>
      </c>
      <c r="T512" s="56">
        <f>'Process Model'!P624</f>
        <v>0</v>
      </c>
      <c r="U512" s="22" t="e">
        <f>IF(LEN(VLOOKUP(T512,A2:D500,4,FALSE))=0,,VLOOKUP(T512,A2:D500,4,FALSE))</f>
        <v>#N/A</v>
      </c>
      <c r="V512" s="56">
        <f>'Toxicological reference value M'!P626</f>
        <v>0</v>
      </c>
      <c r="W512" s="22" t="e">
        <f>IF(LEN(VLOOKUP(V512,A2:D500,4,FALSE))=0,,VLOOKUP(V512,A2:D500,4,FALSE))</f>
        <v>#N/A</v>
      </c>
      <c r="Y512" s="56">
        <f>'Other Empirical Model'!P637</f>
        <v>0</v>
      </c>
      <c r="Z512" s="22" t="e">
        <f>IF(LEN(VLOOKUP(Y512,A2:D500,4,FALSE))=0,,VLOOKUP(Y512,A2:D500,4,FALSE))</f>
        <v>#N/A</v>
      </c>
      <c r="AA512" s="56">
        <f>'Predictive Model'!P624</f>
        <v>0</v>
      </c>
      <c r="AB512" s="22" t="e">
        <f>IF(LEN(VLOOKUP(AA512,A2:D500,4,FALSE))=0,,VLOOKUP(AA512,A2:D500,4,FALSE))</f>
        <v>#N/A</v>
      </c>
      <c r="AC512" s="56">
        <f>'Consumption Model'!P629</f>
        <v>0</v>
      </c>
      <c r="AD512" s="22" t="e">
        <f>IF(LEN(VLOOKUP(AC512,A2:D500,4,FALSE))=0,,VLOOKUP(AC512,A2:D500,4,FALSE))</f>
        <v>#N/A</v>
      </c>
      <c r="AE512" s="22">
        <f>'(Data)'!Q625</f>
        <v>0</v>
      </c>
      <c r="AF512" s="22" t="e">
        <f>IF(LEN(VLOOKUP(AE511:AE512,A2:D500,4,FALSE))=0,,VLOOKUP(AE511:AE512,A2:D500,4,FALSE))</f>
        <v>#N/A</v>
      </c>
      <c r="AH512" s="45">
        <f>'Risk Charact Model'!P643</f>
        <v>0</v>
      </c>
      <c r="AI512" s="58" t="e">
        <f>IF(LEN(VLOOKUP(AH512,A2:D500,4,FALSE))=0,,VLOOKUP(AH512,A2:D500,4,FALSE))</f>
        <v>#N/A</v>
      </c>
    </row>
    <row r="513" spans="9:35" ht="14" x14ac:dyDescent="0.3">
      <c r="I513" s="60">
        <f>'Generic Metadata Schema'!P643</f>
        <v>0</v>
      </c>
      <c r="J513" s="22" t="e">
        <f>IF(LEN(VLOOKUP(I513,A2:D500,4,FALSE))=0,"",VLOOKUP(I513,A2:D500,4,FALSE))</f>
        <v>#N/A</v>
      </c>
      <c r="L513" s="56">
        <f>'Dose-response Model'!O627</f>
        <v>0</v>
      </c>
      <c r="M513" s="22" t="e">
        <f>IF(LEN(VLOOKUP(L513,A2:D500,4,FALSE))=0,,VLOOKUP(L513,A2:D500,4,FALSE))</f>
        <v>#N/A</v>
      </c>
      <c r="N513" s="22">
        <f>'Exposure Model'!O644</f>
        <v>0</v>
      </c>
      <c r="O513" s="22" t="e">
        <f>IF(LEN(VLOOKUP(N513,A2:D500,4,FALSE))=0,,VLOOKUP(N513,A2:D500,4,FALSE))</f>
        <v>#N/A</v>
      </c>
      <c r="P513" s="56">
        <f>'QRA Models'!Q644</f>
        <v>0</v>
      </c>
      <c r="Q513" s="22" t="e">
        <f>IF(LEN(VLOOKUP(P513,A2:D500,4,FALSE))=0,,VLOOKUP(P513,A2:D500,4,FALSE))</f>
        <v>#N/A</v>
      </c>
      <c r="R513" s="56">
        <f>'Health metrics Models'!Q627</f>
        <v>0</v>
      </c>
      <c r="S513" s="22" t="e">
        <f>IF(LEN(VLOOKUP(R513,A2:D500,4,FALSE))=0,,VLOOKUP(R513,A2:D500,4,FALSE))</f>
        <v>#N/A</v>
      </c>
      <c r="T513" s="56">
        <f>'Process Model'!P625</f>
        <v>0</v>
      </c>
      <c r="U513" s="22" t="e">
        <f>IF(LEN(VLOOKUP(T513,A2:D500,4,FALSE))=0,,VLOOKUP(T513,A2:D500,4,FALSE))</f>
        <v>#N/A</v>
      </c>
      <c r="V513" s="56">
        <f>'Toxicological reference value M'!P627</f>
        <v>0</v>
      </c>
      <c r="W513" s="22" t="e">
        <f>IF(LEN(VLOOKUP(V513,A2:D500,4,FALSE))=0,,VLOOKUP(V513,A2:D500,4,FALSE))</f>
        <v>#N/A</v>
      </c>
      <c r="Y513" s="56">
        <f>'Other Empirical Model'!P638</f>
        <v>0</v>
      </c>
      <c r="Z513" s="22" t="e">
        <f>IF(LEN(VLOOKUP(Y513,A2:D500,4,FALSE))=0,,VLOOKUP(Y513,A2:D500,4,FALSE))</f>
        <v>#N/A</v>
      </c>
      <c r="AA513" s="56">
        <f>'Predictive Model'!P625</f>
        <v>0</v>
      </c>
      <c r="AB513" s="22" t="e">
        <f>IF(LEN(VLOOKUP(AA513,A2:D500,4,FALSE))=0,,VLOOKUP(AA513,A2:D500,4,FALSE))</f>
        <v>#N/A</v>
      </c>
      <c r="AC513" s="56">
        <f>'Consumption Model'!P630</f>
        <v>0</v>
      </c>
      <c r="AD513" s="22" t="e">
        <f>IF(LEN(VLOOKUP(AC513,A2:D500,4,FALSE))=0,,VLOOKUP(AC513,A2:D500,4,FALSE))</f>
        <v>#N/A</v>
      </c>
      <c r="AE513" s="22">
        <f>'(Data)'!Q626</f>
        <v>0</v>
      </c>
      <c r="AF513" s="22" t="e">
        <f>IF(LEN(VLOOKUP(AE512:AE513,A2:D500,4,FALSE))=0,,VLOOKUP(AE512:AE513,A2:D500,4,FALSE))</f>
        <v>#N/A</v>
      </c>
      <c r="AH513" s="45">
        <f>'Risk Charact Model'!P644</f>
        <v>0</v>
      </c>
      <c r="AI513" s="58" t="e">
        <f>IF(LEN(VLOOKUP(AH513,A2:D500,4,FALSE))=0,,VLOOKUP(AH513,A2:D500,4,FALSE))</f>
        <v>#N/A</v>
      </c>
    </row>
    <row r="514" spans="9:35" ht="14" x14ac:dyDescent="0.3">
      <c r="I514" s="60">
        <f>'Generic Metadata Schema'!P644</f>
        <v>0</v>
      </c>
      <c r="J514" s="22" t="e">
        <f>IF(LEN(VLOOKUP(I514,A2:D500,4,FALSE))=0,"",VLOOKUP(I514,A2:D500,4,FALSE))</f>
        <v>#N/A</v>
      </c>
      <c r="L514" s="56">
        <f>'Dose-response Model'!O628</f>
        <v>0</v>
      </c>
      <c r="M514" s="22" t="e">
        <f>IF(LEN(VLOOKUP(L514,A2:D500,4,FALSE))=0,,VLOOKUP(L514,A2:D500,4,FALSE))</f>
        <v>#N/A</v>
      </c>
      <c r="N514" s="22">
        <f>'Exposure Model'!O645</f>
        <v>0</v>
      </c>
      <c r="O514" s="22" t="e">
        <f>IF(LEN(VLOOKUP(N514,A2:D500,4,FALSE))=0,,VLOOKUP(N514,A2:D500,4,FALSE))</f>
        <v>#N/A</v>
      </c>
      <c r="P514" s="56">
        <f>'QRA Models'!Q645</f>
        <v>0</v>
      </c>
      <c r="Q514" s="22" t="e">
        <f>IF(LEN(VLOOKUP(P514,A2:D500,4,FALSE))=0,,VLOOKUP(P514,A2:D500,4,FALSE))</f>
        <v>#N/A</v>
      </c>
      <c r="R514" s="56">
        <f>'Health metrics Models'!Q628</f>
        <v>0</v>
      </c>
      <c r="S514" s="22" t="e">
        <f>IF(LEN(VLOOKUP(R514,A2:D500,4,FALSE))=0,,VLOOKUP(R514,A2:D500,4,FALSE))</f>
        <v>#N/A</v>
      </c>
      <c r="T514" s="56">
        <f>'Process Model'!P626</f>
        <v>0</v>
      </c>
      <c r="U514" s="22" t="e">
        <f>IF(LEN(VLOOKUP(T514,A2:D500,4,FALSE))=0,,VLOOKUP(T514,A2:D500,4,FALSE))</f>
        <v>#N/A</v>
      </c>
      <c r="V514" s="56">
        <f>'Toxicological reference value M'!P628</f>
        <v>0</v>
      </c>
      <c r="W514" s="22" t="e">
        <f>IF(LEN(VLOOKUP(V514,A2:D500,4,FALSE))=0,,VLOOKUP(V514,A2:D500,4,FALSE))</f>
        <v>#N/A</v>
      </c>
      <c r="Y514" s="56">
        <f>'Other Empirical Model'!P639</f>
        <v>0</v>
      </c>
      <c r="Z514" s="22" t="e">
        <f>IF(LEN(VLOOKUP(Y514,A2:D500,4,FALSE))=0,,VLOOKUP(Y514,A2:D500,4,FALSE))</f>
        <v>#N/A</v>
      </c>
      <c r="AA514" s="56">
        <f>'Predictive Model'!P626</f>
        <v>0</v>
      </c>
      <c r="AB514" s="22" t="e">
        <f>IF(LEN(VLOOKUP(AA514,A2:D500,4,FALSE))=0,,VLOOKUP(AA514,A2:D500,4,FALSE))</f>
        <v>#N/A</v>
      </c>
      <c r="AC514" s="56">
        <f>'Consumption Model'!P631</f>
        <v>0</v>
      </c>
      <c r="AD514" s="22" t="e">
        <f>IF(LEN(VLOOKUP(AC514,A2:D500,4,FALSE))=0,,VLOOKUP(AC514,A2:D500,4,FALSE))</f>
        <v>#N/A</v>
      </c>
      <c r="AE514" s="22">
        <f>'(Data)'!Q627</f>
        <v>0</v>
      </c>
      <c r="AF514" s="22" t="e">
        <f>IF(LEN(VLOOKUP(AE513:AE514,A2:D500,4,FALSE))=0,,VLOOKUP(AE513:AE514,A2:D500,4,FALSE))</f>
        <v>#N/A</v>
      </c>
      <c r="AH514" s="45">
        <f>'Risk Charact Model'!P645</f>
        <v>0</v>
      </c>
      <c r="AI514" s="58" t="e">
        <f>IF(LEN(VLOOKUP(AH514,A2:D500,4,FALSE))=0,,VLOOKUP(AH514,A2:D500,4,FALSE))</f>
        <v>#N/A</v>
      </c>
    </row>
    <row r="515" spans="9:35" ht="14" x14ac:dyDescent="0.3">
      <c r="I515" s="60">
        <f>'Generic Metadata Schema'!P645</f>
        <v>0</v>
      </c>
      <c r="J515" s="22" t="e">
        <f>IF(LEN(VLOOKUP(I515,A2:D500,4,FALSE))=0,"",VLOOKUP(I515,A2:D500,4,FALSE))</f>
        <v>#N/A</v>
      </c>
      <c r="L515" s="56">
        <f>'Dose-response Model'!O629</f>
        <v>0</v>
      </c>
      <c r="M515" s="22" t="e">
        <f>IF(LEN(VLOOKUP(L515,A2:D500,4,FALSE))=0,,VLOOKUP(L515,A2:D500,4,FALSE))</f>
        <v>#N/A</v>
      </c>
      <c r="N515" s="22">
        <f>'Exposure Model'!O646</f>
        <v>0</v>
      </c>
      <c r="O515" s="22" t="e">
        <f>IF(LEN(VLOOKUP(N515,A2:D500,4,FALSE))=0,,VLOOKUP(N515,A2:D500,4,FALSE))</f>
        <v>#N/A</v>
      </c>
      <c r="P515" s="56">
        <f>'QRA Models'!Q646</f>
        <v>0</v>
      </c>
      <c r="Q515" s="22" t="e">
        <f>IF(LEN(VLOOKUP(P515,A2:D500,4,FALSE))=0,,VLOOKUP(P515,A2:D500,4,FALSE))</f>
        <v>#N/A</v>
      </c>
      <c r="R515" s="56">
        <f>'Health metrics Models'!Q629</f>
        <v>0</v>
      </c>
      <c r="S515" s="22" t="e">
        <f>IF(LEN(VLOOKUP(R515,A2:D500,4,FALSE))=0,,VLOOKUP(R515,A2:D500,4,FALSE))</f>
        <v>#N/A</v>
      </c>
      <c r="T515" s="56">
        <f>'Process Model'!P627</f>
        <v>0</v>
      </c>
      <c r="U515" s="22" t="e">
        <f>IF(LEN(VLOOKUP(T515,A2:D500,4,FALSE))=0,,VLOOKUP(T515,A2:D500,4,FALSE))</f>
        <v>#N/A</v>
      </c>
      <c r="V515" s="56">
        <f>'Toxicological reference value M'!P629</f>
        <v>0</v>
      </c>
      <c r="W515" s="22" t="e">
        <f>IF(LEN(VLOOKUP(V515,A2:D500,4,FALSE))=0,,VLOOKUP(V515,A2:D500,4,FALSE))</f>
        <v>#N/A</v>
      </c>
      <c r="Y515" s="56">
        <f>'Other Empirical Model'!P640</f>
        <v>0</v>
      </c>
      <c r="Z515" s="22" t="e">
        <f>IF(LEN(VLOOKUP(Y515,A2:D500,4,FALSE))=0,,VLOOKUP(Y515,A2:D500,4,FALSE))</f>
        <v>#N/A</v>
      </c>
      <c r="AA515" s="56">
        <f>'Predictive Model'!P627</f>
        <v>0</v>
      </c>
      <c r="AB515" s="22" t="e">
        <f>IF(LEN(VLOOKUP(AA515,A2:D500,4,FALSE))=0,,VLOOKUP(AA515,A2:D500,4,FALSE))</f>
        <v>#N/A</v>
      </c>
      <c r="AC515" s="56">
        <f>'Consumption Model'!P632</f>
        <v>0</v>
      </c>
      <c r="AD515" s="22" t="e">
        <f>IF(LEN(VLOOKUP(AC515,A2:D500,4,FALSE))=0,,VLOOKUP(AC515,A2:D500,4,FALSE))</f>
        <v>#N/A</v>
      </c>
      <c r="AE515" s="22">
        <f>'(Data)'!Q628</f>
        <v>0</v>
      </c>
      <c r="AF515" s="22" t="e">
        <f>IF(LEN(VLOOKUP(AE514:AE515,A2:D500,4,FALSE))=0,,VLOOKUP(AE514:AE515,A2:D500,4,FALSE))</f>
        <v>#N/A</v>
      </c>
      <c r="AH515" s="45">
        <f>'Risk Charact Model'!P646</f>
        <v>0</v>
      </c>
      <c r="AI515" s="58" t="e">
        <f>IF(LEN(VLOOKUP(AH515,A2:D500,4,FALSE))=0,,VLOOKUP(AH515,A2:D500,4,FALSE))</f>
        <v>#N/A</v>
      </c>
    </row>
    <row r="516" spans="9:35" ht="14" x14ac:dyDescent="0.3">
      <c r="I516" s="60">
        <f>'Generic Metadata Schema'!P646</f>
        <v>0</v>
      </c>
      <c r="J516" s="22" t="e">
        <f>IF(LEN(VLOOKUP(I516,A2:D500,4,FALSE))=0,"",VLOOKUP(I516,A2:D500,4,FALSE))</f>
        <v>#N/A</v>
      </c>
      <c r="L516" s="56">
        <f>'Dose-response Model'!O630</f>
        <v>0</v>
      </c>
      <c r="M516" s="22" t="e">
        <f>IF(LEN(VLOOKUP(L516,A2:D500,4,FALSE))=0,,VLOOKUP(L516,A2:D500,4,FALSE))</f>
        <v>#N/A</v>
      </c>
      <c r="N516" s="22">
        <f>'Exposure Model'!O647</f>
        <v>0</v>
      </c>
      <c r="O516" s="22" t="e">
        <f>IF(LEN(VLOOKUP(N516,A2:D500,4,FALSE))=0,,VLOOKUP(N516,A2:D500,4,FALSE))</f>
        <v>#N/A</v>
      </c>
      <c r="P516" s="56">
        <f>'QRA Models'!Q647</f>
        <v>0</v>
      </c>
      <c r="Q516" s="22" t="e">
        <f>IF(LEN(VLOOKUP(P516,A2:D500,4,FALSE))=0,,VLOOKUP(P516,A2:D500,4,FALSE))</f>
        <v>#N/A</v>
      </c>
      <c r="R516" s="56">
        <f>'Health metrics Models'!Q630</f>
        <v>0</v>
      </c>
      <c r="S516" s="22" t="e">
        <f>IF(LEN(VLOOKUP(R516,A2:D500,4,FALSE))=0,,VLOOKUP(R516,A2:D500,4,FALSE))</f>
        <v>#N/A</v>
      </c>
      <c r="T516" s="56">
        <f>'Process Model'!P628</f>
        <v>0</v>
      </c>
      <c r="U516" s="22" t="e">
        <f>IF(LEN(VLOOKUP(T516,A2:D500,4,FALSE))=0,,VLOOKUP(T516,A2:D500,4,FALSE))</f>
        <v>#N/A</v>
      </c>
      <c r="V516" s="56">
        <f>'Toxicological reference value M'!P630</f>
        <v>0</v>
      </c>
      <c r="W516" s="22" t="e">
        <f>IF(LEN(VLOOKUP(V516,A2:D500,4,FALSE))=0,,VLOOKUP(V516,A2:D500,4,FALSE))</f>
        <v>#N/A</v>
      </c>
      <c r="Y516" s="56">
        <f>'Other Empirical Model'!P641</f>
        <v>0</v>
      </c>
      <c r="Z516" s="22" t="e">
        <f>IF(LEN(VLOOKUP(Y516,A2:D500,4,FALSE))=0,,VLOOKUP(Y516,A2:D500,4,FALSE))</f>
        <v>#N/A</v>
      </c>
      <c r="AA516" s="56">
        <f>'Predictive Model'!P628</f>
        <v>0</v>
      </c>
      <c r="AB516" s="22" t="e">
        <f>IF(LEN(VLOOKUP(AA516,A2:D500,4,FALSE))=0,,VLOOKUP(AA516,A2:D500,4,FALSE))</f>
        <v>#N/A</v>
      </c>
      <c r="AC516" s="56">
        <f>'Consumption Model'!P633</f>
        <v>0</v>
      </c>
      <c r="AD516" s="22" t="e">
        <f>IF(LEN(VLOOKUP(AC516,A2:D500,4,FALSE))=0,,VLOOKUP(AC516,A2:D500,4,FALSE))</f>
        <v>#N/A</v>
      </c>
      <c r="AE516" s="22">
        <f>'(Data)'!Q629</f>
        <v>0</v>
      </c>
      <c r="AF516" s="22" t="e">
        <f>IF(LEN(VLOOKUP(AE515:AE516,A2:D500,4,FALSE))=0,,VLOOKUP(AE515:AE516,A2:D500,4,FALSE))</f>
        <v>#N/A</v>
      </c>
      <c r="AH516" s="45">
        <f>'Risk Charact Model'!P647</f>
        <v>0</v>
      </c>
      <c r="AI516" s="58" t="e">
        <f>IF(LEN(VLOOKUP(AH516,A2:D500,4,FALSE))=0,,VLOOKUP(AH516,A2:D500,4,FALSE))</f>
        <v>#N/A</v>
      </c>
    </row>
    <row r="517" spans="9:35" ht="14" x14ac:dyDescent="0.3">
      <c r="I517" s="60">
        <f>'Generic Metadata Schema'!P647</f>
        <v>0</v>
      </c>
      <c r="J517" s="22" t="e">
        <f>IF(LEN(VLOOKUP(I517,A2:D500,4,FALSE))=0,"",VLOOKUP(I517,A2:D500,4,FALSE))</f>
        <v>#N/A</v>
      </c>
      <c r="L517" s="56">
        <f>'Dose-response Model'!O631</f>
        <v>0</v>
      </c>
      <c r="M517" s="22" t="e">
        <f>IF(LEN(VLOOKUP(L517,A2:D500,4,FALSE))=0,,VLOOKUP(L517,A2:D500,4,FALSE))</f>
        <v>#N/A</v>
      </c>
      <c r="N517" s="22">
        <f>'Exposure Model'!O648</f>
        <v>0</v>
      </c>
      <c r="O517" s="22" t="e">
        <f>IF(LEN(VLOOKUP(N517,A2:D500,4,FALSE))=0,,VLOOKUP(N517,A2:D500,4,FALSE))</f>
        <v>#N/A</v>
      </c>
      <c r="P517" s="56">
        <f>'QRA Models'!Q648</f>
        <v>0</v>
      </c>
      <c r="Q517" s="22" t="e">
        <f>IF(LEN(VLOOKUP(P517,A2:D500,4,FALSE))=0,,VLOOKUP(P517,A2:D500,4,FALSE))</f>
        <v>#N/A</v>
      </c>
      <c r="R517" s="56">
        <f>'Health metrics Models'!Q631</f>
        <v>0</v>
      </c>
      <c r="S517" s="22" t="e">
        <f>IF(LEN(VLOOKUP(R517,A2:D500,4,FALSE))=0,,VLOOKUP(R517,A2:D500,4,FALSE))</f>
        <v>#N/A</v>
      </c>
      <c r="T517" s="56">
        <f>'Process Model'!P629</f>
        <v>0</v>
      </c>
      <c r="U517" s="22" t="e">
        <f>IF(LEN(VLOOKUP(T517,A2:D500,4,FALSE))=0,,VLOOKUP(T517,A2:D500,4,FALSE))</f>
        <v>#N/A</v>
      </c>
      <c r="V517" s="56">
        <f>'Toxicological reference value M'!P631</f>
        <v>0</v>
      </c>
      <c r="W517" s="22" t="e">
        <f>IF(LEN(VLOOKUP(V517,A2:D500,4,FALSE))=0,,VLOOKUP(V517,A2:D500,4,FALSE))</f>
        <v>#N/A</v>
      </c>
      <c r="Y517" s="56">
        <f>'Other Empirical Model'!P642</f>
        <v>0</v>
      </c>
      <c r="Z517" s="22" t="e">
        <f>IF(LEN(VLOOKUP(Y517,A2:D500,4,FALSE))=0,,VLOOKUP(Y517,A2:D500,4,FALSE))</f>
        <v>#N/A</v>
      </c>
      <c r="AA517" s="56">
        <f>'Predictive Model'!P629</f>
        <v>0</v>
      </c>
      <c r="AB517" s="22" t="e">
        <f>IF(LEN(VLOOKUP(AA517,A2:D500,4,FALSE))=0,,VLOOKUP(AA517,A2:D500,4,FALSE))</f>
        <v>#N/A</v>
      </c>
      <c r="AC517" s="56">
        <f>'Consumption Model'!P634</f>
        <v>0</v>
      </c>
      <c r="AD517" s="22" t="e">
        <f>IF(LEN(VLOOKUP(AC517,A2:D500,4,FALSE))=0,,VLOOKUP(AC517,A2:D500,4,FALSE))</f>
        <v>#N/A</v>
      </c>
      <c r="AE517" s="22">
        <f>'(Data)'!Q630</f>
        <v>0</v>
      </c>
      <c r="AF517" s="22" t="e">
        <f>IF(LEN(VLOOKUP(AE516:AE517,A2:D500,4,FALSE))=0,,VLOOKUP(AE516:AE517,A2:D500,4,FALSE))</f>
        <v>#N/A</v>
      </c>
      <c r="AH517" s="45">
        <f>'Risk Charact Model'!P648</f>
        <v>0</v>
      </c>
      <c r="AI517" s="58" t="e">
        <f>IF(LEN(VLOOKUP(AH517,A2:D500,4,FALSE))=0,,VLOOKUP(AH517,A2:D500,4,FALSE))</f>
        <v>#N/A</v>
      </c>
    </row>
    <row r="518" spans="9:35" ht="14" x14ac:dyDescent="0.3">
      <c r="I518" s="60">
        <f>'Generic Metadata Schema'!P648</f>
        <v>0</v>
      </c>
      <c r="J518" s="22" t="e">
        <f>IF(LEN(VLOOKUP(I518,A2:D500,4,FALSE))=0,"",VLOOKUP(I518,A2:D500,4,FALSE))</f>
        <v>#N/A</v>
      </c>
      <c r="L518" s="56">
        <f>'Dose-response Model'!O632</f>
        <v>0</v>
      </c>
      <c r="M518" s="22" t="e">
        <f>IF(LEN(VLOOKUP(L518,A2:D500,4,FALSE))=0,,VLOOKUP(L518,A2:D500,4,FALSE))</f>
        <v>#N/A</v>
      </c>
      <c r="N518" s="22">
        <f>'Exposure Model'!O649</f>
        <v>0</v>
      </c>
      <c r="O518" s="22" t="e">
        <f>IF(LEN(VLOOKUP(N518,A2:D500,4,FALSE))=0,,VLOOKUP(N518,A2:D500,4,FALSE))</f>
        <v>#N/A</v>
      </c>
      <c r="P518" s="56">
        <f>'QRA Models'!Q649</f>
        <v>0</v>
      </c>
      <c r="Q518" s="22" t="e">
        <f>IF(LEN(VLOOKUP(P518,A2:D500,4,FALSE))=0,,VLOOKUP(P518,A2:D500,4,FALSE))</f>
        <v>#N/A</v>
      </c>
      <c r="R518" s="56">
        <f>'Health metrics Models'!Q632</f>
        <v>0</v>
      </c>
      <c r="S518" s="22" t="e">
        <f>IF(LEN(VLOOKUP(R518,A2:D500,4,FALSE))=0,,VLOOKUP(R518,A2:D500,4,FALSE))</f>
        <v>#N/A</v>
      </c>
      <c r="T518" s="56">
        <f>'Process Model'!P630</f>
        <v>0</v>
      </c>
      <c r="U518" s="22" t="e">
        <f>IF(LEN(VLOOKUP(T518,A2:D500,4,FALSE))=0,,VLOOKUP(T518,A2:D500,4,FALSE))</f>
        <v>#N/A</v>
      </c>
      <c r="V518" s="56">
        <f>'Toxicological reference value M'!P632</f>
        <v>0</v>
      </c>
      <c r="W518" s="22" t="e">
        <f>IF(LEN(VLOOKUP(V518,A2:D500,4,FALSE))=0,,VLOOKUP(V518,A2:D500,4,FALSE))</f>
        <v>#N/A</v>
      </c>
      <c r="Y518" s="56">
        <f>'Other Empirical Model'!P643</f>
        <v>0</v>
      </c>
      <c r="Z518" s="22" t="e">
        <f>IF(LEN(VLOOKUP(Y518,A2:D500,4,FALSE))=0,,VLOOKUP(Y518,A2:D500,4,FALSE))</f>
        <v>#N/A</v>
      </c>
      <c r="AA518" s="56">
        <f>'Predictive Model'!P630</f>
        <v>0</v>
      </c>
      <c r="AB518" s="22" t="e">
        <f>IF(LEN(VLOOKUP(AA518,A2:D500,4,FALSE))=0,,VLOOKUP(AA518,A2:D500,4,FALSE))</f>
        <v>#N/A</v>
      </c>
      <c r="AC518" s="56">
        <f>'Consumption Model'!P635</f>
        <v>0</v>
      </c>
      <c r="AD518" s="22" t="e">
        <f>IF(LEN(VLOOKUP(AC518,A2:D500,4,FALSE))=0,,VLOOKUP(AC518,A2:D500,4,FALSE))</f>
        <v>#N/A</v>
      </c>
      <c r="AE518" s="22">
        <f>'(Data)'!Q631</f>
        <v>0</v>
      </c>
      <c r="AF518" s="22" t="e">
        <f>IF(LEN(VLOOKUP(AE517:AE518,A2:D500,4,FALSE))=0,,VLOOKUP(AE517:AE518,A2:D500,4,FALSE))</f>
        <v>#N/A</v>
      </c>
      <c r="AH518" s="45">
        <f>'Risk Charact Model'!P649</f>
        <v>0</v>
      </c>
      <c r="AI518" s="58" t="e">
        <f>IF(LEN(VLOOKUP(AH518,A2:D500,4,FALSE))=0,,VLOOKUP(AH518,A2:D500,4,FALSE))</f>
        <v>#N/A</v>
      </c>
    </row>
    <row r="519" spans="9:35" ht="14" x14ac:dyDescent="0.3">
      <c r="I519" s="60">
        <f>'Generic Metadata Schema'!P649</f>
        <v>0</v>
      </c>
      <c r="J519" s="22" t="e">
        <f>IF(LEN(VLOOKUP(I519,A2:D500,4,FALSE))=0,"",VLOOKUP(I519,A2:D500,4,FALSE))</f>
        <v>#N/A</v>
      </c>
      <c r="L519" s="56">
        <f>'Dose-response Model'!O633</f>
        <v>0</v>
      </c>
      <c r="M519" s="22" t="e">
        <f>IF(LEN(VLOOKUP(L519,A2:D500,4,FALSE))=0,,VLOOKUP(L519,A2:D500,4,FALSE))</f>
        <v>#N/A</v>
      </c>
      <c r="N519" s="22">
        <f>'Exposure Model'!O650</f>
        <v>0</v>
      </c>
      <c r="O519" s="22" t="e">
        <f>IF(LEN(VLOOKUP(N519,A2:D500,4,FALSE))=0,,VLOOKUP(N519,A2:D500,4,FALSE))</f>
        <v>#N/A</v>
      </c>
      <c r="P519" s="56">
        <f>'QRA Models'!Q650</f>
        <v>0</v>
      </c>
      <c r="Q519" s="22" t="e">
        <f>IF(LEN(VLOOKUP(P519,A2:D500,4,FALSE))=0,,VLOOKUP(P519,A2:D500,4,FALSE))</f>
        <v>#N/A</v>
      </c>
      <c r="R519" s="56">
        <f>'Health metrics Models'!Q633</f>
        <v>0</v>
      </c>
      <c r="S519" s="22" t="e">
        <f>IF(LEN(VLOOKUP(R519,A2:D500,4,FALSE))=0,,VLOOKUP(R519,A2:D500,4,FALSE))</f>
        <v>#N/A</v>
      </c>
      <c r="T519" s="56">
        <f>'Process Model'!P631</f>
        <v>0</v>
      </c>
      <c r="U519" s="22" t="e">
        <f>IF(LEN(VLOOKUP(T519,A2:D500,4,FALSE))=0,,VLOOKUP(T519,A2:D500,4,FALSE))</f>
        <v>#N/A</v>
      </c>
      <c r="V519" s="56">
        <f>'Toxicological reference value M'!P633</f>
        <v>0</v>
      </c>
      <c r="W519" s="22" t="e">
        <f>IF(LEN(VLOOKUP(V519,A2:D500,4,FALSE))=0,,VLOOKUP(V519,A2:D500,4,FALSE))</f>
        <v>#N/A</v>
      </c>
      <c r="Y519" s="56">
        <f>'Other Empirical Model'!P644</f>
        <v>0</v>
      </c>
      <c r="Z519" s="22" t="e">
        <f>IF(LEN(VLOOKUP(Y519,A2:D500,4,FALSE))=0,,VLOOKUP(Y519,A2:D500,4,FALSE))</f>
        <v>#N/A</v>
      </c>
      <c r="AA519" s="56">
        <f>'Predictive Model'!P631</f>
        <v>0</v>
      </c>
      <c r="AB519" s="22" t="e">
        <f>IF(LEN(VLOOKUP(AA519,A2:D500,4,FALSE))=0,,VLOOKUP(AA519,A2:D500,4,FALSE))</f>
        <v>#N/A</v>
      </c>
      <c r="AC519" s="56">
        <f>'Consumption Model'!P636</f>
        <v>0</v>
      </c>
      <c r="AD519" s="22" t="e">
        <f>IF(LEN(VLOOKUP(AC519,A2:D500,4,FALSE))=0,,VLOOKUP(AC519,A2:D500,4,FALSE))</f>
        <v>#N/A</v>
      </c>
      <c r="AE519" s="22">
        <f>'(Data)'!Q632</f>
        <v>0</v>
      </c>
      <c r="AF519" s="22" t="e">
        <f>IF(LEN(VLOOKUP(AE518:AE519,A2:D500,4,FALSE))=0,,VLOOKUP(AE518:AE519,A2:D500,4,FALSE))</f>
        <v>#N/A</v>
      </c>
      <c r="AH519" s="45">
        <f>'Risk Charact Model'!P650</f>
        <v>0</v>
      </c>
      <c r="AI519" s="58" t="e">
        <f>IF(LEN(VLOOKUP(AH519,A2:D500,4,FALSE))=0,,VLOOKUP(AH519,A2:D500,4,FALSE))</f>
        <v>#N/A</v>
      </c>
    </row>
    <row r="520" spans="9:35" ht="14" x14ac:dyDescent="0.3">
      <c r="I520" s="60">
        <f>'Generic Metadata Schema'!P650</f>
        <v>0</v>
      </c>
      <c r="J520" s="22" t="e">
        <f>IF(LEN(VLOOKUP(I520,A2:D500,4,FALSE))=0,"",VLOOKUP(I520,A2:D500,4,FALSE))</f>
        <v>#N/A</v>
      </c>
      <c r="L520" s="56">
        <f>'Dose-response Model'!O634</f>
        <v>0</v>
      </c>
      <c r="M520" s="22" t="e">
        <f>IF(LEN(VLOOKUP(L520,A2:D500,4,FALSE))=0,,VLOOKUP(L520,A2:D500,4,FALSE))</f>
        <v>#N/A</v>
      </c>
      <c r="N520" s="22">
        <f>'Exposure Model'!O651</f>
        <v>0</v>
      </c>
      <c r="O520" s="22" t="e">
        <f>IF(LEN(VLOOKUP(N520,A2:D500,4,FALSE))=0,,VLOOKUP(N520,A2:D500,4,FALSE))</f>
        <v>#N/A</v>
      </c>
      <c r="P520" s="56">
        <f>'QRA Models'!Q651</f>
        <v>0</v>
      </c>
      <c r="Q520" s="22" t="e">
        <f>IF(LEN(VLOOKUP(P520,A2:D500,4,FALSE))=0,,VLOOKUP(P520,A2:D500,4,FALSE))</f>
        <v>#N/A</v>
      </c>
      <c r="R520" s="56">
        <f>'Health metrics Models'!Q634</f>
        <v>0</v>
      </c>
      <c r="S520" s="22" t="e">
        <f>IF(LEN(VLOOKUP(R520,A2:D500,4,FALSE))=0,,VLOOKUP(R520,A2:D500,4,FALSE))</f>
        <v>#N/A</v>
      </c>
      <c r="T520" s="56">
        <f>'Process Model'!P632</f>
        <v>0</v>
      </c>
      <c r="U520" s="22" t="e">
        <f>IF(LEN(VLOOKUP(T520,A2:D500,4,FALSE))=0,,VLOOKUP(T520,A2:D500,4,FALSE))</f>
        <v>#N/A</v>
      </c>
      <c r="V520" s="56">
        <f>'Toxicological reference value M'!P634</f>
        <v>0</v>
      </c>
      <c r="W520" s="22" t="e">
        <f>IF(LEN(VLOOKUP(V520,A2:D500,4,FALSE))=0,,VLOOKUP(V520,A2:D500,4,FALSE))</f>
        <v>#N/A</v>
      </c>
      <c r="Y520" s="56">
        <f>'Other Empirical Model'!P645</f>
        <v>0</v>
      </c>
      <c r="Z520" s="22" t="e">
        <f>IF(LEN(VLOOKUP(Y520,A2:D500,4,FALSE))=0,,VLOOKUP(Y520,A2:D500,4,FALSE))</f>
        <v>#N/A</v>
      </c>
      <c r="AA520" s="56">
        <f>'Predictive Model'!P632</f>
        <v>0</v>
      </c>
      <c r="AB520" s="22" t="e">
        <f>IF(LEN(VLOOKUP(AA520,A2:D500,4,FALSE))=0,,VLOOKUP(AA520,A2:D500,4,FALSE))</f>
        <v>#N/A</v>
      </c>
      <c r="AC520" s="56">
        <f>'Consumption Model'!P637</f>
        <v>0</v>
      </c>
      <c r="AD520" s="22" t="e">
        <f>IF(LEN(VLOOKUP(AC520,A2:D500,4,FALSE))=0,,VLOOKUP(AC520,A2:D500,4,FALSE))</f>
        <v>#N/A</v>
      </c>
      <c r="AE520" s="22">
        <f>'(Data)'!Q633</f>
        <v>0</v>
      </c>
      <c r="AF520" s="22" t="e">
        <f>IF(LEN(VLOOKUP(AE519:AE520,A2:D500,4,FALSE))=0,,VLOOKUP(AE519:AE520,A2:D500,4,FALSE))</f>
        <v>#N/A</v>
      </c>
      <c r="AH520" s="45">
        <f>'Risk Charact Model'!P651</f>
        <v>0</v>
      </c>
      <c r="AI520" s="58" t="e">
        <f>IF(LEN(VLOOKUP(AH520,A2:D500,4,FALSE))=0,,VLOOKUP(AH520,A2:D500,4,FALSE))</f>
        <v>#N/A</v>
      </c>
    </row>
    <row r="521" spans="9:35" ht="14" x14ac:dyDescent="0.3">
      <c r="I521" s="60">
        <f>'Generic Metadata Schema'!P651</f>
        <v>0</v>
      </c>
      <c r="J521" s="22" t="e">
        <f>IF(LEN(VLOOKUP(I521,A2:D500,4,FALSE))=0,"",VLOOKUP(I521,A2:D500,4,FALSE))</f>
        <v>#N/A</v>
      </c>
      <c r="L521" s="56">
        <f>'Dose-response Model'!O635</f>
        <v>0</v>
      </c>
      <c r="M521" s="22" t="e">
        <f>IF(LEN(VLOOKUP(L521,A2:D500,4,FALSE))=0,,VLOOKUP(L521,A2:D500,4,FALSE))</f>
        <v>#N/A</v>
      </c>
      <c r="N521" s="22">
        <f>'Exposure Model'!O652</f>
        <v>0</v>
      </c>
      <c r="O521" s="22" t="e">
        <f>IF(LEN(VLOOKUP(N521,A2:D500,4,FALSE))=0,,VLOOKUP(N521,A2:D500,4,FALSE))</f>
        <v>#N/A</v>
      </c>
      <c r="P521" s="56">
        <f>'QRA Models'!Q652</f>
        <v>0</v>
      </c>
      <c r="Q521" s="22" t="e">
        <f>IF(LEN(VLOOKUP(P521,A2:D500,4,FALSE))=0,,VLOOKUP(P521,A2:D500,4,FALSE))</f>
        <v>#N/A</v>
      </c>
      <c r="R521" s="56">
        <f>'Health metrics Models'!Q635</f>
        <v>0</v>
      </c>
      <c r="S521" s="22" t="e">
        <f>IF(LEN(VLOOKUP(R521,A2:D500,4,FALSE))=0,,VLOOKUP(R521,A2:D500,4,FALSE))</f>
        <v>#N/A</v>
      </c>
      <c r="T521" s="56">
        <f>'Process Model'!P633</f>
        <v>0</v>
      </c>
      <c r="U521" s="22" t="e">
        <f>IF(LEN(VLOOKUP(T521,A2:D500,4,FALSE))=0,,VLOOKUP(T521,A2:D500,4,FALSE))</f>
        <v>#N/A</v>
      </c>
      <c r="V521" s="56">
        <f>'Toxicological reference value M'!P635</f>
        <v>0</v>
      </c>
      <c r="W521" s="22" t="e">
        <f>IF(LEN(VLOOKUP(V521,A2:D500,4,FALSE))=0,,VLOOKUP(V521,A2:D500,4,FALSE))</f>
        <v>#N/A</v>
      </c>
      <c r="Y521" s="56">
        <f>'Other Empirical Model'!P646</f>
        <v>0</v>
      </c>
      <c r="Z521" s="22" t="e">
        <f>IF(LEN(VLOOKUP(Y521,A2:D500,4,FALSE))=0,,VLOOKUP(Y521,A2:D500,4,FALSE))</f>
        <v>#N/A</v>
      </c>
      <c r="AA521" s="56">
        <f>'Predictive Model'!P633</f>
        <v>0</v>
      </c>
      <c r="AB521" s="22" t="e">
        <f>IF(LEN(VLOOKUP(AA521,A2:D500,4,FALSE))=0,,VLOOKUP(AA521,A2:D500,4,FALSE))</f>
        <v>#N/A</v>
      </c>
      <c r="AC521" s="56">
        <f>'Consumption Model'!P638</f>
        <v>0</v>
      </c>
      <c r="AD521" s="22" t="e">
        <f>IF(LEN(VLOOKUP(AC521,A2:D500,4,FALSE))=0,,VLOOKUP(AC521,A2:D500,4,FALSE))</f>
        <v>#N/A</v>
      </c>
      <c r="AE521" s="22">
        <f>'(Data)'!Q634</f>
        <v>0</v>
      </c>
      <c r="AF521" s="22" t="e">
        <f>IF(LEN(VLOOKUP(AE520:AE521,A2:D500,4,FALSE))=0,,VLOOKUP(AE520:AE521,A2:D500,4,FALSE))</f>
        <v>#N/A</v>
      </c>
      <c r="AH521" s="45">
        <f>'Risk Charact Model'!P652</f>
        <v>0</v>
      </c>
      <c r="AI521" s="58" t="e">
        <f>IF(LEN(VLOOKUP(AH521,A2:D500,4,FALSE))=0,,VLOOKUP(AH521,A2:D500,4,FALSE))</f>
        <v>#N/A</v>
      </c>
    </row>
    <row r="522" spans="9:35" ht="14" x14ac:dyDescent="0.3">
      <c r="I522" s="60">
        <f>'Generic Metadata Schema'!P652</f>
        <v>0</v>
      </c>
      <c r="J522" s="22" t="e">
        <f>IF(LEN(VLOOKUP(I522,A2:D500,4,FALSE))=0,"",VLOOKUP(I522,A2:D500,4,FALSE))</f>
        <v>#N/A</v>
      </c>
      <c r="L522" s="56">
        <f>'Dose-response Model'!O636</f>
        <v>0</v>
      </c>
      <c r="M522" s="22" t="e">
        <f>IF(LEN(VLOOKUP(L522,A2:D500,4,FALSE))=0,,VLOOKUP(L522,A2:D500,4,FALSE))</f>
        <v>#N/A</v>
      </c>
      <c r="N522" s="22">
        <f>'Exposure Model'!O653</f>
        <v>0</v>
      </c>
      <c r="O522" s="22" t="e">
        <f>IF(LEN(VLOOKUP(N522,A2:D500,4,FALSE))=0,,VLOOKUP(N522,A2:D500,4,FALSE))</f>
        <v>#N/A</v>
      </c>
      <c r="P522" s="56">
        <f>'QRA Models'!Q653</f>
        <v>0</v>
      </c>
      <c r="Q522" s="22" t="e">
        <f>IF(LEN(VLOOKUP(P522,A2:D500,4,FALSE))=0,,VLOOKUP(P522,A2:D500,4,FALSE))</f>
        <v>#N/A</v>
      </c>
      <c r="R522" s="56">
        <f>'Health metrics Models'!Q636</f>
        <v>0</v>
      </c>
      <c r="S522" s="22" t="e">
        <f>IF(LEN(VLOOKUP(R522,A2:D500,4,FALSE))=0,,VLOOKUP(R522,A2:D500,4,FALSE))</f>
        <v>#N/A</v>
      </c>
      <c r="T522" s="56">
        <f>'Process Model'!P634</f>
        <v>0</v>
      </c>
      <c r="U522" s="22" t="e">
        <f>IF(LEN(VLOOKUP(T522,A2:D500,4,FALSE))=0,,VLOOKUP(T522,A2:D500,4,FALSE))</f>
        <v>#N/A</v>
      </c>
      <c r="V522" s="56">
        <f>'Toxicological reference value M'!P636</f>
        <v>0</v>
      </c>
      <c r="W522" s="22" t="e">
        <f>IF(LEN(VLOOKUP(V522,A2:D500,4,FALSE))=0,,VLOOKUP(V522,A2:D500,4,FALSE))</f>
        <v>#N/A</v>
      </c>
      <c r="Y522" s="56">
        <f>'Other Empirical Model'!P647</f>
        <v>0</v>
      </c>
      <c r="Z522" s="22" t="e">
        <f>IF(LEN(VLOOKUP(Y522,A2:D500,4,FALSE))=0,,VLOOKUP(Y522,A2:D500,4,FALSE))</f>
        <v>#N/A</v>
      </c>
      <c r="AA522" s="56">
        <f>'Predictive Model'!P634</f>
        <v>0</v>
      </c>
      <c r="AB522" s="22" t="e">
        <f>IF(LEN(VLOOKUP(AA522,A2:D500,4,FALSE))=0,,VLOOKUP(AA522,A2:D500,4,FALSE))</f>
        <v>#N/A</v>
      </c>
      <c r="AC522" s="56">
        <f>'Consumption Model'!P639</f>
        <v>0</v>
      </c>
      <c r="AD522" s="22" t="e">
        <f>IF(LEN(VLOOKUP(AC522,A2:D500,4,FALSE))=0,,VLOOKUP(AC522,A2:D500,4,FALSE))</f>
        <v>#N/A</v>
      </c>
      <c r="AE522" s="22">
        <f>'(Data)'!Q635</f>
        <v>0</v>
      </c>
      <c r="AF522" s="22" t="e">
        <f>IF(LEN(VLOOKUP(AE521:AE522,A2:D500,4,FALSE))=0,,VLOOKUP(AE521:AE522,A2:D500,4,FALSE))</f>
        <v>#N/A</v>
      </c>
      <c r="AH522" s="45">
        <f>'Risk Charact Model'!P653</f>
        <v>0</v>
      </c>
      <c r="AI522" s="58" t="e">
        <f>IF(LEN(VLOOKUP(AH522,A2:D500,4,FALSE))=0,,VLOOKUP(AH522,A2:D500,4,FALSE))</f>
        <v>#N/A</v>
      </c>
    </row>
    <row r="523" spans="9:35" ht="14" x14ac:dyDescent="0.3">
      <c r="I523" s="60">
        <f>'Generic Metadata Schema'!P653</f>
        <v>0</v>
      </c>
      <c r="J523" s="22" t="e">
        <f>IF(LEN(VLOOKUP(I523,A2:D500,4,FALSE))=0,"",VLOOKUP(I523,A2:D500,4,FALSE))</f>
        <v>#N/A</v>
      </c>
      <c r="L523" s="56">
        <f>'Dose-response Model'!O637</f>
        <v>0</v>
      </c>
      <c r="M523" s="22" t="e">
        <f>IF(LEN(VLOOKUP(L523,A2:D500,4,FALSE))=0,,VLOOKUP(L523,A2:D500,4,FALSE))</f>
        <v>#N/A</v>
      </c>
      <c r="N523" s="22">
        <f>'Exposure Model'!O654</f>
        <v>0</v>
      </c>
      <c r="O523" s="22" t="e">
        <f>IF(LEN(VLOOKUP(N523,A2:D500,4,FALSE))=0,,VLOOKUP(N523,A2:D500,4,FALSE))</f>
        <v>#N/A</v>
      </c>
      <c r="P523" s="56">
        <f>'QRA Models'!Q654</f>
        <v>0</v>
      </c>
      <c r="Q523" s="22" t="e">
        <f>IF(LEN(VLOOKUP(P523,A2:D500,4,FALSE))=0,,VLOOKUP(P523,A2:D500,4,FALSE))</f>
        <v>#N/A</v>
      </c>
      <c r="R523" s="56">
        <f>'Health metrics Models'!Q637</f>
        <v>0</v>
      </c>
      <c r="S523" s="22" t="e">
        <f>IF(LEN(VLOOKUP(R523,A2:D500,4,FALSE))=0,,VLOOKUP(R523,A2:D500,4,FALSE))</f>
        <v>#N/A</v>
      </c>
      <c r="T523" s="56">
        <f>'Process Model'!P635</f>
        <v>0</v>
      </c>
      <c r="U523" s="22" t="e">
        <f>IF(LEN(VLOOKUP(T523,A2:D500,4,FALSE))=0,,VLOOKUP(T523,A2:D500,4,FALSE))</f>
        <v>#N/A</v>
      </c>
      <c r="V523" s="56">
        <f>'Toxicological reference value M'!P637</f>
        <v>0</v>
      </c>
      <c r="W523" s="22" t="e">
        <f>IF(LEN(VLOOKUP(V523,A2:D500,4,FALSE))=0,,VLOOKUP(V523,A2:D500,4,FALSE))</f>
        <v>#N/A</v>
      </c>
      <c r="Y523" s="56">
        <f>'Other Empirical Model'!P648</f>
        <v>0</v>
      </c>
      <c r="Z523" s="22" t="e">
        <f>IF(LEN(VLOOKUP(Y523,A2:D500,4,FALSE))=0,,VLOOKUP(Y523,A2:D500,4,FALSE))</f>
        <v>#N/A</v>
      </c>
      <c r="AA523" s="56">
        <f>'Predictive Model'!P635</f>
        <v>0</v>
      </c>
      <c r="AB523" s="22" t="e">
        <f>IF(LEN(VLOOKUP(AA523,A2:D500,4,FALSE))=0,,VLOOKUP(AA523,A2:D500,4,FALSE))</f>
        <v>#N/A</v>
      </c>
      <c r="AC523" s="56">
        <f>'Consumption Model'!P640</f>
        <v>0</v>
      </c>
      <c r="AD523" s="22" t="e">
        <f>IF(LEN(VLOOKUP(AC523,A2:D500,4,FALSE))=0,,VLOOKUP(AC523,A2:D500,4,FALSE))</f>
        <v>#N/A</v>
      </c>
      <c r="AE523" s="22">
        <f>'(Data)'!Q636</f>
        <v>0</v>
      </c>
      <c r="AF523" s="22" t="e">
        <f>IF(LEN(VLOOKUP(AE522:AE523,A2:D500,4,FALSE))=0,,VLOOKUP(AE522:AE523,A2:D500,4,FALSE))</f>
        <v>#N/A</v>
      </c>
      <c r="AH523" s="45">
        <f>'Risk Charact Model'!P654</f>
        <v>0</v>
      </c>
      <c r="AI523" s="58" t="e">
        <f>IF(LEN(VLOOKUP(AH523,A2:D500,4,FALSE))=0,,VLOOKUP(AH523,A2:D500,4,FALSE))</f>
        <v>#N/A</v>
      </c>
    </row>
    <row r="524" spans="9:35" ht="14" x14ac:dyDescent="0.3">
      <c r="I524" s="60">
        <f>'Generic Metadata Schema'!P654</f>
        <v>0</v>
      </c>
      <c r="J524" s="22" t="e">
        <f>IF(LEN(VLOOKUP(I524,A2:D500,4,FALSE))=0,"",VLOOKUP(I524,A2:D500,4,FALSE))</f>
        <v>#N/A</v>
      </c>
      <c r="L524" s="56">
        <f>'Dose-response Model'!O638</f>
        <v>0</v>
      </c>
      <c r="M524" s="22" t="e">
        <f>IF(LEN(VLOOKUP(L524,A2:D500,4,FALSE))=0,,VLOOKUP(L524,A2:D500,4,FALSE))</f>
        <v>#N/A</v>
      </c>
      <c r="N524" s="22">
        <f>'Exposure Model'!O655</f>
        <v>0</v>
      </c>
      <c r="O524" s="22" t="e">
        <f>IF(LEN(VLOOKUP(N524,A2:D500,4,FALSE))=0,,VLOOKUP(N524,A2:D500,4,FALSE))</f>
        <v>#N/A</v>
      </c>
      <c r="P524" s="56">
        <f>'QRA Models'!Q655</f>
        <v>0</v>
      </c>
      <c r="Q524" s="22" t="e">
        <f>IF(LEN(VLOOKUP(P524,A2:D500,4,FALSE))=0,,VLOOKUP(P524,A2:D500,4,FALSE))</f>
        <v>#N/A</v>
      </c>
      <c r="R524" s="56">
        <f>'Health metrics Models'!Q638</f>
        <v>0</v>
      </c>
      <c r="S524" s="22" t="e">
        <f>IF(LEN(VLOOKUP(R524,A2:D500,4,FALSE))=0,,VLOOKUP(R524,A2:D500,4,FALSE))</f>
        <v>#N/A</v>
      </c>
      <c r="T524" s="56">
        <f>'Process Model'!P636</f>
        <v>0</v>
      </c>
      <c r="U524" s="22" t="e">
        <f>IF(LEN(VLOOKUP(T524,A2:D500,4,FALSE))=0,,VLOOKUP(T524,A2:D500,4,FALSE))</f>
        <v>#N/A</v>
      </c>
      <c r="V524" s="56">
        <f>'Toxicological reference value M'!P638</f>
        <v>0</v>
      </c>
      <c r="W524" s="22" t="e">
        <f>IF(LEN(VLOOKUP(V524,A2:D500,4,FALSE))=0,,VLOOKUP(V524,A2:D500,4,FALSE))</f>
        <v>#N/A</v>
      </c>
      <c r="Y524" s="56">
        <f>'Other Empirical Model'!P649</f>
        <v>0</v>
      </c>
      <c r="Z524" s="22" t="e">
        <f>IF(LEN(VLOOKUP(Y524,A2:D500,4,FALSE))=0,,VLOOKUP(Y524,A2:D500,4,FALSE))</f>
        <v>#N/A</v>
      </c>
      <c r="AA524" s="56">
        <f>'Predictive Model'!P636</f>
        <v>0</v>
      </c>
      <c r="AB524" s="22" t="e">
        <f>IF(LEN(VLOOKUP(AA524,A2:D500,4,FALSE))=0,,VLOOKUP(AA524,A2:D500,4,FALSE))</f>
        <v>#N/A</v>
      </c>
      <c r="AC524" s="56">
        <f>'Consumption Model'!P641</f>
        <v>0</v>
      </c>
      <c r="AD524" s="22" t="e">
        <f>IF(LEN(VLOOKUP(AC524,A2:D500,4,FALSE))=0,,VLOOKUP(AC524,A2:D500,4,FALSE))</f>
        <v>#N/A</v>
      </c>
      <c r="AE524" s="22">
        <f>'(Data)'!Q637</f>
        <v>0</v>
      </c>
      <c r="AF524" s="22" t="e">
        <f>IF(LEN(VLOOKUP(AE523:AE524,A2:D500,4,FALSE))=0,,VLOOKUP(AE523:AE524,A2:D500,4,FALSE))</f>
        <v>#N/A</v>
      </c>
      <c r="AH524" s="45">
        <f>'Risk Charact Model'!P655</f>
        <v>0</v>
      </c>
      <c r="AI524" s="58" t="e">
        <f>IF(LEN(VLOOKUP(AH524,A2:D500,4,FALSE))=0,,VLOOKUP(AH524,A2:D500,4,FALSE))</f>
        <v>#N/A</v>
      </c>
    </row>
    <row r="525" spans="9:35" ht="14" x14ac:dyDescent="0.3">
      <c r="I525" s="60">
        <f>'Generic Metadata Schema'!P655</f>
        <v>0</v>
      </c>
      <c r="J525" s="22" t="e">
        <f>IF(LEN(VLOOKUP(I525,A2:D500,4,FALSE))=0,"",VLOOKUP(I525,A2:D500,4,FALSE))</f>
        <v>#N/A</v>
      </c>
      <c r="L525" s="56">
        <f>'Dose-response Model'!O639</f>
        <v>0</v>
      </c>
      <c r="M525" s="22" t="e">
        <f>IF(LEN(VLOOKUP(L525,A2:D500,4,FALSE))=0,,VLOOKUP(L525,A2:D500,4,FALSE))</f>
        <v>#N/A</v>
      </c>
      <c r="N525" s="22">
        <f>'Exposure Model'!O656</f>
        <v>0</v>
      </c>
      <c r="O525" s="22" t="e">
        <f>IF(LEN(VLOOKUP(N525,A2:D500,4,FALSE))=0,,VLOOKUP(N525,A2:D500,4,FALSE))</f>
        <v>#N/A</v>
      </c>
      <c r="P525" s="56">
        <f>'QRA Models'!Q656</f>
        <v>0</v>
      </c>
      <c r="Q525" s="22" t="e">
        <f>IF(LEN(VLOOKUP(P525,A2:D500,4,FALSE))=0,,VLOOKUP(P525,A2:D500,4,FALSE))</f>
        <v>#N/A</v>
      </c>
      <c r="R525" s="56">
        <f>'Health metrics Models'!Q639</f>
        <v>0</v>
      </c>
      <c r="S525" s="22" t="e">
        <f>IF(LEN(VLOOKUP(R525,A2:D500,4,FALSE))=0,,VLOOKUP(R525,A2:D500,4,FALSE))</f>
        <v>#N/A</v>
      </c>
      <c r="T525" s="56">
        <f>'Process Model'!P637</f>
        <v>0</v>
      </c>
      <c r="U525" s="22" t="e">
        <f>IF(LEN(VLOOKUP(T525,A2:D500,4,FALSE))=0,,VLOOKUP(T525,A2:D500,4,FALSE))</f>
        <v>#N/A</v>
      </c>
      <c r="V525" s="56">
        <f>'Toxicological reference value M'!P639</f>
        <v>0</v>
      </c>
      <c r="W525" s="22" t="e">
        <f>IF(LEN(VLOOKUP(V525,A2:D500,4,FALSE))=0,,VLOOKUP(V525,A2:D500,4,FALSE))</f>
        <v>#N/A</v>
      </c>
      <c r="Y525" s="56">
        <f>'Other Empirical Model'!P650</f>
        <v>0</v>
      </c>
      <c r="Z525" s="22" t="e">
        <f>IF(LEN(VLOOKUP(Y525,A2:D500,4,FALSE))=0,,VLOOKUP(Y525,A2:D500,4,FALSE))</f>
        <v>#N/A</v>
      </c>
      <c r="AA525" s="56">
        <f>'Predictive Model'!P637</f>
        <v>0</v>
      </c>
      <c r="AB525" s="22" t="e">
        <f>IF(LEN(VLOOKUP(AA525,A2:D500,4,FALSE))=0,,VLOOKUP(AA525,A2:D500,4,FALSE))</f>
        <v>#N/A</v>
      </c>
      <c r="AC525" s="56">
        <f>'Consumption Model'!P642</f>
        <v>0</v>
      </c>
      <c r="AD525" s="22" t="e">
        <f>IF(LEN(VLOOKUP(AC525,A2:D500,4,FALSE))=0,,VLOOKUP(AC525,A2:D500,4,FALSE))</f>
        <v>#N/A</v>
      </c>
      <c r="AE525" s="22">
        <f>'(Data)'!Q638</f>
        <v>0</v>
      </c>
      <c r="AF525" s="22" t="e">
        <f>IF(LEN(VLOOKUP(AE524:AE525,A2:D500,4,FALSE))=0,,VLOOKUP(AE524:AE525,A2:D500,4,FALSE))</f>
        <v>#N/A</v>
      </c>
      <c r="AH525" s="45">
        <f>'Risk Charact Model'!P656</f>
        <v>0</v>
      </c>
      <c r="AI525" s="58" t="e">
        <f>IF(LEN(VLOOKUP(AH525,A2:D500,4,FALSE))=0,,VLOOKUP(AH525,A2:D500,4,FALSE))</f>
        <v>#N/A</v>
      </c>
    </row>
    <row r="526" spans="9:35" ht="14" x14ac:dyDescent="0.3">
      <c r="I526" s="60">
        <f>'Generic Metadata Schema'!P656</f>
        <v>0</v>
      </c>
      <c r="J526" s="22" t="e">
        <f>IF(LEN(VLOOKUP(I526,A2:D500,4,FALSE))=0,"",VLOOKUP(I526,A2:D500,4,FALSE))</f>
        <v>#N/A</v>
      </c>
      <c r="L526" s="56">
        <f>'Dose-response Model'!O640</f>
        <v>0</v>
      </c>
      <c r="M526" s="22" t="e">
        <f>IF(LEN(VLOOKUP(L526,A2:D500,4,FALSE))=0,,VLOOKUP(L526,A2:D500,4,FALSE))</f>
        <v>#N/A</v>
      </c>
      <c r="N526" s="22">
        <f>'Exposure Model'!O657</f>
        <v>0</v>
      </c>
      <c r="O526" s="22" t="e">
        <f>IF(LEN(VLOOKUP(N526,A2:D500,4,FALSE))=0,,VLOOKUP(N526,A2:D500,4,FALSE))</f>
        <v>#N/A</v>
      </c>
      <c r="P526" s="56">
        <f>'QRA Models'!Q657</f>
        <v>0</v>
      </c>
      <c r="Q526" s="22" t="e">
        <f>IF(LEN(VLOOKUP(P526,A2:D500,4,FALSE))=0,,VLOOKUP(P526,A2:D500,4,FALSE))</f>
        <v>#N/A</v>
      </c>
      <c r="R526" s="56">
        <f>'Health metrics Models'!Q640</f>
        <v>0</v>
      </c>
      <c r="S526" s="22" t="e">
        <f>IF(LEN(VLOOKUP(R526,A2:D500,4,FALSE))=0,,VLOOKUP(R526,A2:D500,4,FALSE))</f>
        <v>#N/A</v>
      </c>
      <c r="T526" s="56">
        <f>'Process Model'!P638</f>
        <v>0</v>
      </c>
      <c r="U526" s="22" t="e">
        <f>IF(LEN(VLOOKUP(T526,A2:D500,4,FALSE))=0,,VLOOKUP(T526,A2:D500,4,FALSE))</f>
        <v>#N/A</v>
      </c>
      <c r="V526" s="56">
        <f>'Toxicological reference value M'!P640</f>
        <v>0</v>
      </c>
      <c r="W526" s="22" t="e">
        <f>IF(LEN(VLOOKUP(V526,A2:D500,4,FALSE))=0,,VLOOKUP(V526,A2:D500,4,FALSE))</f>
        <v>#N/A</v>
      </c>
      <c r="Y526" s="56">
        <f>'Other Empirical Model'!P651</f>
        <v>0</v>
      </c>
      <c r="Z526" s="22" t="e">
        <f>IF(LEN(VLOOKUP(Y526,A2:D500,4,FALSE))=0,,VLOOKUP(Y526,A2:D500,4,FALSE))</f>
        <v>#N/A</v>
      </c>
      <c r="AA526" s="56">
        <f>'Predictive Model'!P638</f>
        <v>0</v>
      </c>
      <c r="AB526" s="22" t="e">
        <f>IF(LEN(VLOOKUP(AA526,A2:D500,4,FALSE))=0,,VLOOKUP(AA526,A2:D500,4,FALSE))</f>
        <v>#N/A</v>
      </c>
      <c r="AC526" s="56">
        <f>'Consumption Model'!P643</f>
        <v>0</v>
      </c>
      <c r="AD526" s="22" t="e">
        <f>IF(LEN(VLOOKUP(AC526,A2:D500,4,FALSE))=0,,VLOOKUP(AC526,A2:D500,4,FALSE))</f>
        <v>#N/A</v>
      </c>
      <c r="AE526" s="22">
        <f>'(Data)'!Q639</f>
        <v>0</v>
      </c>
      <c r="AF526" s="22" t="e">
        <f>IF(LEN(VLOOKUP(AE525:AE526,A2:D500,4,FALSE))=0,,VLOOKUP(AE525:AE526,A2:D500,4,FALSE))</f>
        <v>#N/A</v>
      </c>
      <c r="AH526" s="45">
        <f>'Risk Charact Model'!P657</f>
        <v>0</v>
      </c>
      <c r="AI526" s="58" t="e">
        <f>IF(LEN(VLOOKUP(AH526,A2:D500,4,FALSE))=0,,VLOOKUP(AH526,A2:D500,4,FALSE))</f>
        <v>#N/A</v>
      </c>
    </row>
    <row r="527" spans="9:35" ht="14" x14ac:dyDescent="0.3">
      <c r="I527" s="60">
        <f>'Generic Metadata Schema'!P657</f>
        <v>0</v>
      </c>
      <c r="J527" s="22" t="e">
        <f>IF(LEN(VLOOKUP(I527,A2:D500,4,FALSE))=0,"",VLOOKUP(I527,A2:D500,4,FALSE))</f>
        <v>#N/A</v>
      </c>
      <c r="L527" s="56">
        <f>'Dose-response Model'!O641</f>
        <v>0</v>
      </c>
      <c r="M527" s="22" t="e">
        <f>IF(LEN(VLOOKUP(L527,A2:D500,4,FALSE))=0,,VLOOKUP(L527,A2:D500,4,FALSE))</f>
        <v>#N/A</v>
      </c>
      <c r="N527" s="22">
        <f>'Exposure Model'!O658</f>
        <v>0</v>
      </c>
      <c r="O527" s="22" t="e">
        <f>IF(LEN(VLOOKUP(N527,A2:D500,4,FALSE))=0,,VLOOKUP(N527,A2:D500,4,FALSE))</f>
        <v>#N/A</v>
      </c>
      <c r="P527" s="56">
        <f>'QRA Models'!Q658</f>
        <v>0</v>
      </c>
      <c r="Q527" s="22" t="e">
        <f>IF(LEN(VLOOKUP(P527,A2:D500,4,FALSE))=0,,VLOOKUP(P527,A2:D500,4,FALSE))</f>
        <v>#N/A</v>
      </c>
      <c r="R527" s="56">
        <f>'Health metrics Models'!Q641</f>
        <v>0</v>
      </c>
      <c r="S527" s="22" t="e">
        <f>IF(LEN(VLOOKUP(R527,A2:D500,4,FALSE))=0,,VLOOKUP(R527,A2:D500,4,FALSE))</f>
        <v>#N/A</v>
      </c>
      <c r="T527" s="56">
        <f>'Process Model'!P639</f>
        <v>0</v>
      </c>
      <c r="U527" s="22" t="e">
        <f>IF(LEN(VLOOKUP(T527,A2:D500,4,FALSE))=0,,VLOOKUP(T527,A2:D500,4,FALSE))</f>
        <v>#N/A</v>
      </c>
      <c r="V527" s="56">
        <f>'Toxicological reference value M'!P641</f>
        <v>0</v>
      </c>
      <c r="W527" s="22" t="e">
        <f>IF(LEN(VLOOKUP(V527,A2:D500,4,FALSE))=0,,VLOOKUP(V527,A2:D500,4,FALSE))</f>
        <v>#N/A</v>
      </c>
      <c r="Y527" s="56">
        <f>'Other Empirical Model'!P652</f>
        <v>0</v>
      </c>
      <c r="Z527" s="22" t="e">
        <f>IF(LEN(VLOOKUP(Y527,A2:D500,4,FALSE))=0,,VLOOKUP(Y527,A2:D500,4,FALSE))</f>
        <v>#N/A</v>
      </c>
      <c r="AA527" s="56">
        <f>'Predictive Model'!P639</f>
        <v>0</v>
      </c>
      <c r="AB527" s="22" t="e">
        <f>IF(LEN(VLOOKUP(AA527,A2:D500,4,FALSE))=0,,VLOOKUP(AA527,A2:D500,4,FALSE))</f>
        <v>#N/A</v>
      </c>
      <c r="AC527" s="56">
        <f>'Consumption Model'!P644</f>
        <v>0</v>
      </c>
      <c r="AD527" s="22" t="e">
        <f>IF(LEN(VLOOKUP(AC527,A2:D500,4,FALSE))=0,,VLOOKUP(AC527,A2:D500,4,FALSE))</f>
        <v>#N/A</v>
      </c>
      <c r="AE527" s="22">
        <f>'(Data)'!Q640</f>
        <v>0</v>
      </c>
      <c r="AF527" s="22" t="e">
        <f>IF(LEN(VLOOKUP(AE526:AE527,A2:D500,4,FALSE))=0,,VLOOKUP(AE526:AE527,A2:D500,4,FALSE))</f>
        <v>#N/A</v>
      </c>
      <c r="AH527" s="45">
        <f>'Risk Charact Model'!P658</f>
        <v>0</v>
      </c>
      <c r="AI527" s="58" t="e">
        <f>IF(LEN(VLOOKUP(AH527,A2:D500,4,FALSE))=0,,VLOOKUP(AH527,A2:D500,4,FALSE))</f>
        <v>#N/A</v>
      </c>
    </row>
    <row r="528" spans="9:35" ht="14" x14ac:dyDescent="0.3">
      <c r="I528" s="60">
        <f>'Generic Metadata Schema'!P658</f>
        <v>0</v>
      </c>
      <c r="J528" s="22" t="e">
        <f>IF(LEN(VLOOKUP(I528,A2:D500,4,FALSE))=0,"",VLOOKUP(I528,A2:D500,4,FALSE))</f>
        <v>#N/A</v>
      </c>
      <c r="L528" s="56">
        <f>'Dose-response Model'!O642</f>
        <v>0</v>
      </c>
      <c r="M528" s="22" t="e">
        <f>IF(LEN(VLOOKUP(L528,A2:D500,4,FALSE))=0,,VLOOKUP(L528,A2:D500,4,FALSE))</f>
        <v>#N/A</v>
      </c>
      <c r="N528" s="22">
        <f>'Exposure Model'!O659</f>
        <v>0</v>
      </c>
      <c r="O528" s="22" t="e">
        <f>IF(LEN(VLOOKUP(N528,A2:D500,4,FALSE))=0,,VLOOKUP(N528,A2:D500,4,FALSE))</f>
        <v>#N/A</v>
      </c>
      <c r="P528" s="56">
        <f>'QRA Models'!Q659</f>
        <v>0</v>
      </c>
      <c r="Q528" s="22" t="e">
        <f>IF(LEN(VLOOKUP(P528,A2:D500,4,FALSE))=0,,VLOOKUP(P528,A2:D500,4,FALSE))</f>
        <v>#N/A</v>
      </c>
      <c r="R528" s="56">
        <f>'Health metrics Models'!Q642</f>
        <v>0</v>
      </c>
      <c r="S528" s="22" t="e">
        <f>IF(LEN(VLOOKUP(R528,A2:D500,4,FALSE))=0,,VLOOKUP(R528,A2:D500,4,FALSE))</f>
        <v>#N/A</v>
      </c>
      <c r="T528" s="56">
        <f>'Process Model'!P640</f>
        <v>0</v>
      </c>
      <c r="U528" s="22" t="e">
        <f>IF(LEN(VLOOKUP(T528,A2:D500,4,FALSE))=0,,VLOOKUP(T528,A2:D500,4,FALSE))</f>
        <v>#N/A</v>
      </c>
      <c r="V528" s="56">
        <f>'Toxicological reference value M'!P642</f>
        <v>0</v>
      </c>
      <c r="W528" s="22" t="e">
        <f>IF(LEN(VLOOKUP(V528,A2:D500,4,FALSE))=0,,VLOOKUP(V528,A2:D500,4,FALSE))</f>
        <v>#N/A</v>
      </c>
      <c r="Y528" s="56">
        <f>'Other Empirical Model'!P653</f>
        <v>0</v>
      </c>
      <c r="Z528" s="22" t="e">
        <f>IF(LEN(VLOOKUP(Y528,A2:D500,4,FALSE))=0,,VLOOKUP(Y528,A2:D500,4,FALSE))</f>
        <v>#N/A</v>
      </c>
      <c r="AA528" s="56">
        <f>'Predictive Model'!P640</f>
        <v>0</v>
      </c>
      <c r="AB528" s="22" t="e">
        <f>IF(LEN(VLOOKUP(AA528,A2:D500,4,FALSE))=0,,VLOOKUP(AA528,A2:D500,4,FALSE))</f>
        <v>#N/A</v>
      </c>
      <c r="AC528" s="56">
        <f>'Consumption Model'!P645</f>
        <v>0</v>
      </c>
      <c r="AD528" s="22" t="e">
        <f>IF(LEN(VLOOKUP(AC528,A2:D500,4,FALSE))=0,,VLOOKUP(AC528,A2:D500,4,FALSE))</f>
        <v>#N/A</v>
      </c>
      <c r="AE528" s="22">
        <f>'(Data)'!Q641</f>
        <v>0</v>
      </c>
      <c r="AF528" s="22" t="e">
        <f>IF(LEN(VLOOKUP(AE527:AE528,A2:D500,4,FALSE))=0,,VLOOKUP(AE527:AE528,A2:D500,4,FALSE))</f>
        <v>#N/A</v>
      </c>
      <c r="AH528" s="45">
        <f>'Risk Charact Model'!P659</f>
        <v>0</v>
      </c>
      <c r="AI528" s="58" t="e">
        <f>IF(LEN(VLOOKUP(AH528,A2:D500,4,FALSE))=0,,VLOOKUP(AH528,A2:D500,4,FALSE))</f>
        <v>#N/A</v>
      </c>
    </row>
    <row r="529" spans="9:35" ht="14" x14ac:dyDescent="0.3">
      <c r="I529" s="60">
        <f>'Generic Metadata Schema'!P659</f>
        <v>0</v>
      </c>
      <c r="J529" s="22" t="e">
        <f>IF(LEN(VLOOKUP(I529,A2:D500,4,FALSE))=0,"",VLOOKUP(I529,A2:D500,4,FALSE))</f>
        <v>#N/A</v>
      </c>
      <c r="L529" s="56">
        <f>'Dose-response Model'!O643</f>
        <v>0</v>
      </c>
      <c r="M529" s="22" t="e">
        <f>IF(LEN(VLOOKUP(L529,A2:D500,4,FALSE))=0,,VLOOKUP(L529,A2:D500,4,FALSE))</f>
        <v>#N/A</v>
      </c>
      <c r="N529" s="22">
        <f>'Exposure Model'!O660</f>
        <v>0</v>
      </c>
      <c r="O529" s="22" t="e">
        <f>IF(LEN(VLOOKUP(N529,A2:D500,4,FALSE))=0,,VLOOKUP(N529,A2:D500,4,FALSE))</f>
        <v>#N/A</v>
      </c>
      <c r="P529" s="56">
        <f>'QRA Models'!Q660</f>
        <v>0</v>
      </c>
      <c r="Q529" s="22" t="e">
        <f>IF(LEN(VLOOKUP(P529,A2:D500,4,FALSE))=0,,VLOOKUP(P529,A2:D500,4,FALSE))</f>
        <v>#N/A</v>
      </c>
      <c r="R529" s="56">
        <f>'Health metrics Models'!Q643</f>
        <v>0</v>
      </c>
      <c r="S529" s="22" t="e">
        <f>IF(LEN(VLOOKUP(R529,A2:D500,4,FALSE))=0,,VLOOKUP(R529,A2:D500,4,FALSE))</f>
        <v>#N/A</v>
      </c>
      <c r="T529" s="56">
        <f>'Process Model'!P641</f>
        <v>0</v>
      </c>
      <c r="U529" s="22" t="e">
        <f>IF(LEN(VLOOKUP(T529,A2:D500,4,FALSE))=0,,VLOOKUP(T529,A2:D500,4,FALSE))</f>
        <v>#N/A</v>
      </c>
      <c r="V529" s="56">
        <f>'Toxicological reference value M'!P643</f>
        <v>0</v>
      </c>
      <c r="W529" s="22" t="e">
        <f>IF(LEN(VLOOKUP(V529,A2:D500,4,FALSE))=0,,VLOOKUP(V529,A2:D500,4,FALSE))</f>
        <v>#N/A</v>
      </c>
      <c r="Y529" s="56">
        <f>'Other Empirical Model'!P654</f>
        <v>0</v>
      </c>
      <c r="Z529" s="22" t="e">
        <f>IF(LEN(VLOOKUP(Y529,A2:D500,4,FALSE))=0,,VLOOKUP(Y529,A2:D500,4,FALSE))</f>
        <v>#N/A</v>
      </c>
      <c r="AA529" s="56">
        <f>'Predictive Model'!P641</f>
        <v>0</v>
      </c>
      <c r="AB529" s="22" t="e">
        <f>IF(LEN(VLOOKUP(AA529,A2:D500,4,FALSE))=0,,VLOOKUP(AA529,A2:D500,4,FALSE))</f>
        <v>#N/A</v>
      </c>
      <c r="AC529" s="56">
        <f>'Consumption Model'!P646</f>
        <v>0</v>
      </c>
      <c r="AD529" s="22" t="e">
        <f>IF(LEN(VLOOKUP(AC529,A2:D500,4,FALSE))=0,,VLOOKUP(AC529,A2:D500,4,FALSE))</f>
        <v>#N/A</v>
      </c>
      <c r="AE529" s="22">
        <f>'(Data)'!Q642</f>
        <v>0</v>
      </c>
      <c r="AF529" s="22" t="e">
        <f>IF(LEN(VLOOKUP(AE528:AE529,A2:D500,4,FALSE))=0,,VLOOKUP(AE528:AE529,A2:D500,4,FALSE))</f>
        <v>#N/A</v>
      </c>
      <c r="AH529" s="45">
        <f>'Risk Charact Model'!P660</f>
        <v>0</v>
      </c>
      <c r="AI529" s="58" t="e">
        <f>IF(LEN(VLOOKUP(AH529,A2:D500,4,FALSE))=0,,VLOOKUP(AH529,A2:D500,4,FALSE))</f>
        <v>#N/A</v>
      </c>
    </row>
    <row r="530" spans="9:35" ht="14" x14ac:dyDescent="0.3">
      <c r="I530" s="60">
        <f>'Generic Metadata Schema'!P660</f>
        <v>0</v>
      </c>
      <c r="J530" s="22" t="e">
        <f>IF(LEN(VLOOKUP(I530,A2:D500,4,FALSE))=0,"",VLOOKUP(I530,A2:D500,4,FALSE))</f>
        <v>#N/A</v>
      </c>
      <c r="L530" s="56">
        <f>'Dose-response Model'!O644</f>
        <v>0</v>
      </c>
      <c r="M530" s="22" t="e">
        <f>IF(LEN(VLOOKUP(L530,A2:D500,4,FALSE))=0,,VLOOKUP(L530,A2:D500,4,FALSE))</f>
        <v>#N/A</v>
      </c>
      <c r="N530" s="22">
        <f>'Exposure Model'!O661</f>
        <v>0</v>
      </c>
      <c r="O530" s="22" t="e">
        <f>IF(LEN(VLOOKUP(N530,A2:D500,4,FALSE))=0,,VLOOKUP(N530,A2:D500,4,FALSE))</f>
        <v>#N/A</v>
      </c>
      <c r="P530" s="56">
        <f>'QRA Models'!Q661</f>
        <v>0</v>
      </c>
      <c r="Q530" s="22" t="e">
        <f>IF(LEN(VLOOKUP(P530,A2:D500,4,FALSE))=0,,VLOOKUP(P530,A2:D500,4,FALSE))</f>
        <v>#N/A</v>
      </c>
      <c r="R530" s="56">
        <f>'Health metrics Models'!Q644</f>
        <v>0</v>
      </c>
      <c r="S530" s="22" t="e">
        <f>IF(LEN(VLOOKUP(R530,A2:D500,4,FALSE))=0,,VLOOKUP(R530,A2:D500,4,FALSE))</f>
        <v>#N/A</v>
      </c>
      <c r="T530" s="56">
        <f>'Process Model'!P642</f>
        <v>0</v>
      </c>
      <c r="U530" s="22" t="e">
        <f>IF(LEN(VLOOKUP(T530,A2:D500,4,FALSE))=0,,VLOOKUP(T530,A2:D500,4,FALSE))</f>
        <v>#N/A</v>
      </c>
      <c r="V530" s="56">
        <f>'Toxicological reference value M'!P644</f>
        <v>0</v>
      </c>
      <c r="W530" s="22" t="e">
        <f>IF(LEN(VLOOKUP(V530,A2:D500,4,FALSE))=0,,VLOOKUP(V530,A2:D500,4,FALSE))</f>
        <v>#N/A</v>
      </c>
      <c r="Y530" s="56">
        <f>'Other Empirical Model'!P655</f>
        <v>0</v>
      </c>
      <c r="Z530" s="22" t="e">
        <f>IF(LEN(VLOOKUP(Y530,A2:D500,4,FALSE))=0,,VLOOKUP(Y530,A2:D500,4,FALSE))</f>
        <v>#N/A</v>
      </c>
      <c r="AA530" s="56">
        <f>'Predictive Model'!P642</f>
        <v>0</v>
      </c>
      <c r="AB530" s="22" t="e">
        <f>IF(LEN(VLOOKUP(AA530,A2:D500,4,FALSE))=0,,VLOOKUP(AA530,A2:D500,4,FALSE))</f>
        <v>#N/A</v>
      </c>
      <c r="AC530" s="56">
        <f>'Consumption Model'!P647</f>
        <v>0</v>
      </c>
      <c r="AD530" s="22" t="e">
        <f>IF(LEN(VLOOKUP(AC530,A2:D500,4,FALSE))=0,,VLOOKUP(AC530,A2:D500,4,FALSE))</f>
        <v>#N/A</v>
      </c>
      <c r="AE530" s="22">
        <f>'(Data)'!Q643</f>
        <v>0</v>
      </c>
      <c r="AF530" s="22" t="e">
        <f>IF(LEN(VLOOKUP(AE529:AE530,A2:D500,4,FALSE))=0,,VLOOKUP(AE529:AE530,A2:D500,4,FALSE))</f>
        <v>#N/A</v>
      </c>
      <c r="AH530" s="45">
        <f>'Risk Charact Model'!P661</f>
        <v>0</v>
      </c>
      <c r="AI530" s="58" t="e">
        <f>IF(LEN(VLOOKUP(AH530,A2:D500,4,FALSE))=0,,VLOOKUP(AH530,A2:D500,4,FALSE))</f>
        <v>#N/A</v>
      </c>
    </row>
    <row r="531" spans="9:35" ht="14" x14ac:dyDescent="0.3">
      <c r="I531" s="60">
        <f>'Generic Metadata Schema'!P661</f>
        <v>0</v>
      </c>
      <c r="J531" s="22" t="e">
        <f>IF(LEN(VLOOKUP(I531,A2:D500,4,FALSE))=0,"",VLOOKUP(I531,A2:D500,4,FALSE))</f>
        <v>#N/A</v>
      </c>
      <c r="L531" s="56">
        <f>'Dose-response Model'!O645</f>
        <v>0</v>
      </c>
      <c r="M531" s="22" t="e">
        <f>IF(LEN(VLOOKUP(L531,A2:D500,4,FALSE))=0,,VLOOKUP(L531,A2:D500,4,FALSE))</f>
        <v>#N/A</v>
      </c>
      <c r="N531" s="22">
        <f>'Exposure Model'!O662</f>
        <v>0</v>
      </c>
      <c r="O531" s="22" t="e">
        <f>IF(LEN(VLOOKUP(N531,A2:D500,4,FALSE))=0,,VLOOKUP(N531,A2:D500,4,FALSE))</f>
        <v>#N/A</v>
      </c>
      <c r="P531" s="56">
        <f>'QRA Models'!Q662</f>
        <v>0</v>
      </c>
      <c r="Q531" s="22" t="e">
        <f>IF(LEN(VLOOKUP(P531,A2:D500,4,FALSE))=0,,VLOOKUP(P531,A2:D500,4,FALSE))</f>
        <v>#N/A</v>
      </c>
      <c r="R531" s="56">
        <f>'Health metrics Models'!Q645</f>
        <v>0</v>
      </c>
      <c r="S531" s="22" t="e">
        <f>IF(LEN(VLOOKUP(R531,A2:D500,4,FALSE))=0,,VLOOKUP(R531,A2:D500,4,FALSE))</f>
        <v>#N/A</v>
      </c>
      <c r="T531" s="56">
        <f>'Process Model'!P643</f>
        <v>0</v>
      </c>
      <c r="U531" s="22" t="e">
        <f>IF(LEN(VLOOKUP(T531,A2:D500,4,FALSE))=0,,VLOOKUP(T531,A2:D500,4,FALSE))</f>
        <v>#N/A</v>
      </c>
      <c r="V531" s="56">
        <f>'Toxicological reference value M'!P645</f>
        <v>0</v>
      </c>
      <c r="W531" s="22" t="e">
        <f>IF(LEN(VLOOKUP(V531,A2:D500,4,FALSE))=0,,VLOOKUP(V531,A2:D500,4,FALSE))</f>
        <v>#N/A</v>
      </c>
      <c r="Y531" s="56">
        <f>'Other Empirical Model'!P656</f>
        <v>0</v>
      </c>
      <c r="Z531" s="22" t="e">
        <f>IF(LEN(VLOOKUP(Y531,A2:D500,4,FALSE))=0,,VLOOKUP(Y531,A2:D500,4,FALSE))</f>
        <v>#N/A</v>
      </c>
      <c r="AA531" s="56">
        <f>'Predictive Model'!P643</f>
        <v>0</v>
      </c>
      <c r="AB531" s="22" t="e">
        <f>IF(LEN(VLOOKUP(AA531,A2:D500,4,FALSE))=0,,VLOOKUP(AA531,A2:D500,4,FALSE))</f>
        <v>#N/A</v>
      </c>
      <c r="AC531" s="56">
        <f>'Consumption Model'!P648</f>
        <v>0</v>
      </c>
      <c r="AD531" s="22" t="e">
        <f>IF(LEN(VLOOKUP(AC531,A2:D500,4,FALSE))=0,,VLOOKUP(AC531,A2:D500,4,FALSE))</f>
        <v>#N/A</v>
      </c>
      <c r="AE531" s="22">
        <f>'(Data)'!Q644</f>
        <v>0</v>
      </c>
      <c r="AF531" s="22" t="e">
        <f>IF(LEN(VLOOKUP(AE530:AE531,A2:D500,4,FALSE))=0,,VLOOKUP(AE530:AE531,A2:D500,4,FALSE))</f>
        <v>#N/A</v>
      </c>
      <c r="AH531" s="45">
        <f>'Risk Charact Model'!P662</f>
        <v>0</v>
      </c>
      <c r="AI531" s="58" t="e">
        <f>IF(LEN(VLOOKUP(AH531,A2:D500,4,FALSE))=0,,VLOOKUP(AH531,A2:D500,4,FALSE))</f>
        <v>#N/A</v>
      </c>
    </row>
    <row r="532" spans="9:35" ht="14" x14ac:dyDescent="0.3">
      <c r="I532" s="60">
        <f>'Generic Metadata Schema'!P662</f>
        <v>0</v>
      </c>
      <c r="J532" s="22" t="e">
        <f>IF(LEN(VLOOKUP(I532,A2:D500,4,FALSE))=0,"",VLOOKUP(I532,A2:D500,4,FALSE))</f>
        <v>#N/A</v>
      </c>
      <c r="L532" s="56">
        <f>'Dose-response Model'!O646</f>
        <v>0</v>
      </c>
      <c r="M532" s="22" t="e">
        <f>IF(LEN(VLOOKUP(L532,A2:D500,4,FALSE))=0,,VLOOKUP(L532,A2:D500,4,FALSE))</f>
        <v>#N/A</v>
      </c>
      <c r="N532" s="22">
        <f>'Exposure Model'!O663</f>
        <v>0</v>
      </c>
      <c r="O532" s="22" t="e">
        <f>IF(LEN(VLOOKUP(N532,A2:D500,4,FALSE))=0,,VLOOKUP(N532,A2:D500,4,FALSE))</f>
        <v>#N/A</v>
      </c>
      <c r="P532" s="56">
        <f>'QRA Models'!Q663</f>
        <v>0</v>
      </c>
      <c r="Q532" s="22" t="e">
        <f>IF(LEN(VLOOKUP(P532,A2:D500,4,FALSE))=0,,VLOOKUP(P532,A2:D500,4,FALSE))</f>
        <v>#N/A</v>
      </c>
      <c r="R532" s="56">
        <f>'Health metrics Models'!Q646</f>
        <v>0</v>
      </c>
      <c r="S532" s="22" t="e">
        <f>IF(LEN(VLOOKUP(R532,A2:D500,4,FALSE))=0,,VLOOKUP(R532,A2:D500,4,FALSE))</f>
        <v>#N/A</v>
      </c>
      <c r="T532" s="56">
        <f>'Process Model'!P644</f>
        <v>0</v>
      </c>
      <c r="U532" s="22" t="e">
        <f>IF(LEN(VLOOKUP(T532,A2:D500,4,FALSE))=0,,VLOOKUP(T532,A2:D500,4,FALSE))</f>
        <v>#N/A</v>
      </c>
      <c r="V532" s="56">
        <f>'Toxicological reference value M'!P646</f>
        <v>0</v>
      </c>
      <c r="W532" s="22" t="e">
        <f>IF(LEN(VLOOKUP(V532,A2:D500,4,FALSE))=0,,VLOOKUP(V532,A2:D500,4,FALSE))</f>
        <v>#N/A</v>
      </c>
      <c r="Y532" s="56">
        <f>'Other Empirical Model'!P657</f>
        <v>0</v>
      </c>
      <c r="Z532" s="22" t="e">
        <f>IF(LEN(VLOOKUP(Y532,A2:D500,4,FALSE))=0,,VLOOKUP(Y532,A2:D500,4,FALSE))</f>
        <v>#N/A</v>
      </c>
      <c r="AA532" s="56">
        <f>'Predictive Model'!P644</f>
        <v>0</v>
      </c>
      <c r="AB532" s="22" t="e">
        <f>IF(LEN(VLOOKUP(AA532,A2:D500,4,FALSE))=0,,VLOOKUP(AA532,A2:D500,4,FALSE))</f>
        <v>#N/A</v>
      </c>
      <c r="AC532" s="56">
        <f>'Consumption Model'!P649</f>
        <v>0</v>
      </c>
      <c r="AD532" s="22" t="e">
        <f>IF(LEN(VLOOKUP(AC532,A2:D500,4,FALSE))=0,,VLOOKUP(AC532,A2:D500,4,FALSE))</f>
        <v>#N/A</v>
      </c>
      <c r="AE532" s="22">
        <f>'(Data)'!Q645</f>
        <v>0</v>
      </c>
      <c r="AF532" s="22" t="e">
        <f>IF(LEN(VLOOKUP(AE531:AE532,A2:D500,4,FALSE))=0,,VLOOKUP(AE531:AE532,A2:D500,4,FALSE))</f>
        <v>#N/A</v>
      </c>
      <c r="AH532" s="45">
        <f>'Risk Charact Model'!P663</f>
        <v>0</v>
      </c>
      <c r="AI532" s="58" t="e">
        <f>IF(LEN(VLOOKUP(AH532,A2:D500,4,FALSE))=0,,VLOOKUP(AH532,A2:D500,4,FALSE))</f>
        <v>#N/A</v>
      </c>
    </row>
    <row r="533" spans="9:35" ht="14" x14ac:dyDescent="0.3">
      <c r="I533" s="60">
        <f>'Generic Metadata Schema'!P663</f>
        <v>0</v>
      </c>
      <c r="J533" s="22" t="e">
        <f>IF(LEN(VLOOKUP(I533,A2:D500,4,FALSE))=0,"",VLOOKUP(I533,A2:D500,4,FALSE))</f>
        <v>#N/A</v>
      </c>
      <c r="L533" s="56">
        <f>'Dose-response Model'!O647</f>
        <v>0</v>
      </c>
      <c r="M533" s="22" t="e">
        <f>IF(LEN(VLOOKUP(L533,A2:D500,4,FALSE))=0,,VLOOKUP(L533,A2:D500,4,FALSE))</f>
        <v>#N/A</v>
      </c>
      <c r="N533" s="22">
        <f>'Exposure Model'!O664</f>
        <v>0</v>
      </c>
      <c r="O533" s="22" t="e">
        <f>IF(LEN(VLOOKUP(N533,A2:D500,4,FALSE))=0,,VLOOKUP(N533,A2:D500,4,FALSE))</f>
        <v>#N/A</v>
      </c>
      <c r="P533" s="56">
        <f>'QRA Models'!Q664</f>
        <v>0</v>
      </c>
      <c r="Q533" s="22" t="e">
        <f>IF(LEN(VLOOKUP(P533,A2:D500,4,FALSE))=0,,VLOOKUP(P533,A2:D500,4,FALSE))</f>
        <v>#N/A</v>
      </c>
      <c r="R533" s="56">
        <f>'Health metrics Models'!Q647</f>
        <v>0</v>
      </c>
      <c r="S533" s="22" t="e">
        <f>IF(LEN(VLOOKUP(R533,A2:D500,4,FALSE))=0,,VLOOKUP(R533,A2:D500,4,FALSE))</f>
        <v>#N/A</v>
      </c>
      <c r="T533" s="56">
        <f>'Process Model'!P645</f>
        <v>0</v>
      </c>
      <c r="U533" s="22" t="e">
        <f>IF(LEN(VLOOKUP(T533,A2:D500,4,FALSE))=0,,VLOOKUP(T533,A2:D500,4,FALSE))</f>
        <v>#N/A</v>
      </c>
      <c r="V533" s="56">
        <f>'Toxicological reference value M'!P647</f>
        <v>0</v>
      </c>
      <c r="W533" s="22" t="e">
        <f>IF(LEN(VLOOKUP(V533,A2:D500,4,FALSE))=0,,VLOOKUP(V533,A2:D500,4,FALSE))</f>
        <v>#N/A</v>
      </c>
      <c r="Y533" s="56">
        <f>'Other Empirical Model'!P658</f>
        <v>0</v>
      </c>
      <c r="Z533" s="22" t="e">
        <f>IF(LEN(VLOOKUP(Y533,A2:D500,4,FALSE))=0,,VLOOKUP(Y533,A2:D500,4,FALSE))</f>
        <v>#N/A</v>
      </c>
      <c r="AA533" s="56">
        <f>'Predictive Model'!P645</f>
        <v>0</v>
      </c>
      <c r="AB533" s="22" t="e">
        <f>IF(LEN(VLOOKUP(AA533,A2:D500,4,FALSE))=0,,VLOOKUP(AA533,A2:D500,4,FALSE))</f>
        <v>#N/A</v>
      </c>
      <c r="AC533" s="56">
        <f>'Consumption Model'!P650</f>
        <v>0</v>
      </c>
      <c r="AD533" s="22" t="e">
        <f>IF(LEN(VLOOKUP(AC533,A2:D500,4,FALSE))=0,,VLOOKUP(AC533,A2:D500,4,FALSE))</f>
        <v>#N/A</v>
      </c>
      <c r="AE533" s="22">
        <f>'(Data)'!Q646</f>
        <v>0</v>
      </c>
      <c r="AF533" s="22" t="e">
        <f>IF(LEN(VLOOKUP(AE532:AE533,A2:D500,4,FALSE))=0,,VLOOKUP(AE532:AE533,A2:D500,4,FALSE))</f>
        <v>#N/A</v>
      </c>
      <c r="AH533" s="45">
        <f>'Risk Charact Model'!P664</f>
        <v>0</v>
      </c>
      <c r="AI533" s="58" t="e">
        <f>IF(LEN(VLOOKUP(AH533,A2:D500,4,FALSE))=0,,VLOOKUP(AH533,A2:D500,4,FALSE))</f>
        <v>#N/A</v>
      </c>
    </row>
    <row r="534" spans="9:35" ht="14" x14ac:dyDescent="0.3">
      <c r="I534" s="60">
        <f>'Generic Metadata Schema'!P664</f>
        <v>0</v>
      </c>
      <c r="J534" s="22" t="e">
        <f>IF(LEN(VLOOKUP(I534,A2:D500,4,FALSE))=0,"",VLOOKUP(I534,A2:D500,4,FALSE))</f>
        <v>#N/A</v>
      </c>
      <c r="L534" s="56">
        <f>'Dose-response Model'!O648</f>
        <v>0</v>
      </c>
      <c r="M534" s="22" t="e">
        <f>IF(LEN(VLOOKUP(L534,A2:D500,4,FALSE))=0,,VLOOKUP(L534,A2:D500,4,FALSE))</f>
        <v>#N/A</v>
      </c>
      <c r="N534" s="22">
        <f>'Exposure Model'!O665</f>
        <v>0</v>
      </c>
      <c r="O534" s="22" t="e">
        <f>IF(LEN(VLOOKUP(N534,A2:D500,4,FALSE))=0,,VLOOKUP(N534,A2:D500,4,FALSE))</f>
        <v>#N/A</v>
      </c>
      <c r="P534" s="56">
        <f>'QRA Models'!Q665</f>
        <v>0</v>
      </c>
      <c r="Q534" s="22" t="e">
        <f>IF(LEN(VLOOKUP(P534,A2:D500,4,FALSE))=0,,VLOOKUP(P534,A2:D500,4,FALSE))</f>
        <v>#N/A</v>
      </c>
      <c r="R534" s="56">
        <f>'Health metrics Models'!Q648</f>
        <v>0</v>
      </c>
      <c r="S534" s="22" t="e">
        <f>IF(LEN(VLOOKUP(R534,A2:D500,4,FALSE))=0,,VLOOKUP(R534,A2:D500,4,FALSE))</f>
        <v>#N/A</v>
      </c>
      <c r="T534" s="56">
        <f>'Process Model'!P646</f>
        <v>0</v>
      </c>
      <c r="U534" s="22" t="e">
        <f>IF(LEN(VLOOKUP(T534,A2:D500,4,FALSE))=0,,VLOOKUP(T534,A2:D500,4,FALSE))</f>
        <v>#N/A</v>
      </c>
      <c r="V534" s="56">
        <f>'Toxicological reference value M'!P648</f>
        <v>0</v>
      </c>
      <c r="W534" s="22" t="e">
        <f>IF(LEN(VLOOKUP(V534,A2:D500,4,FALSE))=0,,VLOOKUP(V534,A2:D500,4,FALSE))</f>
        <v>#N/A</v>
      </c>
      <c r="Y534" s="56">
        <f>'Other Empirical Model'!P659</f>
        <v>0</v>
      </c>
      <c r="Z534" s="22" t="e">
        <f>IF(LEN(VLOOKUP(Y534,A2:D500,4,FALSE))=0,,VLOOKUP(Y534,A2:D500,4,FALSE))</f>
        <v>#N/A</v>
      </c>
      <c r="AA534" s="56">
        <f>'Predictive Model'!P646</f>
        <v>0</v>
      </c>
      <c r="AB534" s="22" t="e">
        <f>IF(LEN(VLOOKUP(AA534,A2:D500,4,FALSE))=0,,VLOOKUP(AA534,A2:D500,4,FALSE))</f>
        <v>#N/A</v>
      </c>
      <c r="AC534" s="56">
        <f>'Consumption Model'!P651</f>
        <v>0</v>
      </c>
      <c r="AD534" s="22" t="e">
        <f>IF(LEN(VLOOKUP(AC534,A2:D500,4,FALSE))=0,,VLOOKUP(AC534,A2:D500,4,FALSE))</f>
        <v>#N/A</v>
      </c>
      <c r="AE534" s="22">
        <f>'(Data)'!Q647</f>
        <v>0</v>
      </c>
      <c r="AF534" s="22" t="e">
        <f>IF(LEN(VLOOKUP(AE533:AE534,A2:D500,4,FALSE))=0,,VLOOKUP(AE533:AE534,A2:D500,4,FALSE))</f>
        <v>#N/A</v>
      </c>
      <c r="AH534" s="45">
        <f>'Risk Charact Model'!P665</f>
        <v>0</v>
      </c>
      <c r="AI534" s="58" t="e">
        <f>IF(LEN(VLOOKUP(AH534,A2:D500,4,FALSE))=0,,VLOOKUP(AH534,A2:D500,4,FALSE))</f>
        <v>#N/A</v>
      </c>
    </row>
    <row r="535" spans="9:35" ht="14" x14ac:dyDescent="0.3">
      <c r="I535" s="60">
        <f>'Generic Metadata Schema'!P665</f>
        <v>0</v>
      </c>
      <c r="J535" s="22" t="e">
        <f>IF(LEN(VLOOKUP(I535,A2:D500,4,FALSE))=0,"",VLOOKUP(I535,A2:D500,4,FALSE))</f>
        <v>#N/A</v>
      </c>
      <c r="L535" s="56">
        <f>'Dose-response Model'!O649</f>
        <v>0</v>
      </c>
      <c r="M535" s="22" t="e">
        <f>IF(LEN(VLOOKUP(L535,A2:D500,4,FALSE))=0,,VLOOKUP(L535,A2:D500,4,FALSE))</f>
        <v>#N/A</v>
      </c>
      <c r="N535" s="22">
        <f>'Exposure Model'!O666</f>
        <v>0</v>
      </c>
      <c r="O535" s="22" t="e">
        <f>IF(LEN(VLOOKUP(N535,A2:D500,4,FALSE))=0,,VLOOKUP(N535,A2:D500,4,FALSE))</f>
        <v>#N/A</v>
      </c>
      <c r="P535" s="56">
        <f>'QRA Models'!Q666</f>
        <v>0</v>
      </c>
      <c r="Q535" s="22" t="e">
        <f>IF(LEN(VLOOKUP(P535,A2:D500,4,FALSE))=0,,VLOOKUP(P535,A2:D500,4,FALSE))</f>
        <v>#N/A</v>
      </c>
      <c r="R535" s="56">
        <f>'Health metrics Models'!Q649</f>
        <v>0</v>
      </c>
      <c r="S535" s="22" t="e">
        <f>IF(LEN(VLOOKUP(R535,A2:D500,4,FALSE))=0,,VLOOKUP(R535,A2:D500,4,FALSE))</f>
        <v>#N/A</v>
      </c>
      <c r="T535" s="56">
        <f>'Process Model'!P647</f>
        <v>0</v>
      </c>
      <c r="U535" s="22" t="e">
        <f>IF(LEN(VLOOKUP(T535,A2:D500,4,FALSE))=0,,VLOOKUP(T535,A2:D500,4,FALSE))</f>
        <v>#N/A</v>
      </c>
      <c r="V535" s="56">
        <f>'Toxicological reference value M'!P649</f>
        <v>0</v>
      </c>
      <c r="W535" s="22" t="e">
        <f>IF(LEN(VLOOKUP(V535,A2:D500,4,FALSE))=0,,VLOOKUP(V535,A2:D500,4,FALSE))</f>
        <v>#N/A</v>
      </c>
      <c r="Y535" s="56">
        <f>'Other Empirical Model'!P660</f>
        <v>0</v>
      </c>
      <c r="Z535" s="22" t="e">
        <f>IF(LEN(VLOOKUP(Y535,A2:D500,4,FALSE))=0,,VLOOKUP(Y535,A2:D500,4,FALSE))</f>
        <v>#N/A</v>
      </c>
      <c r="AA535" s="56">
        <f>'Predictive Model'!P647</f>
        <v>0</v>
      </c>
      <c r="AB535" s="22" t="e">
        <f>IF(LEN(VLOOKUP(AA535,A2:D500,4,FALSE))=0,,VLOOKUP(AA535,A2:D500,4,FALSE))</f>
        <v>#N/A</v>
      </c>
      <c r="AC535" s="56">
        <f>'Consumption Model'!P652</f>
        <v>0</v>
      </c>
      <c r="AD535" s="22" t="e">
        <f>IF(LEN(VLOOKUP(AC535,A2:D500,4,FALSE))=0,,VLOOKUP(AC535,A2:D500,4,FALSE))</f>
        <v>#N/A</v>
      </c>
      <c r="AE535" s="22">
        <f>'(Data)'!Q648</f>
        <v>0</v>
      </c>
      <c r="AF535" s="22" t="e">
        <f>IF(LEN(VLOOKUP(AE534:AE535,A2:D500,4,FALSE))=0,,VLOOKUP(AE534:AE535,A2:D500,4,FALSE))</f>
        <v>#N/A</v>
      </c>
      <c r="AH535" s="45">
        <f>'Risk Charact Model'!P666</f>
        <v>0</v>
      </c>
      <c r="AI535" s="58" t="e">
        <f>IF(LEN(VLOOKUP(AH535,A2:D500,4,FALSE))=0,,VLOOKUP(AH535,A2:D500,4,FALSE))</f>
        <v>#N/A</v>
      </c>
    </row>
    <row r="536" spans="9:35" ht="14" x14ac:dyDescent="0.3">
      <c r="I536" s="60">
        <f>'Generic Metadata Schema'!P666</f>
        <v>0</v>
      </c>
      <c r="J536" s="22" t="e">
        <f>IF(LEN(VLOOKUP(I536,A2:D500,4,FALSE))=0,"",VLOOKUP(I536,A2:D500,4,FALSE))</f>
        <v>#N/A</v>
      </c>
      <c r="L536" s="56">
        <f>'Dose-response Model'!O650</f>
        <v>0</v>
      </c>
      <c r="M536" s="22" t="e">
        <f>IF(LEN(VLOOKUP(L536,A2:D500,4,FALSE))=0,,VLOOKUP(L536,A2:D500,4,FALSE))</f>
        <v>#N/A</v>
      </c>
      <c r="N536" s="22">
        <f>'Exposure Model'!O667</f>
        <v>0</v>
      </c>
      <c r="O536" s="22" t="e">
        <f>IF(LEN(VLOOKUP(N536,A2:D500,4,FALSE))=0,,VLOOKUP(N536,A2:D500,4,FALSE))</f>
        <v>#N/A</v>
      </c>
      <c r="P536" s="56">
        <f>'QRA Models'!Q667</f>
        <v>0</v>
      </c>
      <c r="Q536" s="22" t="e">
        <f>IF(LEN(VLOOKUP(P536,A2:D500,4,FALSE))=0,,VLOOKUP(P536,A2:D500,4,FALSE))</f>
        <v>#N/A</v>
      </c>
      <c r="R536" s="56">
        <f>'Health metrics Models'!Q650</f>
        <v>0</v>
      </c>
      <c r="S536" s="22" t="e">
        <f>IF(LEN(VLOOKUP(R536,A2:D500,4,FALSE))=0,,VLOOKUP(R536,A2:D500,4,FALSE))</f>
        <v>#N/A</v>
      </c>
      <c r="T536" s="56">
        <f>'Process Model'!P648</f>
        <v>0</v>
      </c>
      <c r="U536" s="22" t="e">
        <f>IF(LEN(VLOOKUP(T536,A2:D500,4,FALSE))=0,,VLOOKUP(T536,A2:D500,4,FALSE))</f>
        <v>#N/A</v>
      </c>
      <c r="V536" s="56">
        <f>'Toxicological reference value M'!P650</f>
        <v>0</v>
      </c>
      <c r="W536" s="22" t="e">
        <f>IF(LEN(VLOOKUP(V536,A2:D500,4,FALSE))=0,,VLOOKUP(V536,A2:D500,4,FALSE))</f>
        <v>#N/A</v>
      </c>
      <c r="Y536" s="56">
        <f>'Other Empirical Model'!P661</f>
        <v>0</v>
      </c>
      <c r="Z536" s="22" t="e">
        <f>IF(LEN(VLOOKUP(Y536,A2:D500,4,FALSE))=0,,VLOOKUP(Y536,A2:D500,4,FALSE))</f>
        <v>#N/A</v>
      </c>
      <c r="AA536" s="56">
        <f>'Predictive Model'!P648</f>
        <v>0</v>
      </c>
      <c r="AB536" s="22" t="e">
        <f>IF(LEN(VLOOKUP(AA536,A2:D500,4,FALSE))=0,,VLOOKUP(AA536,A2:D500,4,FALSE))</f>
        <v>#N/A</v>
      </c>
      <c r="AC536" s="56">
        <f>'Consumption Model'!P653</f>
        <v>0</v>
      </c>
      <c r="AD536" s="22" t="e">
        <f>IF(LEN(VLOOKUP(AC536,A2:D500,4,FALSE))=0,,VLOOKUP(AC536,A2:D500,4,FALSE))</f>
        <v>#N/A</v>
      </c>
      <c r="AE536" s="22">
        <f>'(Data)'!Q649</f>
        <v>0</v>
      </c>
      <c r="AF536" s="22" t="e">
        <f>IF(LEN(VLOOKUP(AE535:AE536,A2:D500,4,FALSE))=0,,VLOOKUP(AE535:AE536,A2:D500,4,FALSE))</f>
        <v>#N/A</v>
      </c>
      <c r="AH536" s="45">
        <f>'Risk Charact Model'!P667</f>
        <v>0</v>
      </c>
      <c r="AI536" s="58" t="e">
        <f>IF(LEN(VLOOKUP(AH536,A2:D500,4,FALSE))=0,,VLOOKUP(AH536,A2:D500,4,FALSE))</f>
        <v>#N/A</v>
      </c>
    </row>
    <row r="537" spans="9:35" ht="14" x14ac:dyDescent="0.3">
      <c r="I537" s="60">
        <f>'Generic Metadata Schema'!P667</f>
        <v>0</v>
      </c>
      <c r="J537" s="22" t="e">
        <f>IF(LEN(VLOOKUP(I537,A2:D500,4,FALSE))=0,"",VLOOKUP(I537,A2:D500,4,FALSE))</f>
        <v>#N/A</v>
      </c>
      <c r="L537" s="56">
        <f>'Dose-response Model'!O651</f>
        <v>0</v>
      </c>
      <c r="M537" s="22" t="e">
        <f>IF(LEN(VLOOKUP(L537,A2:D500,4,FALSE))=0,,VLOOKUP(L537,A2:D500,4,FALSE))</f>
        <v>#N/A</v>
      </c>
      <c r="N537" s="22">
        <f>'Exposure Model'!O668</f>
        <v>0</v>
      </c>
      <c r="O537" s="22" t="e">
        <f>IF(LEN(VLOOKUP(N537,A2:D500,4,FALSE))=0,,VLOOKUP(N537,A2:D500,4,FALSE))</f>
        <v>#N/A</v>
      </c>
      <c r="P537" s="56">
        <f>'QRA Models'!Q668</f>
        <v>0</v>
      </c>
      <c r="Q537" s="22" t="e">
        <f>IF(LEN(VLOOKUP(P537,A2:D500,4,FALSE))=0,,VLOOKUP(P537,A2:D500,4,FALSE))</f>
        <v>#N/A</v>
      </c>
      <c r="R537" s="56">
        <f>'Health metrics Models'!Q651</f>
        <v>0</v>
      </c>
      <c r="S537" s="22" t="e">
        <f>IF(LEN(VLOOKUP(R537,A2:D500,4,FALSE))=0,,VLOOKUP(R537,A2:D500,4,FALSE))</f>
        <v>#N/A</v>
      </c>
      <c r="T537" s="56">
        <f>'Process Model'!P649</f>
        <v>0</v>
      </c>
      <c r="U537" s="22" t="e">
        <f>IF(LEN(VLOOKUP(T537,A2:D500,4,FALSE))=0,,VLOOKUP(T537,A2:D500,4,FALSE))</f>
        <v>#N/A</v>
      </c>
      <c r="V537" s="56">
        <f>'Toxicological reference value M'!P651</f>
        <v>0</v>
      </c>
      <c r="W537" s="22" t="e">
        <f>IF(LEN(VLOOKUP(V537,A2:D500,4,FALSE))=0,,VLOOKUP(V537,A2:D500,4,FALSE))</f>
        <v>#N/A</v>
      </c>
      <c r="Y537" s="56">
        <f>'Other Empirical Model'!P662</f>
        <v>0</v>
      </c>
      <c r="Z537" s="22" t="e">
        <f>IF(LEN(VLOOKUP(Y537,A2:D500,4,FALSE))=0,,VLOOKUP(Y537,A2:D500,4,FALSE))</f>
        <v>#N/A</v>
      </c>
      <c r="AA537" s="56">
        <f>'Predictive Model'!P649</f>
        <v>0</v>
      </c>
      <c r="AB537" s="22" t="e">
        <f>IF(LEN(VLOOKUP(AA537,A2:D500,4,FALSE))=0,,VLOOKUP(AA537,A2:D500,4,FALSE))</f>
        <v>#N/A</v>
      </c>
      <c r="AC537" s="56">
        <f>'Consumption Model'!P654</f>
        <v>0</v>
      </c>
      <c r="AD537" s="22" t="e">
        <f>IF(LEN(VLOOKUP(AC537,A2:D500,4,FALSE))=0,,VLOOKUP(AC537,A2:D500,4,FALSE))</f>
        <v>#N/A</v>
      </c>
      <c r="AE537" s="22">
        <f>'(Data)'!Q650</f>
        <v>0</v>
      </c>
      <c r="AF537" s="22" t="e">
        <f>IF(LEN(VLOOKUP(AE536:AE537,A2:D500,4,FALSE))=0,,VLOOKUP(AE536:AE537,A2:D500,4,FALSE))</f>
        <v>#N/A</v>
      </c>
      <c r="AH537" s="45">
        <f>'Risk Charact Model'!P668</f>
        <v>0</v>
      </c>
      <c r="AI537" s="58" t="e">
        <f>IF(LEN(VLOOKUP(AH537,A2:D500,4,FALSE))=0,,VLOOKUP(AH537,A2:D500,4,FALSE))</f>
        <v>#N/A</v>
      </c>
    </row>
    <row r="538" spans="9:35" ht="14" x14ac:dyDescent="0.3">
      <c r="I538" s="60">
        <f>'Generic Metadata Schema'!P668</f>
        <v>0</v>
      </c>
      <c r="J538" s="22" t="e">
        <f>IF(LEN(VLOOKUP(I538,A2:D500,4,FALSE))=0,"",VLOOKUP(I538,A2:D500,4,FALSE))</f>
        <v>#N/A</v>
      </c>
      <c r="L538" s="56">
        <f>'Dose-response Model'!O652</f>
        <v>0</v>
      </c>
      <c r="M538" s="22" t="e">
        <f>IF(LEN(VLOOKUP(L538,A2:D500,4,FALSE))=0,,VLOOKUP(L538,A2:D500,4,FALSE))</f>
        <v>#N/A</v>
      </c>
      <c r="N538" s="22">
        <f>'Exposure Model'!O669</f>
        <v>0</v>
      </c>
      <c r="O538" s="22" t="e">
        <f>IF(LEN(VLOOKUP(N538,A2:D500,4,FALSE))=0,,VLOOKUP(N538,A2:D500,4,FALSE))</f>
        <v>#N/A</v>
      </c>
      <c r="P538" s="56">
        <f>'QRA Models'!Q669</f>
        <v>0</v>
      </c>
      <c r="Q538" s="22" t="e">
        <f>IF(LEN(VLOOKUP(P538,A2:D500,4,FALSE))=0,,VLOOKUP(P538,A2:D500,4,FALSE))</f>
        <v>#N/A</v>
      </c>
      <c r="R538" s="56">
        <f>'Health metrics Models'!Q652</f>
        <v>0</v>
      </c>
      <c r="S538" s="22" t="e">
        <f>IF(LEN(VLOOKUP(R538,A2:D500,4,FALSE))=0,,VLOOKUP(R538,A2:D500,4,FALSE))</f>
        <v>#N/A</v>
      </c>
      <c r="T538" s="56">
        <f>'Process Model'!P650</f>
        <v>0</v>
      </c>
      <c r="U538" s="22" t="e">
        <f>IF(LEN(VLOOKUP(T538,A2:D500,4,FALSE))=0,,VLOOKUP(T538,A2:D500,4,FALSE))</f>
        <v>#N/A</v>
      </c>
      <c r="V538" s="56">
        <f>'Toxicological reference value M'!P652</f>
        <v>0</v>
      </c>
      <c r="W538" s="22" t="e">
        <f>IF(LEN(VLOOKUP(V538,A2:D500,4,FALSE))=0,,VLOOKUP(V538,A2:D500,4,FALSE))</f>
        <v>#N/A</v>
      </c>
      <c r="Y538" s="56">
        <f>'Other Empirical Model'!P663</f>
        <v>0</v>
      </c>
      <c r="Z538" s="22" t="e">
        <f>IF(LEN(VLOOKUP(Y538,A2:D500,4,FALSE))=0,,VLOOKUP(Y538,A2:D500,4,FALSE))</f>
        <v>#N/A</v>
      </c>
      <c r="AA538" s="56">
        <f>'Predictive Model'!P650</f>
        <v>0</v>
      </c>
      <c r="AB538" s="22" t="e">
        <f>IF(LEN(VLOOKUP(AA538,A2:D500,4,FALSE))=0,,VLOOKUP(AA538,A2:D500,4,FALSE))</f>
        <v>#N/A</v>
      </c>
      <c r="AC538" s="56">
        <f>'Consumption Model'!P655</f>
        <v>0</v>
      </c>
      <c r="AD538" s="22" t="e">
        <f>IF(LEN(VLOOKUP(AC538,A2:D500,4,FALSE))=0,,VLOOKUP(AC538,A2:D500,4,FALSE))</f>
        <v>#N/A</v>
      </c>
      <c r="AE538" s="22">
        <f>'(Data)'!Q651</f>
        <v>0</v>
      </c>
      <c r="AF538" s="22" t="e">
        <f>IF(LEN(VLOOKUP(AE537:AE538,A2:D500,4,FALSE))=0,,VLOOKUP(AE537:AE538,A2:D500,4,FALSE))</f>
        <v>#N/A</v>
      </c>
      <c r="AH538" s="45">
        <f>'Risk Charact Model'!P669</f>
        <v>0</v>
      </c>
      <c r="AI538" s="58" t="e">
        <f>IF(LEN(VLOOKUP(AH538,A2:D500,4,FALSE))=0,,VLOOKUP(AH538,A2:D500,4,FALSE))</f>
        <v>#N/A</v>
      </c>
    </row>
    <row r="539" spans="9:35" ht="14" x14ac:dyDescent="0.3">
      <c r="I539" s="60">
        <f>'Generic Metadata Schema'!P669</f>
        <v>0</v>
      </c>
      <c r="J539" s="22" t="e">
        <f>IF(LEN(VLOOKUP(I539,A2:D500,4,FALSE))=0,"",VLOOKUP(I539,A2:D500,4,FALSE))</f>
        <v>#N/A</v>
      </c>
      <c r="L539" s="56">
        <f>'Dose-response Model'!O653</f>
        <v>0</v>
      </c>
      <c r="M539" s="22" t="e">
        <f>IF(LEN(VLOOKUP(L539,A2:D500,4,FALSE))=0,,VLOOKUP(L539,A2:D500,4,FALSE))</f>
        <v>#N/A</v>
      </c>
      <c r="N539" s="22">
        <f>'Exposure Model'!O670</f>
        <v>0</v>
      </c>
      <c r="O539" s="22" t="e">
        <f>IF(LEN(VLOOKUP(N539,A2:D500,4,FALSE))=0,,VLOOKUP(N539,A2:D500,4,FALSE))</f>
        <v>#N/A</v>
      </c>
      <c r="P539" s="56">
        <f>'QRA Models'!Q670</f>
        <v>0</v>
      </c>
      <c r="Q539" s="22" t="e">
        <f>IF(LEN(VLOOKUP(P539,A2:D500,4,FALSE))=0,,VLOOKUP(P539,A2:D500,4,FALSE))</f>
        <v>#N/A</v>
      </c>
      <c r="R539" s="56">
        <f>'Health metrics Models'!Q653</f>
        <v>0</v>
      </c>
      <c r="S539" s="22" t="e">
        <f>IF(LEN(VLOOKUP(R539,A2:D500,4,FALSE))=0,,VLOOKUP(R539,A2:D500,4,FALSE))</f>
        <v>#N/A</v>
      </c>
      <c r="T539" s="56">
        <f>'Process Model'!P651</f>
        <v>0</v>
      </c>
      <c r="U539" s="22" t="e">
        <f>IF(LEN(VLOOKUP(T539,A2:D500,4,FALSE))=0,,VLOOKUP(T539,A2:D500,4,FALSE))</f>
        <v>#N/A</v>
      </c>
      <c r="V539" s="56">
        <f>'Toxicological reference value M'!P653</f>
        <v>0</v>
      </c>
      <c r="W539" s="22" t="e">
        <f>IF(LEN(VLOOKUP(V539,A2:D500,4,FALSE))=0,,VLOOKUP(V539,A2:D500,4,FALSE))</f>
        <v>#N/A</v>
      </c>
      <c r="Y539" s="56">
        <f>'Other Empirical Model'!P664</f>
        <v>0</v>
      </c>
      <c r="Z539" s="22" t="e">
        <f>IF(LEN(VLOOKUP(Y539,A2:D500,4,FALSE))=0,,VLOOKUP(Y539,A2:D500,4,FALSE))</f>
        <v>#N/A</v>
      </c>
      <c r="AA539" s="56">
        <f>'Predictive Model'!P651</f>
        <v>0</v>
      </c>
      <c r="AB539" s="22" t="e">
        <f>IF(LEN(VLOOKUP(AA539,A2:D500,4,FALSE))=0,,VLOOKUP(AA539,A2:D500,4,FALSE))</f>
        <v>#N/A</v>
      </c>
      <c r="AC539" s="56">
        <f>'Consumption Model'!P656</f>
        <v>0</v>
      </c>
      <c r="AD539" s="22" t="e">
        <f>IF(LEN(VLOOKUP(AC539,A2:D500,4,FALSE))=0,,VLOOKUP(AC539,A2:D500,4,FALSE))</f>
        <v>#N/A</v>
      </c>
      <c r="AE539" s="22">
        <f>'(Data)'!Q652</f>
        <v>0</v>
      </c>
      <c r="AF539" s="22" t="e">
        <f>IF(LEN(VLOOKUP(AE538:AE539,A2:D500,4,FALSE))=0,,VLOOKUP(AE538:AE539,A2:D500,4,FALSE))</f>
        <v>#N/A</v>
      </c>
      <c r="AH539" s="45">
        <f>'Risk Charact Model'!P670</f>
        <v>0</v>
      </c>
      <c r="AI539" s="58" t="e">
        <f>IF(LEN(VLOOKUP(AH539,A2:D500,4,FALSE))=0,,VLOOKUP(AH539,A2:D500,4,FALSE))</f>
        <v>#N/A</v>
      </c>
    </row>
    <row r="540" spans="9:35" ht="14" x14ac:dyDescent="0.3">
      <c r="I540" s="60">
        <f>'Generic Metadata Schema'!P670</f>
        <v>0</v>
      </c>
      <c r="J540" s="22" t="e">
        <f>IF(LEN(VLOOKUP(I540,A2:D500,4,FALSE))=0,"",VLOOKUP(I540,A2:D500,4,FALSE))</f>
        <v>#N/A</v>
      </c>
      <c r="L540" s="56">
        <f>'Dose-response Model'!O654</f>
        <v>0</v>
      </c>
      <c r="M540" s="22" t="e">
        <f>IF(LEN(VLOOKUP(L540,A2:D500,4,FALSE))=0,,VLOOKUP(L540,A2:D500,4,FALSE))</f>
        <v>#N/A</v>
      </c>
      <c r="N540" s="22">
        <f>'Exposure Model'!O671</f>
        <v>0</v>
      </c>
      <c r="O540" s="22" t="e">
        <f>IF(LEN(VLOOKUP(N540,A2:D500,4,FALSE))=0,,VLOOKUP(N540,A2:D500,4,FALSE))</f>
        <v>#N/A</v>
      </c>
      <c r="P540" s="56">
        <f>'QRA Models'!Q671</f>
        <v>0</v>
      </c>
      <c r="Q540" s="22" t="e">
        <f>IF(LEN(VLOOKUP(P540,A2:D500,4,FALSE))=0,,VLOOKUP(P540,A2:D500,4,FALSE))</f>
        <v>#N/A</v>
      </c>
      <c r="R540" s="56">
        <f>'Health metrics Models'!Q654</f>
        <v>0</v>
      </c>
      <c r="S540" s="22" t="e">
        <f>IF(LEN(VLOOKUP(R540,A2:D500,4,FALSE))=0,,VLOOKUP(R540,A2:D500,4,FALSE))</f>
        <v>#N/A</v>
      </c>
      <c r="T540" s="56">
        <f>'Process Model'!P652</f>
        <v>0</v>
      </c>
      <c r="U540" s="22" t="e">
        <f>IF(LEN(VLOOKUP(T540,A2:D500,4,FALSE))=0,,VLOOKUP(T540,A2:D500,4,FALSE))</f>
        <v>#N/A</v>
      </c>
      <c r="V540" s="56">
        <f>'Toxicological reference value M'!P654</f>
        <v>0</v>
      </c>
      <c r="W540" s="22" t="e">
        <f>IF(LEN(VLOOKUP(V540,A2:D500,4,FALSE))=0,,VLOOKUP(V540,A2:D500,4,FALSE))</f>
        <v>#N/A</v>
      </c>
      <c r="Y540" s="56">
        <f>'Other Empirical Model'!P665</f>
        <v>0</v>
      </c>
      <c r="Z540" s="22" t="e">
        <f>IF(LEN(VLOOKUP(Y540,A2:D500,4,FALSE))=0,,VLOOKUP(Y540,A2:D500,4,FALSE))</f>
        <v>#N/A</v>
      </c>
      <c r="AA540" s="56">
        <f>'Predictive Model'!P652</f>
        <v>0</v>
      </c>
      <c r="AB540" s="22" t="e">
        <f>IF(LEN(VLOOKUP(AA540,A2:D500,4,FALSE))=0,,VLOOKUP(AA540,A2:D500,4,FALSE))</f>
        <v>#N/A</v>
      </c>
      <c r="AC540" s="56">
        <f>'Consumption Model'!P657</f>
        <v>0</v>
      </c>
      <c r="AD540" s="22" t="e">
        <f>IF(LEN(VLOOKUP(AC540,A2:D500,4,FALSE))=0,,VLOOKUP(AC540,A2:D500,4,FALSE))</f>
        <v>#N/A</v>
      </c>
      <c r="AE540" s="22">
        <f>'(Data)'!Q653</f>
        <v>0</v>
      </c>
      <c r="AF540" s="22" t="e">
        <f>IF(LEN(VLOOKUP(AE539:AE540,A2:D500,4,FALSE))=0,,VLOOKUP(AE539:AE540,A2:D500,4,FALSE))</f>
        <v>#N/A</v>
      </c>
      <c r="AH540" s="45">
        <f>'Risk Charact Model'!P671</f>
        <v>0</v>
      </c>
      <c r="AI540" s="58" t="e">
        <f>IF(LEN(VLOOKUP(AH540,A2:D500,4,FALSE))=0,,VLOOKUP(AH540,A2:D500,4,FALSE))</f>
        <v>#N/A</v>
      </c>
    </row>
    <row r="541" spans="9:35" ht="14" x14ac:dyDescent="0.3">
      <c r="I541" s="60">
        <f>'Generic Metadata Schema'!P671</f>
        <v>0</v>
      </c>
      <c r="J541" s="22" t="e">
        <f>IF(LEN(VLOOKUP(I541,A2:D500,4,FALSE))=0,"",VLOOKUP(I541,A2:D500,4,FALSE))</f>
        <v>#N/A</v>
      </c>
      <c r="L541" s="56">
        <f>'Dose-response Model'!O655</f>
        <v>0</v>
      </c>
      <c r="M541" s="22" t="e">
        <f>IF(LEN(VLOOKUP(L541,A2:D500,4,FALSE))=0,,VLOOKUP(L541,A2:D500,4,FALSE))</f>
        <v>#N/A</v>
      </c>
      <c r="N541" s="22">
        <f>'Exposure Model'!O672</f>
        <v>0</v>
      </c>
      <c r="O541" s="22" t="e">
        <f>IF(LEN(VLOOKUP(N541,A2:D500,4,FALSE))=0,,VLOOKUP(N541,A2:D500,4,FALSE))</f>
        <v>#N/A</v>
      </c>
      <c r="P541" s="56">
        <f>'QRA Models'!Q672</f>
        <v>0</v>
      </c>
      <c r="Q541" s="22" t="e">
        <f>IF(LEN(VLOOKUP(P541,A2:D500,4,FALSE))=0,,VLOOKUP(P541,A2:D500,4,FALSE))</f>
        <v>#N/A</v>
      </c>
      <c r="R541" s="56">
        <f>'Health metrics Models'!Q655</f>
        <v>0</v>
      </c>
      <c r="S541" s="22" t="e">
        <f>IF(LEN(VLOOKUP(R541,A2:D500,4,FALSE))=0,,VLOOKUP(R541,A2:D500,4,FALSE))</f>
        <v>#N/A</v>
      </c>
      <c r="T541" s="56">
        <f>'Process Model'!P653</f>
        <v>0</v>
      </c>
      <c r="U541" s="22" t="e">
        <f>IF(LEN(VLOOKUP(T541,A2:D500,4,FALSE))=0,,VLOOKUP(T541,A2:D500,4,FALSE))</f>
        <v>#N/A</v>
      </c>
      <c r="V541" s="56">
        <f>'Toxicological reference value M'!P655</f>
        <v>0</v>
      </c>
      <c r="W541" s="22" t="e">
        <f>IF(LEN(VLOOKUP(V541,A2:D500,4,FALSE))=0,,VLOOKUP(V541,A2:D500,4,FALSE))</f>
        <v>#N/A</v>
      </c>
      <c r="Y541" s="56">
        <f>'Other Empirical Model'!P666</f>
        <v>0</v>
      </c>
      <c r="Z541" s="22" t="e">
        <f>IF(LEN(VLOOKUP(Y541,A2:D500,4,FALSE))=0,,VLOOKUP(Y541,A2:D500,4,FALSE))</f>
        <v>#N/A</v>
      </c>
      <c r="AA541" s="56">
        <f>'Predictive Model'!P653</f>
        <v>0</v>
      </c>
      <c r="AB541" s="22" t="e">
        <f>IF(LEN(VLOOKUP(AA541,A2:D500,4,FALSE))=0,,VLOOKUP(AA541,A2:D500,4,FALSE))</f>
        <v>#N/A</v>
      </c>
      <c r="AC541" s="56">
        <f>'Consumption Model'!P658</f>
        <v>0</v>
      </c>
      <c r="AD541" s="22" t="e">
        <f>IF(LEN(VLOOKUP(AC541,A2:D500,4,FALSE))=0,,VLOOKUP(AC541,A2:D500,4,FALSE))</f>
        <v>#N/A</v>
      </c>
      <c r="AE541" s="22">
        <f>'(Data)'!Q654</f>
        <v>0</v>
      </c>
      <c r="AF541" s="22" t="e">
        <f>IF(LEN(VLOOKUP(AE540:AE541,A2:D500,4,FALSE))=0,,VLOOKUP(AE540:AE541,A2:D500,4,FALSE))</f>
        <v>#N/A</v>
      </c>
      <c r="AH541" s="45">
        <f>'Risk Charact Model'!P672</f>
        <v>0</v>
      </c>
      <c r="AI541" s="58" t="e">
        <f>IF(LEN(VLOOKUP(AH541,A2:D500,4,FALSE))=0,,VLOOKUP(AH541,A2:D500,4,FALSE))</f>
        <v>#N/A</v>
      </c>
    </row>
    <row r="542" spans="9:35" ht="14" x14ac:dyDescent="0.3">
      <c r="I542" s="60">
        <f>'Generic Metadata Schema'!P672</f>
        <v>0</v>
      </c>
      <c r="J542" s="22" t="e">
        <f>IF(LEN(VLOOKUP(I542,A2:D500,4,FALSE))=0,"",VLOOKUP(I542,A2:D500,4,FALSE))</f>
        <v>#N/A</v>
      </c>
      <c r="L542" s="56">
        <f>'Dose-response Model'!O656</f>
        <v>0</v>
      </c>
      <c r="M542" s="22" t="e">
        <f>IF(LEN(VLOOKUP(L542,A2:D500,4,FALSE))=0,,VLOOKUP(L542,A2:D500,4,FALSE))</f>
        <v>#N/A</v>
      </c>
      <c r="N542" s="22">
        <f>'Exposure Model'!O673</f>
        <v>0</v>
      </c>
      <c r="O542" s="22" t="e">
        <f>IF(LEN(VLOOKUP(N542,A2:D500,4,FALSE))=0,,VLOOKUP(N542,A2:D500,4,FALSE))</f>
        <v>#N/A</v>
      </c>
      <c r="P542" s="56">
        <f>'QRA Models'!Q673</f>
        <v>0</v>
      </c>
      <c r="Q542" s="22" t="e">
        <f>IF(LEN(VLOOKUP(P542,A2:D500,4,FALSE))=0,,VLOOKUP(P542,A2:D500,4,FALSE))</f>
        <v>#N/A</v>
      </c>
      <c r="R542" s="56">
        <f>'Health metrics Models'!Q656</f>
        <v>0</v>
      </c>
      <c r="S542" s="22" t="e">
        <f>IF(LEN(VLOOKUP(R542,A2:D500,4,FALSE))=0,,VLOOKUP(R542,A2:D500,4,FALSE))</f>
        <v>#N/A</v>
      </c>
      <c r="T542" s="56">
        <f>'Process Model'!P654</f>
        <v>0</v>
      </c>
      <c r="U542" s="22" t="e">
        <f>IF(LEN(VLOOKUP(T542,A2:D500,4,FALSE))=0,,VLOOKUP(T542,A2:D500,4,FALSE))</f>
        <v>#N/A</v>
      </c>
      <c r="V542" s="56">
        <f>'Toxicological reference value M'!P656</f>
        <v>0</v>
      </c>
      <c r="W542" s="22" t="e">
        <f>IF(LEN(VLOOKUP(V542,A2:D500,4,FALSE))=0,,VLOOKUP(V542,A2:D500,4,FALSE))</f>
        <v>#N/A</v>
      </c>
      <c r="Y542" s="56">
        <f>'Other Empirical Model'!P667</f>
        <v>0</v>
      </c>
      <c r="Z542" s="22" t="e">
        <f>IF(LEN(VLOOKUP(Y542,A2:D500,4,FALSE))=0,,VLOOKUP(Y542,A2:D500,4,FALSE))</f>
        <v>#N/A</v>
      </c>
      <c r="AA542" s="56">
        <f>'Predictive Model'!P654</f>
        <v>0</v>
      </c>
      <c r="AB542" s="22" t="e">
        <f>IF(LEN(VLOOKUP(AA542,A2:D500,4,FALSE))=0,,VLOOKUP(AA542,A2:D500,4,FALSE))</f>
        <v>#N/A</v>
      </c>
      <c r="AC542" s="56">
        <f>'Consumption Model'!P659</f>
        <v>0</v>
      </c>
      <c r="AD542" s="22" t="e">
        <f>IF(LEN(VLOOKUP(AC542,A2:D500,4,FALSE))=0,,VLOOKUP(AC542,A2:D500,4,FALSE))</f>
        <v>#N/A</v>
      </c>
      <c r="AE542" s="22">
        <f>'(Data)'!Q655</f>
        <v>0</v>
      </c>
      <c r="AF542" s="22" t="e">
        <f>IF(LEN(VLOOKUP(AE541:AE542,A2:D500,4,FALSE))=0,,VLOOKUP(AE541:AE542,A2:D500,4,FALSE))</f>
        <v>#N/A</v>
      </c>
      <c r="AH542" s="45">
        <f>'Risk Charact Model'!P673</f>
        <v>0</v>
      </c>
      <c r="AI542" s="58" t="e">
        <f>IF(LEN(VLOOKUP(AH542,A2:D500,4,FALSE))=0,,VLOOKUP(AH542,A2:D500,4,FALSE))</f>
        <v>#N/A</v>
      </c>
    </row>
    <row r="543" spans="9:35" ht="14" x14ac:dyDescent="0.3">
      <c r="I543" s="60">
        <f>'Generic Metadata Schema'!P673</f>
        <v>0</v>
      </c>
      <c r="J543" s="22" t="e">
        <f>IF(LEN(VLOOKUP(I543,A2:D500,4,FALSE))=0,"",VLOOKUP(I543,A2:D500,4,FALSE))</f>
        <v>#N/A</v>
      </c>
      <c r="L543" s="56">
        <f>'Dose-response Model'!O657</f>
        <v>0</v>
      </c>
      <c r="M543" s="22" t="e">
        <f>IF(LEN(VLOOKUP(L543,A2:D500,4,FALSE))=0,,VLOOKUP(L543,A2:D500,4,FALSE))</f>
        <v>#N/A</v>
      </c>
      <c r="N543" s="22">
        <f>'Exposure Model'!O674</f>
        <v>0</v>
      </c>
      <c r="O543" s="22" t="e">
        <f>IF(LEN(VLOOKUP(N543,A2:D500,4,FALSE))=0,,VLOOKUP(N543,A2:D500,4,FALSE))</f>
        <v>#N/A</v>
      </c>
      <c r="P543" s="56">
        <f>'QRA Models'!Q674</f>
        <v>0</v>
      </c>
      <c r="Q543" s="22" t="e">
        <f>IF(LEN(VLOOKUP(P543,A2:D500,4,FALSE))=0,,VLOOKUP(P543,A2:D500,4,FALSE))</f>
        <v>#N/A</v>
      </c>
      <c r="R543" s="56">
        <f>'Health metrics Models'!Q657</f>
        <v>0</v>
      </c>
      <c r="S543" s="22" t="e">
        <f>IF(LEN(VLOOKUP(R543,A2:D500,4,FALSE))=0,,VLOOKUP(R543,A2:D500,4,FALSE))</f>
        <v>#N/A</v>
      </c>
      <c r="T543" s="56">
        <f>'Process Model'!P655</f>
        <v>0</v>
      </c>
      <c r="U543" s="22" t="e">
        <f>IF(LEN(VLOOKUP(T543,A2:D500,4,FALSE))=0,,VLOOKUP(T543,A2:D500,4,FALSE))</f>
        <v>#N/A</v>
      </c>
      <c r="V543" s="56">
        <f>'Toxicological reference value M'!P657</f>
        <v>0</v>
      </c>
      <c r="W543" s="22" t="e">
        <f>IF(LEN(VLOOKUP(V543,A2:D500,4,FALSE))=0,,VLOOKUP(V543,A2:D500,4,FALSE))</f>
        <v>#N/A</v>
      </c>
      <c r="Y543" s="56">
        <f>'Other Empirical Model'!P668</f>
        <v>0</v>
      </c>
      <c r="Z543" s="22" t="e">
        <f>IF(LEN(VLOOKUP(Y543,A2:D500,4,FALSE))=0,,VLOOKUP(Y543,A2:D500,4,FALSE))</f>
        <v>#N/A</v>
      </c>
      <c r="AA543" s="56">
        <f>'Predictive Model'!P655</f>
        <v>0</v>
      </c>
      <c r="AB543" s="22" t="e">
        <f>IF(LEN(VLOOKUP(AA543,A2:D500,4,FALSE))=0,,VLOOKUP(AA543,A2:D500,4,FALSE))</f>
        <v>#N/A</v>
      </c>
      <c r="AC543" s="56">
        <f>'Consumption Model'!P660</f>
        <v>0</v>
      </c>
      <c r="AD543" s="22" t="e">
        <f>IF(LEN(VLOOKUP(AC543,A2:D500,4,FALSE))=0,,VLOOKUP(AC543,A2:D500,4,FALSE))</f>
        <v>#N/A</v>
      </c>
      <c r="AE543" s="22">
        <f>'(Data)'!Q656</f>
        <v>0</v>
      </c>
      <c r="AF543" s="22" t="e">
        <f>IF(LEN(VLOOKUP(AE542:AE543,A2:D500,4,FALSE))=0,,VLOOKUP(AE542:AE543,A2:D500,4,FALSE))</f>
        <v>#N/A</v>
      </c>
      <c r="AH543" s="45">
        <f>'Risk Charact Model'!P674</f>
        <v>0</v>
      </c>
      <c r="AI543" s="58" t="e">
        <f>IF(LEN(VLOOKUP(AH543,A2:D500,4,FALSE))=0,,VLOOKUP(AH543,A2:D500,4,FALSE))</f>
        <v>#N/A</v>
      </c>
    </row>
    <row r="544" spans="9:35" ht="14" x14ac:dyDescent="0.3">
      <c r="I544" s="60">
        <f>'Generic Metadata Schema'!P674</f>
        <v>0</v>
      </c>
      <c r="J544" s="22" t="e">
        <f>IF(LEN(VLOOKUP(I544,A2:D500,4,FALSE))=0,"",VLOOKUP(I544,A2:D500,4,FALSE))</f>
        <v>#N/A</v>
      </c>
      <c r="L544" s="56">
        <f>'Dose-response Model'!O658</f>
        <v>0</v>
      </c>
      <c r="M544" s="22" t="e">
        <f>IF(LEN(VLOOKUP(L544,A2:D500,4,FALSE))=0,,VLOOKUP(L544,A2:D500,4,FALSE))</f>
        <v>#N/A</v>
      </c>
      <c r="N544" s="22">
        <f>'Exposure Model'!O675</f>
        <v>0</v>
      </c>
      <c r="O544" s="22" t="e">
        <f>IF(LEN(VLOOKUP(N544,A2:D500,4,FALSE))=0,,VLOOKUP(N544,A2:D500,4,FALSE))</f>
        <v>#N/A</v>
      </c>
      <c r="P544" s="56">
        <f>'QRA Models'!Q675</f>
        <v>0</v>
      </c>
      <c r="Q544" s="22" t="e">
        <f>IF(LEN(VLOOKUP(P544,A2:D500,4,FALSE))=0,,VLOOKUP(P544,A2:D500,4,FALSE))</f>
        <v>#N/A</v>
      </c>
      <c r="R544" s="56">
        <f>'Health metrics Models'!Q658</f>
        <v>0</v>
      </c>
      <c r="S544" s="22" t="e">
        <f>IF(LEN(VLOOKUP(R544,A2:D500,4,FALSE))=0,,VLOOKUP(R544,A2:D500,4,FALSE))</f>
        <v>#N/A</v>
      </c>
      <c r="T544" s="56">
        <f>'Process Model'!P656</f>
        <v>0</v>
      </c>
      <c r="U544" s="22" t="e">
        <f>IF(LEN(VLOOKUP(T544,A2:D500,4,FALSE))=0,,VLOOKUP(T544,A2:D500,4,FALSE))</f>
        <v>#N/A</v>
      </c>
      <c r="V544" s="56">
        <f>'Toxicological reference value M'!P658</f>
        <v>0</v>
      </c>
      <c r="W544" s="22" t="e">
        <f>IF(LEN(VLOOKUP(V544,A2:D500,4,FALSE))=0,,VLOOKUP(V544,A2:D500,4,FALSE))</f>
        <v>#N/A</v>
      </c>
      <c r="Y544" s="56">
        <f>'Other Empirical Model'!P669</f>
        <v>0</v>
      </c>
      <c r="Z544" s="22" t="e">
        <f>IF(LEN(VLOOKUP(Y544,A2:D500,4,FALSE))=0,,VLOOKUP(Y544,A2:D500,4,FALSE))</f>
        <v>#N/A</v>
      </c>
      <c r="AA544" s="56">
        <f>'Predictive Model'!P656</f>
        <v>0</v>
      </c>
      <c r="AB544" s="22" t="e">
        <f>IF(LEN(VLOOKUP(AA544,A2:D500,4,FALSE))=0,,VLOOKUP(AA544,A2:D500,4,FALSE))</f>
        <v>#N/A</v>
      </c>
      <c r="AC544" s="56">
        <f>'Consumption Model'!P661</f>
        <v>0</v>
      </c>
      <c r="AD544" s="22" t="e">
        <f>IF(LEN(VLOOKUP(AC544,A2:D500,4,FALSE))=0,,VLOOKUP(AC544,A2:D500,4,FALSE))</f>
        <v>#N/A</v>
      </c>
      <c r="AE544" s="22">
        <f>'(Data)'!Q657</f>
        <v>0</v>
      </c>
      <c r="AF544" s="22" t="e">
        <f>IF(LEN(VLOOKUP(AE543:AE544,A2:D500,4,FALSE))=0,,VLOOKUP(AE543:AE544,A2:D500,4,FALSE))</f>
        <v>#N/A</v>
      </c>
      <c r="AH544" s="45">
        <f>'Risk Charact Model'!P675</f>
        <v>0</v>
      </c>
      <c r="AI544" s="58" t="e">
        <f>IF(LEN(VLOOKUP(AH544,A2:D500,4,FALSE))=0,,VLOOKUP(AH544,A2:D500,4,FALSE))</f>
        <v>#N/A</v>
      </c>
    </row>
    <row r="545" spans="9:35" ht="14" x14ac:dyDescent="0.3">
      <c r="I545" s="60">
        <f>'Generic Metadata Schema'!P675</f>
        <v>0</v>
      </c>
      <c r="J545" s="22" t="e">
        <f>IF(LEN(VLOOKUP(I545,A2:D500,4,FALSE))=0,"",VLOOKUP(I545,A2:D500,4,FALSE))</f>
        <v>#N/A</v>
      </c>
      <c r="L545" s="56">
        <f>'Dose-response Model'!O659</f>
        <v>0</v>
      </c>
      <c r="M545" s="22" t="e">
        <f>IF(LEN(VLOOKUP(L545,A2:D500,4,FALSE))=0,,VLOOKUP(L545,A2:D500,4,FALSE))</f>
        <v>#N/A</v>
      </c>
      <c r="N545" s="22">
        <f>'Exposure Model'!O676</f>
        <v>0</v>
      </c>
      <c r="O545" s="22" t="e">
        <f>IF(LEN(VLOOKUP(N545,A2:D500,4,FALSE))=0,,VLOOKUP(N545,A2:D500,4,FALSE))</f>
        <v>#N/A</v>
      </c>
      <c r="P545" s="56">
        <f>'QRA Models'!Q676</f>
        <v>0</v>
      </c>
      <c r="Q545" s="22" t="e">
        <f>IF(LEN(VLOOKUP(P545,A2:D500,4,FALSE))=0,,VLOOKUP(P545,A2:D500,4,FALSE))</f>
        <v>#N/A</v>
      </c>
      <c r="R545" s="56">
        <f>'Health metrics Models'!Q659</f>
        <v>0</v>
      </c>
      <c r="S545" s="22" t="e">
        <f>IF(LEN(VLOOKUP(R545,A2:D500,4,FALSE))=0,,VLOOKUP(R545,A2:D500,4,FALSE))</f>
        <v>#N/A</v>
      </c>
      <c r="T545" s="56">
        <f>'Process Model'!P657</f>
        <v>0</v>
      </c>
      <c r="U545" s="22" t="e">
        <f>IF(LEN(VLOOKUP(T545,A2:D500,4,FALSE))=0,,VLOOKUP(T545,A2:D500,4,FALSE))</f>
        <v>#N/A</v>
      </c>
      <c r="V545" s="56">
        <f>'Toxicological reference value M'!P659</f>
        <v>0</v>
      </c>
      <c r="W545" s="22" t="e">
        <f>IF(LEN(VLOOKUP(V545,A2:D500,4,FALSE))=0,,VLOOKUP(V545,A2:D500,4,FALSE))</f>
        <v>#N/A</v>
      </c>
      <c r="Y545" s="56">
        <f>'Other Empirical Model'!P670</f>
        <v>0</v>
      </c>
      <c r="Z545" s="22" t="e">
        <f>IF(LEN(VLOOKUP(Y545,A2:D500,4,FALSE))=0,,VLOOKUP(Y545,A2:D500,4,FALSE))</f>
        <v>#N/A</v>
      </c>
      <c r="AA545" s="56">
        <f>'Predictive Model'!P657</f>
        <v>0</v>
      </c>
      <c r="AB545" s="22" t="e">
        <f>IF(LEN(VLOOKUP(AA545,A2:D500,4,FALSE))=0,,VLOOKUP(AA545,A2:D500,4,FALSE))</f>
        <v>#N/A</v>
      </c>
      <c r="AC545" s="56">
        <f>'Consumption Model'!P662</f>
        <v>0</v>
      </c>
      <c r="AD545" s="22" t="e">
        <f>IF(LEN(VLOOKUP(AC545,A2:D500,4,FALSE))=0,,VLOOKUP(AC545,A2:D500,4,FALSE))</f>
        <v>#N/A</v>
      </c>
      <c r="AE545" s="22">
        <f>'(Data)'!Q658</f>
        <v>0</v>
      </c>
      <c r="AF545" s="22" t="e">
        <f>IF(LEN(VLOOKUP(AE544:AE545,A2:D500,4,FALSE))=0,,VLOOKUP(AE544:AE545,A2:D500,4,FALSE))</f>
        <v>#N/A</v>
      </c>
      <c r="AH545" s="45">
        <f>'Risk Charact Model'!P676</f>
        <v>0</v>
      </c>
      <c r="AI545" s="58" t="e">
        <f>IF(LEN(VLOOKUP(AH545,A2:D500,4,FALSE))=0,,VLOOKUP(AH545,A2:D500,4,FALSE))</f>
        <v>#N/A</v>
      </c>
    </row>
    <row r="546" spans="9:35" ht="14" x14ac:dyDescent="0.3">
      <c r="I546" s="60">
        <f>'Generic Metadata Schema'!P676</f>
        <v>0</v>
      </c>
      <c r="J546" s="22" t="e">
        <f>IF(LEN(VLOOKUP(I546,A2:D500,4,FALSE))=0,"",VLOOKUP(I546,A2:D500,4,FALSE))</f>
        <v>#N/A</v>
      </c>
      <c r="L546" s="56">
        <f>'Dose-response Model'!O660</f>
        <v>0</v>
      </c>
      <c r="M546" s="22" t="e">
        <f>IF(LEN(VLOOKUP(L546,A2:D500,4,FALSE))=0,,VLOOKUP(L546,A2:D500,4,FALSE))</f>
        <v>#N/A</v>
      </c>
      <c r="N546" s="22">
        <f>'Exposure Model'!O677</f>
        <v>0</v>
      </c>
      <c r="O546" s="22" t="e">
        <f>IF(LEN(VLOOKUP(N546,A2:D500,4,FALSE))=0,,VLOOKUP(N546,A2:D500,4,FALSE))</f>
        <v>#N/A</v>
      </c>
      <c r="P546" s="56">
        <f>'QRA Models'!Q677</f>
        <v>0</v>
      </c>
      <c r="Q546" s="22" t="e">
        <f>IF(LEN(VLOOKUP(P546,A2:D500,4,FALSE))=0,,VLOOKUP(P546,A2:D500,4,FALSE))</f>
        <v>#N/A</v>
      </c>
      <c r="R546" s="56">
        <f>'Health metrics Models'!Q660</f>
        <v>0</v>
      </c>
      <c r="S546" s="22" t="e">
        <f>IF(LEN(VLOOKUP(R546,A2:D500,4,FALSE))=0,,VLOOKUP(R546,A2:D500,4,FALSE))</f>
        <v>#N/A</v>
      </c>
      <c r="T546" s="56">
        <f>'Process Model'!P658</f>
        <v>0</v>
      </c>
      <c r="U546" s="22" t="e">
        <f>IF(LEN(VLOOKUP(T546,A2:D500,4,FALSE))=0,,VLOOKUP(T546,A2:D500,4,FALSE))</f>
        <v>#N/A</v>
      </c>
      <c r="V546" s="56">
        <f>'Toxicological reference value M'!P660</f>
        <v>0</v>
      </c>
      <c r="W546" s="22" t="e">
        <f>IF(LEN(VLOOKUP(V546,A2:D500,4,FALSE))=0,,VLOOKUP(V546,A2:D500,4,FALSE))</f>
        <v>#N/A</v>
      </c>
      <c r="Y546" s="56">
        <f>'Other Empirical Model'!P671</f>
        <v>0</v>
      </c>
      <c r="Z546" s="22" t="e">
        <f>IF(LEN(VLOOKUP(Y546,A2:D500,4,FALSE))=0,,VLOOKUP(Y546,A2:D500,4,FALSE))</f>
        <v>#N/A</v>
      </c>
      <c r="AA546" s="56">
        <f>'Predictive Model'!P658</f>
        <v>0</v>
      </c>
      <c r="AB546" s="22" t="e">
        <f>IF(LEN(VLOOKUP(AA546,A2:D500,4,FALSE))=0,,VLOOKUP(AA546,A2:D500,4,FALSE))</f>
        <v>#N/A</v>
      </c>
      <c r="AC546" s="56">
        <f>'Consumption Model'!P663</f>
        <v>0</v>
      </c>
      <c r="AD546" s="22" t="e">
        <f>IF(LEN(VLOOKUP(AC546,A2:D500,4,FALSE))=0,,VLOOKUP(AC546,A2:D500,4,FALSE))</f>
        <v>#N/A</v>
      </c>
      <c r="AE546" s="22">
        <f>'(Data)'!Q659</f>
        <v>0</v>
      </c>
      <c r="AF546" s="22" t="e">
        <f>IF(LEN(VLOOKUP(AE545:AE546,A2:D500,4,FALSE))=0,,VLOOKUP(AE545:AE546,A2:D500,4,FALSE))</f>
        <v>#N/A</v>
      </c>
      <c r="AH546" s="45">
        <f>'Risk Charact Model'!P677</f>
        <v>0</v>
      </c>
      <c r="AI546" s="58" t="e">
        <f>IF(LEN(VLOOKUP(AH546,A2:D500,4,FALSE))=0,,VLOOKUP(AH546,A2:D500,4,FALSE))</f>
        <v>#N/A</v>
      </c>
    </row>
    <row r="547" spans="9:35" ht="14" x14ac:dyDescent="0.3">
      <c r="I547" s="60">
        <f>'Generic Metadata Schema'!P677</f>
        <v>0</v>
      </c>
      <c r="J547" s="22" t="e">
        <f>IF(LEN(VLOOKUP(I547,A2:D500,4,FALSE))=0,"",VLOOKUP(I547,A2:D500,4,FALSE))</f>
        <v>#N/A</v>
      </c>
      <c r="L547" s="56">
        <f>'Dose-response Model'!O661</f>
        <v>0</v>
      </c>
      <c r="M547" s="22" t="e">
        <f>IF(LEN(VLOOKUP(L547,A2:D500,4,FALSE))=0,,VLOOKUP(L547,A2:D500,4,FALSE))</f>
        <v>#N/A</v>
      </c>
      <c r="N547" s="22">
        <f>'Exposure Model'!O678</f>
        <v>0</v>
      </c>
      <c r="O547" s="22" t="e">
        <f>IF(LEN(VLOOKUP(N547,A2:D500,4,FALSE))=0,,VLOOKUP(N547,A2:D500,4,FALSE))</f>
        <v>#N/A</v>
      </c>
      <c r="P547" s="56">
        <f>'QRA Models'!Q678</f>
        <v>0</v>
      </c>
      <c r="Q547" s="22" t="e">
        <f>IF(LEN(VLOOKUP(P547,A2:D500,4,FALSE))=0,,VLOOKUP(P547,A2:D500,4,FALSE))</f>
        <v>#N/A</v>
      </c>
      <c r="R547" s="56">
        <f>'Health metrics Models'!Q661</f>
        <v>0</v>
      </c>
      <c r="S547" s="22" t="e">
        <f>IF(LEN(VLOOKUP(R547,A2:D500,4,FALSE))=0,,VLOOKUP(R547,A2:D500,4,FALSE))</f>
        <v>#N/A</v>
      </c>
      <c r="T547" s="56">
        <f>'Process Model'!P659</f>
        <v>0</v>
      </c>
      <c r="U547" s="22" t="e">
        <f>IF(LEN(VLOOKUP(T547,A2:D500,4,FALSE))=0,,VLOOKUP(T547,A2:D500,4,FALSE))</f>
        <v>#N/A</v>
      </c>
      <c r="V547" s="56">
        <f>'Toxicological reference value M'!P661</f>
        <v>0</v>
      </c>
      <c r="W547" s="22" t="e">
        <f>IF(LEN(VLOOKUP(V547,A2:D500,4,FALSE))=0,,VLOOKUP(V547,A2:D500,4,FALSE))</f>
        <v>#N/A</v>
      </c>
      <c r="Y547" s="56">
        <f>'Other Empirical Model'!P672</f>
        <v>0</v>
      </c>
      <c r="Z547" s="22" t="e">
        <f>IF(LEN(VLOOKUP(Y547,A2:D500,4,FALSE))=0,,VLOOKUP(Y547,A2:D500,4,FALSE))</f>
        <v>#N/A</v>
      </c>
      <c r="AA547" s="56">
        <f>'Predictive Model'!P659</f>
        <v>0</v>
      </c>
      <c r="AB547" s="22" t="e">
        <f>IF(LEN(VLOOKUP(AA547,A2:D500,4,FALSE))=0,,VLOOKUP(AA547,A2:D500,4,FALSE))</f>
        <v>#N/A</v>
      </c>
      <c r="AC547" s="56">
        <f>'Consumption Model'!P664</f>
        <v>0</v>
      </c>
      <c r="AD547" s="22" t="e">
        <f>IF(LEN(VLOOKUP(AC547,A2:D500,4,FALSE))=0,,VLOOKUP(AC547,A2:D500,4,FALSE))</f>
        <v>#N/A</v>
      </c>
      <c r="AE547" s="22">
        <f>'(Data)'!Q660</f>
        <v>0</v>
      </c>
      <c r="AF547" s="22" t="e">
        <f>IF(LEN(VLOOKUP(AE546:AE547,A2:D500,4,FALSE))=0,,VLOOKUP(AE546:AE547,A2:D500,4,FALSE))</f>
        <v>#N/A</v>
      </c>
      <c r="AH547" s="45">
        <f>'Risk Charact Model'!P678</f>
        <v>0</v>
      </c>
      <c r="AI547" s="58" t="e">
        <f>IF(LEN(VLOOKUP(AH547,A2:D500,4,FALSE))=0,,VLOOKUP(AH547,A2:D500,4,FALSE))</f>
        <v>#N/A</v>
      </c>
    </row>
    <row r="548" spans="9:35" ht="14" x14ac:dyDescent="0.3">
      <c r="I548" s="60">
        <f>'Generic Metadata Schema'!P678</f>
        <v>0</v>
      </c>
      <c r="J548" s="22" t="e">
        <f>IF(LEN(VLOOKUP(I548,A2:D500,4,FALSE))=0,"",VLOOKUP(I548,A2:D500,4,FALSE))</f>
        <v>#N/A</v>
      </c>
      <c r="L548" s="56">
        <f>'Dose-response Model'!O662</f>
        <v>0</v>
      </c>
      <c r="M548" s="22" t="e">
        <f>IF(LEN(VLOOKUP(L548,A2:D500,4,FALSE))=0,,VLOOKUP(L548,A2:D500,4,FALSE))</f>
        <v>#N/A</v>
      </c>
      <c r="N548" s="22">
        <f>'Exposure Model'!O679</f>
        <v>0</v>
      </c>
      <c r="O548" s="22" t="e">
        <f>IF(LEN(VLOOKUP(N548,A2:D500,4,FALSE))=0,,VLOOKUP(N548,A2:D500,4,FALSE))</f>
        <v>#N/A</v>
      </c>
      <c r="P548" s="56">
        <f>'QRA Models'!Q679</f>
        <v>0</v>
      </c>
      <c r="Q548" s="22" t="e">
        <f>IF(LEN(VLOOKUP(P548,A2:D500,4,FALSE))=0,,VLOOKUP(P548,A2:D500,4,FALSE))</f>
        <v>#N/A</v>
      </c>
      <c r="R548" s="56">
        <f>'Health metrics Models'!Q662</f>
        <v>0</v>
      </c>
      <c r="S548" s="22" t="e">
        <f>IF(LEN(VLOOKUP(R548,A2:D500,4,FALSE))=0,,VLOOKUP(R548,A2:D500,4,FALSE))</f>
        <v>#N/A</v>
      </c>
      <c r="T548" s="56">
        <f>'Process Model'!P660</f>
        <v>0</v>
      </c>
      <c r="U548" s="22" t="e">
        <f>IF(LEN(VLOOKUP(T548,A2:D500,4,FALSE))=0,,VLOOKUP(T548,A2:D500,4,FALSE))</f>
        <v>#N/A</v>
      </c>
      <c r="V548" s="56">
        <f>'Toxicological reference value M'!P662</f>
        <v>0</v>
      </c>
      <c r="W548" s="22" t="e">
        <f>IF(LEN(VLOOKUP(V548,A2:D500,4,FALSE))=0,,VLOOKUP(V548,A2:D500,4,FALSE))</f>
        <v>#N/A</v>
      </c>
      <c r="Y548" s="56">
        <f>'Other Empirical Model'!P673</f>
        <v>0</v>
      </c>
      <c r="Z548" s="22" t="e">
        <f>IF(LEN(VLOOKUP(Y548,A2:D500,4,FALSE))=0,,VLOOKUP(Y548,A2:D500,4,FALSE))</f>
        <v>#N/A</v>
      </c>
      <c r="AA548" s="56">
        <f>'Predictive Model'!P660</f>
        <v>0</v>
      </c>
      <c r="AB548" s="22" t="e">
        <f>IF(LEN(VLOOKUP(AA548,A2:D500,4,FALSE))=0,,VLOOKUP(AA548,A2:D500,4,FALSE))</f>
        <v>#N/A</v>
      </c>
      <c r="AC548" s="56">
        <f>'Consumption Model'!P665</f>
        <v>0</v>
      </c>
      <c r="AD548" s="22" t="e">
        <f>IF(LEN(VLOOKUP(AC548,A2:D500,4,FALSE))=0,,VLOOKUP(AC548,A2:D500,4,FALSE))</f>
        <v>#N/A</v>
      </c>
      <c r="AE548" s="22">
        <f>'(Data)'!Q661</f>
        <v>0</v>
      </c>
      <c r="AF548" s="22" t="e">
        <f>IF(LEN(VLOOKUP(AE547:AE548,A2:D500,4,FALSE))=0,,VLOOKUP(AE547:AE548,A2:D500,4,FALSE))</f>
        <v>#N/A</v>
      </c>
      <c r="AH548" s="45">
        <f>'Risk Charact Model'!P679</f>
        <v>0</v>
      </c>
      <c r="AI548" s="58" t="e">
        <f>IF(LEN(VLOOKUP(AH548,A2:D500,4,FALSE))=0,,VLOOKUP(AH548,A2:D500,4,FALSE))</f>
        <v>#N/A</v>
      </c>
    </row>
    <row r="549" spans="9:35" ht="14" x14ac:dyDescent="0.3">
      <c r="I549" s="60">
        <f>'Generic Metadata Schema'!P679</f>
        <v>0</v>
      </c>
      <c r="J549" s="22" t="e">
        <f>IF(LEN(VLOOKUP(I549,A2:D500,4,FALSE))=0,"",VLOOKUP(I549,A2:D500,4,FALSE))</f>
        <v>#N/A</v>
      </c>
      <c r="L549" s="56">
        <f>'Dose-response Model'!O663</f>
        <v>0</v>
      </c>
      <c r="M549" s="22" t="e">
        <f>IF(LEN(VLOOKUP(L549,A2:D500,4,FALSE))=0,,VLOOKUP(L549,A2:D500,4,FALSE))</f>
        <v>#N/A</v>
      </c>
      <c r="N549" s="22">
        <f>'Exposure Model'!O680</f>
        <v>0</v>
      </c>
      <c r="O549" s="22" t="e">
        <f>IF(LEN(VLOOKUP(N549,A2:D500,4,FALSE))=0,,VLOOKUP(N549,A2:D500,4,FALSE))</f>
        <v>#N/A</v>
      </c>
      <c r="P549" s="56">
        <f>'QRA Models'!Q680</f>
        <v>0</v>
      </c>
      <c r="Q549" s="22" t="e">
        <f>IF(LEN(VLOOKUP(P549,A2:D500,4,FALSE))=0,,VLOOKUP(P549,A2:D500,4,FALSE))</f>
        <v>#N/A</v>
      </c>
      <c r="R549" s="56">
        <f>'Health metrics Models'!Q663</f>
        <v>0</v>
      </c>
      <c r="S549" s="22" t="e">
        <f>IF(LEN(VLOOKUP(R549,A2:D500,4,FALSE))=0,,VLOOKUP(R549,A2:D500,4,FALSE))</f>
        <v>#N/A</v>
      </c>
      <c r="T549" s="56">
        <f>'Process Model'!P661</f>
        <v>0</v>
      </c>
      <c r="U549" s="22" t="e">
        <f>IF(LEN(VLOOKUP(T549,A2:D500,4,FALSE))=0,,VLOOKUP(T549,A2:D500,4,FALSE))</f>
        <v>#N/A</v>
      </c>
      <c r="V549" s="56">
        <f>'Toxicological reference value M'!P663</f>
        <v>0</v>
      </c>
      <c r="W549" s="22" t="e">
        <f>IF(LEN(VLOOKUP(V549,A2:D500,4,FALSE))=0,,VLOOKUP(V549,A2:D500,4,FALSE))</f>
        <v>#N/A</v>
      </c>
      <c r="Y549" s="56">
        <f>'Other Empirical Model'!P674</f>
        <v>0</v>
      </c>
      <c r="Z549" s="22" t="e">
        <f>IF(LEN(VLOOKUP(Y549,A2:D500,4,FALSE))=0,,VLOOKUP(Y549,A2:D500,4,FALSE))</f>
        <v>#N/A</v>
      </c>
      <c r="AA549" s="56">
        <f>'Predictive Model'!P661</f>
        <v>0</v>
      </c>
      <c r="AB549" s="22" t="e">
        <f>IF(LEN(VLOOKUP(AA549,A2:D500,4,FALSE))=0,,VLOOKUP(AA549,A2:D500,4,FALSE))</f>
        <v>#N/A</v>
      </c>
      <c r="AC549" s="56">
        <f>'Consumption Model'!P666</f>
        <v>0</v>
      </c>
      <c r="AD549" s="22" t="e">
        <f>IF(LEN(VLOOKUP(AC549,A2:D500,4,FALSE))=0,,VLOOKUP(AC549,A2:D500,4,FALSE))</f>
        <v>#N/A</v>
      </c>
      <c r="AE549" s="22">
        <f>'(Data)'!Q662</f>
        <v>0</v>
      </c>
      <c r="AF549" s="22" t="e">
        <f>IF(LEN(VLOOKUP(AE548:AE549,A2:D500,4,FALSE))=0,,VLOOKUP(AE548:AE549,A2:D500,4,FALSE))</f>
        <v>#N/A</v>
      </c>
      <c r="AH549" s="45">
        <f>'Risk Charact Model'!P680</f>
        <v>0</v>
      </c>
      <c r="AI549" s="58" t="e">
        <f>IF(LEN(VLOOKUP(AH549,A2:D500,4,FALSE))=0,,VLOOKUP(AH549,A2:D500,4,FALSE))</f>
        <v>#N/A</v>
      </c>
    </row>
    <row r="550" spans="9:35" ht="14" x14ac:dyDescent="0.3">
      <c r="I550" s="60">
        <f>'Generic Metadata Schema'!P680</f>
        <v>0</v>
      </c>
      <c r="J550" s="22" t="e">
        <f>IF(LEN(VLOOKUP(I550,A2:D500,4,FALSE))=0,"",VLOOKUP(I550,A2:D500,4,FALSE))</f>
        <v>#N/A</v>
      </c>
      <c r="L550" s="56">
        <f>'Dose-response Model'!O664</f>
        <v>0</v>
      </c>
      <c r="M550" s="22" t="e">
        <f>IF(LEN(VLOOKUP(L550,A2:D500,4,FALSE))=0,,VLOOKUP(L550,A2:D500,4,FALSE))</f>
        <v>#N/A</v>
      </c>
      <c r="N550" s="22">
        <f>'Exposure Model'!O681</f>
        <v>0</v>
      </c>
      <c r="O550" s="22" t="e">
        <f>IF(LEN(VLOOKUP(N550,A2:D500,4,FALSE))=0,,VLOOKUP(N550,A2:D500,4,FALSE))</f>
        <v>#N/A</v>
      </c>
      <c r="P550" s="56">
        <f>'QRA Models'!Q681</f>
        <v>0</v>
      </c>
      <c r="Q550" s="22" t="e">
        <f>IF(LEN(VLOOKUP(P550,A2:D500,4,FALSE))=0,,VLOOKUP(P550,A2:D500,4,FALSE))</f>
        <v>#N/A</v>
      </c>
      <c r="R550" s="56">
        <f>'Health metrics Models'!Q664</f>
        <v>0</v>
      </c>
      <c r="S550" s="22" t="e">
        <f>IF(LEN(VLOOKUP(R550,A2:D500,4,FALSE))=0,,VLOOKUP(R550,A2:D500,4,FALSE))</f>
        <v>#N/A</v>
      </c>
      <c r="T550" s="56">
        <f>'Process Model'!P662</f>
        <v>0</v>
      </c>
      <c r="U550" s="22" t="e">
        <f>IF(LEN(VLOOKUP(T550,A2:D500,4,FALSE))=0,,VLOOKUP(T550,A2:D500,4,FALSE))</f>
        <v>#N/A</v>
      </c>
      <c r="V550" s="56">
        <f>'Toxicological reference value M'!P664</f>
        <v>0</v>
      </c>
      <c r="W550" s="22" t="e">
        <f>IF(LEN(VLOOKUP(V550,A2:D500,4,FALSE))=0,,VLOOKUP(V550,A2:D500,4,FALSE))</f>
        <v>#N/A</v>
      </c>
      <c r="Y550" s="56">
        <f>'Other Empirical Model'!P675</f>
        <v>0</v>
      </c>
      <c r="Z550" s="22" t="e">
        <f>IF(LEN(VLOOKUP(Y550,A2:D500,4,FALSE))=0,,VLOOKUP(Y550,A2:D500,4,FALSE))</f>
        <v>#N/A</v>
      </c>
      <c r="AA550" s="56">
        <f>'Predictive Model'!P662</f>
        <v>0</v>
      </c>
      <c r="AB550" s="22" t="e">
        <f>IF(LEN(VLOOKUP(AA550,A2:D500,4,FALSE))=0,,VLOOKUP(AA550,A2:D500,4,FALSE))</f>
        <v>#N/A</v>
      </c>
      <c r="AC550" s="56">
        <f>'Consumption Model'!P667</f>
        <v>0</v>
      </c>
      <c r="AD550" s="22" t="e">
        <f>IF(LEN(VLOOKUP(AC550,A2:D500,4,FALSE))=0,,VLOOKUP(AC550,A2:D500,4,FALSE))</f>
        <v>#N/A</v>
      </c>
      <c r="AE550" s="22">
        <f>'(Data)'!Q663</f>
        <v>0</v>
      </c>
      <c r="AF550" s="22" t="e">
        <f>IF(LEN(VLOOKUP(AE549:AE550,A2:D500,4,FALSE))=0,,VLOOKUP(AE549:AE550,A2:D500,4,FALSE))</f>
        <v>#N/A</v>
      </c>
      <c r="AH550" s="45">
        <f>'Risk Charact Model'!P681</f>
        <v>0</v>
      </c>
      <c r="AI550" s="58" t="e">
        <f>IF(LEN(VLOOKUP(AH550,A2:D500,4,FALSE))=0,,VLOOKUP(AH550,A2:D500,4,FALSE))</f>
        <v>#N/A</v>
      </c>
    </row>
    <row r="551" spans="9:35" ht="14" x14ac:dyDescent="0.3">
      <c r="I551" s="60">
        <f>'Generic Metadata Schema'!P681</f>
        <v>0</v>
      </c>
      <c r="J551" s="22" t="e">
        <f>IF(LEN(VLOOKUP(I551,A2:D500,4,FALSE))=0,"",VLOOKUP(I551,A2:D500,4,FALSE))</f>
        <v>#N/A</v>
      </c>
      <c r="L551" s="56">
        <f>'Dose-response Model'!O665</f>
        <v>0</v>
      </c>
      <c r="M551" s="22" t="e">
        <f>IF(LEN(VLOOKUP(L551,A2:D500,4,FALSE))=0,,VLOOKUP(L551,A2:D500,4,FALSE))</f>
        <v>#N/A</v>
      </c>
      <c r="N551" s="22">
        <f>'Exposure Model'!O682</f>
        <v>0</v>
      </c>
      <c r="O551" s="22" t="e">
        <f>IF(LEN(VLOOKUP(N551,A2:D500,4,FALSE))=0,,VLOOKUP(N551,A2:D500,4,FALSE))</f>
        <v>#N/A</v>
      </c>
      <c r="P551" s="56">
        <f>'QRA Models'!Q682</f>
        <v>0</v>
      </c>
      <c r="Q551" s="22" t="e">
        <f>IF(LEN(VLOOKUP(P551,A2:D500,4,FALSE))=0,,VLOOKUP(P551,A2:D500,4,FALSE))</f>
        <v>#N/A</v>
      </c>
      <c r="R551" s="56">
        <f>'Health metrics Models'!Q665</f>
        <v>0</v>
      </c>
      <c r="S551" s="22" t="e">
        <f>IF(LEN(VLOOKUP(R551,A2:D500,4,FALSE))=0,,VLOOKUP(R551,A2:D500,4,FALSE))</f>
        <v>#N/A</v>
      </c>
      <c r="T551" s="56">
        <f>'Process Model'!P663</f>
        <v>0</v>
      </c>
      <c r="U551" s="22" t="e">
        <f>IF(LEN(VLOOKUP(T551,A2:D500,4,FALSE))=0,,VLOOKUP(T551,A2:D500,4,FALSE))</f>
        <v>#N/A</v>
      </c>
      <c r="V551" s="56">
        <f>'Toxicological reference value M'!P665</f>
        <v>0</v>
      </c>
      <c r="W551" s="22" t="e">
        <f>IF(LEN(VLOOKUP(V551,A2:D500,4,FALSE))=0,,VLOOKUP(V551,A2:D500,4,FALSE))</f>
        <v>#N/A</v>
      </c>
      <c r="Y551" s="56">
        <f>'Other Empirical Model'!P676</f>
        <v>0</v>
      </c>
      <c r="Z551" s="22" t="e">
        <f>IF(LEN(VLOOKUP(Y551,A2:D500,4,FALSE))=0,,VLOOKUP(Y551,A2:D500,4,FALSE))</f>
        <v>#N/A</v>
      </c>
      <c r="AA551" s="56">
        <f>'Predictive Model'!P663</f>
        <v>0</v>
      </c>
      <c r="AB551" s="22" t="e">
        <f>IF(LEN(VLOOKUP(AA551,A2:D500,4,FALSE))=0,,VLOOKUP(AA551,A2:D500,4,FALSE))</f>
        <v>#N/A</v>
      </c>
      <c r="AC551" s="56">
        <f>'Consumption Model'!P668</f>
        <v>0</v>
      </c>
      <c r="AD551" s="22" t="e">
        <f>IF(LEN(VLOOKUP(AC551,A2:D500,4,FALSE))=0,,VLOOKUP(AC551,A2:D500,4,FALSE))</f>
        <v>#N/A</v>
      </c>
      <c r="AE551" s="22">
        <f>'(Data)'!Q664</f>
        <v>0</v>
      </c>
      <c r="AF551" s="22" t="e">
        <f>IF(LEN(VLOOKUP(AE550:AE551,A2:D500,4,FALSE))=0,,VLOOKUP(AE550:AE551,A2:D500,4,FALSE))</f>
        <v>#N/A</v>
      </c>
      <c r="AH551" s="45">
        <f>'Risk Charact Model'!P682</f>
        <v>0</v>
      </c>
      <c r="AI551" s="58" t="e">
        <f>IF(LEN(VLOOKUP(AH551,A2:D500,4,FALSE))=0,,VLOOKUP(AH551,A2:D500,4,FALSE))</f>
        <v>#N/A</v>
      </c>
    </row>
    <row r="552" spans="9:35" ht="14" x14ac:dyDescent="0.3">
      <c r="I552" s="60">
        <f>'Generic Metadata Schema'!P682</f>
        <v>0</v>
      </c>
      <c r="J552" s="22" t="e">
        <f>IF(LEN(VLOOKUP(I552,A2:D500,4,FALSE))=0,"",VLOOKUP(I552,A2:D500,4,FALSE))</f>
        <v>#N/A</v>
      </c>
      <c r="L552" s="56">
        <f>'Dose-response Model'!O666</f>
        <v>0</v>
      </c>
      <c r="M552" s="22" t="e">
        <f>IF(LEN(VLOOKUP(L552,A2:D500,4,FALSE))=0,,VLOOKUP(L552,A2:D500,4,FALSE))</f>
        <v>#N/A</v>
      </c>
      <c r="N552" s="22">
        <f>'Exposure Model'!O683</f>
        <v>0</v>
      </c>
      <c r="O552" s="22" t="e">
        <f>IF(LEN(VLOOKUP(N552,A2:D500,4,FALSE))=0,,VLOOKUP(N552,A2:D500,4,FALSE))</f>
        <v>#N/A</v>
      </c>
      <c r="P552" s="56">
        <f>'QRA Models'!Q683</f>
        <v>0</v>
      </c>
      <c r="Q552" s="22" t="e">
        <f>IF(LEN(VLOOKUP(P552,A2:D500,4,FALSE))=0,,VLOOKUP(P552,A2:D500,4,FALSE))</f>
        <v>#N/A</v>
      </c>
      <c r="R552" s="56">
        <f>'Health metrics Models'!Q666</f>
        <v>0</v>
      </c>
      <c r="S552" s="22" t="e">
        <f>IF(LEN(VLOOKUP(R552,A2:D500,4,FALSE))=0,,VLOOKUP(R552,A2:D500,4,FALSE))</f>
        <v>#N/A</v>
      </c>
      <c r="T552" s="56">
        <f>'Process Model'!P664</f>
        <v>0</v>
      </c>
      <c r="U552" s="22" t="e">
        <f>IF(LEN(VLOOKUP(T552,A2:D500,4,FALSE))=0,,VLOOKUP(T552,A2:D500,4,FALSE))</f>
        <v>#N/A</v>
      </c>
      <c r="V552" s="56">
        <f>'Toxicological reference value M'!P666</f>
        <v>0</v>
      </c>
      <c r="W552" s="22" t="e">
        <f>IF(LEN(VLOOKUP(V552,A2:D500,4,FALSE))=0,,VLOOKUP(V552,A2:D500,4,FALSE))</f>
        <v>#N/A</v>
      </c>
      <c r="Y552" s="56">
        <f>'Other Empirical Model'!P677</f>
        <v>0</v>
      </c>
      <c r="Z552" s="22" t="e">
        <f>IF(LEN(VLOOKUP(Y552,A2:D500,4,FALSE))=0,,VLOOKUP(Y552,A2:D500,4,FALSE))</f>
        <v>#N/A</v>
      </c>
      <c r="AA552" s="56">
        <f>'Predictive Model'!P664</f>
        <v>0</v>
      </c>
      <c r="AB552" s="22" t="e">
        <f>IF(LEN(VLOOKUP(AA552,A2:D500,4,FALSE))=0,,VLOOKUP(AA552,A2:D500,4,FALSE))</f>
        <v>#N/A</v>
      </c>
      <c r="AC552" s="56">
        <f>'Consumption Model'!P669</f>
        <v>0</v>
      </c>
      <c r="AD552" s="22" t="e">
        <f>IF(LEN(VLOOKUP(AC552,A2:D500,4,FALSE))=0,,VLOOKUP(AC552,A2:D500,4,FALSE))</f>
        <v>#N/A</v>
      </c>
      <c r="AE552" s="22">
        <f>'(Data)'!Q665</f>
        <v>0</v>
      </c>
      <c r="AF552" s="22" t="e">
        <f>IF(LEN(VLOOKUP(AE551:AE552,A2:D500,4,FALSE))=0,,VLOOKUP(AE551:AE552,A2:D500,4,FALSE))</f>
        <v>#N/A</v>
      </c>
      <c r="AH552" s="45">
        <f>'Risk Charact Model'!P683</f>
        <v>0</v>
      </c>
      <c r="AI552" s="58" t="e">
        <f>IF(LEN(VLOOKUP(AH552,A2:D500,4,FALSE))=0,,VLOOKUP(AH552,A2:D500,4,FALSE))</f>
        <v>#N/A</v>
      </c>
    </row>
    <row r="553" spans="9:35" ht="14" x14ac:dyDescent="0.3">
      <c r="I553" s="60">
        <f>'Generic Metadata Schema'!P683</f>
        <v>0</v>
      </c>
      <c r="J553" s="22" t="e">
        <f>IF(LEN(VLOOKUP(I553,A2:D500,4,FALSE))=0,"",VLOOKUP(I553,A2:D500,4,FALSE))</f>
        <v>#N/A</v>
      </c>
      <c r="L553" s="56">
        <f>'Dose-response Model'!O667</f>
        <v>0</v>
      </c>
      <c r="M553" s="22" t="e">
        <f>IF(LEN(VLOOKUP(L553,A2:D500,4,FALSE))=0,,VLOOKUP(L553,A2:D500,4,FALSE))</f>
        <v>#N/A</v>
      </c>
      <c r="N553" s="22">
        <f>'Exposure Model'!O684</f>
        <v>0</v>
      </c>
      <c r="O553" s="22" t="e">
        <f>IF(LEN(VLOOKUP(N553,A2:D500,4,FALSE))=0,,VLOOKUP(N553,A2:D500,4,FALSE))</f>
        <v>#N/A</v>
      </c>
      <c r="P553" s="56">
        <f>'QRA Models'!Q684</f>
        <v>0</v>
      </c>
      <c r="Q553" s="22" t="e">
        <f>IF(LEN(VLOOKUP(P553,A2:D500,4,FALSE))=0,,VLOOKUP(P553,A2:D500,4,FALSE))</f>
        <v>#N/A</v>
      </c>
      <c r="R553" s="56">
        <f>'Health metrics Models'!Q667</f>
        <v>0</v>
      </c>
      <c r="S553" s="22" t="e">
        <f>IF(LEN(VLOOKUP(R553,A2:D500,4,FALSE))=0,,VLOOKUP(R553,A2:D500,4,FALSE))</f>
        <v>#N/A</v>
      </c>
      <c r="T553" s="56">
        <f>'Process Model'!P665</f>
        <v>0</v>
      </c>
      <c r="U553" s="22" t="e">
        <f>IF(LEN(VLOOKUP(T553,A2:D500,4,FALSE))=0,,VLOOKUP(T553,A2:D500,4,FALSE))</f>
        <v>#N/A</v>
      </c>
      <c r="V553" s="56">
        <f>'Toxicological reference value M'!P667</f>
        <v>0</v>
      </c>
      <c r="W553" s="22" t="e">
        <f>IF(LEN(VLOOKUP(V553,A2:D500,4,FALSE))=0,,VLOOKUP(V553,A2:D500,4,FALSE))</f>
        <v>#N/A</v>
      </c>
      <c r="Y553" s="56">
        <f>'Other Empirical Model'!P678</f>
        <v>0</v>
      </c>
      <c r="Z553" s="22" t="e">
        <f>IF(LEN(VLOOKUP(Y553,A2:D500,4,FALSE))=0,,VLOOKUP(Y553,A2:D500,4,FALSE))</f>
        <v>#N/A</v>
      </c>
      <c r="AA553" s="56">
        <f>'Predictive Model'!P665</f>
        <v>0</v>
      </c>
      <c r="AB553" s="22" t="e">
        <f>IF(LEN(VLOOKUP(AA553,A2:D500,4,FALSE))=0,,VLOOKUP(AA553,A2:D500,4,FALSE))</f>
        <v>#N/A</v>
      </c>
      <c r="AC553" s="56">
        <f>'Consumption Model'!P670</f>
        <v>0</v>
      </c>
      <c r="AD553" s="22" t="e">
        <f>IF(LEN(VLOOKUP(AC553,A2:D500,4,FALSE))=0,,VLOOKUP(AC553,A2:D500,4,FALSE))</f>
        <v>#N/A</v>
      </c>
      <c r="AE553" s="22">
        <f>'(Data)'!Q666</f>
        <v>0</v>
      </c>
      <c r="AF553" s="22" t="e">
        <f>IF(LEN(VLOOKUP(AE552:AE553,A2:D500,4,FALSE))=0,,VLOOKUP(AE552:AE553,A2:D500,4,FALSE))</f>
        <v>#N/A</v>
      </c>
      <c r="AH553" s="45">
        <f>'Risk Charact Model'!P684</f>
        <v>0</v>
      </c>
      <c r="AI553" s="58" t="e">
        <f>IF(LEN(VLOOKUP(AH553,A2:D500,4,FALSE))=0,,VLOOKUP(AH553,A2:D500,4,FALSE))</f>
        <v>#N/A</v>
      </c>
    </row>
    <row r="554" spans="9:35" ht="14" x14ac:dyDescent="0.3">
      <c r="I554" s="60">
        <f>'Generic Metadata Schema'!P684</f>
        <v>0</v>
      </c>
      <c r="J554" s="22" t="e">
        <f>IF(LEN(VLOOKUP(I554,A2:D500,4,FALSE))=0,"",VLOOKUP(I554,A2:D500,4,FALSE))</f>
        <v>#N/A</v>
      </c>
      <c r="L554" s="56">
        <f>'Dose-response Model'!O668</f>
        <v>0</v>
      </c>
      <c r="M554" s="22" t="e">
        <f>IF(LEN(VLOOKUP(L554,A2:D500,4,FALSE))=0,,VLOOKUP(L554,A2:D500,4,FALSE))</f>
        <v>#N/A</v>
      </c>
      <c r="N554" s="22">
        <f>'Exposure Model'!O685</f>
        <v>0</v>
      </c>
      <c r="O554" s="22" t="e">
        <f>IF(LEN(VLOOKUP(N554,A2:D500,4,FALSE))=0,,VLOOKUP(N554,A2:D500,4,FALSE))</f>
        <v>#N/A</v>
      </c>
      <c r="P554" s="56">
        <f>'QRA Models'!Q685</f>
        <v>0</v>
      </c>
      <c r="Q554" s="22" t="e">
        <f>IF(LEN(VLOOKUP(P554,A2:D500,4,FALSE))=0,,VLOOKUP(P554,A2:D500,4,FALSE))</f>
        <v>#N/A</v>
      </c>
      <c r="R554" s="56">
        <f>'Health metrics Models'!Q668</f>
        <v>0</v>
      </c>
      <c r="S554" s="22" t="e">
        <f>IF(LEN(VLOOKUP(R554,A2:D500,4,FALSE))=0,,VLOOKUP(R554,A2:D500,4,FALSE))</f>
        <v>#N/A</v>
      </c>
      <c r="T554" s="56">
        <f>'Process Model'!P666</f>
        <v>0</v>
      </c>
      <c r="U554" s="22" t="e">
        <f>IF(LEN(VLOOKUP(T554,A2:D500,4,FALSE))=0,,VLOOKUP(T554,A2:D500,4,FALSE))</f>
        <v>#N/A</v>
      </c>
      <c r="V554" s="56">
        <f>'Toxicological reference value M'!P668</f>
        <v>0</v>
      </c>
      <c r="W554" s="22" t="e">
        <f>IF(LEN(VLOOKUP(V554,A2:D500,4,FALSE))=0,,VLOOKUP(V554,A2:D500,4,FALSE))</f>
        <v>#N/A</v>
      </c>
      <c r="Y554" s="56">
        <f>'Other Empirical Model'!P679</f>
        <v>0</v>
      </c>
      <c r="Z554" s="22" t="e">
        <f>IF(LEN(VLOOKUP(Y554,A2:D500,4,FALSE))=0,,VLOOKUP(Y554,A2:D500,4,FALSE))</f>
        <v>#N/A</v>
      </c>
      <c r="AA554" s="56">
        <f>'Predictive Model'!P666</f>
        <v>0</v>
      </c>
      <c r="AB554" s="22" t="e">
        <f>IF(LEN(VLOOKUP(AA554,A2:D500,4,FALSE))=0,,VLOOKUP(AA554,A2:D500,4,FALSE))</f>
        <v>#N/A</v>
      </c>
      <c r="AC554" s="56">
        <f>'Consumption Model'!P671</f>
        <v>0</v>
      </c>
      <c r="AD554" s="22" t="e">
        <f>IF(LEN(VLOOKUP(AC554,A2:D500,4,FALSE))=0,,VLOOKUP(AC554,A2:D500,4,FALSE))</f>
        <v>#N/A</v>
      </c>
      <c r="AE554" s="22">
        <f>'(Data)'!Q667</f>
        <v>0</v>
      </c>
      <c r="AF554" s="22" t="e">
        <f>IF(LEN(VLOOKUP(AE553:AE554,A2:D500,4,FALSE))=0,,VLOOKUP(AE553:AE554,A2:D500,4,FALSE))</f>
        <v>#N/A</v>
      </c>
      <c r="AH554" s="45">
        <f>'Risk Charact Model'!P685</f>
        <v>0</v>
      </c>
      <c r="AI554" s="58" t="e">
        <f>IF(LEN(VLOOKUP(AH554,A2:D500,4,FALSE))=0,,VLOOKUP(AH554,A2:D500,4,FALSE))</f>
        <v>#N/A</v>
      </c>
    </row>
    <row r="555" spans="9:35" ht="14" x14ac:dyDescent="0.3">
      <c r="I555" s="60">
        <f>'Generic Metadata Schema'!P685</f>
        <v>0</v>
      </c>
      <c r="J555" s="22" t="e">
        <f>IF(LEN(VLOOKUP(I555,A2:D500,4,FALSE))=0,"",VLOOKUP(I555,A2:D500,4,FALSE))</f>
        <v>#N/A</v>
      </c>
      <c r="L555" s="56">
        <f>'Dose-response Model'!O669</f>
        <v>0</v>
      </c>
      <c r="M555" s="22" t="e">
        <f>IF(LEN(VLOOKUP(L555,A2:D500,4,FALSE))=0,,VLOOKUP(L555,A2:D500,4,FALSE))</f>
        <v>#N/A</v>
      </c>
      <c r="N555" s="22">
        <f>'Exposure Model'!O686</f>
        <v>0</v>
      </c>
      <c r="O555" s="22" t="e">
        <f>IF(LEN(VLOOKUP(N555,A2:D500,4,FALSE))=0,,VLOOKUP(N555,A2:D500,4,FALSE))</f>
        <v>#N/A</v>
      </c>
      <c r="P555" s="56">
        <f>'QRA Models'!Q686</f>
        <v>0</v>
      </c>
      <c r="Q555" s="22" t="e">
        <f>IF(LEN(VLOOKUP(P555,A2:D500,4,FALSE))=0,,VLOOKUP(P555,A2:D500,4,FALSE))</f>
        <v>#N/A</v>
      </c>
      <c r="R555" s="56">
        <f>'Health metrics Models'!Q669</f>
        <v>0</v>
      </c>
      <c r="S555" s="22" t="e">
        <f>IF(LEN(VLOOKUP(R555,A2:D500,4,FALSE))=0,,VLOOKUP(R555,A2:D500,4,FALSE))</f>
        <v>#N/A</v>
      </c>
      <c r="T555" s="56">
        <f>'Process Model'!P667</f>
        <v>0</v>
      </c>
      <c r="U555" s="22" t="e">
        <f>IF(LEN(VLOOKUP(T555,A2:D500,4,FALSE))=0,,VLOOKUP(T555,A2:D500,4,FALSE))</f>
        <v>#N/A</v>
      </c>
      <c r="V555" s="56">
        <f>'Toxicological reference value M'!P669</f>
        <v>0</v>
      </c>
      <c r="W555" s="22" t="e">
        <f>IF(LEN(VLOOKUP(V555,A2:D500,4,FALSE))=0,,VLOOKUP(V555,A2:D500,4,FALSE))</f>
        <v>#N/A</v>
      </c>
      <c r="Y555" s="56">
        <f>'Other Empirical Model'!P680</f>
        <v>0</v>
      </c>
      <c r="Z555" s="22" t="e">
        <f>IF(LEN(VLOOKUP(Y555,A2:D500,4,FALSE))=0,,VLOOKUP(Y555,A2:D500,4,FALSE))</f>
        <v>#N/A</v>
      </c>
      <c r="AA555" s="56">
        <f>'Predictive Model'!P667</f>
        <v>0</v>
      </c>
      <c r="AB555" s="22" t="e">
        <f>IF(LEN(VLOOKUP(AA555,A2:D500,4,FALSE))=0,,VLOOKUP(AA555,A2:D500,4,FALSE))</f>
        <v>#N/A</v>
      </c>
      <c r="AC555" s="56">
        <f>'Consumption Model'!P672</f>
        <v>0</v>
      </c>
      <c r="AD555" s="22" t="e">
        <f>IF(LEN(VLOOKUP(AC555,A2:D500,4,FALSE))=0,,VLOOKUP(AC555,A2:D500,4,FALSE))</f>
        <v>#N/A</v>
      </c>
      <c r="AE555" s="22">
        <f>'(Data)'!Q668</f>
        <v>0</v>
      </c>
      <c r="AF555" s="22" t="e">
        <f>IF(LEN(VLOOKUP(AE554:AE555,A2:D500,4,FALSE))=0,,VLOOKUP(AE554:AE555,A2:D500,4,FALSE))</f>
        <v>#N/A</v>
      </c>
      <c r="AH555" s="45">
        <f>'Risk Charact Model'!P686</f>
        <v>0</v>
      </c>
      <c r="AI555" s="58" t="e">
        <f>IF(LEN(VLOOKUP(AH555,A2:D500,4,FALSE))=0,,VLOOKUP(AH555,A2:D500,4,FALSE))</f>
        <v>#N/A</v>
      </c>
    </row>
    <row r="556" spans="9:35" ht="14" x14ac:dyDescent="0.3">
      <c r="I556" s="60">
        <f>'Generic Metadata Schema'!P686</f>
        <v>0</v>
      </c>
      <c r="J556" s="22" t="e">
        <f>IF(LEN(VLOOKUP(I556,A2:D500,4,FALSE))=0,"",VLOOKUP(I556,A2:D500,4,FALSE))</f>
        <v>#N/A</v>
      </c>
      <c r="L556" s="56">
        <f>'Dose-response Model'!O670</f>
        <v>0</v>
      </c>
      <c r="M556" s="22" t="e">
        <f>IF(LEN(VLOOKUP(L556,A2:D500,4,FALSE))=0,,VLOOKUP(L556,A2:D500,4,FALSE))</f>
        <v>#N/A</v>
      </c>
      <c r="N556" s="22">
        <f>'Exposure Model'!O687</f>
        <v>0</v>
      </c>
      <c r="O556" s="22" t="e">
        <f>IF(LEN(VLOOKUP(N556,A2:D500,4,FALSE))=0,,VLOOKUP(N556,A2:D500,4,FALSE))</f>
        <v>#N/A</v>
      </c>
      <c r="P556" s="56">
        <f>'QRA Models'!Q687</f>
        <v>0</v>
      </c>
      <c r="Q556" s="22" t="e">
        <f>IF(LEN(VLOOKUP(P556,A2:D500,4,FALSE))=0,,VLOOKUP(P556,A2:D500,4,FALSE))</f>
        <v>#N/A</v>
      </c>
      <c r="R556" s="56">
        <f>'Health metrics Models'!Q670</f>
        <v>0</v>
      </c>
      <c r="S556" s="22" t="e">
        <f>IF(LEN(VLOOKUP(R556,A2:D500,4,FALSE))=0,,VLOOKUP(R556,A2:D500,4,FALSE))</f>
        <v>#N/A</v>
      </c>
      <c r="T556" s="56">
        <f>'Process Model'!P668</f>
        <v>0</v>
      </c>
      <c r="U556" s="22" t="e">
        <f>IF(LEN(VLOOKUP(T556,A2:D500,4,FALSE))=0,,VLOOKUP(T556,A2:D500,4,FALSE))</f>
        <v>#N/A</v>
      </c>
      <c r="V556" s="56">
        <f>'Toxicological reference value M'!P670</f>
        <v>0</v>
      </c>
      <c r="W556" s="22" t="e">
        <f>IF(LEN(VLOOKUP(V556,A2:D500,4,FALSE))=0,,VLOOKUP(V556,A2:D500,4,FALSE))</f>
        <v>#N/A</v>
      </c>
      <c r="Y556" s="56">
        <f>'Other Empirical Model'!P681</f>
        <v>0</v>
      </c>
      <c r="Z556" s="22" t="e">
        <f>IF(LEN(VLOOKUP(Y556,A2:D500,4,FALSE))=0,,VLOOKUP(Y556,A2:D500,4,FALSE))</f>
        <v>#N/A</v>
      </c>
      <c r="AA556" s="56">
        <f>'Predictive Model'!P668</f>
        <v>0</v>
      </c>
      <c r="AB556" s="22" t="e">
        <f>IF(LEN(VLOOKUP(AA556,A2:D500,4,FALSE))=0,,VLOOKUP(AA556,A2:D500,4,FALSE))</f>
        <v>#N/A</v>
      </c>
      <c r="AC556" s="56">
        <f>'Consumption Model'!P673</f>
        <v>0</v>
      </c>
      <c r="AD556" s="22" t="e">
        <f>IF(LEN(VLOOKUP(AC556,A2:D500,4,FALSE))=0,,VLOOKUP(AC556,A2:D500,4,FALSE))</f>
        <v>#N/A</v>
      </c>
      <c r="AE556" s="22">
        <f>'(Data)'!Q669</f>
        <v>0</v>
      </c>
      <c r="AF556" s="22" t="e">
        <f>IF(LEN(VLOOKUP(AE555:AE556,A2:D500,4,FALSE))=0,,VLOOKUP(AE555:AE556,A2:D500,4,FALSE))</f>
        <v>#N/A</v>
      </c>
      <c r="AH556" s="45">
        <f>'Risk Charact Model'!P687</f>
        <v>0</v>
      </c>
      <c r="AI556" s="58" t="e">
        <f>IF(LEN(VLOOKUP(AH556,A2:D500,4,FALSE))=0,,VLOOKUP(AH556,A2:D500,4,FALSE))</f>
        <v>#N/A</v>
      </c>
    </row>
    <row r="557" spans="9:35" ht="14" x14ac:dyDescent="0.3">
      <c r="I557" s="60">
        <f>'Generic Metadata Schema'!P687</f>
        <v>0</v>
      </c>
      <c r="J557" s="22" t="e">
        <f>IF(LEN(VLOOKUP(I557,A2:D500,4,FALSE))=0,"",VLOOKUP(I557,A2:D500,4,FALSE))</f>
        <v>#N/A</v>
      </c>
      <c r="L557" s="56">
        <f>'Dose-response Model'!O671</f>
        <v>0</v>
      </c>
      <c r="M557" s="22" t="e">
        <f>IF(LEN(VLOOKUP(L557,A2:D500,4,FALSE))=0,,VLOOKUP(L557,A2:D500,4,FALSE))</f>
        <v>#N/A</v>
      </c>
      <c r="N557" s="22">
        <f>'Exposure Model'!O688</f>
        <v>0</v>
      </c>
      <c r="O557" s="22" t="e">
        <f>IF(LEN(VLOOKUP(N557,A2:D500,4,FALSE))=0,,VLOOKUP(N557,A2:D500,4,FALSE))</f>
        <v>#N/A</v>
      </c>
      <c r="P557" s="56">
        <f>'QRA Models'!Q688</f>
        <v>0</v>
      </c>
      <c r="Q557" s="22" t="e">
        <f>IF(LEN(VLOOKUP(P557,A2:D500,4,FALSE))=0,,VLOOKUP(P557,A2:D500,4,FALSE))</f>
        <v>#N/A</v>
      </c>
      <c r="R557" s="56">
        <f>'Health metrics Models'!Q671</f>
        <v>0</v>
      </c>
      <c r="S557" s="22" t="e">
        <f>IF(LEN(VLOOKUP(R557,A2:D500,4,FALSE))=0,,VLOOKUP(R557,A2:D500,4,FALSE))</f>
        <v>#N/A</v>
      </c>
      <c r="T557" s="56">
        <f>'Process Model'!P669</f>
        <v>0</v>
      </c>
      <c r="U557" s="22" t="e">
        <f>IF(LEN(VLOOKUP(T557,A2:D500,4,FALSE))=0,,VLOOKUP(T557,A2:D500,4,FALSE))</f>
        <v>#N/A</v>
      </c>
      <c r="V557" s="56">
        <f>'Toxicological reference value M'!P671</f>
        <v>0</v>
      </c>
      <c r="W557" s="22" t="e">
        <f>IF(LEN(VLOOKUP(V557,A2:D500,4,FALSE))=0,,VLOOKUP(V557,A2:D500,4,FALSE))</f>
        <v>#N/A</v>
      </c>
      <c r="Y557" s="56">
        <f>'Other Empirical Model'!P682</f>
        <v>0</v>
      </c>
      <c r="Z557" s="22" t="e">
        <f>IF(LEN(VLOOKUP(Y557,A2:D500,4,FALSE))=0,,VLOOKUP(Y557,A2:D500,4,FALSE))</f>
        <v>#N/A</v>
      </c>
      <c r="AA557" s="56">
        <f>'Predictive Model'!P669</f>
        <v>0</v>
      </c>
      <c r="AB557" s="22" t="e">
        <f>IF(LEN(VLOOKUP(AA557,A2:D500,4,FALSE))=0,,VLOOKUP(AA557,A2:D500,4,FALSE))</f>
        <v>#N/A</v>
      </c>
      <c r="AC557" s="56">
        <f>'Consumption Model'!P674</f>
        <v>0</v>
      </c>
      <c r="AD557" s="22" t="e">
        <f>IF(LEN(VLOOKUP(AC557,A2:D500,4,FALSE))=0,,VLOOKUP(AC557,A2:D500,4,FALSE))</f>
        <v>#N/A</v>
      </c>
      <c r="AE557" s="22">
        <f>'(Data)'!Q670</f>
        <v>0</v>
      </c>
      <c r="AF557" s="22" t="e">
        <f>IF(LEN(VLOOKUP(AE556:AE557,A2:D500,4,FALSE))=0,,VLOOKUP(AE556:AE557,A2:D500,4,FALSE))</f>
        <v>#N/A</v>
      </c>
      <c r="AH557" s="45">
        <f>'Risk Charact Model'!P688</f>
        <v>0</v>
      </c>
      <c r="AI557" s="58" t="e">
        <f>IF(LEN(VLOOKUP(AH557,A2:D500,4,FALSE))=0,,VLOOKUP(AH557,A2:D500,4,FALSE))</f>
        <v>#N/A</v>
      </c>
    </row>
    <row r="558" spans="9:35" ht="14" x14ac:dyDescent="0.3">
      <c r="I558" s="60">
        <f>'Generic Metadata Schema'!P688</f>
        <v>0</v>
      </c>
      <c r="J558" s="22" t="e">
        <f>IF(LEN(VLOOKUP(I558,A2:D500,4,FALSE))=0,"",VLOOKUP(I558,A2:D500,4,FALSE))</f>
        <v>#N/A</v>
      </c>
      <c r="L558" s="56">
        <f>'Dose-response Model'!O672</f>
        <v>0</v>
      </c>
      <c r="M558" s="22" t="e">
        <f>IF(LEN(VLOOKUP(L558,A2:D500,4,FALSE))=0,,VLOOKUP(L558,A2:D500,4,FALSE))</f>
        <v>#N/A</v>
      </c>
      <c r="N558" s="22">
        <f>'Exposure Model'!O689</f>
        <v>0</v>
      </c>
      <c r="O558" s="22" t="e">
        <f>IF(LEN(VLOOKUP(N558,A2:D500,4,FALSE))=0,,VLOOKUP(N558,A2:D500,4,FALSE))</f>
        <v>#N/A</v>
      </c>
      <c r="P558" s="56">
        <f>'QRA Models'!Q689</f>
        <v>0</v>
      </c>
      <c r="Q558" s="22" t="e">
        <f>IF(LEN(VLOOKUP(P558,A2:D500,4,FALSE))=0,,VLOOKUP(P558,A2:D500,4,FALSE))</f>
        <v>#N/A</v>
      </c>
      <c r="R558" s="56">
        <f>'Health metrics Models'!Q672</f>
        <v>0</v>
      </c>
      <c r="S558" s="22" t="e">
        <f>IF(LEN(VLOOKUP(R558,A2:D500,4,FALSE))=0,,VLOOKUP(R558,A2:D500,4,FALSE))</f>
        <v>#N/A</v>
      </c>
      <c r="T558" s="56">
        <f>'Process Model'!P670</f>
        <v>0</v>
      </c>
      <c r="U558" s="22" t="e">
        <f>IF(LEN(VLOOKUP(T558,A2:D500,4,FALSE))=0,,VLOOKUP(T558,A2:D500,4,FALSE))</f>
        <v>#N/A</v>
      </c>
      <c r="V558" s="56">
        <f>'Toxicological reference value M'!P672</f>
        <v>0</v>
      </c>
      <c r="W558" s="22" t="e">
        <f>IF(LEN(VLOOKUP(V558,A2:D500,4,FALSE))=0,,VLOOKUP(V558,A2:D500,4,FALSE))</f>
        <v>#N/A</v>
      </c>
      <c r="Y558" s="56">
        <f>'Other Empirical Model'!P683</f>
        <v>0</v>
      </c>
      <c r="Z558" s="22" t="e">
        <f>IF(LEN(VLOOKUP(Y558,A2:D500,4,FALSE))=0,,VLOOKUP(Y558,A2:D500,4,FALSE))</f>
        <v>#N/A</v>
      </c>
      <c r="AA558" s="56">
        <f>'Predictive Model'!P670</f>
        <v>0</v>
      </c>
      <c r="AB558" s="22" t="e">
        <f>IF(LEN(VLOOKUP(AA558,A2:D500,4,FALSE))=0,,VLOOKUP(AA558,A2:D500,4,FALSE))</f>
        <v>#N/A</v>
      </c>
      <c r="AC558" s="56">
        <f>'Consumption Model'!P675</f>
        <v>0</v>
      </c>
      <c r="AD558" s="22" t="e">
        <f>IF(LEN(VLOOKUP(AC558,A2:D500,4,FALSE))=0,,VLOOKUP(AC558,A2:D500,4,FALSE))</f>
        <v>#N/A</v>
      </c>
      <c r="AE558" s="22">
        <f>'(Data)'!Q671</f>
        <v>0</v>
      </c>
      <c r="AF558" s="22" t="e">
        <f>IF(LEN(VLOOKUP(AE557:AE558,A2:D500,4,FALSE))=0,,VLOOKUP(AE557:AE558,A2:D500,4,FALSE))</f>
        <v>#N/A</v>
      </c>
      <c r="AH558" s="45">
        <f>'Risk Charact Model'!P689</f>
        <v>0</v>
      </c>
      <c r="AI558" s="58" t="e">
        <f>IF(LEN(VLOOKUP(AH558,A2:D500,4,FALSE))=0,,VLOOKUP(AH558,A2:D500,4,FALSE))</f>
        <v>#N/A</v>
      </c>
    </row>
    <row r="559" spans="9:35" ht="14" x14ac:dyDescent="0.3">
      <c r="I559" s="60">
        <f>'Generic Metadata Schema'!P689</f>
        <v>0</v>
      </c>
      <c r="J559" s="22" t="e">
        <f>IF(LEN(VLOOKUP(I559,A2:D500,4,FALSE))=0,"",VLOOKUP(I559,A2:D500,4,FALSE))</f>
        <v>#N/A</v>
      </c>
      <c r="L559" s="56">
        <f>'Dose-response Model'!O673</f>
        <v>0</v>
      </c>
      <c r="M559" s="22" t="e">
        <f>IF(LEN(VLOOKUP(L559,A2:D500,4,FALSE))=0,,VLOOKUP(L559,A2:D500,4,FALSE))</f>
        <v>#N/A</v>
      </c>
      <c r="N559" s="22">
        <f>'Exposure Model'!O690</f>
        <v>0</v>
      </c>
      <c r="O559" s="22" t="e">
        <f>IF(LEN(VLOOKUP(N559,A2:D500,4,FALSE))=0,,VLOOKUP(N559,A2:D500,4,FALSE))</f>
        <v>#N/A</v>
      </c>
      <c r="P559" s="56">
        <f>'QRA Models'!Q690</f>
        <v>0</v>
      </c>
      <c r="Q559" s="22" t="e">
        <f>IF(LEN(VLOOKUP(P559,A2:D500,4,FALSE))=0,,VLOOKUP(P559,A2:D500,4,FALSE))</f>
        <v>#N/A</v>
      </c>
      <c r="R559" s="56">
        <f>'Health metrics Models'!Q673</f>
        <v>0</v>
      </c>
      <c r="S559" s="22" t="e">
        <f>IF(LEN(VLOOKUP(R559,A2:D500,4,FALSE))=0,,VLOOKUP(R559,A2:D500,4,FALSE))</f>
        <v>#N/A</v>
      </c>
      <c r="T559" s="56">
        <f>'Process Model'!P671</f>
        <v>0</v>
      </c>
      <c r="U559" s="22" t="e">
        <f>IF(LEN(VLOOKUP(T559,A2:D500,4,FALSE))=0,,VLOOKUP(T559,A2:D500,4,FALSE))</f>
        <v>#N/A</v>
      </c>
      <c r="V559" s="56">
        <f>'Toxicological reference value M'!P673</f>
        <v>0</v>
      </c>
      <c r="W559" s="22" t="e">
        <f>IF(LEN(VLOOKUP(V559,A2:D500,4,FALSE))=0,,VLOOKUP(V559,A2:D500,4,FALSE))</f>
        <v>#N/A</v>
      </c>
      <c r="Y559" s="56">
        <f>'Other Empirical Model'!P684</f>
        <v>0</v>
      </c>
      <c r="Z559" s="22" t="e">
        <f>IF(LEN(VLOOKUP(Y559,A2:D500,4,FALSE))=0,,VLOOKUP(Y559,A2:D500,4,FALSE))</f>
        <v>#N/A</v>
      </c>
      <c r="AA559" s="56">
        <f>'Predictive Model'!P671</f>
        <v>0</v>
      </c>
      <c r="AB559" s="22" t="e">
        <f>IF(LEN(VLOOKUP(AA559,A2:D500,4,FALSE))=0,,VLOOKUP(AA559,A2:D500,4,FALSE))</f>
        <v>#N/A</v>
      </c>
      <c r="AC559" s="56">
        <f>'Consumption Model'!P676</f>
        <v>0</v>
      </c>
      <c r="AD559" s="22" t="e">
        <f>IF(LEN(VLOOKUP(AC559,A2:D500,4,FALSE))=0,,VLOOKUP(AC559,A2:D500,4,FALSE))</f>
        <v>#N/A</v>
      </c>
      <c r="AE559" s="22">
        <f>'(Data)'!Q672</f>
        <v>0</v>
      </c>
      <c r="AF559" s="22" t="e">
        <f>IF(LEN(VLOOKUP(AE558:AE559,A2:D500,4,FALSE))=0,,VLOOKUP(AE558:AE559,A2:D500,4,FALSE))</f>
        <v>#N/A</v>
      </c>
      <c r="AH559" s="45">
        <f>'Risk Charact Model'!P690</f>
        <v>0</v>
      </c>
      <c r="AI559" s="58" t="e">
        <f>IF(LEN(VLOOKUP(AH559,A2:D500,4,FALSE))=0,,VLOOKUP(AH559,A2:D500,4,FALSE))</f>
        <v>#N/A</v>
      </c>
    </row>
    <row r="560" spans="9:35" ht="14" x14ac:dyDescent="0.3">
      <c r="I560" s="60">
        <f>'Generic Metadata Schema'!P690</f>
        <v>0</v>
      </c>
      <c r="J560" s="22" t="e">
        <f>IF(LEN(VLOOKUP(I560,A2:D500,4,FALSE))=0,"",VLOOKUP(I560,A2:D500,4,FALSE))</f>
        <v>#N/A</v>
      </c>
      <c r="L560" s="56">
        <f>'Dose-response Model'!O674</f>
        <v>0</v>
      </c>
      <c r="M560" s="22" t="e">
        <f>IF(LEN(VLOOKUP(L560,A2:D500,4,FALSE))=0,,VLOOKUP(L560,A2:D500,4,FALSE))</f>
        <v>#N/A</v>
      </c>
      <c r="N560" s="22">
        <f>'Exposure Model'!O691</f>
        <v>0</v>
      </c>
      <c r="O560" s="22" t="e">
        <f>IF(LEN(VLOOKUP(N560,A2:D500,4,FALSE))=0,,VLOOKUP(N560,A2:D500,4,FALSE))</f>
        <v>#N/A</v>
      </c>
      <c r="P560" s="56">
        <f>'QRA Models'!Q691</f>
        <v>0</v>
      </c>
      <c r="Q560" s="22" t="e">
        <f>IF(LEN(VLOOKUP(P560,A2:D500,4,FALSE))=0,,VLOOKUP(P560,A2:D500,4,FALSE))</f>
        <v>#N/A</v>
      </c>
      <c r="R560" s="56">
        <f>'Health metrics Models'!Q674</f>
        <v>0</v>
      </c>
      <c r="S560" s="22" t="e">
        <f>IF(LEN(VLOOKUP(R560,A2:D500,4,FALSE))=0,,VLOOKUP(R560,A2:D500,4,FALSE))</f>
        <v>#N/A</v>
      </c>
      <c r="T560" s="56">
        <f>'Process Model'!P672</f>
        <v>0</v>
      </c>
      <c r="U560" s="22" t="e">
        <f>IF(LEN(VLOOKUP(T560,A2:D500,4,FALSE))=0,,VLOOKUP(T560,A2:D500,4,FALSE))</f>
        <v>#N/A</v>
      </c>
      <c r="V560" s="56">
        <f>'Toxicological reference value M'!P674</f>
        <v>0</v>
      </c>
      <c r="W560" s="22" t="e">
        <f>IF(LEN(VLOOKUP(V560,A2:D500,4,FALSE))=0,,VLOOKUP(V560,A2:D500,4,FALSE))</f>
        <v>#N/A</v>
      </c>
      <c r="Y560" s="56">
        <f>'Other Empirical Model'!P685</f>
        <v>0</v>
      </c>
      <c r="Z560" s="22" t="e">
        <f>IF(LEN(VLOOKUP(Y560,A2:D500,4,FALSE))=0,,VLOOKUP(Y560,A2:D500,4,FALSE))</f>
        <v>#N/A</v>
      </c>
      <c r="AA560" s="56">
        <f>'Predictive Model'!P672</f>
        <v>0</v>
      </c>
      <c r="AB560" s="22" t="e">
        <f>IF(LEN(VLOOKUP(AA560,A2:D500,4,FALSE))=0,,VLOOKUP(AA560,A2:D500,4,FALSE))</f>
        <v>#N/A</v>
      </c>
      <c r="AC560" s="56">
        <f>'Consumption Model'!P677</f>
        <v>0</v>
      </c>
      <c r="AD560" s="22" t="e">
        <f>IF(LEN(VLOOKUP(AC560,A2:D500,4,FALSE))=0,,VLOOKUP(AC560,A2:D500,4,FALSE))</f>
        <v>#N/A</v>
      </c>
      <c r="AE560" s="22">
        <f>'(Data)'!Q673</f>
        <v>0</v>
      </c>
      <c r="AF560" s="22" t="e">
        <f>IF(LEN(VLOOKUP(AE559:AE560,A2:D500,4,FALSE))=0,,VLOOKUP(AE559:AE560,A2:D500,4,FALSE))</f>
        <v>#N/A</v>
      </c>
      <c r="AH560" s="45">
        <f>'Risk Charact Model'!P691</f>
        <v>0</v>
      </c>
      <c r="AI560" s="58" t="e">
        <f>IF(LEN(VLOOKUP(AH560,A2:D500,4,FALSE))=0,,VLOOKUP(AH560,A2:D500,4,FALSE))</f>
        <v>#N/A</v>
      </c>
    </row>
    <row r="561" spans="9:35" ht="14" x14ac:dyDescent="0.3">
      <c r="I561" s="60">
        <f>'Generic Metadata Schema'!P691</f>
        <v>0</v>
      </c>
      <c r="J561" s="22" t="e">
        <f>IF(LEN(VLOOKUP(I561,A2:D500,4,FALSE))=0,"",VLOOKUP(I561,A2:D500,4,FALSE))</f>
        <v>#N/A</v>
      </c>
      <c r="L561" s="56">
        <f>'Dose-response Model'!O675</f>
        <v>0</v>
      </c>
      <c r="M561" s="22" t="e">
        <f>IF(LEN(VLOOKUP(L561,A2:D500,4,FALSE))=0,,VLOOKUP(L561,A2:D500,4,FALSE))</f>
        <v>#N/A</v>
      </c>
      <c r="N561" s="22">
        <f>'Exposure Model'!O692</f>
        <v>0</v>
      </c>
      <c r="O561" s="22" t="e">
        <f>IF(LEN(VLOOKUP(N561,A2:D500,4,FALSE))=0,,VLOOKUP(N561,A2:D500,4,FALSE))</f>
        <v>#N/A</v>
      </c>
      <c r="P561" s="56">
        <f>'QRA Models'!Q692</f>
        <v>0</v>
      </c>
      <c r="Q561" s="22" t="e">
        <f>IF(LEN(VLOOKUP(P561,A2:D500,4,FALSE))=0,,VLOOKUP(P561,A2:D500,4,FALSE))</f>
        <v>#N/A</v>
      </c>
      <c r="R561" s="56">
        <f>'Health metrics Models'!Q675</f>
        <v>0</v>
      </c>
      <c r="S561" s="22" t="e">
        <f>IF(LEN(VLOOKUP(R561,A2:D500,4,FALSE))=0,,VLOOKUP(R561,A2:D500,4,FALSE))</f>
        <v>#N/A</v>
      </c>
      <c r="T561" s="56">
        <f>'Process Model'!P673</f>
        <v>0</v>
      </c>
      <c r="U561" s="22" t="e">
        <f>IF(LEN(VLOOKUP(T561,A2:D500,4,FALSE))=0,,VLOOKUP(T561,A2:D500,4,FALSE))</f>
        <v>#N/A</v>
      </c>
      <c r="V561" s="56">
        <f>'Toxicological reference value M'!P675</f>
        <v>0</v>
      </c>
      <c r="W561" s="22" t="e">
        <f>IF(LEN(VLOOKUP(V561,A2:D500,4,FALSE))=0,,VLOOKUP(V561,A2:D500,4,FALSE))</f>
        <v>#N/A</v>
      </c>
      <c r="Y561" s="56">
        <f>'Other Empirical Model'!P686</f>
        <v>0</v>
      </c>
      <c r="Z561" s="22" t="e">
        <f>IF(LEN(VLOOKUP(Y561,A2:D500,4,FALSE))=0,,VLOOKUP(Y561,A2:D500,4,FALSE))</f>
        <v>#N/A</v>
      </c>
      <c r="AA561" s="56">
        <f>'Predictive Model'!P673</f>
        <v>0</v>
      </c>
      <c r="AB561" s="22" t="e">
        <f>IF(LEN(VLOOKUP(AA561,A2:D500,4,FALSE))=0,,VLOOKUP(AA561,A2:D500,4,FALSE))</f>
        <v>#N/A</v>
      </c>
      <c r="AC561" s="56">
        <f>'Consumption Model'!P678</f>
        <v>0</v>
      </c>
      <c r="AD561" s="22" t="e">
        <f>IF(LEN(VLOOKUP(AC561,A2:D500,4,FALSE))=0,,VLOOKUP(AC561,A2:D500,4,FALSE))</f>
        <v>#N/A</v>
      </c>
      <c r="AE561" s="22">
        <f>'(Data)'!Q674</f>
        <v>0</v>
      </c>
      <c r="AF561" s="22" t="e">
        <f>IF(LEN(VLOOKUP(AE560:AE561,A2:D500,4,FALSE))=0,,VLOOKUP(AE560:AE561,A2:D500,4,FALSE))</f>
        <v>#N/A</v>
      </c>
      <c r="AH561" s="45">
        <f>'Risk Charact Model'!P692</f>
        <v>0</v>
      </c>
      <c r="AI561" s="58" t="e">
        <f>IF(LEN(VLOOKUP(AH561,A2:D500,4,FALSE))=0,,VLOOKUP(AH561,A2:D500,4,FALSE))</f>
        <v>#N/A</v>
      </c>
    </row>
    <row r="562" spans="9:35" ht="14" x14ac:dyDescent="0.3">
      <c r="I562" s="60">
        <f>'Generic Metadata Schema'!P692</f>
        <v>0</v>
      </c>
      <c r="J562" s="22" t="e">
        <f>IF(LEN(VLOOKUP(I562,A2:D500,4,FALSE))=0,"",VLOOKUP(I562,A2:D500,4,FALSE))</f>
        <v>#N/A</v>
      </c>
      <c r="L562" s="56">
        <f>'Dose-response Model'!O676</f>
        <v>0</v>
      </c>
      <c r="M562" s="22" t="e">
        <f>IF(LEN(VLOOKUP(L562,A2:D500,4,FALSE))=0,,VLOOKUP(L562,A2:D500,4,FALSE))</f>
        <v>#N/A</v>
      </c>
      <c r="N562" s="22">
        <f>'Exposure Model'!O693</f>
        <v>0</v>
      </c>
      <c r="O562" s="22" t="e">
        <f>IF(LEN(VLOOKUP(N562,A2:D500,4,FALSE))=0,,VLOOKUP(N562,A2:D500,4,FALSE))</f>
        <v>#N/A</v>
      </c>
      <c r="P562" s="56">
        <f>'QRA Models'!Q693</f>
        <v>0</v>
      </c>
      <c r="Q562" s="22" t="e">
        <f>IF(LEN(VLOOKUP(P562,A2:D500,4,FALSE))=0,,VLOOKUP(P562,A2:D500,4,FALSE))</f>
        <v>#N/A</v>
      </c>
      <c r="R562" s="56">
        <f>'Health metrics Models'!Q676</f>
        <v>0</v>
      </c>
      <c r="S562" s="22" t="e">
        <f>IF(LEN(VLOOKUP(R562,A2:D500,4,FALSE))=0,,VLOOKUP(R562,A2:D500,4,FALSE))</f>
        <v>#N/A</v>
      </c>
      <c r="T562" s="56">
        <f>'Process Model'!P674</f>
        <v>0</v>
      </c>
      <c r="U562" s="22" t="e">
        <f>IF(LEN(VLOOKUP(T562,A2:D500,4,FALSE))=0,,VLOOKUP(T562,A2:D500,4,FALSE))</f>
        <v>#N/A</v>
      </c>
      <c r="V562" s="56">
        <f>'Toxicological reference value M'!P676</f>
        <v>0</v>
      </c>
      <c r="W562" s="22" t="e">
        <f>IF(LEN(VLOOKUP(V562,A2:D500,4,FALSE))=0,,VLOOKUP(V562,A2:D500,4,FALSE))</f>
        <v>#N/A</v>
      </c>
      <c r="Y562" s="56">
        <f>'Other Empirical Model'!P687</f>
        <v>0</v>
      </c>
      <c r="Z562" s="22" t="e">
        <f>IF(LEN(VLOOKUP(Y562,A2:D500,4,FALSE))=0,,VLOOKUP(Y562,A2:D500,4,FALSE))</f>
        <v>#N/A</v>
      </c>
      <c r="AA562" s="56">
        <f>'Predictive Model'!P674</f>
        <v>0</v>
      </c>
      <c r="AB562" s="22" t="e">
        <f>IF(LEN(VLOOKUP(AA562,A2:D500,4,FALSE))=0,,VLOOKUP(AA562,A2:D500,4,FALSE))</f>
        <v>#N/A</v>
      </c>
      <c r="AC562" s="56">
        <f>'Consumption Model'!P679</f>
        <v>0</v>
      </c>
      <c r="AD562" s="22" t="e">
        <f>IF(LEN(VLOOKUP(AC562,A2:D500,4,FALSE))=0,,VLOOKUP(AC562,A2:D500,4,FALSE))</f>
        <v>#N/A</v>
      </c>
      <c r="AE562" s="22">
        <f>'(Data)'!Q675</f>
        <v>0</v>
      </c>
      <c r="AF562" s="22" t="e">
        <f>IF(LEN(VLOOKUP(AE561:AE562,A2:D500,4,FALSE))=0,,VLOOKUP(AE561:AE562,A2:D500,4,FALSE))</f>
        <v>#N/A</v>
      </c>
      <c r="AH562" s="45">
        <f>'Risk Charact Model'!P693</f>
        <v>0</v>
      </c>
      <c r="AI562" s="58" t="e">
        <f>IF(LEN(VLOOKUP(AH562,A2:D500,4,FALSE))=0,,VLOOKUP(AH562,A2:D500,4,FALSE))</f>
        <v>#N/A</v>
      </c>
    </row>
    <row r="563" spans="9:35" ht="14" x14ac:dyDescent="0.3">
      <c r="I563" s="60">
        <f>'Generic Metadata Schema'!P693</f>
        <v>0</v>
      </c>
      <c r="J563" s="22" t="e">
        <f>IF(LEN(VLOOKUP(I563,A2:D500,4,FALSE))=0,"",VLOOKUP(I563,A2:D500,4,FALSE))</f>
        <v>#N/A</v>
      </c>
      <c r="L563" s="56">
        <f>'Dose-response Model'!O677</f>
        <v>0</v>
      </c>
      <c r="M563" s="22" t="e">
        <f>IF(LEN(VLOOKUP(L563,A2:D500,4,FALSE))=0,,VLOOKUP(L563,A2:D500,4,FALSE))</f>
        <v>#N/A</v>
      </c>
      <c r="N563" s="22">
        <f>'Exposure Model'!O694</f>
        <v>0</v>
      </c>
      <c r="O563" s="22" t="e">
        <f>IF(LEN(VLOOKUP(N563,A2:D500,4,FALSE))=0,,VLOOKUP(N563,A2:D500,4,FALSE))</f>
        <v>#N/A</v>
      </c>
      <c r="P563" s="56">
        <f>'QRA Models'!Q694</f>
        <v>0</v>
      </c>
      <c r="Q563" s="22" t="e">
        <f>IF(LEN(VLOOKUP(P563,A2:D500,4,FALSE))=0,,VLOOKUP(P563,A2:D500,4,FALSE))</f>
        <v>#N/A</v>
      </c>
      <c r="R563" s="56">
        <f>'Health metrics Models'!Q677</f>
        <v>0</v>
      </c>
      <c r="S563" s="22" t="e">
        <f>IF(LEN(VLOOKUP(R563,A2:D500,4,FALSE))=0,,VLOOKUP(R563,A2:D500,4,FALSE))</f>
        <v>#N/A</v>
      </c>
      <c r="T563" s="56">
        <f>'Process Model'!P675</f>
        <v>0</v>
      </c>
      <c r="U563" s="22" t="e">
        <f>IF(LEN(VLOOKUP(T563,A2:D500,4,FALSE))=0,,VLOOKUP(T563,A2:D500,4,FALSE))</f>
        <v>#N/A</v>
      </c>
      <c r="V563" s="56">
        <f>'Toxicological reference value M'!P677</f>
        <v>0</v>
      </c>
      <c r="W563" s="22" t="e">
        <f>IF(LEN(VLOOKUP(V563,A2:D500,4,FALSE))=0,,VLOOKUP(V563,A2:D500,4,FALSE))</f>
        <v>#N/A</v>
      </c>
      <c r="Y563" s="56">
        <f>'Other Empirical Model'!P688</f>
        <v>0</v>
      </c>
      <c r="Z563" s="22" t="e">
        <f>IF(LEN(VLOOKUP(Y563,A2:D500,4,FALSE))=0,,VLOOKUP(Y563,A2:D500,4,FALSE))</f>
        <v>#N/A</v>
      </c>
      <c r="AA563" s="56">
        <f>'Predictive Model'!P675</f>
        <v>0</v>
      </c>
      <c r="AB563" s="22" t="e">
        <f>IF(LEN(VLOOKUP(AA563,A2:D500,4,FALSE))=0,,VLOOKUP(AA563,A2:D500,4,FALSE))</f>
        <v>#N/A</v>
      </c>
      <c r="AC563" s="56">
        <f>'Consumption Model'!P680</f>
        <v>0</v>
      </c>
      <c r="AD563" s="22" t="e">
        <f>IF(LEN(VLOOKUP(AC563,A2:D500,4,FALSE))=0,,VLOOKUP(AC563,A2:D500,4,FALSE))</f>
        <v>#N/A</v>
      </c>
      <c r="AE563" s="22">
        <f>'(Data)'!Q676</f>
        <v>0</v>
      </c>
      <c r="AF563" s="22" t="e">
        <f>IF(LEN(VLOOKUP(AE562:AE563,A2:D500,4,FALSE))=0,,VLOOKUP(AE562:AE563,A2:D500,4,FALSE))</f>
        <v>#N/A</v>
      </c>
      <c r="AH563" s="45">
        <f>'Risk Charact Model'!P694</f>
        <v>0</v>
      </c>
      <c r="AI563" s="58" t="e">
        <f>IF(LEN(VLOOKUP(AH563,A2:D500,4,FALSE))=0,,VLOOKUP(AH563,A2:D500,4,FALSE))</f>
        <v>#N/A</v>
      </c>
    </row>
    <row r="564" spans="9:35" ht="14" x14ac:dyDescent="0.3">
      <c r="I564" s="60">
        <f>'Generic Metadata Schema'!P694</f>
        <v>0</v>
      </c>
      <c r="J564" s="22" t="e">
        <f>IF(LEN(VLOOKUP(I564,A2:D500,4,FALSE))=0,"",VLOOKUP(I564,A2:D500,4,FALSE))</f>
        <v>#N/A</v>
      </c>
      <c r="L564" s="56">
        <f>'Dose-response Model'!O678</f>
        <v>0</v>
      </c>
      <c r="M564" s="22" t="e">
        <f>IF(LEN(VLOOKUP(L564,A2:D500,4,FALSE))=0,,VLOOKUP(L564,A2:D500,4,FALSE))</f>
        <v>#N/A</v>
      </c>
      <c r="N564" s="22">
        <f>'Exposure Model'!O695</f>
        <v>0</v>
      </c>
      <c r="O564" s="22" t="e">
        <f>IF(LEN(VLOOKUP(N564,A2:D500,4,FALSE))=0,,VLOOKUP(N564,A2:D500,4,FALSE))</f>
        <v>#N/A</v>
      </c>
      <c r="P564" s="56">
        <f>'QRA Models'!Q695</f>
        <v>0</v>
      </c>
      <c r="Q564" s="22" t="e">
        <f>IF(LEN(VLOOKUP(P564,A2:D500,4,FALSE))=0,,VLOOKUP(P564,A2:D500,4,FALSE))</f>
        <v>#N/A</v>
      </c>
      <c r="R564" s="56">
        <f>'Health metrics Models'!Q678</f>
        <v>0</v>
      </c>
      <c r="S564" s="22" t="e">
        <f>IF(LEN(VLOOKUP(R564,A2:D500,4,FALSE))=0,,VLOOKUP(R564,A2:D500,4,FALSE))</f>
        <v>#N/A</v>
      </c>
      <c r="T564" s="56">
        <f>'Process Model'!P676</f>
        <v>0</v>
      </c>
      <c r="U564" s="22" t="e">
        <f>IF(LEN(VLOOKUP(T564,A2:D500,4,FALSE))=0,,VLOOKUP(T564,A2:D500,4,FALSE))</f>
        <v>#N/A</v>
      </c>
      <c r="V564" s="56">
        <f>'Toxicological reference value M'!P678</f>
        <v>0</v>
      </c>
      <c r="W564" s="22" t="e">
        <f>IF(LEN(VLOOKUP(V564,A2:D500,4,FALSE))=0,,VLOOKUP(V564,A2:D500,4,FALSE))</f>
        <v>#N/A</v>
      </c>
      <c r="Y564" s="56">
        <f>'Other Empirical Model'!P689</f>
        <v>0</v>
      </c>
      <c r="Z564" s="22" t="e">
        <f>IF(LEN(VLOOKUP(Y564,A2:D500,4,FALSE))=0,,VLOOKUP(Y564,A2:D500,4,FALSE))</f>
        <v>#N/A</v>
      </c>
      <c r="AA564" s="56">
        <f>'Predictive Model'!P676</f>
        <v>0</v>
      </c>
      <c r="AB564" s="22" t="e">
        <f>IF(LEN(VLOOKUP(AA564,A2:D500,4,FALSE))=0,,VLOOKUP(AA564,A2:D500,4,FALSE))</f>
        <v>#N/A</v>
      </c>
      <c r="AC564" s="56">
        <f>'Consumption Model'!P681</f>
        <v>0</v>
      </c>
      <c r="AD564" s="22" t="e">
        <f>IF(LEN(VLOOKUP(AC564,A2:D500,4,FALSE))=0,,VLOOKUP(AC564,A2:D500,4,FALSE))</f>
        <v>#N/A</v>
      </c>
      <c r="AE564" s="22">
        <f>'(Data)'!Q677</f>
        <v>0</v>
      </c>
      <c r="AF564" s="22" t="e">
        <f>IF(LEN(VLOOKUP(AE563:AE564,A2:D500,4,FALSE))=0,,VLOOKUP(AE563:AE564,A2:D500,4,FALSE))</f>
        <v>#N/A</v>
      </c>
      <c r="AH564" s="45">
        <f>'Risk Charact Model'!P695</f>
        <v>0</v>
      </c>
      <c r="AI564" s="58" t="e">
        <f>IF(LEN(VLOOKUP(AH564,A2:D500,4,FALSE))=0,,VLOOKUP(AH564,A2:D500,4,FALSE))</f>
        <v>#N/A</v>
      </c>
    </row>
    <row r="565" spans="9:35" ht="14" x14ac:dyDescent="0.3">
      <c r="I565" s="60">
        <f>'Generic Metadata Schema'!P695</f>
        <v>0</v>
      </c>
      <c r="J565" s="22" t="e">
        <f>IF(LEN(VLOOKUP(I565,A2:D500,4,FALSE))=0,"",VLOOKUP(I565,A2:D500,4,FALSE))</f>
        <v>#N/A</v>
      </c>
      <c r="L565" s="56">
        <f>'Dose-response Model'!O679</f>
        <v>0</v>
      </c>
      <c r="M565" s="22" t="e">
        <f>IF(LEN(VLOOKUP(L565,A2:D500,4,FALSE))=0,,VLOOKUP(L565,A2:D500,4,FALSE))</f>
        <v>#N/A</v>
      </c>
      <c r="N565" s="22">
        <f>'Exposure Model'!O696</f>
        <v>0</v>
      </c>
      <c r="O565" s="22" t="e">
        <f>IF(LEN(VLOOKUP(N565,A2:D500,4,FALSE))=0,,VLOOKUP(N565,A2:D500,4,FALSE))</f>
        <v>#N/A</v>
      </c>
      <c r="P565" s="56">
        <f>'QRA Models'!Q696</f>
        <v>0</v>
      </c>
      <c r="Q565" s="22" t="e">
        <f>IF(LEN(VLOOKUP(P565,A2:D500,4,FALSE))=0,,VLOOKUP(P565,A2:D500,4,FALSE))</f>
        <v>#N/A</v>
      </c>
      <c r="R565" s="56">
        <f>'Health metrics Models'!Q679</f>
        <v>0</v>
      </c>
      <c r="S565" s="22" t="e">
        <f>IF(LEN(VLOOKUP(R565,A2:D500,4,FALSE))=0,,VLOOKUP(R565,A2:D500,4,FALSE))</f>
        <v>#N/A</v>
      </c>
      <c r="T565" s="56">
        <f>'Process Model'!P677</f>
        <v>0</v>
      </c>
      <c r="U565" s="22" t="e">
        <f>IF(LEN(VLOOKUP(T565,A2:D500,4,FALSE))=0,,VLOOKUP(T565,A2:D500,4,FALSE))</f>
        <v>#N/A</v>
      </c>
      <c r="V565" s="56">
        <f>'Toxicological reference value M'!P679</f>
        <v>0</v>
      </c>
      <c r="W565" s="22" t="e">
        <f>IF(LEN(VLOOKUP(V565,A2:D500,4,FALSE))=0,,VLOOKUP(V565,A2:D500,4,FALSE))</f>
        <v>#N/A</v>
      </c>
      <c r="Y565" s="56">
        <f>'Other Empirical Model'!P690</f>
        <v>0</v>
      </c>
      <c r="Z565" s="22" t="e">
        <f>IF(LEN(VLOOKUP(Y565,A2:D500,4,FALSE))=0,,VLOOKUP(Y565,A2:D500,4,FALSE))</f>
        <v>#N/A</v>
      </c>
      <c r="AA565" s="56">
        <f>'Predictive Model'!P677</f>
        <v>0</v>
      </c>
      <c r="AB565" s="22" t="e">
        <f>IF(LEN(VLOOKUP(AA565,A2:D500,4,FALSE))=0,,VLOOKUP(AA565,A2:D500,4,FALSE))</f>
        <v>#N/A</v>
      </c>
      <c r="AC565" s="56">
        <f>'Consumption Model'!P682</f>
        <v>0</v>
      </c>
      <c r="AD565" s="22" t="e">
        <f>IF(LEN(VLOOKUP(AC565,A2:D500,4,FALSE))=0,,VLOOKUP(AC565,A2:D500,4,FALSE))</f>
        <v>#N/A</v>
      </c>
      <c r="AE565" s="22">
        <f>'(Data)'!Q678</f>
        <v>0</v>
      </c>
      <c r="AF565" s="22" t="e">
        <f>IF(LEN(VLOOKUP(AE564:AE565,A2:D500,4,FALSE))=0,,VLOOKUP(AE564:AE565,A2:D500,4,FALSE))</f>
        <v>#N/A</v>
      </c>
      <c r="AH565" s="45">
        <f>'Risk Charact Model'!P696</f>
        <v>0</v>
      </c>
      <c r="AI565" s="58" t="e">
        <f>IF(LEN(VLOOKUP(AH565,A2:D500,4,FALSE))=0,,VLOOKUP(AH565,A2:D500,4,FALSE))</f>
        <v>#N/A</v>
      </c>
    </row>
    <row r="566" spans="9:35" ht="14" x14ac:dyDescent="0.3">
      <c r="I566" s="60">
        <f>'Generic Metadata Schema'!P696</f>
        <v>0</v>
      </c>
      <c r="J566" s="22" t="e">
        <f>IF(LEN(VLOOKUP(I566,A2:D500,4,FALSE))=0,"",VLOOKUP(I566,A2:D500,4,FALSE))</f>
        <v>#N/A</v>
      </c>
      <c r="L566" s="56">
        <f>'Dose-response Model'!O680</f>
        <v>0</v>
      </c>
      <c r="M566" s="22" t="e">
        <f>IF(LEN(VLOOKUP(L566,A2:D500,4,FALSE))=0,,VLOOKUP(L566,A2:D500,4,FALSE))</f>
        <v>#N/A</v>
      </c>
      <c r="N566" s="22">
        <f>'Exposure Model'!O697</f>
        <v>0</v>
      </c>
      <c r="O566" s="22" t="e">
        <f>IF(LEN(VLOOKUP(N566,A2:D500,4,FALSE))=0,,VLOOKUP(N566,A2:D500,4,FALSE))</f>
        <v>#N/A</v>
      </c>
      <c r="P566" s="56">
        <f>'QRA Models'!Q697</f>
        <v>0</v>
      </c>
      <c r="Q566" s="22" t="e">
        <f>IF(LEN(VLOOKUP(P566,A2:D500,4,FALSE))=0,,VLOOKUP(P566,A2:D500,4,FALSE))</f>
        <v>#N/A</v>
      </c>
      <c r="R566" s="56">
        <f>'Health metrics Models'!Q680</f>
        <v>0</v>
      </c>
      <c r="S566" s="22" t="e">
        <f>IF(LEN(VLOOKUP(R566,A2:D500,4,FALSE))=0,,VLOOKUP(R566,A2:D500,4,FALSE))</f>
        <v>#N/A</v>
      </c>
      <c r="T566" s="56">
        <f>'Process Model'!P678</f>
        <v>0</v>
      </c>
      <c r="U566" s="22" t="e">
        <f>IF(LEN(VLOOKUP(T566,A2:D500,4,FALSE))=0,,VLOOKUP(T566,A2:D500,4,FALSE))</f>
        <v>#N/A</v>
      </c>
      <c r="V566" s="56">
        <f>'Toxicological reference value M'!P680</f>
        <v>0</v>
      </c>
      <c r="W566" s="22" t="e">
        <f>IF(LEN(VLOOKUP(V566,A2:D500,4,FALSE))=0,,VLOOKUP(V566,A2:D500,4,FALSE))</f>
        <v>#N/A</v>
      </c>
      <c r="Y566" s="56">
        <f>'Other Empirical Model'!P691</f>
        <v>0</v>
      </c>
      <c r="Z566" s="22" t="e">
        <f>IF(LEN(VLOOKUP(Y566,A2:D500,4,FALSE))=0,,VLOOKUP(Y566,A2:D500,4,FALSE))</f>
        <v>#N/A</v>
      </c>
      <c r="AA566" s="56">
        <f>'Predictive Model'!P678</f>
        <v>0</v>
      </c>
      <c r="AB566" s="22" t="e">
        <f>IF(LEN(VLOOKUP(AA566,A2:D500,4,FALSE))=0,,VLOOKUP(AA566,A2:D500,4,FALSE))</f>
        <v>#N/A</v>
      </c>
      <c r="AC566" s="56">
        <f>'Consumption Model'!P683</f>
        <v>0</v>
      </c>
      <c r="AD566" s="22" t="e">
        <f>IF(LEN(VLOOKUP(AC566,A2:D500,4,FALSE))=0,,VLOOKUP(AC566,A2:D500,4,FALSE))</f>
        <v>#N/A</v>
      </c>
      <c r="AE566" s="22">
        <f>'(Data)'!Q679</f>
        <v>0</v>
      </c>
      <c r="AF566" s="22" t="e">
        <f>IF(LEN(VLOOKUP(AE565:AE566,A2:D500,4,FALSE))=0,,VLOOKUP(AE565:AE566,A2:D500,4,FALSE))</f>
        <v>#N/A</v>
      </c>
      <c r="AH566" s="45">
        <f>'Risk Charact Model'!P697</f>
        <v>0</v>
      </c>
      <c r="AI566" s="58" t="e">
        <f>IF(LEN(VLOOKUP(AH566,A2:D500,4,FALSE))=0,,VLOOKUP(AH566,A2:D500,4,FALSE))</f>
        <v>#N/A</v>
      </c>
    </row>
    <row r="567" spans="9:35" ht="14" x14ac:dyDescent="0.3">
      <c r="I567" s="60">
        <f>'Generic Metadata Schema'!P697</f>
        <v>0</v>
      </c>
      <c r="J567" s="22" t="e">
        <f>IF(LEN(VLOOKUP(I567,A2:D500,4,FALSE))=0,"",VLOOKUP(I567,A2:D500,4,FALSE))</f>
        <v>#N/A</v>
      </c>
      <c r="L567" s="56">
        <f>'Dose-response Model'!O681</f>
        <v>0</v>
      </c>
      <c r="M567" s="22" t="e">
        <f>IF(LEN(VLOOKUP(L567,A2:D500,4,FALSE))=0,,VLOOKUP(L567,A2:D500,4,FALSE))</f>
        <v>#N/A</v>
      </c>
      <c r="N567" s="22">
        <f>'Exposure Model'!O698</f>
        <v>0</v>
      </c>
      <c r="O567" s="22" t="e">
        <f>IF(LEN(VLOOKUP(N567,A2:D500,4,FALSE))=0,,VLOOKUP(N567,A2:D500,4,FALSE))</f>
        <v>#N/A</v>
      </c>
      <c r="P567" s="56">
        <f>'QRA Models'!Q698</f>
        <v>0</v>
      </c>
      <c r="Q567" s="22" t="e">
        <f>IF(LEN(VLOOKUP(P567,A2:D500,4,FALSE))=0,,VLOOKUP(P567,A2:D500,4,FALSE))</f>
        <v>#N/A</v>
      </c>
      <c r="R567" s="56">
        <f>'Health metrics Models'!Q681</f>
        <v>0</v>
      </c>
      <c r="S567" s="22" t="e">
        <f>IF(LEN(VLOOKUP(R567,A2:D500,4,FALSE))=0,,VLOOKUP(R567,A2:D500,4,FALSE))</f>
        <v>#N/A</v>
      </c>
      <c r="T567" s="56">
        <f>'Process Model'!P679</f>
        <v>0</v>
      </c>
      <c r="U567" s="22" t="e">
        <f>IF(LEN(VLOOKUP(T567,A2:D500,4,FALSE))=0,,VLOOKUP(T567,A2:D500,4,FALSE))</f>
        <v>#N/A</v>
      </c>
      <c r="V567" s="56">
        <f>'Toxicological reference value M'!P681</f>
        <v>0</v>
      </c>
      <c r="W567" s="22" t="e">
        <f>IF(LEN(VLOOKUP(V567,A2:D500,4,FALSE))=0,,VLOOKUP(V567,A2:D500,4,FALSE))</f>
        <v>#N/A</v>
      </c>
      <c r="Y567" s="56">
        <f>'Other Empirical Model'!P692</f>
        <v>0</v>
      </c>
      <c r="Z567" s="22" t="e">
        <f>IF(LEN(VLOOKUP(Y567,A2:D500,4,FALSE))=0,,VLOOKUP(Y567,A2:D500,4,FALSE))</f>
        <v>#N/A</v>
      </c>
      <c r="AA567" s="56">
        <f>'Predictive Model'!P679</f>
        <v>0</v>
      </c>
      <c r="AB567" s="22" t="e">
        <f>IF(LEN(VLOOKUP(AA567,A2:D500,4,FALSE))=0,,VLOOKUP(AA567,A2:D500,4,FALSE))</f>
        <v>#N/A</v>
      </c>
      <c r="AC567" s="56">
        <f>'Consumption Model'!P684</f>
        <v>0</v>
      </c>
      <c r="AD567" s="22" t="e">
        <f>IF(LEN(VLOOKUP(AC567,A2:D500,4,FALSE))=0,,VLOOKUP(AC567,A2:D500,4,FALSE))</f>
        <v>#N/A</v>
      </c>
      <c r="AE567" s="22">
        <f>'(Data)'!Q680</f>
        <v>0</v>
      </c>
      <c r="AF567" s="22" t="e">
        <f>IF(LEN(VLOOKUP(AE566:AE567,A2:D500,4,FALSE))=0,,VLOOKUP(AE566:AE567,A2:D500,4,FALSE))</f>
        <v>#N/A</v>
      </c>
      <c r="AH567" s="45">
        <f>'Risk Charact Model'!P698</f>
        <v>0</v>
      </c>
      <c r="AI567" s="58" t="e">
        <f>IF(LEN(VLOOKUP(AH567,A2:D500,4,FALSE))=0,,VLOOKUP(AH567,A2:D500,4,FALSE))</f>
        <v>#N/A</v>
      </c>
    </row>
    <row r="568" spans="9:35" ht="14" x14ac:dyDescent="0.3">
      <c r="I568" s="60">
        <f>'Generic Metadata Schema'!P698</f>
        <v>0</v>
      </c>
      <c r="J568" s="22" t="e">
        <f>IF(LEN(VLOOKUP(I568,A2:D500,4,FALSE))=0,"",VLOOKUP(I568,A2:D500,4,FALSE))</f>
        <v>#N/A</v>
      </c>
      <c r="L568" s="56">
        <f>'Dose-response Model'!O682</f>
        <v>0</v>
      </c>
      <c r="M568" s="22" t="e">
        <f>IF(LEN(VLOOKUP(L568,A2:D500,4,FALSE))=0,,VLOOKUP(L568,A2:D500,4,FALSE))</f>
        <v>#N/A</v>
      </c>
      <c r="N568" s="22">
        <f>'Exposure Model'!O699</f>
        <v>0</v>
      </c>
      <c r="O568" s="22" t="e">
        <f>IF(LEN(VLOOKUP(N568,A2:D500,4,FALSE))=0,,VLOOKUP(N568,A2:D500,4,FALSE))</f>
        <v>#N/A</v>
      </c>
      <c r="P568" s="56">
        <f>'QRA Models'!Q699</f>
        <v>0</v>
      </c>
      <c r="Q568" s="22" t="e">
        <f>IF(LEN(VLOOKUP(P568,A2:D500,4,FALSE))=0,,VLOOKUP(P568,A2:D500,4,FALSE))</f>
        <v>#N/A</v>
      </c>
      <c r="R568" s="56">
        <f>'Health metrics Models'!Q682</f>
        <v>0</v>
      </c>
      <c r="S568" s="22" t="e">
        <f>IF(LEN(VLOOKUP(R568,A2:D500,4,FALSE))=0,,VLOOKUP(R568,A2:D500,4,FALSE))</f>
        <v>#N/A</v>
      </c>
      <c r="T568" s="56">
        <f>'Process Model'!P680</f>
        <v>0</v>
      </c>
      <c r="U568" s="22" t="e">
        <f>IF(LEN(VLOOKUP(T568,A2:D500,4,FALSE))=0,,VLOOKUP(T568,A2:D500,4,FALSE))</f>
        <v>#N/A</v>
      </c>
      <c r="V568" s="56">
        <f>'Toxicological reference value M'!P682</f>
        <v>0</v>
      </c>
      <c r="W568" s="22" t="e">
        <f>IF(LEN(VLOOKUP(V568,A2:D500,4,FALSE))=0,,VLOOKUP(V568,A2:D500,4,FALSE))</f>
        <v>#N/A</v>
      </c>
      <c r="Y568" s="56">
        <f>'Other Empirical Model'!P693</f>
        <v>0</v>
      </c>
      <c r="Z568" s="22" t="e">
        <f>IF(LEN(VLOOKUP(Y568,A2:D500,4,FALSE))=0,,VLOOKUP(Y568,A2:D500,4,FALSE))</f>
        <v>#N/A</v>
      </c>
      <c r="AA568" s="56">
        <f>'Predictive Model'!P680</f>
        <v>0</v>
      </c>
      <c r="AB568" s="22" t="e">
        <f>IF(LEN(VLOOKUP(AA568,A2:D500,4,FALSE))=0,,VLOOKUP(AA568,A2:D500,4,FALSE))</f>
        <v>#N/A</v>
      </c>
      <c r="AC568" s="56">
        <f>'Consumption Model'!P685</f>
        <v>0</v>
      </c>
      <c r="AD568" s="22" t="e">
        <f>IF(LEN(VLOOKUP(AC568,A2:D500,4,FALSE))=0,,VLOOKUP(AC568,A2:D500,4,FALSE))</f>
        <v>#N/A</v>
      </c>
      <c r="AE568" s="22">
        <f>'(Data)'!Q681</f>
        <v>0</v>
      </c>
      <c r="AF568" s="22" t="e">
        <f>IF(LEN(VLOOKUP(AE567:AE568,A2:D500,4,FALSE))=0,,VLOOKUP(AE567:AE568,A2:D500,4,FALSE))</f>
        <v>#N/A</v>
      </c>
      <c r="AH568" s="45">
        <f>'Risk Charact Model'!P699</f>
        <v>0</v>
      </c>
      <c r="AI568" s="58" t="e">
        <f>IF(LEN(VLOOKUP(AH568,A2:D500,4,FALSE))=0,,VLOOKUP(AH568,A2:D500,4,FALSE))</f>
        <v>#N/A</v>
      </c>
    </row>
    <row r="569" spans="9:35" ht="14" x14ac:dyDescent="0.3">
      <c r="I569" s="60">
        <f>'Generic Metadata Schema'!P699</f>
        <v>0</v>
      </c>
      <c r="J569" s="22" t="e">
        <f>IF(LEN(VLOOKUP(I569,A2:D500,4,FALSE))=0,"",VLOOKUP(I569,A2:D500,4,FALSE))</f>
        <v>#N/A</v>
      </c>
      <c r="L569" s="56">
        <f>'Dose-response Model'!O683</f>
        <v>0</v>
      </c>
      <c r="M569" s="22" t="e">
        <f>IF(LEN(VLOOKUP(L569,A2:D500,4,FALSE))=0,,VLOOKUP(L569,A2:D500,4,FALSE))</f>
        <v>#N/A</v>
      </c>
      <c r="N569" s="22">
        <f>'Exposure Model'!O700</f>
        <v>0</v>
      </c>
      <c r="O569" s="22" t="e">
        <f>IF(LEN(VLOOKUP(N569,A2:D500,4,FALSE))=0,,VLOOKUP(N569,A2:D500,4,FALSE))</f>
        <v>#N/A</v>
      </c>
      <c r="P569" s="56">
        <f>'QRA Models'!Q700</f>
        <v>0</v>
      </c>
      <c r="Q569" s="22" t="e">
        <f>IF(LEN(VLOOKUP(P569,A2:D500,4,FALSE))=0,,VLOOKUP(P569,A2:D500,4,FALSE))</f>
        <v>#N/A</v>
      </c>
      <c r="R569" s="56">
        <f>'Health metrics Models'!Q683</f>
        <v>0</v>
      </c>
      <c r="S569" s="22" t="e">
        <f>IF(LEN(VLOOKUP(R569,A2:D500,4,FALSE))=0,,VLOOKUP(R569,A2:D500,4,FALSE))</f>
        <v>#N/A</v>
      </c>
      <c r="T569" s="56">
        <f>'Process Model'!P681</f>
        <v>0</v>
      </c>
      <c r="U569" s="22" t="e">
        <f>IF(LEN(VLOOKUP(T569,A2:D500,4,FALSE))=0,,VLOOKUP(T569,A2:D500,4,FALSE))</f>
        <v>#N/A</v>
      </c>
      <c r="V569" s="56">
        <f>'Toxicological reference value M'!P683</f>
        <v>0</v>
      </c>
      <c r="W569" s="22" t="e">
        <f>IF(LEN(VLOOKUP(V569,A2:D500,4,FALSE))=0,,VLOOKUP(V569,A2:D500,4,FALSE))</f>
        <v>#N/A</v>
      </c>
      <c r="Y569" s="56">
        <f>'Other Empirical Model'!P694</f>
        <v>0</v>
      </c>
      <c r="Z569" s="22" t="e">
        <f>IF(LEN(VLOOKUP(Y569,A2:D500,4,FALSE))=0,,VLOOKUP(Y569,A2:D500,4,FALSE))</f>
        <v>#N/A</v>
      </c>
      <c r="AA569" s="56">
        <f>'Predictive Model'!P681</f>
        <v>0</v>
      </c>
      <c r="AB569" s="22" t="e">
        <f>IF(LEN(VLOOKUP(AA569,A2:D500,4,FALSE))=0,,VLOOKUP(AA569,A2:D500,4,FALSE))</f>
        <v>#N/A</v>
      </c>
      <c r="AC569" s="56">
        <f>'Consumption Model'!P686</f>
        <v>0</v>
      </c>
      <c r="AD569" s="22" t="e">
        <f>IF(LEN(VLOOKUP(AC569,A2:D500,4,FALSE))=0,,VLOOKUP(AC569,A2:D500,4,FALSE))</f>
        <v>#N/A</v>
      </c>
      <c r="AE569" s="22">
        <f>'(Data)'!Q682</f>
        <v>0</v>
      </c>
      <c r="AF569" s="22" t="e">
        <f>IF(LEN(VLOOKUP(AE568:AE569,A2:D500,4,FALSE))=0,,VLOOKUP(AE568:AE569,A2:D500,4,FALSE))</f>
        <v>#N/A</v>
      </c>
      <c r="AH569" s="45">
        <f>'Risk Charact Model'!P700</f>
        <v>0</v>
      </c>
      <c r="AI569" s="58" t="e">
        <f>IF(LEN(VLOOKUP(AH569,A2:D500,4,FALSE))=0,,VLOOKUP(AH569,A2:D500,4,FALSE))</f>
        <v>#N/A</v>
      </c>
    </row>
    <row r="570" spans="9:35" ht="14" x14ac:dyDescent="0.3">
      <c r="I570" s="60">
        <f>'Generic Metadata Schema'!P700</f>
        <v>0</v>
      </c>
      <c r="J570" s="22" t="e">
        <f>IF(LEN(VLOOKUP(I570,A2:D500,4,FALSE))=0,"",VLOOKUP(I570,A2:D500,4,FALSE))</f>
        <v>#N/A</v>
      </c>
      <c r="L570" s="56">
        <f>'Dose-response Model'!O684</f>
        <v>0</v>
      </c>
      <c r="M570" s="22" t="e">
        <f>IF(LEN(VLOOKUP(L570,A2:D500,4,FALSE))=0,,VLOOKUP(L570,A2:D500,4,FALSE))</f>
        <v>#N/A</v>
      </c>
      <c r="N570" s="22">
        <f>'Exposure Model'!O701</f>
        <v>0</v>
      </c>
      <c r="O570" s="22" t="e">
        <f>IF(LEN(VLOOKUP(N570,A2:D500,4,FALSE))=0,,VLOOKUP(N570,A2:D500,4,FALSE))</f>
        <v>#N/A</v>
      </c>
      <c r="P570" s="56">
        <f>'QRA Models'!Q701</f>
        <v>0</v>
      </c>
      <c r="Q570" s="22" t="e">
        <f>IF(LEN(VLOOKUP(P570,A2:D500,4,FALSE))=0,,VLOOKUP(P570,A2:D500,4,FALSE))</f>
        <v>#N/A</v>
      </c>
      <c r="R570" s="56">
        <f>'Health metrics Models'!Q684</f>
        <v>0</v>
      </c>
      <c r="S570" s="22" t="e">
        <f>IF(LEN(VLOOKUP(R570,A2:D500,4,FALSE))=0,,VLOOKUP(R570,A2:D500,4,FALSE))</f>
        <v>#N/A</v>
      </c>
      <c r="T570" s="56">
        <f>'Process Model'!P682</f>
        <v>0</v>
      </c>
      <c r="U570" s="22" t="e">
        <f>IF(LEN(VLOOKUP(T570,A2:D500,4,FALSE))=0,,VLOOKUP(T570,A2:D500,4,FALSE))</f>
        <v>#N/A</v>
      </c>
      <c r="V570" s="56">
        <f>'Toxicological reference value M'!P684</f>
        <v>0</v>
      </c>
      <c r="W570" s="22" t="e">
        <f>IF(LEN(VLOOKUP(V570,A2:D500,4,FALSE))=0,,VLOOKUP(V570,A2:D500,4,FALSE))</f>
        <v>#N/A</v>
      </c>
      <c r="Y570" s="56">
        <f>'Other Empirical Model'!P695</f>
        <v>0</v>
      </c>
      <c r="Z570" s="22" t="e">
        <f>IF(LEN(VLOOKUP(Y570,A2:D500,4,FALSE))=0,,VLOOKUP(Y570,A2:D500,4,FALSE))</f>
        <v>#N/A</v>
      </c>
      <c r="AA570" s="56">
        <f>'Predictive Model'!P682</f>
        <v>0</v>
      </c>
      <c r="AB570" s="22" t="e">
        <f>IF(LEN(VLOOKUP(AA570,A2:D500,4,FALSE))=0,,VLOOKUP(AA570,A2:D500,4,FALSE))</f>
        <v>#N/A</v>
      </c>
      <c r="AC570" s="56">
        <f>'Consumption Model'!P687</f>
        <v>0</v>
      </c>
      <c r="AD570" s="22" t="e">
        <f>IF(LEN(VLOOKUP(AC570,A2:D500,4,FALSE))=0,,VLOOKUP(AC570,A2:D500,4,FALSE))</f>
        <v>#N/A</v>
      </c>
      <c r="AE570" s="22">
        <f>'(Data)'!Q683</f>
        <v>0</v>
      </c>
      <c r="AF570" s="22" t="e">
        <f>IF(LEN(VLOOKUP(AE569:AE570,A2:D500,4,FALSE))=0,,VLOOKUP(AE569:AE570,A2:D500,4,FALSE))</f>
        <v>#N/A</v>
      </c>
      <c r="AH570" s="45">
        <f>'Risk Charact Model'!P701</f>
        <v>0</v>
      </c>
      <c r="AI570" s="58" t="e">
        <f>IF(LEN(VLOOKUP(AH570,A2:D500,4,FALSE))=0,,VLOOKUP(AH570,A2:D500,4,FALSE))</f>
        <v>#N/A</v>
      </c>
    </row>
    <row r="571" spans="9:35" ht="14" x14ac:dyDescent="0.3">
      <c r="I571" s="60">
        <f>'Generic Metadata Schema'!P701</f>
        <v>0</v>
      </c>
      <c r="J571" s="22" t="e">
        <f>IF(LEN(VLOOKUP(I571,A2:D500,4,FALSE))=0,"",VLOOKUP(I571,A2:D500,4,FALSE))</f>
        <v>#N/A</v>
      </c>
      <c r="L571" s="56">
        <f>'Dose-response Model'!O685</f>
        <v>0</v>
      </c>
      <c r="M571" s="22" t="e">
        <f>IF(LEN(VLOOKUP(L571,A2:D500,4,FALSE))=0,,VLOOKUP(L571,A2:D500,4,FALSE))</f>
        <v>#N/A</v>
      </c>
      <c r="N571" s="22">
        <f>'Exposure Model'!O702</f>
        <v>0</v>
      </c>
      <c r="O571" s="22" t="e">
        <f>IF(LEN(VLOOKUP(N571,A2:D500,4,FALSE))=0,,VLOOKUP(N571,A2:D500,4,FALSE))</f>
        <v>#N/A</v>
      </c>
      <c r="P571" s="56">
        <f>'QRA Models'!Q702</f>
        <v>0</v>
      </c>
      <c r="Q571" s="22" t="e">
        <f>IF(LEN(VLOOKUP(P571,A2:D500,4,FALSE))=0,,VLOOKUP(P571,A2:D500,4,FALSE))</f>
        <v>#N/A</v>
      </c>
      <c r="R571" s="56">
        <f>'Health metrics Models'!Q685</f>
        <v>0</v>
      </c>
      <c r="S571" s="22" t="e">
        <f>IF(LEN(VLOOKUP(R571,A2:D500,4,FALSE))=0,,VLOOKUP(R571,A2:D500,4,FALSE))</f>
        <v>#N/A</v>
      </c>
      <c r="T571" s="56">
        <f>'Process Model'!P683</f>
        <v>0</v>
      </c>
      <c r="U571" s="22" t="e">
        <f>IF(LEN(VLOOKUP(T571,A2:D500,4,FALSE))=0,,VLOOKUP(T571,A2:D500,4,FALSE))</f>
        <v>#N/A</v>
      </c>
      <c r="V571" s="56">
        <f>'Toxicological reference value M'!P685</f>
        <v>0</v>
      </c>
      <c r="W571" s="22" t="e">
        <f>IF(LEN(VLOOKUP(V571,A2:D500,4,FALSE))=0,,VLOOKUP(V571,A2:D500,4,FALSE))</f>
        <v>#N/A</v>
      </c>
      <c r="Y571" s="56">
        <f>'Other Empirical Model'!P696</f>
        <v>0</v>
      </c>
      <c r="Z571" s="22" t="e">
        <f>IF(LEN(VLOOKUP(Y571,A2:D500,4,FALSE))=0,,VLOOKUP(Y571,A2:D500,4,FALSE))</f>
        <v>#N/A</v>
      </c>
      <c r="AA571" s="56">
        <f>'Predictive Model'!P683</f>
        <v>0</v>
      </c>
      <c r="AB571" s="22" t="e">
        <f>IF(LEN(VLOOKUP(AA571,A2:D500,4,FALSE))=0,,VLOOKUP(AA571,A2:D500,4,FALSE))</f>
        <v>#N/A</v>
      </c>
      <c r="AC571" s="56">
        <f>'Consumption Model'!P688</f>
        <v>0</v>
      </c>
      <c r="AD571" s="22" t="e">
        <f>IF(LEN(VLOOKUP(AC571,A2:D500,4,FALSE))=0,,VLOOKUP(AC571,A2:D500,4,FALSE))</f>
        <v>#N/A</v>
      </c>
      <c r="AE571" s="22">
        <f>'(Data)'!Q684</f>
        <v>0</v>
      </c>
      <c r="AF571" s="22" t="e">
        <f>IF(LEN(VLOOKUP(AE570:AE571,A2:D500,4,FALSE))=0,,VLOOKUP(AE570:AE571,A2:D500,4,FALSE))</f>
        <v>#N/A</v>
      </c>
      <c r="AH571" s="45">
        <f>'Risk Charact Model'!P702</f>
        <v>0</v>
      </c>
      <c r="AI571" s="58" t="e">
        <f>IF(LEN(VLOOKUP(AH571,A2:D500,4,FALSE))=0,,VLOOKUP(AH571,A2:D500,4,FALSE))</f>
        <v>#N/A</v>
      </c>
    </row>
    <row r="572" spans="9:35" ht="14" x14ac:dyDescent="0.3">
      <c r="I572" s="60">
        <f>'Generic Metadata Schema'!P702</f>
        <v>0</v>
      </c>
      <c r="J572" s="22" t="e">
        <f>IF(LEN(VLOOKUP(I572,A2:D500,4,FALSE))=0,"",VLOOKUP(I572,A2:D500,4,FALSE))</f>
        <v>#N/A</v>
      </c>
      <c r="L572" s="56">
        <f>'Dose-response Model'!O686</f>
        <v>0</v>
      </c>
      <c r="M572" s="22" t="e">
        <f>IF(LEN(VLOOKUP(L572,A2:D500,4,FALSE))=0,,VLOOKUP(L572,A2:D500,4,FALSE))</f>
        <v>#N/A</v>
      </c>
      <c r="N572" s="22">
        <f>'Exposure Model'!O703</f>
        <v>0</v>
      </c>
      <c r="O572" s="22" t="e">
        <f>IF(LEN(VLOOKUP(N572,A2:D500,4,FALSE))=0,,VLOOKUP(N572,A2:D500,4,FALSE))</f>
        <v>#N/A</v>
      </c>
      <c r="P572" s="56">
        <f>'QRA Models'!Q703</f>
        <v>0</v>
      </c>
      <c r="Q572" s="22" t="e">
        <f>IF(LEN(VLOOKUP(P572,A2:D500,4,FALSE))=0,,VLOOKUP(P572,A2:D500,4,FALSE))</f>
        <v>#N/A</v>
      </c>
      <c r="R572" s="56">
        <f>'Health metrics Models'!Q686</f>
        <v>0</v>
      </c>
      <c r="S572" s="22" t="e">
        <f>IF(LEN(VLOOKUP(R572,A2:D500,4,FALSE))=0,,VLOOKUP(R572,A2:D500,4,FALSE))</f>
        <v>#N/A</v>
      </c>
      <c r="T572" s="56">
        <f>'Process Model'!P684</f>
        <v>0</v>
      </c>
      <c r="U572" s="22" t="e">
        <f>IF(LEN(VLOOKUP(T572,A2:D500,4,FALSE))=0,,VLOOKUP(T572,A2:D500,4,FALSE))</f>
        <v>#N/A</v>
      </c>
      <c r="V572" s="56">
        <f>'Toxicological reference value M'!P686</f>
        <v>0</v>
      </c>
      <c r="W572" s="22" t="e">
        <f>IF(LEN(VLOOKUP(V572,A2:D500,4,FALSE))=0,,VLOOKUP(V572,A2:D500,4,FALSE))</f>
        <v>#N/A</v>
      </c>
      <c r="Y572" s="56">
        <f>'Other Empirical Model'!P697</f>
        <v>0</v>
      </c>
      <c r="Z572" s="22" t="e">
        <f>IF(LEN(VLOOKUP(Y572,A2:D500,4,FALSE))=0,,VLOOKUP(Y572,A2:D500,4,FALSE))</f>
        <v>#N/A</v>
      </c>
      <c r="AA572" s="56">
        <f>'Predictive Model'!P684</f>
        <v>0</v>
      </c>
      <c r="AB572" s="22" t="e">
        <f>IF(LEN(VLOOKUP(AA572,A2:D500,4,FALSE))=0,,VLOOKUP(AA572,A2:D500,4,FALSE))</f>
        <v>#N/A</v>
      </c>
      <c r="AC572" s="56">
        <f>'Consumption Model'!P689</f>
        <v>0</v>
      </c>
      <c r="AD572" s="22" t="e">
        <f>IF(LEN(VLOOKUP(AC572,A2:D500,4,FALSE))=0,,VLOOKUP(AC572,A2:D500,4,FALSE))</f>
        <v>#N/A</v>
      </c>
      <c r="AE572" s="22">
        <f>'(Data)'!Q685</f>
        <v>0</v>
      </c>
      <c r="AF572" s="22" t="e">
        <f>IF(LEN(VLOOKUP(AE571:AE572,A2:D500,4,FALSE))=0,,VLOOKUP(AE571:AE572,A2:D500,4,FALSE))</f>
        <v>#N/A</v>
      </c>
      <c r="AH572" s="45">
        <f>'Risk Charact Model'!P703</f>
        <v>0</v>
      </c>
      <c r="AI572" s="58" t="e">
        <f>IF(LEN(VLOOKUP(AH572,A2:D500,4,FALSE))=0,,VLOOKUP(AH572,A2:D500,4,FALSE))</f>
        <v>#N/A</v>
      </c>
    </row>
    <row r="573" spans="9:35" ht="14" x14ac:dyDescent="0.3">
      <c r="I573" s="60">
        <f>'Generic Metadata Schema'!P703</f>
        <v>0</v>
      </c>
      <c r="J573" s="22" t="e">
        <f>IF(LEN(VLOOKUP(I573,A2:D500,4,FALSE))=0,"",VLOOKUP(I573,A2:D500,4,FALSE))</f>
        <v>#N/A</v>
      </c>
      <c r="L573" s="56">
        <f>'Dose-response Model'!O687</f>
        <v>0</v>
      </c>
      <c r="M573" s="22" t="e">
        <f>IF(LEN(VLOOKUP(L573,A2:D500,4,FALSE))=0,,VLOOKUP(L573,A2:D500,4,FALSE))</f>
        <v>#N/A</v>
      </c>
      <c r="N573" s="22">
        <f>'Exposure Model'!O704</f>
        <v>0</v>
      </c>
      <c r="O573" s="22" t="e">
        <f>IF(LEN(VLOOKUP(N573,A2:D500,4,FALSE))=0,,VLOOKUP(N573,A2:D500,4,FALSE))</f>
        <v>#N/A</v>
      </c>
      <c r="P573" s="56">
        <f>'QRA Models'!Q704</f>
        <v>0</v>
      </c>
      <c r="Q573" s="22" t="e">
        <f>IF(LEN(VLOOKUP(P573,A2:D500,4,FALSE))=0,,VLOOKUP(P573,A2:D500,4,FALSE))</f>
        <v>#N/A</v>
      </c>
      <c r="R573" s="56">
        <f>'Health metrics Models'!Q687</f>
        <v>0</v>
      </c>
      <c r="S573" s="22" t="e">
        <f>IF(LEN(VLOOKUP(R573,A2:D500,4,FALSE))=0,,VLOOKUP(R573,A2:D500,4,FALSE))</f>
        <v>#N/A</v>
      </c>
      <c r="T573" s="56">
        <f>'Process Model'!P685</f>
        <v>0</v>
      </c>
      <c r="U573" s="22" t="e">
        <f>IF(LEN(VLOOKUP(T573,A2:D500,4,FALSE))=0,,VLOOKUP(T573,A2:D500,4,FALSE))</f>
        <v>#N/A</v>
      </c>
      <c r="V573" s="56">
        <f>'Toxicological reference value M'!P687</f>
        <v>0</v>
      </c>
      <c r="W573" s="22" t="e">
        <f>IF(LEN(VLOOKUP(V573,A2:D500,4,FALSE))=0,,VLOOKUP(V573,A2:D500,4,FALSE))</f>
        <v>#N/A</v>
      </c>
      <c r="Y573" s="56">
        <f>'Other Empirical Model'!P698</f>
        <v>0</v>
      </c>
      <c r="Z573" s="22" t="e">
        <f>IF(LEN(VLOOKUP(Y573,A2:D500,4,FALSE))=0,,VLOOKUP(Y573,A2:D500,4,FALSE))</f>
        <v>#N/A</v>
      </c>
      <c r="AA573" s="56">
        <f>'Predictive Model'!P685</f>
        <v>0</v>
      </c>
      <c r="AB573" s="22" t="e">
        <f>IF(LEN(VLOOKUP(AA573,A2:D500,4,FALSE))=0,,VLOOKUP(AA573,A2:D500,4,FALSE))</f>
        <v>#N/A</v>
      </c>
      <c r="AC573" s="56">
        <f>'Consumption Model'!P690</f>
        <v>0</v>
      </c>
      <c r="AD573" s="22" t="e">
        <f>IF(LEN(VLOOKUP(AC573,A2:D500,4,FALSE))=0,,VLOOKUP(AC573,A2:D500,4,FALSE))</f>
        <v>#N/A</v>
      </c>
      <c r="AE573" s="22">
        <f>'(Data)'!Q686</f>
        <v>0</v>
      </c>
      <c r="AF573" s="22" t="e">
        <f>IF(LEN(VLOOKUP(AE572:AE573,A2:D500,4,FALSE))=0,,VLOOKUP(AE572:AE573,A2:D500,4,FALSE))</f>
        <v>#N/A</v>
      </c>
      <c r="AH573" s="45">
        <f>'Risk Charact Model'!P704</f>
        <v>0</v>
      </c>
      <c r="AI573" s="58" t="e">
        <f>IF(LEN(VLOOKUP(AH573,A2:D500,4,FALSE))=0,,VLOOKUP(AH573,A2:D500,4,FALSE))</f>
        <v>#N/A</v>
      </c>
    </row>
    <row r="574" spans="9:35" ht="14" x14ac:dyDescent="0.3">
      <c r="I574" s="60">
        <f>'Generic Metadata Schema'!P704</f>
        <v>0</v>
      </c>
      <c r="J574" s="22" t="e">
        <f>IF(LEN(VLOOKUP(I574,A2:D500,4,FALSE))=0,"",VLOOKUP(I574,A2:D500,4,FALSE))</f>
        <v>#N/A</v>
      </c>
      <c r="L574" s="56">
        <f>'Dose-response Model'!O688</f>
        <v>0</v>
      </c>
      <c r="M574" s="22" t="e">
        <f>IF(LEN(VLOOKUP(L574,A2:D500,4,FALSE))=0,,VLOOKUP(L574,A2:D500,4,FALSE))</f>
        <v>#N/A</v>
      </c>
      <c r="N574" s="22">
        <f>'Exposure Model'!O705</f>
        <v>0</v>
      </c>
      <c r="O574" s="22" t="e">
        <f>IF(LEN(VLOOKUP(N574,A2:D500,4,FALSE))=0,,VLOOKUP(N574,A2:D500,4,FALSE))</f>
        <v>#N/A</v>
      </c>
      <c r="P574" s="56">
        <f>'QRA Models'!Q705</f>
        <v>0</v>
      </c>
      <c r="Q574" s="22" t="e">
        <f>IF(LEN(VLOOKUP(P574,A2:D500,4,FALSE))=0,,VLOOKUP(P574,A2:D500,4,FALSE))</f>
        <v>#N/A</v>
      </c>
      <c r="R574" s="56">
        <f>'Health metrics Models'!Q688</f>
        <v>0</v>
      </c>
      <c r="S574" s="22" t="e">
        <f>IF(LEN(VLOOKUP(R574,A2:D500,4,FALSE))=0,,VLOOKUP(R574,A2:D500,4,FALSE))</f>
        <v>#N/A</v>
      </c>
      <c r="T574" s="56">
        <f>'Process Model'!P686</f>
        <v>0</v>
      </c>
      <c r="U574" s="22" t="e">
        <f>IF(LEN(VLOOKUP(T574,A2:D500,4,FALSE))=0,,VLOOKUP(T574,A2:D500,4,FALSE))</f>
        <v>#N/A</v>
      </c>
      <c r="V574" s="56">
        <f>'Toxicological reference value M'!P688</f>
        <v>0</v>
      </c>
      <c r="W574" s="22" t="e">
        <f>IF(LEN(VLOOKUP(V574,A2:D500,4,FALSE))=0,,VLOOKUP(V574,A2:D500,4,FALSE))</f>
        <v>#N/A</v>
      </c>
      <c r="Y574" s="56">
        <f>'Other Empirical Model'!P699</f>
        <v>0</v>
      </c>
      <c r="Z574" s="22" t="e">
        <f>IF(LEN(VLOOKUP(Y574,A2:D500,4,FALSE))=0,,VLOOKUP(Y574,A2:D500,4,FALSE))</f>
        <v>#N/A</v>
      </c>
      <c r="AA574" s="56">
        <f>'Predictive Model'!P686</f>
        <v>0</v>
      </c>
      <c r="AB574" s="22" t="e">
        <f>IF(LEN(VLOOKUP(AA574,A2:D500,4,FALSE))=0,,VLOOKUP(AA574,A2:D500,4,FALSE))</f>
        <v>#N/A</v>
      </c>
      <c r="AC574" s="56">
        <f>'Consumption Model'!P691</f>
        <v>0</v>
      </c>
      <c r="AD574" s="22" t="e">
        <f>IF(LEN(VLOOKUP(AC574,A2:D500,4,FALSE))=0,,VLOOKUP(AC574,A2:D500,4,FALSE))</f>
        <v>#N/A</v>
      </c>
      <c r="AE574" s="22">
        <f>'(Data)'!Q687</f>
        <v>0</v>
      </c>
      <c r="AF574" s="22" t="e">
        <f>IF(LEN(VLOOKUP(AE573:AE574,A2:D500,4,FALSE))=0,,VLOOKUP(AE573:AE574,A2:D500,4,FALSE))</f>
        <v>#N/A</v>
      </c>
      <c r="AH574" s="45">
        <f>'Risk Charact Model'!P705</f>
        <v>0</v>
      </c>
      <c r="AI574" s="58" t="e">
        <f>IF(LEN(VLOOKUP(AH574,A2:D500,4,FALSE))=0,,VLOOKUP(AH574,A2:D500,4,FALSE))</f>
        <v>#N/A</v>
      </c>
    </row>
    <row r="575" spans="9:35" ht="14" x14ac:dyDescent="0.3">
      <c r="I575" s="60">
        <f>'Generic Metadata Schema'!P705</f>
        <v>0</v>
      </c>
      <c r="J575" s="22" t="e">
        <f>IF(LEN(VLOOKUP(I575,A2:D500,4,FALSE))=0,"",VLOOKUP(I575,A2:D500,4,FALSE))</f>
        <v>#N/A</v>
      </c>
      <c r="L575" s="56">
        <f>'Dose-response Model'!O689</f>
        <v>0</v>
      </c>
      <c r="M575" s="22" t="e">
        <f>IF(LEN(VLOOKUP(L575,A2:D500,4,FALSE))=0,,VLOOKUP(L575,A2:D500,4,FALSE))</f>
        <v>#N/A</v>
      </c>
      <c r="N575" s="22">
        <f>'Exposure Model'!O706</f>
        <v>0</v>
      </c>
      <c r="O575" s="22" t="e">
        <f>IF(LEN(VLOOKUP(N575,A2:D500,4,FALSE))=0,,VLOOKUP(N575,A2:D500,4,FALSE))</f>
        <v>#N/A</v>
      </c>
      <c r="P575" s="56">
        <f>'QRA Models'!Q706</f>
        <v>0</v>
      </c>
      <c r="Q575" s="22" t="e">
        <f>IF(LEN(VLOOKUP(P575,A2:D500,4,FALSE))=0,,VLOOKUP(P575,A2:D500,4,FALSE))</f>
        <v>#N/A</v>
      </c>
      <c r="R575" s="56">
        <f>'Health metrics Models'!Q689</f>
        <v>0</v>
      </c>
      <c r="S575" s="22" t="e">
        <f>IF(LEN(VLOOKUP(R575,A2:D500,4,FALSE))=0,,VLOOKUP(R575,A2:D500,4,FALSE))</f>
        <v>#N/A</v>
      </c>
      <c r="T575" s="56">
        <f>'Process Model'!P687</f>
        <v>0</v>
      </c>
      <c r="U575" s="22" t="e">
        <f>IF(LEN(VLOOKUP(T575,A2:D500,4,FALSE))=0,,VLOOKUP(T575,A2:D500,4,FALSE))</f>
        <v>#N/A</v>
      </c>
      <c r="V575" s="56">
        <f>'Toxicological reference value M'!P689</f>
        <v>0</v>
      </c>
      <c r="W575" s="22" t="e">
        <f>IF(LEN(VLOOKUP(V575,A2:D500,4,FALSE))=0,,VLOOKUP(V575,A2:D500,4,FALSE))</f>
        <v>#N/A</v>
      </c>
      <c r="Y575" s="56">
        <f>'Other Empirical Model'!P700</f>
        <v>0</v>
      </c>
      <c r="Z575" s="22" t="e">
        <f>IF(LEN(VLOOKUP(Y575,A2:D500,4,FALSE))=0,,VLOOKUP(Y575,A2:D500,4,FALSE))</f>
        <v>#N/A</v>
      </c>
      <c r="AA575" s="56">
        <f>'Predictive Model'!P687</f>
        <v>0</v>
      </c>
      <c r="AB575" s="22" t="e">
        <f>IF(LEN(VLOOKUP(AA575,A2:D500,4,FALSE))=0,,VLOOKUP(AA575,A2:D500,4,FALSE))</f>
        <v>#N/A</v>
      </c>
      <c r="AC575" s="56">
        <f>'Consumption Model'!P692</f>
        <v>0</v>
      </c>
      <c r="AD575" s="22" t="e">
        <f>IF(LEN(VLOOKUP(AC575,A2:D500,4,FALSE))=0,,VLOOKUP(AC575,A2:D500,4,FALSE))</f>
        <v>#N/A</v>
      </c>
      <c r="AE575" s="22">
        <f>'(Data)'!Q688</f>
        <v>0</v>
      </c>
      <c r="AF575" s="22" t="e">
        <f>IF(LEN(VLOOKUP(AE574:AE575,A2:D500,4,FALSE))=0,,VLOOKUP(AE574:AE575,A2:D500,4,FALSE))</f>
        <v>#N/A</v>
      </c>
      <c r="AH575" s="45">
        <f>'Risk Charact Model'!P706</f>
        <v>0</v>
      </c>
      <c r="AI575" s="58" t="e">
        <f>IF(LEN(VLOOKUP(AH575,A2:D500,4,FALSE))=0,,VLOOKUP(AH575,A2:D500,4,FALSE))</f>
        <v>#N/A</v>
      </c>
    </row>
    <row r="576" spans="9:35" ht="14" x14ac:dyDescent="0.3">
      <c r="I576" s="60">
        <f>'Generic Metadata Schema'!P706</f>
        <v>0</v>
      </c>
      <c r="J576" s="22" t="e">
        <f>IF(LEN(VLOOKUP(I576,A2:D500,4,FALSE))=0,"",VLOOKUP(I576,A2:D500,4,FALSE))</f>
        <v>#N/A</v>
      </c>
      <c r="L576" s="56">
        <f>'Dose-response Model'!O690</f>
        <v>0</v>
      </c>
      <c r="M576" s="22" t="e">
        <f>IF(LEN(VLOOKUP(L576,A2:D500,4,FALSE))=0,,VLOOKUP(L576,A2:D500,4,FALSE))</f>
        <v>#N/A</v>
      </c>
      <c r="N576" s="22">
        <f>'Exposure Model'!O707</f>
        <v>0</v>
      </c>
      <c r="O576" s="22" t="e">
        <f>IF(LEN(VLOOKUP(N576,A2:D500,4,FALSE))=0,,VLOOKUP(N576,A2:D500,4,FALSE))</f>
        <v>#N/A</v>
      </c>
      <c r="P576" s="56">
        <f>'QRA Models'!Q707</f>
        <v>0</v>
      </c>
      <c r="Q576" s="22" t="e">
        <f>IF(LEN(VLOOKUP(P576,A2:D500,4,FALSE))=0,,VLOOKUP(P576,A2:D500,4,FALSE))</f>
        <v>#N/A</v>
      </c>
      <c r="R576" s="56">
        <f>'Health metrics Models'!Q690</f>
        <v>0</v>
      </c>
      <c r="S576" s="22" t="e">
        <f>IF(LEN(VLOOKUP(R576,A2:D500,4,FALSE))=0,,VLOOKUP(R576,A2:D500,4,FALSE))</f>
        <v>#N/A</v>
      </c>
      <c r="T576" s="56">
        <f>'Process Model'!P688</f>
        <v>0</v>
      </c>
      <c r="U576" s="22" t="e">
        <f>IF(LEN(VLOOKUP(T576,A2:D500,4,FALSE))=0,,VLOOKUP(T576,A2:D500,4,FALSE))</f>
        <v>#N/A</v>
      </c>
      <c r="V576" s="56">
        <f>'Toxicological reference value M'!P690</f>
        <v>0</v>
      </c>
      <c r="W576" s="22" t="e">
        <f>IF(LEN(VLOOKUP(V576,A2:D500,4,FALSE))=0,,VLOOKUP(V576,A2:D500,4,FALSE))</f>
        <v>#N/A</v>
      </c>
      <c r="Y576" s="56">
        <f>'Other Empirical Model'!P701</f>
        <v>0</v>
      </c>
      <c r="Z576" s="22" t="e">
        <f>IF(LEN(VLOOKUP(Y576,A2:D500,4,FALSE))=0,,VLOOKUP(Y576,A2:D500,4,FALSE))</f>
        <v>#N/A</v>
      </c>
      <c r="AA576" s="56">
        <f>'Predictive Model'!P688</f>
        <v>0</v>
      </c>
      <c r="AB576" s="22" t="e">
        <f>IF(LEN(VLOOKUP(AA576,A2:D500,4,FALSE))=0,,VLOOKUP(AA576,A2:D500,4,FALSE))</f>
        <v>#N/A</v>
      </c>
      <c r="AC576" s="56">
        <f>'Consumption Model'!P693</f>
        <v>0</v>
      </c>
      <c r="AD576" s="22" t="e">
        <f>IF(LEN(VLOOKUP(AC576,A2:D500,4,FALSE))=0,,VLOOKUP(AC576,A2:D500,4,FALSE))</f>
        <v>#N/A</v>
      </c>
      <c r="AE576" s="22">
        <f>'(Data)'!Q689</f>
        <v>0</v>
      </c>
      <c r="AF576" s="22" t="e">
        <f>IF(LEN(VLOOKUP(AE575:AE576,A2:D500,4,FALSE))=0,,VLOOKUP(AE575:AE576,A2:D500,4,FALSE))</f>
        <v>#N/A</v>
      </c>
      <c r="AH576" s="45">
        <f>'Risk Charact Model'!P707</f>
        <v>0</v>
      </c>
      <c r="AI576" s="58" t="e">
        <f>IF(LEN(VLOOKUP(AH576,A2:D500,4,FALSE))=0,,VLOOKUP(AH576,A2:D500,4,FALSE))</f>
        <v>#N/A</v>
      </c>
    </row>
    <row r="577" spans="9:35" ht="14" x14ac:dyDescent="0.3">
      <c r="I577" s="60">
        <f>'Generic Metadata Schema'!P707</f>
        <v>0</v>
      </c>
      <c r="J577" s="22" t="e">
        <f>IF(LEN(VLOOKUP(I577,A2:D500,4,FALSE))=0,"",VLOOKUP(I577,A2:D500,4,FALSE))</f>
        <v>#N/A</v>
      </c>
      <c r="L577" s="56">
        <f>'Dose-response Model'!O691</f>
        <v>0</v>
      </c>
      <c r="M577" s="22" t="e">
        <f>IF(LEN(VLOOKUP(L577,A2:D500,4,FALSE))=0,,VLOOKUP(L577,A2:D500,4,FALSE))</f>
        <v>#N/A</v>
      </c>
      <c r="N577" s="22">
        <f>'Exposure Model'!O708</f>
        <v>0</v>
      </c>
      <c r="O577" s="22" t="e">
        <f>IF(LEN(VLOOKUP(N577,A2:D500,4,FALSE))=0,,VLOOKUP(N577,A2:D500,4,FALSE))</f>
        <v>#N/A</v>
      </c>
      <c r="P577" s="56">
        <f>'QRA Models'!Q708</f>
        <v>0</v>
      </c>
      <c r="Q577" s="22" t="e">
        <f>IF(LEN(VLOOKUP(P577,A2:D500,4,FALSE))=0,,VLOOKUP(P577,A2:D500,4,FALSE))</f>
        <v>#N/A</v>
      </c>
      <c r="R577" s="56">
        <f>'Health metrics Models'!Q691</f>
        <v>0</v>
      </c>
      <c r="S577" s="22" t="e">
        <f>IF(LEN(VLOOKUP(R577,A2:D500,4,FALSE))=0,,VLOOKUP(R577,A2:D500,4,FALSE))</f>
        <v>#N/A</v>
      </c>
      <c r="T577" s="56">
        <f>'Process Model'!P689</f>
        <v>0</v>
      </c>
      <c r="U577" s="22" t="e">
        <f>IF(LEN(VLOOKUP(T577,A2:D500,4,FALSE))=0,,VLOOKUP(T577,A2:D500,4,FALSE))</f>
        <v>#N/A</v>
      </c>
      <c r="V577" s="56">
        <f>'Toxicological reference value M'!P691</f>
        <v>0</v>
      </c>
      <c r="W577" s="22" t="e">
        <f>IF(LEN(VLOOKUP(V577,A2:D500,4,FALSE))=0,,VLOOKUP(V577,A2:D500,4,FALSE))</f>
        <v>#N/A</v>
      </c>
      <c r="Y577" s="56">
        <f>'Other Empirical Model'!P702</f>
        <v>0</v>
      </c>
      <c r="Z577" s="22" t="e">
        <f>IF(LEN(VLOOKUP(Y577,A2:D500,4,FALSE))=0,,VLOOKUP(Y577,A2:D500,4,FALSE))</f>
        <v>#N/A</v>
      </c>
      <c r="AA577" s="56">
        <f>'Predictive Model'!P689</f>
        <v>0</v>
      </c>
      <c r="AB577" s="22" t="e">
        <f>IF(LEN(VLOOKUP(AA577,A2:D500,4,FALSE))=0,,VLOOKUP(AA577,A2:D500,4,FALSE))</f>
        <v>#N/A</v>
      </c>
      <c r="AC577" s="56">
        <f>'Consumption Model'!P694</f>
        <v>0</v>
      </c>
      <c r="AD577" s="22" t="e">
        <f>IF(LEN(VLOOKUP(AC577,A2:D500,4,FALSE))=0,,VLOOKUP(AC577,A2:D500,4,FALSE))</f>
        <v>#N/A</v>
      </c>
      <c r="AE577" s="22">
        <f>'(Data)'!Q690</f>
        <v>0</v>
      </c>
      <c r="AF577" s="22" t="e">
        <f>IF(LEN(VLOOKUP(AE576:AE577,A2:D500,4,FALSE))=0,,VLOOKUP(AE576:AE577,A2:D500,4,FALSE))</f>
        <v>#N/A</v>
      </c>
      <c r="AH577" s="45">
        <f>'Risk Charact Model'!P708</f>
        <v>0</v>
      </c>
      <c r="AI577" s="58" t="e">
        <f>IF(LEN(VLOOKUP(AH577,A2:D500,4,FALSE))=0,,VLOOKUP(AH577,A2:D500,4,FALSE))</f>
        <v>#N/A</v>
      </c>
    </row>
    <row r="578" spans="9:35" ht="14" x14ac:dyDescent="0.3">
      <c r="I578" s="60">
        <f>'Generic Metadata Schema'!P708</f>
        <v>0</v>
      </c>
      <c r="J578" s="22" t="e">
        <f>IF(LEN(VLOOKUP(I578,A2:D500,4,FALSE))=0,"",VLOOKUP(I578,A2:D500,4,FALSE))</f>
        <v>#N/A</v>
      </c>
      <c r="L578" s="56">
        <f>'Dose-response Model'!O692</f>
        <v>0</v>
      </c>
      <c r="M578" s="22" t="e">
        <f>IF(LEN(VLOOKUP(L578,A2:D500,4,FALSE))=0,,VLOOKUP(L578,A2:D500,4,FALSE))</f>
        <v>#N/A</v>
      </c>
      <c r="N578" s="22">
        <f>'Exposure Model'!O709</f>
        <v>0</v>
      </c>
      <c r="O578" s="22" t="e">
        <f>IF(LEN(VLOOKUP(N578,A2:D500,4,FALSE))=0,,VLOOKUP(N578,A2:D500,4,FALSE))</f>
        <v>#N/A</v>
      </c>
      <c r="P578" s="56">
        <f>'QRA Models'!Q709</f>
        <v>0</v>
      </c>
      <c r="Q578" s="22" t="e">
        <f>IF(LEN(VLOOKUP(P578,A2:D500,4,FALSE))=0,,VLOOKUP(P578,A2:D500,4,FALSE))</f>
        <v>#N/A</v>
      </c>
      <c r="R578" s="56">
        <f>'Health metrics Models'!Q692</f>
        <v>0</v>
      </c>
      <c r="S578" s="22" t="e">
        <f>IF(LEN(VLOOKUP(R578,A2:D500,4,FALSE))=0,,VLOOKUP(R578,A2:D500,4,FALSE))</f>
        <v>#N/A</v>
      </c>
      <c r="T578" s="56">
        <f>'Process Model'!P690</f>
        <v>0</v>
      </c>
      <c r="U578" s="22" t="e">
        <f>IF(LEN(VLOOKUP(T578,A2:D500,4,FALSE))=0,,VLOOKUP(T578,A2:D500,4,FALSE))</f>
        <v>#N/A</v>
      </c>
      <c r="V578" s="56">
        <f>'Toxicological reference value M'!P692</f>
        <v>0</v>
      </c>
      <c r="W578" s="22" t="e">
        <f>IF(LEN(VLOOKUP(V578,A2:D500,4,FALSE))=0,,VLOOKUP(V578,A2:D500,4,FALSE))</f>
        <v>#N/A</v>
      </c>
      <c r="Y578" s="56">
        <f>'Other Empirical Model'!P703</f>
        <v>0</v>
      </c>
      <c r="Z578" s="22" t="e">
        <f>IF(LEN(VLOOKUP(Y578,A2:D500,4,FALSE))=0,,VLOOKUP(Y578,A2:D500,4,FALSE))</f>
        <v>#N/A</v>
      </c>
      <c r="AA578" s="56">
        <f>'Predictive Model'!P690</f>
        <v>0</v>
      </c>
      <c r="AB578" s="22" t="e">
        <f>IF(LEN(VLOOKUP(AA578,A2:D500,4,FALSE))=0,,VLOOKUP(AA578,A2:D500,4,FALSE))</f>
        <v>#N/A</v>
      </c>
      <c r="AC578" s="56">
        <f>'Consumption Model'!P695</f>
        <v>0</v>
      </c>
      <c r="AD578" s="22" t="e">
        <f>IF(LEN(VLOOKUP(AC578,A2:D500,4,FALSE))=0,,VLOOKUP(AC578,A2:D500,4,FALSE))</f>
        <v>#N/A</v>
      </c>
      <c r="AE578" s="22">
        <f>'(Data)'!Q691</f>
        <v>0</v>
      </c>
      <c r="AF578" s="22" t="e">
        <f>IF(LEN(VLOOKUP(AE577:AE578,A2:D500,4,FALSE))=0,,VLOOKUP(AE577:AE578,A2:D500,4,FALSE))</f>
        <v>#N/A</v>
      </c>
      <c r="AH578" s="45">
        <f>'Risk Charact Model'!P709</f>
        <v>0</v>
      </c>
      <c r="AI578" s="58" t="e">
        <f>IF(LEN(VLOOKUP(AH578,A2:D500,4,FALSE))=0,,VLOOKUP(AH578,A2:D500,4,FALSE))</f>
        <v>#N/A</v>
      </c>
    </row>
    <row r="579" spans="9:35" ht="14" x14ac:dyDescent="0.3">
      <c r="I579" s="60">
        <f>'Generic Metadata Schema'!P709</f>
        <v>0</v>
      </c>
      <c r="J579" s="22" t="e">
        <f>IF(LEN(VLOOKUP(I579,A2:D500,4,FALSE))=0,"",VLOOKUP(I579,A2:D500,4,FALSE))</f>
        <v>#N/A</v>
      </c>
      <c r="L579" s="56">
        <f>'Dose-response Model'!O693</f>
        <v>0</v>
      </c>
      <c r="M579" s="22" t="e">
        <f>IF(LEN(VLOOKUP(L579,A2:D500,4,FALSE))=0,,VLOOKUP(L579,A2:D500,4,FALSE))</f>
        <v>#N/A</v>
      </c>
      <c r="N579" s="22">
        <f>'Exposure Model'!O710</f>
        <v>0</v>
      </c>
      <c r="O579" s="22" t="e">
        <f>IF(LEN(VLOOKUP(N579,A2:D500,4,FALSE))=0,,VLOOKUP(N579,A2:D500,4,FALSE))</f>
        <v>#N/A</v>
      </c>
      <c r="P579" s="56">
        <f>'QRA Models'!Q710</f>
        <v>0</v>
      </c>
      <c r="Q579" s="22" t="e">
        <f>IF(LEN(VLOOKUP(P579,A2:D500,4,FALSE))=0,,VLOOKUP(P579,A2:D500,4,FALSE))</f>
        <v>#N/A</v>
      </c>
      <c r="R579" s="56">
        <f>'Health metrics Models'!Q693</f>
        <v>0</v>
      </c>
      <c r="S579" s="22" t="e">
        <f>IF(LEN(VLOOKUP(R579,A2:D500,4,FALSE))=0,,VLOOKUP(R579,A2:D500,4,FALSE))</f>
        <v>#N/A</v>
      </c>
      <c r="T579" s="56">
        <f>'Process Model'!P691</f>
        <v>0</v>
      </c>
      <c r="U579" s="22" t="e">
        <f>IF(LEN(VLOOKUP(T579,A2:D500,4,FALSE))=0,,VLOOKUP(T579,A2:D500,4,FALSE))</f>
        <v>#N/A</v>
      </c>
      <c r="V579" s="56">
        <f>'Toxicological reference value M'!P693</f>
        <v>0</v>
      </c>
      <c r="W579" s="22" t="e">
        <f>IF(LEN(VLOOKUP(V579,A2:D500,4,FALSE))=0,,VLOOKUP(V579,A2:D500,4,FALSE))</f>
        <v>#N/A</v>
      </c>
      <c r="Y579" s="56">
        <f>'Other Empirical Model'!P704</f>
        <v>0</v>
      </c>
      <c r="Z579" s="22" t="e">
        <f>IF(LEN(VLOOKUP(Y579,A2:D500,4,FALSE))=0,,VLOOKUP(Y579,A2:D500,4,FALSE))</f>
        <v>#N/A</v>
      </c>
      <c r="AA579" s="56">
        <f>'Predictive Model'!P691</f>
        <v>0</v>
      </c>
      <c r="AB579" s="22" t="e">
        <f>IF(LEN(VLOOKUP(AA579,A2:D500,4,FALSE))=0,,VLOOKUP(AA579,A2:D500,4,FALSE))</f>
        <v>#N/A</v>
      </c>
      <c r="AC579" s="56">
        <f>'Consumption Model'!P696</f>
        <v>0</v>
      </c>
      <c r="AD579" s="22" t="e">
        <f>IF(LEN(VLOOKUP(AC579,A2:D500,4,FALSE))=0,,VLOOKUP(AC579,A2:D500,4,FALSE))</f>
        <v>#N/A</v>
      </c>
      <c r="AE579" s="22">
        <f>'(Data)'!Q692</f>
        <v>0</v>
      </c>
      <c r="AF579" s="22" t="e">
        <f>IF(LEN(VLOOKUP(AE578:AE579,A2:D500,4,FALSE))=0,,VLOOKUP(AE578:AE579,A2:D500,4,FALSE))</f>
        <v>#N/A</v>
      </c>
      <c r="AH579" s="45">
        <f>'Risk Charact Model'!P710</f>
        <v>0</v>
      </c>
      <c r="AI579" s="58" t="e">
        <f>IF(LEN(VLOOKUP(AH579,A2:D500,4,FALSE))=0,,VLOOKUP(AH579,A2:D500,4,FALSE))</f>
        <v>#N/A</v>
      </c>
    </row>
    <row r="580" spans="9:35" ht="14" x14ac:dyDescent="0.3">
      <c r="I580" s="60">
        <f>'Generic Metadata Schema'!P710</f>
        <v>0</v>
      </c>
      <c r="J580" s="22" t="e">
        <f>IF(LEN(VLOOKUP(I580,A2:D500,4,FALSE))=0,"",VLOOKUP(I580,A2:D500,4,FALSE))</f>
        <v>#N/A</v>
      </c>
      <c r="L580" s="56">
        <f>'Dose-response Model'!O694</f>
        <v>0</v>
      </c>
      <c r="M580" s="22" t="e">
        <f>IF(LEN(VLOOKUP(L580,A2:D500,4,FALSE))=0,,VLOOKUP(L580,A2:D500,4,FALSE))</f>
        <v>#N/A</v>
      </c>
      <c r="N580" s="22">
        <f>'Exposure Model'!O711</f>
        <v>0</v>
      </c>
      <c r="O580" s="22" t="e">
        <f>IF(LEN(VLOOKUP(N580,A2:D500,4,FALSE))=0,,VLOOKUP(N580,A2:D500,4,FALSE))</f>
        <v>#N/A</v>
      </c>
      <c r="P580" s="56">
        <f>'QRA Models'!Q711</f>
        <v>0</v>
      </c>
      <c r="Q580" s="22" t="e">
        <f>IF(LEN(VLOOKUP(P580,A2:D500,4,FALSE))=0,,VLOOKUP(P580,A2:D500,4,FALSE))</f>
        <v>#N/A</v>
      </c>
      <c r="R580" s="56">
        <f>'Health metrics Models'!Q694</f>
        <v>0</v>
      </c>
      <c r="S580" s="22" t="e">
        <f>IF(LEN(VLOOKUP(R580,A2:D500,4,FALSE))=0,,VLOOKUP(R580,A2:D500,4,FALSE))</f>
        <v>#N/A</v>
      </c>
      <c r="T580" s="56">
        <f>'Process Model'!P692</f>
        <v>0</v>
      </c>
      <c r="U580" s="22" t="e">
        <f>IF(LEN(VLOOKUP(T580,A2:D500,4,FALSE))=0,,VLOOKUP(T580,A2:D500,4,FALSE))</f>
        <v>#N/A</v>
      </c>
      <c r="V580" s="56">
        <f>'Toxicological reference value M'!P694</f>
        <v>0</v>
      </c>
      <c r="W580" s="22" t="e">
        <f>IF(LEN(VLOOKUP(V580,A2:D500,4,FALSE))=0,,VLOOKUP(V580,A2:D500,4,FALSE))</f>
        <v>#N/A</v>
      </c>
      <c r="Y580" s="56">
        <f>'Other Empirical Model'!P705</f>
        <v>0</v>
      </c>
      <c r="Z580" s="22" t="e">
        <f>IF(LEN(VLOOKUP(Y580,A2:D500,4,FALSE))=0,,VLOOKUP(Y580,A2:D500,4,FALSE))</f>
        <v>#N/A</v>
      </c>
      <c r="AA580" s="56">
        <f>'Predictive Model'!P692</f>
        <v>0</v>
      </c>
      <c r="AB580" s="22" t="e">
        <f>IF(LEN(VLOOKUP(AA580,A2:D500,4,FALSE))=0,,VLOOKUP(AA580,A2:D500,4,FALSE))</f>
        <v>#N/A</v>
      </c>
      <c r="AC580" s="56">
        <f>'Consumption Model'!P697</f>
        <v>0</v>
      </c>
      <c r="AD580" s="22" t="e">
        <f>IF(LEN(VLOOKUP(AC580,A2:D500,4,FALSE))=0,,VLOOKUP(AC580,A2:D500,4,FALSE))</f>
        <v>#N/A</v>
      </c>
      <c r="AE580" s="22">
        <f>'(Data)'!Q693</f>
        <v>0</v>
      </c>
      <c r="AF580" s="22" t="e">
        <f>IF(LEN(VLOOKUP(AE579:AE580,A2:D500,4,FALSE))=0,,VLOOKUP(AE579:AE580,A2:D500,4,FALSE))</f>
        <v>#N/A</v>
      </c>
      <c r="AH580" s="45">
        <f>'Risk Charact Model'!P711</f>
        <v>0</v>
      </c>
      <c r="AI580" s="58" t="e">
        <f>IF(LEN(VLOOKUP(AH580,A2:D500,4,FALSE))=0,,VLOOKUP(AH580,A2:D500,4,FALSE))</f>
        <v>#N/A</v>
      </c>
    </row>
    <row r="581" spans="9:35" ht="14" x14ac:dyDescent="0.3">
      <c r="I581" s="60">
        <f>'Generic Metadata Schema'!P711</f>
        <v>0</v>
      </c>
      <c r="J581" s="22" t="e">
        <f>IF(LEN(VLOOKUP(I581,A2:D500,4,FALSE))=0,"",VLOOKUP(I581,A2:D500,4,FALSE))</f>
        <v>#N/A</v>
      </c>
      <c r="L581" s="56">
        <f>'Dose-response Model'!O695</f>
        <v>0</v>
      </c>
      <c r="M581" s="22" t="e">
        <f>IF(LEN(VLOOKUP(L581,A2:D500,4,FALSE))=0,,VLOOKUP(L581,A2:D500,4,FALSE))</f>
        <v>#N/A</v>
      </c>
      <c r="N581" s="22">
        <f>'Exposure Model'!O712</f>
        <v>0</v>
      </c>
      <c r="O581" s="22" t="e">
        <f>IF(LEN(VLOOKUP(N581,A2:D500,4,FALSE))=0,,VLOOKUP(N581,A2:D500,4,FALSE))</f>
        <v>#N/A</v>
      </c>
      <c r="P581" s="56">
        <f>'QRA Models'!Q712</f>
        <v>0</v>
      </c>
      <c r="Q581" s="22" t="e">
        <f>IF(LEN(VLOOKUP(P581,A2:D500,4,FALSE))=0,,VLOOKUP(P581,A2:D500,4,FALSE))</f>
        <v>#N/A</v>
      </c>
      <c r="R581" s="56">
        <f>'Health metrics Models'!Q695</f>
        <v>0</v>
      </c>
      <c r="S581" s="22" t="e">
        <f>IF(LEN(VLOOKUP(R581,A2:D500,4,FALSE))=0,,VLOOKUP(R581,A2:D500,4,FALSE))</f>
        <v>#N/A</v>
      </c>
      <c r="T581" s="56">
        <f>'Process Model'!P693</f>
        <v>0</v>
      </c>
      <c r="U581" s="22" t="e">
        <f>IF(LEN(VLOOKUP(T581,A2:D500,4,FALSE))=0,,VLOOKUP(T581,A2:D500,4,FALSE))</f>
        <v>#N/A</v>
      </c>
      <c r="V581" s="56">
        <f>'Toxicological reference value M'!P695</f>
        <v>0</v>
      </c>
      <c r="W581" s="22" t="e">
        <f>IF(LEN(VLOOKUP(V581,A2:D500,4,FALSE))=0,,VLOOKUP(V581,A2:D500,4,FALSE))</f>
        <v>#N/A</v>
      </c>
      <c r="Y581" s="56">
        <f>'Other Empirical Model'!P706</f>
        <v>0</v>
      </c>
      <c r="Z581" s="22" t="e">
        <f>IF(LEN(VLOOKUP(Y581,A2:D500,4,FALSE))=0,,VLOOKUP(Y581,A2:D500,4,FALSE))</f>
        <v>#N/A</v>
      </c>
      <c r="AA581" s="56">
        <f>'Predictive Model'!P693</f>
        <v>0</v>
      </c>
      <c r="AB581" s="22" t="e">
        <f>IF(LEN(VLOOKUP(AA581,A2:D500,4,FALSE))=0,,VLOOKUP(AA581,A2:D500,4,FALSE))</f>
        <v>#N/A</v>
      </c>
      <c r="AC581" s="56">
        <f>'Consumption Model'!P698</f>
        <v>0</v>
      </c>
      <c r="AD581" s="22" t="e">
        <f>IF(LEN(VLOOKUP(AC581,A2:D500,4,FALSE))=0,,VLOOKUP(AC581,A2:D500,4,FALSE))</f>
        <v>#N/A</v>
      </c>
      <c r="AE581" s="22">
        <f>'(Data)'!Q694</f>
        <v>0</v>
      </c>
      <c r="AF581" s="22" t="e">
        <f>IF(LEN(VLOOKUP(AE580:AE581,A2:D500,4,FALSE))=0,,VLOOKUP(AE580:AE581,A2:D500,4,FALSE))</f>
        <v>#N/A</v>
      </c>
      <c r="AH581" s="45">
        <f>'Risk Charact Model'!P712</f>
        <v>0</v>
      </c>
      <c r="AI581" s="58" t="e">
        <f>IF(LEN(VLOOKUP(AH581,A2:D500,4,FALSE))=0,,VLOOKUP(AH581,A2:D500,4,FALSE))</f>
        <v>#N/A</v>
      </c>
    </row>
    <row r="582" spans="9:35" ht="14" x14ac:dyDescent="0.3">
      <c r="I582" s="60">
        <f>'Generic Metadata Schema'!P712</f>
        <v>0</v>
      </c>
      <c r="J582" s="22" t="e">
        <f>IF(LEN(VLOOKUP(I582,A2:D500,4,FALSE))=0,"",VLOOKUP(I582,A2:D500,4,FALSE))</f>
        <v>#N/A</v>
      </c>
      <c r="L582" s="56">
        <f>'Dose-response Model'!O696</f>
        <v>0</v>
      </c>
      <c r="M582" s="22" t="e">
        <f>IF(LEN(VLOOKUP(L582,A2:D500,4,FALSE))=0,,VLOOKUP(L582,A2:D500,4,FALSE))</f>
        <v>#N/A</v>
      </c>
      <c r="N582" s="22">
        <f>'Exposure Model'!O713</f>
        <v>0</v>
      </c>
      <c r="O582" s="22" t="e">
        <f>IF(LEN(VLOOKUP(N582,A2:D500,4,FALSE))=0,,VLOOKUP(N582,A2:D500,4,FALSE))</f>
        <v>#N/A</v>
      </c>
      <c r="P582" s="56">
        <f>'QRA Models'!Q713</f>
        <v>0</v>
      </c>
      <c r="Q582" s="22" t="e">
        <f>IF(LEN(VLOOKUP(P582,A2:D500,4,FALSE))=0,,VLOOKUP(P582,A2:D500,4,FALSE))</f>
        <v>#N/A</v>
      </c>
      <c r="R582" s="56">
        <f>'Health metrics Models'!Q696</f>
        <v>0</v>
      </c>
      <c r="S582" s="22" t="e">
        <f>IF(LEN(VLOOKUP(R582,A2:D500,4,FALSE))=0,,VLOOKUP(R582,A2:D500,4,FALSE))</f>
        <v>#N/A</v>
      </c>
      <c r="T582" s="56">
        <f>'Process Model'!P694</f>
        <v>0</v>
      </c>
      <c r="U582" s="22" t="e">
        <f>IF(LEN(VLOOKUP(T582,A2:D500,4,FALSE))=0,,VLOOKUP(T582,A2:D500,4,FALSE))</f>
        <v>#N/A</v>
      </c>
      <c r="V582" s="56">
        <f>'Toxicological reference value M'!P696</f>
        <v>0</v>
      </c>
      <c r="W582" s="22" t="e">
        <f>IF(LEN(VLOOKUP(V582,A2:D500,4,FALSE))=0,,VLOOKUP(V582,A2:D500,4,FALSE))</f>
        <v>#N/A</v>
      </c>
      <c r="Y582" s="56">
        <f>'Other Empirical Model'!P707</f>
        <v>0</v>
      </c>
      <c r="Z582" s="22" t="e">
        <f>IF(LEN(VLOOKUP(Y582,A2:D500,4,FALSE))=0,,VLOOKUP(Y582,A2:D500,4,FALSE))</f>
        <v>#N/A</v>
      </c>
      <c r="AA582" s="56">
        <f>'Predictive Model'!P694</f>
        <v>0</v>
      </c>
      <c r="AB582" s="22" t="e">
        <f>IF(LEN(VLOOKUP(AA582,A2:D500,4,FALSE))=0,,VLOOKUP(AA582,A2:D500,4,FALSE))</f>
        <v>#N/A</v>
      </c>
      <c r="AC582" s="56">
        <f>'Consumption Model'!P699</f>
        <v>0</v>
      </c>
      <c r="AD582" s="22" t="e">
        <f>IF(LEN(VLOOKUP(AC582,A2:D500,4,FALSE))=0,,VLOOKUP(AC582,A2:D500,4,FALSE))</f>
        <v>#N/A</v>
      </c>
      <c r="AE582" s="22">
        <f>'(Data)'!Q695</f>
        <v>0</v>
      </c>
      <c r="AF582" s="22" t="e">
        <f>IF(LEN(VLOOKUP(AE581:AE582,A2:D500,4,FALSE))=0,,VLOOKUP(AE581:AE582,A2:D500,4,FALSE))</f>
        <v>#N/A</v>
      </c>
      <c r="AH582" s="45">
        <f>'Risk Charact Model'!P713</f>
        <v>0</v>
      </c>
      <c r="AI582" s="58" t="e">
        <f>IF(LEN(VLOOKUP(AH582,A2:D500,4,FALSE))=0,,VLOOKUP(AH582,A2:D500,4,FALSE))</f>
        <v>#N/A</v>
      </c>
    </row>
    <row r="583" spans="9:35" ht="14" x14ac:dyDescent="0.3">
      <c r="I583" s="60">
        <f>'Generic Metadata Schema'!P713</f>
        <v>0</v>
      </c>
      <c r="J583" s="22" t="e">
        <f>IF(LEN(VLOOKUP(I583,A2:D500,4,FALSE))=0,"",VLOOKUP(I583,A2:D500,4,FALSE))</f>
        <v>#N/A</v>
      </c>
      <c r="L583" s="56">
        <f>'Dose-response Model'!O697</f>
        <v>0</v>
      </c>
      <c r="M583" s="22" t="e">
        <f>IF(LEN(VLOOKUP(L583,A2:D500,4,FALSE))=0,,VLOOKUP(L583,A2:D500,4,FALSE))</f>
        <v>#N/A</v>
      </c>
      <c r="N583" s="22">
        <f>'Exposure Model'!O714</f>
        <v>0</v>
      </c>
      <c r="O583" s="22" t="e">
        <f>IF(LEN(VLOOKUP(N583,A2:D500,4,FALSE))=0,,VLOOKUP(N583,A2:D500,4,FALSE))</f>
        <v>#N/A</v>
      </c>
      <c r="P583" s="56">
        <f>'QRA Models'!Q714</f>
        <v>0</v>
      </c>
      <c r="Q583" s="22" t="e">
        <f>IF(LEN(VLOOKUP(P583,A2:D500,4,FALSE))=0,,VLOOKUP(P583,A2:D500,4,FALSE))</f>
        <v>#N/A</v>
      </c>
      <c r="R583" s="56">
        <f>'Health metrics Models'!Q697</f>
        <v>0</v>
      </c>
      <c r="S583" s="22" t="e">
        <f>IF(LEN(VLOOKUP(R583,A2:D500,4,FALSE))=0,,VLOOKUP(R583,A2:D500,4,FALSE))</f>
        <v>#N/A</v>
      </c>
      <c r="T583" s="56">
        <f>'Process Model'!P695</f>
        <v>0</v>
      </c>
      <c r="U583" s="22" t="e">
        <f>IF(LEN(VLOOKUP(T583,A2:D500,4,FALSE))=0,,VLOOKUP(T583,A2:D500,4,FALSE))</f>
        <v>#N/A</v>
      </c>
      <c r="V583" s="56">
        <f>'Toxicological reference value M'!P697</f>
        <v>0</v>
      </c>
      <c r="W583" s="22" t="e">
        <f>IF(LEN(VLOOKUP(V583,A2:D500,4,FALSE))=0,,VLOOKUP(V583,A2:D500,4,FALSE))</f>
        <v>#N/A</v>
      </c>
      <c r="Y583" s="56">
        <f>'Other Empirical Model'!P708</f>
        <v>0</v>
      </c>
      <c r="Z583" s="22" t="e">
        <f>IF(LEN(VLOOKUP(Y583,A2:D500,4,FALSE))=0,,VLOOKUP(Y583,A2:D500,4,FALSE))</f>
        <v>#N/A</v>
      </c>
      <c r="AA583" s="56">
        <f>'Predictive Model'!P695</f>
        <v>0</v>
      </c>
      <c r="AB583" s="22" t="e">
        <f>IF(LEN(VLOOKUP(AA583,A2:D500,4,FALSE))=0,,VLOOKUP(AA583,A2:D500,4,FALSE))</f>
        <v>#N/A</v>
      </c>
      <c r="AC583" s="56">
        <f>'Consumption Model'!P700</f>
        <v>0</v>
      </c>
      <c r="AD583" s="22" t="e">
        <f>IF(LEN(VLOOKUP(AC583,A2:D500,4,FALSE))=0,,VLOOKUP(AC583,A2:D500,4,FALSE))</f>
        <v>#N/A</v>
      </c>
      <c r="AE583" s="22">
        <f>'(Data)'!Q696</f>
        <v>0</v>
      </c>
      <c r="AF583" s="22" t="e">
        <f>IF(LEN(VLOOKUP(AE582:AE583,A2:D500,4,FALSE))=0,,VLOOKUP(AE582:AE583,A2:D500,4,FALSE))</f>
        <v>#N/A</v>
      </c>
      <c r="AH583" s="45">
        <f>'Risk Charact Model'!P714</f>
        <v>0</v>
      </c>
      <c r="AI583" s="58" t="e">
        <f>IF(LEN(VLOOKUP(AH583,A2:D500,4,FALSE))=0,,VLOOKUP(AH583,A2:D500,4,FALSE))</f>
        <v>#N/A</v>
      </c>
    </row>
    <row r="584" spans="9:35" ht="14" x14ac:dyDescent="0.3">
      <c r="I584" s="60">
        <f>'Generic Metadata Schema'!P714</f>
        <v>0</v>
      </c>
      <c r="J584" s="22" t="e">
        <f>IF(LEN(VLOOKUP(I584,A2:D500,4,FALSE))=0,"",VLOOKUP(I584,A2:D500,4,FALSE))</f>
        <v>#N/A</v>
      </c>
      <c r="L584" s="56">
        <f>'Dose-response Model'!O698</f>
        <v>0</v>
      </c>
      <c r="M584" s="22" t="e">
        <f>IF(LEN(VLOOKUP(L584,A2:D500,4,FALSE))=0,,VLOOKUP(L584,A2:D500,4,FALSE))</f>
        <v>#N/A</v>
      </c>
      <c r="N584" s="22">
        <f>'Exposure Model'!O715</f>
        <v>0</v>
      </c>
      <c r="O584" s="22" t="e">
        <f>IF(LEN(VLOOKUP(N584,A2:D500,4,FALSE))=0,,VLOOKUP(N584,A2:D500,4,FALSE))</f>
        <v>#N/A</v>
      </c>
      <c r="P584" s="56">
        <f>'QRA Models'!Q715</f>
        <v>0</v>
      </c>
      <c r="Q584" s="22" t="e">
        <f>IF(LEN(VLOOKUP(P584,A2:D500,4,FALSE))=0,,VLOOKUP(P584,A2:D500,4,FALSE))</f>
        <v>#N/A</v>
      </c>
      <c r="R584" s="56">
        <f>'Health metrics Models'!Q698</f>
        <v>0</v>
      </c>
      <c r="S584" s="22" t="e">
        <f>IF(LEN(VLOOKUP(R584,A2:D500,4,FALSE))=0,,VLOOKUP(R584,A2:D500,4,FALSE))</f>
        <v>#N/A</v>
      </c>
      <c r="T584" s="56">
        <f>'Process Model'!P696</f>
        <v>0</v>
      </c>
      <c r="U584" s="22" t="e">
        <f>IF(LEN(VLOOKUP(T584,A2:D500,4,FALSE))=0,,VLOOKUP(T584,A2:D500,4,FALSE))</f>
        <v>#N/A</v>
      </c>
      <c r="V584" s="56">
        <f>'Toxicological reference value M'!P698</f>
        <v>0</v>
      </c>
      <c r="W584" s="22" t="e">
        <f>IF(LEN(VLOOKUP(V584,A2:D500,4,FALSE))=0,,VLOOKUP(V584,A2:D500,4,FALSE))</f>
        <v>#N/A</v>
      </c>
      <c r="Y584" s="56">
        <f>'Other Empirical Model'!P709</f>
        <v>0</v>
      </c>
      <c r="Z584" s="22" t="e">
        <f>IF(LEN(VLOOKUP(Y584,A2:D500,4,FALSE))=0,,VLOOKUP(Y584,A2:D500,4,FALSE))</f>
        <v>#N/A</v>
      </c>
      <c r="AA584" s="56">
        <f>'Predictive Model'!P696</f>
        <v>0</v>
      </c>
      <c r="AB584" s="22" t="e">
        <f>IF(LEN(VLOOKUP(AA584,A2:D500,4,FALSE))=0,,VLOOKUP(AA584,A2:D500,4,FALSE))</f>
        <v>#N/A</v>
      </c>
      <c r="AC584" s="56">
        <f>'Consumption Model'!P701</f>
        <v>0</v>
      </c>
      <c r="AD584" s="22" t="e">
        <f>IF(LEN(VLOOKUP(AC584,A2:D500,4,FALSE))=0,,VLOOKUP(AC584,A2:D500,4,FALSE))</f>
        <v>#N/A</v>
      </c>
      <c r="AE584" s="22">
        <f>'(Data)'!Q697</f>
        <v>0</v>
      </c>
      <c r="AF584" s="22" t="e">
        <f>IF(LEN(VLOOKUP(AE583:AE584,A2:D500,4,FALSE))=0,,VLOOKUP(AE583:AE584,A2:D500,4,FALSE))</f>
        <v>#N/A</v>
      </c>
      <c r="AH584" s="45">
        <f>'Risk Charact Model'!P715</f>
        <v>0</v>
      </c>
      <c r="AI584" s="58" t="e">
        <f>IF(LEN(VLOOKUP(AH584,A2:D500,4,FALSE))=0,,VLOOKUP(AH584,A2:D500,4,FALSE))</f>
        <v>#N/A</v>
      </c>
    </row>
    <row r="585" spans="9:35" ht="14" x14ac:dyDescent="0.3">
      <c r="I585" s="60">
        <f>'Generic Metadata Schema'!P715</f>
        <v>0</v>
      </c>
      <c r="J585" s="22" t="e">
        <f>IF(LEN(VLOOKUP(I585,A2:D500,4,FALSE))=0,"",VLOOKUP(I585,A2:D500,4,FALSE))</f>
        <v>#N/A</v>
      </c>
      <c r="L585" s="56">
        <f>'Dose-response Model'!O699</f>
        <v>0</v>
      </c>
      <c r="M585" s="22" t="e">
        <f>IF(LEN(VLOOKUP(L585,A2:D500,4,FALSE))=0,,VLOOKUP(L585,A2:D500,4,FALSE))</f>
        <v>#N/A</v>
      </c>
      <c r="N585" s="22">
        <f>'Exposure Model'!O716</f>
        <v>0</v>
      </c>
      <c r="O585" s="22" t="e">
        <f>IF(LEN(VLOOKUP(N585,A2:D500,4,FALSE))=0,,VLOOKUP(N585,A2:D500,4,FALSE))</f>
        <v>#N/A</v>
      </c>
      <c r="P585" s="56">
        <f>'QRA Models'!Q716</f>
        <v>0</v>
      </c>
      <c r="Q585" s="22" t="e">
        <f>IF(LEN(VLOOKUP(P585,A2:D500,4,FALSE))=0,,VLOOKUP(P585,A2:D500,4,FALSE))</f>
        <v>#N/A</v>
      </c>
      <c r="R585" s="56">
        <f>'Health metrics Models'!Q699</f>
        <v>0</v>
      </c>
      <c r="S585" s="22" t="e">
        <f>IF(LEN(VLOOKUP(R585,A2:D500,4,FALSE))=0,,VLOOKUP(R585,A2:D500,4,FALSE))</f>
        <v>#N/A</v>
      </c>
      <c r="T585" s="56">
        <f>'Process Model'!P697</f>
        <v>0</v>
      </c>
      <c r="U585" s="22" t="e">
        <f>IF(LEN(VLOOKUP(T585,A2:D500,4,FALSE))=0,,VLOOKUP(T585,A2:D500,4,FALSE))</f>
        <v>#N/A</v>
      </c>
      <c r="V585" s="56">
        <f>'Toxicological reference value M'!P699</f>
        <v>0</v>
      </c>
      <c r="W585" s="22" t="e">
        <f>IF(LEN(VLOOKUP(V585,A2:D500,4,FALSE))=0,,VLOOKUP(V585,A2:D500,4,FALSE))</f>
        <v>#N/A</v>
      </c>
      <c r="Y585" s="56">
        <f>'Other Empirical Model'!P710</f>
        <v>0</v>
      </c>
      <c r="Z585" s="22" t="e">
        <f>IF(LEN(VLOOKUP(Y585,A2:D500,4,FALSE))=0,,VLOOKUP(Y585,A2:D500,4,FALSE))</f>
        <v>#N/A</v>
      </c>
      <c r="AA585" s="56">
        <f>'Predictive Model'!P697</f>
        <v>0</v>
      </c>
      <c r="AB585" s="22" t="e">
        <f>IF(LEN(VLOOKUP(AA585,A2:D500,4,FALSE))=0,,VLOOKUP(AA585,A2:D500,4,FALSE))</f>
        <v>#N/A</v>
      </c>
      <c r="AC585" s="56">
        <f>'Consumption Model'!P702</f>
        <v>0</v>
      </c>
      <c r="AD585" s="22" t="e">
        <f>IF(LEN(VLOOKUP(AC585,A2:D500,4,FALSE))=0,,VLOOKUP(AC585,A2:D500,4,FALSE))</f>
        <v>#N/A</v>
      </c>
      <c r="AE585" s="22">
        <f>'(Data)'!Q698</f>
        <v>0</v>
      </c>
      <c r="AF585" s="22" t="e">
        <f>IF(LEN(VLOOKUP(AE584:AE585,A2:D500,4,FALSE))=0,,VLOOKUP(AE584:AE585,A2:D500,4,FALSE))</f>
        <v>#N/A</v>
      </c>
      <c r="AH585" s="45">
        <f>'Risk Charact Model'!P716</f>
        <v>0</v>
      </c>
      <c r="AI585" s="58" t="e">
        <f>IF(LEN(VLOOKUP(AH585,A2:D500,4,FALSE))=0,,VLOOKUP(AH585,A2:D500,4,FALSE))</f>
        <v>#N/A</v>
      </c>
    </row>
    <row r="586" spans="9:35" ht="14" x14ac:dyDescent="0.3">
      <c r="I586" s="60">
        <f>'Generic Metadata Schema'!P716</f>
        <v>0</v>
      </c>
      <c r="J586" s="22" t="e">
        <f>IF(LEN(VLOOKUP(I586,A2:D500,4,FALSE))=0,"",VLOOKUP(I586,A2:D500,4,FALSE))</f>
        <v>#N/A</v>
      </c>
      <c r="L586" s="56">
        <f>'Dose-response Model'!O700</f>
        <v>0</v>
      </c>
      <c r="M586" s="22" t="e">
        <f>IF(LEN(VLOOKUP(L586,A2:D500,4,FALSE))=0,,VLOOKUP(L586,A2:D500,4,FALSE))</f>
        <v>#N/A</v>
      </c>
      <c r="N586" s="22">
        <f>'Exposure Model'!O717</f>
        <v>0</v>
      </c>
      <c r="O586" s="22" t="e">
        <f>IF(LEN(VLOOKUP(N586,A2:D500,4,FALSE))=0,,VLOOKUP(N586,A2:D500,4,FALSE))</f>
        <v>#N/A</v>
      </c>
      <c r="P586" s="56">
        <f>'QRA Models'!Q717</f>
        <v>0</v>
      </c>
      <c r="Q586" s="22" t="e">
        <f>IF(LEN(VLOOKUP(P586,A2:D500,4,FALSE))=0,,VLOOKUP(P586,A2:D500,4,FALSE))</f>
        <v>#N/A</v>
      </c>
      <c r="R586" s="56">
        <f>'Health metrics Models'!Q700</f>
        <v>0</v>
      </c>
      <c r="S586" s="22" t="e">
        <f>IF(LEN(VLOOKUP(R586,A2:D500,4,FALSE))=0,,VLOOKUP(R586,A2:D500,4,FALSE))</f>
        <v>#N/A</v>
      </c>
      <c r="T586" s="56">
        <f>'Process Model'!P698</f>
        <v>0</v>
      </c>
      <c r="U586" s="22" t="e">
        <f>IF(LEN(VLOOKUP(T586,A2:D500,4,FALSE))=0,,VLOOKUP(T586,A2:D500,4,FALSE))</f>
        <v>#N/A</v>
      </c>
      <c r="V586" s="56">
        <f>'Toxicological reference value M'!P700</f>
        <v>0</v>
      </c>
      <c r="W586" s="22" t="e">
        <f>IF(LEN(VLOOKUP(V586,A2:D500,4,FALSE))=0,,VLOOKUP(V586,A2:D500,4,FALSE))</f>
        <v>#N/A</v>
      </c>
      <c r="Y586" s="56">
        <f>'Other Empirical Model'!P711</f>
        <v>0</v>
      </c>
      <c r="Z586" s="22" t="e">
        <f>IF(LEN(VLOOKUP(Y586,A2:D500,4,FALSE))=0,,VLOOKUP(Y586,A2:D500,4,FALSE))</f>
        <v>#N/A</v>
      </c>
      <c r="AA586" s="56">
        <f>'Predictive Model'!P698</f>
        <v>0</v>
      </c>
      <c r="AB586" s="22" t="e">
        <f>IF(LEN(VLOOKUP(AA586,A2:D500,4,FALSE))=0,,VLOOKUP(AA586,A2:D500,4,FALSE))</f>
        <v>#N/A</v>
      </c>
      <c r="AC586" s="56">
        <f>'Consumption Model'!P703</f>
        <v>0</v>
      </c>
      <c r="AD586" s="22" t="e">
        <f>IF(LEN(VLOOKUP(AC586,A2:D500,4,FALSE))=0,,VLOOKUP(AC586,A2:D500,4,FALSE))</f>
        <v>#N/A</v>
      </c>
      <c r="AE586" s="22">
        <f>'(Data)'!Q699</f>
        <v>0</v>
      </c>
      <c r="AF586" s="22" t="e">
        <f>IF(LEN(VLOOKUP(AE585:AE586,A2:D500,4,FALSE))=0,,VLOOKUP(AE585:AE586,A2:D500,4,FALSE))</f>
        <v>#N/A</v>
      </c>
      <c r="AH586" s="45">
        <f>'Risk Charact Model'!P717</f>
        <v>0</v>
      </c>
      <c r="AI586" s="58" t="e">
        <f>IF(LEN(VLOOKUP(AH586,A2:D500,4,FALSE))=0,,VLOOKUP(AH586,A2:D500,4,FALSE))</f>
        <v>#N/A</v>
      </c>
    </row>
    <row r="587" spans="9:35" ht="14" x14ac:dyDescent="0.3">
      <c r="I587" s="60">
        <f>'Generic Metadata Schema'!P717</f>
        <v>0</v>
      </c>
      <c r="J587" s="22" t="e">
        <f>IF(LEN(VLOOKUP(I587,A2:D500,4,FALSE))=0,"",VLOOKUP(I587,A2:D500,4,FALSE))</f>
        <v>#N/A</v>
      </c>
      <c r="L587" s="56">
        <f>'Dose-response Model'!O701</f>
        <v>0</v>
      </c>
      <c r="M587" s="22" t="e">
        <f>IF(LEN(VLOOKUP(L587,A2:D500,4,FALSE))=0,,VLOOKUP(L587,A2:D500,4,FALSE))</f>
        <v>#N/A</v>
      </c>
      <c r="N587" s="22">
        <f>'Exposure Model'!O718</f>
        <v>0</v>
      </c>
      <c r="O587" s="22" t="e">
        <f>IF(LEN(VLOOKUP(N587,A2:D500,4,FALSE))=0,,VLOOKUP(N587,A2:D500,4,FALSE))</f>
        <v>#N/A</v>
      </c>
      <c r="P587" s="56">
        <f>'QRA Models'!Q718</f>
        <v>0</v>
      </c>
      <c r="Q587" s="22" t="e">
        <f>IF(LEN(VLOOKUP(P587,A2:D500,4,FALSE))=0,,VLOOKUP(P587,A2:D500,4,FALSE))</f>
        <v>#N/A</v>
      </c>
      <c r="R587" s="56">
        <f>'Health metrics Models'!Q701</f>
        <v>0</v>
      </c>
      <c r="S587" s="22" t="e">
        <f>IF(LEN(VLOOKUP(R587,A2:D500,4,FALSE))=0,,VLOOKUP(R587,A2:D500,4,FALSE))</f>
        <v>#N/A</v>
      </c>
      <c r="T587" s="56">
        <f>'Process Model'!P699</f>
        <v>0</v>
      </c>
      <c r="U587" s="22" t="e">
        <f>IF(LEN(VLOOKUP(T587,A2:D500,4,FALSE))=0,,VLOOKUP(T587,A2:D500,4,FALSE))</f>
        <v>#N/A</v>
      </c>
      <c r="V587" s="56">
        <f>'Toxicological reference value M'!P701</f>
        <v>0</v>
      </c>
      <c r="W587" s="22" t="e">
        <f>IF(LEN(VLOOKUP(V587,A2:D500,4,FALSE))=0,,VLOOKUP(V587,A2:D500,4,FALSE))</f>
        <v>#N/A</v>
      </c>
      <c r="Y587" s="56">
        <f>'Other Empirical Model'!P712</f>
        <v>0</v>
      </c>
      <c r="Z587" s="22" t="e">
        <f>IF(LEN(VLOOKUP(Y587,A2:D500,4,FALSE))=0,,VLOOKUP(Y587,A2:D500,4,FALSE))</f>
        <v>#N/A</v>
      </c>
      <c r="AA587" s="56">
        <f>'Predictive Model'!P699</f>
        <v>0</v>
      </c>
      <c r="AB587" s="22" t="e">
        <f>IF(LEN(VLOOKUP(AA587,A2:D500,4,FALSE))=0,,VLOOKUP(AA587,A2:D500,4,FALSE))</f>
        <v>#N/A</v>
      </c>
      <c r="AC587" s="56">
        <f>'Consumption Model'!P704</f>
        <v>0</v>
      </c>
      <c r="AD587" s="22" t="e">
        <f>IF(LEN(VLOOKUP(AC587,A2:D500,4,FALSE))=0,,VLOOKUP(AC587,A2:D500,4,FALSE))</f>
        <v>#N/A</v>
      </c>
      <c r="AE587" s="22">
        <f>'(Data)'!Q700</f>
        <v>0</v>
      </c>
      <c r="AF587" s="22" t="e">
        <f>IF(LEN(VLOOKUP(AE586:AE587,A2:D500,4,FALSE))=0,,VLOOKUP(AE586:AE587,A2:D500,4,FALSE))</f>
        <v>#N/A</v>
      </c>
      <c r="AH587" s="45">
        <f>'Risk Charact Model'!P718</f>
        <v>0</v>
      </c>
      <c r="AI587" s="58" t="e">
        <f>IF(LEN(VLOOKUP(AH587,A2:D500,4,FALSE))=0,,VLOOKUP(AH587,A2:D500,4,FALSE))</f>
        <v>#N/A</v>
      </c>
    </row>
    <row r="588" spans="9:35" ht="14" x14ac:dyDescent="0.3">
      <c r="I588" s="60">
        <f>'Generic Metadata Schema'!P718</f>
        <v>0</v>
      </c>
      <c r="J588" s="22" t="e">
        <f>IF(LEN(VLOOKUP(I588,A2:D500,4,FALSE))=0,"",VLOOKUP(I588,A2:D500,4,FALSE))</f>
        <v>#N/A</v>
      </c>
      <c r="L588" s="56">
        <f>'Dose-response Model'!O702</f>
        <v>0</v>
      </c>
      <c r="M588" s="22" t="e">
        <f>IF(LEN(VLOOKUP(L588,A2:D500,4,FALSE))=0,,VLOOKUP(L588,A2:D500,4,FALSE))</f>
        <v>#N/A</v>
      </c>
      <c r="N588" s="22">
        <f>'Exposure Model'!O719</f>
        <v>0</v>
      </c>
      <c r="O588" s="22" t="e">
        <f>IF(LEN(VLOOKUP(N588,A2:D500,4,FALSE))=0,,VLOOKUP(N588,A2:D500,4,FALSE))</f>
        <v>#N/A</v>
      </c>
      <c r="P588" s="56">
        <f>'QRA Models'!Q719</f>
        <v>0</v>
      </c>
      <c r="Q588" s="22" t="e">
        <f>IF(LEN(VLOOKUP(P588,A2:D500,4,FALSE))=0,,VLOOKUP(P588,A2:D500,4,FALSE))</f>
        <v>#N/A</v>
      </c>
      <c r="R588" s="56">
        <f>'Health metrics Models'!Q702</f>
        <v>0</v>
      </c>
      <c r="S588" s="22" t="e">
        <f>IF(LEN(VLOOKUP(R588,A2:D500,4,FALSE))=0,,VLOOKUP(R588,A2:D500,4,FALSE))</f>
        <v>#N/A</v>
      </c>
      <c r="T588" s="56">
        <f>'Process Model'!P700</f>
        <v>0</v>
      </c>
      <c r="U588" s="22" t="e">
        <f>IF(LEN(VLOOKUP(T588,A2:D500,4,FALSE))=0,,VLOOKUP(T588,A2:D500,4,FALSE))</f>
        <v>#N/A</v>
      </c>
      <c r="V588" s="56">
        <f>'Toxicological reference value M'!P702</f>
        <v>0</v>
      </c>
      <c r="W588" s="22" t="e">
        <f>IF(LEN(VLOOKUP(V588,A2:D500,4,FALSE))=0,,VLOOKUP(V588,A2:D500,4,FALSE))</f>
        <v>#N/A</v>
      </c>
      <c r="Y588" s="56">
        <f>'Other Empirical Model'!P713</f>
        <v>0</v>
      </c>
      <c r="Z588" s="22" t="e">
        <f>IF(LEN(VLOOKUP(Y588,A2:D500,4,FALSE))=0,,VLOOKUP(Y588,A2:D500,4,FALSE))</f>
        <v>#N/A</v>
      </c>
      <c r="AA588" s="56">
        <f>'Predictive Model'!P700</f>
        <v>0</v>
      </c>
      <c r="AB588" s="22" t="e">
        <f>IF(LEN(VLOOKUP(AA588,A2:D500,4,FALSE))=0,,VLOOKUP(AA588,A2:D500,4,FALSE))</f>
        <v>#N/A</v>
      </c>
      <c r="AC588" s="56">
        <f>'Consumption Model'!P705</f>
        <v>0</v>
      </c>
      <c r="AD588" s="22" t="e">
        <f>IF(LEN(VLOOKUP(AC588,A2:D500,4,FALSE))=0,,VLOOKUP(AC588,A2:D500,4,FALSE))</f>
        <v>#N/A</v>
      </c>
      <c r="AE588" s="22">
        <f>'(Data)'!Q701</f>
        <v>0</v>
      </c>
      <c r="AF588" s="22" t="e">
        <f>IF(LEN(VLOOKUP(AE587:AE588,A2:D500,4,FALSE))=0,,VLOOKUP(AE587:AE588,A2:D500,4,FALSE))</f>
        <v>#N/A</v>
      </c>
      <c r="AH588" s="45">
        <f>'Risk Charact Model'!P719</f>
        <v>0</v>
      </c>
      <c r="AI588" s="58" t="e">
        <f>IF(LEN(VLOOKUP(AH588,A2:D500,4,FALSE))=0,,VLOOKUP(AH588,A2:D500,4,FALSE))</f>
        <v>#N/A</v>
      </c>
    </row>
    <row r="589" spans="9:35" ht="14" x14ac:dyDescent="0.3">
      <c r="I589" s="60">
        <f>'Generic Metadata Schema'!P719</f>
        <v>0</v>
      </c>
      <c r="J589" s="22" t="e">
        <f>IF(LEN(VLOOKUP(I589,A2:D500,4,FALSE))=0,"",VLOOKUP(I589,A2:D500,4,FALSE))</f>
        <v>#N/A</v>
      </c>
      <c r="L589" s="56">
        <f>'Dose-response Model'!O703</f>
        <v>0</v>
      </c>
      <c r="M589" s="22" t="e">
        <f>IF(LEN(VLOOKUP(L589,A2:D500,4,FALSE))=0,,VLOOKUP(L589,A2:D500,4,FALSE))</f>
        <v>#N/A</v>
      </c>
      <c r="N589" s="22">
        <f>'Exposure Model'!O720</f>
        <v>0</v>
      </c>
      <c r="O589" s="22" t="e">
        <f>IF(LEN(VLOOKUP(N589,A2:D500,4,FALSE))=0,,VLOOKUP(N589,A2:D500,4,FALSE))</f>
        <v>#N/A</v>
      </c>
      <c r="P589" s="56">
        <f>'QRA Models'!Q720</f>
        <v>0</v>
      </c>
      <c r="Q589" s="22" t="e">
        <f>IF(LEN(VLOOKUP(P589,A2:D500,4,FALSE))=0,,VLOOKUP(P589,A2:D500,4,FALSE))</f>
        <v>#N/A</v>
      </c>
      <c r="R589" s="56">
        <f>'Health metrics Models'!Q703</f>
        <v>0</v>
      </c>
      <c r="S589" s="22" t="e">
        <f>IF(LEN(VLOOKUP(R589,A2:D500,4,FALSE))=0,,VLOOKUP(R589,A2:D500,4,FALSE))</f>
        <v>#N/A</v>
      </c>
      <c r="T589" s="56">
        <f>'Process Model'!P701</f>
        <v>0</v>
      </c>
      <c r="U589" s="22" t="e">
        <f>IF(LEN(VLOOKUP(T589,A2:D500,4,FALSE))=0,,VLOOKUP(T589,A2:D500,4,FALSE))</f>
        <v>#N/A</v>
      </c>
      <c r="V589" s="56">
        <f>'Toxicological reference value M'!P703</f>
        <v>0</v>
      </c>
      <c r="W589" s="22" t="e">
        <f>IF(LEN(VLOOKUP(V589,A2:D500,4,FALSE))=0,,VLOOKUP(V589,A2:D500,4,FALSE))</f>
        <v>#N/A</v>
      </c>
      <c r="Y589" s="56">
        <f>'Other Empirical Model'!P714</f>
        <v>0</v>
      </c>
      <c r="Z589" s="22" t="e">
        <f>IF(LEN(VLOOKUP(Y589,A2:D500,4,FALSE))=0,,VLOOKUP(Y589,A2:D500,4,FALSE))</f>
        <v>#N/A</v>
      </c>
      <c r="AA589" s="56">
        <f>'Predictive Model'!P701</f>
        <v>0</v>
      </c>
      <c r="AB589" s="22" t="e">
        <f>IF(LEN(VLOOKUP(AA589,A2:D500,4,FALSE))=0,,VLOOKUP(AA589,A2:D500,4,FALSE))</f>
        <v>#N/A</v>
      </c>
      <c r="AC589" s="56">
        <f>'Consumption Model'!P706</f>
        <v>0</v>
      </c>
      <c r="AD589" s="22" t="e">
        <f>IF(LEN(VLOOKUP(AC589,A2:D500,4,FALSE))=0,,VLOOKUP(AC589,A2:D500,4,FALSE))</f>
        <v>#N/A</v>
      </c>
      <c r="AE589" s="22">
        <f>'(Data)'!Q702</f>
        <v>0</v>
      </c>
      <c r="AF589" s="22" t="e">
        <f>IF(LEN(VLOOKUP(AE588:AE589,A2:D500,4,FALSE))=0,,VLOOKUP(AE588:AE589,A2:D500,4,FALSE))</f>
        <v>#N/A</v>
      </c>
      <c r="AH589" s="45">
        <f>'Risk Charact Model'!P720</f>
        <v>0</v>
      </c>
      <c r="AI589" s="58" t="e">
        <f>IF(LEN(VLOOKUP(AH589,A2:D500,4,FALSE))=0,,VLOOKUP(AH589,A2:D500,4,FALSE))</f>
        <v>#N/A</v>
      </c>
    </row>
    <row r="590" spans="9:35" ht="14" x14ac:dyDescent="0.3">
      <c r="I590" s="60">
        <f>'Generic Metadata Schema'!P720</f>
        <v>0</v>
      </c>
      <c r="J590" s="22" t="e">
        <f>IF(LEN(VLOOKUP(I590,A2:D500,4,FALSE))=0,"",VLOOKUP(I590,A2:D500,4,FALSE))</f>
        <v>#N/A</v>
      </c>
      <c r="L590" s="56">
        <f>'Dose-response Model'!O704</f>
        <v>0</v>
      </c>
      <c r="M590" s="22" t="e">
        <f>IF(LEN(VLOOKUP(L590,A2:D500,4,FALSE))=0,,VLOOKUP(L590,A2:D500,4,FALSE))</f>
        <v>#N/A</v>
      </c>
      <c r="N590" s="22">
        <f>'Exposure Model'!O721</f>
        <v>0</v>
      </c>
      <c r="O590" s="22" t="e">
        <f>IF(LEN(VLOOKUP(N590,A2:D500,4,FALSE))=0,,VLOOKUP(N590,A2:D500,4,FALSE))</f>
        <v>#N/A</v>
      </c>
      <c r="P590" s="56">
        <f>'QRA Models'!Q721</f>
        <v>0</v>
      </c>
      <c r="Q590" s="22" t="e">
        <f>IF(LEN(VLOOKUP(P590,A2:D500,4,FALSE))=0,,VLOOKUP(P590,A2:D500,4,FALSE))</f>
        <v>#N/A</v>
      </c>
      <c r="R590" s="56">
        <f>'Health metrics Models'!Q704</f>
        <v>0</v>
      </c>
      <c r="S590" s="22" t="e">
        <f>IF(LEN(VLOOKUP(R590,A2:D500,4,FALSE))=0,,VLOOKUP(R590,A2:D500,4,FALSE))</f>
        <v>#N/A</v>
      </c>
      <c r="T590" s="56">
        <f>'Process Model'!P702</f>
        <v>0</v>
      </c>
      <c r="U590" s="22" t="e">
        <f>IF(LEN(VLOOKUP(T590,A2:D500,4,FALSE))=0,,VLOOKUP(T590,A2:D500,4,FALSE))</f>
        <v>#N/A</v>
      </c>
      <c r="V590" s="56">
        <f>'Toxicological reference value M'!P704</f>
        <v>0</v>
      </c>
      <c r="W590" s="22" t="e">
        <f>IF(LEN(VLOOKUP(V590,A2:D500,4,FALSE))=0,,VLOOKUP(V590,A2:D500,4,FALSE))</f>
        <v>#N/A</v>
      </c>
      <c r="Y590" s="56">
        <f>'Other Empirical Model'!P715</f>
        <v>0</v>
      </c>
      <c r="Z590" s="22" t="e">
        <f>IF(LEN(VLOOKUP(Y590,A2:D500,4,FALSE))=0,,VLOOKUP(Y590,A2:D500,4,FALSE))</f>
        <v>#N/A</v>
      </c>
      <c r="AA590" s="56">
        <f>'Predictive Model'!P702</f>
        <v>0</v>
      </c>
      <c r="AB590" s="22" t="e">
        <f>IF(LEN(VLOOKUP(AA590,A2:D500,4,FALSE))=0,,VLOOKUP(AA590,A2:D500,4,FALSE))</f>
        <v>#N/A</v>
      </c>
      <c r="AC590" s="56">
        <f>'Consumption Model'!P707</f>
        <v>0</v>
      </c>
      <c r="AD590" s="22" t="e">
        <f>IF(LEN(VLOOKUP(AC590,A2:D500,4,FALSE))=0,,VLOOKUP(AC590,A2:D500,4,FALSE))</f>
        <v>#N/A</v>
      </c>
      <c r="AE590" s="22">
        <f>'(Data)'!Q703</f>
        <v>0</v>
      </c>
      <c r="AF590" s="22" t="e">
        <f>IF(LEN(VLOOKUP(AE589:AE590,A2:D500,4,FALSE))=0,,VLOOKUP(AE589:AE590,A2:D500,4,FALSE))</f>
        <v>#N/A</v>
      </c>
      <c r="AH590" s="45">
        <f>'Risk Charact Model'!P721</f>
        <v>0</v>
      </c>
      <c r="AI590" s="58" t="e">
        <f>IF(LEN(VLOOKUP(AH590,A2:D500,4,FALSE))=0,,VLOOKUP(AH590,A2:D500,4,FALSE))</f>
        <v>#N/A</v>
      </c>
    </row>
    <row r="591" spans="9:35" ht="14" x14ac:dyDescent="0.3">
      <c r="I591" s="60">
        <f>'Generic Metadata Schema'!P721</f>
        <v>0</v>
      </c>
      <c r="J591" s="22" t="e">
        <f>IF(LEN(VLOOKUP(I591,A2:D500,4,FALSE))=0,"",VLOOKUP(I591,A2:D500,4,FALSE))</f>
        <v>#N/A</v>
      </c>
      <c r="L591" s="56">
        <f>'Dose-response Model'!O705</f>
        <v>0</v>
      </c>
      <c r="M591" s="22" t="e">
        <f>IF(LEN(VLOOKUP(L591,A2:D500,4,FALSE))=0,,VLOOKUP(L591,A2:D500,4,FALSE))</f>
        <v>#N/A</v>
      </c>
      <c r="N591" s="22">
        <f>'Exposure Model'!O722</f>
        <v>0</v>
      </c>
      <c r="O591" s="22" t="e">
        <f>IF(LEN(VLOOKUP(N591,A2:D500,4,FALSE))=0,,VLOOKUP(N591,A2:D500,4,FALSE))</f>
        <v>#N/A</v>
      </c>
      <c r="P591" s="56">
        <f>'QRA Models'!Q722</f>
        <v>0</v>
      </c>
      <c r="Q591" s="22" t="e">
        <f>IF(LEN(VLOOKUP(P591,A2:D500,4,FALSE))=0,,VLOOKUP(P591,A2:D500,4,FALSE))</f>
        <v>#N/A</v>
      </c>
      <c r="R591" s="56">
        <f>'Health metrics Models'!Q705</f>
        <v>0</v>
      </c>
      <c r="S591" s="22" t="e">
        <f>IF(LEN(VLOOKUP(R591,A2:D500,4,FALSE))=0,,VLOOKUP(R591,A2:D500,4,FALSE))</f>
        <v>#N/A</v>
      </c>
      <c r="T591" s="56">
        <f>'Process Model'!P703</f>
        <v>0</v>
      </c>
      <c r="U591" s="22" t="e">
        <f>IF(LEN(VLOOKUP(T591,A2:D500,4,FALSE))=0,,VLOOKUP(T591,A2:D500,4,FALSE))</f>
        <v>#N/A</v>
      </c>
      <c r="V591" s="56">
        <f>'Toxicological reference value M'!P705</f>
        <v>0</v>
      </c>
      <c r="W591" s="22" t="e">
        <f>IF(LEN(VLOOKUP(V591,A2:D500,4,FALSE))=0,,VLOOKUP(V591,A2:D500,4,FALSE))</f>
        <v>#N/A</v>
      </c>
      <c r="Y591" s="56">
        <f>'Other Empirical Model'!P716</f>
        <v>0</v>
      </c>
      <c r="Z591" s="22" t="e">
        <f>IF(LEN(VLOOKUP(Y591,A2:D500,4,FALSE))=0,,VLOOKUP(Y591,A2:D500,4,FALSE))</f>
        <v>#N/A</v>
      </c>
      <c r="AA591" s="56">
        <f>'Predictive Model'!P703</f>
        <v>0</v>
      </c>
      <c r="AB591" s="22" t="e">
        <f>IF(LEN(VLOOKUP(AA591,A2:D500,4,FALSE))=0,,VLOOKUP(AA591,A2:D500,4,FALSE))</f>
        <v>#N/A</v>
      </c>
      <c r="AC591" s="56">
        <f>'Consumption Model'!P708</f>
        <v>0</v>
      </c>
      <c r="AD591" s="22" t="e">
        <f>IF(LEN(VLOOKUP(AC591,A2:D500,4,FALSE))=0,,VLOOKUP(AC591,A2:D500,4,FALSE))</f>
        <v>#N/A</v>
      </c>
      <c r="AE591" s="22">
        <f>'(Data)'!Q704</f>
        <v>0</v>
      </c>
      <c r="AF591" s="22" t="e">
        <f>IF(LEN(VLOOKUP(AE590:AE591,A2:D500,4,FALSE))=0,,VLOOKUP(AE590:AE591,A2:D500,4,FALSE))</f>
        <v>#N/A</v>
      </c>
      <c r="AH591" s="45">
        <f>'Risk Charact Model'!P722</f>
        <v>0</v>
      </c>
      <c r="AI591" s="58" t="e">
        <f>IF(LEN(VLOOKUP(AH591,A2:D500,4,FALSE))=0,,VLOOKUP(AH591,A2:D500,4,FALSE))</f>
        <v>#N/A</v>
      </c>
    </row>
    <row r="592" spans="9:35" ht="14" x14ac:dyDescent="0.3">
      <c r="I592" s="60">
        <f>'Generic Metadata Schema'!P722</f>
        <v>0</v>
      </c>
      <c r="J592" s="22" t="e">
        <f>IF(LEN(VLOOKUP(I592,A2:D500,4,FALSE))=0,"",VLOOKUP(I592,A2:D500,4,FALSE))</f>
        <v>#N/A</v>
      </c>
      <c r="L592" s="56">
        <f>'Dose-response Model'!O706</f>
        <v>0</v>
      </c>
      <c r="M592" s="22" t="e">
        <f>IF(LEN(VLOOKUP(L592,A2:D500,4,FALSE))=0,,VLOOKUP(L592,A2:D500,4,FALSE))</f>
        <v>#N/A</v>
      </c>
      <c r="N592" s="22">
        <f>'Exposure Model'!O723</f>
        <v>0</v>
      </c>
      <c r="O592" s="22" t="e">
        <f>IF(LEN(VLOOKUP(N592,A2:D500,4,FALSE))=0,,VLOOKUP(N592,A2:D500,4,FALSE))</f>
        <v>#N/A</v>
      </c>
      <c r="P592" s="56">
        <f>'QRA Models'!Q723</f>
        <v>0</v>
      </c>
      <c r="Q592" s="22" t="e">
        <f>IF(LEN(VLOOKUP(P592,A2:D500,4,FALSE))=0,,VLOOKUP(P592,A2:D500,4,FALSE))</f>
        <v>#N/A</v>
      </c>
      <c r="R592" s="56">
        <f>'Health metrics Models'!Q706</f>
        <v>0</v>
      </c>
      <c r="S592" s="22" t="e">
        <f>IF(LEN(VLOOKUP(R592,A2:D500,4,FALSE))=0,,VLOOKUP(R592,A2:D500,4,FALSE))</f>
        <v>#N/A</v>
      </c>
      <c r="T592" s="56">
        <f>'Process Model'!P704</f>
        <v>0</v>
      </c>
      <c r="U592" s="22" t="e">
        <f>IF(LEN(VLOOKUP(T592,A2:D500,4,FALSE))=0,,VLOOKUP(T592,A2:D500,4,FALSE))</f>
        <v>#N/A</v>
      </c>
      <c r="V592" s="56">
        <f>'Toxicological reference value M'!P706</f>
        <v>0</v>
      </c>
      <c r="W592" s="22" t="e">
        <f>IF(LEN(VLOOKUP(V592,A2:D500,4,FALSE))=0,,VLOOKUP(V592,A2:D500,4,FALSE))</f>
        <v>#N/A</v>
      </c>
      <c r="Y592" s="56">
        <f>'Other Empirical Model'!P717</f>
        <v>0</v>
      </c>
      <c r="Z592" s="22" t="e">
        <f>IF(LEN(VLOOKUP(Y592,A2:D500,4,FALSE))=0,,VLOOKUP(Y592,A2:D500,4,FALSE))</f>
        <v>#N/A</v>
      </c>
      <c r="AA592" s="56">
        <f>'Predictive Model'!P704</f>
        <v>0</v>
      </c>
      <c r="AB592" s="22" t="e">
        <f>IF(LEN(VLOOKUP(AA592,A2:D500,4,FALSE))=0,,VLOOKUP(AA592,A2:D500,4,FALSE))</f>
        <v>#N/A</v>
      </c>
      <c r="AC592" s="56">
        <f>'Consumption Model'!P709</f>
        <v>0</v>
      </c>
      <c r="AD592" s="22" t="e">
        <f>IF(LEN(VLOOKUP(AC592,A2:D500,4,FALSE))=0,,VLOOKUP(AC592,A2:D500,4,FALSE))</f>
        <v>#N/A</v>
      </c>
      <c r="AE592" s="22">
        <f>'(Data)'!Q705</f>
        <v>0</v>
      </c>
      <c r="AF592" s="22" t="e">
        <f>IF(LEN(VLOOKUP(AE591:AE592,A2:D500,4,FALSE))=0,,VLOOKUP(AE591:AE592,A2:D500,4,FALSE))</f>
        <v>#N/A</v>
      </c>
      <c r="AH592" s="45">
        <f>'Risk Charact Model'!P723</f>
        <v>0</v>
      </c>
      <c r="AI592" s="58" t="e">
        <f>IF(LEN(VLOOKUP(AH592,A2:D500,4,FALSE))=0,,VLOOKUP(AH592,A2:D500,4,FALSE))</f>
        <v>#N/A</v>
      </c>
    </row>
    <row r="593" spans="9:35" ht="14" x14ac:dyDescent="0.3">
      <c r="I593" s="60">
        <f>'Generic Metadata Schema'!P723</f>
        <v>0</v>
      </c>
      <c r="J593" s="22" t="e">
        <f>IF(LEN(VLOOKUP(I593,A2:D500,4,FALSE))=0,"",VLOOKUP(I593,A2:D500,4,FALSE))</f>
        <v>#N/A</v>
      </c>
      <c r="L593" s="56">
        <f>'Dose-response Model'!O707</f>
        <v>0</v>
      </c>
      <c r="M593" s="22" t="e">
        <f>IF(LEN(VLOOKUP(L593,A2:D500,4,FALSE))=0,,VLOOKUP(L593,A2:D500,4,FALSE))</f>
        <v>#N/A</v>
      </c>
      <c r="N593" s="22">
        <f>'Exposure Model'!O724</f>
        <v>0</v>
      </c>
      <c r="O593" s="22" t="e">
        <f>IF(LEN(VLOOKUP(N593,A2:D500,4,FALSE))=0,,VLOOKUP(N593,A2:D500,4,FALSE))</f>
        <v>#N/A</v>
      </c>
      <c r="P593" s="56">
        <f>'QRA Models'!Q724</f>
        <v>0</v>
      </c>
      <c r="Q593" s="22" t="e">
        <f>IF(LEN(VLOOKUP(P593,A2:D500,4,FALSE))=0,,VLOOKUP(P593,A2:D500,4,FALSE))</f>
        <v>#N/A</v>
      </c>
      <c r="R593" s="56">
        <f>'Health metrics Models'!Q707</f>
        <v>0</v>
      </c>
      <c r="S593" s="22" t="e">
        <f>IF(LEN(VLOOKUP(R593,A2:D500,4,FALSE))=0,,VLOOKUP(R593,A2:D500,4,FALSE))</f>
        <v>#N/A</v>
      </c>
      <c r="T593" s="56">
        <f>'Process Model'!P705</f>
        <v>0</v>
      </c>
      <c r="U593" s="22" t="e">
        <f>IF(LEN(VLOOKUP(T593,A2:D500,4,FALSE))=0,,VLOOKUP(T593,A2:D500,4,FALSE))</f>
        <v>#N/A</v>
      </c>
      <c r="V593" s="56">
        <f>'Toxicological reference value M'!P707</f>
        <v>0</v>
      </c>
      <c r="W593" s="22" t="e">
        <f>IF(LEN(VLOOKUP(V593,A2:D500,4,FALSE))=0,,VLOOKUP(V593,A2:D500,4,FALSE))</f>
        <v>#N/A</v>
      </c>
      <c r="Y593" s="56">
        <f>'Other Empirical Model'!P718</f>
        <v>0</v>
      </c>
      <c r="Z593" s="22" t="e">
        <f>IF(LEN(VLOOKUP(Y593,A2:D500,4,FALSE))=0,,VLOOKUP(Y593,A2:D500,4,FALSE))</f>
        <v>#N/A</v>
      </c>
      <c r="AA593" s="56">
        <f>'Predictive Model'!P705</f>
        <v>0</v>
      </c>
      <c r="AB593" s="22" t="e">
        <f>IF(LEN(VLOOKUP(AA593,A2:D500,4,FALSE))=0,,VLOOKUP(AA593,A2:D500,4,FALSE))</f>
        <v>#N/A</v>
      </c>
      <c r="AC593" s="56">
        <f>'Consumption Model'!P710</f>
        <v>0</v>
      </c>
      <c r="AD593" s="22" t="e">
        <f>IF(LEN(VLOOKUP(AC593,A2:D500,4,FALSE))=0,,VLOOKUP(AC593,A2:D500,4,FALSE))</f>
        <v>#N/A</v>
      </c>
      <c r="AE593" s="22">
        <f>'(Data)'!Q706</f>
        <v>0</v>
      </c>
      <c r="AF593" s="22" t="e">
        <f>IF(LEN(VLOOKUP(AE592:AE593,A2:D500,4,FALSE))=0,,VLOOKUP(AE592:AE593,A2:D500,4,FALSE))</f>
        <v>#N/A</v>
      </c>
      <c r="AH593" s="45">
        <f>'Risk Charact Model'!P724</f>
        <v>0</v>
      </c>
      <c r="AI593" s="58" t="e">
        <f>IF(LEN(VLOOKUP(AH593,A2:D500,4,FALSE))=0,,VLOOKUP(AH593,A2:D500,4,FALSE))</f>
        <v>#N/A</v>
      </c>
    </row>
    <row r="594" spans="9:35" ht="14" x14ac:dyDescent="0.3">
      <c r="I594" s="60">
        <f>'Generic Metadata Schema'!P724</f>
        <v>0</v>
      </c>
      <c r="J594" s="22" t="e">
        <f>IF(LEN(VLOOKUP(I594,A2:D500,4,FALSE))=0,"",VLOOKUP(I594,A2:D500,4,FALSE))</f>
        <v>#N/A</v>
      </c>
      <c r="L594" s="56">
        <f>'Dose-response Model'!O708</f>
        <v>0</v>
      </c>
      <c r="M594" s="22" t="e">
        <f>IF(LEN(VLOOKUP(L594,A2:D500,4,FALSE))=0,,VLOOKUP(L594,A2:D500,4,FALSE))</f>
        <v>#N/A</v>
      </c>
      <c r="N594" s="22">
        <f>'Exposure Model'!O725</f>
        <v>0</v>
      </c>
      <c r="O594" s="22" t="e">
        <f>IF(LEN(VLOOKUP(N594,A2:D500,4,FALSE))=0,,VLOOKUP(N594,A2:D500,4,FALSE))</f>
        <v>#N/A</v>
      </c>
      <c r="P594" s="56">
        <f>'QRA Models'!Q725</f>
        <v>0</v>
      </c>
      <c r="Q594" s="22" t="e">
        <f>IF(LEN(VLOOKUP(P594,A2:D500,4,FALSE))=0,,VLOOKUP(P594,A2:D500,4,FALSE))</f>
        <v>#N/A</v>
      </c>
      <c r="R594" s="56">
        <f>'Health metrics Models'!Q708</f>
        <v>0</v>
      </c>
      <c r="S594" s="22" t="e">
        <f>IF(LEN(VLOOKUP(R594,A2:D500,4,FALSE))=0,,VLOOKUP(R594,A2:D500,4,FALSE))</f>
        <v>#N/A</v>
      </c>
      <c r="T594" s="56">
        <f>'Process Model'!P706</f>
        <v>0</v>
      </c>
      <c r="U594" s="22" t="e">
        <f>IF(LEN(VLOOKUP(T594,A2:D500,4,FALSE))=0,,VLOOKUP(T594,A2:D500,4,FALSE))</f>
        <v>#N/A</v>
      </c>
      <c r="V594" s="56">
        <f>'Toxicological reference value M'!P708</f>
        <v>0</v>
      </c>
      <c r="W594" s="22" t="e">
        <f>IF(LEN(VLOOKUP(V594,A2:D500,4,FALSE))=0,,VLOOKUP(V594,A2:D500,4,FALSE))</f>
        <v>#N/A</v>
      </c>
      <c r="Y594" s="56">
        <f>'Other Empirical Model'!P719</f>
        <v>0</v>
      </c>
      <c r="Z594" s="22" t="e">
        <f>IF(LEN(VLOOKUP(Y594,A2:D500,4,FALSE))=0,,VLOOKUP(Y594,A2:D500,4,FALSE))</f>
        <v>#N/A</v>
      </c>
      <c r="AA594" s="56">
        <f>'Predictive Model'!P706</f>
        <v>0</v>
      </c>
      <c r="AB594" s="22" t="e">
        <f>IF(LEN(VLOOKUP(AA594,A2:D500,4,FALSE))=0,,VLOOKUP(AA594,A2:D500,4,FALSE))</f>
        <v>#N/A</v>
      </c>
      <c r="AC594" s="56">
        <f>'Consumption Model'!P711</f>
        <v>0</v>
      </c>
      <c r="AD594" s="22" t="e">
        <f>IF(LEN(VLOOKUP(AC594,A2:D500,4,FALSE))=0,,VLOOKUP(AC594,A2:D500,4,FALSE))</f>
        <v>#N/A</v>
      </c>
      <c r="AE594" s="22">
        <f>'(Data)'!Q707</f>
        <v>0</v>
      </c>
      <c r="AF594" s="22" t="e">
        <f>IF(LEN(VLOOKUP(AE593:AE594,A2:D500,4,FALSE))=0,,VLOOKUP(AE593:AE594,A2:D500,4,FALSE))</f>
        <v>#N/A</v>
      </c>
      <c r="AH594" s="45">
        <f>'Risk Charact Model'!P725</f>
        <v>0</v>
      </c>
      <c r="AI594" s="58" t="e">
        <f>IF(LEN(VLOOKUP(AH594,A2:D500,4,FALSE))=0,,VLOOKUP(AH594,A2:D500,4,FALSE))</f>
        <v>#N/A</v>
      </c>
    </row>
    <row r="595" spans="9:35" ht="14" x14ac:dyDescent="0.3">
      <c r="I595" s="60">
        <f>'Generic Metadata Schema'!P725</f>
        <v>0</v>
      </c>
      <c r="J595" s="22" t="e">
        <f>IF(LEN(VLOOKUP(I595,A2:D500,4,FALSE))=0,"",VLOOKUP(I595,A2:D500,4,FALSE))</f>
        <v>#N/A</v>
      </c>
      <c r="L595" s="56">
        <f>'Dose-response Model'!O709</f>
        <v>0</v>
      </c>
      <c r="M595" s="22" t="e">
        <f>IF(LEN(VLOOKUP(L595,A2:D500,4,FALSE))=0,,VLOOKUP(L595,A2:D500,4,FALSE))</f>
        <v>#N/A</v>
      </c>
      <c r="N595" s="22">
        <f>'Exposure Model'!O726</f>
        <v>0</v>
      </c>
      <c r="O595" s="22" t="e">
        <f>IF(LEN(VLOOKUP(N595,A2:D500,4,FALSE))=0,,VLOOKUP(N595,A2:D500,4,FALSE))</f>
        <v>#N/A</v>
      </c>
      <c r="P595" s="56">
        <f>'QRA Models'!Q726</f>
        <v>0</v>
      </c>
      <c r="Q595" s="22" t="e">
        <f>IF(LEN(VLOOKUP(P595,A2:D500,4,FALSE))=0,,VLOOKUP(P595,A2:D500,4,FALSE))</f>
        <v>#N/A</v>
      </c>
      <c r="R595" s="56">
        <f>'Health metrics Models'!Q709</f>
        <v>0</v>
      </c>
      <c r="S595" s="22" t="e">
        <f>IF(LEN(VLOOKUP(R595,A2:D500,4,FALSE))=0,,VLOOKUP(R595,A2:D500,4,FALSE))</f>
        <v>#N/A</v>
      </c>
      <c r="T595" s="56">
        <f>'Process Model'!P707</f>
        <v>0</v>
      </c>
      <c r="U595" s="22" t="e">
        <f>IF(LEN(VLOOKUP(T595,A2:D500,4,FALSE))=0,,VLOOKUP(T595,A2:D500,4,FALSE))</f>
        <v>#N/A</v>
      </c>
      <c r="V595" s="56">
        <f>'Toxicological reference value M'!P709</f>
        <v>0</v>
      </c>
      <c r="W595" s="22" t="e">
        <f>IF(LEN(VLOOKUP(V595,A2:D500,4,FALSE))=0,,VLOOKUP(V595,A2:D500,4,FALSE))</f>
        <v>#N/A</v>
      </c>
      <c r="Y595" s="56">
        <f>'Other Empirical Model'!P720</f>
        <v>0</v>
      </c>
      <c r="Z595" s="22" t="e">
        <f>IF(LEN(VLOOKUP(Y595,A2:D500,4,FALSE))=0,,VLOOKUP(Y595,A2:D500,4,FALSE))</f>
        <v>#N/A</v>
      </c>
      <c r="AA595" s="56">
        <f>'Predictive Model'!P707</f>
        <v>0</v>
      </c>
      <c r="AB595" s="22" t="e">
        <f>IF(LEN(VLOOKUP(AA595,A2:D500,4,FALSE))=0,,VLOOKUP(AA595,A2:D500,4,FALSE))</f>
        <v>#N/A</v>
      </c>
      <c r="AC595" s="56">
        <f>'Consumption Model'!P712</f>
        <v>0</v>
      </c>
      <c r="AD595" s="22" t="e">
        <f>IF(LEN(VLOOKUP(AC595,A2:D500,4,FALSE))=0,,VLOOKUP(AC595,A2:D500,4,FALSE))</f>
        <v>#N/A</v>
      </c>
      <c r="AE595" s="22">
        <f>'(Data)'!Q708</f>
        <v>0</v>
      </c>
      <c r="AF595" s="22" t="e">
        <f>IF(LEN(VLOOKUP(AE594:AE595,A2:D500,4,FALSE))=0,,VLOOKUP(AE594:AE595,A2:D500,4,FALSE))</f>
        <v>#N/A</v>
      </c>
      <c r="AH595" s="45">
        <f>'Risk Charact Model'!P726</f>
        <v>0</v>
      </c>
      <c r="AI595" s="58" t="e">
        <f>IF(LEN(VLOOKUP(AH595,A2:D500,4,FALSE))=0,,VLOOKUP(AH595,A2:D500,4,FALSE))</f>
        <v>#N/A</v>
      </c>
    </row>
    <row r="596" spans="9:35" ht="14" x14ac:dyDescent="0.3">
      <c r="I596" s="60">
        <f>'Generic Metadata Schema'!P726</f>
        <v>0</v>
      </c>
      <c r="J596" s="22" t="e">
        <f>IF(LEN(VLOOKUP(I596,A2:D500,4,FALSE))=0,"",VLOOKUP(I596,A2:D500,4,FALSE))</f>
        <v>#N/A</v>
      </c>
      <c r="L596" s="56">
        <f>'Dose-response Model'!O710</f>
        <v>0</v>
      </c>
      <c r="M596" s="22" t="e">
        <f>IF(LEN(VLOOKUP(L596,A2:D500,4,FALSE))=0,,VLOOKUP(L596,A2:D500,4,FALSE))</f>
        <v>#N/A</v>
      </c>
      <c r="N596" s="22">
        <f>'Exposure Model'!O727</f>
        <v>0</v>
      </c>
      <c r="O596" s="22" t="e">
        <f>IF(LEN(VLOOKUP(N596,A2:D500,4,FALSE))=0,,VLOOKUP(N596,A2:D500,4,FALSE))</f>
        <v>#N/A</v>
      </c>
      <c r="P596" s="56">
        <f>'QRA Models'!Q727</f>
        <v>0</v>
      </c>
      <c r="Q596" s="22" t="e">
        <f>IF(LEN(VLOOKUP(P596,A2:D500,4,FALSE))=0,,VLOOKUP(P596,A2:D500,4,FALSE))</f>
        <v>#N/A</v>
      </c>
      <c r="R596" s="56">
        <f>'Health metrics Models'!Q710</f>
        <v>0</v>
      </c>
      <c r="S596" s="22" t="e">
        <f>IF(LEN(VLOOKUP(R596,A2:D500,4,FALSE))=0,,VLOOKUP(R596,A2:D500,4,FALSE))</f>
        <v>#N/A</v>
      </c>
      <c r="T596" s="56">
        <f>'Process Model'!P708</f>
        <v>0</v>
      </c>
      <c r="U596" s="22" t="e">
        <f>IF(LEN(VLOOKUP(T596,A2:D500,4,FALSE))=0,,VLOOKUP(T596,A2:D500,4,FALSE))</f>
        <v>#N/A</v>
      </c>
      <c r="V596" s="56">
        <f>'Toxicological reference value M'!P710</f>
        <v>0</v>
      </c>
      <c r="W596" s="22" t="e">
        <f>IF(LEN(VLOOKUP(V596,A2:D500,4,FALSE))=0,,VLOOKUP(V596,A2:D500,4,FALSE))</f>
        <v>#N/A</v>
      </c>
      <c r="Y596" s="56">
        <f>'Other Empirical Model'!P721</f>
        <v>0</v>
      </c>
      <c r="Z596" s="22" t="e">
        <f>IF(LEN(VLOOKUP(Y596,A2:D500,4,FALSE))=0,,VLOOKUP(Y596,A2:D500,4,FALSE))</f>
        <v>#N/A</v>
      </c>
      <c r="AA596" s="56">
        <f>'Predictive Model'!P708</f>
        <v>0</v>
      </c>
      <c r="AB596" s="22" t="e">
        <f>IF(LEN(VLOOKUP(AA596,A2:D500,4,FALSE))=0,,VLOOKUP(AA596,A2:D500,4,FALSE))</f>
        <v>#N/A</v>
      </c>
      <c r="AC596" s="56">
        <f>'Consumption Model'!P713</f>
        <v>0</v>
      </c>
      <c r="AD596" s="22" t="e">
        <f>IF(LEN(VLOOKUP(AC596,A2:D500,4,FALSE))=0,,VLOOKUP(AC596,A2:D500,4,FALSE))</f>
        <v>#N/A</v>
      </c>
      <c r="AE596" s="22">
        <f>'(Data)'!Q709</f>
        <v>0</v>
      </c>
      <c r="AF596" s="22" t="e">
        <f>IF(LEN(VLOOKUP(AE595:AE596,A2:D500,4,FALSE))=0,,VLOOKUP(AE595:AE596,A2:D500,4,FALSE))</f>
        <v>#N/A</v>
      </c>
      <c r="AH596" s="45">
        <f>'Risk Charact Model'!P727</f>
        <v>0</v>
      </c>
      <c r="AI596" s="58" t="e">
        <f>IF(LEN(VLOOKUP(AH596,A2:D500,4,FALSE))=0,,VLOOKUP(AH596,A2:D500,4,FALSE))</f>
        <v>#N/A</v>
      </c>
    </row>
    <row r="597" spans="9:35" ht="14" x14ac:dyDescent="0.3">
      <c r="I597" s="60">
        <f>'Generic Metadata Schema'!P727</f>
        <v>0</v>
      </c>
      <c r="J597" s="22" t="e">
        <f>IF(LEN(VLOOKUP(I597,A2:D500,4,FALSE))=0,"",VLOOKUP(I597,A2:D500,4,FALSE))</f>
        <v>#N/A</v>
      </c>
      <c r="L597" s="56">
        <f>'Dose-response Model'!O711</f>
        <v>0</v>
      </c>
      <c r="M597" s="22" t="e">
        <f>IF(LEN(VLOOKUP(L597,A2:D500,4,FALSE))=0,,VLOOKUP(L597,A2:D500,4,FALSE))</f>
        <v>#N/A</v>
      </c>
      <c r="N597" s="22">
        <f>'Exposure Model'!O728</f>
        <v>0</v>
      </c>
      <c r="O597" s="22" t="e">
        <f>IF(LEN(VLOOKUP(N597,A2:D500,4,FALSE))=0,,VLOOKUP(N597,A2:D500,4,FALSE))</f>
        <v>#N/A</v>
      </c>
      <c r="P597" s="56">
        <f>'QRA Models'!Q728</f>
        <v>0</v>
      </c>
      <c r="Q597" s="22" t="e">
        <f>IF(LEN(VLOOKUP(P597,A2:D500,4,FALSE))=0,,VLOOKUP(P597,A2:D500,4,FALSE))</f>
        <v>#N/A</v>
      </c>
      <c r="R597" s="56">
        <f>'Health metrics Models'!Q711</f>
        <v>0</v>
      </c>
      <c r="S597" s="22" t="e">
        <f>IF(LEN(VLOOKUP(R597,A2:D500,4,FALSE))=0,,VLOOKUP(R597,A2:D500,4,FALSE))</f>
        <v>#N/A</v>
      </c>
      <c r="T597" s="56">
        <f>'Process Model'!P709</f>
        <v>0</v>
      </c>
      <c r="U597" s="22" t="e">
        <f>IF(LEN(VLOOKUP(T597,A2:D500,4,FALSE))=0,,VLOOKUP(T597,A2:D500,4,FALSE))</f>
        <v>#N/A</v>
      </c>
      <c r="V597" s="56">
        <f>'Toxicological reference value M'!P711</f>
        <v>0</v>
      </c>
      <c r="W597" s="22" t="e">
        <f>IF(LEN(VLOOKUP(V597,A2:D500,4,FALSE))=0,,VLOOKUP(V597,A2:D500,4,FALSE))</f>
        <v>#N/A</v>
      </c>
      <c r="Y597" s="56">
        <f>'Other Empirical Model'!P722</f>
        <v>0</v>
      </c>
      <c r="Z597" s="22" t="e">
        <f>IF(LEN(VLOOKUP(Y597,A2:D500,4,FALSE))=0,,VLOOKUP(Y597,A2:D500,4,FALSE))</f>
        <v>#N/A</v>
      </c>
      <c r="AA597" s="56">
        <f>'Predictive Model'!P709</f>
        <v>0</v>
      </c>
      <c r="AB597" s="22" t="e">
        <f>IF(LEN(VLOOKUP(AA597,A2:D500,4,FALSE))=0,,VLOOKUP(AA597,A2:D500,4,FALSE))</f>
        <v>#N/A</v>
      </c>
      <c r="AC597" s="56">
        <f>'Consumption Model'!P714</f>
        <v>0</v>
      </c>
      <c r="AD597" s="22" t="e">
        <f>IF(LEN(VLOOKUP(AC597,A2:D500,4,FALSE))=0,,VLOOKUP(AC597,A2:D500,4,FALSE))</f>
        <v>#N/A</v>
      </c>
      <c r="AE597" s="22">
        <f>'(Data)'!Q710</f>
        <v>0</v>
      </c>
      <c r="AF597" s="22" t="e">
        <f>IF(LEN(VLOOKUP(AE596:AE597,A2:D500,4,FALSE))=0,,VLOOKUP(AE596:AE597,A2:D500,4,FALSE))</f>
        <v>#N/A</v>
      </c>
      <c r="AH597" s="45">
        <f>'Risk Charact Model'!P728</f>
        <v>0</v>
      </c>
      <c r="AI597" s="58" t="e">
        <f>IF(LEN(VLOOKUP(AH597,A2:D500,4,FALSE))=0,,VLOOKUP(AH597,A2:D500,4,FALSE))</f>
        <v>#N/A</v>
      </c>
    </row>
    <row r="598" spans="9:35" ht="14" x14ac:dyDescent="0.3">
      <c r="I598" s="60">
        <f>'Generic Metadata Schema'!P728</f>
        <v>0</v>
      </c>
      <c r="J598" s="22" t="e">
        <f>IF(LEN(VLOOKUP(I598,A2:D500,4,FALSE))=0,"",VLOOKUP(I598,A2:D500,4,FALSE))</f>
        <v>#N/A</v>
      </c>
      <c r="L598" s="56">
        <f>'Dose-response Model'!O712</f>
        <v>0</v>
      </c>
      <c r="M598" s="22" t="e">
        <f>IF(LEN(VLOOKUP(L598,A2:D500,4,FALSE))=0,,VLOOKUP(L598,A2:D500,4,FALSE))</f>
        <v>#N/A</v>
      </c>
      <c r="N598" s="22">
        <f>'Exposure Model'!O729</f>
        <v>0</v>
      </c>
      <c r="O598" s="22" t="e">
        <f>IF(LEN(VLOOKUP(N598,A2:D500,4,FALSE))=0,,VLOOKUP(N598,A2:D500,4,FALSE))</f>
        <v>#N/A</v>
      </c>
      <c r="P598" s="56">
        <f>'QRA Models'!Q729</f>
        <v>0</v>
      </c>
      <c r="Q598" s="22" t="e">
        <f>IF(LEN(VLOOKUP(P598,A2:D500,4,FALSE))=0,,VLOOKUP(P598,A2:D500,4,FALSE))</f>
        <v>#N/A</v>
      </c>
      <c r="R598" s="56">
        <f>'Health metrics Models'!Q712</f>
        <v>0</v>
      </c>
      <c r="S598" s="22" t="e">
        <f>IF(LEN(VLOOKUP(R598,A2:D500,4,FALSE))=0,,VLOOKUP(R598,A2:D500,4,FALSE))</f>
        <v>#N/A</v>
      </c>
      <c r="T598" s="56">
        <f>'Process Model'!P710</f>
        <v>0</v>
      </c>
      <c r="U598" s="22" t="e">
        <f>IF(LEN(VLOOKUP(T598,A2:D500,4,FALSE))=0,,VLOOKUP(T598,A2:D500,4,FALSE))</f>
        <v>#N/A</v>
      </c>
      <c r="V598" s="56">
        <f>'Toxicological reference value M'!P712</f>
        <v>0</v>
      </c>
      <c r="W598" s="22" t="e">
        <f>IF(LEN(VLOOKUP(V598,A2:D500,4,FALSE))=0,,VLOOKUP(V598,A2:D500,4,FALSE))</f>
        <v>#N/A</v>
      </c>
      <c r="Y598" s="56">
        <f>'Other Empirical Model'!P723</f>
        <v>0</v>
      </c>
      <c r="Z598" s="22" t="e">
        <f>IF(LEN(VLOOKUP(Y598,A2:D500,4,FALSE))=0,,VLOOKUP(Y598,A2:D500,4,FALSE))</f>
        <v>#N/A</v>
      </c>
      <c r="AA598" s="56">
        <f>'Predictive Model'!P710</f>
        <v>0</v>
      </c>
      <c r="AB598" s="22" t="e">
        <f>IF(LEN(VLOOKUP(AA598,A2:D500,4,FALSE))=0,,VLOOKUP(AA598,A2:D500,4,FALSE))</f>
        <v>#N/A</v>
      </c>
      <c r="AC598" s="56">
        <f>'Consumption Model'!P715</f>
        <v>0</v>
      </c>
      <c r="AD598" s="22" t="e">
        <f>IF(LEN(VLOOKUP(AC598,A2:D500,4,FALSE))=0,,VLOOKUP(AC598,A2:D500,4,FALSE))</f>
        <v>#N/A</v>
      </c>
      <c r="AE598" s="22">
        <f>'(Data)'!Q711</f>
        <v>0</v>
      </c>
      <c r="AF598" s="22" t="e">
        <f>IF(LEN(VLOOKUP(AE597:AE598,A2:D500,4,FALSE))=0,,VLOOKUP(AE597:AE598,A2:D500,4,FALSE))</f>
        <v>#N/A</v>
      </c>
      <c r="AH598" s="45">
        <f>'Risk Charact Model'!P729</f>
        <v>0</v>
      </c>
      <c r="AI598" s="58" t="e">
        <f>IF(LEN(VLOOKUP(AH598,A2:D500,4,FALSE))=0,,VLOOKUP(AH598,A2:D500,4,FALSE))</f>
        <v>#N/A</v>
      </c>
    </row>
    <row r="599" spans="9:35" ht="14" x14ac:dyDescent="0.3">
      <c r="I599" s="60">
        <f>'Generic Metadata Schema'!P729</f>
        <v>0</v>
      </c>
      <c r="J599" s="22" t="e">
        <f>IF(LEN(VLOOKUP(I599,A2:D500,4,FALSE))=0,"",VLOOKUP(I599,A2:D500,4,FALSE))</f>
        <v>#N/A</v>
      </c>
      <c r="L599" s="56">
        <f>'Dose-response Model'!O713</f>
        <v>0</v>
      </c>
      <c r="M599" s="22" t="e">
        <f>IF(LEN(VLOOKUP(L599,A2:D500,4,FALSE))=0,,VLOOKUP(L599,A2:D500,4,FALSE))</f>
        <v>#N/A</v>
      </c>
      <c r="N599" s="22">
        <f>'Exposure Model'!O730</f>
        <v>0</v>
      </c>
      <c r="O599" s="22" t="e">
        <f>IF(LEN(VLOOKUP(N599,A2:D500,4,FALSE))=0,,VLOOKUP(N599,A2:D500,4,FALSE))</f>
        <v>#N/A</v>
      </c>
      <c r="P599" s="56">
        <f>'QRA Models'!Q730</f>
        <v>0</v>
      </c>
      <c r="Q599" s="22" t="e">
        <f>IF(LEN(VLOOKUP(P599,A2:D500,4,FALSE))=0,,VLOOKUP(P599,A2:D500,4,FALSE))</f>
        <v>#N/A</v>
      </c>
      <c r="R599" s="56">
        <f>'Health metrics Models'!Q713</f>
        <v>0</v>
      </c>
      <c r="S599" s="22" t="e">
        <f>IF(LEN(VLOOKUP(R599,A2:D500,4,FALSE))=0,,VLOOKUP(R599,A2:D500,4,FALSE))</f>
        <v>#N/A</v>
      </c>
      <c r="T599" s="56">
        <f>'Process Model'!P711</f>
        <v>0</v>
      </c>
      <c r="U599" s="22" t="e">
        <f>IF(LEN(VLOOKUP(T599,A2:D500,4,FALSE))=0,,VLOOKUP(T599,A2:D500,4,FALSE))</f>
        <v>#N/A</v>
      </c>
      <c r="V599" s="56">
        <f>'Toxicological reference value M'!P713</f>
        <v>0</v>
      </c>
      <c r="W599" s="22" t="e">
        <f>IF(LEN(VLOOKUP(V599,A2:D500,4,FALSE))=0,,VLOOKUP(V599,A2:D500,4,FALSE))</f>
        <v>#N/A</v>
      </c>
      <c r="Y599" s="56">
        <f>'Other Empirical Model'!P724</f>
        <v>0</v>
      </c>
      <c r="Z599" s="22" t="e">
        <f>IF(LEN(VLOOKUP(Y599,A2:D500,4,FALSE))=0,,VLOOKUP(Y599,A2:D500,4,FALSE))</f>
        <v>#N/A</v>
      </c>
      <c r="AA599" s="56">
        <f>'Predictive Model'!P711</f>
        <v>0</v>
      </c>
      <c r="AB599" s="22" t="e">
        <f>IF(LEN(VLOOKUP(AA599,A2:D500,4,FALSE))=0,,VLOOKUP(AA599,A2:D500,4,FALSE))</f>
        <v>#N/A</v>
      </c>
      <c r="AC599" s="56">
        <f>'Consumption Model'!P716</f>
        <v>0</v>
      </c>
      <c r="AD599" s="22" t="e">
        <f>IF(LEN(VLOOKUP(AC599,A2:D500,4,FALSE))=0,,VLOOKUP(AC599,A2:D500,4,FALSE))</f>
        <v>#N/A</v>
      </c>
      <c r="AE599" s="22">
        <f>'(Data)'!Q712</f>
        <v>0</v>
      </c>
      <c r="AF599" s="22" t="e">
        <f>IF(LEN(VLOOKUP(AE598:AE599,A2:D500,4,FALSE))=0,,VLOOKUP(AE598:AE599,A2:D500,4,FALSE))</f>
        <v>#N/A</v>
      </c>
      <c r="AH599" s="45">
        <f>'Risk Charact Model'!P730</f>
        <v>0</v>
      </c>
      <c r="AI599" s="58" t="e">
        <f>IF(LEN(VLOOKUP(AH599,A2:D500,4,FALSE))=0,,VLOOKUP(AH599,A2:D500,4,FALSE))</f>
        <v>#N/A</v>
      </c>
    </row>
    <row r="600" spans="9:35" ht="14" x14ac:dyDescent="0.3">
      <c r="I600" s="60">
        <f>'Generic Metadata Schema'!P730</f>
        <v>0</v>
      </c>
      <c r="J600" s="22" t="e">
        <f>IF(LEN(VLOOKUP(I600,A2:D500,4,FALSE))=0,"",VLOOKUP(I600,A2:D500,4,FALSE))</f>
        <v>#N/A</v>
      </c>
      <c r="L600" s="56">
        <f>'Dose-response Model'!O714</f>
        <v>0</v>
      </c>
      <c r="M600" s="22" t="e">
        <f>IF(LEN(VLOOKUP(L600,A2:D500,4,FALSE))=0,,VLOOKUP(L600,A2:D500,4,FALSE))</f>
        <v>#N/A</v>
      </c>
      <c r="N600" s="22">
        <f>'Exposure Model'!O731</f>
        <v>0</v>
      </c>
      <c r="O600" s="22" t="e">
        <f>IF(LEN(VLOOKUP(N600,A2:D500,4,FALSE))=0,,VLOOKUP(N600,A2:D500,4,FALSE))</f>
        <v>#N/A</v>
      </c>
      <c r="P600" s="56">
        <f>'QRA Models'!Q731</f>
        <v>0</v>
      </c>
      <c r="Q600" s="22" t="e">
        <f>IF(LEN(VLOOKUP(P600,A2:D500,4,FALSE))=0,,VLOOKUP(P600,A2:D500,4,FALSE))</f>
        <v>#N/A</v>
      </c>
      <c r="R600" s="56">
        <f>'Health metrics Models'!Q714</f>
        <v>0</v>
      </c>
      <c r="S600" s="22" t="e">
        <f>IF(LEN(VLOOKUP(R600,A2:D500,4,FALSE))=0,,VLOOKUP(R600,A2:D500,4,FALSE))</f>
        <v>#N/A</v>
      </c>
      <c r="T600" s="56">
        <f>'Process Model'!P712</f>
        <v>0</v>
      </c>
      <c r="U600" s="22" t="e">
        <f>IF(LEN(VLOOKUP(T600,A2:D500,4,FALSE))=0,,VLOOKUP(T600,A2:D500,4,FALSE))</f>
        <v>#N/A</v>
      </c>
      <c r="V600" s="56">
        <f>'Toxicological reference value M'!P714</f>
        <v>0</v>
      </c>
      <c r="W600" s="22" t="e">
        <f>IF(LEN(VLOOKUP(V600,A2:D500,4,FALSE))=0,,VLOOKUP(V600,A2:D500,4,FALSE))</f>
        <v>#N/A</v>
      </c>
      <c r="Y600" s="56">
        <f>'Other Empirical Model'!P725</f>
        <v>0</v>
      </c>
      <c r="Z600" s="22" t="e">
        <f>IF(LEN(VLOOKUP(Y600,A2:D500,4,FALSE))=0,,VLOOKUP(Y600,A2:D500,4,FALSE))</f>
        <v>#N/A</v>
      </c>
      <c r="AA600" s="56">
        <f>'Predictive Model'!P712</f>
        <v>0</v>
      </c>
      <c r="AB600" s="22" t="e">
        <f>IF(LEN(VLOOKUP(AA600,A2:D500,4,FALSE))=0,,VLOOKUP(AA600,A2:D500,4,FALSE))</f>
        <v>#N/A</v>
      </c>
      <c r="AC600" s="56">
        <f>'Consumption Model'!P717</f>
        <v>0</v>
      </c>
      <c r="AD600" s="22" t="e">
        <f>IF(LEN(VLOOKUP(AC600,A2:D500,4,FALSE))=0,,VLOOKUP(AC600,A2:D500,4,FALSE))</f>
        <v>#N/A</v>
      </c>
      <c r="AE600" s="22">
        <f>'(Data)'!Q713</f>
        <v>0</v>
      </c>
      <c r="AF600" s="22" t="e">
        <f>IF(LEN(VLOOKUP(AE599:AE600,A2:D500,4,FALSE))=0,,VLOOKUP(AE599:AE600,A2:D500,4,FALSE))</f>
        <v>#N/A</v>
      </c>
      <c r="AH600" s="45">
        <f>'Risk Charact Model'!P731</f>
        <v>0</v>
      </c>
      <c r="AI600" s="58" t="e">
        <f>IF(LEN(VLOOKUP(AH600,A2:D500,4,FALSE))=0,,VLOOKUP(AH600,A2:D500,4,FALSE))</f>
        <v>#N/A</v>
      </c>
    </row>
    <row r="601" spans="9:35" ht="14" x14ac:dyDescent="0.3">
      <c r="I601" s="60">
        <f>'Generic Metadata Schema'!P731</f>
        <v>0</v>
      </c>
      <c r="J601" s="22" t="e">
        <f>IF(LEN(VLOOKUP(I601,A2:D500,4,FALSE))=0,"",VLOOKUP(I601,A2:D500,4,FALSE))</f>
        <v>#N/A</v>
      </c>
      <c r="L601" s="56">
        <f>'Dose-response Model'!O715</f>
        <v>0</v>
      </c>
      <c r="M601" s="22" t="e">
        <f>IF(LEN(VLOOKUP(L601,A2:D500,4,FALSE))=0,,VLOOKUP(L601,A2:D500,4,FALSE))</f>
        <v>#N/A</v>
      </c>
      <c r="N601" s="22">
        <f>'Exposure Model'!O732</f>
        <v>0</v>
      </c>
      <c r="O601" s="22" t="e">
        <f>IF(LEN(VLOOKUP(N601,A2:D500,4,FALSE))=0,,VLOOKUP(N601,A2:D500,4,FALSE))</f>
        <v>#N/A</v>
      </c>
      <c r="P601" s="56">
        <f>'QRA Models'!Q732</f>
        <v>0</v>
      </c>
      <c r="Q601" s="22" t="e">
        <f>IF(LEN(VLOOKUP(P601,A2:D500,4,FALSE))=0,,VLOOKUP(P601,A2:D500,4,FALSE))</f>
        <v>#N/A</v>
      </c>
      <c r="R601" s="56">
        <f>'Health metrics Models'!Q715</f>
        <v>0</v>
      </c>
      <c r="S601" s="22" t="e">
        <f>IF(LEN(VLOOKUP(R601,A2:D500,4,FALSE))=0,,VLOOKUP(R601,A2:D500,4,FALSE))</f>
        <v>#N/A</v>
      </c>
      <c r="T601" s="56">
        <f>'Process Model'!P713</f>
        <v>0</v>
      </c>
      <c r="U601" s="22" t="e">
        <f>IF(LEN(VLOOKUP(T601,A2:D500,4,FALSE))=0,,VLOOKUP(T601,A2:D500,4,FALSE))</f>
        <v>#N/A</v>
      </c>
      <c r="V601" s="56">
        <f>'Toxicological reference value M'!P715</f>
        <v>0</v>
      </c>
      <c r="W601" s="22" t="e">
        <f>IF(LEN(VLOOKUP(V601,A2:D500,4,FALSE))=0,,VLOOKUP(V601,A2:D500,4,FALSE))</f>
        <v>#N/A</v>
      </c>
      <c r="Y601" s="56">
        <f>'Other Empirical Model'!P726</f>
        <v>0</v>
      </c>
      <c r="Z601" s="22" t="e">
        <f>IF(LEN(VLOOKUP(Y601,A2:D500,4,FALSE))=0,,VLOOKUP(Y601,A2:D500,4,FALSE))</f>
        <v>#N/A</v>
      </c>
      <c r="AA601" s="56">
        <f>'Predictive Model'!P713</f>
        <v>0</v>
      </c>
      <c r="AB601" s="22" t="e">
        <f>IF(LEN(VLOOKUP(AA601,A2:D500,4,FALSE))=0,,VLOOKUP(AA601,A2:D500,4,FALSE))</f>
        <v>#N/A</v>
      </c>
      <c r="AC601" s="56">
        <f>'Consumption Model'!P718</f>
        <v>0</v>
      </c>
      <c r="AD601" s="22" t="e">
        <f>IF(LEN(VLOOKUP(AC601,A2:D500,4,FALSE))=0,,VLOOKUP(AC601,A2:D500,4,FALSE))</f>
        <v>#N/A</v>
      </c>
      <c r="AE601" s="22">
        <f>'(Data)'!Q714</f>
        <v>0</v>
      </c>
      <c r="AF601" s="22" t="e">
        <f>IF(LEN(VLOOKUP(AE600:AE601,A2:D500,4,FALSE))=0,,VLOOKUP(AE600:AE601,A2:D500,4,FALSE))</f>
        <v>#N/A</v>
      </c>
      <c r="AH601" s="45">
        <f>'Risk Charact Model'!P732</f>
        <v>0</v>
      </c>
      <c r="AI601" s="58" t="e">
        <f>IF(LEN(VLOOKUP(AH601,A2:D500,4,FALSE))=0,,VLOOKUP(AH601,A2:D500,4,FALSE))</f>
        <v>#N/A</v>
      </c>
    </row>
    <row r="602" spans="9:35" ht="14" x14ac:dyDescent="0.3">
      <c r="I602" s="60">
        <f>'Generic Metadata Schema'!P732</f>
        <v>0</v>
      </c>
      <c r="J602" s="22" t="e">
        <f>IF(LEN(VLOOKUP(I602,A2:D500,4,FALSE))=0,"",VLOOKUP(I602,A2:D500,4,FALSE))</f>
        <v>#N/A</v>
      </c>
      <c r="L602" s="56">
        <f>'Dose-response Model'!O716</f>
        <v>0</v>
      </c>
      <c r="M602" s="22" t="e">
        <f>IF(LEN(VLOOKUP(L602,A2:D500,4,FALSE))=0,,VLOOKUP(L602,A2:D500,4,FALSE))</f>
        <v>#N/A</v>
      </c>
      <c r="N602" s="22">
        <f>'Exposure Model'!O733</f>
        <v>0</v>
      </c>
      <c r="O602" s="22" t="e">
        <f>IF(LEN(VLOOKUP(N602,A2:D500,4,FALSE))=0,,VLOOKUP(N602,A2:D500,4,FALSE))</f>
        <v>#N/A</v>
      </c>
      <c r="P602" s="56">
        <f>'QRA Models'!Q733</f>
        <v>0</v>
      </c>
      <c r="Q602" s="22" t="e">
        <f>IF(LEN(VLOOKUP(P602,A2:D500,4,FALSE))=0,,VLOOKUP(P602,A2:D500,4,FALSE))</f>
        <v>#N/A</v>
      </c>
      <c r="R602" s="56">
        <f>'Health metrics Models'!Q716</f>
        <v>0</v>
      </c>
      <c r="S602" s="22" t="e">
        <f>IF(LEN(VLOOKUP(R602,A2:D500,4,FALSE))=0,,VLOOKUP(R602,A2:D500,4,FALSE))</f>
        <v>#N/A</v>
      </c>
      <c r="T602" s="56">
        <f>'Process Model'!P714</f>
        <v>0</v>
      </c>
      <c r="U602" s="22" t="e">
        <f>IF(LEN(VLOOKUP(T602,A2:D500,4,FALSE))=0,,VLOOKUP(T602,A2:D500,4,FALSE))</f>
        <v>#N/A</v>
      </c>
      <c r="V602" s="56">
        <f>'Toxicological reference value M'!P716</f>
        <v>0</v>
      </c>
      <c r="W602" s="22" t="e">
        <f>IF(LEN(VLOOKUP(V602,A2:D500,4,FALSE))=0,,VLOOKUP(V602,A2:D500,4,FALSE))</f>
        <v>#N/A</v>
      </c>
      <c r="Y602" s="56">
        <f>'Other Empirical Model'!P727</f>
        <v>0</v>
      </c>
      <c r="Z602" s="22" t="e">
        <f>IF(LEN(VLOOKUP(Y602,A2:D500,4,FALSE))=0,,VLOOKUP(Y602,A2:D500,4,FALSE))</f>
        <v>#N/A</v>
      </c>
      <c r="AA602" s="56">
        <f>'Predictive Model'!P714</f>
        <v>0</v>
      </c>
      <c r="AB602" s="22" t="e">
        <f>IF(LEN(VLOOKUP(AA602,A2:D500,4,FALSE))=0,,VLOOKUP(AA602,A2:D500,4,FALSE))</f>
        <v>#N/A</v>
      </c>
      <c r="AC602" s="56">
        <f>'Consumption Model'!P719</f>
        <v>0</v>
      </c>
      <c r="AD602" s="22" t="e">
        <f>IF(LEN(VLOOKUP(AC602,A2:D500,4,FALSE))=0,,VLOOKUP(AC602,A2:D500,4,FALSE))</f>
        <v>#N/A</v>
      </c>
      <c r="AE602" s="22">
        <f>'(Data)'!Q715</f>
        <v>0</v>
      </c>
      <c r="AF602" s="22" t="e">
        <f>IF(LEN(VLOOKUP(AE601:AE602,A2:D500,4,FALSE))=0,,VLOOKUP(AE601:AE602,A2:D500,4,FALSE))</f>
        <v>#N/A</v>
      </c>
      <c r="AH602" s="45">
        <f>'Risk Charact Model'!P733</f>
        <v>0</v>
      </c>
      <c r="AI602" s="58" t="e">
        <f>IF(LEN(VLOOKUP(AH602,A2:D500,4,FALSE))=0,,VLOOKUP(AH602,A2:D500,4,FALSE))</f>
        <v>#N/A</v>
      </c>
    </row>
    <row r="603" spans="9:35" ht="14" x14ac:dyDescent="0.3">
      <c r="I603" s="60">
        <f>'Generic Metadata Schema'!P733</f>
        <v>0</v>
      </c>
      <c r="J603" s="22" t="e">
        <f>IF(LEN(VLOOKUP(I603,A2:D500,4,FALSE))=0,"",VLOOKUP(I603,A2:D500,4,FALSE))</f>
        <v>#N/A</v>
      </c>
      <c r="L603" s="56">
        <f>'Dose-response Model'!O717</f>
        <v>0</v>
      </c>
      <c r="M603" s="22" t="e">
        <f>IF(LEN(VLOOKUP(L603,A2:D500,4,FALSE))=0,,VLOOKUP(L603,A2:D500,4,FALSE))</f>
        <v>#N/A</v>
      </c>
      <c r="N603" s="22">
        <f>'Exposure Model'!O734</f>
        <v>0</v>
      </c>
      <c r="O603" s="22" t="e">
        <f>IF(LEN(VLOOKUP(N603,A2:D500,4,FALSE))=0,,VLOOKUP(N603,A2:D500,4,FALSE))</f>
        <v>#N/A</v>
      </c>
      <c r="P603" s="56">
        <f>'QRA Models'!Q734</f>
        <v>0</v>
      </c>
      <c r="Q603" s="22" t="e">
        <f>IF(LEN(VLOOKUP(P603,A2:D500,4,FALSE))=0,,VLOOKUP(P603,A2:D500,4,FALSE))</f>
        <v>#N/A</v>
      </c>
      <c r="R603" s="56">
        <f>'Health metrics Models'!Q717</f>
        <v>0</v>
      </c>
      <c r="S603" s="22" t="e">
        <f>IF(LEN(VLOOKUP(R603,A2:D500,4,FALSE))=0,,VLOOKUP(R603,A2:D500,4,FALSE))</f>
        <v>#N/A</v>
      </c>
      <c r="T603" s="56">
        <f>'Process Model'!P715</f>
        <v>0</v>
      </c>
      <c r="U603" s="22" t="e">
        <f>IF(LEN(VLOOKUP(T603,A2:D500,4,FALSE))=0,,VLOOKUP(T603,A2:D500,4,FALSE))</f>
        <v>#N/A</v>
      </c>
      <c r="V603" s="56">
        <f>'Toxicological reference value M'!P717</f>
        <v>0</v>
      </c>
      <c r="W603" s="22" t="e">
        <f>IF(LEN(VLOOKUP(V603,A2:D500,4,FALSE))=0,,VLOOKUP(V603,A2:D500,4,FALSE))</f>
        <v>#N/A</v>
      </c>
      <c r="Y603" s="56">
        <f>'Other Empirical Model'!P728</f>
        <v>0</v>
      </c>
      <c r="Z603" s="22" t="e">
        <f>IF(LEN(VLOOKUP(Y603,A2:D500,4,FALSE))=0,,VLOOKUP(Y603,A2:D500,4,FALSE))</f>
        <v>#N/A</v>
      </c>
      <c r="AA603" s="56">
        <f>'Predictive Model'!P715</f>
        <v>0</v>
      </c>
      <c r="AB603" s="22" t="e">
        <f>IF(LEN(VLOOKUP(AA603,A2:D500,4,FALSE))=0,,VLOOKUP(AA603,A2:D500,4,FALSE))</f>
        <v>#N/A</v>
      </c>
      <c r="AC603" s="56">
        <f>'Consumption Model'!P720</f>
        <v>0</v>
      </c>
      <c r="AD603" s="22" t="e">
        <f>IF(LEN(VLOOKUP(AC603,A2:D500,4,FALSE))=0,,VLOOKUP(AC603,A2:D500,4,FALSE))</f>
        <v>#N/A</v>
      </c>
      <c r="AE603" s="22">
        <f>'(Data)'!Q716</f>
        <v>0</v>
      </c>
      <c r="AF603" s="22" t="e">
        <f>IF(LEN(VLOOKUP(AE602:AE603,A2:D500,4,FALSE))=0,,VLOOKUP(AE602:AE603,A2:D500,4,FALSE))</f>
        <v>#N/A</v>
      </c>
      <c r="AH603" s="45">
        <f>'Risk Charact Model'!P734</f>
        <v>0</v>
      </c>
      <c r="AI603" s="58" t="e">
        <f>IF(LEN(VLOOKUP(AH603,A2:D500,4,FALSE))=0,,VLOOKUP(AH603,A2:D500,4,FALSE))</f>
        <v>#N/A</v>
      </c>
    </row>
    <row r="604" spans="9:35" ht="14" x14ac:dyDescent="0.3">
      <c r="I604" s="60">
        <f>'Generic Metadata Schema'!P734</f>
        <v>0</v>
      </c>
      <c r="J604" s="22" t="e">
        <f>IF(LEN(VLOOKUP(I604,A2:D500,4,FALSE))=0,"",VLOOKUP(I604,A2:D500,4,FALSE))</f>
        <v>#N/A</v>
      </c>
      <c r="L604" s="56">
        <f>'Dose-response Model'!O718</f>
        <v>0</v>
      </c>
      <c r="M604" s="22" t="e">
        <f>IF(LEN(VLOOKUP(L604,A2:D500,4,FALSE))=0,,VLOOKUP(L604,A2:D500,4,FALSE))</f>
        <v>#N/A</v>
      </c>
      <c r="N604" s="22">
        <f>'Exposure Model'!O735</f>
        <v>0</v>
      </c>
      <c r="O604" s="22" t="e">
        <f>IF(LEN(VLOOKUP(N604,A2:D500,4,FALSE))=0,,VLOOKUP(N604,A2:D500,4,FALSE))</f>
        <v>#N/A</v>
      </c>
      <c r="P604" s="56">
        <f>'QRA Models'!Q735</f>
        <v>0</v>
      </c>
      <c r="Q604" s="22" t="e">
        <f>IF(LEN(VLOOKUP(P604,A2:D500,4,FALSE))=0,,VLOOKUP(P604,A2:D500,4,FALSE))</f>
        <v>#N/A</v>
      </c>
      <c r="R604" s="56">
        <f>'Health metrics Models'!Q718</f>
        <v>0</v>
      </c>
      <c r="S604" s="22" t="e">
        <f>IF(LEN(VLOOKUP(R604,A2:D500,4,FALSE))=0,,VLOOKUP(R604,A2:D500,4,FALSE))</f>
        <v>#N/A</v>
      </c>
      <c r="T604" s="56">
        <f>'Process Model'!P716</f>
        <v>0</v>
      </c>
      <c r="U604" s="22" t="e">
        <f>IF(LEN(VLOOKUP(T604,A2:D500,4,FALSE))=0,,VLOOKUP(T604,A2:D500,4,FALSE))</f>
        <v>#N/A</v>
      </c>
      <c r="V604" s="56">
        <f>'Toxicological reference value M'!P718</f>
        <v>0</v>
      </c>
      <c r="W604" s="22" t="e">
        <f>IF(LEN(VLOOKUP(V604,A2:D500,4,FALSE))=0,,VLOOKUP(V604,A2:D500,4,FALSE))</f>
        <v>#N/A</v>
      </c>
      <c r="Y604" s="56">
        <f>'Other Empirical Model'!P729</f>
        <v>0</v>
      </c>
      <c r="Z604" s="22" t="e">
        <f>IF(LEN(VLOOKUP(Y604,A2:D500,4,FALSE))=0,,VLOOKUP(Y604,A2:D500,4,FALSE))</f>
        <v>#N/A</v>
      </c>
      <c r="AA604" s="56">
        <f>'Predictive Model'!P716</f>
        <v>0</v>
      </c>
      <c r="AB604" s="22" t="e">
        <f>IF(LEN(VLOOKUP(AA604,A2:D500,4,FALSE))=0,,VLOOKUP(AA604,A2:D500,4,FALSE))</f>
        <v>#N/A</v>
      </c>
      <c r="AC604" s="56">
        <f>'Consumption Model'!P721</f>
        <v>0</v>
      </c>
      <c r="AD604" s="22" t="e">
        <f>IF(LEN(VLOOKUP(AC604,A2:D500,4,FALSE))=0,,VLOOKUP(AC604,A2:D500,4,FALSE))</f>
        <v>#N/A</v>
      </c>
      <c r="AE604" s="22">
        <f>'(Data)'!Q717</f>
        <v>0</v>
      </c>
      <c r="AF604" s="22" t="e">
        <f>IF(LEN(VLOOKUP(AE603:AE604,A2:D500,4,FALSE))=0,,VLOOKUP(AE603:AE604,A2:D500,4,FALSE))</f>
        <v>#N/A</v>
      </c>
      <c r="AH604" s="45">
        <f>'Risk Charact Model'!P735</f>
        <v>0</v>
      </c>
      <c r="AI604" s="58" t="e">
        <f>IF(LEN(VLOOKUP(AH604,A2:D500,4,FALSE))=0,,VLOOKUP(AH604,A2:D500,4,FALSE))</f>
        <v>#N/A</v>
      </c>
    </row>
    <row r="605" spans="9:35" ht="14" x14ac:dyDescent="0.3">
      <c r="I605" s="60">
        <f>'Generic Metadata Schema'!P735</f>
        <v>0</v>
      </c>
      <c r="J605" s="22" t="e">
        <f>IF(LEN(VLOOKUP(I605,A2:D500,4,FALSE))=0,"",VLOOKUP(I605,A2:D500,4,FALSE))</f>
        <v>#N/A</v>
      </c>
      <c r="L605" s="56">
        <f>'Dose-response Model'!O719</f>
        <v>0</v>
      </c>
      <c r="M605" s="22" t="e">
        <f>IF(LEN(VLOOKUP(L605,A2:D500,4,FALSE))=0,,VLOOKUP(L605,A2:D500,4,FALSE))</f>
        <v>#N/A</v>
      </c>
      <c r="N605" s="22">
        <f>'Exposure Model'!O736</f>
        <v>0</v>
      </c>
      <c r="O605" s="22" t="e">
        <f>IF(LEN(VLOOKUP(N605,A2:D500,4,FALSE))=0,,VLOOKUP(N605,A2:D500,4,FALSE))</f>
        <v>#N/A</v>
      </c>
      <c r="P605" s="56">
        <f>'QRA Models'!Q736</f>
        <v>0</v>
      </c>
      <c r="Q605" s="22" t="e">
        <f>IF(LEN(VLOOKUP(P605,A2:D500,4,FALSE))=0,,VLOOKUP(P605,A2:D500,4,FALSE))</f>
        <v>#N/A</v>
      </c>
      <c r="R605" s="56">
        <f>'Health metrics Models'!Q719</f>
        <v>0</v>
      </c>
      <c r="S605" s="22" t="e">
        <f>IF(LEN(VLOOKUP(R605,A2:D500,4,FALSE))=0,,VLOOKUP(R605,A2:D500,4,FALSE))</f>
        <v>#N/A</v>
      </c>
      <c r="T605" s="56">
        <f>'Process Model'!P717</f>
        <v>0</v>
      </c>
      <c r="U605" s="22" t="e">
        <f>IF(LEN(VLOOKUP(T605,A2:D500,4,FALSE))=0,,VLOOKUP(T605,A2:D500,4,FALSE))</f>
        <v>#N/A</v>
      </c>
      <c r="V605" s="56">
        <f>'Toxicological reference value M'!P719</f>
        <v>0</v>
      </c>
      <c r="W605" s="22" t="e">
        <f>IF(LEN(VLOOKUP(V605,A2:D500,4,FALSE))=0,,VLOOKUP(V605,A2:D500,4,FALSE))</f>
        <v>#N/A</v>
      </c>
      <c r="Y605" s="56">
        <f>'Other Empirical Model'!P730</f>
        <v>0</v>
      </c>
      <c r="Z605" s="22" t="e">
        <f>IF(LEN(VLOOKUP(Y605,A2:D500,4,FALSE))=0,,VLOOKUP(Y605,A2:D500,4,FALSE))</f>
        <v>#N/A</v>
      </c>
      <c r="AA605" s="56">
        <f>'Predictive Model'!P717</f>
        <v>0</v>
      </c>
      <c r="AB605" s="22" t="e">
        <f>IF(LEN(VLOOKUP(AA605,A2:D500,4,FALSE))=0,,VLOOKUP(AA605,A2:D500,4,FALSE))</f>
        <v>#N/A</v>
      </c>
      <c r="AC605" s="56">
        <f>'Consumption Model'!P722</f>
        <v>0</v>
      </c>
      <c r="AD605" s="22" t="e">
        <f>IF(LEN(VLOOKUP(AC605,A2:D500,4,FALSE))=0,,VLOOKUP(AC605,A2:D500,4,FALSE))</f>
        <v>#N/A</v>
      </c>
      <c r="AE605" s="22">
        <f>'(Data)'!Q718</f>
        <v>0</v>
      </c>
      <c r="AF605" s="22" t="e">
        <f>IF(LEN(VLOOKUP(AE604:AE605,A2:D500,4,FALSE))=0,,VLOOKUP(AE604:AE605,A2:D500,4,FALSE))</f>
        <v>#N/A</v>
      </c>
      <c r="AH605" s="45">
        <f>'Risk Charact Model'!P736</f>
        <v>0</v>
      </c>
      <c r="AI605" s="58" t="e">
        <f>IF(LEN(VLOOKUP(AH605,A2:D500,4,FALSE))=0,,VLOOKUP(AH605,A2:D500,4,FALSE))</f>
        <v>#N/A</v>
      </c>
    </row>
    <row r="606" spans="9:35" ht="14" x14ac:dyDescent="0.3">
      <c r="I606" s="60">
        <f>'Generic Metadata Schema'!P736</f>
        <v>0</v>
      </c>
      <c r="J606" s="22" t="e">
        <f>IF(LEN(VLOOKUP(I606,A2:D500,4,FALSE))=0,"",VLOOKUP(I606,A2:D500,4,FALSE))</f>
        <v>#N/A</v>
      </c>
      <c r="L606" s="56">
        <f>'Dose-response Model'!O720</f>
        <v>0</v>
      </c>
      <c r="M606" s="22" t="e">
        <f>IF(LEN(VLOOKUP(L606,A2:D500,4,FALSE))=0,,VLOOKUP(L606,A2:D500,4,FALSE))</f>
        <v>#N/A</v>
      </c>
      <c r="N606" s="22">
        <f>'Exposure Model'!O737</f>
        <v>0</v>
      </c>
      <c r="O606" s="22" t="e">
        <f>IF(LEN(VLOOKUP(N606,A2:D500,4,FALSE))=0,,VLOOKUP(N606,A2:D500,4,FALSE))</f>
        <v>#N/A</v>
      </c>
      <c r="P606" s="56">
        <f>'QRA Models'!Q737</f>
        <v>0</v>
      </c>
      <c r="Q606" s="22" t="e">
        <f>IF(LEN(VLOOKUP(P606,A2:D500,4,FALSE))=0,,VLOOKUP(P606,A2:D500,4,FALSE))</f>
        <v>#N/A</v>
      </c>
      <c r="R606" s="56">
        <f>'Health metrics Models'!Q720</f>
        <v>0</v>
      </c>
      <c r="S606" s="22" t="e">
        <f>IF(LEN(VLOOKUP(R606,A2:D500,4,FALSE))=0,,VLOOKUP(R606,A2:D500,4,FALSE))</f>
        <v>#N/A</v>
      </c>
      <c r="T606" s="56">
        <f>'Process Model'!P718</f>
        <v>0</v>
      </c>
      <c r="U606" s="22" t="e">
        <f>IF(LEN(VLOOKUP(T606,A2:D500,4,FALSE))=0,,VLOOKUP(T606,A2:D500,4,FALSE))</f>
        <v>#N/A</v>
      </c>
      <c r="V606" s="56">
        <f>'Toxicological reference value M'!P720</f>
        <v>0</v>
      </c>
      <c r="W606" s="22" t="e">
        <f>IF(LEN(VLOOKUP(V606,A2:D500,4,FALSE))=0,,VLOOKUP(V606,A2:D500,4,FALSE))</f>
        <v>#N/A</v>
      </c>
      <c r="Y606" s="56">
        <f>'Other Empirical Model'!P731</f>
        <v>0</v>
      </c>
      <c r="Z606" s="22" t="e">
        <f>IF(LEN(VLOOKUP(Y606,A2:D500,4,FALSE))=0,,VLOOKUP(Y606,A2:D500,4,FALSE))</f>
        <v>#N/A</v>
      </c>
      <c r="AA606" s="56">
        <f>'Predictive Model'!P718</f>
        <v>0</v>
      </c>
      <c r="AB606" s="22" t="e">
        <f>IF(LEN(VLOOKUP(AA606,A2:D500,4,FALSE))=0,,VLOOKUP(AA606,A2:D500,4,FALSE))</f>
        <v>#N/A</v>
      </c>
      <c r="AC606" s="56">
        <f>'Consumption Model'!P723</f>
        <v>0</v>
      </c>
      <c r="AD606" s="22" t="e">
        <f>IF(LEN(VLOOKUP(AC606,A2:D500,4,FALSE))=0,,VLOOKUP(AC606,A2:D500,4,FALSE))</f>
        <v>#N/A</v>
      </c>
      <c r="AE606" s="22">
        <f>'(Data)'!Q719</f>
        <v>0</v>
      </c>
      <c r="AF606" s="22" t="e">
        <f>IF(LEN(VLOOKUP(AE605:AE606,A2:D500,4,FALSE))=0,,VLOOKUP(AE605:AE606,A2:D500,4,FALSE))</f>
        <v>#N/A</v>
      </c>
      <c r="AH606" s="45">
        <f>'Risk Charact Model'!P737</f>
        <v>0</v>
      </c>
      <c r="AI606" s="58" t="e">
        <f>IF(LEN(VLOOKUP(AH606,A2:D500,4,FALSE))=0,,VLOOKUP(AH606,A2:D500,4,FALSE))</f>
        <v>#N/A</v>
      </c>
    </row>
    <row r="607" spans="9:35" ht="14" x14ac:dyDescent="0.3">
      <c r="I607" s="60">
        <f>'Generic Metadata Schema'!P737</f>
        <v>0</v>
      </c>
      <c r="J607" s="22" t="e">
        <f>IF(LEN(VLOOKUP(I607,A2:D500,4,FALSE))=0,"",VLOOKUP(I607,A2:D500,4,FALSE))</f>
        <v>#N/A</v>
      </c>
      <c r="L607" s="56">
        <f>'Dose-response Model'!O721</f>
        <v>0</v>
      </c>
      <c r="M607" s="22" t="e">
        <f>IF(LEN(VLOOKUP(L607,A2:D500,4,FALSE))=0,,VLOOKUP(L607,A2:D500,4,FALSE))</f>
        <v>#N/A</v>
      </c>
      <c r="N607" s="22">
        <f>'Exposure Model'!O738</f>
        <v>0</v>
      </c>
      <c r="O607" s="22" t="e">
        <f>IF(LEN(VLOOKUP(N607,A2:D500,4,FALSE))=0,,VLOOKUP(N607,A2:D500,4,FALSE))</f>
        <v>#N/A</v>
      </c>
      <c r="P607" s="56">
        <f>'QRA Models'!Q738</f>
        <v>0</v>
      </c>
      <c r="Q607" s="22" t="e">
        <f>IF(LEN(VLOOKUP(P607,A2:D500,4,FALSE))=0,,VLOOKUP(P607,A2:D500,4,FALSE))</f>
        <v>#N/A</v>
      </c>
      <c r="R607" s="56">
        <f>'Health metrics Models'!Q721</f>
        <v>0</v>
      </c>
      <c r="S607" s="22" t="e">
        <f>IF(LEN(VLOOKUP(R607,A2:D500,4,FALSE))=0,,VLOOKUP(R607,A2:D500,4,FALSE))</f>
        <v>#N/A</v>
      </c>
      <c r="T607" s="56">
        <f>'Process Model'!P719</f>
        <v>0</v>
      </c>
      <c r="U607" s="22" t="e">
        <f>IF(LEN(VLOOKUP(T607,A2:D500,4,FALSE))=0,,VLOOKUP(T607,A2:D500,4,FALSE))</f>
        <v>#N/A</v>
      </c>
      <c r="V607" s="56">
        <f>'Toxicological reference value M'!P721</f>
        <v>0</v>
      </c>
      <c r="W607" s="22" t="e">
        <f>IF(LEN(VLOOKUP(V607,A2:D500,4,FALSE))=0,,VLOOKUP(V607,A2:D500,4,FALSE))</f>
        <v>#N/A</v>
      </c>
      <c r="Y607" s="56">
        <f>'Other Empirical Model'!P732</f>
        <v>0</v>
      </c>
      <c r="Z607" s="22" t="e">
        <f>IF(LEN(VLOOKUP(Y607,A2:D500,4,FALSE))=0,,VLOOKUP(Y607,A2:D500,4,FALSE))</f>
        <v>#N/A</v>
      </c>
      <c r="AA607" s="56">
        <f>'Predictive Model'!P719</f>
        <v>0</v>
      </c>
      <c r="AB607" s="22" t="e">
        <f>IF(LEN(VLOOKUP(AA607,A2:D500,4,FALSE))=0,,VLOOKUP(AA607,A2:D500,4,FALSE))</f>
        <v>#N/A</v>
      </c>
      <c r="AC607" s="56">
        <f>'Consumption Model'!P724</f>
        <v>0</v>
      </c>
      <c r="AD607" s="22" t="e">
        <f>IF(LEN(VLOOKUP(AC607,A2:D500,4,FALSE))=0,,VLOOKUP(AC607,A2:D500,4,FALSE))</f>
        <v>#N/A</v>
      </c>
      <c r="AE607" s="22">
        <f>'(Data)'!Q720</f>
        <v>0</v>
      </c>
      <c r="AF607" s="22" t="e">
        <f>IF(LEN(VLOOKUP(AE606:AE607,A2:D500,4,FALSE))=0,,VLOOKUP(AE606:AE607,A2:D500,4,FALSE))</f>
        <v>#N/A</v>
      </c>
      <c r="AH607" s="45">
        <f>'Risk Charact Model'!P738</f>
        <v>0</v>
      </c>
      <c r="AI607" s="58" t="e">
        <f>IF(LEN(VLOOKUP(AH607,A2:D500,4,FALSE))=0,,VLOOKUP(AH607,A2:D500,4,FALSE))</f>
        <v>#N/A</v>
      </c>
    </row>
    <row r="608" spans="9:35" ht="14" x14ac:dyDescent="0.3">
      <c r="I608" s="60">
        <f>'Generic Metadata Schema'!P738</f>
        <v>0</v>
      </c>
      <c r="J608" s="22" t="e">
        <f>IF(LEN(VLOOKUP(I608,A2:D500,4,FALSE))=0,"",VLOOKUP(I608,A2:D500,4,FALSE))</f>
        <v>#N/A</v>
      </c>
      <c r="L608" s="56">
        <f>'Dose-response Model'!O722</f>
        <v>0</v>
      </c>
      <c r="M608" s="22" t="e">
        <f>IF(LEN(VLOOKUP(L608,A2:D500,4,FALSE))=0,,VLOOKUP(L608,A2:D500,4,FALSE))</f>
        <v>#N/A</v>
      </c>
      <c r="N608" s="22">
        <f>'Exposure Model'!O739</f>
        <v>0</v>
      </c>
      <c r="O608" s="22" t="e">
        <f>IF(LEN(VLOOKUP(N608,A2:D500,4,FALSE))=0,,VLOOKUP(N608,A2:D500,4,FALSE))</f>
        <v>#N/A</v>
      </c>
      <c r="P608" s="56">
        <f>'QRA Models'!Q739</f>
        <v>0</v>
      </c>
      <c r="Q608" s="22" t="e">
        <f>IF(LEN(VLOOKUP(P608,A2:D500,4,FALSE))=0,,VLOOKUP(P608,A2:D500,4,FALSE))</f>
        <v>#N/A</v>
      </c>
      <c r="R608" s="56">
        <f>'Health metrics Models'!Q722</f>
        <v>0</v>
      </c>
      <c r="S608" s="22" t="e">
        <f>IF(LEN(VLOOKUP(R608,A2:D500,4,FALSE))=0,,VLOOKUP(R608,A2:D500,4,FALSE))</f>
        <v>#N/A</v>
      </c>
      <c r="T608" s="56">
        <f>'Process Model'!P720</f>
        <v>0</v>
      </c>
      <c r="U608" s="22" t="e">
        <f>IF(LEN(VLOOKUP(T608,A2:D500,4,FALSE))=0,,VLOOKUP(T608,A2:D500,4,FALSE))</f>
        <v>#N/A</v>
      </c>
      <c r="V608" s="56">
        <f>'Toxicological reference value M'!P722</f>
        <v>0</v>
      </c>
      <c r="W608" s="22" t="e">
        <f>IF(LEN(VLOOKUP(V608,A2:D500,4,FALSE))=0,,VLOOKUP(V608,A2:D500,4,FALSE))</f>
        <v>#N/A</v>
      </c>
      <c r="Y608" s="56">
        <f>'Other Empirical Model'!P733</f>
        <v>0</v>
      </c>
      <c r="Z608" s="22" t="e">
        <f>IF(LEN(VLOOKUP(Y608,A2:D500,4,FALSE))=0,,VLOOKUP(Y608,A2:D500,4,FALSE))</f>
        <v>#N/A</v>
      </c>
      <c r="AA608" s="56">
        <f>'Predictive Model'!P720</f>
        <v>0</v>
      </c>
      <c r="AB608" s="22" t="e">
        <f>IF(LEN(VLOOKUP(AA608,A2:D500,4,FALSE))=0,,VLOOKUP(AA608,A2:D500,4,FALSE))</f>
        <v>#N/A</v>
      </c>
      <c r="AC608" s="56">
        <f>'Consumption Model'!P725</f>
        <v>0</v>
      </c>
      <c r="AD608" s="22" t="e">
        <f>IF(LEN(VLOOKUP(AC608,A2:D500,4,FALSE))=0,,VLOOKUP(AC608,A2:D500,4,FALSE))</f>
        <v>#N/A</v>
      </c>
      <c r="AE608" s="22">
        <f>'(Data)'!Q721</f>
        <v>0</v>
      </c>
      <c r="AF608" s="22" t="e">
        <f>IF(LEN(VLOOKUP(AE607:AE608,A2:D500,4,FALSE))=0,,VLOOKUP(AE607:AE608,A2:D500,4,FALSE))</f>
        <v>#N/A</v>
      </c>
      <c r="AH608" s="45">
        <f>'Risk Charact Model'!P739</f>
        <v>0</v>
      </c>
      <c r="AI608" s="58" t="e">
        <f>IF(LEN(VLOOKUP(AH608,A2:D500,4,FALSE))=0,,VLOOKUP(AH608,A2:D500,4,FALSE))</f>
        <v>#N/A</v>
      </c>
    </row>
    <row r="609" spans="9:35" ht="14" x14ac:dyDescent="0.3">
      <c r="I609" s="60">
        <f>'Generic Metadata Schema'!P739</f>
        <v>0</v>
      </c>
      <c r="J609" s="22" t="e">
        <f>IF(LEN(VLOOKUP(I609,A2:D500,4,FALSE))=0,"",VLOOKUP(I609,A2:D500,4,FALSE))</f>
        <v>#N/A</v>
      </c>
      <c r="L609" s="56">
        <f>'Dose-response Model'!O723</f>
        <v>0</v>
      </c>
      <c r="M609" s="22" t="e">
        <f>IF(LEN(VLOOKUP(L609,A2:D500,4,FALSE))=0,,VLOOKUP(L609,A2:D500,4,FALSE))</f>
        <v>#N/A</v>
      </c>
      <c r="N609" s="22">
        <f>'Exposure Model'!O740</f>
        <v>0</v>
      </c>
      <c r="O609" s="22" t="e">
        <f>IF(LEN(VLOOKUP(N609,A2:D500,4,FALSE))=0,,VLOOKUP(N609,A2:D500,4,FALSE))</f>
        <v>#N/A</v>
      </c>
      <c r="P609" s="56">
        <f>'QRA Models'!Q740</f>
        <v>0</v>
      </c>
      <c r="Q609" s="22" t="e">
        <f>IF(LEN(VLOOKUP(P609,A2:D500,4,FALSE))=0,,VLOOKUP(P609,A2:D500,4,FALSE))</f>
        <v>#N/A</v>
      </c>
      <c r="R609" s="56">
        <f>'Health metrics Models'!Q723</f>
        <v>0</v>
      </c>
      <c r="S609" s="22" t="e">
        <f>IF(LEN(VLOOKUP(R609,A2:D500,4,FALSE))=0,,VLOOKUP(R609,A2:D500,4,FALSE))</f>
        <v>#N/A</v>
      </c>
      <c r="T609" s="56">
        <f>'Process Model'!P721</f>
        <v>0</v>
      </c>
      <c r="U609" s="22" t="e">
        <f>IF(LEN(VLOOKUP(T609,A2:D500,4,FALSE))=0,,VLOOKUP(T609,A2:D500,4,FALSE))</f>
        <v>#N/A</v>
      </c>
      <c r="V609" s="56">
        <f>'Toxicological reference value M'!P723</f>
        <v>0</v>
      </c>
      <c r="W609" s="22" t="e">
        <f>IF(LEN(VLOOKUP(V609,A2:D500,4,FALSE))=0,,VLOOKUP(V609,A2:D500,4,FALSE))</f>
        <v>#N/A</v>
      </c>
      <c r="Y609" s="56">
        <f>'Other Empirical Model'!P734</f>
        <v>0</v>
      </c>
      <c r="Z609" s="22" t="e">
        <f>IF(LEN(VLOOKUP(Y609,A2:D500,4,FALSE))=0,,VLOOKUP(Y609,A2:D500,4,FALSE))</f>
        <v>#N/A</v>
      </c>
      <c r="AA609" s="56">
        <f>'Predictive Model'!P721</f>
        <v>0</v>
      </c>
      <c r="AB609" s="22" t="e">
        <f>IF(LEN(VLOOKUP(AA609,A2:D500,4,FALSE))=0,,VLOOKUP(AA609,A2:D500,4,FALSE))</f>
        <v>#N/A</v>
      </c>
      <c r="AC609" s="56">
        <f>'Consumption Model'!P726</f>
        <v>0</v>
      </c>
      <c r="AD609" s="22" t="e">
        <f>IF(LEN(VLOOKUP(AC609,A2:D500,4,FALSE))=0,,VLOOKUP(AC609,A2:D500,4,FALSE))</f>
        <v>#N/A</v>
      </c>
      <c r="AE609" s="22">
        <f>'(Data)'!Q722</f>
        <v>0</v>
      </c>
      <c r="AF609" s="22" t="e">
        <f>IF(LEN(VLOOKUP(AE608:AE609,A2:D500,4,FALSE))=0,,VLOOKUP(AE608:AE609,A2:D500,4,FALSE))</f>
        <v>#N/A</v>
      </c>
      <c r="AH609" s="45">
        <f>'Risk Charact Model'!P740</f>
        <v>0</v>
      </c>
      <c r="AI609" s="58" t="e">
        <f>IF(LEN(VLOOKUP(AH609,A2:D500,4,FALSE))=0,,VLOOKUP(AH609,A2:D500,4,FALSE))</f>
        <v>#N/A</v>
      </c>
    </row>
    <row r="610" spans="9:35" ht="14" x14ac:dyDescent="0.3">
      <c r="I610" s="60">
        <f>'Generic Metadata Schema'!P740</f>
        <v>0</v>
      </c>
      <c r="J610" s="22" t="e">
        <f>IF(LEN(VLOOKUP(I610,A2:D500,4,FALSE))=0,"",VLOOKUP(I610,A2:D500,4,FALSE))</f>
        <v>#N/A</v>
      </c>
      <c r="L610" s="56">
        <f>'Dose-response Model'!O724</f>
        <v>0</v>
      </c>
      <c r="M610" s="22" t="e">
        <f>IF(LEN(VLOOKUP(L610,A2:D500,4,FALSE))=0,,VLOOKUP(L610,A2:D500,4,FALSE))</f>
        <v>#N/A</v>
      </c>
      <c r="N610" s="22">
        <f>'Exposure Model'!O741</f>
        <v>0</v>
      </c>
      <c r="O610" s="22" t="e">
        <f>IF(LEN(VLOOKUP(N610,A2:D500,4,FALSE))=0,,VLOOKUP(N610,A2:D500,4,FALSE))</f>
        <v>#N/A</v>
      </c>
      <c r="P610" s="56">
        <f>'QRA Models'!Q741</f>
        <v>0</v>
      </c>
      <c r="Q610" s="22" t="e">
        <f>IF(LEN(VLOOKUP(P610,A2:D500,4,FALSE))=0,,VLOOKUP(P610,A2:D500,4,FALSE))</f>
        <v>#N/A</v>
      </c>
      <c r="R610" s="56">
        <f>'Health metrics Models'!Q724</f>
        <v>0</v>
      </c>
      <c r="S610" s="22" t="e">
        <f>IF(LEN(VLOOKUP(R610,A2:D500,4,FALSE))=0,,VLOOKUP(R610,A2:D500,4,FALSE))</f>
        <v>#N/A</v>
      </c>
      <c r="T610" s="56">
        <f>'Process Model'!P722</f>
        <v>0</v>
      </c>
      <c r="U610" s="22" t="e">
        <f>IF(LEN(VLOOKUP(T610,A2:D500,4,FALSE))=0,,VLOOKUP(T610,A2:D500,4,FALSE))</f>
        <v>#N/A</v>
      </c>
      <c r="V610" s="56">
        <f>'Toxicological reference value M'!P724</f>
        <v>0</v>
      </c>
      <c r="W610" s="22" t="e">
        <f>IF(LEN(VLOOKUP(V610,A2:D500,4,FALSE))=0,,VLOOKUP(V610,A2:D500,4,FALSE))</f>
        <v>#N/A</v>
      </c>
      <c r="Y610" s="56">
        <f>'Other Empirical Model'!P735</f>
        <v>0</v>
      </c>
      <c r="Z610" s="22" t="e">
        <f>IF(LEN(VLOOKUP(Y610,A2:D500,4,FALSE))=0,,VLOOKUP(Y610,A2:D500,4,FALSE))</f>
        <v>#N/A</v>
      </c>
      <c r="AA610" s="56">
        <f>'Predictive Model'!P722</f>
        <v>0</v>
      </c>
      <c r="AB610" s="22" t="e">
        <f>IF(LEN(VLOOKUP(AA610,A2:D500,4,FALSE))=0,,VLOOKUP(AA610,A2:D500,4,FALSE))</f>
        <v>#N/A</v>
      </c>
      <c r="AC610" s="56">
        <f>'Consumption Model'!P727</f>
        <v>0</v>
      </c>
      <c r="AD610" s="22" t="e">
        <f>IF(LEN(VLOOKUP(AC610,A2:D500,4,FALSE))=0,,VLOOKUP(AC610,A2:D500,4,FALSE))</f>
        <v>#N/A</v>
      </c>
      <c r="AE610" s="22">
        <f>'(Data)'!Q723</f>
        <v>0</v>
      </c>
      <c r="AF610" s="22" t="e">
        <f>IF(LEN(VLOOKUP(AE609:AE610,A2:D500,4,FALSE))=0,,VLOOKUP(AE609:AE610,A2:D500,4,FALSE))</f>
        <v>#N/A</v>
      </c>
      <c r="AH610" s="45">
        <f>'Risk Charact Model'!P741</f>
        <v>0</v>
      </c>
      <c r="AI610" s="58" t="e">
        <f>IF(LEN(VLOOKUP(AH610,A2:D500,4,FALSE))=0,,VLOOKUP(AH610,A2:D500,4,FALSE))</f>
        <v>#N/A</v>
      </c>
    </row>
    <row r="611" spans="9:35" ht="14" x14ac:dyDescent="0.3">
      <c r="I611" s="60">
        <f>'Generic Metadata Schema'!P741</f>
        <v>0</v>
      </c>
      <c r="J611" s="22" t="e">
        <f>IF(LEN(VLOOKUP(I611,A2:D500,4,FALSE))=0,"",VLOOKUP(I611,A2:D500,4,FALSE))</f>
        <v>#N/A</v>
      </c>
      <c r="L611" s="56">
        <f>'Dose-response Model'!O725</f>
        <v>0</v>
      </c>
      <c r="M611" s="22" t="e">
        <f>IF(LEN(VLOOKUP(L611,A2:D500,4,FALSE))=0,,VLOOKUP(L611,A2:D500,4,FALSE))</f>
        <v>#N/A</v>
      </c>
      <c r="N611" s="22">
        <f>'Exposure Model'!O742</f>
        <v>0</v>
      </c>
      <c r="O611" s="22" t="e">
        <f>IF(LEN(VLOOKUP(N611,A2:D500,4,FALSE))=0,,VLOOKUP(N611,A2:D500,4,FALSE))</f>
        <v>#N/A</v>
      </c>
      <c r="P611" s="56">
        <f>'QRA Models'!Q742</f>
        <v>0</v>
      </c>
      <c r="Q611" s="22" t="e">
        <f>IF(LEN(VLOOKUP(P611,A2:D500,4,FALSE))=0,,VLOOKUP(P611,A2:D500,4,FALSE))</f>
        <v>#N/A</v>
      </c>
      <c r="R611" s="56">
        <f>'Health metrics Models'!Q725</f>
        <v>0</v>
      </c>
      <c r="S611" s="22" t="e">
        <f>IF(LEN(VLOOKUP(R611,A2:D500,4,FALSE))=0,,VLOOKUP(R611,A2:D500,4,FALSE))</f>
        <v>#N/A</v>
      </c>
      <c r="T611" s="56">
        <f>'Process Model'!P723</f>
        <v>0</v>
      </c>
      <c r="U611" s="22" t="e">
        <f>IF(LEN(VLOOKUP(T611,A2:D500,4,FALSE))=0,,VLOOKUP(T611,A2:D500,4,FALSE))</f>
        <v>#N/A</v>
      </c>
      <c r="V611" s="56">
        <f>'Toxicological reference value M'!P725</f>
        <v>0</v>
      </c>
      <c r="W611" s="22" t="e">
        <f>IF(LEN(VLOOKUP(V611,A2:D500,4,FALSE))=0,,VLOOKUP(V611,A2:D500,4,FALSE))</f>
        <v>#N/A</v>
      </c>
      <c r="Y611" s="56">
        <f>'Other Empirical Model'!P736</f>
        <v>0</v>
      </c>
      <c r="Z611" s="22" t="e">
        <f>IF(LEN(VLOOKUP(Y611,A2:D500,4,FALSE))=0,,VLOOKUP(Y611,A2:D500,4,FALSE))</f>
        <v>#N/A</v>
      </c>
      <c r="AA611" s="56">
        <f>'Predictive Model'!P723</f>
        <v>0</v>
      </c>
      <c r="AB611" s="22" t="e">
        <f>IF(LEN(VLOOKUP(AA611,A2:D500,4,FALSE))=0,,VLOOKUP(AA611,A2:D500,4,FALSE))</f>
        <v>#N/A</v>
      </c>
      <c r="AC611" s="56">
        <f>'Consumption Model'!P728</f>
        <v>0</v>
      </c>
      <c r="AD611" s="22" t="e">
        <f>IF(LEN(VLOOKUP(AC611,A2:D500,4,FALSE))=0,,VLOOKUP(AC611,A2:D500,4,FALSE))</f>
        <v>#N/A</v>
      </c>
      <c r="AE611" s="22">
        <f>'(Data)'!Q724</f>
        <v>0</v>
      </c>
      <c r="AF611" s="22" t="e">
        <f>IF(LEN(VLOOKUP(AE610:AE611,A2:D500,4,FALSE))=0,,VLOOKUP(AE610:AE611,A2:D500,4,FALSE))</f>
        <v>#N/A</v>
      </c>
      <c r="AH611" s="45">
        <f>'Risk Charact Model'!P742</f>
        <v>0</v>
      </c>
      <c r="AI611" s="58" t="e">
        <f>IF(LEN(VLOOKUP(AH611,A2:D500,4,FALSE))=0,,VLOOKUP(AH611,A2:D500,4,FALSE))</f>
        <v>#N/A</v>
      </c>
    </row>
    <row r="612" spans="9:35" ht="14" x14ac:dyDescent="0.3">
      <c r="I612" s="60">
        <f>'Generic Metadata Schema'!P742</f>
        <v>0</v>
      </c>
      <c r="J612" s="22" t="e">
        <f>IF(LEN(VLOOKUP(I612,A2:D500,4,FALSE))=0,"",VLOOKUP(I612,A2:D500,4,FALSE))</f>
        <v>#N/A</v>
      </c>
      <c r="L612" s="56">
        <f>'Dose-response Model'!O726</f>
        <v>0</v>
      </c>
      <c r="M612" s="22" t="e">
        <f>IF(LEN(VLOOKUP(L612,A2:D500,4,FALSE))=0,,VLOOKUP(L612,A2:D500,4,FALSE))</f>
        <v>#N/A</v>
      </c>
      <c r="N612" s="22">
        <f>'Exposure Model'!O743</f>
        <v>0</v>
      </c>
      <c r="O612" s="22" t="e">
        <f>IF(LEN(VLOOKUP(N612,A2:D500,4,FALSE))=0,,VLOOKUP(N612,A2:D500,4,FALSE))</f>
        <v>#N/A</v>
      </c>
      <c r="P612" s="56">
        <f>'QRA Models'!Q743</f>
        <v>0</v>
      </c>
      <c r="Q612" s="22" t="e">
        <f>IF(LEN(VLOOKUP(P612,A2:D500,4,FALSE))=0,,VLOOKUP(P612,A2:D500,4,FALSE))</f>
        <v>#N/A</v>
      </c>
      <c r="R612" s="56">
        <f>'Health metrics Models'!Q726</f>
        <v>0</v>
      </c>
      <c r="S612" s="22" t="e">
        <f>IF(LEN(VLOOKUP(R612,A2:D500,4,FALSE))=0,,VLOOKUP(R612,A2:D500,4,FALSE))</f>
        <v>#N/A</v>
      </c>
      <c r="T612" s="56">
        <f>'Process Model'!P724</f>
        <v>0</v>
      </c>
      <c r="U612" s="22" t="e">
        <f>IF(LEN(VLOOKUP(T612,A2:D500,4,FALSE))=0,,VLOOKUP(T612,A2:D500,4,FALSE))</f>
        <v>#N/A</v>
      </c>
      <c r="V612" s="56">
        <f>'Toxicological reference value M'!P726</f>
        <v>0</v>
      </c>
      <c r="W612" s="22" t="e">
        <f>IF(LEN(VLOOKUP(V612,A2:D500,4,FALSE))=0,,VLOOKUP(V612,A2:D500,4,FALSE))</f>
        <v>#N/A</v>
      </c>
      <c r="Y612" s="56">
        <f>'Other Empirical Model'!P737</f>
        <v>0</v>
      </c>
      <c r="Z612" s="22" t="e">
        <f>IF(LEN(VLOOKUP(Y612,A2:D500,4,FALSE))=0,,VLOOKUP(Y612,A2:D500,4,FALSE))</f>
        <v>#N/A</v>
      </c>
      <c r="AA612" s="56">
        <f>'Predictive Model'!P724</f>
        <v>0</v>
      </c>
      <c r="AB612" s="22" t="e">
        <f>IF(LEN(VLOOKUP(AA612,A2:D500,4,FALSE))=0,,VLOOKUP(AA612,A2:D500,4,FALSE))</f>
        <v>#N/A</v>
      </c>
      <c r="AC612" s="56">
        <f>'Consumption Model'!P729</f>
        <v>0</v>
      </c>
      <c r="AD612" s="22" t="e">
        <f>IF(LEN(VLOOKUP(AC612,A2:D500,4,FALSE))=0,,VLOOKUP(AC612,A2:D500,4,FALSE))</f>
        <v>#N/A</v>
      </c>
      <c r="AE612" s="22">
        <f>'(Data)'!Q725</f>
        <v>0</v>
      </c>
      <c r="AF612" s="22" t="e">
        <f>IF(LEN(VLOOKUP(AE611:AE612,A2:D500,4,FALSE))=0,,VLOOKUP(AE611:AE612,A2:D500,4,FALSE))</f>
        <v>#N/A</v>
      </c>
      <c r="AH612" s="45">
        <f>'Risk Charact Model'!P743</f>
        <v>0</v>
      </c>
      <c r="AI612" s="58" t="e">
        <f>IF(LEN(VLOOKUP(AH612,A2:D500,4,FALSE))=0,,VLOOKUP(AH612,A2:D500,4,FALSE))</f>
        <v>#N/A</v>
      </c>
    </row>
    <row r="613" spans="9:35" ht="14" x14ac:dyDescent="0.3">
      <c r="I613" s="60">
        <f>'Generic Metadata Schema'!P743</f>
        <v>0</v>
      </c>
      <c r="J613" s="22" t="e">
        <f>IF(LEN(VLOOKUP(I613,A2:D500,4,FALSE))=0,"",VLOOKUP(I613,A2:D500,4,FALSE))</f>
        <v>#N/A</v>
      </c>
      <c r="L613" s="56">
        <f>'Dose-response Model'!O727</f>
        <v>0</v>
      </c>
      <c r="M613" s="22" t="e">
        <f>IF(LEN(VLOOKUP(L613,A2:D500,4,FALSE))=0,,VLOOKUP(L613,A2:D500,4,FALSE))</f>
        <v>#N/A</v>
      </c>
      <c r="N613" s="22">
        <f>'Exposure Model'!O744</f>
        <v>0</v>
      </c>
      <c r="O613" s="22" t="e">
        <f>IF(LEN(VLOOKUP(N613,A2:D500,4,FALSE))=0,,VLOOKUP(N613,A2:D500,4,FALSE))</f>
        <v>#N/A</v>
      </c>
      <c r="P613" s="56">
        <f>'QRA Models'!Q744</f>
        <v>0</v>
      </c>
      <c r="Q613" s="22" t="e">
        <f>IF(LEN(VLOOKUP(P613,A2:D500,4,FALSE))=0,,VLOOKUP(P613,A2:D500,4,FALSE))</f>
        <v>#N/A</v>
      </c>
      <c r="R613" s="56">
        <f>'Health metrics Models'!Q727</f>
        <v>0</v>
      </c>
      <c r="S613" s="22" t="e">
        <f>IF(LEN(VLOOKUP(R613,A2:D500,4,FALSE))=0,,VLOOKUP(R613,A2:D500,4,FALSE))</f>
        <v>#N/A</v>
      </c>
      <c r="T613" s="56">
        <f>'Process Model'!P725</f>
        <v>0</v>
      </c>
      <c r="U613" s="22" t="e">
        <f>IF(LEN(VLOOKUP(T613,A2:D500,4,FALSE))=0,,VLOOKUP(T613,A2:D500,4,FALSE))</f>
        <v>#N/A</v>
      </c>
      <c r="V613" s="56">
        <f>'Toxicological reference value M'!P727</f>
        <v>0</v>
      </c>
      <c r="W613" s="22" t="e">
        <f>IF(LEN(VLOOKUP(V613,A2:D500,4,FALSE))=0,,VLOOKUP(V613,A2:D500,4,FALSE))</f>
        <v>#N/A</v>
      </c>
      <c r="Y613" s="56">
        <f>'Other Empirical Model'!P738</f>
        <v>0</v>
      </c>
      <c r="Z613" s="22" t="e">
        <f>IF(LEN(VLOOKUP(Y613,A2:D500,4,FALSE))=0,,VLOOKUP(Y613,A2:D500,4,FALSE))</f>
        <v>#N/A</v>
      </c>
      <c r="AA613" s="56">
        <f>'Predictive Model'!P725</f>
        <v>0</v>
      </c>
      <c r="AB613" s="22" t="e">
        <f>IF(LEN(VLOOKUP(AA613,A2:D500,4,FALSE))=0,,VLOOKUP(AA613,A2:D500,4,FALSE))</f>
        <v>#N/A</v>
      </c>
      <c r="AC613" s="56">
        <f>'Consumption Model'!P730</f>
        <v>0</v>
      </c>
      <c r="AD613" s="22" t="e">
        <f>IF(LEN(VLOOKUP(AC613,A2:D500,4,FALSE))=0,,VLOOKUP(AC613,A2:D500,4,FALSE))</f>
        <v>#N/A</v>
      </c>
      <c r="AE613" s="22">
        <f>'(Data)'!Q726</f>
        <v>0</v>
      </c>
      <c r="AF613" s="22" t="e">
        <f>IF(LEN(VLOOKUP(AE612:AE613,A2:D500,4,FALSE))=0,,VLOOKUP(AE612:AE613,A2:D500,4,FALSE))</f>
        <v>#N/A</v>
      </c>
      <c r="AH613" s="45">
        <f>'Risk Charact Model'!P744</f>
        <v>0</v>
      </c>
      <c r="AI613" s="58" t="e">
        <f>IF(LEN(VLOOKUP(AH613,A2:D500,4,FALSE))=0,,VLOOKUP(AH613,A2:D500,4,FALSE))</f>
        <v>#N/A</v>
      </c>
    </row>
    <row r="614" spans="9:35" ht="14" x14ac:dyDescent="0.3">
      <c r="I614" s="60">
        <f>'Generic Metadata Schema'!P744</f>
        <v>0</v>
      </c>
      <c r="J614" s="22" t="e">
        <f>IF(LEN(VLOOKUP(I614,A2:D500,4,FALSE))=0,"",VLOOKUP(I614,A2:D500,4,FALSE))</f>
        <v>#N/A</v>
      </c>
      <c r="L614" s="56">
        <f>'Dose-response Model'!O728</f>
        <v>0</v>
      </c>
      <c r="M614" s="22" t="e">
        <f>IF(LEN(VLOOKUP(L614,A2:D500,4,FALSE))=0,,VLOOKUP(L614,A2:D500,4,FALSE))</f>
        <v>#N/A</v>
      </c>
      <c r="N614" s="22">
        <f>'Exposure Model'!O745</f>
        <v>0</v>
      </c>
      <c r="O614" s="22" t="e">
        <f>IF(LEN(VLOOKUP(N614,A2:D500,4,FALSE))=0,,VLOOKUP(N614,A2:D500,4,FALSE))</f>
        <v>#N/A</v>
      </c>
      <c r="P614" s="56">
        <f>'QRA Models'!Q745</f>
        <v>0</v>
      </c>
      <c r="Q614" s="22" t="e">
        <f>IF(LEN(VLOOKUP(P614,A2:D500,4,FALSE))=0,,VLOOKUP(P614,A2:D500,4,FALSE))</f>
        <v>#N/A</v>
      </c>
      <c r="R614" s="56">
        <f>'Health metrics Models'!Q728</f>
        <v>0</v>
      </c>
      <c r="S614" s="22" t="e">
        <f>IF(LEN(VLOOKUP(R614,A2:D500,4,FALSE))=0,,VLOOKUP(R614,A2:D500,4,FALSE))</f>
        <v>#N/A</v>
      </c>
      <c r="T614" s="56">
        <f>'Process Model'!P726</f>
        <v>0</v>
      </c>
      <c r="U614" s="22" t="e">
        <f>IF(LEN(VLOOKUP(T614,A2:D500,4,FALSE))=0,,VLOOKUP(T614,A2:D500,4,FALSE))</f>
        <v>#N/A</v>
      </c>
      <c r="V614" s="56">
        <f>'Toxicological reference value M'!P728</f>
        <v>0</v>
      </c>
      <c r="W614" s="22" t="e">
        <f>IF(LEN(VLOOKUP(V614,A2:D500,4,FALSE))=0,,VLOOKUP(V614,A2:D500,4,FALSE))</f>
        <v>#N/A</v>
      </c>
      <c r="Y614" s="56">
        <f>'Other Empirical Model'!P739</f>
        <v>0</v>
      </c>
      <c r="Z614" s="22" t="e">
        <f>IF(LEN(VLOOKUP(Y614,A2:D500,4,FALSE))=0,,VLOOKUP(Y614,A2:D500,4,FALSE))</f>
        <v>#N/A</v>
      </c>
      <c r="AA614" s="56">
        <f>'Predictive Model'!P726</f>
        <v>0</v>
      </c>
      <c r="AB614" s="22" t="e">
        <f>IF(LEN(VLOOKUP(AA614,A2:D500,4,FALSE))=0,,VLOOKUP(AA614,A2:D500,4,FALSE))</f>
        <v>#N/A</v>
      </c>
      <c r="AC614" s="56">
        <f>'Consumption Model'!P731</f>
        <v>0</v>
      </c>
      <c r="AD614" s="22" t="e">
        <f>IF(LEN(VLOOKUP(AC614,A2:D500,4,FALSE))=0,,VLOOKUP(AC614,A2:D500,4,FALSE))</f>
        <v>#N/A</v>
      </c>
      <c r="AE614" s="22">
        <f>'(Data)'!Q727</f>
        <v>0</v>
      </c>
      <c r="AF614" s="22" t="e">
        <f>IF(LEN(VLOOKUP(AE613:AE614,A2:D500,4,FALSE))=0,,VLOOKUP(AE613:AE614,A2:D500,4,FALSE))</f>
        <v>#N/A</v>
      </c>
      <c r="AH614" s="45">
        <f>'Risk Charact Model'!P745</f>
        <v>0</v>
      </c>
      <c r="AI614" s="58" t="e">
        <f>IF(LEN(VLOOKUP(AH614,A2:D500,4,FALSE))=0,,VLOOKUP(AH614,A2:D500,4,FALSE))</f>
        <v>#N/A</v>
      </c>
    </row>
    <row r="615" spans="9:35" ht="14" x14ac:dyDescent="0.3">
      <c r="I615" s="60">
        <f>'Generic Metadata Schema'!P745</f>
        <v>0</v>
      </c>
      <c r="J615" s="22" t="e">
        <f>IF(LEN(VLOOKUP(I615,A2:D500,4,FALSE))=0,"",VLOOKUP(I615,A2:D500,4,FALSE))</f>
        <v>#N/A</v>
      </c>
      <c r="L615" s="56">
        <f>'Dose-response Model'!O729</f>
        <v>0</v>
      </c>
      <c r="M615" s="22" t="e">
        <f>IF(LEN(VLOOKUP(L615,A2:D500,4,FALSE))=0,,VLOOKUP(L615,A2:D500,4,FALSE))</f>
        <v>#N/A</v>
      </c>
      <c r="N615" s="22">
        <f>'Exposure Model'!O746</f>
        <v>0</v>
      </c>
      <c r="O615" s="22" t="e">
        <f>IF(LEN(VLOOKUP(N615,A2:D500,4,FALSE))=0,,VLOOKUP(N615,A2:D500,4,FALSE))</f>
        <v>#N/A</v>
      </c>
      <c r="P615" s="56">
        <f>'QRA Models'!Q746</f>
        <v>0</v>
      </c>
      <c r="Q615" s="22" t="e">
        <f>IF(LEN(VLOOKUP(P615,A2:D500,4,FALSE))=0,,VLOOKUP(P615,A2:D500,4,FALSE))</f>
        <v>#N/A</v>
      </c>
      <c r="R615" s="56">
        <f>'Health metrics Models'!Q729</f>
        <v>0</v>
      </c>
      <c r="S615" s="22" t="e">
        <f>IF(LEN(VLOOKUP(R615,A2:D500,4,FALSE))=0,,VLOOKUP(R615,A2:D500,4,FALSE))</f>
        <v>#N/A</v>
      </c>
      <c r="T615" s="56">
        <f>'Process Model'!P727</f>
        <v>0</v>
      </c>
      <c r="U615" s="22" t="e">
        <f>IF(LEN(VLOOKUP(T615,A2:D500,4,FALSE))=0,,VLOOKUP(T615,A2:D500,4,FALSE))</f>
        <v>#N/A</v>
      </c>
      <c r="V615" s="56">
        <f>'Toxicological reference value M'!P729</f>
        <v>0</v>
      </c>
      <c r="W615" s="22" t="e">
        <f>IF(LEN(VLOOKUP(V615,A2:D500,4,FALSE))=0,,VLOOKUP(V615,A2:D500,4,FALSE))</f>
        <v>#N/A</v>
      </c>
      <c r="Y615" s="56">
        <f>'Other Empirical Model'!P740</f>
        <v>0</v>
      </c>
      <c r="Z615" s="22" t="e">
        <f>IF(LEN(VLOOKUP(Y615,A2:D500,4,FALSE))=0,,VLOOKUP(Y615,A2:D500,4,FALSE))</f>
        <v>#N/A</v>
      </c>
      <c r="AA615" s="56">
        <f>'Predictive Model'!P727</f>
        <v>0</v>
      </c>
      <c r="AB615" s="22" t="e">
        <f>IF(LEN(VLOOKUP(AA615,A2:D500,4,FALSE))=0,,VLOOKUP(AA615,A2:D500,4,FALSE))</f>
        <v>#N/A</v>
      </c>
      <c r="AC615" s="56">
        <f>'Consumption Model'!P732</f>
        <v>0</v>
      </c>
      <c r="AD615" s="22" t="e">
        <f>IF(LEN(VLOOKUP(AC615,A2:D500,4,FALSE))=0,,VLOOKUP(AC615,A2:D500,4,FALSE))</f>
        <v>#N/A</v>
      </c>
      <c r="AE615" s="22">
        <f>'(Data)'!Q728</f>
        <v>0</v>
      </c>
      <c r="AF615" s="22" t="e">
        <f>IF(LEN(VLOOKUP(AE614:AE615,A2:D500,4,FALSE))=0,,VLOOKUP(AE614:AE615,A2:D500,4,FALSE))</f>
        <v>#N/A</v>
      </c>
      <c r="AH615" s="45">
        <f>'Risk Charact Model'!P746</f>
        <v>0</v>
      </c>
      <c r="AI615" s="58" t="e">
        <f>IF(LEN(VLOOKUP(AH615,A2:D500,4,FALSE))=0,,VLOOKUP(AH615,A2:D500,4,FALSE))</f>
        <v>#N/A</v>
      </c>
    </row>
    <row r="616" spans="9:35" ht="14" x14ac:dyDescent="0.3">
      <c r="I616" s="60">
        <f>'Generic Metadata Schema'!P746</f>
        <v>0</v>
      </c>
      <c r="J616" s="22" t="e">
        <f>IF(LEN(VLOOKUP(I616,A2:D500,4,FALSE))=0,"",VLOOKUP(I616,A2:D500,4,FALSE))</f>
        <v>#N/A</v>
      </c>
      <c r="L616" s="56">
        <f>'Dose-response Model'!O730</f>
        <v>0</v>
      </c>
      <c r="M616" s="22" t="e">
        <f>IF(LEN(VLOOKUP(L616,A2:D500,4,FALSE))=0,,VLOOKUP(L616,A2:D500,4,FALSE))</f>
        <v>#N/A</v>
      </c>
      <c r="N616" s="22">
        <f>'Exposure Model'!O747</f>
        <v>0</v>
      </c>
      <c r="O616" s="22" t="e">
        <f>IF(LEN(VLOOKUP(N616,A2:D500,4,FALSE))=0,,VLOOKUP(N616,A2:D500,4,FALSE))</f>
        <v>#N/A</v>
      </c>
      <c r="P616" s="56">
        <f>'QRA Models'!Q747</f>
        <v>0</v>
      </c>
      <c r="Q616" s="22" t="e">
        <f>IF(LEN(VLOOKUP(P616,A2:D500,4,FALSE))=0,,VLOOKUP(P616,A2:D500,4,FALSE))</f>
        <v>#N/A</v>
      </c>
      <c r="R616" s="56">
        <f>'Health metrics Models'!Q730</f>
        <v>0</v>
      </c>
      <c r="S616" s="22" t="e">
        <f>IF(LEN(VLOOKUP(R616,A2:D500,4,FALSE))=0,,VLOOKUP(R616,A2:D500,4,FALSE))</f>
        <v>#N/A</v>
      </c>
      <c r="T616" s="56">
        <f>'Process Model'!P728</f>
        <v>0</v>
      </c>
      <c r="U616" s="22" t="e">
        <f>IF(LEN(VLOOKUP(T616,A2:D500,4,FALSE))=0,,VLOOKUP(T616,A2:D500,4,FALSE))</f>
        <v>#N/A</v>
      </c>
      <c r="V616" s="56">
        <f>'Toxicological reference value M'!P730</f>
        <v>0</v>
      </c>
      <c r="W616" s="22" t="e">
        <f>IF(LEN(VLOOKUP(V616,A2:D500,4,FALSE))=0,,VLOOKUP(V616,A2:D500,4,FALSE))</f>
        <v>#N/A</v>
      </c>
      <c r="Y616" s="56">
        <f>'Other Empirical Model'!P741</f>
        <v>0</v>
      </c>
      <c r="Z616" s="22" t="e">
        <f>IF(LEN(VLOOKUP(Y616,A2:D500,4,FALSE))=0,,VLOOKUP(Y616,A2:D500,4,FALSE))</f>
        <v>#N/A</v>
      </c>
      <c r="AA616" s="56">
        <f>'Predictive Model'!P728</f>
        <v>0</v>
      </c>
      <c r="AB616" s="22" t="e">
        <f>IF(LEN(VLOOKUP(AA616,A2:D500,4,FALSE))=0,,VLOOKUP(AA616,A2:D500,4,FALSE))</f>
        <v>#N/A</v>
      </c>
      <c r="AC616" s="56">
        <f>'Consumption Model'!P733</f>
        <v>0</v>
      </c>
      <c r="AD616" s="22" t="e">
        <f>IF(LEN(VLOOKUP(AC616,A2:D500,4,FALSE))=0,,VLOOKUP(AC616,A2:D500,4,FALSE))</f>
        <v>#N/A</v>
      </c>
      <c r="AE616" s="22">
        <f>'(Data)'!Q729</f>
        <v>0</v>
      </c>
      <c r="AF616" s="22" t="e">
        <f>IF(LEN(VLOOKUP(AE615:AE616,A2:D500,4,FALSE))=0,,VLOOKUP(AE615:AE616,A2:D500,4,FALSE))</f>
        <v>#N/A</v>
      </c>
      <c r="AH616" s="45">
        <f>'Risk Charact Model'!P747</f>
        <v>0</v>
      </c>
      <c r="AI616" s="58" t="e">
        <f>IF(LEN(VLOOKUP(AH616,A2:D500,4,FALSE))=0,,VLOOKUP(AH616,A2:D500,4,FALSE))</f>
        <v>#N/A</v>
      </c>
    </row>
    <row r="617" spans="9:35" ht="14" x14ac:dyDescent="0.3">
      <c r="I617" s="60">
        <f>'Generic Metadata Schema'!P747</f>
        <v>0</v>
      </c>
      <c r="J617" s="22" t="e">
        <f>IF(LEN(VLOOKUP(I617,A2:D500,4,FALSE))=0,"",VLOOKUP(I617,A2:D500,4,FALSE))</f>
        <v>#N/A</v>
      </c>
      <c r="L617" s="56">
        <f>'Dose-response Model'!O731</f>
        <v>0</v>
      </c>
      <c r="M617" s="22" t="e">
        <f>IF(LEN(VLOOKUP(L617,A2:D500,4,FALSE))=0,,VLOOKUP(L617,A2:D500,4,FALSE))</f>
        <v>#N/A</v>
      </c>
      <c r="N617" s="22">
        <f>'Exposure Model'!O748</f>
        <v>0</v>
      </c>
      <c r="O617" s="22" t="e">
        <f>IF(LEN(VLOOKUP(N617,A2:D500,4,FALSE))=0,,VLOOKUP(N617,A2:D500,4,FALSE))</f>
        <v>#N/A</v>
      </c>
      <c r="P617" s="56">
        <f>'QRA Models'!Q748</f>
        <v>0</v>
      </c>
      <c r="Q617" s="22" t="e">
        <f>IF(LEN(VLOOKUP(P617,A2:D500,4,FALSE))=0,,VLOOKUP(P617,A2:D500,4,FALSE))</f>
        <v>#N/A</v>
      </c>
      <c r="R617" s="56">
        <f>'Health metrics Models'!Q731</f>
        <v>0</v>
      </c>
      <c r="S617" s="22" t="e">
        <f>IF(LEN(VLOOKUP(R617,A2:D500,4,FALSE))=0,,VLOOKUP(R617,A2:D500,4,FALSE))</f>
        <v>#N/A</v>
      </c>
      <c r="T617" s="56">
        <f>'Process Model'!P729</f>
        <v>0</v>
      </c>
      <c r="U617" s="22" t="e">
        <f>IF(LEN(VLOOKUP(T617,A2:D500,4,FALSE))=0,,VLOOKUP(T617,A2:D500,4,FALSE))</f>
        <v>#N/A</v>
      </c>
      <c r="V617" s="56">
        <f>'Toxicological reference value M'!P731</f>
        <v>0</v>
      </c>
      <c r="W617" s="22" t="e">
        <f>IF(LEN(VLOOKUP(V617,A2:D500,4,FALSE))=0,,VLOOKUP(V617,A2:D500,4,FALSE))</f>
        <v>#N/A</v>
      </c>
      <c r="Y617" s="56">
        <f>'Other Empirical Model'!P742</f>
        <v>0</v>
      </c>
      <c r="Z617" s="22" t="e">
        <f>IF(LEN(VLOOKUP(Y617,A2:D500,4,FALSE))=0,,VLOOKUP(Y617,A2:D500,4,FALSE))</f>
        <v>#N/A</v>
      </c>
      <c r="AA617" s="56">
        <f>'Predictive Model'!P729</f>
        <v>0</v>
      </c>
      <c r="AB617" s="22" t="e">
        <f>IF(LEN(VLOOKUP(AA617,A2:D500,4,FALSE))=0,,VLOOKUP(AA617,A2:D500,4,FALSE))</f>
        <v>#N/A</v>
      </c>
      <c r="AC617" s="56">
        <f>'Consumption Model'!P734</f>
        <v>0</v>
      </c>
      <c r="AD617" s="22" t="e">
        <f>IF(LEN(VLOOKUP(AC617,A2:D500,4,FALSE))=0,,VLOOKUP(AC617,A2:D500,4,FALSE))</f>
        <v>#N/A</v>
      </c>
      <c r="AE617" s="22">
        <f>'(Data)'!Q730</f>
        <v>0</v>
      </c>
      <c r="AF617" s="22" t="e">
        <f>IF(LEN(VLOOKUP(AE616:AE617,A2:D500,4,FALSE))=0,,VLOOKUP(AE616:AE617,A2:D500,4,FALSE))</f>
        <v>#N/A</v>
      </c>
      <c r="AH617" s="45">
        <f>'Risk Charact Model'!P748</f>
        <v>0</v>
      </c>
      <c r="AI617" s="58" t="e">
        <f>IF(LEN(VLOOKUP(AH617,A2:D500,4,FALSE))=0,,VLOOKUP(AH617,A2:D500,4,FALSE))</f>
        <v>#N/A</v>
      </c>
    </row>
    <row r="618" spans="9:35" ht="14" x14ac:dyDescent="0.3">
      <c r="I618" s="60">
        <f>'Generic Metadata Schema'!P748</f>
        <v>0</v>
      </c>
      <c r="J618" s="22" t="e">
        <f>IF(LEN(VLOOKUP(I618,A2:D500,4,FALSE))=0,"",VLOOKUP(I618,A2:D500,4,FALSE))</f>
        <v>#N/A</v>
      </c>
      <c r="L618" s="56">
        <f>'Dose-response Model'!O732</f>
        <v>0</v>
      </c>
      <c r="M618" s="22" t="e">
        <f>IF(LEN(VLOOKUP(L618,A2:D500,4,FALSE))=0,,VLOOKUP(L618,A2:D500,4,FALSE))</f>
        <v>#N/A</v>
      </c>
      <c r="N618" s="22">
        <f>'Exposure Model'!O749</f>
        <v>0</v>
      </c>
      <c r="O618" s="22" t="e">
        <f>IF(LEN(VLOOKUP(N618,A2:D500,4,FALSE))=0,,VLOOKUP(N618,A2:D500,4,FALSE))</f>
        <v>#N/A</v>
      </c>
      <c r="P618" s="56">
        <f>'QRA Models'!Q749</f>
        <v>0</v>
      </c>
      <c r="Q618" s="22" t="e">
        <f>IF(LEN(VLOOKUP(P618,A2:D500,4,FALSE))=0,,VLOOKUP(P618,A2:D500,4,FALSE))</f>
        <v>#N/A</v>
      </c>
      <c r="R618" s="56">
        <f>'Health metrics Models'!Q732</f>
        <v>0</v>
      </c>
      <c r="S618" s="22" t="e">
        <f>IF(LEN(VLOOKUP(R618,A2:D500,4,FALSE))=0,,VLOOKUP(R618,A2:D500,4,FALSE))</f>
        <v>#N/A</v>
      </c>
      <c r="T618" s="56">
        <f>'Process Model'!P730</f>
        <v>0</v>
      </c>
      <c r="U618" s="22" t="e">
        <f>IF(LEN(VLOOKUP(T618,A2:D500,4,FALSE))=0,,VLOOKUP(T618,A2:D500,4,FALSE))</f>
        <v>#N/A</v>
      </c>
      <c r="V618" s="56">
        <f>'Toxicological reference value M'!P732</f>
        <v>0</v>
      </c>
      <c r="W618" s="22" t="e">
        <f>IF(LEN(VLOOKUP(V618,A2:D500,4,FALSE))=0,,VLOOKUP(V618,A2:D500,4,FALSE))</f>
        <v>#N/A</v>
      </c>
      <c r="Y618" s="56">
        <f>'Other Empirical Model'!P743</f>
        <v>0</v>
      </c>
      <c r="Z618" s="22" t="e">
        <f>IF(LEN(VLOOKUP(Y618,A2:D500,4,FALSE))=0,,VLOOKUP(Y618,A2:D500,4,FALSE))</f>
        <v>#N/A</v>
      </c>
      <c r="AA618" s="56">
        <f>'Predictive Model'!P730</f>
        <v>0</v>
      </c>
      <c r="AB618" s="22" t="e">
        <f>IF(LEN(VLOOKUP(AA618,A2:D500,4,FALSE))=0,,VLOOKUP(AA618,A2:D500,4,FALSE))</f>
        <v>#N/A</v>
      </c>
      <c r="AC618" s="56">
        <f>'Consumption Model'!P735</f>
        <v>0</v>
      </c>
      <c r="AD618" s="22" t="e">
        <f>IF(LEN(VLOOKUP(AC618,A2:D500,4,FALSE))=0,,VLOOKUP(AC618,A2:D500,4,FALSE))</f>
        <v>#N/A</v>
      </c>
      <c r="AE618" s="22">
        <f>'(Data)'!Q731</f>
        <v>0</v>
      </c>
      <c r="AF618" s="22" t="e">
        <f>IF(LEN(VLOOKUP(AE617:AE618,A2:D500,4,FALSE))=0,,VLOOKUP(AE617:AE618,A2:D500,4,FALSE))</f>
        <v>#N/A</v>
      </c>
      <c r="AH618" s="45">
        <f>'Risk Charact Model'!P749</f>
        <v>0</v>
      </c>
      <c r="AI618" s="58" t="e">
        <f>IF(LEN(VLOOKUP(AH618,A2:D500,4,FALSE))=0,,VLOOKUP(AH618,A2:D500,4,FALSE))</f>
        <v>#N/A</v>
      </c>
    </row>
    <row r="619" spans="9:35" ht="14" x14ac:dyDescent="0.3">
      <c r="I619" s="60">
        <f>'Generic Metadata Schema'!P749</f>
        <v>0</v>
      </c>
      <c r="J619" s="22" t="e">
        <f>IF(LEN(VLOOKUP(I619,A2:D500,4,FALSE))=0,"",VLOOKUP(I619,A2:D500,4,FALSE))</f>
        <v>#N/A</v>
      </c>
      <c r="L619" s="56">
        <f>'Dose-response Model'!O733</f>
        <v>0</v>
      </c>
      <c r="M619" s="22" t="e">
        <f>IF(LEN(VLOOKUP(L619,A2:D500,4,FALSE))=0,,VLOOKUP(L619,A2:D500,4,FALSE))</f>
        <v>#N/A</v>
      </c>
      <c r="N619" s="22">
        <f>'Exposure Model'!O750</f>
        <v>0</v>
      </c>
      <c r="O619" s="22" t="e">
        <f>IF(LEN(VLOOKUP(N619,A2:D500,4,FALSE))=0,,VLOOKUP(N619,A2:D500,4,FALSE))</f>
        <v>#N/A</v>
      </c>
      <c r="P619" s="56">
        <f>'QRA Models'!Q750</f>
        <v>0</v>
      </c>
      <c r="Q619" s="22" t="e">
        <f>IF(LEN(VLOOKUP(P619,A2:D500,4,FALSE))=0,,VLOOKUP(P619,A2:D500,4,FALSE))</f>
        <v>#N/A</v>
      </c>
      <c r="R619" s="56">
        <f>'Health metrics Models'!Q733</f>
        <v>0</v>
      </c>
      <c r="S619" s="22" t="e">
        <f>IF(LEN(VLOOKUP(R619,A2:D500,4,FALSE))=0,,VLOOKUP(R619,A2:D500,4,FALSE))</f>
        <v>#N/A</v>
      </c>
      <c r="T619" s="56">
        <f>'Process Model'!P731</f>
        <v>0</v>
      </c>
      <c r="U619" s="22" t="e">
        <f>IF(LEN(VLOOKUP(T619,A2:D500,4,FALSE))=0,,VLOOKUP(T619,A2:D500,4,FALSE))</f>
        <v>#N/A</v>
      </c>
      <c r="V619" s="56">
        <f>'Toxicological reference value M'!P733</f>
        <v>0</v>
      </c>
      <c r="W619" s="22" t="e">
        <f>IF(LEN(VLOOKUP(V619,A2:D500,4,FALSE))=0,,VLOOKUP(V619,A2:D500,4,FALSE))</f>
        <v>#N/A</v>
      </c>
      <c r="Y619" s="56">
        <f>'Other Empirical Model'!P744</f>
        <v>0</v>
      </c>
      <c r="Z619" s="22" t="e">
        <f>IF(LEN(VLOOKUP(Y619,A2:D500,4,FALSE))=0,,VLOOKUP(Y619,A2:D500,4,FALSE))</f>
        <v>#N/A</v>
      </c>
      <c r="AA619" s="56">
        <f>'Predictive Model'!P731</f>
        <v>0</v>
      </c>
      <c r="AB619" s="22" t="e">
        <f>IF(LEN(VLOOKUP(AA619,A2:D500,4,FALSE))=0,,VLOOKUP(AA619,A2:D500,4,FALSE))</f>
        <v>#N/A</v>
      </c>
      <c r="AC619" s="56">
        <f>'Consumption Model'!P736</f>
        <v>0</v>
      </c>
      <c r="AD619" s="22" t="e">
        <f>IF(LEN(VLOOKUP(AC619,A2:D500,4,FALSE))=0,,VLOOKUP(AC619,A2:D500,4,FALSE))</f>
        <v>#N/A</v>
      </c>
      <c r="AE619" s="22">
        <f>'(Data)'!Q732</f>
        <v>0</v>
      </c>
      <c r="AF619" s="22" t="e">
        <f>IF(LEN(VLOOKUP(AE618:AE619,A2:D500,4,FALSE))=0,,VLOOKUP(AE618:AE619,A2:D500,4,FALSE))</f>
        <v>#N/A</v>
      </c>
      <c r="AH619" s="45">
        <f>'Risk Charact Model'!P750</f>
        <v>0</v>
      </c>
      <c r="AI619" s="58" t="e">
        <f>IF(LEN(VLOOKUP(AH619,A2:D500,4,FALSE))=0,,VLOOKUP(AH619,A2:D500,4,FALSE))</f>
        <v>#N/A</v>
      </c>
    </row>
    <row r="620" spans="9:35" ht="14" x14ac:dyDescent="0.3">
      <c r="I620" s="60">
        <f>'Generic Metadata Schema'!P750</f>
        <v>0</v>
      </c>
      <c r="J620" s="22" t="e">
        <f>IF(LEN(VLOOKUP(I620,A2:D500,4,FALSE))=0,"",VLOOKUP(I620,A2:D500,4,FALSE))</f>
        <v>#N/A</v>
      </c>
      <c r="L620" s="56">
        <f>'Dose-response Model'!O734</f>
        <v>0</v>
      </c>
      <c r="M620" s="22" t="e">
        <f>IF(LEN(VLOOKUP(L620,A2:D500,4,FALSE))=0,,VLOOKUP(L620,A2:D500,4,FALSE))</f>
        <v>#N/A</v>
      </c>
      <c r="N620" s="22">
        <f>'Exposure Model'!O751</f>
        <v>0</v>
      </c>
      <c r="O620" s="22" t="e">
        <f>IF(LEN(VLOOKUP(N620,A2:D500,4,FALSE))=0,,VLOOKUP(N620,A2:D500,4,FALSE))</f>
        <v>#N/A</v>
      </c>
      <c r="P620" s="56">
        <f>'QRA Models'!Q751</f>
        <v>0</v>
      </c>
      <c r="Q620" s="22" t="e">
        <f>IF(LEN(VLOOKUP(P620,A2:D500,4,FALSE))=0,,VLOOKUP(P620,A2:D500,4,FALSE))</f>
        <v>#N/A</v>
      </c>
      <c r="R620" s="56">
        <f>'Health metrics Models'!Q734</f>
        <v>0</v>
      </c>
      <c r="S620" s="22" t="e">
        <f>IF(LEN(VLOOKUP(R620,A2:D500,4,FALSE))=0,,VLOOKUP(R620,A2:D500,4,FALSE))</f>
        <v>#N/A</v>
      </c>
      <c r="T620" s="56">
        <f>'Process Model'!P732</f>
        <v>0</v>
      </c>
      <c r="U620" s="22" t="e">
        <f>IF(LEN(VLOOKUP(T620,A2:D500,4,FALSE))=0,,VLOOKUP(T620,A2:D500,4,FALSE))</f>
        <v>#N/A</v>
      </c>
      <c r="V620" s="56">
        <f>'Toxicological reference value M'!P734</f>
        <v>0</v>
      </c>
      <c r="W620" s="22" t="e">
        <f>IF(LEN(VLOOKUP(V620,A2:D500,4,FALSE))=0,,VLOOKUP(V620,A2:D500,4,FALSE))</f>
        <v>#N/A</v>
      </c>
      <c r="Y620" s="56">
        <f>'Other Empirical Model'!P745</f>
        <v>0</v>
      </c>
      <c r="Z620" s="22" t="e">
        <f>IF(LEN(VLOOKUP(Y620,A2:D500,4,FALSE))=0,,VLOOKUP(Y620,A2:D500,4,FALSE))</f>
        <v>#N/A</v>
      </c>
      <c r="AA620" s="56">
        <f>'Predictive Model'!P732</f>
        <v>0</v>
      </c>
      <c r="AB620" s="22" t="e">
        <f>IF(LEN(VLOOKUP(AA620,A2:D500,4,FALSE))=0,,VLOOKUP(AA620,A2:D500,4,FALSE))</f>
        <v>#N/A</v>
      </c>
      <c r="AC620" s="56">
        <f>'Consumption Model'!P737</f>
        <v>0</v>
      </c>
      <c r="AD620" s="22" t="e">
        <f>IF(LEN(VLOOKUP(AC620,A2:D500,4,FALSE))=0,,VLOOKUP(AC620,A2:D500,4,FALSE))</f>
        <v>#N/A</v>
      </c>
      <c r="AE620" s="22">
        <f>'(Data)'!Q733</f>
        <v>0</v>
      </c>
      <c r="AF620" s="22" t="e">
        <f>IF(LEN(VLOOKUP(AE619:AE620,A2:D500,4,FALSE))=0,,VLOOKUP(AE619:AE620,A2:D500,4,FALSE))</f>
        <v>#N/A</v>
      </c>
      <c r="AH620" s="45">
        <f>'Risk Charact Model'!P751</f>
        <v>0</v>
      </c>
      <c r="AI620" s="58" t="e">
        <f>IF(LEN(VLOOKUP(AH620,A2:D500,4,FALSE))=0,,VLOOKUP(AH620,A2:D500,4,FALSE))</f>
        <v>#N/A</v>
      </c>
    </row>
    <row r="621" spans="9:35" ht="14" x14ac:dyDescent="0.3">
      <c r="I621" s="60">
        <f>'Generic Metadata Schema'!P751</f>
        <v>0</v>
      </c>
      <c r="J621" s="22" t="e">
        <f>IF(LEN(VLOOKUP(I621,A2:D500,4,FALSE))=0,"",VLOOKUP(I621,A2:D500,4,FALSE))</f>
        <v>#N/A</v>
      </c>
      <c r="L621" s="56">
        <f>'Dose-response Model'!O735</f>
        <v>0</v>
      </c>
      <c r="M621" s="22" t="e">
        <f>IF(LEN(VLOOKUP(L621,A2:D500,4,FALSE))=0,,VLOOKUP(L621,A2:D500,4,FALSE))</f>
        <v>#N/A</v>
      </c>
      <c r="N621" s="22">
        <f>'Exposure Model'!O752</f>
        <v>0</v>
      </c>
      <c r="O621" s="22" t="e">
        <f>IF(LEN(VLOOKUP(N621,A2:D500,4,FALSE))=0,,VLOOKUP(N621,A2:D500,4,FALSE))</f>
        <v>#N/A</v>
      </c>
      <c r="P621" s="56">
        <f>'QRA Models'!Q752</f>
        <v>0</v>
      </c>
      <c r="Q621" s="22" t="e">
        <f>IF(LEN(VLOOKUP(P621,A2:D500,4,FALSE))=0,,VLOOKUP(P621,A2:D500,4,FALSE))</f>
        <v>#N/A</v>
      </c>
      <c r="R621" s="56">
        <f>'Health metrics Models'!Q735</f>
        <v>0</v>
      </c>
      <c r="S621" s="22" t="e">
        <f>IF(LEN(VLOOKUP(R621,A2:D500,4,FALSE))=0,,VLOOKUP(R621,A2:D500,4,FALSE))</f>
        <v>#N/A</v>
      </c>
      <c r="T621" s="56">
        <f>'Process Model'!P733</f>
        <v>0</v>
      </c>
      <c r="U621" s="22" t="e">
        <f>IF(LEN(VLOOKUP(T621,A2:D500,4,FALSE))=0,,VLOOKUP(T621,A2:D500,4,FALSE))</f>
        <v>#N/A</v>
      </c>
      <c r="V621" s="56">
        <f>'Toxicological reference value M'!P735</f>
        <v>0</v>
      </c>
      <c r="W621" s="22" t="e">
        <f>IF(LEN(VLOOKUP(V621,A2:D500,4,FALSE))=0,,VLOOKUP(V621,A2:D500,4,FALSE))</f>
        <v>#N/A</v>
      </c>
      <c r="Y621" s="56">
        <f>'Other Empirical Model'!P746</f>
        <v>0</v>
      </c>
      <c r="Z621" s="22" t="e">
        <f>IF(LEN(VLOOKUP(Y621,A2:D500,4,FALSE))=0,,VLOOKUP(Y621,A2:D500,4,FALSE))</f>
        <v>#N/A</v>
      </c>
      <c r="AA621" s="56">
        <f>'Predictive Model'!P733</f>
        <v>0</v>
      </c>
      <c r="AB621" s="22" t="e">
        <f>IF(LEN(VLOOKUP(AA621,A2:D500,4,FALSE))=0,,VLOOKUP(AA621,A2:D500,4,FALSE))</f>
        <v>#N/A</v>
      </c>
      <c r="AC621" s="56">
        <f>'Consumption Model'!P738</f>
        <v>0</v>
      </c>
      <c r="AD621" s="22" t="e">
        <f>IF(LEN(VLOOKUP(AC621,A2:D500,4,FALSE))=0,,VLOOKUP(AC621,A2:D500,4,FALSE))</f>
        <v>#N/A</v>
      </c>
      <c r="AE621" s="22">
        <f>'(Data)'!Q734</f>
        <v>0</v>
      </c>
      <c r="AF621" s="22" t="e">
        <f>IF(LEN(VLOOKUP(AE620:AE621,A2:D500,4,FALSE))=0,,VLOOKUP(AE620:AE621,A2:D500,4,FALSE))</f>
        <v>#N/A</v>
      </c>
      <c r="AH621" s="45">
        <f>'Risk Charact Model'!P752</f>
        <v>0</v>
      </c>
      <c r="AI621" s="58" t="e">
        <f>IF(LEN(VLOOKUP(AH621,A2:D500,4,FALSE))=0,,VLOOKUP(AH621,A2:D500,4,FALSE))</f>
        <v>#N/A</v>
      </c>
    </row>
    <row r="622" spans="9:35" ht="14" x14ac:dyDescent="0.3">
      <c r="I622" s="60">
        <f>'Generic Metadata Schema'!P752</f>
        <v>0</v>
      </c>
      <c r="J622" s="22" t="e">
        <f>IF(LEN(VLOOKUP(I622,A2:D500,4,FALSE))=0,"",VLOOKUP(I622,A2:D500,4,FALSE))</f>
        <v>#N/A</v>
      </c>
      <c r="L622" s="56">
        <f>'Dose-response Model'!O736</f>
        <v>0</v>
      </c>
      <c r="M622" s="22" t="e">
        <f>IF(LEN(VLOOKUP(L622,A2:D500,4,FALSE))=0,,VLOOKUP(L622,A2:D500,4,FALSE))</f>
        <v>#N/A</v>
      </c>
      <c r="N622" s="22">
        <f>'Exposure Model'!O753</f>
        <v>0</v>
      </c>
      <c r="O622" s="22" t="e">
        <f>IF(LEN(VLOOKUP(N622,A2:D500,4,FALSE))=0,,VLOOKUP(N622,A2:D500,4,FALSE))</f>
        <v>#N/A</v>
      </c>
      <c r="P622" s="56">
        <f>'QRA Models'!Q753</f>
        <v>0</v>
      </c>
      <c r="Q622" s="22" t="e">
        <f>IF(LEN(VLOOKUP(P622,A2:D500,4,FALSE))=0,,VLOOKUP(P622,A2:D500,4,FALSE))</f>
        <v>#N/A</v>
      </c>
      <c r="R622" s="56">
        <f>'Health metrics Models'!Q736</f>
        <v>0</v>
      </c>
      <c r="S622" s="22" t="e">
        <f>IF(LEN(VLOOKUP(R622,A2:D500,4,FALSE))=0,,VLOOKUP(R622,A2:D500,4,FALSE))</f>
        <v>#N/A</v>
      </c>
      <c r="T622" s="56">
        <f>'Process Model'!P734</f>
        <v>0</v>
      </c>
      <c r="U622" s="22" t="e">
        <f>IF(LEN(VLOOKUP(T622,A2:D500,4,FALSE))=0,,VLOOKUP(T622,A2:D500,4,FALSE))</f>
        <v>#N/A</v>
      </c>
      <c r="V622" s="56">
        <f>'Toxicological reference value M'!P736</f>
        <v>0</v>
      </c>
      <c r="W622" s="22" t="e">
        <f>IF(LEN(VLOOKUP(V622,A2:D500,4,FALSE))=0,,VLOOKUP(V622,A2:D500,4,FALSE))</f>
        <v>#N/A</v>
      </c>
      <c r="Y622" s="56">
        <f>'Other Empirical Model'!P747</f>
        <v>0</v>
      </c>
      <c r="Z622" s="22" t="e">
        <f>IF(LEN(VLOOKUP(Y622,A2:D500,4,FALSE))=0,,VLOOKUP(Y622,A2:D500,4,FALSE))</f>
        <v>#N/A</v>
      </c>
      <c r="AA622" s="56">
        <f>'Predictive Model'!P734</f>
        <v>0</v>
      </c>
      <c r="AB622" s="22" t="e">
        <f>IF(LEN(VLOOKUP(AA622,A2:D500,4,FALSE))=0,,VLOOKUP(AA622,A2:D500,4,FALSE))</f>
        <v>#N/A</v>
      </c>
      <c r="AC622" s="56">
        <f>'Consumption Model'!P739</f>
        <v>0</v>
      </c>
      <c r="AD622" s="22" t="e">
        <f>IF(LEN(VLOOKUP(AC622,A2:D500,4,FALSE))=0,,VLOOKUP(AC622,A2:D500,4,FALSE))</f>
        <v>#N/A</v>
      </c>
      <c r="AE622" s="22">
        <f>'(Data)'!Q735</f>
        <v>0</v>
      </c>
      <c r="AF622" s="22" t="e">
        <f>IF(LEN(VLOOKUP(AE621:AE622,A2:D500,4,FALSE))=0,,VLOOKUP(AE621:AE622,A2:D500,4,FALSE))</f>
        <v>#N/A</v>
      </c>
      <c r="AH622" s="45">
        <f>'Risk Charact Model'!P753</f>
        <v>0</v>
      </c>
      <c r="AI622" s="58" t="e">
        <f>IF(LEN(VLOOKUP(AH622,A2:D500,4,FALSE))=0,,VLOOKUP(AH622,A2:D500,4,FALSE))</f>
        <v>#N/A</v>
      </c>
    </row>
    <row r="623" spans="9:35" ht="14" x14ac:dyDescent="0.3">
      <c r="I623" s="60">
        <f>'Generic Metadata Schema'!P753</f>
        <v>0</v>
      </c>
      <c r="J623" s="22" t="e">
        <f>IF(LEN(VLOOKUP(I623,A2:D500,4,FALSE))=0,"",VLOOKUP(I623,A2:D500,4,FALSE))</f>
        <v>#N/A</v>
      </c>
      <c r="L623" s="56">
        <f>'Dose-response Model'!O737</f>
        <v>0</v>
      </c>
      <c r="M623" s="22" t="e">
        <f>IF(LEN(VLOOKUP(L623,A2:D500,4,FALSE))=0,,VLOOKUP(L623,A2:D500,4,FALSE))</f>
        <v>#N/A</v>
      </c>
      <c r="N623" s="22">
        <f>'Exposure Model'!O754</f>
        <v>0</v>
      </c>
      <c r="O623" s="22" t="e">
        <f>IF(LEN(VLOOKUP(N623,A2:D500,4,FALSE))=0,,VLOOKUP(N623,A2:D500,4,FALSE))</f>
        <v>#N/A</v>
      </c>
      <c r="P623" s="56">
        <f>'QRA Models'!Q754</f>
        <v>0</v>
      </c>
      <c r="Q623" s="22" t="e">
        <f>IF(LEN(VLOOKUP(P623,A2:D500,4,FALSE))=0,,VLOOKUP(P623,A2:D500,4,FALSE))</f>
        <v>#N/A</v>
      </c>
      <c r="R623" s="56">
        <f>'Health metrics Models'!Q737</f>
        <v>0</v>
      </c>
      <c r="S623" s="22" t="e">
        <f>IF(LEN(VLOOKUP(R623,A2:D500,4,FALSE))=0,,VLOOKUP(R623,A2:D500,4,FALSE))</f>
        <v>#N/A</v>
      </c>
      <c r="T623" s="56">
        <f>'Process Model'!P735</f>
        <v>0</v>
      </c>
      <c r="U623" s="22" t="e">
        <f>IF(LEN(VLOOKUP(T623,A2:D500,4,FALSE))=0,,VLOOKUP(T623,A2:D500,4,FALSE))</f>
        <v>#N/A</v>
      </c>
      <c r="V623" s="56">
        <f>'Toxicological reference value M'!P737</f>
        <v>0</v>
      </c>
      <c r="W623" s="22" t="e">
        <f>IF(LEN(VLOOKUP(V623,A2:D500,4,FALSE))=0,,VLOOKUP(V623,A2:D500,4,FALSE))</f>
        <v>#N/A</v>
      </c>
      <c r="Y623" s="56">
        <f>'Other Empirical Model'!P748</f>
        <v>0</v>
      </c>
      <c r="Z623" s="22" t="e">
        <f>IF(LEN(VLOOKUP(Y623,A2:D500,4,FALSE))=0,,VLOOKUP(Y623,A2:D500,4,FALSE))</f>
        <v>#N/A</v>
      </c>
      <c r="AA623" s="56">
        <f>'Predictive Model'!P735</f>
        <v>0</v>
      </c>
      <c r="AB623" s="22" t="e">
        <f>IF(LEN(VLOOKUP(AA623,A2:D500,4,FALSE))=0,,VLOOKUP(AA623,A2:D500,4,FALSE))</f>
        <v>#N/A</v>
      </c>
      <c r="AC623" s="56">
        <f>'Consumption Model'!P740</f>
        <v>0</v>
      </c>
      <c r="AD623" s="22" t="e">
        <f>IF(LEN(VLOOKUP(AC623,A2:D500,4,FALSE))=0,,VLOOKUP(AC623,A2:D500,4,FALSE))</f>
        <v>#N/A</v>
      </c>
      <c r="AE623" s="22">
        <f>'(Data)'!Q736</f>
        <v>0</v>
      </c>
      <c r="AF623" s="22" t="e">
        <f>IF(LEN(VLOOKUP(AE622:AE623,A2:D500,4,FALSE))=0,,VLOOKUP(AE622:AE623,A2:D500,4,FALSE))</f>
        <v>#N/A</v>
      </c>
      <c r="AH623" s="45">
        <f>'Risk Charact Model'!P754</f>
        <v>0</v>
      </c>
      <c r="AI623" s="58" t="e">
        <f>IF(LEN(VLOOKUP(AH623,A2:D500,4,FALSE))=0,,VLOOKUP(AH623,A2:D500,4,FALSE))</f>
        <v>#N/A</v>
      </c>
    </row>
    <row r="624" spans="9:35" ht="14" x14ac:dyDescent="0.3">
      <c r="I624" s="60">
        <f>'Generic Metadata Schema'!P754</f>
        <v>0</v>
      </c>
      <c r="J624" s="22" t="e">
        <f>IF(LEN(VLOOKUP(I624,A2:D500,4,FALSE))=0,"",VLOOKUP(I624,A2:D500,4,FALSE))</f>
        <v>#N/A</v>
      </c>
      <c r="L624" s="56">
        <f>'Dose-response Model'!O738</f>
        <v>0</v>
      </c>
      <c r="M624" s="22" t="e">
        <f>IF(LEN(VLOOKUP(L624,A2:D500,4,FALSE))=0,,VLOOKUP(L624,A2:D500,4,FALSE))</f>
        <v>#N/A</v>
      </c>
      <c r="N624" s="22">
        <f>'Exposure Model'!O755</f>
        <v>0</v>
      </c>
      <c r="O624" s="22" t="e">
        <f>IF(LEN(VLOOKUP(N624,A2:D500,4,FALSE))=0,,VLOOKUP(N624,A2:D500,4,FALSE))</f>
        <v>#N/A</v>
      </c>
      <c r="P624" s="56">
        <f>'QRA Models'!Q755</f>
        <v>0</v>
      </c>
      <c r="Q624" s="22" t="e">
        <f>IF(LEN(VLOOKUP(P624,A2:D500,4,FALSE))=0,,VLOOKUP(P624,A2:D500,4,FALSE))</f>
        <v>#N/A</v>
      </c>
      <c r="R624" s="56">
        <f>'Health metrics Models'!Q738</f>
        <v>0</v>
      </c>
      <c r="S624" s="22" t="e">
        <f>IF(LEN(VLOOKUP(R624,A2:D500,4,FALSE))=0,,VLOOKUP(R624,A2:D500,4,FALSE))</f>
        <v>#N/A</v>
      </c>
      <c r="T624" s="56">
        <f>'Process Model'!P736</f>
        <v>0</v>
      </c>
      <c r="U624" s="22" t="e">
        <f>IF(LEN(VLOOKUP(T624,A2:D500,4,FALSE))=0,,VLOOKUP(T624,A2:D500,4,FALSE))</f>
        <v>#N/A</v>
      </c>
      <c r="V624" s="56">
        <f>'Toxicological reference value M'!P738</f>
        <v>0</v>
      </c>
      <c r="W624" s="22" t="e">
        <f>IF(LEN(VLOOKUP(V624,A2:D500,4,FALSE))=0,,VLOOKUP(V624,A2:D500,4,FALSE))</f>
        <v>#N/A</v>
      </c>
      <c r="Y624" s="56">
        <f>'Other Empirical Model'!P749</f>
        <v>0</v>
      </c>
      <c r="Z624" s="22" t="e">
        <f>IF(LEN(VLOOKUP(Y624,A2:D500,4,FALSE))=0,,VLOOKUP(Y624,A2:D500,4,FALSE))</f>
        <v>#N/A</v>
      </c>
      <c r="AA624" s="56">
        <f>'Predictive Model'!P736</f>
        <v>0</v>
      </c>
      <c r="AB624" s="22" t="e">
        <f>IF(LEN(VLOOKUP(AA624,A2:D500,4,FALSE))=0,,VLOOKUP(AA624,A2:D500,4,FALSE))</f>
        <v>#N/A</v>
      </c>
      <c r="AC624" s="56">
        <f>'Consumption Model'!P741</f>
        <v>0</v>
      </c>
      <c r="AD624" s="22" t="e">
        <f>IF(LEN(VLOOKUP(AC624,A2:D500,4,FALSE))=0,,VLOOKUP(AC624,A2:D500,4,FALSE))</f>
        <v>#N/A</v>
      </c>
      <c r="AE624" s="22">
        <f>'(Data)'!Q737</f>
        <v>0</v>
      </c>
      <c r="AF624" s="22" t="e">
        <f>IF(LEN(VLOOKUP(AE623:AE624,A2:D500,4,FALSE))=0,,VLOOKUP(AE623:AE624,A2:D500,4,FALSE))</f>
        <v>#N/A</v>
      </c>
      <c r="AH624" s="45">
        <f>'Risk Charact Model'!P755</f>
        <v>0</v>
      </c>
      <c r="AI624" s="58" t="e">
        <f>IF(LEN(VLOOKUP(AH624,A2:D500,4,FALSE))=0,,VLOOKUP(AH624,A2:D500,4,FALSE))</f>
        <v>#N/A</v>
      </c>
    </row>
    <row r="625" spans="9:35" ht="14" x14ac:dyDescent="0.3">
      <c r="I625" s="60">
        <f>'Generic Metadata Schema'!P755</f>
        <v>0</v>
      </c>
      <c r="J625" s="22" t="e">
        <f>IF(LEN(VLOOKUP(I625,A2:D500,4,FALSE))=0,"",VLOOKUP(I625,A2:D500,4,FALSE))</f>
        <v>#N/A</v>
      </c>
      <c r="L625" s="56">
        <f>'Dose-response Model'!O739</f>
        <v>0</v>
      </c>
      <c r="M625" s="22" t="e">
        <f>IF(LEN(VLOOKUP(L625,A2:D500,4,FALSE))=0,,VLOOKUP(L625,A2:D500,4,FALSE))</f>
        <v>#N/A</v>
      </c>
      <c r="N625" s="22">
        <f>'Exposure Model'!O756</f>
        <v>0</v>
      </c>
      <c r="O625" s="22" t="e">
        <f>IF(LEN(VLOOKUP(N625,A2:D500,4,FALSE))=0,,VLOOKUP(N625,A2:D500,4,FALSE))</f>
        <v>#N/A</v>
      </c>
      <c r="P625" s="56">
        <f>'QRA Models'!Q756</f>
        <v>0</v>
      </c>
      <c r="Q625" s="22" t="e">
        <f>IF(LEN(VLOOKUP(P625,A2:D500,4,FALSE))=0,,VLOOKUP(P625,A2:D500,4,FALSE))</f>
        <v>#N/A</v>
      </c>
      <c r="R625" s="56">
        <f>'Health metrics Models'!Q739</f>
        <v>0</v>
      </c>
      <c r="S625" s="22" t="e">
        <f>IF(LEN(VLOOKUP(R625,A2:D500,4,FALSE))=0,,VLOOKUP(R625,A2:D500,4,FALSE))</f>
        <v>#N/A</v>
      </c>
      <c r="T625" s="56">
        <f>'Process Model'!P737</f>
        <v>0</v>
      </c>
      <c r="U625" s="22" t="e">
        <f>IF(LEN(VLOOKUP(T625,A2:D500,4,FALSE))=0,,VLOOKUP(T625,A2:D500,4,FALSE))</f>
        <v>#N/A</v>
      </c>
      <c r="V625" s="56">
        <f>'Toxicological reference value M'!P739</f>
        <v>0</v>
      </c>
      <c r="W625" s="22" t="e">
        <f>IF(LEN(VLOOKUP(V625,A2:D500,4,FALSE))=0,,VLOOKUP(V625,A2:D500,4,FALSE))</f>
        <v>#N/A</v>
      </c>
      <c r="Y625" s="56">
        <f>'Other Empirical Model'!P750</f>
        <v>0</v>
      </c>
      <c r="Z625" s="22" t="e">
        <f>IF(LEN(VLOOKUP(Y625,A2:D500,4,FALSE))=0,,VLOOKUP(Y625,A2:D500,4,FALSE))</f>
        <v>#N/A</v>
      </c>
      <c r="AA625" s="56">
        <f>'Predictive Model'!P737</f>
        <v>0</v>
      </c>
      <c r="AB625" s="22" t="e">
        <f>IF(LEN(VLOOKUP(AA625,A2:D500,4,FALSE))=0,,VLOOKUP(AA625,A2:D500,4,FALSE))</f>
        <v>#N/A</v>
      </c>
      <c r="AC625" s="56">
        <f>'Consumption Model'!P742</f>
        <v>0</v>
      </c>
      <c r="AD625" s="22" t="e">
        <f>IF(LEN(VLOOKUP(AC625,A2:D500,4,FALSE))=0,,VLOOKUP(AC625,A2:D500,4,FALSE))</f>
        <v>#N/A</v>
      </c>
      <c r="AE625" s="22">
        <f>'(Data)'!Q738</f>
        <v>0</v>
      </c>
      <c r="AF625" s="22" t="e">
        <f>IF(LEN(VLOOKUP(AE624:AE625,A2:D500,4,FALSE))=0,,VLOOKUP(AE624:AE625,A2:D500,4,FALSE))</f>
        <v>#N/A</v>
      </c>
      <c r="AH625" s="45">
        <f>'Risk Charact Model'!P756</f>
        <v>0</v>
      </c>
      <c r="AI625" s="58" t="e">
        <f>IF(LEN(VLOOKUP(AH625,A2:D500,4,FALSE))=0,,VLOOKUP(AH625,A2:D500,4,FALSE))</f>
        <v>#N/A</v>
      </c>
    </row>
    <row r="626" spans="9:35" ht="14" x14ac:dyDescent="0.3">
      <c r="I626" s="60">
        <f>'Generic Metadata Schema'!P756</f>
        <v>0</v>
      </c>
      <c r="J626" s="22" t="e">
        <f>IF(LEN(VLOOKUP(I626,A2:D500,4,FALSE))=0,"",VLOOKUP(I626,A2:D500,4,FALSE))</f>
        <v>#N/A</v>
      </c>
      <c r="L626" s="56">
        <f>'Dose-response Model'!O740</f>
        <v>0</v>
      </c>
      <c r="M626" s="22" t="e">
        <f>IF(LEN(VLOOKUP(L626,A2:D500,4,FALSE))=0,,VLOOKUP(L626,A2:D500,4,FALSE))</f>
        <v>#N/A</v>
      </c>
      <c r="N626" s="22">
        <f>'Exposure Model'!O757</f>
        <v>0</v>
      </c>
      <c r="O626" s="22" t="e">
        <f>IF(LEN(VLOOKUP(N626,A2:D500,4,FALSE))=0,,VLOOKUP(N626,A2:D500,4,FALSE))</f>
        <v>#N/A</v>
      </c>
      <c r="P626" s="56">
        <f>'QRA Models'!Q757</f>
        <v>0</v>
      </c>
      <c r="Q626" s="22" t="e">
        <f>IF(LEN(VLOOKUP(P626,A2:D500,4,FALSE))=0,,VLOOKUP(P626,A2:D500,4,FALSE))</f>
        <v>#N/A</v>
      </c>
      <c r="R626" s="56">
        <f>'Health metrics Models'!Q740</f>
        <v>0</v>
      </c>
      <c r="S626" s="22" t="e">
        <f>IF(LEN(VLOOKUP(R626,A2:D500,4,FALSE))=0,,VLOOKUP(R626,A2:D500,4,FALSE))</f>
        <v>#N/A</v>
      </c>
      <c r="T626" s="56">
        <f>'Process Model'!P738</f>
        <v>0</v>
      </c>
      <c r="U626" s="22" t="e">
        <f>IF(LEN(VLOOKUP(T626,A2:D500,4,FALSE))=0,,VLOOKUP(T626,A2:D500,4,FALSE))</f>
        <v>#N/A</v>
      </c>
      <c r="V626" s="56">
        <f>'Toxicological reference value M'!P740</f>
        <v>0</v>
      </c>
      <c r="W626" s="22" t="e">
        <f>IF(LEN(VLOOKUP(V626,A2:D500,4,FALSE))=0,,VLOOKUP(V626,A2:D500,4,FALSE))</f>
        <v>#N/A</v>
      </c>
      <c r="Y626" s="56">
        <f>'Other Empirical Model'!P751</f>
        <v>0</v>
      </c>
      <c r="Z626" s="22" t="e">
        <f>IF(LEN(VLOOKUP(Y626,A2:D500,4,FALSE))=0,,VLOOKUP(Y626,A2:D500,4,FALSE))</f>
        <v>#N/A</v>
      </c>
      <c r="AA626" s="56">
        <f>'Predictive Model'!P738</f>
        <v>0</v>
      </c>
      <c r="AB626" s="22" t="e">
        <f>IF(LEN(VLOOKUP(AA626,A2:D500,4,FALSE))=0,,VLOOKUP(AA626,A2:D500,4,FALSE))</f>
        <v>#N/A</v>
      </c>
      <c r="AC626" s="56">
        <f>'Consumption Model'!P743</f>
        <v>0</v>
      </c>
      <c r="AD626" s="22" t="e">
        <f>IF(LEN(VLOOKUP(AC626,A2:D500,4,FALSE))=0,,VLOOKUP(AC626,A2:D500,4,FALSE))</f>
        <v>#N/A</v>
      </c>
      <c r="AE626" s="22">
        <f>'(Data)'!Q739</f>
        <v>0</v>
      </c>
      <c r="AF626" s="22" t="e">
        <f>IF(LEN(VLOOKUP(AE625:AE626,A2:D500,4,FALSE))=0,,VLOOKUP(AE625:AE626,A2:D500,4,FALSE))</f>
        <v>#N/A</v>
      </c>
      <c r="AH626" s="45">
        <f>'Risk Charact Model'!P757</f>
        <v>0</v>
      </c>
      <c r="AI626" s="58" t="e">
        <f>IF(LEN(VLOOKUP(AH626,A2:D500,4,FALSE))=0,,VLOOKUP(AH626,A2:D500,4,FALSE))</f>
        <v>#N/A</v>
      </c>
    </row>
    <row r="627" spans="9:35" ht="14" x14ac:dyDescent="0.3">
      <c r="I627" s="60">
        <f>'Generic Metadata Schema'!P757</f>
        <v>0</v>
      </c>
      <c r="J627" s="22" t="e">
        <f>IF(LEN(VLOOKUP(I627,A2:D500,4,FALSE))=0,"",VLOOKUP(I627,A2:D500,4,FALSE))</f>
        <v>#N/A</v>
      </c>
      <c r="L627" s="56">
        <f>'Dose-response Model'!O741</f>
        <v>0</v>
      </c>
      <c r="M627" s="22" t="e">
        <f>IF(LEN(VLOOKUP(L627,A2:D500,4,FALSE))=0,,VLOOKUP(L627,A2:D500,4,FALSE))</f>
        <v>#N/A</v>
      </c>
      <c r="N627" s="22">
        <f>'Exposure Model'!O758</f>
        <v>0</v>
      </c>
      <c r="O627" s="22" t="e">
        <f>IF(LEN(VLOOKUP(N627,A2:D500,4,FALSE))=0,,VLOOKUP(N627,A2:D500,4,FALSE))</f>
        <v>#N/A</v>
      </c>
      <c r="P627" s="56">
        <f>'QRA Models'!Q758</f>
        <v>0</v>
      </c>
      <c r="Q627" s="22" t="e">
        <f>IF(LEN(VLOOKUP(P627,A2:D500,4,FALSE))=0,,VLOOKUP(P627,A2:D500,4,FALSE))</f>
        <v>#N/A</v>
      </c>
      <c r="R627" s="56">
        <f>'Health metrics Models'!Q741</f>
        <v>0</v>
      </c>
      <c r="S627" s="22" t="e">
        <f>IF(LEN(VLOOKUP(R627,A2:D500,4,FALSE))=0,,VLOOKUP(R627,A2:D500,4,FALSE))</f>
        <v>#N/A</v>
      </c>
      <c r="T627" s="56">
        <f>'Process Model'!P739</f>
        <v>0</v>
      </c>
      <c r="U627" s="22" t="e">
        <f>IF(LEN(VLOOKUP(T627,A2:D500,4,FALSE))=0,,VLOOKUP(T627,A2:D500,4,FALSE))</f>
        <v>#N/A</v>
      </c>
      <c r="V627" s="56">
        <f>'Toxicological reference value M'!P741</f>
        <v>0</v>
      </c>
      <c r="W627" s="22" t="e">
        <f>IF(LEN(VLOOKUP(V627,A2:D500,4,FALSE))=0,,VLOOKUP(V627,A2:D500,4,FALSE))</f>
        <v>#N/A</v>
      </c>
      <c r="Y627" s="56">
        <f>'Other Empirical Model'!P752</f>
        <v>0</v>
      </c>
      <c r="Z627" s="22" t="e">
        <f>IF(LEN(VLOOKUP(Y627,A2:D500,4,FALSE))=0,,VLOOKUP(Y627,A2:D500,4,FALSE))</f>
        <v>#N/A</v>
      </c>
      <c r="AA627" s="56">
        <f>'Predictive Model'!P739</f>
        <v>0</v>
      </c>
      <c r="AB627" s="22" t="e">
        <f>IF(LEN(VLOOKUP(AA627,A2:D500,4,FALSE))=0,,VLOOKUP(AA627,A2:D500,4,FALSE))</f>
        <v>#N/A</v>
      </c>
      <c r="AC627" s="56">
        <f>'Consumption Model'!P744</f>
        <v>0</v>
      </c>
      <c r="AD627" s="22" t="e">
        <f>IF(LEN(VLOOKUP(AC627,A2:D500,4,FALSE))=0,,VLOOKUP(AC627,A2:D500,4,FALSE))</f>
        <v>#N/A</v>
      </c>
      <c r="AE627" s="22">
        <f>'(Data)'!Q740</f>
        <v>0</v>
      </c>
      <c r="AF627" s="22" t="e">
        <f>IF(LEN(VLOOKUP(AE626:AE627,A2:D500,4,FALSE))=0,,VLOOKUP(AE626:AE627,A2:D500,4,FALSE))</f>
        <v>#N/A</v>
      </c>
      <c r="AH627" s="45">
        <f>'Risk Charact Model'!P758</f>
        <v>0</v>
      </c>
      <c r="AI627" s="58" t="e">
        <f>IF(LEN(VLOOKUP(AH627,A2:D500,4,FALSE))=0,,VLOOKUP(AH627,A2:D500,4,FALSE))</f>
        <v>#N/A</v>
      </c>
    </row>
    <row r="628" spans="9:35" ht="14" x14ac:dyDescent="0.3">
      <c r="I628" s="60">
        <f>'Generic Metadata Schema'!P758</f>
        <v>0</v>
      </c>
      <c r="J628" s="22" t="e">
        <f>IF(LEN(VLOOKUP(I628,A2:D500,4,FALSE))=0,"",VLOOKUP(I628,A2:D500,4,FALSE))</f>
        <v>#N/A</v>
      </c>
      <c r="L628" s="56">
        <f>'Dose-response Model'!O742</f>
        <v>0</v>
      </c>
      <c r="M628" s="22" t="e">
        <f>IF(LEN(VLOOKUP(L628,A2:D500,4,FALSE))=0,,VLOOKUP(L628,A2:D500,4,FALSE))</f>
        <v>#N/A</v>
      </c>
      <c r="N628" s="22">
        <f>'Exposure Model'!O759</f>
        <v>0</v>
      </c>
      <c r="O628" s="22" t="e">
        <f>IF(LEN(VLOOKUP(N628,A2:D500,4,FALSE))=0,,VLOOKUP(N628,A2:D500,4,FALSE))</f>
        <v>#N/A</v>
      </c>
      <c r="P628" s="56">
        <f>'QRA Models'!Q759</f>
        <v>0</v>
      </c>
      <c r="Q628" s="22" t="e">
        <f>IF(LEN(VLOOKUP(P628,A2:D500,4,FALSE))=0,,VLOOKUP(P628,A2:D500,4,FALSE))</f>
        <v>#N/A</v>
      </c>
      <c r="R628" s="56">
        <f>'Health metrics Models'!Q742</f>
        <v>0</v>
      </c>
      <c r="S628" s="22" t="e">
        <f>IF(LEN(VLOOKUP(R628,A2:D500,4,FALSE))=0,,VLOOKUP(R628,A2:D500,4,FALSE))</f>
        <v>#N/A</v>
      </c>
      <c r="T628" s="56">
        <f>'Process Model'!P740</f>
        <v>0</v>
      </c>
      <c r="U628" s="22" t="e">
        <f>IF(LEN(VLOOKUP(T628,A2:D500,4,FALSE))=0,,VLOOKUP(T628,A2:D500,4,FALSE))</f>
        <v>#N/A</v>
      </c>
      <c r="V628" s="56">
        <f>'Toxicological reference value M'!P742</f>
        <v>0</v>
      </c>
      <c r="W628" s="22" t="e">
        <f>IF(LEN(VLOOKUP(V628,A2:D500,4,FALSE))=0,,VLOOKUP(V628,A2:D500,4,FALSE))</f>
        <v>#N/A</v>
      </c>
      <c r="Y628" s="56">
        <f>'Other Empirical Model'!P753</f>
        <v>0</v>
      </c>
      <c r="Z628" s="22" t="e">
        <f>IF(LEN(VLOOKUP(Y628,A2:D500,4,FALSE))=0,,VLOOKUP(Y628,A2:D500,4,FALSE))</f>
        <v>#N/A</v>
      </c>
      <c r="AA628" s="56">
        <f>'Predictive Model'!P740</f>
        <v>0</v>
      </c>
      <c r="AB628" s="22" t="e">
        <f>IF(LEN(VLOOKUP(AA628,A2:D500,4,FALSE))=0,,VLOOKUP(AA628,A2:D500,4,FALSE))</f>
        <v>#N/A</v>
      </c>
      <c r="AC628" s="56">
        <f>'Consumption Model'!P745</f>
        <v>0</v>
      </c>
      <c r="AD628" s="22" t="e">
        <f>IF(LEN(VLOOKUP(AC628,A2:D500,4,FALSE))=0,,VLOOKUP(AC628,A2:D500,4,FALSE))</f>
        <v>#N/A</v>
      </c>
      <c r="AE628" s="22">
        <f>'(Data)'!Q741</f>
        <v>0</v>
      </c>
      <c r="AF628" s="22" t="e">
        <f>IF(LEN(VLOOKUP(AE627:AE628,A2:D500,4,FALSE))=0,,VLOOKUP(AE627:AE628,A2:D500,4,FALSE))</f>
        <v>#N/A</v>
      </c>
      <c r="AH628" s="45">
        <f>'Risk Charact Model'!P759</f>
        <v>0</v>
      </c>
      <c r="AI628" s="58" t="e">
        <f>IF(LEN(VLOOKUP(AH628,A2:D500,4,FALSE))=0,,VLOOKUP(AH628,A2:D500,4,FALSE))</f>
        <v>#N/A</v>
      </c>
    </row>
    <row r="629" spans="9:35" ht="14" x14ac:dyDescent="0.3">
      <c r="I629" s="60">
        <f>'Generic Metadata Schema'!P759</f>
        <v>0</v>
      </c>
      <c r="J629" s="22" t="e">
        <f>IF(LEN(VLOOKUP(I629,A2:D500,4,FALSE))=0,"",VLOOKUP(I629,A2:D500,4,FALSE))</f>
        <v>#N/A</v>
      </c>
      <c r="L629" s="56">
        <f>'Dose-response Model'!O743</f>
        <v>0</v>
      </c>
      <c r="M629" s="22" t="e">
        <f>IF(LEN(VLOOKUP(L629,A2:D500,4,FALSE))=0,,VLOOKUP(L629,A2:D500,4,FALSE))</f>
        <v>#N/A</v>
      </c>
      <c r="N629" s="22">
        <f>'Exposure Model'!O760</f>
        <v>0</v>
      </c>
      <c r="O629" s="22" t="e">
        <f>IF(LEN(VLOOKUP(N629,A2:D500,4,FALSE))=0,,VLOOKUP(N629,A2:D500,4,FALSE))</f>
        <v>#N/A</v>
      </c>
      <c r="P629" s="56">
        <f>'QRA Models'!Q760</f>
        <v>0</v>
      </c>
      <c r="Q629" s="22" t="e">
        <f>IF(LEN(VLOOKUP(P629,A2:D500,4,FALSE))=0,,VLOOKUP(P629,A2:D500,4,FALSE))</f>
        <v>#N/A</v>
      </c>
      <c r="R629" s="56">
        <f>'Health metrics Models'!Q743</f>
        <v>0</v>
      </c>
      <c r="S629" s="22" t="e">
        <f>IF(LEN(VLOOKUP(R629,A2:D500,4,FALSE))=0,,VLOOKUP(R629,A2:D500,4,FALSE))</f>
        <v>#N/A</v>
      </c>
      <c r="T629" s="56">
        <f>'Process Model'!P741</f>
        <v>0</v>
      </c>
      <c r="U629" s="22" t="e">
        <f>IF(LEN(VLOOKUP(T629,A2:D500,4,FALSE))=0,,VLOOKUP(T629,A2:D500,4,FALSE))</f>
        <v>#N/A</v>
      </c>
      <c r="V629" s="56">
        <f>'Toxicological reference value M'!P743</f>
        <v>0</v>
      </c>
      <c r="W629" s="22" t="e">
        <f>IF(LEN(VLOOKUP(V629,A2:D500,4,FALSE))=0,,VLOOKUP(V629,A2:D500,4,FALSE))</f>
        <v>#N/A</v>
      </c>
      <c r="Y629" s="56">
        <f>'Other Empirical Model'!P754</f>
        <v>0</v>
      </c>
      <c r="Z629" s="22" t="e">
        <f>IF(LEN(VLOOKUP(Y629,A2:D500,4,FALSE))=0,,VLOOKUP(Y629,A2:D500,4,FALSE))</f>
        <v>#N/A</v>
      </c>
      <c r="AA629" s="56">
        <f>'Predictive Model'!P741</f>
        <v>0</v>
      </c>
      <c r="AB629" s="22" t="e">
        <f>IF(LEN(VLOOKUP(AA629,A2:D500,4,FALSE))=0,,VLOOKUP(AA629,A2:D500,4,FALSE))</f>
        <v>#N/A</v>
      </c>
      <c r="AC629" s="56">
        <f>'Consumption Model'!P746</f>
        <v>0</v>
      </c>
      <c r="AD629" s="22" t="e">
        <f>IF(LEN(VLOOKUP(AC629,A2:D500,4,FALSE))=0,,VLOOKUP(AC629,A2:D500,4,FALSE))</f>
        <v>#N/A</v>
      </c>
      <c r="AE629" s="22">
        <f>'(Data)'!Q742</f>
        <v>0</v>
      </c>
      <c r="AF629" s="22" t="e">
        <f>IF(LEN(VLOOKUP(AE628:AE629,A2:D500,4,FALSE))=0,,VLOOKUP(AE628:AE629,A2:D500,4,FALSE))</f>
        <v>#N/A</v>
      </c>
      <c r="AH629" s="45">
        <f>'Risk Charact Model'!P760</f>
        <v>0</v>
      </c>
      <c r="AI629" s="58" t="e">
        <f>IF(LEN(VLOOKUP(AH629,A2:D500,4,FALSE))=0,,VLOOKUP(AH629,A2:D500,4,FALSE))</f>
        <v>#N/A</v>
      </c>
    </row>
    <row r="630" spans="9:35" ht="14" x14ac:dyDescent="0.3">
      <c r="I630" s="60">
        <f>'Generic Metadata Schema'!P760</f>
        <v>0</v>
      </c>
      <c r="J630" s="22" t="e">
        <f>IF(LEN(VLOOKUP(I630,A2:D500,4,FALSE))=0,"",VLOOKUP(I630,A2:D500,4,FALSE))</f>
        <v>#N/A</v>
      </c>
      <c r="L630" s="56">
        <f>'Dose-response Model'!O744</f>
        <v>0</v>
      </c>
      <c r="M630" s="22" t="e">
        <f>IF(LEN(VLOOKUP(L630,A2:D500,4,FALSE))=0,,VLOOKUP(L630,A2:D500,4,FALSE))</f>
        <v>#N/A</v>
      </c>
      <c r="N630" s="22">
        <f>'Exposure Model'!O761</f>
        <v>0</v>
      </c>
      <c r="O630" s="22" t="e">
        <f>IF(LEN(VLOOKUP(N630,A2:D500,4,FALSE))=0,,VLOOKUP(N630,A2:D500,4,FALSE))</f>
        <v>#N/A</v>
      </c>
      <c r="P630" s="56">
        <f>'QRA Models'!Q761</f>
        <v>0</v>
      </c>
      <c r="Q630" s="22" t="e">
        <f>IF(LEN(VLOOKUP(P630,A2:D500,4,FALSE))=0,,VLOOKUP(P630,A2:D500,4,FALSE))</f>
        <v>#N/A</v>
      </c>
      <c r="R630" s="56">
        <f>'Health metrics Models'!Q744</f>
        <v>0</v>
      </c>
      <c r="S630" s="22" t="e">
        <f>IF(LEN(VLOOKUP(R630,A2:D500,4,FALSE))=0,,VLOOKUP(R630,A2:D500,4,FALSE))</f>
        <v>#N/A</v>
      </c>
      <c r="T630" s="56">
        <f>'Process Model'!P742</f>
        <v>0</v>
      </c>
      <c r="U630" s="22" t="e">
        <f>IF(LEN(VLOOKUP(T630,A2:D500,4,FALSE))=0,,VLOOKUP(T630,A2:D500,4,FALSE))</f>
        <v>#N/A</v>
      </c>
      <c r="V630" s="56">
        <f>'Toxicological reference value M'!P744</f>
        <v>0</v>
      </c>
      <c r="W630" s="22" t="e">
        <f>IF(LEN(VLOOKUP(V630,A2:D500,4,FALSE))=0,,VLOOKUP(V630,A2:D500,4,FALSE))</f>
        <v>#N/A</v>
      </c>
      <c r="Y630" s="56">
        <f>'Other Empirical Model'!P755</f>
        <v>0</v>
      </c>
      <c r="Z630" s="22" t="e">
        <f>IF(LEN(VLOOKUP(Y630,A2:D500,4,FALSE))=0,,VLOOKUP(Y630,A2:D500,4,FALSE))</f>
        <v>#N/A</v>
      </c>
      <c r="AA630" s="56">
        <f>'Predictive Model'!P742</f>
        <v>0</v>
      </c>
      <c r="AB630" s="22" t="e">
        <f>IF(LEN(VLOOKUP(AA630,A2:D500,4,FALSE))=0,,VLOOKUP(AA630,A2:D500,4,FALSE))</f>
        <v>#N/A</v>
      </c>
      <c r="AC630" s="56">
        <f>'Consumption Model'!P747</f>
        <v>0</v>
      </c>
      <c r="AD630" s="22" t="e">
        <f>IF(LEN(VLOOKUP(AC630,A2:D500,4,FALSE))=0,,VLOOKUP(AC630,A2:D500,4,FALSE))</f>
        <v>#N/A</v>
      </c>
      <c r="AE630" s="22">
        <f>'(Data)'!Q743</f>
        <v>0</v>
      </c>
      <c r="AF630" s="22" t="e">
        <f>IF(LEN(VLOOKUP(AE629:AE630,A2:D500,4,FALSE))=0,,VLOOKUP(AE629:AE630,A2:D500,4,FALSE))</f>
        <v>#N/A</v>
      </c>
      <c r="AH630" s="45">
        <f>'Risk Charact Model'!P761</f>
        <v>0</v>
      </c>
      <c r="AI630" s="58" t="e">
        <f>IF(LEN(VLOOKUP(AH630,A2:D500,4,FALSE))=0,,VLOOKUP(AH630,A2:D500,4,FALSE))</f>
        <v>#N/A</v>
      </c>
    </row>
    <row r="631" spans="9:35" ht="14" x14ac:dyDescent="0.3">
      <c r="I631" s="60">
        <f>'Generic Metadata Schema'!P761</f>
        <v>0</v>
      </c>
      <c r="J631" s="22" t="e">
        <f>IF(LEN(VLOOKUP(I631,A2:D500,4,FALSE))=0,"",VLOOKUP(I631,A2:D500,4,FALSE))</f>
        <v>#N/A</v>
      </c>
      <c r="L631" s="56">
        <f>'Dose-response Model'!O745</f>
        <v>0</v>
      </c>
      <c r="M631" s="22" t="e">
        <f>IF(LEN(VLOOKUP(L631,A2:D500,4,FALSE))=0,,VLOOKUP(L631,A2:D500,4,FALSE))</f>
        <v>#N/A</v>
      </c>
      <c r="N631" s="22">
        <f>'Exposure Model'!O762</f>
        <v>0</v>
      </c>
      <c r="O631" s="22" t="e">
        <f>IF(LEN(VLOOKUP(N631,A2:D500,4,FALSE))=0,,VLOOKUP(N631,A2:D500,4,FALSE))</f>
        <v>#N/A</v>
      </c>
      <c r="P631" s="56">
        <f>'QRA Models'!Q762</f>
        <v>0</v>
      </c>
      <c r="Q631" s="22" t="e">
        <f>IF(LEN(VLOOKUP(P631,A2:D500,4,FALSE))=0,,VLOOKUP(P631,A2:D500,4,FALSE))</f>
        <v>#N/A</v>
      </c>
      <c r="R631" s="56">
        <f>'Health metrics Models'!Q745</f>
        <v>0</v>
      </c>
      <c r="S631" s="22" t="e">
        <f>IF(LEN(VLOOKUP(R631,A2:D500,4,FALSE))=0,,VLOOKUP(R631,A2:D500,4,FALSE))</f>
        <v>#N/A</v>
      </c>
      <c r="T631" s="56">
        <f>'Process Model'!P743</f>
        <v>0</v>
      </c>
      <c r="U631" s="22" t="e">
        <f>IF(LEN(VLOOKUP(T631,A2:D500,4,FALSE))=0,,VLOOKUP(T631,A2:D500,4,FALSE))</f>
        <v>#N/A</v>
      </c>
      <c r="V631" s="56">
        <f>'Toxicological reference value M'!P745</f>
        <v>0</v>
      </c>
      <c r="W631" s="22" t="e">
        <f>IF(LEN(VLOOKUP(V631,A2:D500,4,FALSE))=0,,VLOOKUP(V631,A2:D500,4,FALSE))</f>
        <v>#N/A</v>
      </c>
      <c r="Y631" s="56">
        <f>'Other Empirical Model'!P756</f>
        <v>0</v>
      </c>
      <c r="Z631" s="22" t="e">
        <f>IF(LEN(VLOOKUP(Y631,A2:D500,4,FALSE))=0,,VLOOKUP(Y631,A2:D500,4,FALSE))</f>
        <v>#N/A</v>
      </c>
      <c r="AA631" s="56">
        <f>'Predictive Model'!P743</f>
        <v>0</v>
      </c>
      <c r="AB631" s="22" t="e">
        <f>IF(LEN(VLOOKUP(AA631,A2:D500,4,FALSE))=0,,VLOOKUP(AA631,A2:D500,4,FALSE))</f>
        <v>#N/A</v>
      </c>
      <c r="AC631" s="56">
        <f>'Consumption Model'!P748</f>
        <v>0</v>
      </c>
      <c r="AD631" s="22" t="e">
        <f>IF(LEN(VLOOKUP(AC631,A2:D500,4,FALSE))=0,,VLOOKUP(AC631,A2:D500,4,FALSE))</f>
        <v>#N/A</v>
      </c>
      <c r="AE631" s="22">
        <f>'(Data)'!Q744</f>
        <v>0</v>
      </c>
      <c r="AF631" s="22" t="e">
        <f>IF(LEN(VLOOKUP(AE630:AE631,A2:D500,4,FALSE))=0,,VLOOKUP(AE630:AE631,A2:D500,4,FALSE))</f>
        <v>#N/A</v>
      </c>
      <c r="AH631" s="45">
        <f>'Risk Charact Model'!P762</f>
        <v>0</v>
      </c>
      <c r="AI631" s="58" t="e">
        <f>IF(LEN(VLOOKUP(AH631,A2:D500,4,FALSE))=0,,VLOOKUP(AH631,A2:D500,4,FALSE))</f>
        <v>#N/A</v>
      </c>
    </row>
    <row r="632" spans="9:35" ht="14" x14ac:dyDescent="0.3">
      <c r="I632" s="60">
        <f>'Generic Metadata Schema'!P762</f>
        <v>0</v>
      </c>
      <c r="J632" s="22" t="e">
        <f>IF(LEN(VLOOKUP(I632,A2:D500,4,FALSE))=0,"",VLOOKUP(I632,A2:D500,4,FALSE))</f>
        <v>#N/A</v>
      </c>
      <c r="L632" s="56">
        <f>'Dose-response Model'!O746</f>
        <v>0</v>
      </c>
      <c r="M632" s="22" t="e">
        <f>IF(LEN(VLOOKUP(L632,A2:D500,4,FALSE))=0,,VLOOKUP(L632,A2:D500,4,FALSE))</f>
        <v>#N/A</v>
      </c>
      <c r="N632" s="22">
        <f>'Exposure Model'!O763</f>
        <v>0</v>
      </c>
      <c r="O632" s="22" t="e">
        <f>IF(LEN(VLOOKUP(N632,A2:D500,4,FALSE))=0,,VLOOKUP(N632,A2:D500,4,FALSE))</f>
        <v>#N/A</v>
      </c>
      <c r="P632" s="56">
        <f>'QRA Models'!Q763</f>
        <v>0</v>
      </c>
      <c r="Q632" s="22" t="e">
        <f>IF(LEN(VLOOKUP(P632,A2:D500,4,FALSE))=0,,VLOOKUP(P632,A2:D500,4,FALSE))</f>
        <v>#N/A</v>
      </c>
      <c r="R632" s="56">
        <f>'Health metrics Models'!Q746</f>
        <v>0</v>
      </c>
      <c r="S632" s="22" t="e">
        <f>IF(LEN(VLOOKUP(R632,A2:D500,4,FALSE))=0,,VLOOKUP(R632,A2:D500,4,FALSE))</f>
        <v>#N/A</v>
      </c>
      <c r="T632" s="56">
        <f>'Process Model'!P744</f>
        <v>0</v>
      </c>
      <c r="U632" s="22" t="e">
        <f>IF(LEN(VLOOKUP(T632,A2:D500,4,FALSE))=0,,VLOOKUP(T632,A2:D500,4,FALSE))</f>
        <v>#N/A</v>
      </c>
      <c r="V632" s="56">
        <f>'Toxicological reference value M'!P746</f>
        <v>0</v>
      </c>
      <c r="W632" s="22" t="e">
        <f>IF(LEN(VLOOKUP(V632,A2:D500,4,FALSE))=0,,VLOOKUP(V632,A2:D500,4,FALSE))</f>
        <v>#N/A</v>
      </c>
      <c r="Y632" s="56">
        <f>'Other Empirical Model'!P757</f>
        <v>0</v>
      </c>
      <c r="Z632" s="22" t="e">
        <f>IF(LEN(VLOOKUP(Y632,A2:D500,4,FALSE))=0,,VLOOKUP(Y632,A2:D500,4,FALSE))</f>
        <v>#N/A</v>
      </c>
      <c r="AA632" s="56">
        <f>'Predictive Model'!P744</f>
        <v>0</v>
      </c>
      <c r="AB632" s="22" t="e">
        <f>IF(LEN(VLOOKUP(AA632,A2:D500,4,FALSE))=0,,VLOOKUP(AA632,A2:D500,4,FALSE))</f>
        <v>#N/A</v>
      </c>
      <c r="AC632" s="56">
        <f>'Consumption Model'!P749</f>
        <v>0</v>
      </c>
      <c r="AD632" s="22" t="e">
        <f>IF(LEN(VLOOKUP(AC632,A2:D500,4,FALSE))=0,,VLOOKUP(AC632,A2:D500,4,FALSE))</f>
        <v>#N/A</v>
      </c>
      <c r="AE632" s="22">
        <f>'(Data)'!Q745</f>
        <v>0</v>
      </c>
      <c r="AF632" s="22" t="e">
        <f>IF(LEN(VLOOKUP(AE631:AE632,A2:D500,4,FALSE))=0,,VLOOKUP(AE631:AE632,A2:D500,4,FALSE))</f>
        <v>#N/A</v>
      </c>
      <c r="AH632" s="45">
        <f>'Risk Charact Model'!P763</f>
        <v>0</v>
      </c>
      <c r="AI632" s="58" t="e">
        <f>IF(LEN(VLOOKUP(AH632,A2:D500,4,FALSE))=0,,VLOOKUP(AH632,A2:D500,4,FALSE))</f>
        <v>#N/A</v>
      </c>
    </row>
    <row r="633" spans="9:35" ht="14" x14ac:dyDescent="0.3">
      <c r="I633" s="60">
        <f>'Generic Metadata Schema'!P763</f>
        <v>0</v>
      </c>
      <c r="J633" s="22" t="e">
        <f>IF(LEN(VLOOKUP(I633,A2:D500,4,FALSE))=0,"",VLOOKUP(I633,A2:D500,4,FALSE))</f>
        <v>#N/A</v>
      </c>
      <c r="L633" s="56">
        <f>'Dose-response Model'!O747</f>
        <v>0</v>
      </c>
      <c r="M633" s="22" t="e">
        <f>IF(LEN(VLOOKUP(L633,A2:D500,4,FALSE))=0,,VLOOKUP(L633,A2:D500,4,FALSE))</f>
        <v>#N/A</v>
      </c>
      <c r="N633" s="22">
        <f>'Exposure Model'!O764</f>
        <v>0</v>
      </c>
      <c r="O633" s="22" t="e">
        <f>IF(LEN(VLOOKUP(N633,A2:D500,4,FALSE))=0,,VLOOKUP(N633,A2:D500,4,FALSE))</f>
        <v>#N/A</v>
      </c>
      <c r="P633" s="56">
        <f>'QRA Models'!Q764</f>
        <v>0</v>
      </c>
      <c r="Q633" s="22" t="e">
        <f>IF(LEN(VLOOKUP(P633,A2:D500,4,FALSE))=0,,VLOOKUP(P633,A2:D500,4,FALSE))</f>
        <v>#N/A</v>
      </c>
      <c r="R633" s="56">
        <f>'Health metrics Models'!Q747</f>
        <v>0</v>
      </c>
      <c r="S633" s="22" t="e">
        <f>IF(LEN(VLOOKUP(R633,A2:D500,4,FALSE))=0,,VLOOKUP(R633,A2:D500,4,FALSE))</f>
        <v>#N/A</v>
      </c>
      <c r="T633" s="56">
        <f>'Process Model'!P745</f>
        <v>0</v>
      </c>
      <c r="U633" s="22" t="e">
        <f>IF(LEN(VLOOKUP(T633,A2:D500,4,FALSE))=0,,VLOOKUP(T633,A2:D500,4,FALSE))</f>
        <v>#N/A</v>
      </c>
      <c r="V633" s="56">
        <f>'Toxicological reference value M'!P747</f>
        <v>0</v>
      </c>
      <c r="W633" s="22" t="e">
        <f>IF(LEN(VLOOKUP(V633,A2:D500,4,FALSE))=0,,VLOOKUP(V633,A2:D500,4,FALSE))</f>
        <v>#N/A</v>
      </c>
      <c r="Y633" s="56">
        <f>'Other Empirical Model'!P758</f>
        <v>0</v>
      </c>
      <c r="Z633" s="22" t="e">
        <f>IF(LEN(VLOOKUP(Y633,A2:D500,4,FALSE))=0,,VLOOKUP(Y633,A2:D500,4,FALSE))</f>
        <v>#N/A</v>
      </c>
      <c r="AA633" s="56">
        <f>'Predictive Model'!P745</f>
        <v>0</v>
      </c>
      <c r="AB633" s="22" t="e">
        <f>IF(LEN(VLOOKUP(AA633,A2:D500,4,FALSE))=0,,VLOOKUP(AA633,A2:D500,4,FALSE))</f>
        <v>#N/A</v>
      </c>
      <c r="AC633" s="56">
        <f>'Consumption Model'!P750</f>
        <v>0</v>
      </c>
      <c r="AD633" s="22" t="e">
        <f>IF(LEN(VLOOKUP(AC633,A2:D500,4,FALSE))=0,,VLOOKUP(AC633,A2:D500,4,FALSE))</f>
        <v>#N/A</v>
      </c>
      <c r="AE633" s="22">
        <f>'(Data)'!Q746</f>
        <v>0</v>
      </c>
      <c r="AF633" s="22" t="e">
        <f>IF(LEN(VLOOKUP(AE632:AE633,A2:D500,4,FALSE))=0,,VLOOKUP(AE632:AE633,A2:D500,4,FALSE))</f>
        <v>#N/A</v>
      </c>
      <c r="AH633" s="45">
        <f>'Risk Charact Model'!P764</f>
        <v>0</v>
      </c>
      <c r="AI633" s="58" t="e">
        <f>IF(LEN(VLOOKUP(AH633,A2:D500,4,FALSE))=0,,VLOOKUP(AH633,A2:D500,4,FALSE))</f>
        <v>#N/A</v>
      </c>
    </row>
    <row r="634" spans="9:35" ht="14" x14ac:dyDescent="0.3">
      <c r="I634" s="60">
        <f>'Generic Metadata Schema'!P764</f>
        <v>0</v>
      </c>
      <c r="J634" s="22" t="e">
        <f>IF(LEN(VLOOKUP(I634,A2:D500,4,FALSE))=0,"",VLOOKUP(I634,A2:D500,4,FALSE))</f>
        <v>#N/A</v>
      </c>
      <c r="L634" s="56">
        <f>'Dose-response Model'!O748</f>
        <v>0</v>
      </c>
      <c r="M634" s="22" t="e">
        <f>IF(LEN(VLOOKUP(L634,A2:D500,4,FALSE))=0,,VLOOKUP(L634,A2:D500,4,FALSE))</f>
        <v>#N/A</v>
      </c>
      <c r="N634" s="22">
        <f>'Exposure Model'!O765</f>
        <v>0</v>
      </c>
      <c r="O634" s="22" t="e">
        <f>IF(LEN(VLOOKUP(N634,A2:D500,4,FALSE))=0,,VLOOKUP(N634,A2:D500,4,FALSE))</f>
        <v>#N/A</v>
      </c>
      <c r="P634" s="56">
        <f>'QRA Models'!Q765</f>
        <v>0</v>
      </c>
      <c r="Q634" s="22" t="e">
        <f>IF(LEN(VLOOKUP(P634,A2:D500,4,FALSE))=0,,VLOOKUP(P634,A2:D500,4,FALSE))</f>
        <v>#N/A</v>
      </c>
      <c r="R634" s="56">
        <f>'Health metrics Models'!Q748</f>
        <v>0</v>
      </c>
      <c r="S634" s="22" t="e">
        <f>IF(LEN(VLOOKUP(R634,A2:D500,4,FALSE))=0,,VLOOKUP(R634,A2:D500,4,FALSE))</f>
        <v>#N/A</v>
      </c>
      <c r="T634" s="56">
        <f>'Process Model'!P746</f>
        <v>0</v>
      </c>
      <c r="U634" s="22" t="e">
        <f>IF(LEN(VLOOKUP(T634,A2:D500,4,FALSE))=0,,VLOOKUP(T634,A2:D500,4,FALSE))</f>
        <v>#N/A</v>
      </c>
      <c r="V634" s="56">
        <f>'Toxicological reference value M'!P748</f>
        <v>0</v>
      </c>
      <c r="W634" s="22" t="e">
        <f>IF(LEN(VLOOKUP(V634,A2:D500,4,FALSE))=0,,VLOOKUP(V634,A2:D500,4,FALSE))</f>
        <v>#N/A</v>
      </c>
      <c r="Y634" s="56">
        <f>'Other Empirical Model'!P759</f>
        <v>0</v>
      </c>
      <c r="Z634" s="22" t="e">
        <f>IF(LEN(VLOOKUP(Y634,A2:D500,4,FALSE))=0,,VLOOKUP(Y634,A2:D500,4,FALSE))</f>
        <v>#N/A</v>
      </c>
      <c r="AA634" s="56">
        <f>'Predictive Model'!P746</f>
        <v>0</v>
      </c>
      <c r="AB634" s="22" t="e">
        <f>IF(LEN(VLOOKUP(AA634,A2:D500,4,FALSE))=0,,VLOOKUP(AA634,A2:D500,4,FALSE))</f>
        <v>#N/A</v>
      </c>
      <c r="AC634" s="56">
        <f>'Consumption Model'!P751</f>
        <v>0</v>
      </c>
      <c r="AD634" s="22" t="e">
        <f>IF(LEN(VLOOKUP(AC634,A2:D500,4,FALSE))=0,,VLOOKUP(AC634,A2:D500,4,FALSE))</f>
        <v>#N/A</v>
      </c>
      <c r="AE634" s="22">
        <f>'(Data)'!Q747</f>
        <v>0</v>
      </c>
      <c r="AF634" s="22" t="e">
        <f>IF(LEN(VLOOKUP(AE633:AE634,A2:D500,4,FALSE))=0,,VLOOKUP(AE633:AE634,A2:D500,4,FALSE))</f>
        <v>#N/A</v>
      </c>
      <c r="AH634" s="45">
        <f>'Risk Charact Model'!P765</f>
        <v>0</v>
      </c>
      <c r="AI634" s="58" t="e">
        <f>IF(LEN(VLOOKUP(AH634,A2:D500,4,FALSE))=0,,VLOOKUP(AH634,A2:D500,4,FALSE))</f>
        <v>#N/A</v>
      </c>
    </row>
    <row r="635" spans="9:35" ht="14" x14ac:dyDescent="0.3">
      <c r="I635" s="60">
        <f>'Generic Metadata Schema'!P765</f>
        <v>0</v>
      </c>
      <c r="J635" s="22" t="e">
        <f>IF(LEN(VLOOKUP(I635,A2:D500,4,FALSE))=0,"",VLOOKUP(I635,A2:D500,4,FALSE))</f>
        <v>#N/A</v>
      </c>
      <c r="L635" s="56">
        <f>'Dose-response Model'!O749</f>
        <v>0</v>
      </c>
      <c r="M635" s="22" t="e">
        <f>IF(LEN(VLOOKUP(L635,A2:D500,4,FALSE))=0,,VLOOKUP(L635,A2:D500,4,FALSE))</f>
        <v>#N/A</v>
      </c>
      <c r="N635" s="22">
        <f>'Exposure Model'!O766</f>
        <v>0</v>
      </c>
      <c r="O635" s="22" t="e">
        <f>IF(LEN(VLOOKUP(N635,A2:D500,4,FALSE))=0,,VLOOKUP(N635,A2:D500,4,FALSE))</f>
        <v>#N/A</v>
      </c>
      <c r="P635" s="56">
        <f>'QRA Models'!Q766</f>
        <v>0</v>
      </c>
      <c r="Q635" s="22" t="e">
        <f>IF(LEN(VLOOKUP(P635,A2:D500,4,FALSE))=0,,VLOOKUP(P635,A2:D500,4,FALSE))</f>
        <v>#N/A</v>
      </c>
      <c r="R635" s="56">
        <f>'Health metrics Models'!Q749</f>
        <v>0</v>
      </c>
      <c r="S635" s="22" t="e">
        <f>IF(LEN(VLOOKUP(R635,A2:D500,4,FALSE))=0,,VLOOKUP(R635,A2:D500,4,FALSE))</f>
        <v>#N/A</v>
      </c>
      <c r="T635" s="56">
        <f>'Process Model'!P747</f>
        <v>0</v>
      </c>
      <c r="U635" s="22" t="e">
        <f>IF(LEN(VLOOKUP(T635,A2:D500,4,FALSE))=0,,VLOOKUP(T635,A2:D500,4,FALSE))</f>
        <v>#N/A</v>
      </c>
      <c r="V635" s="56">
        <f>'Toxicological reference value M'!P749</f>
        <v>0</v>
      </c>
      <c r="W635" s="22" t="e">
        <f>IF(LEN(VLOOKUP(V635,A2:D500,4,FALSE))=0,,VLOOKUP(V635,A2:D500,4,FALSE))</f>
        <v>#N/A</v>
      </c>
      <c r="Y635" s="56">
        <f>'Other Empirical Model'!P760</f>
        <v>0</v>
      </c>
      <c r="Z635" s="22" t="e">
        <f>IF(LEN(VLOOKUP(Y635,A2:D500,4,FALSE))=0,,VLOOKUP(Y635,A2:D500,4,FALSE))</f>
        <v>#N/A</v>
      </c>
      <c r="AA635" s="56">
        <f>'Predictive Model'!P747</f>
        <v>0</v>
      </c>
      <c r="AB635" s="22" t="e">
        <f>IF(LEN(VLOOKUP(AA635,A2:D500,4,FALSE))=0,,VLOOKUP(AA635,A2:D500,4,FALSE))</f>
        <v>#N/A</v>
      </c>
      <c r="AC635" s="56">
        <f>'Consumption Model'!P752</f>
        <v>0</v>
      </c>
      <c r="AD635" s="22" t="e">
        <f>IF(LEN(VLOOKUP(AC635,A2:D500,4,FALSE))=0,,VLOOKUP(AC635,A2:D500,4,FALSE))</f>
        <v>#N/A</v>
      </c>
      <c r="AE635" s="22">
        <f>'(Data)'!Q748</f>
        <v>0</v>
      </c>
      <c r="AF635" s="22" t="e">
        <f>IF(LEN(VLOOKUP(AE634:AE635,A2:D500,4,FALSE))=0,,VLOOKUP(AE634:AE635,A2:D500,4,FALSE))</f>
        <v>#N/A</v>
      </c>
      <c r="AH635" s="45">
        <f>'Risk Charact Model'!P766</f>
        <v>0</v>
      </c>
      <c r="AI635" s="58" t="e">
        <f>IF(LEN(VLOOKUP(AH635,A2:D500,4,FALSE))=0,,VLOOKUP(AH635,A2:D500,4,FALSE))</f>
        <v>#N/A</v>
      </c>
    </row>
    <row r="636" spans="9:35" ht="14" x14ac:dyDescent="0.3">
      <c r="I636" s="60">
        <f>'Generic Metadata Schema'!P766</f>
        <v>0</v>
      </c>
      <c r="J636" s="22" t="e">
        <f>IF(LEN(VLOOKUP(I636,A2:D500,4,FALSE))=0,"",VLOOKUP(I636,A2:D500,4,FALSE))</f>
        <v>#N/A</v>
      </c>
      <c r="L636" s="56">
        <f>'Dose-response Model'!O750</f>
        <v>0</v>
      </c>
      <c r="M636" s="22" t="e">
        <f>IF(LEN(VLOOKUP(L636,A2:D500,4,FALSE))=0,,VLOOKUP(L636,A2:D500,4,FALSE))</f>
        <v>#N/A</v>
      </c>
      <c r="N636" s="22">
        <f>'Exposure Model'!O767</f>
        <v>0</v>
      </c>
      <c r="O636" s="22" t="e">
        <f>IF(LEN(VLOOKUP(N636,A2:D500,4,FALSE))=0,,VLOOKUP(N636,A2:D500,4,FALSE))</f>
        <v>#N/A</v>
      </c>
      <c r="P636" s="56">
        <f>'QRA Models'!Q767</f>
        <v>0</v>
      </c>
      <c r="Q636" s="22" t="e">
        <f>IF(LEN(VLOOKUP(P636,A2:D500,4,FALSE))=0,,VLOOKUP(P636,A2:D500,4,FALSE))</f>
        <v>#N/A</v>
      </c>
      <c r="R636" s="56">
        <f>'Health metrics Models'!Q750</f>
        <v>0</v>
      </c>
      <c r="S636" s="22" t="e">
        <f>IF(LEN(VLOOKUP(R636,A2:D500,4,FALSE))=0,,VLOOKUP(R636,A2:D500,4,FALSE))</f>
        <v>#N/A</v>
      </c>
      <c r="T636" s="56">
        <f>'Process Model'!P748</f>
        <v>0</v>
      </c>
      <c r="U636" s="22" t="e">
        <f>IF(LEN(VLOOKUP(T636,A2:D500,4,FALSE))=0,,VLOOKUP(T636,A2:D500,4,FALSE))</f>
        <v>#N/A</v>
      </c>
      <c r="V636" s="56">
        <f>'Toxicological reference value M'!P750</f>
        <v>0</v>
      </c>
      <c r="W636" s="22" t="e">
        <f>IF(LEN(VLOOKUP(V636,A2:D500,4,FALSE))=0,,VLOOKUP(V636,A2:D500,4,FALSE))</f>
        <v>#N/A</v>
      </c>
      <c r="Y636" s="56">
        <f>'Other Empirical Model'!P761</f>
        <v>0</v>
      </c>
      <c r="Z636" s="22" t="e">
        <f>IF(LEN(VLOOKUP(Y636,A2:D500,4,FALSE))=0,,VLOOKUP(Y636,A2:D500,4,FALSE))</f>
        <v>#N/A</v>
      </c>
      <c r="AA636" s="56">
        <f>'Predictive Model'!P748</f>
        <v>0</v>
      </c>
      <c r="AB636" s="22" t="e">
        <f>IF(LEN(VLOOKUP(AA636,A2:D500,4,FALSE))=0,,VLOOKUP(AA636,A2:D500,4,FALSE))</f>
        <v>#N/A</v>
      </c>
      <c r="AC636" s="56">
        <f>'Consumption Model'!P753</f>
        <v>0</v>
      </c>
      <c r="AD636" s="22" t="e">
        <f>IF(LEN(VLOOKUP(AC636,A2:D500,4,FALSE))=0,,VLOOKUP(AC636,A2:D500,4,FALSE))</f>
        <v>#N/A</v>
      </c>
      <c r="AE636" s="22">
        <f>'(Data)'!Q749</f>
        <v>0</v>
      </c>
      <c r="AF636" s="22" t="e">
        <f>IF(LEN(VLOOKUP(AE635:AE636,A2:D500,4,FALSE))=0,,VLOOKUP(AE635:AE636,A2:D500,4,FALSE))</f>
        <v>#N/A</v>
      </c>
      <c r="AH636" s="45">
        <f>'Risk Charact Model'!P767</f>
        <v>0</v>
      </c>
      <c r="AI636" s="58" t="e">
        <f>IF(LEN(VLOOKUP(AH636,A2:D500,4,FALSE))=0,,VLOOKUP(AH636,A2:D500,4,FALSE))</f>
        <v>#N/A</v>
      </c>
    </row>
    <row r="637" spans="9:35" ht="14" x14ac:dyDescent="0.3">
      <c r="I637" s="60">
        <f>'Generic Metadata Schema'!P767</f>
        <v>0</v>
      </c>
      <c r="J637" s="22" t="e">
        <f>IF(LEN(VLOOKUP(I637,A2:D500,4,FALSE))=0,"",VLOOKUP(I637,A2:D500,4,FALSE))</f>
        <v>#N/A</v>
      </c>
      <c r="L637" s="56">
        <f>'Dose-response Model'!O751</f>
        <v>0</v>
      </c>
      <c r="M637" s="22" t="e">
        <f>IF(LEN(VLOOKUP(L637,A2:D500,4,FALSE))=0,,VLOOKUP(L637,A2:D500,4,FALSE))</f>
        <v>#N/A</v>
      </c>
      <c r="N637" s="22">
        <f>'Exposure Model'!O768</f>
        <v>0</v>
      </c>
      <c r="O637" s="22" t="e">
        <f>IF(LEN(VLOOKUP(N637,A2:D500,4,FALSE))=0,,VLOOKUP(N637,A2:D500,4,FALSE))</f>
        <v>#N/A</v>
      </c>
      <c r="P637" s="56">
        <f>'QRA Models'!Q768</f>
        <v>0</v>
      </c>
      <c r="Q637" s="22" t="e">
        <f>IF(LEN(VLOOKUP(P637,A2:D500,4,FALSE))=0,,VLOOKUP(P637,A2:D500,4,FALSE))</f>
        <v>#N/A</v>
      </c>
      <c r="R637" s="56">
        <f>'Health metrics Models'!Q751</f>
        <v>0</v>
      </c>
      <c r="S637" s="22" t="e">
        <f>IF(LEN(VLOOKUP(R637,A2:D500,4,FALSE))=0,,VLOOKUP(R637,A2:D500,4,FALSE))</f>
        <v>#N/A</v>
      </c>
      <c r="T637" s="56">
        <f>'Process Model'!P749</f>
        <v>0</v>
      </c>
      <c r="U637" s="22" t="e">
        <f>IF(LEN(VLOOKUP(T637,A2:D500,4,FALSE))=0,,VLOOKUP(T637,A2:D500,4,FALSE))</f>
        <v>#N/A</v>
      </c>
      <c r="V637" s="56">
        <f>'Toxicological reference value M'!P751</f>
        <v>0</v>
      </c>
      <c r="W637" s="22" t="e">
        <f>IF(LEN(VLOOKUP(V637,A2:D500,4,FALSE))=0,,VLOOKUP(V637,A2:D500,4,FALSE))</f>
        <v>#N/A</v>
      </c>
      <c r="Y637" s="56">
        <f>'Other Empirical Model'!P762</f>
        <v>0</v>
      </c>
      <c r="Z637" s="22" t="e">
        <f>IF(LEN(VLOOKUP(Y637,A2:D500,4,FALSE))=0,,VLOOKUP(Y637,A2:D500,4,FALSE))</f>
        <v>#N/A</v>
      </c>
      <c r="AA637" s="56">
        <f>'Predictive Model'!P749</f>
        <v>0</v>
      </c>
      <c r="AB637" s="22" t="e">
        <f>IF(LEN(VLOOKUP(AA637,A2:D500,4,FALSE))=0,,VLOOKUP(AA637,A2:D500,4,FALSE))</f>
        <v>#N/A</v>
      </c>
      <c r="AC637" s="56">
        <f>'Consumption Model'!P754</f>
        <v>0</v>
      </c>
      <c r="AD637" s="22" t="e">
        <f>IF(LEN(VLOOKUP(AC637,A2:D500,4,FALSE))=0,,VLOOKUP(AC637,A2:D500,4,FALSE))</f>
        <v>#N/A</v>
      </c>
      <c r="AE637" s="22">
        <f>'(Data)'!Q750</f>
        <v>0</v>
      </c>
      <c r="AF637" s="22" t="e">
        <f>IF(LEN(VLOOKUP(AE636:AE637,A2:D500,4,FALSE))=0,,VLOOKUP(AE636:AE637,A2:D500,4,FALSE))</f>
        <v>#N/A</v>
      </c>
      <c r="AH637" s="45">
        <f>'Risk Charact Model'!P768</f>
        <v>0</v>
      </c>
      <c r="AI637" s="58" t="e">
        <f>IF(LEN(VLOOKUP(AH637,A2:D500,4,FALSE))=0,,VLOOKUP(AH637,A2:D500,4,FALSE))</f>
        <v>#N/A</v>
      </c>
    </row>
    <row r="638" spans="9:35" ht="14" x14ac:dyDescent="0.3">
      <c r="I638" s="60">
        <f>'Generic Metadata Schema'!P768</f>
        <v>0</v>
      </c>
      <c r="J638" s="22" t="e">
        <f>IF(LEN(VLOOKUP(I638,A2:D500,4,FALSE))=0,"",VLOOKUP(I638,A2:D500,4,FALSE))</f>
        <v>#N/A</v>
      </c>
      <c r="L638" s="56">
        <f>'Dose-response Model'!O752</f>
        <v>0</v>
      </c>
      <c r="M638" s="22" t="e">
        <f>IF(LEN(VLOOKUP(L638,A2:D500,4,FALSE))=0,,VLOOKUP(L638,A2:D500,4,FALSE))</f>
        <v>#N/A</v>
      </c>
      <c r="N638" s="22">
        <f>'Exposure Model'!O769</f>
        <v>0</v>
      </c>
      <c r="O638" s="22" t="e">
        <f>IF(LEN(VLOOKUP(N638,A2:D500,4,FALSE))=0,,VLOOKUP(N638,A2:D500,4,FALSE))</f>
        <v>#N/A</v>
      </c>
      <c r="P638" s="56">
        <f>'QRA Models'!Q769</f>
        <v>0</v>
      </c>
      <c r="Q638" s="22" t="e">
        <f>IF(LEN(VLOOKUP(P638,A2:D500,4,FALSE))=0,,VLOOKUP(P638,A2:D500,4,FALSE))</f>
        <v>#N/A</v>
      </c>
      <c r="R638" s="56">
        <f>'Health metrics Models'!Q752</f>
        <v>0</v>
      </c>
      <c r="S638" s="22" t="e">
        <f>IF(LEN(VLOOKUP(R638,A2:D500,4,FALSE))=0,,VLOOKUP(R638,A2:D500,4,FALSE))</f>
        <v>#N/A</v>
      </c>
      <c r="T638" s="56">
        <f>'Process Model'!P750</f>
        <v>0</v>
      </c>
      <c r="U638" s="22" t="e">
        <f>IF(LEN(VLOOKUP(T638,A2:D500,4,FALSE))=0,,VLOOKUP(T638,A2:D500,4,FALSE))</f>
        <v>#N/A</v>
      </c>
      <c r="V638" s="56">
        <f>'Toxicological reference value M'!P752</f>
        <v>0</v>
      </c>
      <c r="W638" s="22" t="e">
        <f>IF(LEN(VLOOKUP(V638,A2:D500,4,FALSE))=0,,VLOOKUP(V638,A2:D500,4,FALSE))</f>
        <v>#N/A</v>
      </c>
      <c r="Y638" s="56">
        <f>'Other Empirical Model'!P763</f>
        <v>0</v>
      </c>
      <c r="Z638" s="22" t="e">
        <f>IF(LEN(VLOOKUP(Y638,A2:D500,4,FALSE))=0,,VLOOKUP(Y638,A2:D500,4,FALSE))</f>
        <v>#N/A</v>
      </c>
      <c r="AA638" s="56">
        <f>'Predictive Model'!P750</f>
        <v>0</v>
      </c>
      <c r="AB638" s="22" t="e">
        <f>IF(LEN(VLOOKUP(AA638,A2:D500,4,FALSE))=0,,VLOOKUP(AA638,A2:D500,4,FALSE))</f>
        <v>#N/A</v>
      </c>
      <c r="AC638" s="56">
        <f>'Consumption Model'!P755</f>
        <v>0</v>
      </c>
      <c r="AD638" s="22" t="e">
        <f>IF(LEN(VLOOKUP(AC638,A2:D500,4,FALSE))=0,,VLOOKUP(AC638,A2:D500,4,FALSE))</f>
        <v>#N/A</v>
      </c>
      <c r="AE638" s="22">
        <f>'(Data)'!Q751</f>
        <v>0</v>
      </c>
      <c r="AF638" s="22" t="e">
        <f>IF(LEN(VLOOKUP(AE637:AE638,A2:D500,4,FALSE))=0,,VLOOKUP(AE637:AE638,A2:D500,4,FALSE))</f>
        <v>#N/A</v>
      </c>
      <c r="AH638" s="45">
        <f>'Risk Charact Model'!P769</f>
        <v>0</v>
      </c>
      <c r="AI638" s="58" t="e">
        <f>IF(LEN(VLOOKUP(AH638,A2:D500,4,FALSE))=0,,VLOOKUP(AH638,A2:D500,4,FALSE))</f>
        <v>#N/A</v>
      </c>
    </row>
    <row r="639" spans="9:35" ht="14" x14ac:dyDescent="0.3">
      <c r="I639" s="60">
        <f>'Generic Metadata Schema'!P769</f>
        <v>0</v>
      </c>
      <c r="J639" s="22" t="e">
        <f>IF(LEN(VLOOKUP(I639,A2:D500,4,FALSE))=0,"",VLOOKUP(I639,A2:D500,4,FALSE))</f>
        <v>#N/A</v>
      </c>
      <c r="L639" s="56">
        <f>'Dose-response Model'!O753</f>
        <v>0</v>
      </c>
      <c r="M639" s="22" t="e">
        <f>IF(LEN(VLOOKUP(L639,A2:D500,4,FALSE))=0,,VLOOKUP(L639,A2:D500,4,FALSE))</f>
        <v>#N/A</v>
      </c>
      <c r="N639" s="22">
        <f>'Exposure Model'!O770</f>
        <v>0</v>
      </c>
      <c r="O639" s="22" t="e">
        <f>IF(LEN(VLOOKUP(N639,A2:D500,4,FALSE))=0,,VLOOKUP(N639,A2:D500,4,FALSE))</f>
        <v>#N/A</v>
      </c>
      <c r="P639" s="56">
        <f>'QRA Models'!Q770</f>
        <v>0</v>
      </c>
      <c r="Q639" s="22" t="e">
        <f>IF(LEN(VLOOKUP(P639,A2:D500,4,FALSE))=0,,VLOOKUP(P639,A2:D500,4,FALSE))</f>
        <v>#N/A</v>
      </c>
      <c r="R639" s="56">
        <f>'Health metrics Models'!Q753</f>
        <v>0</v>
      </c>
      <c r="S639" s="22" t="e">
        <f>IF(LEN(VLOOKUP(R639,A2:D500,4,FALSE))=0,,VLOOKUP(R639,A2:D500,4,FALSE))</f>
        <v>#N/A</v>
      </c>
      <c r="T639" s="56">
        <f>'Process Model'!P751</f>
        <v>0</v>
      </c>
      <c r="U639" s="22" t="e">
        <f>IF(LEN(VLOOKUP(T639,A2:D500,4,FALSE))=0,,VLOOKUP(T639,A2:D500,4,FALSE))</f>
        <v>#N/A</v>
      </c>
      <c r="V639" s="56">
        <f>'Toxicological reference value M'!P753</f>
        <v>0</v>
      </c>
      <c r="W639" s="22" t="e">
        <f>IF(LEN(VLOOKUP(V639,A2:D500,4,FALSE))=0,,VLOOKUP(V639,A2:D500,4,FALSE))</f>
        <v>#N/A</v>
      </c>
      <c r="Y639" s="56">
        <f>'Other Empirical Model'!P764</f>
        <v>0</v>
      </c>
      <c r="Z639" s="22" t="e">
        <f>IF(LEN(VLOOKUP(Y639,A2:D500,4,FALSE))=0,,VLOOKUP(Y639,A2:D500,4,FALSE))</f>
        <v>#N/A</v>
      </c>
      <c r="AA639" s="56">
        <f>'Predictive Model'!P751</f>
        <v>0</v>
      </c>
      <c r="AB639" s="22" t="e">
        <f>IF(LEN(VLOOKUP(AA639,A2:D500,4,FALSE))=0,,VLOOKUP(AA639,A2:D500,4,FALSE))</f>
        <v>#N/A</v>
      </c>
      <c r="AC639" s="56">
        <f>'Consumption Model'!P756</f>
        <v>0</v>
      </c>
      <c r="AD639" s="22" t="e">
        <f>IF(LEN(VLOOKUP(AC639,A2:D500,4,FALSE))=0,,VLOOKUP(AC639,A2:D500,4,FALSE))</f>
        <v>#N/A</v>
      </c>
      <c r="AE639" s="22">
        <f>'(Data)'!Q752</f>
        <v>0</v>
      </c>
      <c r="AF639" s="22" t="e">
        <f>IF(LEN(VLOOKUP(AE638:AE639,A2:D500,4,FALSE))=0,,VLOOKUP(AE638:AE639,A2:D500,4,FALSE))</f>
        <v>#N/A</v>
      </c>
      <c r="AH639" s="45">
        <f>'Risk Charact Model'!P770</f>
        <v>0</v>
      </c>
      <c r="AI639" s="58" t="e">
        <f>IF(LEN(VLOOKUP(AH639,A2:D500,4,FALSE))=0,,VLOOKUP(AH639,A2:D500,4,FALSE))</f>
        <v>#N/A</v>
      </c>
    </row>
    <row r="640" spans="9:35" ht="14" x14ac:dyDescent="0.3">
      <c r="I640" s="60">
        <f>'Generic Metadata Schema'!P770</f>
        <v>0</v>
      </c>
      <c r="J640" s="22" t="e">
        <f>IF(LEN(VLOOKUP(I640,A2:D500,4,FALSE))=0,"",VLOOKUP(I640,A2:D500,4,FALSE))</f>
        <v>#N/A</v>
      </c>
      <c r="L640" s="56">
        <f>'Dose-response Model'!O754</f>
        <v>0</v>
      </c>
      <c r="M640" s="22" t="e">
        <f>IF(LEN(VLOOKUP(L640,A2:D500,4,FALSE))=0,,VLOOKUP(L640,A2:D500,4,FALSE))</f>
        <v>#N/A</v>
      </c>
      <c r="N640" s="22">
        <f>'Exposure Model'!O771</f>
        <v>0</v>
      </c>
      <c r="O640" s="22" t="e">
        <f>IF(LEN(VLOOKUP(N640,A2:D500,4,FALSE))=0,,VLOOKUP(N640,A2:D500,4,FALSE))</f>
        <v>#N/A</v>
      </c>
      <c r="P640" s="56">
        <f>'QRA Models'!Q771</f>
        <v>0</v>
      </c>
      <c r="Q640" s="22" t="e">
        <f>IF(LEN(VLOOKUP(P640,A2:D500,4,FALSE))=0,,VLOOKUP(P640,A2:D500,4,FALSE))</f>
        <v>#N/A</v>
      </c>
      <c r="R640" s="56">
        <f>'Health metrics Models'!Q754</f>
        <v>0</v>
      </c>
      <c r="S640" s="22" t="e">
        <f>IF(LEN(VLOOKUP(R640,A2:D500,4,FALSE))=0,,VLOOKUP(R640,A2:D500,4,FALSE))</f>
        <v>#N/A</v>
      </c>
      <c r="T640" s="56">
        <f>'Process Model'!P752</f>
        <v>0</v>
      </c>
      <c r="U640" s="22" t="e">
        <f>IF(LEN(VLOOKUP(T640,A2:D500,4,FALSE))=0,,VLOOKUP(T640,A2:D500,4,FALSE))</f>
        <v>#N/A</v>
      </c>
      <c r="V640" s="56">
        <f>'Toxicological reference value M'!P754</f>
        <v>0</v>
      </c>
      <c r="W640" s="22" t="e">
        <f>IF(LEN(VLOOKUP(V640,A2:D500,4,FALSE))=0,,VLOOKUP(V640,A2:D500,4,FALSE))</f>
        <v>#N/A</v>
      </c>
      <c r="Y640" s="56">
        <f>'Other Empirical Model'!P765</f>
        <v>0</v>
      </c>
      <c r="Z640" s="22" t="e">
        <f>IF(LEN(VLOOKUP(Y640,A2:D500,4,FALSE))=0,,VLOOKUP(Y640,A2:D500,4,FALSE))</f>
        <v>#N/A</v>
      </c>
      <c r="AA640" s="56">
        <f>'Predictive Model'!P752</f>
        <v>0</v>
      </c>
      <c r="AB640" s="22" t="e">
        <f>IF(LEN(VLOOKUP(AA640,A2:D500,4,FALSE))=0,,VLOOKUP(AA640,A2:D500,4,FALSE))</f>
        <v>#N/A</v>
      </c>
      <c r="AC640" s="56">
        <f>'Consumption Model'!P757</f>
        <v>0</v>
      </c>
      <c r="AD640" s="22" t="e">
        <f>IF(LEN(VLOOKUP(AC640,A2:D500,4,FALSE))=0,,VLOOKUP(AC640,A2:D500,4,FALSE))</f>
        <v>#N/A</v>
      </c>
      <c r="AE640" s="22">
        <f>'(Data)'!Q753</f>
        <v>0</v>
      </c>
      <c r="AF640" s="22" t="e">
        <f>IF(LEN(VLOOKUP(AE639:AE640,A2:D500,4,FALSE))=0,,VLOOKUP(AE639:AE640,A2:D500,4,FALSE))</f>
        <v>#N/A</v>
      </c>
      <c r="AH640" s="45">
        <f>'Risk Charact Model'!P771</f>
        <v>0</v>
      </c>
      <c r="AI640" s="58" t="e">
        <f>IF(LEN(VLOOKUP(AH640,A2:D500,4,FALSE))=0,,VLOOKUP(AH640,A2:D500,4,FALSE))</f>
        <v>#N/A</v>
      </c>
    </row>
    <row r="641" spans="9:35" ht="14" x14ac:dyDescent="0.3">
      <c r="I641" s="60">
        <f>'Generic Metadata Schema'!P771</f>
        <v>0</v>
      </c>
      <c r="J641" s="22" t="e">
        <f>IF(LEN(VLOOKUP(I641,A2:D500,4,FALSE))=0,"",VLOOKUP(I641,A2:D500,4,FALSE))</f>
        <v>#N/A</v>
      </c>
      <c r="L641" s="56">
        <f>'Dose-response Model'!O755</f>
        <v>0</v>
      </c>
      <c r="M641" s="22" t="e">
        <f>IF(LEN(VLOOKUP(L641,A2:D500,4,FALSE))=0,,VLOOKUP(L641,A2:D500,4,FALSE))</f>
        <v>#N/A</v>
      </c>
      <c r="N641" s="22">
        <f>'Exposure Model'!O772</f>
        <v>0</v>
      </c>
      <c r="O641" s="22" t="e">
        <f>IF(LEN(VLOOKUP(N641,A2:D500,4,FALSE))=0,,VLOOKUP(N641,A2:D500,4,FALSE))</f>
        <v>#N/A</v>
      </c>
      <c r="P641" s="56">
        <f>'QRA Models'!Q772</f>
        <v>0</v>
      </c>
      <c r="Q641" s="22" t="e">
        <f>IF(LEN(VLOOKUP(P641,A2:D500,4,FALSE))=0,,VLOOKUP(P641,A2:D500,4,FALSE))</f>
        <v>#N/A</v>
      </c>
      <c r="R641" s="56">
        <f>'Health metrics Models'!Q755</f>
        <v>0</v>
      </c>
      <c r="S641" s="22" t="e">
        <f>IF(LEN(VLOOKUP(R641,A2:D500,4,FALSE))=0,,VLOOKUP(R641,A2:D500,4,FALSE))</f>
        <v>#N/A</v>
      </c>
      <c r="T641" s="56">
        <f>'Process Model'!P753</f>
        <v>0</v>
      </c>
      <c r="U641" s="22" t="e">
        <f>IF(LEN(VLOOKUP(T641,A2:D500,4,FALSE))=0,,VLOOKUP(T641,A2:D500,4,FALSE))</f>
        <v>#N/A</v>
      </c>
      <c r="V641" s="56">
        <f>'Toxicological reference value M'!P755</f>
        <v>0</v>
      </c>
      <c r="W641" s="22" t="e">
        <f>IF(LEN(VLOOKUP(V641,A2:D500,4,FALSE))=0,,VLOOKUP(V641,A2:D500,4,FALSE))</f>
        <v>#N/A</v>
      </c>
      <c r="Y641" s="56">
        <f>'Other Empirical Model'!P766</f>
        <v>0</v>
      </c>
      <c r="Z641" s="22" t="e">
        <f>IF(LEN(VLOOKUP(Y641,A2:D500,4,FALSE))=0,,VLOOKUP(Y641,A2:D500,4,FALSE))</f>
        <v>#N/A</v>
      </c>
      <c r="AA641" s="56">
        <f>'Predictive Model'!P753</f>
        <v>0</v>
      </c>
      <c r="AB641" s="22" t="e">
        <f>IF(LEN(VLOOKUP(AA641,A2:D500,4,FALSE))=0,,VLOOKUP(AA641,A2:D500,4,FALSE))</f>
        <v>#N/A</v>
      </c>
      <c r="AC641" s="56">
        <f>'Consumption Model'!P758</f>
        <v>0</v>
      </c>
      <c r="AD641" s="22" t="e">
        <f>IF(LEN(VLOOKUP(AC641,A2:D500,4,FALSE))=0,,VLOOKUP(AC641,A2:D500,4,FALSE))</f>
        <v>#N/A</v>
      </c>
      <c r="AE641" s="22">
        <f>'(Data)'!Q754</f>
        <v>0</v>
      </c>
      <c r="AF641" s="22" t="e">
        <f>IF(LEN(VLOOKUP(AE640:AE641,A2:D500,4,FALSE))=0,,VLOOKUP(AE640:AE641,A2:D500,4,FALSE))</f>
        <v>#N/A</v>
      </c>
      <c r="AH641" s="45">
        <f>'Risk Charact Model'!P772</f>
        <v>0</v>
      </c>
      <c r="AI641" s="58" t="e">
        <f>IF(LEN(VLOOKUP(AH641,A2:D500,4,FALSE))=0,,VLOOKUP(AH641,A2:D500,4,FALSE))</f>
        <v>#N/A</v>
      </c>
    </row>
    <row r="642" spans="9:35" ht="14" x14ac:dyDescent="0.3">
      <c r="I642" s="60">
        <f>'Generic Metadata Schema'!P772</f>
        <v>0</v>
      </c>
      <c r="J642" s="22" t="e">
        <f>IF(LEN(VLOOKUP(I642,A2:D500,4,FALSE))=0,"",VLOOKUP(I642,A2:D500,4,FALSE))</f>
        <v>#N/A</v>
      </c>
      <c r="L642" s="56">
        <f>'Dose-response Model'!O756</f>
        <v>0</v>
      </c>
      <c r="M642" s="22" t="e">
        <f>IF(LEN(VLOOKUP(L642,A2:D500,4,FALSE))=0,,VLOOKUP(L642,A2:D500,4,FALSE))</f>
        <v>#N/A</v>
      </c>
      <c r="N642" s="22">
        <f>'Exposure Model'!O773</f>
        <v>0</v>
      </c>
      <c r="O642" s="22" t="e">
        <f>IF(LEN(VLOOKUP(N642,A2:D500,4,FALSE))=0,,VLOOKUP(N642,A2:D500,4,FALSE))</f>
        <v>#N/A</v>
      </c>
      <c r="P642" s="56">
        <f>'QRA Models'!Q773</f>
        <v>0</v>
      </c>
      <c r="Q642" s="22" t="e">
        <f>IF(LEN(VLOOKUP(P642,A2:D500,4,FALSE))=0,,VLOOKUP(P642,A2:D500,4,FALSE))</f>
        <v>#N/A</v>
      </c>
      <c r="R642" s="56">
        <f>'Health metrics Models'!Q756</f>
        <v>0</v>
      </c>
      <c r="S642" s="22" t="e">
        <f>IF(LEN(VLOOKUP(R642,A2:D500,4,FALSE))=0,,VLOOKUP(R642,A2:D500,4,FALSE))</f>
        <v>#N/A</v>
      </c>
      <c r="T642" s="56">
        <f>'Process Model'!P754</f>
        <v>0</v>
      </c>
      <c r="U642" s="22" t="e">
        <f>IF(LEN(VLOOKUP(T642,A2:D500,4,FALSE))=0,,VLOOKUP(T642,A2:D500,4,FALSE))</f>
        <v>#N/A</v>
      </c>
      <c r="V642" s="56">
        <f>'Toxicological reference value M'!P756</f>
        <v>0</v>
      </c>
      <c r="W642" s="22" t="e">
        <f>IF(LEN(VLOOKUP(V642,A2:D500,4,FALSE))=0,,VLOOKUP(V642,A2:D500,4,FALSE))</f>
        <v>#N/A</v>
      </c>
      <c r="Y642" s="56">
        <f>'Other Empirical Model'!P767</f>
        <v>0</v>
      </c>
      <c r="Z642" s="22" t="e">
        <f>IF(LEN(VLOOKUP(Y642,A2:D500,4,FALSE))=0,,VLOOKUP(Y642,A2:D500,4,FALSE))</f>
        <v>#N/A</v>
      </c>
      <c r="AA642" s="56">
        <f>'Predictive Model'!P754</f>
        <v>0</v>
      </c>
      <c r="AB642" s="22" t="e">
        <f>IF(LEN(VLOOKUP(AA642,A2:D500,4,FALSE))=0,,VLOOKUP(AA642,A2:D500,4,FALSE))</f>
        <v>#N/A</v>
      </c>
      <c r="AC642" s="56">
        <f>'Consumption Model'!P759</f>
        <v>0</v>
      </c>
      <c r="AD642" s="22" t="e">
        <f>IF(LEN(VLOOKUP(AC642,A2:D500,4,FALSE))=0,,VLOOKUP(AC642,A2:D500,4,FALSE))</f>
        <v>#N/A</v>
      </c>
      <c r="AE642" s="22">
        <f>'(Data)'!Q755</f>
        <v>0</v>
      </c>
      <c r="AF642" s="22" t="e">
        <f>IF(LEN(VLOOKUP(AE641:AE642,A2:D500,4,FALSE))=0,,VLOOKUP(AE641:AE642,A2:D500,4,FALSE))</f>
        <v>#N/A</v>
      </c>
      <c r="AH642" s="45">
        <f>'Risk Charact Model'!P773</f>
        <v>0</v>
      </c>
      <c r="AI642" s="58" t="e">
        <f>IF(LEN(VLOOKUP(AH642,A2:D500,4,FALSE))=0,,VLOOKUP(AH642,A2:D500,4,FALSE))</f>
        <v>#N/A</v>
      </c>
    </row>
    <row r="643" spans="9:35" ht="14" x14ac:dyDescent="0.3">
      <c r="I643" s="60">
        <f>'Generic Metadata Schema'!P773</f>
        <v>0</v>
      </c>
      <c r="J643" s="22" t="e">
        <f>IF(LEN(VLOOKUP(I643,A2:D500,4,FALSE))=0,"",VLOOKUP(I643,A2:D500,4,FALSE))</f>
        <v>#N/A</v>
      </c>
      <c r="L643" s="56">
        <f>'Dose-response Model'!O757</f>
        <v>0</v>
      </c>
      <c r="M643" s="22" t="e">
        <f>IF(LEN(VLOOKUP(L643,A2:D500,4,FALSE))=0,,VLOOKUP(L643,A2:D500,4,FALSE))</f>
        <v>#N/A</v>
      </c>
      <c r="N643" s="22">
        <f>'Exposure Model'!O774</f>
        <v>0</v>
      </c>
      <c r="O643" s="22" t="e">
        <f>IF(LEN(VLOOKUP(N643,A2:D500,4,FALSE))=0,,VLOOKUP(N643,A2:D500,4,FALSE))</f>
        <v>#N/A</v>
      </c>
      <c r="P643" s="56">
        <f>'QRA Models'!Q774</f>
        <v>0</v>
      </c>
      <c r="Q643" s="22" t="e">
        <f>IF(LEN(VLOOKUP(P643,A2:D500,4,FALSE))=0,,VLOOKUP(P643,A2:D500,4,FALSE))</f>
        <v>#N/A</v>
      </c>
      <c r="R643" s="56">
        <f>'Health metrics Models'!Q757</f>
        <v>0</v>
      </c>
      <c r="S643" s="22" t="e">
        <f>IF(LEN(VLOOKUP(R643,A2:D500,4,FALSE))=0,,VLOOKUP(R643,A2:D500,4,FALSE))</f>
        <v>#N/A</v>
      </c>
      <c r="T643" s="56">
        <f>'Process Model'!P755</f>
        <v>0</v>
      </c>
      <c r="U643" s="22" t="e">
        <f>IF(LEN(VLOOKUP(T643,A2:D500,4,FALSE))=0,,VLOOKUP(T643,A2:D500,4,FALSE))</f>
        <v>#N/A</v>
      </c>
      <c r="V643" s="56">
        <f>'Toxicological reference value M'!P757</f>
        <v>0</v>
      </c>
      <c r="W643" s="22" t="e">
        <f>IF(LEN(VLOOKUP(V643,A2:D500,4,FALSE))=0,,VLOOKUP(V643,A2:D500,4,FALSE))</f>
        <v>#N/A</v>
      </c>
      <c r="Y643" s="56">
        <f>'Other Empirical Model'!P768</f>
        <v>0</v>
      </c>
      <c r="Z643" s="22" t="e">
        <f>IF(LEN(VLOOKUP(Y643,A2:D500,4,FALSE))=0,,VLOOKUP(Y643,A2:D500,4,FALSE))</f>
        <v>#N/A</v>
      </c>
      <c r="AA643" s="56">
        <f>'Predictive Model'!P755</f>
        <v>0</v>
      </c>
      <c r="AB643" s="22" t="e">
        <f>IF(LEN(VLOOKUP(AA643,A2:D500,4,FALSE))=0,,VLOOKUP(AA643,A2:D500,4,FALSE))</f>
        <v>#N/A</v>
      </c>
      <c r="AC643" s="56">
        <f>'Consumption Model'!P760</f>
        <v>0</v>
      </c>
      <c r="AD643" s="22" t="e">
        <f>IF(LEN(VLOOKUP(AC643,A2:D500,4,FALSE))=0,,VLOOKUP(AC643,A2:D500,4,FALSE))</f>
        <v>#N/A</v>
      </c>
      <c r="AE643" s="22">
        <f>'(Data)'!Q756</f>
        <v>0</v>
      </c>
      <c r="AF643" s="22" t="e">
        <f>IF(LEN(VLOOKUP(AE642:AE643,A2:D500,4,FALSE))=0,,VLOOKUP(AE642:AE643,A2:D500,4,FALSE))</f>
        <v>#N/A</v>
      </c>
      <c r="AH643" s="45">
        <f>'Risk Charact Model'!P774</f>
        <v>0</v>
      </c>
      <c r="AI643" s="58" t="e">
        <f>IF(LEN(VLOOKUP(AH643,A2:D500,4,FALSE))=0,,VLOOKUP(AH643,A2:D500,4,FALSE))</f>
        <v>#N/A</v>
      </c>
    </row>
    <row r="644" spans="9:35" ht="14" x14ac:dyDescent="0.3">
      <c r="I644" s="60">
        <f>'Generic Metadata Schema'!P774</f>
        <v>0</v>
      </c>
      <c r="J644" s="22" t="e">
        <f>IF(LEN(VLOOKUP(I644,A2:D500,4,FALSE))=0,"",VLOOKUP(I644,A2:D500,4,FALSE))</f>
        <v>#N/A</v>
      </c>
      <c r="L644" s="56">
        <f>'Dose-response Model'!O758</f>
        <v>0</v>
      </c>
      <c r="M644" s="22" t="e">
        <f>IF(LEN(VLOOKUP(L644,A2:D500,4,FALSE))=0,,VLOOKUP(L644,A2:D500,4,FALSE))</f>
        <v>#N/A</v>
      </c>
      <c r="N644" s="22">
        <f>'Exposure Model'!O775</f>
        <v>0</v>
      </c>
      <c r="O644" s="22" t="e">
        <f>IF(LEN(VLOOKUP(N644,A2:D500,4,FALSE))=0,,VLOOKUP(N644,A2:D500,4,FALSE))</f>
        <v>#N/A</v>
      </c>
      <c r="P644" s="56">
        <f>'QRA Models'!Q775</f>
        <v>0</v>
      </c>
      <c r="Q644" s="22" t="e">
        <f>IF(LEN(VLOOKUP(P644,A2:D500,4,FALSE))=0,,VLOOKUP(P644,A2:D500,4,FALSE))</f>
        <v>#N/A</v>
      </c>
      <c r="R644" s="56">
        <f>'Health metrics Models'!Q758</f>
        <v>0</v>
      </c>
      <c r="S644" s="22" t="e">
        <f>IF(LEN(VLOOKUP(R644,A2:D500,4,FALSE))=0,,VLOOKUP(R644,A2:D500,4,FALSE))</f>
        <v>#N/A</v>
      </c>
      <c r="T644" s="56">
        <f>'Process Model'!P756</f>
        <v>0</v>
      </c>
      <c r="U644" s="22" t="e">
        <f>IF(LEN(VLOOKUP(T644,A2:D500,4,FALSE))=0,,VLOOKUP(T644,A2:D500,4,FALSE))</f>
        <v>#N/A</v>
      </c>
      <c r="V644" s="56">
        <f>'Toxicological reference value M'!P758</f>
        <v>0</v>
      </c>
      <c r="W644" s="22" t="e">
        <f>IF(LEN(VLOOKUP(V644,A2:D500,4,FALSE))=0,,VLOOKUP(V644,A2:D500,4,FALSE))</f>
        <v>#N/A</v>
      </c>
      <c r="Y644" s="56">
        <f>'Other Empirical Model'!P769</f>
        <v>0</v>
      </c>
      <c r="Z644" s="22" t="e">
        <f>IF(LEN(VLOOKUP(Y644,A2:D500,4,FALSE))=0,,VLOOKUP(Y644,A2:D500,4,FALSE))</f>
        <v>#N/A</v>
      </c>
      <c r="AA644" s="56">
        <f>'Predictive Model'!P756</f>
        <v>0</v>
      </c>
      <c r="AB644" s="22" t="e">
        <f>IF(LEN(VLOOKUP(AA644,A2:D500,4,FALSE))=0,,VLOOKUP(AA644,A2:D500,4,FALSE))</f>
        <v>#N/A</v>
      </c>
      <c r="AC644" s="56">
        <f>'Consumption Model'!P761</f>
        <v>0</v>
      </c>
      <c r="AD644" s="22" t="e">
        <f>IF(LEN(VLOOKUP(AC644,A2:D500,4,FALSE))=0,,VLOOKUP(AC644,A2:D500,4,FALSE))</f>
        <v>#N/A</v>
      </c>
      <c r="AE644" s="22">
        <f>'(Data)'!Q757</f>
        <v>0</v>
      </c>
      <c r="AF644" s="22" t="e">
        <f>IF(LEN(VLOOKUP(AE643:AE644,A2:D500,4,FALSE))=0,,VLOOKUP(AE643:AE644,A2:D500,4,FALSE))</f>
        <v>#N/A</v>
      </c>
      <c r="AH644" s="45">
        <f>'Risk Charact Model'!P775</f>
        <v>0</v>
      </c>
      <c r="AI644" s="58" t="e">
        <f>IF(LEN(VLOOKUP(AH644,A2:D500,4,FALSE))=0,,VLOOKUP(AH644,A2:D500,4,FALSE))</f>
        <v>#N/A</v>
      </c>
    </row>
    <row r="645" spans="9:35" ht="14" x14ac:dyDescent="0.3">
      <c r="I645" s="60">
        <f>'Generic Metadata Schema'!P775</f>
        <v>0</v>
      </c>
      <c r="J645" s="22" t="e">
        <f>IF(LEN(VLOOKUP(I645,A2:D500,4,FALSE))=0,"",VLOOKUP(I645,A2:D500,4,FALSE))</f>
        <v>#N/A</v>
      </c>
      <c r="L645" s="56">
        <f>'Dose-response Model'!O759</f>
        <v>0</v>
      </c>
      <c r="M645" s="22" t="e">
        <f>IF(LEN(VLOOKUP(L645,A2:D500,4,FALSE))=0,,VLOOKUP(L645,A2:D500,4,FALSE))</f>
        <v>#N/A</v>
      </c>
      <c r="N645" s="22">
        <f>'Exposure Model'!O776</f>
        <v>0</v>
      </c>
      <c r="O645" s="22" t="e">
        <f>IF(LEN(VLOOKUP(N645,A2:D500,4,FALSE))=0,,VLOOKUP(N645,A2:D500,4,FALSE))</f>
        <v>#N/A</v>
      </c>
      <c r="P645" s="56">
        <f>'QRA Models'!Q776</f>
        <v>0</v>
      </c>
      <c r="Q645" s="22" t="e">
        <f>IF(LEN(VLOOKUP(P645,A2:D500,4,FALSE))=0,,VLOOKUP(P645,A2:D500,4,FALSE))</f>
        <v>#N/A</v>
      </c>
      <c r="R645" s="56">
        <f>'Health metrics Models'!Q759</f>
        <v>0</v>
      </c>
      <c r="S645" s="22" t="e">
        <f>IF(LEN(VLOOKUP(R645,A2:D500,4,FALSE))=0,,VLOOKUP(R645,A2:D500,4,FALSE))</f>
        <v>#N/A</v>
      </c>
      <c r="T645" s="56">
        <f>'Process Model'!P757</f>
        <v>0</v>
      </c>
      <c r="U645" s="22" t="e">
        <f>IF(LEN(VLOOKUP(T645,A2:D500,4,FALSE))=0,,VLOOKUP(T645,A2:D500,4,FALSE))</f>
        <v>#N/A</v>
      </c>
      <c r="V645" s="56">
        <f>'Toxicological reference value M'!P759</f>
        <v>0</v>
      </c>
      <c r="W645" s="22" t="e">
        <f>IF(LEN(VLOOKUP(V645,A2:D500,4,FALSE))=0,,VLOOKUP(V645,A2:D500,4,FALSE))</f>
        <v>#N/A</v>
      </c>
      <c r="Y645" s="56">
        <f>'Other Empirical Model'!P770</f>
        <v>0</v>
      </c>
      <c r="Z645" s="22" t="e">
        <f>IF(LEN(VLOOKUP(Y645,A2:D500,4,FALSE))=0,,VLOOKUP(Y645,A2:D500,4,FALSE))</f>
        <v>#N/A</v>
      </c>
      <c r="AA645" s="56">
        <f>'Predictive Model'!P757</f>
        <v>0</v>
      </c>
      <c r="AB645" s="22" t="e">
        <f>IF(LEN(VLOOKUP(AA645,A2:D500,4,FALSE))=0,,VLOOKUP(AA645,A2:D500,4,FALSE))</f>
        <v>#N/A</v>
      </c>
      <c r="AC645" s="56">
        <f>'Consumption Model'!P762</f>
        <v>0</v>
      </c>
      <c r="AD645" s="22" t="e">
        <f>IF(LEN(VLOOKUP(AC645,A2:D500,4,FALSE))=0,,VLOOKUP(AC645,A2:D500,4,FALSE))</f>
        <v>#N/A</v>
      </c>
      <c r="AE645" s="22">
        <f>'(Data)'!Q758</f>
        <v>0</v>
      </c>
      <c r="AF645" s="22" t="e">
        <f>IF(LEN(VLOOKUP(AE644:AE645,A2:D500,4,FALSE))=0,,VLOOKUP(AE644:AE645,A2:D500,4,FALSE))</f>
        <v>#N/A</v>
      </c>
      <c r="AH645" s="45">
        <f>'Risk Charact Model'!P776</f>
        <v>0</v>
      </c>
      <c r="AI645" s="58" t="e">
        <f>IF(LEN(VLOOKUP(AH645,A2:D500,4,FALSE))=0,,VLOOKUP(AH645,A2:D500,4,FALSE))</f>
        <v>#N/A</v>
      </c>
    </row>
    <row r="646" spans="9:35" ht="14" x14ac:dyDescent="0.3">
      <c r="I646" s="60">
        <f>'Generic Metadata Schema'!P776</f>
        <v>0</v>
      </c>
      <c r="J646" s="22" t="e">
        <f>IF(LEN(VLOOKUP(I646,A2:D500,4,FALSE))=0,"",VLOOKUP(I646,A2:D500,4,FALSE))</f>
        <v>#N/A</v>
      </c>
      <c r="L646" s="56">
        <f>'Dose-response Model'!O760</f>
        <v>0</v>
      </c>
      <c r="M646" s="22" t="e">
        <f>IF(LEN(VLOOKUP(L646,A2:D500,4,FALSE))=0,,VLOOKUP(L646,A2:D500,4,FALSE))</f>
        <v>#N/A</v>
      </c>
      <c r="N646" s="22">
        <f>'Exposure Model'!O777</f>
        <v>0</v>
      </c>
      <c r="O646" s="22" t="e">
        <f>IF(LEN(VLOOKUP(N646,A2:D500,4,FALSE))=0,,VLOOKUP(N646,A2:D500,4,FALSE))</f>
        <v>#N/A</v>
      </c>
      <c r="P646" s="56">
        <f>'QRA Models'!Q777</f>
        <v>0</v>
      </c>
      <c r="Q646" s="22" t="e">
        <f>IF(LEN(VLOOKUP(P646,A2:D500,4,FALSE))=0,,VLOOKUP(P646,A2:D500,4,FALSE))</f>
        <v>#N/A</v>
      </c>
      <c r="R646" s="56">
        <f>'Health metrics Models'!Q760</f>
        <v>0</v>
      </c>
      <c r="S646" s="22" t="e">
        <f>IF(LEN(VLOOKUP(R646,A2:D500,4,FALSE))=0,,VLOOKUP(R646,A2:D500,4,FALSE))</f>
        <v>#N/A</v>
      </c>
      <c r="T646" s="56">
        <f>'Process Model'!P758</f>
        <v>0</v>
      </c>
      <c r="U646" s="22" t="e">
        <f>IF(LEN(VLOOKUP(T646,A2:D500,4,FALSE))=0,,VLOOKUP(T646,A2:D500,4,FALSE))</f>
        <v>#N/A</v>
      </c>
      <c r="V646" s="56">
        <f>'Toxicological reference value M'!P760</f>
        <v>0</v>
      </c>
      <c r="W646" s="22" t="e">
        <f>IF(LEN(VLOOKUP(V646,A2:D500,4,FALSE))=0,,VLOOKUP(V646,A2:D500,4,FALSE))</f>
        <v>#N/A</v>
      </c>
      <c r="Y646" s="56">
        <f>'Other Empirical Model'!P771</f>
        <v>0</v>
      </c>
      <c r="Z646" s="22" t="e">
        <f>IF(LEN(VLOOKUP(Y646,A2:D500,4,FALSE))=0,,VLOOKUP(Y646,A2:D500,4,FALSE))</f>
        <v>#N/A</v>
      </c>
      <c r="AA646" s="56">
        <f>'Predictive Model'!P758</f>
        <v>0</v>
      </c>
      <c r="AB646" s="22" t="e">
        <f>IF(LEN(VLOOKUP(AA646,A2:D500,4,FALSE))=0,,VLOOKUP(AA646,A2:D500,4,FALSE))</f>
        <v>#N/A</v>
      </c>
      <c r="AC646" s="56">
        <f>'Consumption Model'!P763</f>
        <v>0</v>
      </c>
      <c r="AD646" s="22" t="e">
        <f>IF(LEN(VLOOKUP(AC646,A2:D500,4,FALSE))=0,,VLOOKUP(AC646,A2:D500,4,FALSE))</f>
        <v>#N/A</v>
      </c>
      <c r="AE646" s="22">
        <f>'(Data)'!Q759</f>
        <v>0</v>
      </c>
      <c r="AF646" s="22" t="e">
        <f>IF(LEN(VLOOKUP(AE645:AE646,A2:D500,4,FALSE))=0,,VLOOKUP(AE645:AE646,A2:D500,4,FALSE))</f>
        <v>#N/A</v>
      </c>
      <c r="AH646" s="45">
        <f>'Risk Charact Model'!P777</f>
        <v>0</v>
      </c>
      <c r="AI646" s="58" t="e">
        <f>IF(LEN(VLOOKUP(AH646,A2:D500,4,FALSE))=0,,VLOOKUP(AH646,A2:D500,4,FALSE))</f>
        <v>#N/A</v>
      </c>
    </row>
    <row r="647" spans="9:35" ht="14" x14ac:dyDescent="0.3">
      <c r="I647" s="60">
        <f>'Generic Metadata Schema'!P777</f>
        <v>0</v>
      </c>
      <c r="J647" s="22" t="e">
        <f>IF(LEN(VLOOKUP(I647,A2:D500,4,FALSE))=0,"",VLOOKUP(I647,A2:D500,4,FALSE))</f>
        <v>#N/A</v>
      </c>
      <c r="L647" s="56">
        <f>'Dose-response Model'!O761</f>
        <v>0</v>
      </c>
      <c r="M647" s="22" t="e">
        <f>IF(LEN(VLOOKUP(L647,A2:D500,4,FALSE))=0,,VLOOKUP(L647,A2:D500,4,FALSE))</f>
        <v>#N/A</v>
      </c>
      <c r="N647" s="22">
        <f>'Exposure Model'!O778</f>
        <v>0</v>
      </c>
      <c r="O647" s="22" t="e">
        <f>IF(LEN(VLOOKUP(N647,A2:D500,4,FALSE))=0,,VLOOKUP(N647,A2:D500,4,FALSE))</f>
        <v>#N/A</v>
      </c>
      <c r="P647" s="56">
        <f>'QRA Models'!Q778</f>
        <v>0</v>
      </c>
      <c r="Q647" s="22" t="e">
        <f>IF(LEN(VLOOKUP(P647,A2:D500,4,FALSE))=0,,VLOOKUP(P647,A2:D500,4,FALSE))</f>
        <v>#N/A</v>
      </c>
      <c r="R647" s="56">
        <f>'Health metrics Models'!Q761</f>
        <v>0</v>
      </c>
      <c r="S647" s="22" t="e">
        <f>IF(LEN(VLOOKUP(R647,A2:D500,4,FALSE))=0,,VLOOKUP(R647,A2:D500,4,FALSE))</f>
        <v>#N/A</v>
      </c>
      <c r="T647" s="56">
        <f>'Process Model'!P759</f>
        <v>0</v>
      </c>
      <c r="U647" s="22" t="e">
        <f>IF(LEN(VLOOKUP(T647,A2:D500,4,FALSE))=0,,VLOOKUP(T647,A2:D500,4,FALSE))</f>
        <v>#N/A</v>
      </c>
      <c r="V647" s="56">
        <f>'Toxicological reference value M'!P761</f>
        <v>0</v>
      </c>
      <c r="W647" s="22" t="e">
        <f>IF(LEN(VLOOKUP(V647,A2:D500,4,FALSE))=0,,VLOOKUP(V647,A2:D500,4,FALSE))</f>
        <v>#N/A</v>
      </c>
      <c r="Y647" s="56">
        <f>'Other Empirical Model'!P772</f>
        <v>0</v>
      </c>
      <c r="Z647" s="22" t="e">
        <f>IF(LEN(VLOOKUP(Y647,A2:D500,4,FALSE))=0,,VLOOKUP(Y647,A2:D500,4,FALSE))</f>
        <v>#N/A</v>
      </c>
      <c r="AA647" s="56">
        <f>'Predictive Model'!P759</f>
        <v>0</v>
      </c>
      <c r="AB647" s="22" t="e">
        <f>IF(LEN(VLOOKUP(AA647,A2:D500,4,FALSE))=0,,VLOOKUP(AA647,A2:D500,4,FALSE))</f>
        <v>#N/A</v>
      </c>
      <c r="AC647" s="56">
        <f>'Consumption Model'!P764</f>
        <v>0</v>
      </c>
      <c r="AD647" s="22" t="e">
        <f>IF(LEN(VLOOKUP(AC647,A2:D500,4,FALSE))=0,,VLOOKUP(AC647,A2:D500,4,FALSE))</f>
        <v>#N/A</v>
      </c>
      <c r="AE647" s="22">
        <f>'(Data)'!Q760</f>
        <v>0</v>
      </c>
      <c r="AF647" s="22" t="e">
        <f>IF(LEN(VLOOKUP(AE646:AE647,A2:D500,4,FALSE))=0,,VLOOKUP(AE646:AE647,A2:D500,4,FALSE))</f>
        <v>#N/A</v>
      </c>
      <c r="AH647" s="45">
        <f>'Risk Charact Model'!P778</f>
        <v>0</v>
      </c>
      <c r="AI647" s="58" t="e">
        <f>IF(LEN(VLOOKUP(AH647,A2:D500,4,FALSE))=0,,VLOOKUP(AH647,A2:D500,4,FALSE))</f>
        <v>#N/A</v>
      </c>
    </row>
    <row r="648" spans="9:35" ht="14" x14ac:dyDescent="0.3">
      <c r="I648" s="60">
        <f>'Generic Metadata Schema'!P778</f>
        <v>0</v>
      </c>
      <c r="J648" s="22" t="e">
        <f>IF(LEN(VLOOKUP(I648,A2:D500,4,FALSE))=0,"",VLOOKUP(I648,A2:D500,4,FALSE))</f>
        <v>#N/A</v>
      </c>
      <c r="L648" s="56">
        <f>'Dose-response Model'!O762</f>
        <v>0</v>
      </c>
      <c r="M648" s="22" t="e">
        <f>IF(LEN(VLOOKUP(L648,A2:D500,4,FALSE))=0,,VLOOKUP(L648,A2:D500,4,FALSE))</f>
        <v>#N/A</v>
      </c>
      <c r="N648" s="22">
        <f>'Exposure Model'!O779</f>
        <v>0</v>
      </c>
      <c r="O648" s="22" t="e">
        <f>IF(LEN(VLOOKUP(N648,A2:D500,4,FALSE))=0,,VLOOKUP(N648,A2:D500,4,FALSE))</f>
        <v>#N/A</v>
      </c>
      <c r="P648" s="56">
        <f>'QRA Models'!Q779</f>
        <v>0</v>
      </c>
      <c r="Q648" s="22" t="e">
        <f>IF(LEN(VLOOKUP(P648,A2:D500,4,FALSE))=0,,VLOOKUP(P648,A2:D500,4,FALSE))</f>
        <v>#N/A</v>
      </c>
      <c r="R648" s="56">
        <f>'Health metrics Models'!Q762</f>
        <v>0</v>
      </c>
      <c r="S648" s="22" t="e">
        <f>IF(LEN(VLOOKUP(R648,A2:D500,4,FALSE))=0,,VLOOKUP(R648,A2:D500,4,FALSE))</f>
        <v>#N/A</v>
      </c>
      <c r="T648" s="56">
        <f>'Process Model'!P760</f>
        <v>0</v>
      </c>
      <c r="U648" s="22" t="e">
        <f>IF(LEN(VLOOKUP(T648,A2:D500,4,FALSE))=0,,VLOOKUP(T648,A2:D500,4,FALSE))</f>
        <v>#N/A</v>
      </c>
      <c r="V648" s="56">
        <f>'Toxicological reference value M'!P762</f>
        <v>0</v>
      </c>
      <c r="W648" s="22" t="e">
        <f>IF(LEN(VLOOKUP(V648,A2:D500,4,FALSE))=0,,VLOOKUP(V648,A2:D500,4,FALSE))</f>
        <v>#N/A</v>
      </c>
      <c r="Y648" s="56">
        <f>'Other Empirical Model'!P773</f>
        <v>0</v>
      </c>
      <c r="Z648" s="22" t="e">
        <f>IF(LEN(VLOOKUP(Y648,A2:D500,4,FALSE))=0,,VLOOKUP(Y648,A2:D500,4,FALSE))</f>
        <v>#N/A</v>
      </c>
      <c r="AA648" s="56">
        <f>'Predictive Model'!P760</f>
        <v>0</v>
      </c>
      <c r="AB648" s="22" t="e">
        <f>IF(LEN(VLOOKUP(AA648,A2:D500,4,FALSE))=0,,VLOOKUP(AA648,A2:D500,4,FALSE))</f>
        <v>#N/A</v>
      </c>
      <c r="AC648" s="56">
        <f>'Consumption Model'!P765</f>
        <v>0</v>
      </c>
      <c r="AD648" s="22" t="e">
        <f>IF(LEN(VLOOKUP(AC648,A2:D500,4,FALSE))=0,,VLOOKUP(AC648,A2:D500,4,FALSE))</f>
        <v>#N/A</v>
      </c>
      <c r="AE648" s="22">
        <f>'(Data)'!Q761</f>
        <v>0</v>
      </c>
      <c r="AF648" s="22" t="e">
        <f>IF(LEN(VLOOKUP(AE647:AE648,A2:D500,4,FALSE))=0,,VLOOKUP(AE647:AE648,A2:D500,4,FALSE))</f>
        <v>#N/A</v>
      </c>
      <c r="AH648" s="45">
        <f>'Risk Charact Model'!P779</f>
        <v>0</v>
      </c>
      <c r="AI648" s="58" t="e">
        <f>IF(LEN(VLOOKUP(AH648,A2:D500,4,FALSE))=0,,VLOOKUP(AH648,A2:D500,4,FALSE))</f>
        <v>#N/A</v>
      </c>
    </row>
    <row r="649" spans="9:35" ht="14" x14ac:dyDescent="0.3">
      <c r="I649" s="60">
        <f>'Generic Metadata Schema'!P779</f>
        <v>0</v>
      </c>
      <c r="J649" s="22" t="e">
        <f>IF(LEN(VLOOKUP(I649,A2:D500,4,FALSE))=0,"",VLOOKUP(I649,A2:D500,4,FALSE))</f>
        <v>#N/A</v>
      </c>
      <c r="L649" s="56">
        <f>'Dose-response Model'!O763</f>
        <v>0</v>
      </c>
      <c r="M649" s="22" t="e">
        <f>IF(LEN(VLOOKUP(L649,A2:D500,4,FALSE))=0,,VLOOKUP(L649,A2:D500,4,FALSE))</f>
        <v>#N/A</v>
      </c>
      <c r="N649" s="22">
        <f>'Exposure Model'!O780</f>
        <v>0</v>
      </c>
      <c r="O649" s="22" t="e">
        <f>IF(LEN(VLOOKUP(N649,A2:D500,4,FALSE))=0,,VLOOKUP(N649,A2:D500,4,FALSE))</f>
        <v>#N/A</v>
      </c>
      <c r="P649" s="56">
        <f>'QRA Models'!Q780</f>
        <v>0</v>
      </c>
      <c r="Q649" s="22" t="e">
        <f>IF(LEN(VLOOKUP(P649,A2:D500,4,FALSE))=0,,VLOOKUP(P649,A2:D500,4,FALSE))</f>
        <v>#N/A</v>
      </c>
      <c r="R649" s="56">
        <f>'Health metrics Models'!Q763</f>
        <v>0</v>
      </c>
      <c r="S649" s="22" t="e">
        <f>IF(LEN(VLOOKUP(R649,A2:D500,4,FALSE))=0,,VLOOKUP(R649,A2:D500,4,FALSE))</f>
        <v>#N/A</v>
      </c>
      <c r="T649" s="56">
        <f>'Process Model'!P761</f>
        <v>0</v>
      </c>
      <c r="U649" s="22" t="e">
        <f>IF(LEN(VLOOKUP(T649,A2:D500,4,FALSE))=0,,VLOOKUP(T649,A2:D500,4,FALSE))</f>
        <v>#N/A</v>
      </c>
      <c r="V649" s="56">
        <f>'Toxicological reference value M'!P763</f>
        <v>0</v>
      </c>
      <c r="W649" s="22" t="e">
        <f>IF(LEN(VLOOKUP(V649,A2:D500,4,FALSE))=0,,VLOOKUP(V649,A2:D500,4,FALSE))</f>
        <v>#N/A</v>
      </c>
      <c r="Y649" s="56">
        <f>'Other Empirical Model'!P774</f>
        <v>0</v>
      </c>
      <c r="Z649" s="22" t="e">
        <f>IF(LEN(VLOOKUP(Y649,A2:D500,4,FALSE))=0,,VLOOKUP(Y649,A2:D500,4,FALSE))</f>
        <v>#N/A</v>
      </c>
      <c r="AA649" s="56">
        <f>'Predictive Model'!P761</f>
        <v>0</v>
      </c>
      <c r="AB649" s="22" t="e">
        <f>IF(LEN(VLOOKUP(AA649,A2:D500,4,FALSE))=0,,VLOOKUP(AA649,A2:D500,4,FALSE))</f>
        <v>#N/A</v>
      </c>
      <c r="AC649" s="56">
        <f>'Consumption Model'!P766</f>
        <v>0</v>
      </c>
      <c r="AD649" s="22" t="e">
        <f>IF(LEN(VLOOKUP(AC649,A2:D500,4,FALSE))=0,,VLOOKUP(AC649,A2:D500,4,FALSE))</f>
        <v>#N/A</v>
      </c>
      <c r="AE649" s="22">
        <f>'(Data)'!Q762</f>
        <v>0</v>
      </c>
      <c r="AF649" s="22" t="e">
        <f>IF(LEN(VLOOKUP(AE648:AE649,A2:D500,4,FALSE))=0,,VLOOKUP(AE648:AE649,A2:D500,4,FALSE))</f>
        <v>#N/A</v>
      </c>
      <c r="AH649" s="45">
        <f>'Risk Charact Model'!P780</f>
        <v>0</v>
      </c>
      <c r="AI649" s="58" t="e">
        <f>IF(LEN(VLOOKUP(AH649,A2:D500,4,FALSE))=0,,VLOOKUP(AH649,A2:D500,4,FALSE))</f>
        <v>#N/A</v>
      </c>
    </row>
    <row r="650" spans="9:35" ht="14" x14ac:dyDescent="0.3">
      <c r="I650" s="60">
        <f>'Generic Metadata Schema'!P780</f>
        <v>0</v>
      </c>
      <c r="J650" s="22" t="e">
        <f>IF(LEN(VLOOKUP(I650,A2:D500,4,FALSE))=0,"",VLOOKUP(I650,A2:D500,4,FALSE))</f>
        <v>#N/A</v>
      </c>
      <c r="L650" s="56">
        <f>'Dose-response Model'!O764</f>
        <v>0</v>
      </c>
      <c r="M650" s="22" t="e">
        <f>IF(LEN(VLOOKUP(L650,A2:D500,4,FALSE))=0,,VLOOKUP(L650,A2:D500,4,FALSE))</f>
        <v>#N/A</v>
      </c>
      <c r="N650" s="22">
        <f>'Exposure Model'!O781</f>
        <v>0</v>
      </c>
      <c r="O650" s="22" t="e">
        <f>IF(LEN(VLOOKUP(N650,A2:D500,4,FALSE))=0,,VLOOKUP(N650,A2:D500,4,FALSE))</f>
        <v>#N/A</v>
      </c>
      <c r="P650" s="56">
        <f>'QRA Models'!Q781</f>
        <v>0</v>
      </c>
      <c r="Q650" s="22" t="e">
        <f>IF(LEN(VLOOKUP(P650,A2:D500,4,FALSE))=0,,VLOOKUP(P650,A2:D500,4,FALSE))</f>
        <v>#N/A</v>
      </c>
      <c r="R650" s="56">
        <f>'Health metrics Models'!Q764</f>
        <v>0</v>
      </c>
      <c r="S650" s="22" t="e">
        <f>IF(LEN(VLOOKUP(R650,A2:D500,4,FALSE))=0,,VLOOKUP(R650,A2:D500,4,FALSE))</f>
        <v>#N/A</v>
      </c>
      <c r="T650" s="56">
        <f>'Process Model'!P762</f>
        <v>0</v>
      </c>
      <c r="U650" s="22" t="e">
        <f>IF(LEN(VLOOKUP(T650,A2:D500,4,FALSE))=0,,VLOOKUP(T650,A2:D500,4,FALSE))</f>
        <v>#N/A</v>
      </c>
      <c r="V650" s="56">
        <f>'Toxicological reference value M'!P764</f>
        <v>0</v>
      </c>
      <c r="W650" s="22" t="e">
        <f>IF(LEN(VLOOKUP(V650,A2:D500,4,FALSE))=0,,VLOOKUP(V650,A2:D500,4,FALSE))</f>
        <v>#N/A</v>
      </c>
      <c r="Y650" s="56">
        <f>'Other Empirical Model'!P775</f>
        <v>0</v>
      </c>
      <c r="Z650" s="22" t="e">
        <f>IF(LEN(VLOOKUP(Y650,A2:D500,4,FALSE))=0,,VLOOKUP(Y650,A2:D500,4,FALSE))</f>
        <v>#N/A</v>
      </c>
      <c r="AA650" s="56">
        <f>'Predictive Model'!P762</f>
        <v>0</v>
      </c>
      <c r="AB650" s="22" t="e">
        <f>IF(LEN(VLOOKUP(AA650,A2:D500,4,FALSE))=0,,VLOOKUP(AA650,A2:D500,4,FALSE))</f>
        <v>#N/A</v>
      </c>
      <c r="AC650" s="56">
        <f>'Consumption Model'!P767</f>
        <v>0</v>
      </c>
      <c r="AD650" s="22" t="e">
        <f>IF(LEN(VLOOKUP(AC650,A2:D500,4,FALSE))=0,,VLOOKUP(AC650,A2:D500,4,FALSE))</f>
        <v>#N/A</v>
      </c>
      <c r="AE650" s="22">
        <f>'(Data)'!Q763</f>
        <v>0</v>
      </c>
      <c r="AF650" s="22" t="e">
        <f>IF(LEN(VLOOKUP(AE649:AE650,A2:D500,4,FALSE))=0,,VLOOKUP(AE649:AE650,A2:D500,4,FALSE))</f>
        <v>#N/A</v>
      </c>
      <c r="AH650" s="45">
        <f>'Risk Charact Model'!P781</f>
        <v>0</v>
      </c>
      <c r="AI650" s="58" t="e">
        <f>IF(LEN(VLOOKUP(AH650,A2:D500,4,FALSE))=0,,VLOOKUP(AH650,A2:D500,4,FALSE))</f>
        <v>#N/A</v>
      </c>
    </row>
    <row r="651" spans="9:35" ht="14" x14ac:dyDescent="0.3">
      <c r="I651" s="60">
        <f>'Generic Metadata Schema'!P781</f>
        <v>0</v>
      </c>
      <c r="J651" s="22" t="e">
        <f>IF(LEN(VLOOKUP(I651,A2:D500,4,FALSE))=0,"",VLOOKUP(I651,A2:D500,4,FALSE))</f>
        <v>#N/A</v>
      </c>
      <c r="L651" s="56">
        <f>'Dose-response Model'!O765</f>
        <v>0</v>
      </c>
      <c r="M651" s="22" t="e">
        <f>IF(LEN(VLOOKUP(L651,A2:D500,4,FALSE))=0,,VLOOKUP(L651,A2:D500,4,FALSE))</f>
        <v>#N/A</v>
      </c>
      <c r="N651" s="22">
        <f>'Exposure Model'!O782</f>
        <v>0</v>
      </c>
      <c r="O651" s="22" t="e">
        <f>IF(LEN(VLOOKUP(N651,A2:D500,4,FALSE))=0,,VLOOKUP(N651,A2:D500,4,FALSE))</f>
        <v>#N/A</v>
      </c>
      <c r="P651" s="56">
        <f>'QRA Models'!Q782</f>
        <v>0</v>
      </c>
      <c r="Q651" s="22" t="e">
        <f>IF(LEN(VLOOKUP(P651,A2:D500,4,FALSE))=0,,VLOOKUP(P651,A2:D500,4,FALSE))</f>
        <v>#N/A</v>
      </c>
      <c r="R651" s="56">
        <f>'Health metrics Models'!Q765</f>
        <v>0</v>
      </c>
      <c r="S651" s="22" t="e">
        <f>IF(LEN(VLOOKUP(R651,A2:D500,4,FALSE))=0,,VLOOKUP(R651,A2:D500,4,FALSE))</f>
        <v>#N/A</v>
      </c>
      <c r="T651" s="56">
        <f>'Process Model'!P763</f>
        <v>0</v>
      </c>
      <c r="U651" s="22" t="e">
        <f>IF(LEN(VLOOKUP(T651,A2:D500,4,FALSE))=0,,VLOOKUP(T651,A2:D500,4,FALSE))</f>
        <v>#N/A</v>
      </c>
      <c r="V651" s="56">
        <f>'Toxicological reference value M'!P765</f>
        <v>0</v>
      </c>
      <c r="W651" s="22" t="e">
        <f>IF(LEN(VLOOKUP(V651,A2:D500,4,FALSE))=0,,VLOOKUP(V651,A2:D500,4,FALSE))</f>
        <v>#N/A</v>
      </c>
      <c r="Y651" s="56">
        <f>'Other Empirical Model'!P776</f>
        <v>0</v>
      </c>
      <c r="Z651" s="22" t="e">
        <f>IF(LEN(VLOOKUP(Y651,A2:D500,4,FALSE))=0,,VLOOKUP(Y651,A2:D500,4,FALSE))</f>
        <v>#N/A</v>
      </c>
      <c r="AA651" s="56">
        <f>'Predictive Model'!P763</f>
        <v>0</v>
      </c>
      <c r="AB651" s="22" t="e">
        <f>IF(LEN(VLOOKUP(AA651,A2:D500,4,FALSE))=0,,VLOOKUP(AA651,A2:D500,4,FALSE))</f>
        <v>#N/A</v>
      </c>
      <c r="AC651" s="56">
        <f>'Consumption Model'!P768</f>
        <v>0</v>
      </c>
      <c r="AD651" s="22" t="e">
        <f>IF(LEN(VLOOKUP(AC651,A2:D500,4,FALSE))=0,,VLOOKUP(AC651,A2:D500,4,FALSE))</f>
        <v>#N/A</v>
      </c>
      <c r="AE651" s="22">
        <f>'(Data)'!Q764</f>
        <v>0</v>
      </c>
      <c r="AF651" s="22" t="e">
        <f>IF(LEN(VLOOKUP(AE650:AE651,A2:D500,4,FALSE))=0,,VLOOKUP(AE650:AE651,A2:D500,4,FALSE))</f>
        <v>#N/A</v>
      </c>
      <c r="AH651" s="45">
        <f>'Risk Charact Model'!P782</f>
        <v>0</v>
      </c>
      <c r="AI651" s="58" t="e">
        <f>IF(LEN(VLOOKUP(AH651,A2:D500,4,FALSE))=0,,VLOOKUP(AH651,A2:D500,4,FALSE))</f>
        <v>#N/A</v>
      </c>
    </row>
    <row r="652" spans="9:35" ht="14" x14ac:dyDescent="0.3">
      <c r="I652" s="60">
        <f>'Generic Metadata Schema'!P782</f>
        <v>0</v>
      </c>
      <c r="J652" s="22" t="e">
        <f>IF(LEN(VLOOKUP(I652,A2:D500,4,FALSE))=0,"",VLOOKUP(I652,A2:D500,4,FALSE))</f>
        <v>#N/A</v>
      </c>
      <c r="L652" s="56">
        <f>'Dose-response Model'!O766</f>
        <v>0</v>
      </c>
      <c r="M652" s="22" t="e">
        <f>IF(LEN(VLOOKUP(L652,A2:D500,4,FALSE))=0,,VLOOKUP(L652,A2:D500,4,FALSE))</f>
        <v>#N/A</v>
      </c>
      <c r="N652" s="22">
        <f>'Exposure Model'!O783</f>
        <v>0</v>
      </c>
      <c r="O652" s="22" t="e">
        <f>IF(LEN(VLOOKUP(N652,A2:D500,4,FALSE))=0,,VLOOKUP(N652,A2:D500,4,FALSE))</f>
        <v>#N/A</v>
      </c>
      <c r="P652" s="56">
        <f>'QRA Models'!Q783</f>
        <v>0</v>
      </c>
      <c r="Q652" s="22" t="e">
        <f>IF(LEN(VLOOKUP(P652,A2:D500,4,FALSE))=0,,VLOOKUP(P652,A2:D500,4,FALSE))</f>
        <v>#N/A</v>
      </c>
      <c r="R652" s="56">
        <f>'Health metrics Models'!Q766</f>
        <v>0</v>
      </c>
      <c r="S652" s="22" t="e">
        <f>IF(LEN(VLOOKUP(R652,A2:D500,4,FALSE))=0,,VLOOKUP(R652,A2:D500,4,FALSE))</f>
        <v>#N/A</v>
      </c>
      <c r="T652" s="56">
        <f>'Process Model'!P764</f>
        <v>0</v>
      </c>
      <c r="U652" s="22" t="e">
        <f>IF(LEN(VLOOKUP(T652,A2:D500,4,FALSE))=0,,VLOOKUP(T652,A2:D500,4,FALSE))</f>
        <v>#N/A</v>
      </c>
      <c r="V652" s="56">
        <f>'Toxicological reference value M'!P766</f>
        <v>0</v>
      </c>
      <c r="W652" s="22" t="e">
        <f>IF(LEN(VLOOKUP(V652,A2:D500,4,FALSE))=0,,VLOOKUP(V652,A2:D500,4,FALSE))</f>
        <v>#N/A</v>
      </c>
      <c r="Y652" s="56">
        <f>'Other Empirical Model'!P777</f>
        <v>0</v>
      </c>
      <c r="Z652" s="22" t="e">
        <f>IF(LEN(VLOOKUP(Y652,A2:D500,4,FALSE))=0,,VLOOKUP(Y652,A2:D500,4,FALSE))</f>
        <v>#N/A</v>
      </c>
      <c r="AA652" s="56">
        <f>'Predictive Model'!P764</f>
        <v>0</v>
      </c>
      <c r="AB652" s="22" t="e">
        <f>IF(LEN(VLOOKUP(AA652,A2:D500,4,FALSE))=0,,VLOOKUP(AA652,A2:D500,4,FALSE))</f>
        <v>#N/A</v>
      </c>
      <c r="AC652" s="56">
        <f>'Consumption Model'!P769</f>
        <v>0</v>
      </c>
      <c r="AD652" s="22" t="e">
        <f>IF(LEN(VLOOKUP(AC652,A2:D500,4,FALSE))=0,,VLOOKUP(AC652,A2:D500,4,FALSE))</f>
        <v>#N/A</v>
      </c>
      <c r="AE652" s="22">
        <f>'(Data)'!Q765</f>
        <v>0</v>
      </c>
      <c r="AF652" s="22" t="e">
        <f>IF(LEN(VLOOKUP(AE651:AE652,A2:D500,4,FALSE))=0,,VLOOKUP(AE651:AE652,A2:D500,4,FALSE))</f>
        <v>#N/A</v>
      </c>
      <c r="AH652" s="45">
        <f>'Risk Charact Model'!P783</f>
        <v>0</v>
      </c>
      <c r="AI652" s="58" t="e">
        <f>IF(LEN(VLOOKUP(AH652,A2:D500,4,FALSE))=0,,VLOOKUP(AH652,A2:D500,4,FALSE))</f>
        <v>#N/A</v>
      </c>
    </row>
    <row r="653" spans="9:35" ht="14" x14ac:dyDescent="0.3">
      <c r="I653" s="60">
        <f>'Generic Metadata Schema'!P783</f>
        <v>0</v>
      </c>
      <c r="J653" s="22" t="e">
        <f>IF(LEN(VLOOKUP(I653,A2:D500,4,FALSE))=0,"",VLOOKUP(I653,A2:D500,4,FALSE))</f>
        <v>#N/A</v>
      </c>
      <c r="L653" s="56">
        <f>'Dose-response Model'!O767</f>
        <v>0</v>
      </c>
      <c r="M653" s="22" t="e">
        <f>IF(LEN(VLOOKUP(L653,A2:D500,4,FALSE))=0,,VLOOKUP(L653,A2:D500,4,FALSE))</f>
        <v>#N/A</v>
      </c>
      <c r="N653" s="22">
        <f>'Exposure Model'!O784</f>
        <v>0</v>
      </c>
      <c r="O653" s="22" t="e">
        <f>IF(LEN(VLOOKUP(N653,A2:D500,4,FALSE))=0,,VLOOKUP(N653,A2:D500,4,FALSE))</f>
        <v>#N/A</v>
      </c>
      <c r="P653" s="56">
        <f>'QRA Models'!Q784</f>
        <v>0</v>
      </c>
      <c r="Q653" s="22" t="e">
        <f>IF(LEN(VLOOKUP(P653,A2:D500,4,FALSE))=0,,VLOOKUP(P653,A2:D500,4,FALSE))</f>
        <v>#N/A</v>
      </c>
      <c r="R653" s="56">
        <f>'Health metrics Models'!Q767</f>
        <v>0</v>
      </c>
      <c r="S653" s="22" t="e">
        <f>IF(LEN(VLOOKUP(R653,A2:D500,4,FALSE))=0,,VLOOKUP(R653,A2:D500,4,FALSE))</f>
        <v>#N/A</v>
      </c>
      <c r="T653" s="56">
        <f>'Process Model'!P765</f>
        <v>0</v>
      </c>
      <c r="U653" s="22" t="e">
        <f>IF(LEN(VLOOKUP(T653,A2:D500,4,FALSE))=0,,VLOOKUP(T653,A2:D500,4,FALSE))</f>
        <v>#N/A</v>
      </c>
      <c r="V653" s="56">
        <f>'Toxicological reference value M'!P767</f>
        <v>0</v>
      </c>
      <c r="W653" s="22" t="e">
        <f>IF(LEN(VLOOKUP(V653,A2:D500,4,FALSE))=0,,VLOOKUP(V653,A2:D500,4,FALSE))</f>
        <v>#N/A</v>
      </c>
      <c r="Y653" s="56">
        <f>'Other Empirical Model'!P778</f>
        <v>0</v>
      </c>
      <c r="Z653" s="22" t="e">
        <f>IF(LEN(VLOOKUP(Y653,A2:D500,4,FALSE))=0,,VLOOKUP(Y653,A2:D500,4,FALSE))</f>
        <v>#N/A</v>
      </c>
      <c r="AA653" s="56">
        <f>'Predictive Model'!P765</f>
        <v>0</v>
      </c>
      <c r="AB653" s="22" t="e">
        <f>IF(LEN(VLOOKUP(AA653,A2:D500,4,FALSE))=0,,VLOOKUP(AA653,A2:D500,4,FALSE))</f>
        <v>#N/A</v>
      </c>
      <c r="AC653" s="56">
        <f>'Consumption Model'!P770</f>
        <v>0</v>
      </c>
      <c r="AD653" s="22" t="e">
        <f>IF(LEN(VLOOKUP(AC653,A2:D500,4,FALSE))=0,,VLOOKUP(AC653,A2:D500,4,FALSE))</f>
        <v>#N/A</v>
      </c>
      <c r="AE653" s="22">
        <f>'(Data)'!Q766</f>
        <v>0</v>
      </c>
      <c r="AF653" s="22" t="e">
        <f>IF(LEN(VLOOKUP(AE652:AE653,A2:D500,4,FALSE))=0,,VLOOKUP(AE652:AE653,A2:D500,4,FALSE))</f>
        <v>#N/A</v>
      </c>
      <c r="AH653" s="45">
        <f>'Risk Charact Model'!P784</f>
        <v>0</v>
      </c>
      <c r="AI653" s="58" t="e">
        <f>IF(LEN(VLOOKUP(AH653,A2:D500,4,FALSE))=0,,VLOOKUP(AH653,A2:D500,4,FALSE))</f>
        <v>#N/A</v>
      </c>
    </row>
    <row r="654" spans="9:35" ht="14" x14ac:dyDescent="0.3">
      <c r="I654" s="60">
        <f>'Generic Metadata Schema'!P784</f>
        <v>0</v>
      </c>
      <c r="J654" s="22" t="e">
        <f>IF(LEN(VLOOKUP(I654,A2:D500,4,FALSE))=0,"",VLOOKUP(I654,A2:D500,4,FALSE))</f>
        <v>#N/A</v>
      </c>
      <c r="L654" s="56">
        <f>'Dose-response Model'!O768</f>
        <v>0</v>
      </c>
      <c r="M654" s="22" t="e">
        <f>IF(LEN(VLOOKUP(L654,A2:D500,4,FALSE))=0,,VLOOKUP(L654,A2:D500,4,FALSE))</f>
        <v>#N/A</v>
      </c>
      <c r="N654" s="22">
        <f>'Exposure Model'!O785</f>
        <v>0</v>
      </c>
      <c r="O654" s="22" t="e">
        <f>IF(LEN(VLOOKUP(N654,A2:D500,4,FALSE))=0,,VLOOKUP(N654,A2:D500,4,FALSE))</f>
        <v>#N/A</v>
      </c>
      <c r="P654" s="56">
        <f>'QRA Models'!Q785</f>
        <v>0</v>
      </c>
      <c r="Q654" s="22" t="e">
        <f>IF(LEN(VLOOKUP(P654,A2:D500,4,FALSE))=0,,VLOOKUP(P654,A2:D500,4,FALSE))</f>
        <v>#N/A</v>
      </c>
      <c r="R654" s="56">
        <f>'Health metrics Models'!Q768</f>
        <v>0</v>
      </c>
      <c r="S654" s="22" t="e">
        <f>IF(LEN(VLOOKUP(R654,A2:D500,4,FALSE))=0,,VLOOKUP(R654,A2:D500,4,FALSE))</f>
        <v>#N/A</v>
      </c>
      <c r="T654" s="56">
        <f>'Process Model'!P766</f>
        <v>0</v>
      </c>
      <c r="U654" s="22" t="e">
        <f>IF(LEN(VLOOKUP(T654,A2:D500,4,FALSE))=0,,VLOOKUP(T654,A2:D500,4,FALSE))</f>
        <v>#N/A</v>
      </c>
      <c r="V654" s="56">
        <f>'Toxicological reference value M'!P768</f>
        <v>0</v>
      </c>
      <c r="W654" s="22" t="e">
        <f>IF(LEN(VLOOKUP(V654,A2:D500,4,FALSE))=0,,VLOOKUP(V654,A2:D500,4,FALSE))</f>
        <v>#N/A</v>
      </c>
      <c r="Y654" s="56">
        <f>'Other Empirical Model'!P779</f>
        <v>0</v>
      </c>
      <c r="Z654" s="22" t="e">
        <f>IF(LEN(VLOOKUP(Y654,A2:D500,4,FALSE))=0,,VLOOKUP(Y654,A2:D500,4,FALSE))</f>
        <v>#N/A</v>
      </c>
      <c r="AA654" s="56">
        <f>'Predictive Model'!P766</f>
        <v>0</v>
      </c>
      <c r="AB654" s="22" t="e">
        <f>IF(LEN(VLOOKUP(AA654,A2:D500,4,FALSE))=0,,VLOOKUP(AA654,A2:D500,4,FALSE))</f>
        <v>#N/A</v>
      </c>
      <c r="AC654" s="56">
        <f>'Consumption Model'!P771</f>
        <v>0</v>
      </c>
      <c r="AD654" s="22" t="e">
        <f>IF(LEN(VLOOKUP(AC654,A2:D500,4,FALSE))=0,,VLOOKUP(AC654,A2:D500,4,FALSE))</f>
        <v>#N/A</v>
      </c>
      <c r="AE654" s="22">
        <f>'(Data)'!Q767</f>
        <v>0</v>
      </c>
      <c r="AF654" s="22" t="e">
        <f>IF(LEN(VLOOKUP(AE653:AE654,A2:D500,4,FALSE))=0,,VLOOKUP(AE653:AE654,A2:D500,4,FALSE))</f>
        <v>#N/A</v>
      </c>
      <c r="AH654" s="45">
        <f>'Risk Charact Model'!P785</f>
        <v>0</v>
      </c>
      <c r="AI654" s="58" t="e">
        <f>IF(LEN(VLOOKUP(AH654,A2:D500,4,FALSE))=0,,VLOOKUP(AH654,A2:D500,4,FALSE))</f>
        <v>#N/A</v>
      </c>
    </row>
    <row r="655" spans="9:35" ht="14" x14ac:dyDescent="0.3">
      <c r="I655" s="60">
        <f>'Generic Metadata Schema'!P785</f>
        <v>0</v>
      </c>
      <c r="J655" s="22" t="e">
        <f>IF(LEN(VLOOKUP(I655,A2:D500,4,FALSE))=0,"",VLOOKUP(I655,A2:D500,4,FALSE))</f>
        <v>#N/A</v>
      </c>
      <c r="L655" s="56">
        <f>'Dose-response Model'!O769</f>
        <v>0</v>
      </c>
      <c r="M655" s="22" t="e">
        <f>IF(LEN(VLOOKUP(L655,A2:D500,4,FALSE))=0,,VLOOKUP(L655,A2:D500,4,FALSE))</f>
        <v>#N/A</v>
      </c>
      <c r="N655" s="22">
        <f>'Exposure Model'!O786</f>
        <v>0</v>
      </c>
      <c r="O655" s="22" t="e">
        <f>IF(LEN(VLOOKUP(N655,A2:D500,4,FALSE))=0,,VLOOKUP(N655,A2:D500,4,FALSE))</f>
        <v>#N/A</v>
      </c>
      <c r="P655" s="56">
        <f>'QRA Models'!Q786</f>
        <v>0</v>
      </c>
      <c r="Q655" s="22" t="e">
        <f>IF(LEN(VLOOKUP(P655,A2:D500,4,FALSE))=0,,VLOOKUP(P655,A2:D500,4,FALSE))</f>
        <v>#N/A</v>
      </c>
      <c r="R655" s="56">
        <f>'Health metrics Models'!Q769</f>
        <v>0</v>
      </c>
      <c r="S655" s="22" t="e">
        <f>IF(LEN(VLOOKUP(R655,A2:D500,4,FALSE))=0,,VLOOKUP(R655,A2:D500,4,FALSE))</f>
        <v>#N/A</v>
      </c>
      <c r="T655" s="56">
        <f>'Process Model'!P767</f>
        <v>0</v>
      </c>
      <c r="U655" s="22" t="e">
        <f>IF(LEN(VLOOKUP(T655,A2:D500,4,FALSE))=0,,VLOOKUP(T655,A2:D500,4,FALSE))</f>
        <v>#N/A</v>
      </c>
      <c r="V655" s="56">
        <f>'Toxicological reference value M'!P769</f>
        <v>0</v>
      </c>
      <c r="W655" s="22" t="e">
        <f>IF(LEN(VLOOKUP(V655,A2:D500,4,FALSE))=0,,VLOOKUP(V655,A2:D500,4,FALSE))</f>
        <v>#N/A</v>
      </c>
      <c r="Y655" s="56">
        <f>'Other Empirical Model'!P780</f>
        <v>0</v>
      </c>
      <c r="Z655" s="22" t="e">
        <f>IF(LEN(VLOOKUP(Y655,A2:D500,4,FALSE))=0,,VLOOKUP(Y655,A2:D500,4,FALSE))</f>
        <v>#N/A</v>
      </c>
      <c r="AA655" s="56">
        <f>'Predictive Model'!P767</f>
        <v>0</v>
      </c>
      <c r="AB655" s="22" t="e">
        <f>IF(LEN(VLOOKUP(AA655,A2:D500,4,FALSE))=0,,VLOOKUP(AA655,A2:D500,4,FALSE))</f>
        <v>#N/A</v>
      </c>
      <c r="AC655" s="56">
        <f>'Consumption Model'!P772</f>
        <v>0</v>
      </c>
      <c r="AD655" s="22" t="e">
        <f>IF(LEN(VLOOKUP(AC655,A2:D500,4,FALSE))=0,,VLOOKUP(AC655,A2:D500,4,FALSE))</f>
        <v>#N/A</v>
      </c>
      <c r="AE655" s="22">
        <f>'(Data)'!Q768</f>
        <v>0</v>
      </c>
      <c r="AF655" s="22" t="e">
        <f>IF(LEN(VLOOKUP(AE654:AE655,A2:D500,4,FALSE))=0,,VLOOKUP(AE654:AE655,A2:D500,4,FALSE))</f>
        <v>#N/A</v>
      </c>
      <c r="AH655" s="45">
        <f>'Risk Charact Model'!P786</f>
        <v>0</v>
      </c>
      <c r="AI655" s="58" t="e">
        <f>IF(LEN(VLOOKUP(AH655,A2:D500,4,FALSE))=0,,VLOOKUP(AH655,A2:D500,4,FALSE))</f>
        <v>#N/A</v>
      </c>
    </row>
    <row r="656" spans="9:35" ht="14" x14ac:dyDescent="0.3">
      <c r="I656" s="60">
        <f>'Generic Metadata Schema'!P786</f>
        <v>0</v>
      </c>
      <c r="J656" s="22" t="e">
        <f>IF(LEN(VLOOKUP(I656,A2:D500,4,FALSE))=0,"",VLOOKUP(I656,A2:D500,4,FALSE))</f>
        <v>#N/A</v>
      </c>
      <c r="L656" s="56">
        <f>'Dose-response Model'!O770</f>
        <v>0</v>
      </c>
      <c r="M656" s="22" t="e">
        <f>IF(LEN(VLOOKUP(L656,A2:D500,4,FALSE))=0,,VLOOKUP(L656,A2:D500,4,FALSE))</f>
        <v>#N/A</v>
      </c>
      <c r="N656" s="22">
        <f>'Exposure Model'!O787</f>
        <v>0</v>
      </c>
      <c r="O656" s="22" t="e">
        <f>IF(LEN(VLOOKUP(N656,A2:D500,4,FALSE))=0,,VLOOKUP(N656,A2:D500,4,FALSE))</f>
        <v>#N/A</v>
      </c>
      <c r="P656" s="56">
        <f>'QRA Models'!Q787</f>
        <v>0</v>
      </c>
      <c r="Q656" s="22" t="e">
        <f>IF(LEN(VLOOKUP(P656,A2:D500,4,FALSE))=0,,VLOOKUP(P656,A2:D500,4,FALSE))</f>
        <v>#N/A</v>
      </c>
      <c r="R656" s="56">
        <f>'Health metrics Models'!Q770</f>
        <v>0</v>
      </c>
      <c r="S656" s="22" t="e">
        <f>IF(LEN(VLOOKUP(R656,A2:D500,4,FALSE))=0,,VLOOKUP(R656,A2:D500,4,FALSE))</f>
        <v>#N/A</v>
      </c>
      <c r="T656" s="56">
        <f>'Process Model'!P768</f>
        <v>0</v>
      </c>
      <c r="U656" s="22" t="e">
        <f>IF(LEN(VLOOKUP(T656,A2:D500,4,FALSE))=0,,VLOOKUP(T656,A2:D500,4,FALSE))</f>
        <v>#N/A</v>
      </c>
      <c r="V656" s="56">
        <f>'Toxicological reference value M'!P770</f>
        <v>0</v>
      </c>
      <c r="W656" s="22" t="e">
        <f>IF(LEN(VLOOKUP(V656,A2:D500,4,FALSE))=0,,VLOOKUP(V656,A2:D500,4,FALSE))</f>
        <v>#N/A</v>
      </c>
      <c r="Y656" s="56">
        <f>'Other Empirical Model'!P781</f>
        <v>0</v>
      </c>
      <c r="Z656" s="22" t="e">
        <f>IF(LEN(VLOOKUP(Y656,A2:D500,4,FALSE))=0,,VLOOKUP(Y656,A2:D500,4,FALSE))</f>
        <v>#N/A</v>
      </c>
      <c r="AA656" s="56">
        <f>'Predictive Model'!P768</f>
        <v>0</v>
      </c>
      <c r="AB656" s="22" t="e">
        <f>IF(LEN(VLOOKUP(AA656,A2:D500,4,FALSE))=0,,VLOOKUP(AA656,A2:D500,4,FALSE))</f>
        <v>#N/A</v>
      </c>
      <c r="AC656" s="56">
        <f>'Consumption Model'!P773</f>
        <v>0</v>
      </c>
      <c r="AD656" s="22" t="e">
        <f>IF(LEN(VLOOKUP(AC656,A2:D500,4,FALSE))=0,,VLOOKUP(AC656,A2:D500,4,FALSE))</f>
        <v>#N/A</v>
      </c>
      <c r="AE656" s="22">
        <f>'(Data)'!Q769</f>
        <v>0</v>
      </c>
      <c r="AF656" s="22" t="e">
        <f>IF(LEN(VLOOKUP(AE655:AE656,A2:D500,4,FALSE))=0,,VLOOKUP(AE655:AE656,A2:D500,4,FALSE))</f>
        <v>#N/A</v>
      </c>
      <c r="AH656" s="45">
        <f>'Risk Charact Model'!P787</f>
        <v>0</v>
      </c>
      <c r="AI656" s="58" t="e">
        <f>IF(LEN(VLOOKUP(AH656,A2:D500,4,FALSE))=0,,VLOOKUP(AH656,A2:D500,4,FALSE))</f>
        <v>#N/A</v>
      </c>
    </row>
    <row r="657" spans="9:35" ht="14" x14ac:dyDescent="0.3">
      <c r="I657" s="60">
        <f>'Generic Metadata Schema'!P787</f>
        <v>0</v>
      </c>
      <c r="J657" s="22" t="e">
        <f>IF(LEN(VLOOKUP(I657,A2:D500,4,FALSE))=0,"",VLOOKUP(I657,A2:D500,4,FALSE))</f>
        <v>#N/A</v>
      </c>
      <c r="L657" s="56">
        <f>'Dose-response Model'!O771</f>
        <v>0</v>
      </c>
      <c r="M657" s="22" t="e">
        <f>IF(LEN(VLOOKUP(L657,A2:D500,4,FALSE))=0,,VLOOKUP(L657,A2:D500,4,FALSE))</f>
        <v>#N/A</v>
      </c>
      <c r="N657" s="22">
        <f>'Exposure Model'!O788</f>
        <v>0</v>
      </c>
      <c r="O657" s="22" t="e">
        <f>IF(LEN(VLOOKUP(N657,A2:D500,4,FALSE))=0,,VLOOKUP(N657,A2:D500,4,FALSE))</f>
        <v>#N/A</v>
      </c>
      <c r="P657" s="56">
        <f>'QRA Models'!Q788</f>
        <v>0</v>
      </c>
      <c r="Q657" s="22" t="e">
        <f>IF(LEN(VLOOKUP(P657,A2:D500,4,FALSE))=0,,VLOOKUP(P657,A2:D500,4,FALSE))</f>
        <v>#N/A</v>
      </c>
      <c r="R657" s="56">
        <f>'Health metrics Models'!Q771</f>
        <v>0</v>
      </c>
      <c r="S657" s="22" t="e">
        <f>IF(LEN(VLOOKUP(R657,A2:D500,4,FALSE))=0,,VLOOKUP(R657,A2:D500,4,FALSE))</f>
        <v>#N/A</v>
      </c>
      <c r="T657" s="56">
        <f>'Process Model'!P769</f>
        <v>0</v>
      </c>
      <c r="U657" s="22" t="e">
        <f>IF(LEN(VLOOKUP(T657,A2:D500,4,FALSE))=0,,VLOOKUP(T657,A2:D500,4,FALSE))</f>
        <v>#N/A</v>
      </c>
      <c r="V657" s="56">
        <f>'Toxicological reference value M'!P771</f>
        <v>0</v>
      </c>
      <c r="W657" s="22" t="e">
        <f>IF(LEN(VLOOKUP(V657,A2:D500,4,FALSE))=0,,VLOOKUP(V657,A2:D500,4,FALSE))</f>
        <v>#N/A</v>
      </c>
      <c r="Y657" s="56">
        <f>'Other Empirical Model'!P782</f>
        <v>0</v>
      </c>
      <c r="Z657" s="22" t="e">
        <f>IF(LEN(VLOOKUP(Y657,A2:D500,4,FALSE))=0,,VLOOKUP(Y657,A2:D500,4,FALSE))</f>
        <v>#N/A</v>
      </c>
      <c r="AA657" s="56">
        <f>'Predictive Model'!P769</f>
        <v>0</v>
      </c>
      <c r="AB657" s="22" t="e">
        <f>IF(LEN(VLOOKUP(AA657,A2:D500,4,FALSE))=0,,VLOOKUP(AA657,A2:D500,4,FALSE))</f>
        <v>#N/A</v>
      </c>
      <c r="AC657" s="56">
        <f>'Consumption Model'!P774</f>
        <v>0</v>
      </c>
      <c r="AD657" s="22" t="e">
        <f>IF(LEN(VLOOKUP(AC657,A2:D500,4,FALSE))=0,,VLOOKUP(AC657,A2:D500,4,FALSE))</f>
        <v>#N/A</v>
      </c>
      <c r="AE657" s="22">
        <f>'(Data)'!Q770</f>
        <v>0</v>
      </c>
      <c r="AF657" s="22" t="e">
        <f>IF(LEN(VLOOKUP(AE656:AE657,A2:D500,4,FALSE))=0,,VLOOKUP(AE656:AE657,A2:D500,4,FALSE))</f>
        <v>#N/A</v>
      </c>
      <c r="AH657" s="45">
        <f>'Risk Charact Model'!P788</f>
        <v>0</v>
      </c>
      <c r="AI657" s="58" t="e">
        <f>IF(LEN(VLOOKUP(AH657,A2:D500,4,FALSE))=0,,VLOOKUP(AH657,A2:D500,4,FALSE))</f>
        <v>#N/A</v>
      </c>
    </row>
    <row r="658" spans="9:35" ht="14" x14ac:dyDescent="0.3">
      <c r="I658" s="60">
        <f>'Generic Metadata Schema'!P788</f>
        <v>0</v>
      </c>
      <c r="J658" s="22" t="e">
        <f>IF(LEN(VLOOKUP(I658,A2:D500,4,FALSE))=0,"",VLOOKUP(I658,A2:D500,4,FALSE))</f>
        <v>#N/A</v>
      </c>
      <c r="L658" s="56">
        <f>'Dose-response Model'!O772</f>
        <v>0</v>
      </c>
      <c r="M658" s="22" t="e">
        <f>IF(LEN(VLOOKUP(L658,A2:D500,4,FALSE))=0,,VLOOKUP(L658,A2:D500,4,FALSE))</f>
        <v>#N/A</v>
      </c>
      <c r="N658" s="22">
        <f>'Exposure Model'!O789</f>
        <v>0</v>
      </c>
      <c r="O658" s="22" t="e">
        <f>IF(LEN(VLOOKUP(N658,A2:D500,4,FALSE))=0,,VLOOKUP(N658,A2:D500,4,FALSE))</f>
        <v>#N/A</v>
      </c>
      <c r="P658" s="56">
        <f>'QRA Models'!Q789</f>
        <v>0</v>
      </c>
      <c r="Q658" s="22" t="e">
        <f>IF(LEN(VLOOKUP(P658,A2:D500,4,FALSE))=0,,VLOOKUP(P658,A2:D500,4,FALSE))</f>
        <v>#N/A</v>
      </c>
      <c r="R658" s="56">
        <f>'Health metrics Models'!Q772</f>
        <v>0</v>
      </c>
      <c r="S658" s="22" t="e">
        <f>IF(LEN(VLOOKUP(R658,A2:D500,4,FALSE))=0,,VLOOKUP(R658,A2:D500,4,FALSE))</f>
        <v>#N/A</v>
      </c>
      <c r="T658" s="56">
        <f>'Process Model'!P770</f>
        <v>0</v>
      </c>
      <c r="U658" s="22" t="e">
        <f>IF(LEN(VLOOKUP(T658,A2:D500,4,FALSE))=0,,VLOOKUP(T658,A2:D500,4,FALSE))</f>
        <v>#N/A</v>
      </c>
      <c r="V658" s="56">
        <f>'Toxicological reference value M'!P772</f>
        <v>0</v>
      </c>
      <c r="W658" s="22" t="e">
        <f>IF(LEN(VLOOKUP(V658,A2:D500,4,FALSE))=0,,VLOOKUP(V658,A2:D500,4,FALSE))</f>
        <v>#N/A</v>
      </c>
      <c r="Y658" s="56">
        <f>'Other Empirical Model'!P783</f>
        <v>0</v>
      </c>
      <c r="Z658" s="22" t="e">
        <f>IF(LEN(VLOOKUP(Y658,A2:D500,4,FALSE))=0,,VLOOKUP(Y658,A2:D500,4,FALSE))</f>
        <v>#N/A</v>
      </c>
      <c r="AA658" s="56">
        <f>'Predictive Model'!P770</f>
        <v>0</v>
      </c>
      <c r="AB658" s="22" t="e">
        <f>IF(LEN(VLOOKUP(AA658,A2:D500,4,FALSE))=0,,VLOOKUP(AA658,A2:D500,4,FALSE))</f>
        <v>#N/A</v>
      </c>
      <c r="AC658" s="56">
        <f>'Consumption Model'!P775</f>
        <v>0</v>
      </c>
      <c r="AD658" s="22" t="e">
        <f>IF(LEN(VLOOKUP(AC658,A2:D500,4,FALSE))=0,,VLOOKUP(AC658,A2:D500,4,FALSE))</f>
        <v>#N/A</v>
      </c>
      <c r="AE658" s="22">
        <f>'(Data)'!Q771</f>
        <v>0</v>
      </c>
      <c r="AF658" s="22" t="e">
        <f>IF(LEN(VLOOKUP(AE657:AE658,A2:D500,4,FALSE))=0,,VLOOKUP(AE657:AE658,A2:D500,4,FALSE))</f>
        <v>#N/A</v>
      </c>
      <c r="AH658" s="45">
        <f>'Risk Charact Model'!P789</f>
        <v>0</v>
      </c>
      <c r="AI658" s="58" t="e">
        <f>IF(LEN(VLOOKUP(AH658,A2:D500,4,FALSE))=0,,VLOOKUP(AH658,A2:D500,4,FALSE))</f>
        <v>#N/A</v>
      </c>
    </row>
    <row r="659" spans="9:35" ht="14" x14ac:dyDescent="0.3">
      <c r="I659" s="60">
        <f>'Generic Metadata Schema'!P789</f>
        <v>0</v>
      </c>
      <c r="J659" s="22" t="e">
        <f>IF(LEN(VLOOKUP(I659,A2:D500,4,FALSE))=0,"",VLOOKUP(I659,A2:D500,4,FALSE))</f>
        <v>#N/A</v>
      </c>
      <c r="L659" s="56">
        <f>'Dose-response Model'!O773</f>
        <v>0</v>
      </c>
      <c r="M659" s="22" t="e">
        <f>IF(LEN(VLOOKUP(L659,A2:D500,4,FALSE))=0,,VLOOKUP(L659,A2:D500,4,FALSE))</f>
        <v>#N/A</v>
      </c>
      <c r="N659" s="22">
        <f>'Exposure Model'!O790</f>
        <v>0</v>
      </c>
      <c r="O659" s="22" t="e">
        <f>IF(LEN(VLOOKUP(N659,A2:D500,4,FALSE))=0,,VLOOKUP(N659,A2:D500,4,FALSE))</f>
        <v>#N/A</v>
      </c>
      <c r="P659" s="56">
        <f>'QRA Models'!Q790</f>
        <v>0</v>
      </c>
      <c r="Q659" s="22" t="e">
        <f>IF(LEN(VLOOKUP(P659,A2:D500,4,FALSE))=0,,VLOOKUP(P659,A2:D500,4,FALSE))</f>
        <v>#N/A</v>
      </c>
      <c r="R659" s="56">
        <f>'Health metrics Models'!Q773</f>
        <v>0</v>
      </c>
      <c r="S659" s="22" t="e">
        <f>IF(LEN(VLOOKUP(R659,A2:D500,4,FALSE))=0,,VLOOKUP(R659,A2:D500,4,FALSE))</f>
        <v>#N/A</v>
      </c>
      <c r="T659" s="56">
        <f>'Process Model'!P771</f>
        <v>0</v>
      </c>
      <c r="U659" s="22" t="e">
        <f>IF(LEN(VLOOKUP(T659,A2:D500,4,FALSE))=0,,VLOOKUP(T659,A2:D500,4,FALSE))</f>
        <v>#N/A</v>
      </c>
      <c r="V659" s="56">
        <f>'Toxicological reference value M'!P773</f>
        <v>0</v>
      </c>
      <c r="W659" s="22" t="e">
        <f>IF(LEN(VLOOKUP(V659,A2:D500,4,FALSE))=0,,VLOOKUP(V659,A2:D500,4,FALSE))</f>
        <v>#N/A</v>
      </c>
      <c r="Y659" s="56">
        <f>'Other Empirical Model'!P784</f>
        <v>0</v>
      </c>
      <c r="Z659" s="22" t="e">
        <f>IF(LEN(VLOOKUP(Y659,A2:D500,4,FALSE))=0,,VLOOKUP(Y659,A2:D500,4,FALSE))</f>
        <v>#N/A</v>
      </c>
      <c r="AA659" s="56">
        <f>'Predictive Model'!P771</f>
        <v>0</v>
      </c>
      <c r="AB659" s="22" t="e">
        <f>IF(LEN(VLOOKUP(AA659,A2:D500,4,FALSE))=0,,VLOOKUP(AA659,A2:D500,4,FALSE))</f>
        <v>#N/A</v>
      </c>
      <c r="AC659" s="56">
        <f>'Consumption Model'!P776</f>
        <v>0</v>
      </c>
      <c r="AD659" s="22" t="e">
        <f>IF(LEN(VLOOKUP(AC659,A2:D500,4,FALSE))=0,,VLOOKUP(AC659,A2:D500,4,FALSE))</f>
        <v>#N/A</v>
      </c>
      <c r="AE659" s="22">
        <f>'(Data)'!Q772</f>
        <v>0</v>
      </c>
      <c r="AF659" s="22" t="e">
        <f>IF(LEN(VLOOKUP(AE658:AE659,A2:D500,4,FALSE))=0,,VLOOKUP(AE658:AE659,A2:D500,4,FALSE))</f>
        <v>#N/A</v>
      </c>
      <c r="AH659" s="45">
        <f>'Risk Charact Model'!P790</f>
        <v>0</v>
      </c>
      <c r="AI659" s="58" t="e">
        <f>IF(LEN(VLOOKUP(AH659,A2:D500,4,FALSE))=0,,VLOOKUP(AH659,A2:D500,4,FALSE))</f>
        <v>#N/A</v>
      </c>
    </row>
    <row r="660" spans="9:35" ht="14" x14ac:dyDescent="0.3">
      <c r="I660" s="60">
        <f>'Generic Metadata Schema'!P790</f>
        <v>0</v>
      </c>
      <c r="J660" s="22" t="e">
        <f>IF(LEN(VLOOKUP(I660,A2:D500,4,FALSE))=0,"",VLOOKUP(I660,A2:D500,4,FALSE))</f>
        <v>#N/A</v>
      </c>
      <c r="L660" s="56">
        <f>'Dose-response Model'!O774</f>
        <v>0</v>
      </c>
      <c r="M660" s="22" t="e">
        <f>IF(LEN(VLOOKUP(L660,A2:D500,4,FALSE))=0,,VLOOKUP(L660,A2:D500,4,FALSE))</f>
        <v>#N/A</v>
      </c>
      <c r="N660" s="22">
        <f>'Exposure Model'!O791</f>
        <v>0</v>
      </c>
      <c r="O660" s="22" t="e">
        <f>IF(LEN(VLOOKUP(N660,A2:D500,4,FALSE))=0,,VLOOKUP(N660,A2:D500,4,FALSE))</f>
        <v>#N/A</v>
      </c>
      <c r="P660" s="56">
        <f>'QRA Models'!Q791</f>
        <v>0</v>
      </c>
      <c r="Q660" s="22" t="e">
        <f>IF(LEN(VLOOKUP(P660,A2:D500,4,FALSE))=0,,VLOOKUP(P660,A2:D500,4,FALSE))</f>
        <v>#N/A</v>
      </c>
      <c r="R660" s="56">
        <f>'Health metrics Models'!Q774</f>
        <v>0</v>
      </c>
      <c r="S660" s="22" t="e">
        <f>IF(LEN(VLOOKUP(R660,A2:D500,4,FALSE))=0,,VLOOKUP(R660,A2:D500,4,FALSE))</f>
        <v>#N/A</v>
      </c>
      <c r="T660" s="56">
        <f>'Process Model'!P772</f>
        <v>0</v>
      </c>
      <c r="U660" s="22" t="e">
        <f>IF(LEN(VLOOKUP(T660,A2:D500,4,FALSE))=0,,VLOOKUP(T660,A2:D500,4,FALSE))</f>
        <v>#N/A</v>
      </c>
      <c r="V660" s="56">
        <f>'Toxicological reference value M'!P774</f>
        <v>0</v>
      </c>
      <c r="W660" s="22" t="e">
        <f>IF(LEN(VLOOKUP(V660,A2:D500,4,FALSE))=0,,VLOOKUP(V660,A2:D500,4,FALSE))</f>
        <v>#N/A</v>
      </c>
      <c r="Y660" s="56">
        <f>'Other Empirical Model'!P785</f>
        <v>0</v>
      </c>
      <c r="Z660" s="22" t="e">
        <f>IF(LEN(VLOOKUP(Y660,A2:D500,4,FALSE))=0,,VLOOKUP(Y660,A2:D500,4,FALSE))</f>
        <v>#N/A</v>
      </c>
      <c r="AA660" s="56">
        <f>'Predictive Model'!P772</f>
        <v>0</v>
      </c>
      <c r="AB660" s="22" t="e">
        <f>IF(LEN(VLOOKUP(AA660,A2:D500,4,FALSE))=0,,VLOOKUP(AA660,A2:D500,4,FALSE))</f>
        <v>#N/A</v>
      </c>
      <c r="AC660" s="56">
        <f>'Consumption Model'!P777</f>
        <v>0</v>
      </c>
      <c r="AD660" s="22" t="e">
        <f>IF(LEN(VLOOKUP(AC660,A2:D500,4,FALSE))=0,,VLOOKUP(AC660,A2:D500,4,FALSE))</f>
        <v>#N/A</v>
      </c>
      <c r="AE660" s="22">
        <f>'(Data)'!Q773</f>
        <v>0</v>
      </c>
      <c r="AF660" s="22" t="e">
        <f>IF(LEN(VLOOKUP(AE659:AE660,A2:D500,4,FALSE))=0,,VLOOKUP(AE659:AE660,A2:D500,4,FALSE))</f>
        <v>#N/A</v>
      </c>
      <c r="AH660" s="45">
        <f>'Risk Charact Model'!P791</f>
        <v>0</v>
      </c>
      <c r="AI660" s="58" t="e">
        <f>IF(LEN(VLOOKUP(AH660,A2:D500,4,FALSE))=0,,VLOOKUP(AH660,A2:D500,4,FALSE))</f>
        <v>#N/A</v>
      </c>
    </row>
    <row r="661" spans="9:35" ht="14" x14ac:dyDescent="0.3">
      <c r="I661" s="60">
        <f>'Generic Metadata Schema'!P791</f>
        <v>0</v>
      </c>
      <c r="J661" s="22" t="e">
        <f>IF(LEN(VLOOKUP(I661,A2:D500,4,FALSE))=0,"",VLOOKUP(I661,A2:D500,4,FALSE))</f>
        <v>#N/A</v>
      </c>
      <c r="L661" s="56">
        <f>'Dose-response Model'!O775</f>
        <v>0</v>
      </c>
      <c r="M661" s="22" t="e">
        <f>IF(LEN(VLOOKUP(L661,A2:D500,4,FALSE))=0,,VLOOKUP(L661,A2:D500,4,FALSE))</f>
        <v>#N/A</v>
      </c>
      <c r="N661" s="22">
        <f>'Exposure Model'!O792</f>
        <v>0</v>
      </c>
      <c r="O661" s="22" t="e">
        <f>IF(LEN(VLOOKUP(N661,A2:D500,4,FALSE))=0,,VLOOKUP(N661,A2:D500,4,FALSE))</f>
        <v>#N/A</v>
      </c>
      <c r="P661" s="56">
        <f>'QRA Models'!Q792</f>
        <v>0</v>
      </c>
      <c r="Q661" s="22" t="e">
        <f>IF(LEN(VLOOKUP(P661,A2:D500,4,FALSE))=0,,VLOOKUP(P661,A2:D500,4,FALSE))</f>
        <v>#N/A</v>
      </c>
      <c r="R661" s="56">
        <f>'Health metrics Models'!Q775</f>
        <v>0</v>
      </c>
      <c r="S661" s="22" t="e">
        <f>IF(LEN(VLOOKUP(R661,A2:D500,4,FALSE))=0,,VLOOKUP(R661,A2:D500,4,FALSE))</f>
        <v>#N/A</v>
      </c>
      <c r="T661" s="56">
        <f>'Process Model'!P773</f>
        <v>0</v>
      </c>
      <c r="U661" s="22" t="e">
        <f>IF(LEN(VLOOKUP(T661,A2:D500,4,FALSE))=0,,VLOOKUP(T661,A2:D500,4,FALSE))</f>
        <v>#N/A</v>
      </c>
      <c r="V661" s="56">
        <f>'Toxicological reference value M'!P775</f>
        <v>0</v>
      </c>
      <c r="W661" s="22" t="e">
        <f>IF(LEN(VLOOKUP(V661,A2:D500,4,FALSE))=0,,VLOOKUP(V661,A2:D500,4,FALSE))</f>
        <v>#N/A</v>
      </c>
      <c r="Y661" s="56">
        <f>'Other Empirical Model'!P786</f>
        <v>0</v>
      </c>
      <c r="Z661" s="22" t="e">
        <f>IF(LEN(VLOOKUP(Y661,A2:D500,4,FALSE))=0,,VLOOKUP(Y661,A2:D500,4,FALSE))</f>
        <v>#N/A</v>
      </c>
      <c r="AA661" s="56">
        <f>'Predictive Model'!P773</f>
        <v>0</v>
      </c>
      <c r="AB661" s="22" t="e">
        <f>IF(LEN(VLOOKUP(AA661,A2:D500,4,FALSE))=0,,VLOOKUP(AA661,A2:D500,4,FALSE))</f>
        <v>#N/A</v>
      </c>
      <c r="AC661" s="56">
        <f>'Consumption Model'!P778</f>
        <v>0</v>
      </c>
      <c r="AD661" s="22" t="e">
        <f>IF(LEN(VLOOKUP(AC661,A2:D500,4,FALSE))=0,,VLOOKUP(AC661,A2:D500,4,FALSE))</f>
        <v>#N/A</v>
      </c>
      <c r="AE661" s="22">
        <f>'(Data)'!Q774</f>
        <v>0</v>
      </c>
      <c r="AF661" s="22" t="e">
        <f>IF(LEN(VLOOKUP(AE660:AE661,A2:D500,4,FALSE))=0,,VLOOKUP(AE660:AE661,A2:D500,4,FALSE))</f>
        <v>#N/A</v>
      </c>
      <c r="AH661" s="45">
        <f>'Risk Charact Model'!P792</f>
        <v>0</v>
      </c>
      <c r="AI661" s="58" t="e">
        <f>IF(LEN(VLOOKUP(AH661,A2:D500,4,FALSE))=0,,VLOOKUP(AH661,A2:D500,4,FALSE))</f>
        <v>#N/A</v>
      </c>
    </row>
    <row r="662" spans="9:35" ht="14" x14ac:dyDescent="0.3">
      <c r="I662" s="60">
        <f>'Generic Metadata Schema'!P792</f>
        <v>0</v>
      </c>
      <c r="J662" s="22" t="e">
        <f>IF(LEN(VLOOKUP(I662,A2:D500,4,FALSE))=0,"",VLOOKUP(I662,A2:D500,4,FALSE))</f>
        <v>#N/A</v>
      </c>
      <c r="L662" s="56">
        <f>'Dose-response Model'!O776</f>
        <v>0</v>
      </c>
      <c r="M662" s="22" t="e">
        <f>IF(LEN(VLOOKUP(L662,A2:D500,4,FALSE))=0,,VLOOKUP(L662,A2:D500,4,FALSE))</f>
        <v>#N/A</v>
      </c>
      <c r="N662" s="22">
        <f>'Exposure Model'!O793</f>
        <v>0</v>
      </c>
      <c r="O662" s="22" t="e">
        <f>IF(LEN(VLOOKUP(N662,A2:D500,4,FALSE))=0,,VLOOKUP(N662,A2:D500,4,FALSE))</f>
        <v>#N/A</v>
      </c>
      <c r="P662" s="56">
        <f>'QRA Models'!Q793</f>
        <v>0</v>
      </c>
      <c r="Q662" s="22" t="e">
        <f>IF(LEN(VLOOKUP(P662,A2:D500,4,FALSE))=0,,VLOOKUP(P662,A2:D500,4,FALSE))</f>
        <v>#N/A</v>
      </c>
      <c r="R662" s="56">
        <f>'Health metrics Models'!Q776</f>
        <v>0</v>
      </c>
      <c r="S662" s="22" t="e">
        <f>IF(LEN(VLOOKUP(R662,A2:D500,4,FALSE))=0,,VLOOKUP(R662,A2:D500,4,FALSE))</f>
        <v>#N/A</v>
      </c>
      <c r="T662" s="56">
        <f>'Process Model'!P774</f>
        <v>0</v>
      </c>
      <c r="U662" s="22" t="e">
        <f>IF(LEN(VLOOKUP(T662,A2:D500,4,FALSE))=0,,VLOOKUP(T662,A2:D500,4,FALSE))</f>
        <v>#N/A</v>
      </c>
      <c r="V662" s="56">
        <f>'Toxicological reference value M'!P776</f>
        <v>0</v>
      </c>
      <c r="W662" s="22" t="e">
        <f>IF(LEN(VLOOKUP(V662,A2:D500,4,FALSE))=0,,VLOOKUP(V662,A2:D500,4,FALSE))</f>
        <v>#N/A</v>
      </c>
      <c r="Y662" s="56">
        <f>'Other Empirical Model'!P787</f>
        <v>0</v>
      </c>
      <c r="Z662" s="22" t="e">
        <f>IF(LEN(VLOOKUP(Y662,A2:D500,4,FALSE))=0,,VLOOKUP(Y662,A2:D500,4,FALSE))</f>
        <v>#N/A</v>
      </c>
      <c r="AA662" s="56">
        <f>'Predictive Model'!P774</f>
        <v>0</v>
      </c>
      <c r="AB662" s="22" t="e">
        <f>IF(LEN(VLOOKUP(AA662,A2:D500,4,FALSE))=0,,VLOOKUP(AA662,A2:D500,4,FALSE))</f>
        <v>#N/A</v>
      </c>
      <c r="AC662" s="56">
        <f>'Consumption Model'!P779</f>
        <v>0</v>
      </c>
      <c r="AD662" s="22" t="e">
        <f>IF(LEN(VLOOKUP(AC662,A2:D500,4,FALSE))=0,,VLOOKUP(AC662,A2:D500,4,FALSE))</f>
        <v>#N/A</v>
      </c>
      <c r="AE662" s="22">
        <f>'(Data)'!Q775</f>
        <v>0</v>
      </c>
      <c r="AF662" s="22" t="e">
        <f>IF(LEN(VLOOKUP(AE661:AE662,A2:D500,4,FALSE))=0,,VLOOKUP(AE661:AE662,A2:D500,4,FALSE))</f>
        <v>#N/A</v>
      </c>
      <c r="AH662" s="45">
        <f>'Risk Charact Model'!P793</f>
        <v>0</v>
      </c>
      <c r="AI662" s="58" t="e">
        <f>IF(LEN(VLOOKUP(AH662,A2:D500,4,FALSE))=0,,VLOOKUP(AH662,A2:D500,4,FALSE))</f>
        <v>#N/A</v>
      </c>
    </row>
    <row r="663" spans="9:35" ht="14" x14ac:dyDescent="0.3">
      <c r="I663" s="60">
        <f>'Generic Metadata Schema'!P793</f>
        <v>0</v>
      </c>
      <c r="J663" s="22" t="e">
        <f>IF(LEN(VLOOKUP(I663,A2:D500,4,FALSE))=0,"",VLOOKUP(I663,A2:D500,4,FALSE))</f>
        <v>#N/A</v>
      </c>
      <c r="L663" s="56">
        <f>'Dose-response Model'!O777</f>
        <v>0</v>
      </c>
      <c r="M663" s="22" t="e">
        <f>IF(LEN(VLOOKUP(L663,A2:D500,4,FALSE))=0,,VLOOKUP(L663,A2:D500,4,FALSE))</f>
        <v>#N/A</v>
      </c>
      <c r="N663" s="22">
        <f>'Exposure Model'!O794</f>
        <v>0</v>
      </c>
      <c r="O663" s="22" t="e">
        <f>IF(LEN(VLOOKUP(N663,A2:D500,4,FALSE))=0,,VLOOKUP(N663,A2:D500,4,FALSE))</f>
        <v>#N/A</v>
      </c>
      <c r="P663" s="56">
        <f>'QRA Models'!Q794</f>
        <v>0</v>
      </c>
      <c r="Q663" s="22" t="e">
        <f>IF(LEN(VLOOKUP(P663,A2:D500,4,FALSE))=0,,VLOOKUP(P663,A2:D500,4,FALSE))</f>
        <v>#N/A</v>
      </c>
      <c r="R663" s="56">
        <f>'Health metrics Models'!Q777</f>
        <v>0</v>
      </c>
      <c r="S663" s="22" t="e">
        <f>IF(LEN(VLOOKUP(R663,A2:D500,4,FALSE))=0,,VLOOKUP(R663,A2:D500,4,FALSE))</f>
        <v>#N/A</v>
      </c>
      <c r="T663" s="56">
        <f>'Process Model'!P775</f>
        <v>0</v>
      </c>
      <c r="U663" s="22" t="e">
        <f>IF(LEN(VLOOKUP(T663,A2:D500,4,FALSE))=0,,VLOOKUP(T663,A2:D500,4,FALSE))</f>
        <v>#N/A</v>
      </c>
      <c r="V663" s="56">
        <f>'Toxicological reference value M'!P777</f>
        <v>0</v>
      </c>
      <c r="W663" s="22" t="e">
        <f>IF(LEN(VLOOKUP(V663,A2:D500,4,FALSE))=0,,VLOOKUP(V663,A2:D500,4,FALSE))</f>
        <v>#N/A</v>
      </c>
      <c r="Y663" s="56">
        <f>'Other Empirical Model'!P788</f>
        <v>0</v>
      </c>
      <c r="Z663" s="22" t="e">
        <f>IF(LEN(VLOOKUP(Y663,A2:D500,4,FALSE))=0,,VLOOKUP(Y663,A2:D500,4,FALSE))</f>
        <v>#N/A</v>
      </c>
      <c r="AA663" s="56">
        <f>'Predictive Model'!P775</f>
        <v>0</v>
      </c>
      <c r="AB663" s="22" t="e">
        <f>IF(LEN(VLOOKUP(AA663,A2:D500,4,FALSE))=0,,VLOOKUP(AA663,A2:D500,4,FALSE))</f>
        <v>#N/A</v>
      </c>
      <c r="AC663" s="56">
        <f>'Consumption Model'!P780</f>
        <v>0</v>
      </c>
      <c r="AD663" s="22" t="e">
        <f>IF(LEN(VLOOKUP(AC663,A2:D500,4,FALSE))=0,,VLOOKUP(AC663,A2:D500,4,FALSE))</f>
        <v>#N/A</v>
      </c>
      <c r="AE663" s="22">
        <f>'(Data)'!Q776</f>
        <v>0</v>
      </c>
      <c r="AF663" s="22" t="e">
        <f>IF(LEN(VLOOKUP(AE662:AE663,A2:D500,4,FALSE))=0,,VLOOKUP(AE662:AE663,A2:D500,4,FALSE))</f>
        <v>#N/A</v>
      </c>
      <c r="AH663" s="45">
        <f>'Risk Charact Model'!P794</f>
        <v>0</v>
      </c>
      <c r="AI663" s="58" t="e">
        <f>IF(LEN(VLOOKUP(AH663,A2:D500,4,FALSE))=0,,VLOOKUP(AH663,A2:D500,4,FALSE))</f>
        <v>#N/A</v>
      </c>
    </row>
    <row r="664" spans="9:35" ht="14" x14ac:dyDescent="0.3">
      <c r="I664" s="60">
        <f>'Generic Metadata Schema'!P794</f>
        <v>0</v>
      </c>
      <c r="J664" s="22" t="e">
        <f>IF(LEN(VLOOKUP(I664,A2:D500,4,FALSE))=0,"",VLOOKUP(I664,A2:D500,4,FALSE))</f>
        <v>#N/A</v>
      </c>
      <c r="L664" s="56">
        <f>'Dose-response Model'!O778</f>
        <v>0</v>
      </c>
      <c r="M664" s="22" t="e">
        <f>IF(LEN(VLOOKUP(L664,A2:D500,4,FALSE))=0,,VLOOKUP(L664,A2:D500,4,FALSE))</f>
        <v>#N/A</v>
      </c>
      <c r="N664" s="22">
        <f>'Exposure Model'!O795</f>
        <v>0</v>
      </c>
      <c r="O664" s="22" t="e">
        <f>IF(LEN(VLOOKUP(N664,A2:D500,4,FALSE))=0,,VLOOKUP(N664,A2:D500,4,FALSE))</f>
        <v>#N/A</v>
      </c>
      <c r="P664" s="56">
        <f>'QRA Models'!Q795</f>
        <v>0</v>
      </c>
      <c r="Q664" s="22" t="e">
        <f>IF(LEN(VLOOKUP(P664,A2:D500,4,FALSE))=0,,VLOOKUP(P664,A2:D500,4,FALSE))</f>
        <v>#N/A</v>
      </c>
      <c r="R664" s="56">
        <f>'Health metrics Models'!Q778</f>
        <v>0</v>
      </c>
      <c r="S664" s="22" t="e">
        <f>IF(LEN(VLOOKUP(R664,A2:D500,4,FALSE))=0,,VLOOKUP(R664,A2:D500,4,FALSE))</f>
        <v>#N/A</v>
      </c>
      <c r="T664" s="56">
        <f>'Process Model'!P776</f>
        <v>0</v>
      </c>
      <c r="U664" s="22" t="e">
        <f>IF(LEN(VLOOKUP(T664,A2:D500,4,FALSE))=0,,VLOOKUP(T664,A2:D500,4,FALSE))</f>
        <v>#N/A</v>
      </c>
      <c r="V664" s="56">
        <f>'Toxicological reference value M'!P778</f>
        <v>0</v>
      </c>
      <c r="W664" s="22" t="e">
        <f>IF(LEN(VLOOKUP(V664,A2:D500,4,FALSE))=0,,VLOOKUP(V664,A2:D500,4,FALSE))</f>
        <v>#N/A</v>
      </c>
      <c r="Y664" s="56">
        <f>'Other Empirical Model'!P789</f>
        <v>0</v>
      </c>
      <c r="Z664" s="22" t="e">
        <f>IF(LEN(VLOOKUP(Y664,A2:D500,4,FALSE))=0,,VLOOKUP(Y664,A2:D500,4,FALSE))</f>
        <v>#N/A</v>
      </c>
      <c r="AA664" s="56">
        <f>'Predictive Model'!P776</f>
        <v>0</v>
      </c>
      <c r="AB664" s="22" t="e">
        <f>IF(LEN(VLOOKUP(AA664,A2:D500,4,FALSE))=0,,VLOOKUP(AA664,A2:D500,4,FALSE))</f>
        <v>#N/A</v>
      </c>
      <c r="AC664" s="56">
        <f>'Consumption Model'!P781</f>
        <v>0</v>
      </c>
      <c r="AD664" s="22" t="e">
        <f>IF(LEN(VLOOKUP(AC664,A2:D500,4,FALSE))=0,,VLOOKUP(AC664,A2:D500,4,FALSE))</f>
        <v>#N/A</v>
      </c>
      <c r="AE664" s="22">
        <f>'(Data)'!Q777</f>
        <v>0</v>
      </c>
      <c r="AF664" s="22" t="e">
        <f>IF(LEN(VLOOKUP(AE663:AE664,A2:D500,4,FALSE))=0,,VLOOKUP(AE663:AE664,A2:D500,4,FALSE))</f>
        <v>#N/A</v>
      </c>
      <c r="AH664" s="45">
        <f>'Risk Charact Model'!P795</f>
        <v>0</v>
      </c>
      <c r="AI664" s="58" t="e">
        <f>IF(LEN(VLOOKUP(AH664,A2:D500,4,FALSE))=0,,VLOOKUP(AH664,A2:D500,4,FALSE))</f>
        <v>#N/A</v>
      </c>
    </row>
    <row r="665" spans="9:35" ht="14" x14ac:dyDescent="0.3">
      <c r="I665" s="60">
        <f>'Generic Metadata Schema'!P795</f>
        <v>0</v>
      </c>
      <c r="J665" s="22" t="e">
        <f>IF(LEN(VLOOKUP(I665,A2:D500,4,FALSE))=0,"",VLOOKUP(I665,A2:D500,4,FALSE))</f>
        <v>#N/A</v>
      </c>
      <c r="L665" s="56">
        <f>'Dose-response Model'!O779</f>
        <v>0</v>
      </c>
      <c r="M665" s="22" t="e">
        <f>IF(LEN(VLOOKUP(L665,A2:D500,4,FALSE))=0,,VLOOKUP(L665,A2:D500,4,FALSE))</f>
        <v>#N/A</v>
      </c>
      <c r="N665" s="22">
        <f>'Exposure Model'!O796</f>
        <v>0</v>
      </c>
      <c r="O665" s="22" t="e">
        <f>IF(LEN(VLOOKUP(N665,A2:D500,4,FALSE))=0,,VLOOKUP(N665,A2:D500,4,FALSE))</f>
        <v>#N/A</v>
      </c>
      <c r="P665" s="56">
        <f>'QRA Models'!Q796</f>
        <v>0</v>
      </c>
      <c r="Q665" s="22" t="e">
        <f>IF(LEN(VLOOKUP(P665,A2:D500,4,FALSE))=0,,VLOOKUP(P665,A2:D500,4,FALSE))</f>
        <v>#N/A</v>
      </c>
      <c r="R665" s="56">
        <f>'Health metrics Models'!Q779</f>
        <v>0</v>
      </c>
      <c r="S665" s="22" t="e">
        <f>IF(LEN(VLOOKUP(R665,A2:D500,4,FALSE))=0,,VLOOKUP(R665,A2:D500,4,FALSE))</f>
        <v>#N/A</v>
      </c>
      <c r="T665" s="56">
        <f>'Process Model'!P777</f>
        <v>0</v>
      </c>
      <c r="U665" s="22" t="e">
        <f>IF(LEN(VLOOKUP(T665,A2:D500,4,FALSE))=0,,VLOOKUP(T665,A2:D500,4,FALSE))</f>
        <v>#N/A</v>
      </c>
      <c r="V665" s="56">
        <f>'Toxicological reference value M'!P779</f>
        <v>0</v>
      </c>
      <c r="W665" s="22" t="e">
        <f>IF(LEN(VLOOKUP(V665,A2:D500,4,FALSE))=0,,VLOOKUP(V665,A2:D500,4,FALSE))</f>
        <v>#N/A</v>
      </c>
      <c r="Y665" s="56">
        <f>'Other Empirical Model'!P790</f>
        <v>0</v>
      </c>
      <c r="Z665" s="22" t="e">
        <f>IF(LEN(VLOOKUP(Y665,A2:D500,4,FALSE))=0,,VLOOKUP(Y665,A2:D500,4,FALSE))</f>
        <v>#N/A</v>
      </c>
      <c r="AA665" s="56">
        <f>'Predictive Model'!P777</f>
        <v>0</v>
      </c>
      <c r="AB665" s="22" t="e">
        <f>IF(LEN(VLOOKUP(AA665,A2:D500,4,FALSE))=0,,VLOOKUP(AA665,A2:D500,4,FALSE))</f>
        <v>#N/A</v>
      </c>
      <c r="AC665" s="56">
        <f>'Consumption Model'!P782</f>
        <v>0</v>
      </c>
      <c r="AD665" s="22" t="e">
        <f>IF(LEN(VLOOKUP(AC665,A2:D500,4,FALSE))=0,,VLOOKUP(AC665,A2:D500,4,FALSE))</f>
        <v>#N/A</v>
      </c>
      <c r="AE665" s="22">
        <f>'(Data)'!Q778</f>
        <v>0</v>
      </c>
      <c r="AF665" s="22" t="e">
        <f>IF(LEN(VLOOKUP(AE664:AE665,A2:D500,4,FALSE))=0,,VLOOKUP(AE664:AE665,A2:D500,4,FALSE))</f>
        <v>#N/A</v>
      </c>
      <c r="AH665" s="45">
        <f>'Risk Charact Model'!P796</f>
        <v>0</v>
      </c>
      <c r="AI665" s="58" t="e">
        <f>IF(LEN(VLOOKUP(AH665,A2:D500,4,FALSE))=0,,VLOOKUP(AH665,A2:D500,4,FALSE))</f>
        <v>#N/A</v>
      </c>
    </row>
    <row r="666" spans="9:35" ht="14" x14ac:dyDescent="0.3">
      <c r="I666" s="60">
        <f>'Generic Metadata Schema'!P796</f>
        <v>0</v>
      </c>
      <c r="J666" s="22" t="e">
        <f>IF(LEN(VLOOKUP(I666,A2:D500,4,FALSE))=0,"",VLOOKUP(I666,A2:D500,4,FALSE))</f>
        <v>#N/A</v>
      </c>
      <c r="L666" s="56">
        <f>'Dose-response Model'!O780</f>
        <v>0</v>
      </c>
      <c r="M666" s="22" t="e">
        <f>IF(LEN(VLOOKUP(L666,A2:D500,4,FALSE))=0,,VLOOKUP(L666,A2:D500,4,FALSE))</f>
        <v>#N/A</v>
      </c>
      <c r="N666" s="22">
        <f>'Exposure Model'!O797</f>
        <v>0</v>
      </c>
      <c r="O666" s="22" t="e">
        <f>IF(LEN(VLOOKUP(N666,A2:D500,4,FALSE))=0,,VLOOKUP(N666,A2:D500,4,FALSE))</f>
        <v>#N/A</v>
      </c>
      <c r="P666" s="56">
        <f>'QRA Models'!Q797</f>
        <v>0</v>
      </c>
      <c r="Q666" s="22" t="e">
        <f>IF(LEN(VLOOKUP(P666,A2:D500,4,FALSE))=0,,VLOOKUP(P666,A2:D500,4,FALSE))</f>
        <v>#N/A</v>
      </c>
      <c r="R666" s="56">
        <f>'Health metrics Models'!Q780</f>
        <v>0</v>
      </c>
      <c r="S666" s="22" t="e">
        <f>IF(LEN(VLOOKUP(R666,A2:D500,4,FALSE))=0,,VLOOKUP(R666,A2:D500,4,FALSE))</f>
        <v>#N/A</v>
      </c>
      <c r="T666" s="56">
        <f>'Process Model'!P778</f>
        <v>0</v>
      </c>
      <c r="U666" s="22" t="e">
        <f>IF(LEN(VLOOKUP(T666,A2:D500,4,FALSE))=0,,VLOOKUP(T666,A2:D500,4,FALSE))</f>
        <v>#N/A</v>
      </c>
      <c r="V666" s="56">
        <f>'Toxicological reference value M'!P780</f>
        <v>0</v>
      </c>
      <c r="W666" s="22" t="e">
        <f>IF(LEN(VLOOKUP(V666,A2:D500,4,FALSE))=0,,VLOOKUP(V666,A2:D500,4,FALSE))</f>
        <v>#N/A</v>
      </c>
      <c r="Y666" s="56">
        <f>'Other Empirical Model'!P791</f>
        <v>0</v>
      </c>
      <c r="Z666" s="22" t="e">
        <f>IF(LEN(VLOOKUP(Y666,A2:D500,4,FALSE))=0,,VLOOKUP(Y666,A2:D500,4,FALSE))</f>
        <v>#N/A</v>
      </c>
      <c r="AA666" s="56">
        <f>'Predictive Model'!P778</f>
        <v>0</v>
      </c>
      <c r="AB666" s="22" t="e">
        <f>IF(LEN(VLOOKUP(AA666,A2:D500,4,FALSE))=0,,VLOOKUP(AA666,A2:D500,4,FALSE))</f>
        <v>#N/A</v>
      </c>
      <c r="AC666" s="56">
        <f>'Consumption Model'!P783</f>
        <v>0</v>
      </c>
      <c r="AD666" s="22" t="e">
        <f>IF(LEN(VLOOKUP(AC666,A2:D500,4,FALSE))=0,,VLOOKUP(AC666,A2:D500,4,FALSE))</f>
        <v>#N/A</v>
      </c>
      <c r="AE666" s="22">
        <f>'(Data)'!Q779</f>
        <v>0</v>
      </c>
      <c r="AF666" s="22" t="e">
        <f>IF(LEN(VLOOKUP(AE665:AE666,A2:D500,4,FALSE))=0,,VLOOKUP(AE665:AE666,A2:D500,4,FALSE))</f>
        <v>#N/A</v>
      </c>
      <c r="AH666" s="45">
        <f>'Risk Charact Model'!P797</f>
        <v>0</v>
      </c>
      <c r="AI666" s="58" t="e">
        <f>IF(LEN(VLOOKUP(AH666,A2:D500,4,FALSE))=0,,VLOOKUP(AH666,A2:D500,4,FALSE))</f>
        <v>#N/A</v>
      </c>
    </row>
    <row r="667" spans="9:35" ht="14" x14ac:dyDescent="0.3">
      <c r="I667" s="60">
        <f>'Generic Metadata Schema'!P797</f>
        <v>0</v>
      </c>
      <c r="J667" s="22" t="e">
        <f>IF(LEN(VLOOKUP(I667,A2:D500,4,FALSE))=0,"",VLOOKUP(I667,A2:D500,4,FALSE))</f>
        <v>#N/A</v>
      </c>
      <c r="L667" s="56">
        <f>'Dose-response Model'!O781</f>
        <v>0</v>
      </c>
      <c r="M667" s="22" t="e">
        <f>IF(LEN(VLOOKUP(L667,A2:D500,4,FALSE))=0,,VLOOKUP(L667,A2:D500,4,FALSE))</f>
        <v>#N/A</v>
      </c>
      <c r="N667" s="22">
        <f>'Exposure Model'!O798</f>
        <v>0</v>
      </c>
      <c r="O667" s="22" t="e">
        <f>IF(LEN(VLOOKUP(N667,A2:D500,4,FALSE))=0,,VLOOKUP(N667,A2:D500,4,FALSE))</f>
        <v>#N/A</v>
      </c>
      <c r="P667" s="56">
        <f>'QRA Models'!Q798</f>
        <v>0</v>
      </c>
      <c r="Q667" s="22" t="e">
        <f>IF(LEN(VLOOKUP(P667,A2:D500,4,FALSE))=0,,VLOOKUP(P667,A2:D500,4,FALSE))</f>
        <v>#N/A</v>
      </c>
      <c r="R667" s="56">
        <f>'Health metrics Models'!Q781</f>
        <v>0</v>
      </c>
      <c r="S667" s="22" t="e">
        <f>IF(LEN(VLOOKUP(R667,A2:D500,4,FALSE))=0,,VLOOKUP(R667,A2:D500,4,FALSE))</f>
        <v>#N/A</v>
      </c>
      <c r="T667" s="56">
        <f>'Process Model'!P779</f>
        <v>0</v>
      </c>
      <c r="U667" s="22" t="e">
        <f>IF(LEN(VLOOKUP(T667,A2:D500,4,FALSE))=0,,VLOOKUP(T667,A2:D500,4,FALSE))</f>
        <v>#N/A</v>
      </c>
      <c r="V667" s="56">
        <f>'Toxicological reference value M'!P781</f>
        <v>0</v>
      </c>
      <c r="W667" s="22" t="e">
        <f>IF(LEN(VLOOKUP(V667,A2:D500,4,FALSE))=0,,VLOOKUP(V667,A2:D500,4,FALSE))</f>
        <v>#N/A</v>
      </c>
      <c r="Y667" s="56">
        <f>'Other Empirical Model'!P792</f>
        <v>0</v>
      </c>
      <c r="Z667" s="22" t="e">
        <f>IF(LEN(VLOOKUP(Y667,A2:D500,4,FALSE))=0,,VLOOKUP(Y667,A2:D500,4,FALSE))</f>
        <v>#N/A</v>
      </c>
      <c r="AA667" s="56">
        <f>'Predictive Model'!P779</f>
        <v>0</v>
      </c>
      <c r="AB667" s="22" t="e">
        <f>IF(LEN(VLOOKUP(AA667,A2:D500,4,FALSE))=0,,VLOOKUP(AA667,A2:D500,4,FALSE))</f>
        <v>#N/A</v>
      </c>
      <c r="AC667" s="56">
        <f>'Consumption Model'!P784</f>
        <v>0</v>
      </c>
      <c r="AD667" s="22" t="e">
        <f>IF(LEN(VLOOKUP(AC667,A2:D500,4,FALSE))=0,,VLOOKUP(AC667,A2:D500,4,FALSE))</f>
        <v>#N/A</v>
      </c>
      <c r="AE667" s="22">
        <f>'(Data)'!Q780</f>
        <v>0</v>
      </c>
      <c r="AF667" s="22" t="e">
        <f>IF(LEN(VLOOKUP(AE666:AE667,A2:D500,4,FALSE))=0,,VLOOKUP(AE666:AE667,A2:D500,4,FALSE))</f>
        <v>#N/A</v>
      </c>
      <c r="AH667" s="45">
        <f>'Risk Charact Model'!P798</f>
        <v>0</v>
      </c>
      <c r="AI667" s="58" t="e">
        <f>IF(LEN(VLOOKUP(AH667,A2:D500,4,FALSE))=0,,VLOOKUP(AH667,A2:D500,4,FALSE))</f>
        <v>#N/A</v>
      </c>
    </row>
    <row r="668" spans="9:35" ht="14" x14ac:dyDescent="0.3">
      <c r="I668" s="60">
        <f>'Generic Metadata Schema'!P798</f>
        <v>0</v>
      </c>
      <c r="J668" s="22" t="e">
        <f>IF(LEN(VLOOKUP(I668,A2:D500,4,FALSE))=0,"",VLOOKUP(I668,A2:D500,4,FALSE))</f>
        <v>#N/A</v>
      </c>
      <c r="L668" s="56">
        <f>'Dose-response Model'!O782</f>
        <v>0</v>
      </c>
      <c r="M668" s="22" t="e">
        <f>IF(LEN(VLOOKUP(L668,A2:D500,4,FALSE))=0,,VLOOKUP(L668,A2:D500,4,FALSE))</f>
        <v>#N/A</v>
      </c>
      <c r="N668" s="22">
        <f>'Exposure Model'!O799</f>
        <v>0</v>
      </c>
      <c r="O668" s="22" t="e">
        <f>IF(LEN(VLOOKUP(N668,A2:D500,4,FALSE))=0,,VLOOKUP(N668,A2:D500,4,FALSE))</f>
        <v>#N/A</v>
      </c>
      <c r="P668" s="56">
        <f>'QRA Models'!Q799</f>
        <v>0</v>
      </c>
      <c r="Q668" s="22" t="e">
        <f>IF(LEN(VLOOKUP(P668,A2:D500,4,FALSE))=0,,VLOOKUP(P668,A2:D500,4,FALSE))</f>
        <v>#N/A</v>
      </c>
      <c r="R668" s="56">
        <f>'Health metrics Models'!Q782</f>
        <v>0</v>
      </c>
      <c r="S668" s="22" t="e">
        <f>IF(LEN(VLOOKUP(R668,A2:D500,4,FALSE))=0,,VLOOKUP(R668,A2:D500,4,FALSE))</f>
        <v>#N/A</v>
      </c>
      <c r="T668" s="56">
        <f>'Process Model'!P780</f>
        <v>0</v>
      </c>
      <c r="U668" s="22" t="e">
        <f>IF(LEN(VLOOKUP(T668,A2:D500,4,FALSE))=0,,VLOOKUP(T668,A2:D500,4,FALSE))</f>
        <v>#N/A</v>
      </c>
      <c r="V668" s="56">
        <f>'Toxicological reference value M'!P782</f>
        <v>0</v>
      </c>
      <c r="W668" s="22" t="e">
        <f>IF(LEN(VLOOKUP(V668,A2:D500,4,FALSE))=0,,VLOOKUP(V668,A2:D500,4,FALSE))</f>
        <v>#N/A</v>
      </c>
      <c r="Y668" s="56">
        <f>'Other Empirical Model'!P793</f>
        <v>0</v>
      </c>
      <c r="Z668" s="22" t="e">
        <f>IF(LEN(VLOOKUP(Y668,A2:D500,4,FALSE))=0,,VLOOKUP(Y668,A2:D500,4,FALSE))</f>
        <v>#N/A</v>
      </c>
      <c r="AA668" s="56">
        <f>'Predictive Model'!P780</f>
        <v>0</v>
      </c>
      <c r="AB668" s="22" t="e">
        <f>IF(LEN(VLOOKUP(AA668,A2:D500,4,FALSE))=0,,VLOOKUP(AA668,A2:D500,4,FALSE))</f>
        <v>#N/A</v>
      </c>
      <c r="AC668" s="56">
        <f>'Consumption Model'!P785</f>
        <v>0</v>
      </c>
      <c r="AD668" s="22" t="e">
        <f>IF(LEN(VLOOKUP(AC668,A2:D500,4,FALSE))=0,,VLOOKUP(AC668,A2:D500,4,FALSE))</f>
        <v>#N/A</v>
      </c>
      <c r="AE668" s="22">
        <f>'(Data)'!Q781</f>
        <v>0</v>
      </c>
      <c r="AF668" s="22" t="e">
        <f>IF(LEN(VLOOKUP(AE667:AE668,A2:D500,4,FALSE))=0,,VLOOKUP(AE667:AE668,A2:D500,4,FALSE))</f>
        <v>#N/A</v>
      </c>
      <c r="AH668" s="45">
        <f>'Risk Charact Model'!P799</f>
        <v>0</v>
      </c>
      <c r="AI668" s="58" t="e">
        <f>IF(LEN(VLOOKUP(AH668,A2:D500,4,FALSE))=0,,VLOOKUP(AH668,A2:D500,4,FALSE))</f>
        <v>#N/A</v>
      </c>
    </row>
    <row r="669" spans="9:35" ht="14" x14ac:dyDescent="0.3">
      <c r="I669" s="60">
        <f>'Generic Metadata Schema'!P799</f>
        <v>0</v>
      </c>
      <c r="J669" s="22" t="e">
        <f>IF(LEN(VLOOKUP(I669,A2:D500,4,FALSE))=0,"",VLOOKUP(I669,A2:D500,4,FALSE))</f>
        <v>#N/A</v>
      </c>
      <c r="L669" s="56">
        <f>'Dose-response Model'!O783</f>
        <v>0</v>
      </c>
      <c r="M669" s="22" t="e">
        <f>IF(LEN(VLOOKUP(L669,A2:D500,4,FALSE))=0,,VLOOKUP(L669,A2:D500,4,FALSE))</f>
        <v>#N/A</v>
      </c>
      <c r="N669" s="22">
        <f>'Exposure Model'!O800</f>
        <v>0</v>
      </c>
      <c r="O669" s="22" t="e">
        <f>IF(LEN(VLOOKUP(N669,A2:D500,4,FALSE))=0,,VLOOKUP(N669,A2:D500,4,FALSE))</f>
        <v>#N/A</v>
      </c>
      <c r="P669" s="56">
        <f>'QRA Models'!Q800</f>
        <v>0</v>
      </c>
      <c r="Q669" s="22" t="e">
        <f>IF(LEN(VLOOKUP(P669,A2:D500,4,FALSE))=0,,VLOOKUP(P669,A2:D500,4,FALSE))</f>
        <v>#N/A</v>
      </c>
      <c r="R669" s="56">
        <f>'Health metrics Models'!Q783</f>
        <v>0</v>
      </c>
      <c r="S669" s="22" t="e">
        <f>IF(LEN(VLOOKUP(R669,A2:D500,4,FALSE))=0,,VLOOKUP(R669,A2:D500,4,FALSE))</f>
        <v>#N/A</v>
      </c>
      <c r="T669" s="56">
        <f>'Process Model'!P781</f>
        <v>0</v>
      </c>
      <c r="U669" s="22" t="e">
        <f>IF(LEN(VLOOKUP(T669,A2:D500,4,FALSE))=0,,VLOOKUP(T669,A2:D500,4,FALSE))</f>
        <v>#N/A</v>
      </c>
      <c r="V669" s="56">
        <f>'Toxicological reference value M'!P783</f>
        <v>0</v>
      </c>
      <c r="W669" s="22" t="e">
        <f>IF(LEN(VLOOKUP(V669,A2:D500,4,FALSE))=0,,VLOOKUP(V669,A2:D500,4,FALSE))</f>
        <v>#N/A</v>
      </c>
      <c r="Y669" s="56">
        <f>'Other Empirical Model'!P794</f>
        <v>0</v>
      </c>
      <c r="Z669" s="22" t="e">
        <f>IF(LEN(VLOOKUP(Y669,A2:D500,4,FALSE))=0,,VLOOKUP(Y669,A2:D500,4,FALSE))</f>
        <v>#N/A</v>
      </c>
      <c r="AA669" s="56">
        <f>'Predictive Model'!P781</f>
        <v>0</v>
      </c>
      <c r="AB669" s="22" t="e">
        <f>IF(LEN(VLOOKUP(AA669,A2:D500,4,FALSE))=0,,VLOOKUP(AA669,A2:D500,4,FALSE))</f>
        <v>#N/A</v>
      </c>
      <c r="AC669" s="56">
        <f>'Consumption Model'!P786</f>
        <v>0</v>
      </c>
      <c r="AD669" s="22" t="e">
        <f>IF(LEN(VLOOKUP(AC669,A2:D500,4,FALSE))=0,,VLOOKUP(AC669,A2:D500,4,FALSE))</f>
        <v>#N/A</v>
      </c>
      <c r="AE669" s="22">
        <f>'(Data)'!Q782</f>
        <v>0</v>
      </c>
      <c r="AF669" s="22" t="e">
        <f>IF(LEN(VLOOKUP(AE668:AE669,A2:D500,4,FALSE))=0,,VLOOKUP(AE668:AE669,A2:D500,4,FALSE))</f>
        <v>#N/A</v>
      </c>
      <c r="AH669" s="45">
        <f>'Risk Charact Model'!P800</f>
        <v>0</v>
      </c>
      <c r="AI669" s="58" t="e">
        <f>IF(LEN(VLOOKUP(AH669,A2:D500,4,FALSE))=0,,VLOOKUP(AH669,A2:D500,4,FALSE))</f>
        <v>#N/A</v>
      </c>
    </row>
    <row r="670" spans="9:35" ht="14" x14ac:dyDescent="0.3">
      <c r="I670" s="60">
        <f>'Generic Metadata Schema'!P800</f>
        <v>0</v>
      </c>
      <c r="J670" s="22" t="e">
        <f>IF(LEN(VLOOKUP(I670,A2:D500,4,FALSE))=0,"",VLOOKUP(I670,A2:D500,4,FALSE))</f>
        <v>#N/A</v>
      </c>
      <c r="L670" s="56">
        <f>'Dose-response Model'!O784</f>
        <v>0</v>
      </c>
      <c r="M670" s="22" t="e">
        <f>IF(LEN(VLOOKUP(L670,A2:D500,4,FALSE))=0,,VLOOKUP(L670,A2:D500,4,FALSE))</f>
        <v>#N/A</v>
      </c>
      <c r="N670" s="22">
        <f>'Exposure Model'!O801</f>
        <v>0</v>
      </c>
      <c r="O670" s="22" t="e">
        <f>IF(LEN(VLOOKUP(N670,A2:D500,4,FALSE))=0,,VLOOKUP(N670,A2:D500,4,FALSE))</f>
        <v>#N/A</v>
      </c>
      <c r="P670" s="56">
        <f>'QRA Models'!Q801</f>
        <v>0</v>
      </c>
      <c r="Q670" s="22" t="e">
        <f>IF(LEN(VLOOKUP(P670,A2:D500,4,FALSE))=0,,VLOOKUP(P670,A2:D500,4,FALSE))</f>
        <v>#N/A</v>
      </c>
      <c r="R670" s="56">
        <f>'Health metrics Models'!Q784</f>
        <v>0</v>
      </c>
      <c r="S670" s="22" t="e">
        <f>IF(LEN(VLOOKUP(R670,A2:D500,4,FALSE))=0,,VLOOKUP(R670,A2:D500,4,FALSE))</f>
        <v>#N/A</v>
      </c>
      <c r="T670" s="56">
        <f>'Process Model'!P782</f>
        <v>0</v>
      </c>
      <c r="U670" s="22" t="e">
        <f>IF(LEN(VLOOKUP(T670,A2:D500,4,FALSE))=0,,VLOOKUP(T670,A2:D500,4,FALSE))</f>
        <v>#N/A</v>
      </c>
      <c r="V670" s="56">
        <f>'Toxicological reference value M'!P784</f>
        <v>0</v>
      </c>
      <c r="W670" s="22" t="e">
        <f>IF(LEN(VLOOKUP(V670,A2:D500,4,FALSE))=0,,VLOOKUP(V670,A2:D500,4,FALSE))</f>
        <v>#N/A</v>
      </c>
      <c r="Y670" s="56">
        <f>'Other Empirical Model'!P795</f>
        <v>0</v>
      </c>
      <c r="Z670" s="22" t="e">
        <f>IF(LEN(VLOOKUP(Y670,A2:D500,4,FALSE))=0,,VLOOKUP(Y670,A2:D500,4,FALSE))</f>
        <v>#N/A</v>
      </c>
      <c r="AA670" s="56">
        <f>'Predictive Model'!P782</f>
        <v>0</v>
      </c>
      <c r="AB670" s="22" t="e">
        <f>IF(LEN(VLOOKUP(AA670,A2:D500,4,FALSE))=0,,VLOOKUP(AA670,A2:D500,4,FALSE))</f>
        <v>#N/A</v>
      </c>
      <c r="AC670" s="56">
        <f>'Consumption Model'!P787</f>
        <v>0</v>
      </c>
      <c r="AD670" s="22" t="e">
        <f>IF(LEN(VLOOKUP(AC670,A2:D500,4,FALSE))=0,,VLOOKUP(AC670,A2:D500,4,FALSE))</f>
        <v>#N/A</v>
      </c>
      <c r="AE670" s="22">
        <f>'(Data)'!Q783</f>
        <v>0</v>
      </c>
      <c r="AF670" s="22" t="e">
        <f>IF(LEN(VLOOKUP(AE669:AE670,A2:D500,4,FALSE))=0,,VLOOKUP(AE669:AE670,A2:D500,4,FALSE))</f>
        <v>#N/A</v>
      </c>
      <c r="AH670" s="45">
        <f>'Risk Charact Model'!P801</f>
        <v>0</v>
      </c>
      <c r="AI670" s="58" t="e">
        <f>IF(LEN(VLOOKUP(AH670,A2:D500,4,FALSE))=0,,VLOOKUP(AH670,A2:D500,4,FALSE))</f>
        <v>#N/A</v>
      </c>
    </row>
    <row r="671" spans="9:35" ht="14" x14ac:dyDescent="0.3">
      <c r="I671" s="60">
        <f>'Generic Metadata Schema'!P801</f>
        <v>0</v>
      </c>
      <c r="J671" s="22" t="e">
        <f>IF(LEN(VLOOKUP(I671,A2:D500,4,FALSE))=0,"",VLOOKUP(I671,A2:D500,4,FALSE))</f>
        <v>#N/A</v>
      </c>
      <c r="L671" s="56">
        <f>'Dose-response Model'!O785</f>
        <v>0</v>
      </c>
      <c r="M671" s="22" t="e">
        <f>IF(LEN(VLOOKUP(L671,A2:D500,4,FALSE))=0,,VLOOKUP(L671,A2:D500,4,FALSE))</f>
        <v>#N/A</v>
      </c>
      <c r="N671" s="22">
        <f>'Exposure Model'!O802</f>
        <v>0</v>
      </c>
      <c r="O671" s="22" t="e">
        <f>IF(LEN(VLOOKUP(N671,A2:D500,4,FALSE))=0,,VLOOKUP(N671,A2:D500,4,FALSE))</f>
        <v>#N/A</v>
      </c>
      <c r="P671" s="56">
        <f>'QRA Models'!Q802</f>
        <v>0</v>
      </c>
      <c r="Q671" s="22" t="e">
        <f>IF(LEN(VLOOKUP(P671,A2:D500,4,FALSE))=0,,VLOOKUP(P671,A2:D500,4,FALSE))</f>
        <v>#N/A</v>
      </c>
      <c r="R671" s="56">
        <f>'Health metrics Models'!Q785</f>
        <v>0</v>
      </c>
      <c r="S671" s="22" t="e">
        <f>IF(LEN(VLOOKUP(R671,A2:D500,4,FALSE))=0,,VLOOKUP(R671,A2:D500,4,FALSE))</f>
        <v>#N/A</v>
      </c>
      <c r="T671" s="56">
        <f>'Process Model'!P783</f>
        <v>0</v>
      </c>
      <c r="U671" s="22" t="e">
        <f>IF(LEN(VLOOKUP(T671,A2:D500,4,FALSE))=0,,VLOOKUP(T671,A2:D500,4,FALSE))</f>
        <v>#N/A</v>
      </c>
      <c r="V671" s="56">
        <f>'Toxicological reference value M'!P785</f>
        <v>0</v>
      </c>
      <c r="W671" s="22" t="e">
        <f>IF(LEN(VLOOKUP(V671,A2:D500,4,FALSE))=0,,VLOOKUP(V671,A2:D500,4,FALSE))</f>
        <v>#N/A</v>
      </c>
      <c r="Y671" s="56">
        <f>'Other Empirical Model'!P796</f>
        <v>0</v>
      </c>
      <c r="Z671" s="22" t="e">
        <f>IF(LEN(VLOOKUP(Y671,A2:D500,4,FALSE))=0,,VLOOKUP(Y671,A2:D500,4,FALSE))</f>
        <v>#N/A</v>
      </c>
      <c r="AA671" s="56">
        <f>'Predictive Model'!P783</f>
        <v>0</v>
      </c>
      <c r="AB671" s="22" t="e">
        <f>IF(LEN(VLOOKUP(AA671,A2:D500,4,FALSE))=0,,VLOOKUP(AA671,A2:D500,4,FALSE))</f>
        <v>#N/A</v>
      </c>
      <c r="AC671" s="56">
        <f>'Consumption Model'!P788</f>
        <v>0</v>
      </c>
      <c r="AD671" s="22" t="e">
        <f>IF(LEN(VLOOKUP(AC671,A2:D500,4,FALSE))=0,,VLOOKUP(AC671,A2:D500,4,FALSE))</f>
        <v>#N/A</v>
      </c>
      <c r="AE671" s="22">
        <f>'(Data)'!Q784</f>
        <v>0</v>
      </c>
      <c r="AF671" s="22" t="e">
        <f>IF(LEN(VLOOKUP(AE670:AE671,A2:D500,4,FALSE))=0,,VLOOKUP(AE670:AE671,A2:D500,4,FALSE))</f>
        <v>#N/A</v>
      </c>
      <c r="AH671" s="45">
        <f>'Risk Charact Model'!P802</f>
        <v>0</v>
      </c>
      <c r="AI671" s="58" t="e">
        <f>IF(LEN(VLOOKUP(AH671,A2:D500,4,FALSE))=0,,VLOOKUP(AH671,A2:D500,4,FALSE))</f>
        <v>#N/A</v>
      </c>
    </row>
    <row r="672" spans="9:35" ht="14" x14ac:dyDescent="0.3">
      <c r="I672" s="60">
        <f>'Generic Metadata Schema'!P802</f>
        <v>0</v>
      </c>
      <c r="J672" s="22" t="e">
        <f>IF(LEN(VLOOKUP(I672,A2:D500,4,FALSE))=0,"",VLOOKUP(I672,A2:D500,4,FALSE))</f>
        <v>#N/A</v>
      </c>
      <c r="L672" s="56">
        <f>'Dose-response Model'!O786</f>
        <v>0</v>
      </c>
      <c r="M672" s="22" t="e">
        <f>IF(LEN(VLOOKUP(L672,A2:D500,4,FALSE))=0,,VLOOKUP(L672,A2:D500,4,FALSE))</f>
        <v>#N/A</v>
      </c>
      <c r="N672" s="22">
        <f>'Exposure Model'!O803</f>
        <v>0</v>
      </c>
      <c r="O672" s="22" t="e">
        <f>IF(LEN(VLOOKUP(N672,A2:D500,4,FALSE))=0,,VLOOKUP(N672,A2:D500,4,FALSE))</f>
        <v>#N/A</v>
      </c>
      <c r="P672" s="56">
        <f>'QRA Models'!Q803</f>
        <v>0</v>
      </c>
      <c r="Q672" s="22" t="e">
        <f>IF(LEN(VLOOKUP(P672,A2:D500,4,FALSE))=0,,VLOOKUP(P672,A2:D500,4,FALSE))</f>
        <v>#N/A</v>
      </c>
      <c r="R672" s="56">
        <f>'Health metrics Models'!Q786</f>
        <v>0</v>
      </c>
      <c r="S672" s="22" t="e">
        <f>IF(LEN(VLOOKUP(R672,A2:D500,4,FALSE))=0,,VLOOKUP(R672,A2:D500,4,FALSE))</f>
        <v>#N/A</v>
      </c>
      <c r="T672" s="56">
        <f>'Process Model'!P784</f>
        <v>0</v>
      </c>
      <c r="U672" s="22" t="e">
        <f>IF(LEN(VLOOKUP(T672,A2:D500,4,FALSE))=0,,VLOOKUP(T672,A2:D500,4,FALSE))</f>
        <v>#N/A</v>
      </c>
      <c r="V672" s="56">
        <f>'Toxicological reference value M'!P786</f>
        <v>0</v>
      </c>
      <c r="W672" s="22" t="e">
        <f>IF(LEN(VLOOKUP(V672,A2:D500,4,FALSE))=0,,VLOOKUP(V672,A2:D500,4,FALSE))</f>
        <v>#N/A</v>
      </c>
      <c r="Y672" s="56">
        <f>'Other Empirical Model'!P797</f>
        <v>0</v>
      </c>
      <c r="Z672" s="22" t="e">
        <f>IF(LEN(VLOOKUP(Y672,A2:D500,4,FALSE))=0,,VLOOKUP(Y672,A2:D500,4,FALSE))</f>
        <v>#N/A</v>
      </c>
      <c r="AA672" s="56">
        <f>'Predictive Model'!P784</f>
        <v>0</v>
      </c>
      <c r="AB672" s="22" t="e">
        <f>IF(LEN(VLOOKUP(AA672,A2:D500,4,FALSE))=0,,VLOOKUP(AA672,A2:D500,4,FALSE))</f>
        <v>#N/A</v>
      </c>
      <c r="AC672" s="56">
        <f>'Consumption Model'!P789</f>
        <v>0</v>
      </c>
      <c r="AD672" s="22" t="e">
        <f>IF(LEN(VLOOKUP(AC672,A2:D500,4,FALSE))=0,,VLOOKUP(AC672,A2:D500,4,FALSE))</f>
        <v>#N/A</v>
      </c>
      <c r="AE672" s="22">
        <f>'(Data)'!Q785</f>
        <v>0</v>
      </c>
      <c r="AF672" s="22" t="e">
        <f>IF(LEN(VLOOKUP(AE671:AE672,A2:D500,4,FALSE))=0,,VLOOKUP(AE671:AE672,A2:D500,4,FALSE))</f>
        <v>#N/A</v>
      </c>
      <c r="AH672" s="45">
        <f>'Risk Charact Model'!P803</f>
        <v>0</v>
      </c>
      <c r="AI672" s="58" t="e">
        <f>IF(LEN(VLOOKUP(AH672,A2:D500,4,FALSE))=0,,VLOOKUP(AH672,A2:D500,4,FALSE))</f>
        <v>#N/A</v>
      </c>
    </row>
    <row r="673" spans="9:35" ht="14" x14ac:dyDescent="0.3">
      <c r="I673" s="60">
        <f>'Generic Metadata Schema'!P803</f>
        <v>0</v>
      </c>
      <c r="J673" s="22" t="e">
        <f>IF(LEN(VLOOKUP(I673,A2:D500,4,FALSE))=0,"",VLOOKUP(I673,A2:D500,4,FALSE))</f>
        <v>#N/A</v>
      </c>
      <c r="L673" s="56">
        <f>'Dose-response Model'!O787</f>
        <v>0</v>
      </c>
      <c r="M673" s="22" t="e">
        <f>IF(LEN(VLOOKUP(L673,A2:D500,4,FALSE))=0,,VLOOKUP(L673,A2:D500,4,FALSE))</f>
        <v>#N/A</v>
      </c>
      <c r="N673" s="22">
        <f>'Exposure Model'!O804</f>
        <v>0</v>
      </c>
      <c r="O673" s="22" t="e">
        <f>IF(LEN(VLOOKUP(N673,A2:D500,4,FALSE))=0,,VLOOKUP(N673,A2:D500,4,FALSE))</f>
        <v>#N/A</v>
      </c>
      <c r="P673" s="56">
        <f>'QRA Models'!Q804</f>
        <v>0</v>
      </c>
      <c r="Q673" s="22" t="e">
        <f>IF(LEN(VLOOKUP(P673,A2:D500,4,FALSE))=0,,VLOOKUP(P673,A2:D500,4,FALSE))</f>
        <v>#N/A</v>
      </c>
      <c r="R673" s="56">
        <f>'Health metrics Models'!Q787</f>
        <v>0</v>
      </c>
      <c r="S673" s="22" t="e">
        <f>IF(LEN(VLOOKUP(R673,A2:D500,4,FALSE))=0,,VLOOKUP(R673,A2:D500,4,FALSE))</f>
        <v>#N/A</v>
      </c>
      <c r="T673" s="56">
        <f>'Process Model'!P785</f>
        <v>0</v>
      </c>
      <c r="U673" s="22" t="e">
        <f>IF(LEN(VLOOKUP(T673,A2:D500,4,FALSE))=0,,VLOOKUP(T673,A2:D500,4,FALSE))</f>
        <v>#N/A</v>
      </c>
      <c r="V673" s="56">
        <f>'Toxicological reference value M'!P787</f>
        <v>0</v>
      </c>
      <c r="W673" s="22" t="e">
        <f>IF(LEN(VLOOKUP(V673,A2:D500,4,FALSE))=0,,VLOOKUP(V673,A2:D500,4,FALSE))</f>
        <v>#N/A</v>
      </c>
      <c r="Y673" s="56">
        <f>'Other Empirical Model'!P798</f>
        <v>0</v>
      </c>
      <c r="Z673" s="22" t="e">
        <f>IF(LEN(VLOOKUP(Y673,A2:D500,4,FALSE))=0,,VLOOKUP(Y673,A2:D500,4,FALSE))</f>
        <v>#N/A</v>
      </c>
      <c r="AA673" s="56">
        <f>'Predictive Model'!P785</f>
        <v>0</v>
      </c>
      <c r="AB673" s="22" t="e">
        <f>IF(LEN(VLOOKUP(AA673,A2:D500,4,FALSE))=0,,VLOOKUP(AA673,A2:D500,4,FALSE))</f>
        <v>#N/A</v>
      </c>
      <c r="AC673" s="56">
        <f>'Consumption Model'!P790</f>
        <v>0</v>
      </c>
      <c r="AD673" s="22" t="e">
        <f>IF(LEN(VLOOKUP(AC673,A2:D500,4,FALSE))=0,,VLOOKUP(AC673,A2:D500,4,FALSE))</f>
        <v>#N/A</v>
      </c>
      <c r="AE673" s="22">
        <f>'(Data)'!Q786</f>
        <v>0</v>
      </c>
      <c r="AF673" s="22" t="e">
        <f>IF(LEN(VLOOKUP(AE672:AE673,A2:D500,4,FALSE))=0,,VLOOKUP(AE672:AE673,A2:D500,4,FALSE))</f>
        <v>#N/A</v>
      </c>
      <c r="AH673" s="45">
        <f>'Risk Charact Model'!P804</f>
        <v>0</v>
      </c>
      <c r="AI673" s="58" t="e">
        <f>IF(LEN(VLOOKUP(AH673,A2:D500,4,FALSE))=0,,VLOOKUP(AH673,A2:D500,4,FALSE))</f>
        <v>#N/A</v>
      </c>
    </row>
    <row r="674" spans="9:35" ht="14" x14ac:dyDescent="0.3">
      <c r="I674" s="60">
        <f>'Generic Metadata Schema'!P804</f>
        <v>0</v>
      </c>
      <c r="J674" s="22" t="e">
        <f>IF(LEN(VLOOKUP(I674,A2:D500,4,FALSE))=0,"",VLOOKUP(I674,A2:D500,4,FALSE))</f>
        <v>#N/A</v>
      </c>
      <c r="L674" s="56">
        <f>'Dose-response Model'!O788</f>
        <v>0</v>
      </c>
      <c r="M674" s="22" t="e">
        <f>IF(LEN(VLOOKUP(L674,A2:D500,4,FALSE))=0,,VLOOKUP(L674,A2:D500,4,FALSE))</f>
        <v>#N/A</v>
      </c>
      <c r="N674" s="22">
        <f>'Exposure Model'!O805</f>
        <v>0</v>
      </c>
      <c r="O674" s="22" t="e">
        <f>IF(LEN(VLOOKUP(N674,A2:D500,4,FALSE))=0,,VLOOKUP(N674,A2:D500,4,FALSE))</f>
        <v>#N/A</v>
      </c>
      <c r="P674" s="56">
        <f>'QRA Models'!Q805</f>
        <v>0</v>
      </c>
      <c r="Q674" s="22" t="e">
        <f>IF(LEN(VLOOKUP(P674,A2:D500,4,FALSE))=0,,VLOOKUP(P674,A2:D500,4,FALSE))</f>
        <v>#N/A</v>
      </c>
      <c r="R674" s="56">
        <f>'Health metrics Models'!Q788</f>
        <v>0</v>
      </c>
      <c r="S674" s="22" t="e">
        <f>IF(LEN(VLOOKUP(R674,A2:D500,4,FALSE))=0,,VLOOKUP(R674,A2:D500,4,FALSE))</f>
        <v>#N/A</v>
      </c>
      <c r="T674" s="56">
        <f>'Process Model'!P786</f>
        <v>0</v>
      </c>
      <c r="U674" s="22" t="e">
        <f>IF(LEN(VLOOKUP(T674,A2:D500,4,FALSE))=0,,VLOOKUP(T674,A2:D500,4,FALSE))</f>
        <v>#N/A</v>
      </c>
      <c r="V674" s="56">
        <f>'Toxicological reference value M'!P788</f>
        <v>0</v>
      </c>
      <c r="W674" s="22" t="e">
        <f>IF(LEN(VLOOKUP(V674,A2:D500,4,FALSE))=0,,VLOOKUP(V674,A2:D500,4,FALSE))</f>
        <v>#N/A</v>
      </c>
      <c r="Y674" s="56">
        <f>'Other Empirical Model'!P799</f>
        <v>0</v>
      </c>
      <c r="Z674" s="22" t="e">
        <f>IF(LEN(VLOOKUP(Y674,A2:D500,4,FALSE))=0,,VLOOKUP(Y674,A2:D500,4,FALSE))</f>
        <v>#N/A</v>
      </c>
      <c r="AA674" s="56">
        <f>'Predictive Model'!P786</f>
        <v>0</v>
      </c>
      <c r="AB674" s="22" t="e">
        <f>IF(LEN(VLOOKUP(AA674,A2:D500,4,FALSE))=0,,VLOOKUP(AA674,A2:D500,4,FALSE))</f>
        <v>#N/A</v>
      </c>
      <c r="AC674" s="56">
        <f>'Consumption Model'!P791</f>
        <v>0</v>
      </c>
      <c r="AD674" s="22" t="e">
        <f>IF(LEN(VLOOKUP(AC674,A2:D500,4,FALSE))=0,,VLOOKUP(AC674,A2:D500,4,FALSE))</f>
        <v>#N/A</v>
      </c>
      <c r="AE674" s="22">
        <f>'(Data)'!Q787</f>
        <v>0</v>
      </c>
      <c r="AF674" s="22" t="e">
        <f>IF(LEN(VLOOKUP(AE673:AE674,A2:D500,4,FALSE))=0,,VLOOKUP(AE673:AE674,A2:D500,4,FALSE))</f>
        <v>#N/A</v>
      </c>
      <c r="AH674" s="45">
        <f>'Risk Charact Model'!P805</f>
        <v>0</v>
      </c>
      <c r="AI674" s="58" t="e">
        <f>IF(LEN(VLOOKUP(AH674,A2:D500,4,FALSE))=0,,VLOOKUP(AH674,A2:D500,4,FALSE))</f>
        <v>#N/A</v>
      </c>
    </row>
    <row r="675" spans="9:35" ht="14" x14ac:dyDescent="0.3">
      <c r="I675" s="60">
        <f>'Generic Metadata Schema'!P805</f>
        <v>0</v>
      </c>
      <c r="J675" s="22" t="e">
        <f>IF(LEN(VLOOKUP(I675,A2:D500,4,FALSE))=0,"",VLOOKUP(I675,A2:D500,4,FALSE))</f>
        <v>#N/A</v>
      </c>
      <c r="L675" s="56">
        <f>'Dose-response Model'!O789</f>
        <v>0</v>
      </c>
      <c r="M675" s="22" t="e">
        <f>IF(LEN(VLOOKUP(L675,A2:D500,4,FALSE))=0,,VLOOKUP(L675,A2:D500,4,FALSE))</f>
        <v>#N/A</v>
      </c>
      <c r="N675" s="22">
        <f>'Exposure Model'!O806</f>
        <v>0</v>
      </c>
      <c r="O675" s="22" t="e">
        <f>IF(LEN(VLOOKUP(N675,A2:D500,4,FALSE))=0,,VLOOKUP(N675,A2:D500,4,FALSE))</f>
        <v>#N/A</v>
      </c>
      <c r="P675" s="56">
        <f>'QRA Models'!Q806</f>
        <v>0</v>
      </c>
      <c r="Q675" s="22" t="e">
        <f>IF(LEN(VLOOKUP(P675,A2:D500,4,FALSE))=0,,VLOOKUP(P675,A2:D500,4,FALSE))</f>
        <v>#N/A</v>
      </c>
      <c r="R675" s="56">
        <f>'Health metrics Models'!Q789</f>
        <v>0</v>
      </c>
      <c r="S675" s="22" t="e">
        <f>IF(LEN(VLOOKUP(R675,A2:D500,4,FALSE))=0,,VLOOKUP(R675,A2:D500,4,FALSE))</f>
        <v>#N/A</v>
      </c>
      <c r="T675" s="56">
        <f>'Process Model'!P787</f>
        <v>0</v>
      </c>
      <c r="U675" s="22" t="e">
        <f>IF(LEN(VLOOKUP(T675,A2:D500,4,FALSE))=0,,VLOOKUP(T675,A2:D500,4,FALSE))</f>
        <v>#N/A</v>
      </c>
      <c r="V675" s="56">
        <f>'Toxicological reference value M'!P789</f>
        <v>0</v>
      </c>
      <c r="W675" s="22" t="e">
        <f>IF(LEN(VLOOKUP(V675,A2:D500,4,FALSE))=0,,VLOOKUP(V675,A2:D500,4,FALSE))</f>
        <v>#N/A</v>
      </c>
      <c r="Y675" s="56">
        <f>'Other Empirical Model'!P800</f>
        <v>0</v>
      </c>
      <c r="Z675" s="22" t="e">
        <f>IF(LEN(VLOOKUP(Y675,A2:D500,4,FALSE))=0,,VLOOKUP(Y675,A2:D500,4,FALSE))</f>
        <v>#N/A</v>
      </c>
      <c r="AA675" s="56">
        <f>'Predictive Model'!P787</f>
        <v>0</v>
      </c>
      <c r="AB675" s="22" t="e">
        <f>IF(LEN(VLOOKUP(AA675,A2:D500,4,FALSE))=0,,VLOOKUP(AA675,A2:D500,4,FALSE))</f>
        <v>#N/A</v>
      </c>
      <c r="AC675" s="56">
        <f>'Consumption Model'!P792</f>
        <v>0</v>
      </c>
      <c r="AD675" s="22" t="e">
        <f>IF(LEN(VLOOKUP(AC675,A2:D500,4,FALSE))=0,,VLOOKUP(AC675,A2:D500,4,FALSE))</f>
        <v>#N/A</v>
      </c>
      <c r="AE675" s="22">
        <f>'(Data)'!Q788</f>
        <v>0</v>
      </c>
      <c r="AF675" s="22" t="e">
        <f>IF(LEN(VLOOKUP(AE674:AE675,A2:D500,4,FALSE))=0,,VLOOKUP(AE674:AE675,A2:D500,4,FALSE))</f>
        <v>#N/A</v>
      </c>
      <c r="AH675" s="45">
        <f>'Risk Charact Model'!P806</f>
        <v>0</v>
      </c>
      <c r="AI675" s="58" t="e">
        <f>IF(LEN(VLOOKUP(AH675,A2:D500,4,FALSE))=0,,VLOOKUP(AH675,A2:D500,4,FALSE))</f>
        <v>#N/A</v>
      </c>
    </row>
    <row r="676" spans="9:35" ht="14" x14ac:dyDescent="0.3">
      <c r="I676" s="60">
        <f>'Generic Metadata Schema'!P806</f>
        <v>0</v>
      </c>
      <c r="J676" s="22" t="e">
        <f>IF(LEN(VLOOKUP(I676,A2:D500,4,FALSE))=0,"",VLOOKUP(I676,A2:D500,4,FALSE))</f>
        <v>#N/A</v>
      </c>
      <c r="L676" s="56">
        <f>'Dose-response Model'!O790</f>
        <v>0</v>
      </c>
      <c r="M676" s="22" t="e">
        <f>IF(LEN(VLOOKUP(L676,A2:D500,4,FALSE))=0,,VLOOKUP(L676,A2:D500,4,FALSE))</f>
        <v>#N/A</v>
      </c>
      <c r="N676" s="22">
        <f>'Exposure Model'!O807</f>
        <v>0</v>
      </c>
      <c r="O676" s="22" t="e">
        <f>IF(LEN(VLOOKUP(N676,A2:D500,4,FALSE))=0,,VLOOKUP(N676,A2:D500,4,FALSE))</f>
        <v>#N/A</v>
      </c>
      <c r="P676" s="56">
        <f>'QRA Models'!Q807</f>
        <v>0</v>
      </c>
      <c r="Q676" s="22" t="e">
        <f>IF(LEN(VLOOKUP(P676,A2:D500,4,FALSE))=0,,VLOOKUP(P676,A2:D500,4,FALSE))</f>
        <v>#N/A</v>
      </c>
      <c r="R676" s="56">
        <f>'Health metrics Models'!Q790</f>
        <v>0</v>
      </c>
      <c r="S676" s="22" t="e">
        <f>IF(LEN(VLOOKUP(R676,A2:D500,4,FALSE))=0,,VLOOKUP(R676,A2:D500,4,FALSE))</f>
        <v>#N/A</v>
      </c>
      <c r="T676" s="56">
        <f>'Process Model'!P788</f>
        <v>0</v>
      </c>
      <c r="U676" s="22" t="e">
        <f>IF(LEN(VLOOKUP(T676,A2:D500,4,FALSE))=0,,VLOOKUP(T676,A2:D500,4,FALSE))</f>
        <v>#N/A</v>
      </c>
      <c r="V676" s="56">
        <f>'Toxicological reference value M'!P790</f>
        <v>0</v>
      </c>
      <c r="W676" s="22" t="e">
        <f>IF(LEN(VLOOKUP(V676,A2:D500,4,FALSE))=0,,VLOOKUP(V676,A2:D500,4,FALSE))</f>
        <v>#N/A</v>
      </c>
      <c r="Y676" s="56">
        <f>'Other Empirical Model'!P801</f>
        <v>0</v>
      </c>
      <c r="Z676" s="22" t="e">
        <f>IF(LEN(VLOOKUP(Y676,A2:D500,4,FALSE))=0,,VLOOKUP(Y676,A2:D500,4,FALSE))</f>
        <v>#N/A</v>
      </c>
      <c r="AA676" s="56">
        <f>'Predictive Model'!P788</f>
        <v>0</v>
      </c>
      <c r="AB676" s="22" t="e">
        <f>IF(LEN(VLOOKUP(AA676,A2:D500,4,FALSE))=0,,VLOOKUP(AA676,A2:D500,4,FALSE))</f>
        <v>#N/A</v>
      </c>
      <c r="AC676" s="56">
        <f>'Consumption Model'!P793</f>
        <v>0</v>
      </c>
      <c r="AD676" s="22" t="e">
        <f>IF(LEN(VLOOKUP(AC676,A2:D500,4,FALSE))=0,,VLOOKUP(AC676,A2:D500,4,FALSE))</f>
        <v>#N/A</v>
      </c>
      <c r="AE676" s="22">
        <f>'(Data)'!Q789</f>
        <v>0</v>
      </c>
      <c r="AF676" s="22" t="e">
        <f>IF(LEN(VLOOKUP(AE675:AE676,A2:D500,4,FALSE))=0,,VLOOKUP(AE675:AE676,A2:D500,4,FALSE))</f>
        <v>#N/A</v>
      </c>
      <c r="AH676" s="45">
        <f>'Risk Charact Model'!P807</f>
        <v>0</v>
      </c>
      <c r="AI676" s="58" t="e">
        <f>IF(LEN(VLOOKUP(AH676,A2:D500,4,FALSE))=0,,VLOOKUP(AH676,A2:D500,4,FALSE))</f>
        <v>#N/A</v>
      </c>
    </row>
    <row r="677" spans="9:35" ht="14" x14ac:dyDescent="0.3">
      <c r="I677" s="60">
        <f>'Generic Metadata Schema'!P807</f>
        <v>0</v>
      </c>
      <c r="J677" s="22" t="e">
        <f>IF(LEN(VLOOKUP(I677,A2:D500,4,FALSE))=0,"",VLOOKUP(I677,A2:D500,4,FALSE))</f>
        <v>#N/A</v>
      </c>
      <c r="L677" s="56">
        <f>'Dose-response Model'!O791</f>
        <v>0</v>
      </c>
      <c r="M677" s="22" t="e">
        <f>IF(LEN(VLOOKUP(L677,A2:D500,4,FALSE))=0,,VLOOKUP(L677,A2:D500,4,FALSE))</f>
        <v>#N/A</v>
      </c>
      <c r="N677" s="22">
        <f>'Exposure Model'!O808</f>
        <v>0</v>
      </c>
      <c r="O677" s="22" t="e">
        <f>IF(LEN(VLOOKUP(N677,A2:D500,4,FALSE))=0,,VLOOKUP(N677,A2:D500,4,FALSE))</f>
        <v>#N/A</v>
      </c>
      <c r="P677" s="56">
        <f>'QRA Models'!Q808</f>
        <v>0</v>
      </c>
      <c r="Q677" s="22" t="e">
        <f>IF(LEN(VLOOKUP(P677,A2:D500,4,FALSE))=0,,VLOOKUP(P677,A2:D500,4,FALSE))</f>
        <v>#N/A</v>
      </c>
      <c r="R677" s="56">
        <f>'Health metrics Models'!Q791</f>
        <v>0</v>
      </c>
      <c r="S677" s="22" t="e">
        <f>IF(LEN(VLOOKUP(R677,A2:D500,4,FALSE))=0,,VLOOKUP(R677,A2:D500,4,FALSE))</f>
        <v>#N/A</v>
      </c>
      <c r="T677" s="56">
        <f>'Process Model'!P789</f>
        <v>0</v>
      </c>
      <c r="U677" s="22" t="e">
        <f>IF(LEN(VLOOKUP(T677,A2:D500,4,FALSE))=0,,VLOOKUP(T677,A2:D500,4,FALSE))</f>
        <v>#N/A</v>
      </c>
      <c r="V677" s="56">
        <f>'Toxicological reference value M'!P791</f>
        <v>0</v>
      </c>
      <c r="W677" s="22" t="e">
        <f>IF(LEN(VLOOKUP(V677,A2:D500,4,FALSE))=0,,VLOOKUP(V677,A2:D500,4,FALSE))</f>
        <v>#N/A</v>
      </c>
      <c r="Y677" s="56">
        <f>'Other Empirical Model'!P802</f>
        <v>0</v>
      </c>
      <c r="Z677" s="22" t="e">
        <f>IF(LEN(VLOOKUP(Y677,A2:D500,4,FALSE))=0,,VLOOKUP(Y677,A2:D500,4,FALSE))</f>
        <v>#N/A</v>
      </c>
      <c r="AA677" s="56">
        <f>'Predictive Model'!P789</f>
        <v>0</v>
      </c>
      <c r="AB677" s="22" t="e">
        <f>IF(LEN(VLOOKUP(AA677,A2:D500,4,FALSE))=0,,VLOOKUP(AA677,A2:D500,4,FALSE))</f>
        <v>#N/A</v>
      </c>
      <c r="AC677" s="56">
        <f>'Consumption Model'!P794</f>
        <v>0</v>
      </c>
      <c r="AD677" s="22" t="e">
        <f>IF(LEN(VLOOKUP(AC677,A2:D500,4,FALSE))=0,,VLOOKUP(AC677,A2:D500,4,FALSE))</f>
        <v>#N/A</v>
      </c>
      <c r="AE677" s="22">
        <f>'(Data)'!Q790</f>
        <v>0</v>
      </c>
      <c r="AF677" s="22" t="e">
        <f>IF(LEN(VLOOKUP(AE676:AE677,A2:D500,4,FALSE))=0,,VLOOKUP(AE676:AE677,A2:D500,4,FALSE))</f>
        <v>#N/A</v>
      </c>
      <c r="AH677" s="45">
        <f>'Risk Charact Model'!P808</f>
        <v>0</v>
      </c>
      <c r="AI677" s="58" t="e">
        <f>IF(LEN(VLOOKUP(AH677,A2:D500,4,FALSE))=0,,VLOOKUP(AH677,A2:D500,4,FALSE))</f>
        <v>#N/A</v>
      </c>
    </row>
    <row r="678" spans="9:35" ht="14" x14ac:dyDescent="0.3">
      <c r="I678" s="60">
        <f>'Generic Metadata Schema'!P808</f>
        <v>0</v>
      </c>
      <c r="J678" s="22" t="e">
        <f>IF(LEN(VLOOKUP(I678,A2:D500,4,FALSE))=0,"",VLOOKUP(I678,A2:D500,4,FALSE))</f>
        <v>#N/A</v>
      </c>
      <c r="L678" s="56">
        <f>'Dose-response Model'!O792</f>
        <v>0</v>
      </c>
      <c r="M678" s="22" t="e">
        <f>IF(LEN(VLOOKUP(L678,A2:D500,4,FALSE))=0,,VLOOKUP(L678,A2:D500,4,FALSE))</f>
        <v>#N/A</v>
      </c>
      <c r="N678" s="22">
        <f>'Exposure Model'!O809</f>
        <v>0</v>
      </c>
      <c r="O678" s="22" t="e">
        <f>IF(LEN(VLOOKUP(N678,A2:D500,4,FALSE))=0,,VLOOKUP(N678,A2:D500,4,FALSE))</f>
        <v>#N/A</v>
      </c>
      <c r="P678" s="56">
        <f>'QRA Models'!Q809</f>
        <v>0</v>
      </c>
      <c r="Q678" s="22" t="e">
        <f>IF(LEN(VLOOKUP(P678,A2:D500,4,FALSE))=0,,VLOOKUP(P678,A2:D500,4,FALSE))</f>
        <v>#N/A</v>
      </c>
      <c r="R678" s="56">
        <f>'Health metrics Models'!Q792</f>
        <v>0</v>
      </c>
      <c r="S678" s="22" t="e">
        <f>IF(LEN(VLOOKUP(R678,A2:D500,4,FALSE))=0,,VLOOKUP(R678,A2:D500,4,FALSE))</f>
        <v>#N/A</v>
      </c>
      <c r="T678" s="56">
        <f>'Process Model'!P790</f>
        <v>0</v>
      </c>
      <c r="U678" s="22" t="e">
        <f>IF(LEN(VLOOKUP(T678,A2:D500,4,FALSE))=0,,VLOOKUP(T678,A2:D500,4,FALSE))</f>
        <v>#N/A</v>
      </c>
      <c r="V678" s="56">
        <f>'Toxicological reference value M'!P792</f>
        <v>0</v>
      </c>
      <c r="W678" s="22" t="e">
        <f>IF(LEN(VLOOKUP(V678,A2:D500,4,FALSE))=0,,VLOOKUP(V678,A2:D500,4,FALSE))</f>
        <v>#N/A</v>
      </c>
      <c r="Y678" s="56">
        <f>'Other Empirical Model'!P803</f>
        <v>0</v>
      </c>
      <c r="Z678" s="22" t="e">
        <f>IF(LEN(VLOOKUP(Y678,A2:D500,4,FALSE))=0,,VLOOKUP(Y678,A2:D500,4,FALSE))</f>
        <v>#N/A</v>
      </c>
      <c r="AA678" s="56">
        <f>'Predictive Model'!P790</f>
        <v>0</v>
      </c>
      <c r="AB678" s="22" t="e">
        <f>IF(LEN(VLOOKUP(AA678,A2:D500,4,FALSE))=0,,VLOOKUP(AA678,A2:D500,4,FALSE))</f>
        <v>#N/A</v>
      </c>
      <c r="AC678" s="56">
        <f>'Consumption Model'!P795</f>
        <v>0</v>
      </c>
      <c r="AD678" s="22" t="e">
        <f>IF(LEN(VLOOKUP(AC678,A2:D500,4,FALSE))=0,,VLOOKUP(AC678,A2:D500,4,FALSE))</f>
        <v>#N/A</v>
      </c>
      <c r="AE678" s="22">
        <f>'(Data)'!Q791</f>
        <v>0</v>
      </c>
      <c r="AF678" s="22" t="e">
        <f>IF(LEN(VLOOKUP(AE677:AE678,A2:D500,4,FALSE))=0,,VLOOKUP(AE677:AE678,A2:D500,4,FALSE))</f>
        <v>#N/A</v>
      </c>
      <c r="AH678" s="45">
        <f>'Risk Charact Model'!P809</f>
        <v>0</v>
      </c>
      <c r="AI678" s="58" t="e">
        <f>IF(LEN(VLOOKUP(AH678,A2:D500,4,FALSE))=0,,VLOOKUP(AH678,A2:D500,4,FALSE))</f>
        <v>#N/A</v>
      </c>
    </row>
    <row r="679" spans="9:35" ht="14" x14ac:dyDescent="0.3">
      <c r="I679" s="60">
        <f>'Generic Metadata Schema'!P809</f>
        <v>0</v>
      </c>
      <c r="J679" s="22" t="e">
        <f>IF(LEN(VLOOKUP(I679,A2:D500,4,FALSE))=0,"",VLOOKUP(I679,A2:D500,4,FALSE))</f>
        <v>#N/A</v>
      </c>
      <c r="L679" s="56">
        <f>'Dose-response Model'!O793</f>
        <v>0</v>
      </c>
      <c r="M679" s="22" t="e">
        <f>IF(LEN(VLOOKUP(L679,A2:D500,4,FALSE))=0,,VLOOKUP(L679,A2:D500,4,FALSE))</f>
        <v>#N/A</v>
      </c>
      <c r="N679" s="22">
        <f>'Exposure Model'!O810</f>
        <v>0</v>
      </c>
      <c r="O679" s="22" t="e">
        <f>IF(LEN(VLOOKUP(N679,A2:D500,4,FALSE))=0,,VLOOKUP(N679,A2:D500,4,FALSE))</f>
        <v>#N/A</v>
      </c>
      <c r="P679" s="56">
        <f>'QRA Models'!Q810</f>
        <v>0</v>
      </c>
      <c r="Q679" s="22" t="e">
        <f>IF(LEN(VLOOKUP(P679,A2:D500,4,FALSE))=0,,VLOOKUP(P679,A2:D500,4,FALSE))</f>
        <v>#N/A</v>
      </c>
      <c r="R679" s="56">
        <f>'Health metrics Models'!Q793</f>
        <v>0</v>
      </c>
      <c r="S679" s="22" t="e">
        <f>IF(LEN(VLOOKUP(R679,A2:D500,4,FALSE))=0,,VLOOKUP(R679,A2:D500,4,FALSE))</f>
        <v>#N/A</v>
      </c>
      <c r="T679" s="56">
        <f>'Process Model'!P791</f>
        <v>0</v>
      </c>
      <c r="U679" s="22" t="e">
        <f>IF(LEN(VLOOKUP(T679,A2:D500,4,FALSE))=0,,VLOOKUP(T679,A2:D500,4,FALSE))</f>
        <v>#N/A</v>
      </c>
      <c r="V679" s="56">
        <f>'Toxicological reference value M'!P793</f>
        <v>0</v>
      </c>
      <c r="W679" s="22" t="e">
        <f>IF(LEN(VLOOKUP(V679,A2:D500,4,FALSE))=0,,VLOOKUP(V679,A2:D500,4,FALSE))</f>
        <v>#N/A</v>
      </c>
      <c r="Y679" s="56">
        <f>'Other Empirical Model'!P804</f>
        <v>0</v>
      </c>
      <c r="Z679" s="22" t="e">
        <f>IF(LEN(VLOOKUP(Y679,A2:D500,4,FALSE))=0,,VLOOKUP(Y679,A2:D500,4,FALSE))</f>
        <v>#N/A</v>
      </c>
      <c r="AA679" s="56">
        <f>'Predictive Model'!P791</f>
        <v>0</v>
      </c>
      <c r="AB679" s="22" t="e">
        <f>IF(LEN(VLOOKUP(AA679,A2:D500,4,FALSE))=0,,VLOOKUP(AA679,A2:D500,4,FALSE))</f>
        <v>#N/A</v>
      </c>
      <c r="AC679" s="56">
        <f>'Consumption Model'!P796</f>
        <v>0</v>
      </c>
      <c r="AD679" s="22" t="e">
        <f>IF(LEN(VLOOKUP(AC679,A2:D500,4,FALSE))=0,,VLOOKUP(AC679,A2:D500,4,FALSE))</f>
        <v>#N/A</v>
      </c>
      <c r="AE679" s="22">
        <f>'(Data)'!Q792</f>
        <v>0</v>
      </c>
      <c r="AF679" s="22" t="e">
        <f>IF(LEN(VLOOKUP(AE678:AE679,A2:D500,4,FALSE))=0,,VLOOKUP(AE678:AE679,A2:D500,4,FALSE))</f>
        <v>#N/A</v>
      </c>
      <c r="AH679" s="45">
        <f>'Risk Charact Model'!P810</f>
        <v>0</v>
      </c>
      <c r="AI679" s="58" t="e">
        <f>IF(LEN(VLOOKUP(AH679,A2:D500,4,FALSE))=0,,VLOOKUP(AH679,A2:D500,4,FALSE))</f>
        <v>#N/A</v>
      </c>
    </row>
    <row r="680" spans="9:35" ht="14" x14ac:dyDescent="0.3">
      <c r="I680" s="60">
        <f>'Generic Metadata Schema'!P810</f>
        <v>0</v>
      </c>
      <c r="J680" s="22" t="e">
        <f>IF(LEN(VLOOKUP(I680,A2:D500,4,FALSE))=0,"",VLOOKUP(I680,A2:D500,4,FALSE))</f>
        <v>#N/A</v>
      </c>
      <c r="L680" s="56">
        <f>'Dose-response Model'!O794</f>
        <v>0</v>
      </c>
      <c r="M680" s="22" t="e">
        <f>IF(LEN(VLOOKUP(L680,A2:D500,4,FALSE))=0,,VLOOKUP(L680,A2:D500,4,FALSE))</f>
        <v>#N/A</v>
      </c>
      <c r="N680" s="22">
        <f>'Exposure Model'!O811</f>
        <v>0</v>
      </c>
      <c r="O680" s="22" t="e">
        <f>IF(LEN(VLOOKUP(N680,A2:D500,4,FALSE))=0,,VLOOKUP(N680,A2:D500,4,FALSE))</f>
        <v>#N/A</v>
      </c>
      <c r="P680" s="56">
        <f>'QRA Models'!Q811</f>
        <v>0</v>
      </c>
      <c r="Q680" s="22" t="e">
        <f>IF(LEN(VLOOKUP(P680,A2:D500,4,FALSE))=0,,VLOOKUP(P680,A2:D500,4,FALSE))</f>
        <v>#N/A</v>
      </c>
      <c r="R680" s="56">
        <f>'Health metrics Models'!Q794</f>
        <v>0</v>
      </c>
      <c r="S680" s="22" t="e">
        <f>IF(LEN(VLOOKUP(R680,A2:D500,4,FALSE))=0,,VLOOKUP(R680,A2:D500,4,FALSE))</f>
        <v>#N/A</v>
      </c>
      <c r="T680" s="56">
        <f>'Process Model'!P792</f>
        <v>0</v>
      </c>
      <c r="U680" s="22" t="e">
        <f>IF(LEN(VLOOKUP(T680,A2:D500,4,FALSE))=0,,VLOOKUP(T680,A2:D500,4,FALSE))</f>
        <v>#N/A</v>
      </c>
      <c r="V680" s="56">
        <f>'Toxicological reference value M'!P794</f>
        <v>0</v>
      </c>
      <c r="W680" s="22" t="e">
        <f>IF(LEN(VLOOKUP(V680,A2:D500,4,FALSE))=0,,VLOOKUP(V680,A2:D500,4,FALSE))</f>
        <v>#N/A</v>
      </c>
      <c r="Y680" s="56">
        <f>'Other Empirical Model'!P805</f>
        <v>0</v>
      </c>
      <c r="Z680" s="22" t="e">
        <f>IF(LEN(VLOOKUP(Y680,A2:D500,4,FALSE))=0,,VLOOKUP(Y680,A2:D500,4,FALSE))</f>
        <v>#N/A</v>
      </c>
      <c r="AA680" s="56">
        <f>'Predictive Model'!P792</f>
        <v>0</v>
      </c>
      <c r="AB680" s="22" t="e">
        <f>IF(LEN(VLOOKUP(AA680,A2:D500,4,FALSE))=0,,VLOOKUP(AA680,A2:D500,4,FALSE))</f>
        <v>#N/A</v>
      </c>
      <c r="AC680" s="56">
        <f>'Consumption Model'!P797</f>
        <v>0</v>
      </c>
      <c r="AD680" s="22" t="e">
        <f>IF(LEN(VLOOKUP(AC680,A2:D500,4,FALSE))=0,,VLOOKUP(AC680,A2:D500,4,FALSE))</f>
        <v>#N/A</v>
      </c>
    </row>
    <row r="681" spans="9:35" ht="14" x14ac:dyDescent="0.3">
      <c r="T681" s="56"/>
      <c r="V681" s="56">
        <f>'Toxicological reference value M'!P795</f>
        <v>0</v>
      </c>
      <c r="Y681" s="56">
        <f>'Other Empirical Model'!P806</f>
        <v>0</v>
      </c>
      <c r="AA681" s="56">
        <f>'Predictive Model'!P793</f>
        <v>0</v>
      </c>
      <c r="AC681" s="56">
        <f>'Consumption Model'!P798</f>
        <v>0</v>
      </c>
    </row>
    <row r="682" spans="9:35" ht="14" x14ac:dyDescent="0.3">
      <c r="T682" s="56"/>
      <c r="V682" s="56">
        <f>'Toxicological reference value M'!P796</f>
        <v>0</v>
      </c>
      <c r="Y682" s="56">
        <f>'Other Empirical Model'!P807</f>
        <v>0</v>
      </c>
      <c r="AA682" s="56">
        <f>'Predictive Model'!P794</f>
        <v>0</v>
      </c>
      <c r="AC682" s="56">
        <f>'Consumption Model'!P799</f>
        <v>0</v>
      </c>
    </row>
    <row r="683" spans="9:35" ht="14" x14ac:dyDescent="0.3">
      <c r="T683" s="56"/>
      <c r="V683" s="56">
        <f>'Toxicological reference value M'!P797</f>
        <v>0</v>
      </c>
      <c r="Y683" s="56">
        <f>'Other Empirical Model'!P808</f>
        <v>0</v>
      </c>
      <c r="AA683" s="56">
        <f>'Predictive Model'!P795</f>
        <v>0</v>
      </c>
      <c r="AC683" s="56">
        <f>'Consumption Model'!P800</f>
        <v>0</v>
      </c>
    </row>
    <row r="684" spans="9:35" ht="14" x14ac:dyDescent="0.3">
      <c r="T684" s="56"/>
      <c r="V684" s="56">
        <f>'Toxicological reference value M'!P798</f>
        <v>0</v>
      </c>
      <c r="Y684" s="56">
        <f>'Other Empirical Model'!P809</f>
        <v>0</v>
      </c>
      <c r="AA684" s="56">
        <f>'Predictive Model'!P796</f>
        <v>0</v>
      </c>
      <c r="AC684" s="56">
        <f>'Consumption Model'!P801</f>
        <v>0</v>
      </c>
    </row>
    <row r="685" spans="9:35" ht="14" x14ac:dyDescent="0.3">
      <c r="T685" s="56"/>
      <c r="V685" s="56">
        <f>'Toxicological reference value M'!P799</f>
        <v>0</v>
      </c>
      <c r="Y685" s="56">
        <f>'Other Empirical Model'!P810</f>
        <v>0</v>
      </c>
      <c r="AA685" s="56">
        <f>'Predictive Model'!P797</f>
        <v>0</v>
      </c>
      <c r="AC685" s="56">
        <f>'Consumption Model'!P802</f>
        <v>0</v>
      </c>
    </row>
    <row r="686" spans="9:35" ht="14" x14ac:dyDescent="0.3">
      <c r="T686" s="56"/>
      <c r="V686" s="56">
        <f>'Toxicological reference value M'!P800</f>
        <v>0</v>
      </c>
      <c r="Y686" s="56">
        <f>'Other Empirical Model'!P811</f>
        <v>0</v>
      </c>
      <c r="AA686" s="56">
        <f>'Predictive Model'!P798</f>
        <v>0</v>
      </c>
      <c r="AC686" s="56">
        <f>'Consumption Model'!P803</f>
        <v>0</v>
      </c>
    </row>
    <row r="687" spans="9:35" ht="14" x14ac:dyDescent="0.3">
      <c r="T687" s="56"/>
      <c r="V687" s="56">
        <f>'Toxicological reference value M'!P801</f>
        <v>0</v>
      </c>
      <c r="Y687" s="56">
        <f>'Other Empirical Model'!P812</f>
        <v>0</v>
      </c>
      <c r="AA687" s="56">
        <f>'Predictive Model'!P799</f>
        <v>0</v>
      </c>
      <c r="AC687" s="56">
        <f>'Consumption Model'!P804</f>
        <v>0</v>
      </c>
    </row>
    <row r="688" spans="9:35" ht="14" x14ac:dyDescent="0.3">
      <c r="T688" s="56"/>
      <c r="V688" s="56">
        <f>'Toxicological reference value M'!P802</f>
        <v>0</v>
      </c>
      <c r="Y688" s="56">
        <f>'Other Empirical Model'!P813</f>
        <v>0</v>
      </c>
      <c r="AA688" s="56">
        <f>'Predictive Model'!P800</f>
        <v>0</v>
      </c>
      <c r="AC688" s="56">
        <f>'Consumption Model'!P805</f>
        <v>0</v>
      </c>
    </row>
    <row r="689" spans="20:29" ht="14" x14ac:dyDescent="0.3">
      <c r="T689" s="56"/>
      <c r="V689" s="56">
        <f>'Toxicological reference value M'!P803</f>
        <v>0</v>
      </c>
      <c r="Y689" s="56">
        <f>'Other Empirical Model'!P814</f>
        <v>0</v>
      </c>
      <c r="AA689" s="56">
        <f>'Predictive Model'!P801</f>
        <v>0</v>
      </c>
      <c r="AC689" s="56">
        <f>'Consumption Model'!P806</f>
        <v>0</v>
      </c>
    </row>
    <row r="690" spans="20:29" ht="14" x14ac:dyDescent="0.3">
      <c r="T690" s="56"/>
      <c r="V690" s="56">
        <f>'Toxicological reference value M'!P804</f>
        <v>0</v>
      </c>
      <c r="Y690" s="56">
        <f>'Other Empirical Model'!P815</f>
        <v>0</v>
      </c>
      <c r="AA690" s="56">
        <f>'Predictive Model'!P802</f>
        <v>0</v>
      </c>
      <c r="AC690" s="56">
        <f>'Consumption Model'!P807</f>
        <v>0</v>
      </c>
    </row>
    <row r="691" spans="20:29" ht="14" x14ac:dyDescent="0.3">
      <c r="T691" s="56"/>
      <c r="V691" s="56">
        <f>'Toxicological reference value M'!P805</f>
        <v>0</v>
      </c>
      <c r="Y691" s="56">
        <f>'Other Empirical Model'!P816</f>
        <v>0</v>
      </c>
      <c r="AA691" s="56">
        <f>'Predictive Model'!P803</f>
        <v>0</v>
      </c>
      <c r="AC691" s="56">
        <f>'Consumption Model'!P808</f>
        <v>0</v>
      </c>
    </row>
    <row r="692" spans="20:29" ht="14" x14ac:dyDescent="0.3">
      <c r="T692" s="56"/>
      <c r="V692" s="56">
        <f>'Toxicological reference value M'!P806</f>
        <v>0</v>
      </c>
      <c r="Y692" s="56">
        <f>'Other Empirical Model'!P817</f>
        <v>0</v>
      </c>
      <c r="AA692" s="56">
        <f>'Predictive Model'!P804</f>
        <v>0</v>
      </c>
      <c r="AC692" s="56">
        <f>'Consumption Model'!P809</f>
        <v>0</v>
      </c>
    </row>
    <row r="693" spans="20:29" ht="14" x14ac:dyDescent="0.3">
      <c r="T693" s="56"/>
      <c r="V693" s="56">
        <f>'Toxicological reference value M'!P807</f>
        <v>0</v>
      </c>
      <c r="Y693" s="56">
        <f>'Other Empirical Model'!P818</f>
        <v>0</v>
      </c>
      <c r="AA693" s="56">
        <f>'Predictive Model'!P805</f>
        <v>0</v>
      </c>
      <c r="AC693" s="56">
        <f>'Consumption Model'!P810</f>
        <v>0</v>
      </c>
    </row>
    <row r="694" spans="20:29" ht="14" x14ac:dyDescent="0.3">
      <c r="T694" s="56"/>
      <c r="V694" s="56">
        <f>'Toxicological reference value M'!P808</f>
        <v>0</v>
      </c>
      <c r="Y694" s="56">
        <f>'Other Empirical Model'!P819</f>
        <v>0</v>
      </c>
      <c r="AA694" s="56">
        <f>'Predictive Model'!P806</f>
        <v>0</v>
      </c>
      <c r="AC694" s="56">
        <f>'Consumption Model'!P811</f>
        <v>0</v>
      </c>
    </row>
    <row r="695" spans="20:29" ht="14" x14ac:dyDescent="0.3">
      <c r="T695" s="56"/>
      <c r="V695" s="56">
        <f>'Toxicological reference value M'!P809</f>
        <v>0</v>
      </c>
      <c r="Y695" s="56">
        <f>'Other Empirical Model'!P820</f>
        <v>0</v>
      </c>
      <c r="AA695" s="56">
        <f>'Predictive Model'!P807</f>
        <v>0</v>
      </c>
    </row>
    <row r="696" spans="20:29" ht="14" x14ac:dyDescent="0.3">
      <c r="T696" s="56"/>
      <c r="V696" s="56">
        <f>'Toxicological reference value M'!P810</f>
        <v>0</v>
      </c>
      <c r="Y696" s="56">
        <f>'Other Empirical Model'!P821</f>
        <v>0</v>
      </c>
    </row>
    <row r="697" spans="20:29" ht="14" x14ac:dyDescent="0.3">
      <c r="T697" s="56"/>
      <c r="V697" s="56">
        <f>'Toxicological reference value M'!P811</f>
        <v>0</v>
      </c>
    </row>
    <row r="698" spans="20:29" ht="14" x14ac:dyDescent="0.3">
      <c r="T698" s="56"/>
    </row>
    <row r="699" spans="20:29" ht="14" x14ac:dyDescent="0.3">
      <c r="T699" s="56"/>
    </row>
    <row r="700" spans="20:29" ht="14" x14ac:dyDescent="0.3">
      <c r="T700" s="56"/>
    </row>
    <row r="701" spans="20:29" ht="14" x14ac:dyDescent="0.3">
      <c r="T701" s="56"/>
    </row>
    <row r="702" spans="20:29" ht="14" x14ac:dyDescent="0.3">
      <c r="T702" s="56"/>
    </row>
    <row r="703" spans="20:29" ht="14" x14ac:dyDescent="0.3">
      <c r="T703" s="56"/>
    </row>
    <row r="704" spans="20:29" ht="14" x14ac:dyDescent="0.3">
      <c r="T704" s="56"/>
    </row>
    <row r="705" spans="20:20" ht="14" x14ac:dyDescent="0.3">
      <c r="T705" s="56"/>
    </row>
    <row r="706" spans="20:20" ht="14" x14ac:dyDescent="0.3">
      <c r="T706" s="56"/>
    </row>
    <row r="707" spans="20:20" ht="14" x14ac:dyDescent="0.3">
      <c r="T707" s="56"/>
    </row>
    <row r="708" spans="20:20" ht="14" x14ac:dyDescent="0.3">
      <c r="T708" s="5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V259"/>
  <sheetViews>
    <sheetView workbookViewId="0"/>
  </sheetViews>
  <sheetFormatPr defaultColWidth="14.453125" defaultRowHeight="15.75" customHeight="1" x14ac:dyDescent="0.25"/>
  <cols>
    <col min="1" max="1" width="8" customWidth="1"/>
    <col min="2" max="2" width="12.81640625" customWidth="1"/>
    <col min="3" max="3" width="19.26953125" customWidth="1"/>
    <col min="4" max="4" width="9.54296875" customWidth="1"/>
    <col min="5" max="5" width="15.7265625" customWidth="1"/>
    <col min="6" max="6" width="6" customWidth="1"/>
    <col min="7" max="7" width="29.1796875" customWidth="1"/>
    <col min="8" max="8" width="6.1796875" customWidth="1"/>
    <col min="9" max="9" width="44.453125" customWidth="1"/>
    <col min="13" max="13" width="16.81640625" customWidth="1"/>
  </cols>
  <sheetData>
    <row r="1" spans="1:48" ht="14" x14ac:dyDescent="0.3">
      <c r="A1" s="42" t="str">
        <f ca="1">IFERROR(__xludf.DUMMYFUNCTION("QUERY(IMPORTRANGE(""https://docs.google.com/spreadsheets/d/1R5ofJAIqAywN97cnBY9R9kqj10AvQOs3Gq472n6iDyc/edit#gid=811823962"",""Exposure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2"/>
      <c r="K1" s="97" t="str">
        <f ca="1">E6</f>
        <v>Creator</v>
      </c>
      <c r="L1" s="96"/>
      <c r="M1" s="96"/>
      <c r="N1" s="96"/>
      <c r="O1" s="96"/>
      <c r="P1" s="96"/>
      <c r="Q1" s="96"/>
      <c r="R1" s="96"/>
      <c r="S1" s="96"/>
      <c r="T1" s="96"/>
      <c r="U1" s="96"/>
      <c r="V1" s="96"/>
      <c r="W1" s="96"/>
      <c r="X1" s="96"/>
      <c r="Y1" s="96"/>
      <c r="Z1" s="4"/>
      <c r="AA1" s="97" t="str">
        <f ca="1">E5</f>
        <v>Author</v>
      </c>
      <c r="AB1" s="96"/>
      <c r="AC1" s="96"/>
      <c r="AD1" s="96"/>
      <c r="AE1" s="96"/>
      <c r="AF1" s="96"/>
      <c r="AG1" s="96"/>
      <c r="AH1" s="96"/>
      <c r="AI1" s="96"/>
      <c r="AJ1" s="96"/>
      <c r="AK1" s="96"/>
      <c r="AL1" s="96"/>
      <c r="AM1" s="96"/>
      <c r="AN1" s="96"/>
      <c r="AO1" s="96"/>
      <c r="AP1" s="4"/>
      <c r="AQ1" s="4"/>
      <c r="AR1" s="4"/>
      <c r="AS1" s="4"/>
      <c r="AT1" s="4"/>
      <c r="AU1" s="4"/>
      <c r="AV1" s="4"/>
    </row>
    <row r="2" spans="1:48" ht="12.5" x14ac:dyDescent="0.25">
      <c r="A2" s="4" t="str">
        <f ca="1">IFERROR(__xludf.DUMMYFUNCTION("""COMPUTED_VALUE"""),"Yes")</f>
        <v>Yes</v>
      </c>
      <c r="B2" s="4" t="str">
        <f ca="1">IFERROR(__xludf.DUMMYFUNCTION("""COMPUTED_VALUE"""),"Yes")</f>
        <v>Yes</v>
      </c>
      <c r="C2" s="95" t="str">
        <f ca="1">IFERROR(__xludf.DUMMYFUNCTION("""COMPUTED_VALUE"""),"General information")</f>
        <v>General information</v>
      </c>
      <c r="D2" s="95" t="str">
        <f ca="1">IFERROR(__xludf.DUMMYFUNCTION("""COMPUTED_VALUE"""),"1")</f>
        <v>1</v>
      </c>
      <c r="E2" s="5" t="str">
        <f ca="1">IFERROR(__xludf.DUMMYFUNCTION("""COMPUTED_VALUE"""),"Model name")</f>
        <v>Model name</v>
      </c>
      <c r="F2" s="97" t="str">
        <f ca="1">IFERROR(__xludf.DUMMYFUNCTION("""COMPUTED_VALUE"""),"1")</f>
        <v>1</v>
      </c>
      <c r="G2" s="96"/>
      <c r="H2" s="96"/>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c r="AP2" s="4"/>
      <c r="AQ2" s="4"/>
      <c r="AR2" s="4"/>
      <c r="AS2" s="4"/>
      <c r="AT2" s="4"/>
      <c r="AU2" s="4"/>
      <c r="AV2" s="4"/>
    </row>
    <row r="3" spans="1:48" ht="12.5" x14ac:dyDescent="0.25">
      <c r="A3" s="4" t="str">
        <f ca="1">IFERROR(__xludf.DUMMYFUNCTION("""COMPUTED_VALUE"""),"Yes")</f>
        <v>Yes</v>
      </c>
      <c r="B3" s="4" t="str">
        <f ca="1">IFERROR(__xludf.DUMMYFUNCTION("""COMPUTED_VALUE"""),"Yes")</f>
        <v>Yes</v>
      </c>
      <c r="C3" s="96"/>
      <c r="D3" s="96"/>
      <c r="E3" s="5" t="str">
        <f ca="1">IFERROR(__xludf.DUMMYFUNCTION("""COMPUTED_VALUE"""),"Source")</f>
        <v>Source</v>
      </c>
      <c r="F3" s="97" t="str">
        <f ca="1">IFERROR(__xludf.DUMMYFUNCTION("""COMPUTED_VALUE"""),"0:1")</f>
        <v>0:1</v>
      </c>
      <c r="G3" s="96"/>
      <c r="H3" s="96"/>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x14ac:dyDescent="0.25">
      <c r="A4" s="4" t="str">
        <f ca="1">IFERROR(__xludf.DUMMYFUNCTION("""COMPUTED_VALUE"""),"Yes")</f>
        <v>Yes</v>
      </c>
      <c r="B4" s="4" t="str">
        <f ca="1">IFERROR(__xludf.DUMMYFUNCTION("""COMPUTED_VALUE"""),"Yes")</f>
        <v>Yes</v>
      </c>
      <c r="C4" s="96"/>
      <c r="D4" s="96"/>
      <c r="E4" s="5" t="str">
        <f ca="1">IFERROR(__xludf.DUMMYFUNCTION("""COMPUTED_VALUE"""),"Identifier")</f>
        <v>Identifier</v>
      </c>
      <c r="F4" s="97" t="str">
        <f ca="1">IFERROR(__xludf.DUMMYFUNCTION("""COMPUTED_VALUE"""),"1")</f>
        <v>1</v>
      </c>
      <c r="G4" s="96"/>
      <c r="H4" s="96"/>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x14ac:dyDescent="0.25">
      <c r="A5" s="4" t="str">
        <f ca="1">IFERROR(__xludf.DUMMYFUNCTION("""COMPUTED_VALUE"""),"Yes")</f>
        <v>Yes</v>
      </c>
      <c r="B5" s="4" t="str">
        <f ca="1">IFERROR(__xludf.DUMMYFUNCTION("""COMPUTED_VALUE"""),"No")</f>
        <v>No</v>
      </c>
      <c r="C5" s="96"/>
      <c r="D5" s="96"/>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x14ac:dyDescent="0.25">
      <c r="A6" s="4" t="str">
        <f ca="1">IFERROR(__xludf.DUMMYFUNCTION("""COMPUTED_VALUE"""),"Yes")</f>
        <v>Yes</v>
      </c>
      <c r="B6" s="4" t="str">
        <f ca="1">IFERROR(__xludf.DUMMYFUNCTION("""COMPUTED_VALUE"""),"Yes")</f>
        <v>Yes</v>
      </c>
      <c r="C6" s="96"/>
      <c r="D6" s="96"/>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x14ac:dyDescent="0.25">
      <c r="A7" s="4" t="str">
        <f ca="1">IFERROR(__xludf.DUMMYFUNCTION("""COMPUTED_VALUE"""),"Yes")</f>
        <v>Yes</v>
      </c>
      <c r="B7" s="4" t="str">
        <f ca="1">IFERROR(__xludf.DUMMYFUNCTION("""COMPUTED_VALUE"""),"Yes")</f>
        <v>Yes</v>
      </c>
      <c r="C7" s="96"/>
      <c r="D7" s="96"/>
      <c r="E7" s="97" t="str">
        <f ca="1">IFERROR(__xludf.DUMMYFUNCTION("""COMPUTED_VALUE"""),"Date")</f>
        <v>Date</v>
      </c>
      <c r="F7" s="97" t="str">
        <f ca="1">IFERROR(__xludf.DUMMYFUNCTION("""COMPUTED_VALUE"""),"1:N")</f>
        <v>1:N</v>
      </c>
      <c r="G7" s="7"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x14ac:dyDescent="0.25">
      <c r="A8" s="4" t="str">
        <f ca="1">IFERROR(__xludf.DUMMYFUNCTION("""COMPUTED_VALUE"""),"Yes")</f>
        <v>Yes</v>
      </c>
      <c r="B8" s="4" t="str">
        <f ca="1">IFERROR(__xludf.DUMMYFUNCTION("""COMPUTED_VALUE"""),"No")</f>
        <v>No</v>
      </c>
      <c r="C8" s="96"/>
      <c r="D8" s="96"/>
      <c r="E8" s="96"/>
      <c r="F8" s="96"/>
      <c r="G8" s="7"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x14ac:dyDescent="0.25">
      <c r="A9" s="4" t="str">
        <f ca="1">IFERROR(__xludf.DUMMYFUNCTION("""COMPUTED_VALUE"""),"Yes")</f>
        <v>Yes</v>
      </c>
      <c r="B9" s="4" t="str">
        <f ca="1">IFERROR(__xludf.DUMMYFUNCTION("""COMPUTED_VALUE"""),"Yes")</f>
        <v>Yes</v>
      </c>
      <c r="C9" s="96"/>
      <c r="D9" s="96"/>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x14ac:dyDescent="0.25">
      <c r="A10" s="4" t="str">
        <f ca="1">IFERROR(__xludf.DUMMYFUNCTION("""COMPUTED_VALUE"""),"Yes")</f>
        <v>Yes</v>
      </c>
      <c r="B10" s="4" t="str">
        <f ca="1">IFERROR(__xludf.DUMMYFUNCTION("""COMPUTED_VALUE"""),"No")</f>
        <v>No</v>
      </c>
      <c r="C10" s="96"/>
      <c r="D10" s="96"/>
      <c r="E10" s="5" t="str">
        <f ca="1">IFERROR(__xludf.DUMMYFUNCTION("""COMPUTED_VALUE"""),"Availability")</f>
        <v>Availability</v>
      </c>
      <c r="F10" s="97" t="str">
        <f ca="1">IFERROR(__xludf.DUMMYFUNCTION("""COMPUTED_VALUE"""),"0:1")</f>
        <v>0:1</v>
      </c>
      <c r="G10" s="96"/>
      <c r="H10" s="96"/>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x14ac:dyDescent="0.25">
      <c r="A11" s="4" t="str">
        <f ca="1">IFERROR(__xludf.DUMMYFUNCTION("""COMPUTED_VALUE"""),"Yes")</f>
        <v>Yes</v>
      </c>
      <c r="B11" s="4" t="str">
        <f ca="1">IFERROR(__xludf.DUMMYFUNCTION("""COMPUTED_VALUE"""),"No")</f>
        <v>No</v>
      </c>
      <c r="C11" s="96"/>
      <c r="D11" s="96"/>
      <c r="E11" s="5" t="str">
        <f ca="1">IFERROR(__xludf.DUMMYFUNCTION("""COMPUTED_VALUE"""),"URL")</f>
        <v>URL</v>
      </c>
      <c r="F11" s="97" t="str">
        <f ca="1">IFERROR(__xludf.DUMMYFUNCTION("""COMPUTED_VALUE"""),"0:1")</f>
        <v>0:1</v>
      </c>
      <c r="G11" s="96"/>
      <c r="H11" s="96"/>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x14ac:dyDescent="0.25">
      <c r="A12" s="4" t="str">
        <f ca="1">IFERROR(__xludf.DUMMYFUNCTION("""COMPUTED_VALUE"""),"Yes")</f>
        <v>Yes</v>
      </c>
      <c r="B12" s="4" t="str">
        <f ca="1">IFERROR(__xludf.DUMMYFUNCTION("""COMPUTED_VALUE"""),"No")</f>
        <v>No</v>
      </c>
      <c r="C12" s="96"/>
      <c r="D12" s="96"/>
      <c r="E12" s="5" t="str">
        <f ca="1">IFERROR(__xludf.DUMMYFUNCTION("""COMPUTED_VALUE"""),"Format")</f>
        <v>Format</v>
      </c>
      <c r="F12" s="97" t="str">
        <f ca="1">IFERROR(__xludf.DUMMYFUNCTION("""COMPUTED_VALUE"""),"0:1")</f>
        <v>0:1</v>
      </c>
      <c r="G12" s="96"/>
      <c r="H12" s="96"/>
      <c r="I12" s="10"/>
      <c r="J12" s="4"/>
      <c r="K12" s="99" t="str">
        <f ca="1">E13</f>
        <v>References</v>
      </c>
      <c r="L12" s="96"/>
      <c r="M12" s="96"/>
      <c r="N12" s="96"/>
      <c r="O12" s="96"/>
      <c r="P12" s="96"/>
      <c r="Q12" s="96"/>
      <c r="R12" s="96"/>
      <c r="S12" s="96"/>
      <c r="T12" s="96"/>
      <c r="U12" s="96"/>
      <c r="V12" s="96"/>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8" customHeight="1" x14ac:dyDescent="0.3">
      <c r="A13" s="4" t="str">
        <f ca="1">IFERROR(__xludf.DUMMYFUNCTION("""COMPUTED_VALUE"""),"Yes")</f>
        <v>Yes</v>
      </c>
      <c r="B13" s="4" t="str">
        <f ca="1">IFERROR(__xludf.DUMMYFUNCTION("""COMPUTED_VALUE"""),"Yes")</f>
        <v>Yes</v>
      </c>
      <c r="C13" s="96"/>
      <c r="D13" s="96"/>
      <c r="E13" s="97" t="str">
        <f ca="1">IFERROR(__xludf.DUMMYFUNCTION("""COMPUTED_VALUE"""),"References")</f>
        <v>References</v>
      </c>
      <c r="F13" s="97" t="str">
        <f ca="1">IFERROR(__xludf.DUMMYFUNCTION("""COMPUTED_VALUE"""),"1:N")</f>
        <v>1:N</v>
      </c>
      <c r="G13" s="7"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x14ac:dyDescent="0.25">
      <c r="A14" s="4" t="str">
        <f ca="1">IFERROR(__xludf.DUMMYFUNCTION("""COMPUTED_VALUE"""),"Yes")</f>
        <v>Yes</v>
      </c>
      <c r="B14" s="4" t="str">
        <f ca="1">IFERROR(__xludf.DUMMYFUNCTION("""COMPUTED_VALUE"""),"Yes")</f>
        <v>Yes</v>
      </c>
      <c r="C14" s="96"/>
      <c r="D14" s="96"/>
      <c r="E14" s="96"/>
      <c r="F14" s="96"/>
      <c r="G14" s="7"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12.5" x14ac:dyDescent="0.25">
      <c r="A15" s="4" t="str">
        <f ca="1">IFERROR(__xludf.DUMMYFUNCTION("""COMPUTED_VALUE"""),"Yes")</f>
        <v>Yes</v>
      </c>
      <c r="B15" s="4" t="str">
        <f ca="1">IFERROR(__xludf.DUMMYFUNCTION("""COMPUTED_VALUE"""),"No")</f>
        <v>No</v>
      </c>
      <c r="C15" s="96"/>
      <c r="D15" s="96"/>
      <c r="E15" s="96"/>
      <c r="F15" s="96"/>
      <c r="G15" s="7"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x14ac:dyDescent="0.25">
      <c r="A16" s="4" t="str">
        <f ca="1">IFERROR(__xludf.DUMMYFUNCTION("""COMPUTED_VALUE"""),"Yes")</f>
        <v>Yes</v>
      </c>
      <c r="B16" s="4" t="str">
        <f ca="1">IFERROR(__xludf.DUMMYFUNCTION("""COMPUTED_VALUE"""),"No")</f>
        <v>No</v>
      </c>
      <c r="C16" s="96"/>
      <c r="D16" s="96"/>
      <c r="E16" s="96"/>
      <c r="F16" s="96"/>
      <c r="G16" s="7"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x14ac:dyDescent="0.25">
      <c r="A17" s="4" t="str">
        <f ca="1">IFERROR(__xludf.DUMMYFUNCTION("""COMPUTED_VALUE"""),"Yes")</f>
        <v>Yes</v>
      </c>
      <c r="B17" s="4" t="str">
        <f ca="1">IFERROR(__xludf.DUMMYFUNCTION("""COMPUTED_VALUE"""),"Yes")</f>
        <v>Yes</v>
      </c>
      <c r="C17" s="96"/>
      <c r="D17" s="96"/>
      <c r="E17" s="96"/>
      <c r="F17" s="96"/>
      <c r="G17" s="7"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x14ac:dyDescent="0.25">
      <c r="A18" s="4" t="str">
        <f ca="1">IFERROR(__xludf.DUMMYFUNCTION("""COMPUTED_VALUE"""),"Yes")</f>
        <v>Yes</v>
      </c>
      <c r="B18" s="4" t="str">
        <f ca="1">IFERROR(__xludf.DUMMYFUNCTION("""COMPUTED_VALUE"""),"No")</f>
        <v>No</v>
      </c>
      <c r="C18" s="96"/>
      <c r="D18" s="96"/>
      <c r="E18" s="96"/>
      <c r="F18" s="96"/>
      <c r="G18" s="7"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x14ac:dyDescent="0.25">
      <c r="A19" s="4" t="str">
        <f ca="1">IFERROR(__xludf.DUMMYFUNCTION("""COMPUTED_VALUE"""),"Yes")</f>
        <v>Yes</v>
      </c>
      <c r="B19" s="4" t="str">
        <f ca="1">IFERROR(__xludf.DUMMYFUNCTION("""COMPUTED_VALUE"""),"Yes")</f>
        <v>Yes</v>
      </c>
      <c r="C19" s="96"/>
      <c r="D19" s="96"/>
      <c r="E19" s="96"/>
      <c r="F19" s="96"/>
      <c r="G19" s="7"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x14ac:dyDescent="0.25">
      <c r="A20" s="4" t="str">
        <f ca="1">IFERROR(__xludf.DUMMYFUNCTION("""COMPUTED_VALUE"""),"Yes")</f>
        <v>Yes</v>
      </c>
      <c r="B20" s="4" t="str">
        <f ca="1">IFERROR(__xludf.DUMMYFUNCTION("""COMPUTED_VALUE"""),"No")</f>
        <v>No</v>
      </c>
      <c r="C20" s="96"/>
      <c r="D20" s="96"/>
      <c r="E20" s="96"/>
      <c r="F20" s="96"/>
      <c r="G20" s="7"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x14ac:dyDescent="0.25">
      <c r="A21" s="4" t="str">
        <f ca="1">IFERROR(__xludf.DUMMYFUNCTION("""COMPUTED_VALUE"""),"Yes")</f>
        <v>Yes</v>
      </c>
      <c r="B21" s="4" t="str">
        <f ca="1">IFERROR(__xludf.DUMMYFUNCTION("""COMPUTED_VALUE"""),"No")</f>
        <v>No</v>
      </c>
      <c r="C21" s="96"/>
      <c r="D21" s="96"/>
      <c r="E21" s="96"/>
      <c r="F21" s="96"/>
      <c r="G21" s="7"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x14ac:dyDescent="0.25">
      <c r="A22" s="4" t="str">
        <f ca="1">IFERROR(__xludf.DUMMYFUNCTION("""COMPUTED_VALUE"""),"Yes")</f>
        <v>Yes</v>
      </c>
      <c r="B22" s="4" t="str">
        <f ca="1">IFERROR(__xludf.DUMMYFUNCTION("""COMPUTED_VALUE"""),"No")</f>
        <v>No</v>
      </c>
      <c r="C22" s="96"/>
      <c r="D22" s="96"/>
      <c r="E22" s="96"/>
      <c r="F22" s="96"/>
      <c r="G22" s="7"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8"/>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x14ac:dyDescent="0.25">
      <c r="A23" s="4" t="str">
        <f ca="1">IFERROR(__xludf.DUMMYFUNCTION("""COMPUTED_VALUE"""),"Yes")</f>
        <v>Yes</v>
      </c>
      <c r="B23" s="4" t="str">
        <f ca="1">IFERROR(__xludf.DUMMYFUNCTION("""COMPUTED_VALUE"""),"No")</f>
        <v>No</v>
      </c>
      <c r="C23" s="96"/>
      <c r="D23" s="96"/>
      <c r="E23" s="96"/>
      <c r="F23" s="96"/>
      <c r="G23" s="7" t="str">
        <f ca="1">IFERROR(__xludf.DUMMYFUNCTION("""COMPUTED_VALUE"""),"Publication website")</f>
        <v>Publication website</v>
      </c>
      <c r="H23" s="5" t="str">
        <f ca="1">IFERROR(__xludf.DUMMYFUNCTION("""COMPUTED_VALUE"""),"0:1")</f>
        <v>0:1</v>
      </c>
      <c r="I23" s="41"/>
      <c r="J23" s="4"/>
      <c r="K23" s="4"/>
      <c r="L23" s="4"/>
      <c r="M23" s="4"/>
      <c r="N23" s="4"/>
      <c r="O23" s="4"/>
      <c r="P23" s="4"/>
      <c r="Q23" s="4"/>
      <c r="R23" s="4"/>
      <c r="S23" s="4"/>
      <c r="T23" s="8"/>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x14ac:dyDescent="0.25">
      <c r="A24" s="4" t="str">
        <f ca="1">IFERROR(__xludf.DUMMYFUNCTION("""COMPUTED_VALUE"""),"Yes")</f>
        <v>Yes</v>
      </c>
      <c r="B24" s="4" t="str">
        <f ca="1">IFERROR(__xludf.DUMMYFUNCTION("""COMPUTED_VALUE"""),"No")</f>
        <v>No</v>
      </c>
      <c r="C24" s="96"/>
      <c r="D24" s="96"/>
      <c r="E24" s="96"/>
      <c r="F24" s="96"/>
      <c r="G24" s="7" t="str">
        <f ca="1">IFERROR(__xludf.DUMMYFUNCTION("""COMPUTED_VALUE"""),"Comment")</f>
        <v>Comment</v>
      </c>
      <c r="H24" s="5" t="str">
        <f ca="1">IFERROR(__xludf.DUMMYFUNCTION("""COMPUTED_VALUE"""),"0:1")</f>
        <v>0:1</v>
      </c>
      <c r="I24" s="41"/>
      <c r="J24" s="4"/>
      <c r="K24" s="4"/>
      <c r="L24" s="4"/>
      <c r="M24" s="4"/>
      <c r="N24" s="4"/>
      <c r="O24" s="4"/>
      <c r="P24" s="4"/>
      <c r="Q24" s="4"/>
      <c r="R24" s="4"/>
      <c r="S24" s="4"/>
      <c r="T24" s="8"/>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x14ac:dyDescent="0.25">
      <c r="A25" s="4" t="str">
        <f ca="1">IFERROR(__xludf.DUMMYFUNCTION("""COMPUTED_VALUE"""),"Yes")</f>
        <v>Yes</v>
      </c>
      <c r="B25" s="4" t="str">
        <f ca="1">IFERROR(__xludf.DUMMYFUNCTION("""COMPUTED_VALUE"""),"No")</f>
        <v>No</v>
      </c>
      <c r="C25" s="96"/>
      <c r="D25" s="96"/>
      <c r="E25" s="5" t="str">
        <f ca="1">IFERROR(__xludf.DUMMYFUNCTION("""COMPUTED_VALUE"""),"Language")</f>
        <v>Language</v>
      </c>
      <c r="F25" s="97" t="str">
        <f ca="1">IFERROR(__xludf.DUMMYFUNCTION("""COMPUTED_VALUE"""),"0:1")</f>
        <v>0:1</v>
      </c>
      <c r="G25" s="96"/>
      <c r="H25" s="96"/>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row>
    <row r="26" spans="1:48" ht="12.5" x14ac:dyDescent="0.25">
      <c r="A26" s="4" t="str">
        <f ca="1">IFERROR(__xludf.DUMMYFUNCTION("""COMPUTED_VALUE"""),"Yes")</f>
        <v>Yes</v>
      </c>
      <c r="B26" s="4" t="str">
        <f ca="1">IFERROR(__xludf.DUMMYFUNCTION("""COMPUTED_VALUE"""),"No")</f>
        <v>No</v>
      </c>
      <c r="C26" s="96"/>
      <c r="D26" s="96"/>
      <c r="E26" s="5" t="str">
        <f ca="1">IFERROR(__xludf.DUMMYFUNCTION("""COMPUTED_VALUE"""),"Software")</f>
        <v>Software</v>
      </c>
      <c r="F26" s="97" t="str">
        <f ca="1">IFERROR(__xludf.DUMMYFUNCTION("""COMPUTED_VALUE"""),"0:1")</f>
        <v>0:1</v>
      </c>
      <c r="G26" s="96"/>
      <c r="H26" s="96"/>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x14ac:dyDescent="0.25">
      <c r="A27" s="4" t="str">
        <f ca="1">IFERROR(__xludf.DUMMYFUNCTION("""COMPUTED_VALUE"""),"Yes")</f>
        <v>Yes</v>
      </c>
      <c r="B27" s="4" t="str">
        <f ca="1">IFERROR(__xludf.DUMMYFUNCTION("""COMPUTED_VALUE"""),"Yes")</f>
        <v>Yes</v>
      </c>
      <c r="C27" s="96"/>
      <c r="D27" s="96"/>
      <c r="E27" s="5" t="str">
        <f ca="1">IFERROR(__xludf.DUMMYFUNCTION("""COMPUTED_VALUE"""),"Language written in")</f>
        <v>Language written in</v>
      </c>
      <c r="F27" s="97" t="str">
        <f ca="1">IFERROR(__xludf.DUMMYFUNCTION("""COMPUTED_VALUE"""),"1")</f>
        <v>1</v>
      </c>
      <c r="G27" s="96"/>
      <c r="H27" s="96"/>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x14ac:dyDescent="0.25">
      <c r="A28" s="4" t="str">
        <f ca="1">IFERROR(__xludf.DUMMYFUNCTION("""COMPUTED_VALUE"""),"Yes")</f>
        <v>Yes</v>
      </c>
      <c r="B28" s="4" t="str">
        <f ca="1">IFERROR(__xludf.DUMMYFUNCTION("""COMPUTED_VALUE"""),"No")</f>
        <v>No</v>
      </c>
      <c r="C28" s="96"/>
      <c r="D28" s="96"/>
      <c r="E28" s="97" t="str">
        <f ca="1">IFERROR(__xludf.DUMMYFUNCTION("""COMPUTED_VALUE"""),"Model category")</f>
        <v>Model category</v>
      </c>
      <c r="F28" s="97" t="str">
        <f ca="1">IFERROR(__xludf.DUMMYFUNCTION("""COMPUTED_VALUE"""),"0:1")</f>
        <v>0:1</v>
      </c>
      <c r="G28" s="7"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row>
    <row r="29" spans="1:48" ht="12.5" x14ac:dyDescent="0.25">
      <c r="A29" s="4" t="str">
        <f ca="1">IFERROR(__xludf.DUMMYFUNCTION("""COMPUTED_VALUE"""),"Yes")</f>
        <v>Yes</v>
      </c>
      <c r="B29" s="4" t="str">
        <f ca="1">IFERROR(__xludf.DUMMYFUNCTION("""COMPUTED_VALUE"""),"No")</f>
        <v>No</v>
      </c>
      <c r="C29" s="96"/>
      <c r="D29" s="96"/>
      <c r="E29" s="96"/>
      <c r="F29" s="96"/>
      <c r="G29" s="7"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x14ac:dyDescent="0.25">
      <c r="A30" s="4" t="str">
        <f ca="1">IFERROR(__xludf.DUMMYFUNCTION("""COMPUTED_VALUE"""),"Yes")</f>
        <v>Yes</v>
      </c>
      <c r="B30" s="4" t="str">
        <f ca="1">IFERROR(__xludf.DUMMYFUNCTION("""COMPUTED_VALUE"""),"No")</f>
        <v>No</v>
      </c>
      <c r="C30" s="96"/>
      <c r="D30" s="96"/>
      <c r="E30" s="96"/>
      <c r="F30" s="96"/>
      <c r="G30" s="7"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row>
    <row r="31" spans="1:48" ht="12.5" x14ac:dyDescent="0.25">
      <c r="A31" s="4" t="str">
        <f ca="1">IFERROR(__xludf.DUMMYFUNCTION("""COMPUTED_VALUE"""),"Yes")</f>
        <v>Yes</v>
      </c>
      <c r="B31" s="4" t="str">
        <f ca="1">IFERROR(__xludf.DUMMYFUNCTION("""COMPUTED_VALUE"""),"No")</f>
        <v>No</v>
      </c>
      <c r="C31" s="96"/>
      <c r="D31" s="96"/>
      <c r="E31" s="96"/>
      <c r="F31" s="96"/>
      <c r="G31" s="7"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row>
    <row r="32" spans="1:48" ht="12.5" x14ac:dyDescent="0.25">
      <c r="A32" s="4" t="str">
        <f ca="1">IFERROR(__xludf.DUMMYFUNCTION("""COMPUTED_VALUE"""),"Yes")</f>
        <v>Yes</v>
      </c>
      <c r="B32" s="4" t="str">
        <f ca="1">IFERROR(__xludf.DUMMYFUNCTION("""COMPUTED_VALUE"""),"No")</f>
        <v>No</v>
      </c>
      <c r="C32" s="96"/>
      <c r="D32" s="96"/>
      <c r="E32" s="96"/>
      <c r="F32" s="96"/>
      <c r="G32" s="7"/>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row>
    <row r="33" spans="1:48" ht="12.5" x14ac:dyDescent="0.25">
      <c r="A33" s="4" t="str">
        <f ca="1">IFERROR(__xludf.DUMMYFUNCTION("""COMPUTED_VALUE"""),"Yes")</f>
        <v>Yes</v>
      </c>
      <c r="B33" s="4" t="str">
        <f ca="1">IFERROR(__xludf.DUMMYFUNCTION("""COMPUTED_VALUE"""),"No")</f>
        <v>No</v>
      </c>
      <c r="C33" s="96"/>
      <c r="D33" s="96"/>
      <c r="E33" s="5" t="str">
        <f ca="1">IFERROR(__xludf.DUMMYFUNCTION("""COMPUTED_VALUE"""),"Status")</f>
        <v>Status</v>
      </c>
      <c r="F33" s="97" t="str">
        <f ca="1">IFERROR(__xludf.DUMMYFUNCTION("""COMPUTED_VALUE"""),"0:1")</f>
        <v>0:1</v>
      </c>
      <c r="G33" s="96"/>
      <c r="H33" s="96"/>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x14ac:dyDescent="0.25">
      <c r="A34" s="4" t="str">
        <f ca="1">IFERROR(__xludf.DUMMYFUNCTION("""COMPUTED_VALUE"""),"Yes")</f>
        <v>Yes</v>
      </c>
      <c r="B34" s="4" t="str">
        <f ca="1">IFERROR(__xludf.DUMMYFUNCTION("""COMPUTED_VALUE"""),"No")</f>
        <v>No</v>
      </c>
      <c r="C34" s="96"/>
      <c r="D34" s="96"/>
      <c r="E34" s="5" t="str">
        <f ca="1">IFERROR(__xludf.DUMMYFUNCTION("""COMPUTED_VALUE"""),"Objective")</f>
        <v>Objective</v>
      </c>
      <c r="F34" s="97" t="str">
        <f ca="1">IFERROR(__xludf.DUMMYFUNCTION("""COMPUTED_VALUE"""),"0:1")</f>
        <v>0:1</v>
      </c>
      <c r="G34" s="96"/>
      <c r="H34" s="96"/>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row>
    <row r="35" spans="1:48" ht="12.5" x14ac:dyDescent="0.25">
      <c r="A35" s="4" t="str">
        <f ca="1">IFERROR(__xludf.DUMMYFUNCTION("""COMPUTED_VALUE"""),"Yes")</f>
        <v>Yes</v>
      </c>
      <c r="B35" s="4" t="str">
        <f ca="1">IFERROR(__xludf.DUMMYFUNCTION("""COMPUTED_VALUE"""),"No")</f>
        <v>No</v>
      </c>
      <c r="C35" s="96"/>
      <c r="D35" s="96"/>
      <c r="E35" s="5" t="str">
        <f ca="1">IFERROR(__xludf.DUMMYFUNCTION("""COMPUTED_VALUE"""),"Description")</f>
        <v>Description</v>
      </c>
      <c r="F35" s="97" t="str">
        <f ca="1">IFERROR(__xludf.DUMMYFUNCTION("""COMPUTED_VALUE"""),"0:1")</f>
        <v>0:1</v>
      </c>
      <c r="G35" s="96"/>
      <c r="H35" s="96"/>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x14ac:dyDescent="0.25">
      <c r="A36" s="4" t="str">
        <f ca="1">IFERROR(__xludf.DUMMYFUNCTION("""COMPUTED_VALUE"""),"Yes")</f>
        <v>Yes</v>
      </c>
      <c r="B36" s="4" t="str">
        <f ca="1">IFERROR(__xludf.DUMMYFUNCTION("""COMPUTED_VALUE"""),"Yes")</f>
        <v>Yes</v>
      </c>
      <c r="C36" s="95" t="str">
        <f ca="1">IFERROR(__xludf.DUMMYFUNCTION("""COMPUTED_VALUE"""),"Scope")</f>
        <v>Scope</v>
      </c>
      <c r="D36" s="95" t="str">
        <f ca="1">IFERROR(__xludf.DUMMYFUNCTION("""COMPUTED_VALUE"""),"1")</f>
        <v>1</v>
      </c>
      <c r="E36" s="97" t="str">
        <f ca="1">IFERROR(__xludf.DUMMYFUNCTION("""COMPUTED_VALUE"""),"Product / matrix")</f>
        <v>Product / matrix</v>
      </c>
      <c r="F36" s="97" t="str">
        <f ca="1">IFERROR(__xludf.DUMMYFUNCTION("""COMPUTED_VALUE"""),"1:N")</f>
        <v>1:N</v>
      </c>
      <c r="G36" s="5" t="str">
        <f ca="1">IFERROR(__xludf.DUMMYFUNCTION("""COMPUTED_VALUE"""),"Product/matrix name")</f>
        <v>Product/matrix name</v>
      </c>
      <c r="H36" s="5" t="str">
        <f ca="1">IFERROR(__xludf.DUMMYFUNCTION("""COMPUTED_VALUE"""),"1")</f>
        <v>1</v>
      </c>
      <c r="I36" s="13"/>
      <c r="J36" s="4"/>
      <c r="K36" s="99" t="str">
        <f ca="1">E36</f>
        <v>Product / matrix</v>
      </c>
      <c r="L36" s="96"/>
      <c r="M36" s="96"/>
      <c r="N36" s="96"/>
      <c r="O36" s="96"/>
      <c r="P36" s="96"/>
      <c r="Q36" s="96"/>
      <c r="R36" s="96"/>
      <c r="S36" s="96"/>
      <c r="T36" s="96"/>
      <c r="U36" s="96"/>
      <c r="V36" s="99" t="str">
        <f ca="1">E47</f>
        <v>Hazard</v>
      </c>
      <c r="W36" s="96"/>
      <c r="X36" s="96"/>
      <c r="Y36" s="96"/>
      <c r="Z36" s="96"/>
      <c r="AA36" s="96"/>
      <c r="AB36" s="96"/>
      <c r="AC36" s="96"/>
      <c r="AD36" s="96"/>
      <c r="AE36" s="96"/>
      <c r="AF36" s="96"/>
      <c r="AG36" s="96"/>
      <c r="AH36" s="96"/>
      <c r="AI36" s="96"/>
      <c r="AJ36" s="99" t="str">
        <f ca="1">E61</f>
        <v>Population Group</v>
      </c>
      <c r="AK36" s="96"/>
      <c r="AL36" s="96"/>
      <c r="AM36" s="96"/>
      <c r="AN36" s="96"/>
      <c r="AO36" s="96"/>
      <c r="AP36" s="96"/>
      <c r="AQ36" s="96"/>
      <c r="AR36" s="96"/>
      <c r="AS36" s="96"/>
      <c r="AT36" s="96"/>
      <c r="AU36" s="96"/>
      <c r="AV36" s="96"/>
    </row>
    <row r="37" spans="1:48" ht="12.5" x14ac:dyDescent="0.25">
      <c r="A37" s="4" t="str">
        <f ca="1">IFERROR(__xludf.DUMMYFUNCTION("""COMPUTED_VALUE"""),"Yes")</f>
        <v>Yes</v>
      </c>
      <c r="B37" s="4" t="str">
        <f ca="1">IFERROR(__xludf.DUMMYFUNCTION("""COMPUTED_VALUE"""),"Yes")</f>
        <v>Yes</v>
      </c>
      <c r="C37" s="96"/>
      <c r="D37" s="96"/>
      <c r="E37" s="96"/>
      <c r="F37" s="96"/>
      <c r="G37" s="5" t="str">
        <f ca="1">IFERROR(__xludf.DUMMYFUNCTION("""COMPUTED_VALUE"""),"Product/matrix description")</f>
        <v>Product/matrix description</v>
      </c>
      <c r="H37" s="5" t="str">
        <f ca="1">IFERROR(__xludf.DUMMYFUNCTION("""COMPUTED_VALUE"""),"0:1")</f>
        <v>0:1</v>
      </c>
      <c r="I37" s="13"/>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c r="AJ37" s="7" t="str">
        <f ca="1">G61</f>
        <v>Population name</v>
      </c>
      <c r="AK37" s="7" t="str">
        <f ca="1">G62</f>
        <v>Target population</v>
      </c>
      <c r="AL37" s="7" t="str">
        <f ca="1">G63</f>
        <v>Population Span (years)</v>
      </c>
      <c r="AM37" s="7" t="str">
        <f ca="1">G64</f>
        <v>Population description</v>
      </c>
      <c r="AN37" s="7" t="str">
        <f ca="1">G65</f>
        <v>Population age</v>
      </c>
      <c r="AO37" s="7" t="str">
        <f ca="1">G66</f>
        <v>Population gender</v>
      </c>
      <c r="AP37" s="7" t="str">
        <f ca="1">G67</f>
        <v>BMI</v>
      </c>
      <c r="AQ37" s="7" t="str">
        <f ca="1">G68</f>
        <v>Special diet groups</v>
      </c>
      <c r="AR37" s="7" t="str">
        <f ca="1">G69</f>
        <v>Pattern consumption</v>
      </c>
      <c r="AS37" s="7" t="str">
        <f ca="1">G70</f>
        <v>Region</v>
      </c>
      <c r="AT37" s="7" t="str">
        <f ca="1">G71</f>
        <v>Country</v>
      </c>
      <c r="AU37" s="7" t="str">
        <f ca="1">G72</f>
        <v>Risk and population factors</v>
      </c>
      <c r="AV37" s="7" t="str">
        <f ca="1">G73</f>
        <v>Season</v>
      </c>
    </row>
    <row r="38" spans="1:48" ht="12.5" x14ac:dyDescent="0.25">
      <c r="A38" s="4" t="str">
        <f ca="1">IFERROR(__xludf.DUMMYFUNCTION("""COMPUTED_VALUE"""),"Yes")</f>
        <v>Yes</v>
      </c>
      <c r="B38" s="4" t="str">
        <f ca="1">IFERROR(__xludf.DUMMYFUNCTION("""COMPUTED_VALUE"""),"Yes")</f>
        <v>Yes</v>
      </c>
      <c r="C38" s="96"/>
      <c r="D38" s="96"/>
      <c r="E38" s="96"/>
      <c r="F38" s="96"/>
      <c r="G38" s="5" t="str">
        <f ca="1">IFERROR(__xludf.DUMMYFUNCTION("""COMPUTED_VALUE"""),"Product/matrix unit")</f>
        <v>Product/matrix unit</v>
      </c>
      <c r="H38" s="5" t="str">
        <f ca="1">IFERROR(__xludf.DUMMYFUNCTION("""COMPUTED_VALUE"""),"1")</f>
        <v>1</v>
      </c>
      <c r="I38" s="13"/>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c r="AJ38" s="8" t="str">
        <f ca="1">H61</f>
        <v>1</v>
      </c>
      <c r="AK38" s="8" t="str">
        <f ca="1">H62</f>
        <v>0:1</v>
      </c>
      <c r="AL38" s="8" t="str">
        <f ca="1">H63</f>
        <v>0:N</v>
      </c>
      <c r="AM38" s="8" t="str">
        <f ca="1">H64</f>
        <v>0:N</v>
      </c>
      <c r="AN38" s="8" t="str">
        <f ca="1">H65</f>
        <v>0:N</v>
      </c>
      <c r="AO38" s="8" t="str">
        <f ca="1">H66</f>
        <v>0:1</v>
      </c>
      <c r="AP38" s="8" t="str">
        <f ca="1">H67</f>
        <v>0:N</v>
      </c>
      <c r="AQ38" s="8" t="str">
        <f ca="1">H68</f>
        <v>0:N</v>
      </c>
      <c r="AR38" s="8" t="str">
        <f ca="1">H69</f>
        <v>0:N</v>
      </c>
      <c r="AS38" s="8" t="str">
        <f ca="1">H70</f>
        <v>0:N</v>
      </c>
      <c r="AT38" s="8" t="str">
        <f ca="1">H71</f>
        <v>0:N</v>
      </c>
      <c r="AU38" s="8" t="str">
        <f ca="1">H72</f>
        <v>0:N</v>
      </c>
      <c r="AV38" s="8" t="str">
        <f ca="1">H73</f>
        <v>0:N</v>
      </c>
    </row>
    <row r="39" spans="1:48" ht="12.5" x14ac:dyDescent="0.25">
      <c r="A39" s="4" t="str">
        <f ca="1">IFERROR(__xludf.DUMMYFUNCTION("""COMPUTED_VALUE"""),"Yes")</f>
        <v>Yes</v>
      </c>
      <c r="B39" s="4" t="str">
        <f ca="1">IFERROR(__xludf.DUMMYFUNCTION("""COMPUTED_VALUE"""),"No")</f>
        <v>No</v>
      </c>
      <c r="C39" s="96"/>
      <c r="D39" s="96"/>
      <c r="E39" s="96"/>
      <c r="F39" s="96"/>
      <c r="G39" s="7" t="str">
        <f ca="1">IFERROR(__xludf.DUMMYFUNCTION("""COMPUTED_VALUE"""),"Method of production")</f>
        <v>Method of production</v>
      </c>
      <c r="H39" s="5" t="str">
        <f ca="1">IFERROR(__xludf.DUMMYFUNCTION("""COMPUTED_VALUE"""),"0:N")</f>
        <v>0:N</v>
      </c>
      <c r="I39" s="13"/>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5" x14ac:dyDescent="0.25">
      <c r="A40" s="4" t="str">
        <f ca="1">IFERROR(__xludf.DUMMYFUNCTION("""COMPUTED_VALUE"""),"Yes")</f>
        <v>Yes</v>
      </c>
      <c r="B40" s="4" t="str">
        <f ca="1">IFERROR(__xludf.DUMMYFUNCTION("""COMPUTED_VALUE"""),"No")</f>
        <v>No</v>
      </c>
      <c r="C40" s="96"/>
      <c r="D40" s="96"/>
      <c r="E40" s="96"/>
      <c r="F40" s="96"/>
      <c r="G40" s="7" t="str">
        <f ca="1">IFERROR(__xludf.DUMMYFUNCTION("""COMPUTED_VALUE"""),"Packaging")</f>
        <v>Packaging</v>
      </c>
      <c r="H40" s="5" t="str">
        <f ca="1">IFERROR(__xludf.DUMMYFUNCTION("""COMPUTED_VALUE"""),"0:N")</f>
        <v>0:N</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x14ac:dyDescent="0.25">
      <c r="A41" s="4" t="str">
        <f ca="1">IFERROR(__xludf.DUMMYFUNCTION("""COMPUTED_VALUE"""),"Yes")</f>
        <v>Yes</v>
      </c>
      <c r="B41" s="4" t="str">
        <f ca="1">IFERROR(__xludf.DUMMYFUNCTION("""COMPUTED_VALUE"""),"No")</f>
        <v>No</v>
      </c>
      <c r="C41" s="96"/>
      <c r="D41" s="96"/>
      <c r="E41" s="96"/>
      <c r="F41" s="96"/>
      <c r="G41" s="7" t="str">
        <f ca="1">IFERROR(__xludf.DUMMYFUNCTION("""COMPUTED_VALUE"""),"Product treatment")</f>
        <v>Product treatment</v>
      </c>
      <c r="H41" s="5" t="str">
        <f ca="1">IFERROR(__xludf.DUMMYFUNCTION("""COMPUTED_VALUE"""),"0:N")</f>
        <v>0:N</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x14ac:dyDescent="0.25">
      <c r="A42" s="4" t="str">
        <f ca="1">IFERROR(__xludf.DUMMYFUNCTION("""COMPUTED_VALUE"""),"Yes")</f>
        <v>Yes</v>
      </c>
      <c r="B42" s="4" t="str">
        <f ca="1">IFERROR(__xludf.DUMMYFUNCTION("""COMPUTED_VALUE"""),"No")</f>
        <v>No</v>
      </c>
      <c r="C42" s="96"/>
      <c r="D42" s="96"/>
      <c r="E42" s="96"/>
      <c r="F42" s="96"/>
      <c r="G42" s="7" t="str">
        <f ca="1">IFERROR(__xludf.DUMMYFUNCTION("""COMPUTED_VALUE"""),"Country of origin")</f>
        <v>Country of origin</v>
      </c>
      <c r="H42" s="5" t="str">
        <f ca="1">IFERROR(__xludf.DUMMYFUNCTION("""COMPUTED_VALUE"""),"0:1")</f>
        <v>0:1</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x14ac:dyDescent="0.25">
      <c r="A43" s="4" t="str">
        <f ca="1">IFERROR(__xludf.DUMMYFUNCTION("""COMPUTED_VALUE"""),"Yes")</f>
        <v>Yes</v>
      </c>
      <c r="B43" s="4" t="str">
        <f ca="1">IFERROR(__xludf.DUMMYFUNCTION("""COMPUTED_VALUE"""),"No")</f>
        <v>No</v>
      </c>
      <c r="C43" s="96"/>
      <c r="D43" s="96"/>
      <c r="E43" s="96"/>
      <c r="F43" s="96"/>
      <c r="G43" s="7" t="str">
        <f ca="1">IFERROR(__xludf.DUMMYFUNCTION("""COMPUTED_VALUE"""),"Area of origin")</f>
        <v>Area of origin</v>
      </c>
      <c r="H43" s="5" t="str">
        <f ca="1">IFERROR(__xludf.DUMMYFUNCTION("""COMPUTED_VALUE"""),"0:1")</f>
        <v>0:1</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x14ac:dyDescent="0.25">
      <c r="A44" s="4" t="str">
        <f ca="1">IFERROR(__xludf.DUMMYFUNCTION("""COMPUTED_VALUE"""),"Yes")</f>
        <v>Yes</v>
      </c>
      <c r="B44" s="4" t="str">
        <f ca="1">IFERROR(__xludf.DUMMYFUNCTION("""COMPUTED_VALUE"""),"No")</f>
        <v>No</v>
      </c>
      <c r="C44" s="96"/>
      <c r="D44" s="96"/>
      <c r="E44" s="96"/>
      <c r="F44" s="96"/>
      <c r="G44" s="7" t="str">
        <f ca="1">IFERROR(__xludf.DUMMYFUNCTION("""COMPUTED_VALUE"""),"Fisheries area")</f>
        <v>Fisheries area</v>
      </c>
      <c r="H44" s="5" t="str">
        <f ca="1">IFERROR(__xludf.DUMMYFUNCTION("""COMPUTED_VALUE"""),"0:1")</f>
        <v>0:1</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x14ac:dyDescent="0.25">
      <c r="A45" s="4" t="str">
        <f ca="1">IFERROR(__xludf.DUMMYFUNCTION("""COMPUTED_VALUE"""),"Yes")</f>
        <v>Yes</v>
      </c>
      <c r="B45" s="4" t="str">
        <f ca="1">IFERROR(__xludf.DUMMYFUNCTION("""COMPUTED_VALUE"""),"No")</f>
        <v>No</v>
      </c>
      <c r="C45" s="96"/>
      <c r="D45" s="96"/>
      <c r="E45" s="96"/>
      <c r="F45" s="96"/>
      <c r="G45" s="7" t="str">
        <f ca="1">IFERROR(__xludf.DUMMYFUNCTION("""COMPUTED_VALUE"""),"Date of production")</f>
        <v>Date of production</v>
      </c>
      <c r="H45" s="5" t="str">
        <f ca="1">IFERROR(__xludf.DUMMYFUNCTION("""COMPUTED_VALUE"""),"0:1")</f>
        <v>0:1</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x14ac:dyDescent="0.25">
      <c r="A46" s="4" t="str">
        <f ca="1">IFERROR(__xludf.DUMMYFUNCTION("""COMPUTED_VALUE"""),"Yes")</f>
        <v>Yes</v>
      </c>
      <c r="B46" s="4" t="str">
        <f ca="1">IFERROR(__xludf.DUMMYFUNCTION("""COMPUTED_VALUE"""),"No")</f>
        <v>No</v>
      </c>
      <c r="C46" s="96"/>
      <c r="D46" s="96"/>
      <c r="E46" s="96"/>
      <c r="F46" s="96"/>
      <c r="G46" s="7" t="str">
        <f ca="1">IFERROR(__xludf.DUMMYFUNCTION("""COMPUTED_VALUE"""),"Date of expiry")</f>
        <v>Date of expiry</v>
      </c>
      <c r="H46" s="5" t="str">
        <f ca="1">IFERROR(__xludf.DUMMYFUNCTION("""COMPUTED_VALUE"""),"0:1")</f>
        <v>0:1</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x14ac:dyDescent="0.25">
      <c r="A47" s="4" t="str">
        <f ca="1">IFERROR(__xludf.DUMMYFUNCTION("""COMPUTED_VALUE"""),"Yes")</f>
        <v>Yes</v>
      </c>
      <c r="B47" s="4" t="str">
        <f ca="1">IFERROR(__xludf.DUMMYFUNCTION("""COMPUTED_VALUE"""),"No")</f>
        <v>No</v>
      </c>
      <c r="C47" s="96"/>
      <c r="D47" s="96"/>
      <c r="E47" s="97" t="str">
        <f ca="1">IFERROR(__xludf.DUMMYFUNCTION("""COMPUTED_VALUE"""),"Hazard")</f>
        <v>Hazard</v>
      </c>
      <c r="F47" s="97" t="str">
        <f ca="1">IFERROR(__xludf.DUMMYFUNCTION("""COMPUTED_VALUE"""),"1:N")</f>
        <v>1:N</v>
      </c>
      <c r="G47" s="7" t="str">
        <f ca="1">IFERROR(__xludf.DUMMYFUNCTION("""COMPUTED_VALUE"""),"Hazard type")</f>
        <v>Hazard type</v>
      </c>
      <c r="H47" s="5" t="str">
        <f ca="1">IFERROR(__xludf.DUMMYFUNCTION("""COMPUTED_VALUE"""),"0:1")</f>
        <v>0:1</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x14ac:dyDescent="0.25">
      <c r="A48" s="4" t="str">
        <f ca="1">IFERROR(__xludf.DUMMYFUNCTION("""COMPUTED_VALUE"""),"Yes")</f>
        <v>Yes</v>
      </c>
      <c r="B48" s="4" t="str">
        <f ca="1">IFERROR(__xludf.DUMMYFUNCTION("""COMPUTED_VALUE"""),"Yes")</f>
        <v>Yes</v>
      </c>
      <c r="C48" s="96"/>
      <c r="D48" s="96"/>
      <c r="E48" s="96"/>
      <c r="F48" s="96"/>
      <c r="G48" s="7" t="str">
        <f ca="1">IFERROR(__xludf.DUMMYFUNCTION("""COMPUTED_VALUE"""),"Hazard name")</f>
        <v>Hazard name</v>
      </c>
      <c r="H48" s="5" t="str">
        <f ca="1">IFERROR(__xludf.DUMMYFUNCTION("""COMPUTED_VALUE"""),"1")</f>
        <v>1</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x14ac:dyDescent="0.25">
      <c r="A49" s="4" t="str">
        <f ca="1">IFERROR(__xludf.DUMMYFUNCTION("""COMPUTED_VALUE"""),"Yes")</f>
        <v>Yes</v>
      </c>
      <c r="B49" s="4" t="str">
        <f ca="1">IFERROR(__xludf.DUMMYFUNCTION("""COMPUTED_VALUE"""),"No")</f>
        <v>No</v>
      </c>
      <c r="C49" s="96"/>
      <c r="D49" s="96"/>
      <c r="E49" s="96"/>
      <c r="F49" s="96"/>
      <c r="G49" s="7" t="str">
        <f ca="1">IFERROR(__xludf.DUMMYFUNCTION("""COMPUTED_VALUE"""),"Hazard description")</f>
        <v>Hazard description</v>
      </c>
      <c r="H49" s="5" t="str">
        <f ca="1">IFERROR(__xludf.DUMMYFUNCTION("""COMPUTED_VALUE"""),"0:1")</f>
        <v>0:1</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x14ac:dyDescent="0.25">
      <c r="A50" s="4" t="str">
        <f ca="1">IFERROR(__xludf.DUMMYFUNCTION("""COMPUTED_VALUE"""),"Yes")</f>
        <v>Yes</v>
      </c>
      <c r="B50" s="4" t="str">
        <f ca="1">IFERROR(__xludf.DUMMYFUNCTION("""COMPUTED_VALUE"""),"No")</f>
        <v>No</v>
      </c>
      <c r="C50" s="96"/>
      <c r="D50" s="96"/>
      <c r="E50" s="96"/>
      <c r="F50" s="96"/>
      <c r="G50" s="5" t="str">
        <f ca="1">IFERROR(__xludf.DUMMYFUNCTION("""COMPUTED_VALUE"""),"Hazard unit")</f>
        <v>Hazard unit</v>
      </c>
      <c r="H50" s="5" t="str">
        <f ca="1">IFERROR(__xludf.DUMMYFUNCTION("""COMPUTED_VALUE"""),"0:1")</f>
        <v>0:1</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x14ac:dyDescent="0.25">
      <c r="A51" s="4" t="str">
        <f ca="1">IFERROR(__xludf.DUMMYFUNCTION("""COMPUTED_VALUE"""),"Yes")</f>
        <v>Yes</v>
      </c>
      <c r="B51" s="4" t="str">
        <f ca="1">IFERROR(__xludf.DUMMYFUNCTION("""COMPUTED_VALUE"""),"No")</f>
        <v>No</v>
      </c>
      <c r="C51" s="96"/>
      <c r="D51" s="96"/>
      <c r="E51" s="96"/>
      <c r="F51" s="96"/>
      <c r="G51" s="5" t="str">
        <f ca="1">IFERROR(__xludf.DUMMYFUNCTION("""COMPUTED_VALUE"""),"Adverse effect")</f>
        <v>Adverse effect</v>
      </c>
      <c r="H51" s="5" t="str">
        <f ca="1">IFERROR(__xludf.DUMMYFUNCTION("""COMPUTED_VALUE"""),"0:1")</f>
        <v>0:1</v>
      </c>
      <c r="I51" s="13"/>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x14ac:dyDescent="0.25">
      <c r="A52" s="4" t="str">
        <f ca="1">IFERROR(__xludf.DUMMYFUNCTION("""COMPUTED_VALUE"""),"Yes")</f>
        <v>Yes</v>
      </c>
      <c r="B52" s="4" t="str">
        <f ca="1">IFERROR(__xludf.DUMMYFUNCTION("""COMPUTED_VALUE"""),"No")</f>
        <v>No</v>
      </c>
      <c r="C52" s="96"/>
      <c r="D52" s="96"/>
      <c r="E52" s="96"/>
      <c r="F52" s="96"/>
      <c r="G52" s="5" t="str">
        <f ca="1">IFERROR(__xludf.DUMMYFUNCTION("""COMPUTED_VALUE"""),"Source of contamination")</f>
        <v>Source of contamination</v>
      </c>
      <c r="H52" s="5" t="str">
        <f ca="1">IFERROR(__xludf.DUMMYFUNCTION("""COMPUTED_VALUE"""),"0:1")</f>
        <v>0:1</v>
      </c>
      <c r="I52" s="13"/>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x14ac:dyDescent="0.25">
      <c r="A53" s="4" t="str">
        <f ca="1">IFERROR(__xludf.DUMMYFUNCTION("""COMPUTED_VALUE"""),"Yes")</f>
        <v>Yes</v>
      </c>
      <c r="B53" s="4" t="str">
        <f ca="1">IFERROR(__xludf.DUMMYFUNCTION("""COMPUTED_VALUE"""),"No")</f>
        <v>No</v>
      </c>
      <c r="C53" s="96"/>
      <c r="D53" s="96"/>
      <c r="E53" s="96"/>
      <c r="F53" s="96"/>
      <c r="G53" s="5" t="str">
        <f ca="1">IFERROR(__xludf.DUMMYFUNCTION("""COMPUTED_VALUE"""),"Benchmark Dose (BMD)")</f>
        <v>Benchmark Dose (BMD)</v>
      </c>
      <c r="H53" s="5" t="str">
        <f ca="1">IFERROR(__xludf.DUMMYFUNCTION("""COMPUTED_VALUE"""),"0:1")</f>
        <v>0:1</v>
      </c>
      <c r="I53" s="13"/>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x14ac:dyDescent="0.25">
      <c r="A54" s="4" t="str">
        <f ca="1">IFERROR(__xludf.DUMMYFUNCTION("""COMPUTED_VALUE"""),"Yes")</f>
        <v>Yes</v>
      </c>
      <c r="B54" s="4" t="str">
        <f ca="1">IFERROR(__xludf.DUMMYFUNCTION("""COMPUTED_VALUE"""),"No")</f>
        <v>No</v>
      </c>
      <c r="C54" s="96"/>
      <c r="D54" s="96"/>
      <c r="E54" s="96"/>
      <c r="F54" s="96"/>
      <c r="G54" s="7" t="str">
        <f ca="1">IFERROR(__xludf.DUMMYFUNCTION("""COMPUTED_VALUE"""),"Maximum Residue Limit (MRL)")</f>
        <v>Maximum Residue Limit (MRL)</v>
      </c>
      <c r="H54" s="5" t="str">
        <f ca="1">IFERROR(__xludf.DUMMYFUNCTION("""COMPUTED_VALUE"""),"0:1")</f>
        <v>0:1</v>
      </c>
      <c r="I54" s="13"/>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x14ac:dyDescent="0.25">
      <c r="A55" s="4" t="str">
        <f ca="1">IFERROR(__xludf.DUMMYFUNCTION("""COMPUTED_VALUE"""),"Yes")</f>
        <v>Yes</v>
      </c>
      <c r="B55" s="4" t="str">
        <f ca="1">IFERROR(__xludf.DUMMYFUNCTION("""COMPUTED_VALUE"""),"No")</f>
        <v>No</v>
      </c>
      <c r="C55" s="96"/>
      <c r="D55" s="96"/>
      <c r="E55" s="96"/>
      <c r="F55" s="96"/>
      <c r="G55" s="7" t="str">
        <f ca="1">IFERROR(__xludf.DUMMYFUNCTION("""COMPUTED_VALUE"""),"No Observed Adverse Affect Level (NOAEL)")</f>
        <v>No Observed Adverse Affect Level (NOAEL)</v>
      </c>
      <c r="H55" s="5" t="str">
        <f ca="1">IFERROR(__xludf.DUMMYFUNCTION("""COMPUTED_VALUE"""),"0:1")</f>
        <v>0:1</v>
      </c>
      <c r="I55" s="13"/>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x14ac:dyDescent="0.25">
      <c r="A56" s="4" t="str">
        <f ca="1">IFERROR(__xludf.DUMMYFUNCTION("""COMPUTED_VALUE"""),"Yes")</f>
        <v>Yes</v>
      </c>
      <c r="B56" s="4" t="str">
        <f ca="1">IFERROR(__xludf.DUMMYFUNCTION("""COMPUTED_VALUE"""),"No")</f>
        <v>No</v>
      </c>
      <c r="C56" s="96"/>
      <c r="D56" s="96"/>
      <c r="E56" s="96"/>
      <c r="F56" s="96"/>
      <c r="G56" s="7" t="str">
        <f ca="1">IFERROR(__xludf.DUMMYFUNCTION("""COMPUTED_VALUE"""),"Lowest Observed Adverse Effect Level (LOAEL)")</f>
        <v>Lowest Observed Adverse Effect Level (LOAEL)</v>
      </c>
      <c r="H56" s="5" t="str">
        <f ca="1">IFERROR(__xludf.DUMMYFUNCTION("""COMPUTED_VALUE"""),"0:1")</f>
        <v>0:1</v>
      </c>
      <c r="I56" s="13"/>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x14ac:dyDescent="0.25">
      <c r="A57" s="4" t="str">
        <f ca="1">IFERROR(__xludf.DUMMYFUNCTION("""COMPUTED_VALUE"""),"Yes")</f>
        <v>Yes</v>
      </c>
      <c r="B57" s="4" t="str">
        <f ca="1">IFERROR(__xludf.DUMMYFUNCTION("""COMPUTED_VALUE"""),"No")</f>
        <v>No</v>
      </c>
      <c r="C57" s="96"/>
      <c r="D57" s="96"/>
      <c r="E57" s="96"/>
      <c r="F57" s="96"/>
      <c r="G57" s="7" t="str">
        <f ca="1">IFERROR(__xludf.DUMMYFUNCTION("""COMPUTED_VALUE"""),"Acceptable Operator Exposure Level (AOEL)")</f>
        <v>Acceptable Operator Exposure Level (AOEL)</v>
      </c>
      <c r="H57" s="5" t="str">
        <f ca="1">IFERROR(__xludf.DUMMYFUNCTION("""COMPUTED_VALUE"""),"0:1")</f>
        <v>0:1</v>
      </c>
      <c r="I57" s="13"/>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x14ac:dyDescent="0.25">
      <c r="A58" s="4" t="str">
        <f ca="1">IFERROR(__xludf.DUMMYFUNCTION("""COMPUTED_VALUE"""),"Yes")</f>
        <v>Yes</v>
      </c>
      <c r="B58" s="4" t="str">
        <f ca="1">IFERROR(__xludf.DUMMYFUNCTION("""COMPUTED_VALUE"""),"No")</f>
        <v>No</v>
      </c>
      <c r="C58" s="96"/>
      <c r="D58" s="96"/>
      <c r="E58" s="96"/>
      <c r="F58" s="96"/>
      <c r="G58" s="7" t="str">
        <f ca="1">IFERROR(__xludf.DUMMYFUNCTION("""COMPUTED_VALUE"""),"Acute Reference Dose (ARfD)")</f>
        <v>Acute Reference Dose (ARfD)</v>
      </c>
      <c r="H58" s="5" t="str">
        <f ca="1">IFERROR(__xludf.DUMMYFUNCTION("""COMPUTED_VALUE"""),"0:1")</f>
        <v>0:1</v>
      </c>
      <c r="I58" s="13"/>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x14ac:dyDescent="0.25">
      <c r="A59" s="4" t="str">
        <f ca="1">IFERROR(__xludf.DUMMYFUNCTION("""COMPUTED_VALUE"""),"Yes")</f>
        <v>Yes</v>
      </c>
      <c r="B59" s="4" t="str">
        <f ca="1">IFERROR(__xludf.DUMMYFUNCTION("""COMPUTED_VALUE"""),"No")</f>
        <v>No</v>
      </c>
      <c r="C59" s="96"/>
      <c r="D59" s="96"/>
      <c r="E59" s="96"/>
      <c r="F59" s="96"/>
      <c r="G59" s="7" t="str">
        <f ca="1">IFERROR(__xludf.DUMMYFUNCTION("""COMPUTED_VALUE"""),"Acceptable Daily Intake (ADI)")</f>
        <v>Acceptable Daily Intake (ADI)</v>
      </c>
      <c r="H59" s="5" t="str">
        <f ca="1">IFERROR(__xludf.DUMMYFUNCTION("""COMPUTED_VALUE"""),"0:1")</f>
        <v>0:1</v>
      </c>
      <c r="I59" s="13"/>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x14ac:dyDescent="0.25">
      <c r="A60" s="4" t="str">
        <f ca="1">IFERROR(__xludf.DUMMYFUNCTION("""COMPUTED_VALUE"""),"Yes")</f>
        <v>Yes</v>
      </c>
      <c r="B60" s="4" t="str">
        <f ca="1">IFERROR(__xludf.DUMMYFUNCTION("""COMPUTED_VALUE"""),"No")</f>
        <v>No</v>
      </c>
      <c r="C60" s="96"/>
      <c r="D60" s="96"/>
      <c r="E60" s="96"/>
      <c r="F60" s="96"/>
      <c r="G60" s="7" t="str">
        <f ca="1">IFERROR(__xludf.DUMMYFUNCTION("""COMPUTED_VALUE"""),"Hazard ind/sum")</f>
        <v>Hazard ind/sum</v>
      </c>
      <c r="H60" s="5" t="str">
        <f ca="1">IFERROR(__xludf.DUMMYFUNCTION("""COMPUTED_VALUE"""),"0:1")</f>
        <v>0:1</v>
      </c>
      <c r="I60" s="13"/>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x14ac:dyDescent="0.25">
      <c r="A61" s="4" t="str">
        <f ca="1">IFERROR(__xludf.DUMMYFUNCTION("""COMPUTED_VALUE"""),"Yes")</f>
        <v>Yes</v>
      </c>
      <c r="B61" s="4" t="str">
        <f ca="1">IFERROR(__xludf.DUMMYFUNCTION("""COMPUTED_VALUE"""),"Yes")</f>
        <v>Yes</v>
      </c>
      <c r="C61" s="96"/>
      <c r="D61" s="96"/>
      <c r="E61" s="97" t="str">
        <f ca="1">IFERROR(__xludf.DUMMYFUNCTION("""COMPUTED_VALUE"""),"Population Group")</f>
        <v>Population Group</v>
      </c>
      <c r="F61" s="97" t="str">
        <f ca="1">IFERROR(__xludf.DUMMYFUNCTION("""COMPUTED_VALUE"""),"1:N")</f>
        <v>1:N</v>
      </c>
      <c r="G61" s="7" t="str">
        <f ca="1">IFERROR(__xludf.DUMMYFUNCTION("""COMPUTED_VALUE"""),"Population name")</f>
        <v>Population name</v>
      </c>
      <c r="H61" s="5" t="str">
        <f ca="1">IFERROR(__xludf.DUMMYFUNCTION("""COMPUTED_VALUE"""),"1")</f>
        <v>1</v>
      </c>
      <c r="I61" s="13"/>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x14ac:dyDescent="0.25">
      <c r="A62" s="4" t="str">
        <f ca="1">IFERROR(__xludf.DUMMYFUNCTION("""COMPUTED_VALUE"""),"Yes")</f>
        <v>Yes</v>
      </c>
      <c r="B62" s="4" t="str">
        <f ca="1">IFERROR(__xludf.DUMMYFUNCTION("""COMPUTED_VALUE"""),"No")</f>
        <v>No</v>
      </c>
      <c r="C62" s="96"/>
      <c r="D62" s="96"/>
      <c r="E62" s="96"/>
      <c r="F62" s="96"/>
      <c r="G62" s="7" t="str">
        <f ca="1">IFERROR(__xludf.DUMMYFUNCTION("""COMPUTED_VALUE"""),"Target population")</f>
        <v>Target population</v>
      </c>
      <c r="H62" s="5" t="str">
        <f ca="1">IFERROR(__xludf.DUMMYFUNCTION("""COMPUTED_VALUE"""),"0:1")</f>
        <v>0:1</v>
      </c>
      <c r="I62" s="13"/>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x14ac:dyDescent="0.25">
      <c r="A63" s="4" t="str">
        <f ca="1">IFERROR(__xludf.DUMMYFUNCTION("""COMPUTED_VALUE"""),"Yes")</f>
        <v>Yes</v>
      </c>
      <c r="B63" s="4" t="str">
        <f ca="1">IFERROR(__xludf.DUMMYFUNCTION("""COMPUTED_VALUE"""),"No")</f>
        <v>No</v>
      </c>
      <c r="C63" s="96"/>
      <c r="D63" s="96"/>
      <c r="E63" s="96"/>
      <c r="F63" s="96"/>
      <c r="G63" s="7" t="str">
        <f ca="1">IFERROR(__xludf.DUMMYFUNCTION("""COMPUTED_VALUE"""),"Population Span (years)")</f>
        <v>Population Span (years)</v>
      </c>
      <c r="H63" s="5" t="str">
        <f ca="1">IFERROR(__xludf.DUMMYFUNCTION("""COMPUTED_VALUE"""),"0:N")</f>
        <v>0:N</v>
      </c>
      <c r="I63" s="13"/>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x14ac:dyDescent="0.25">
      <c r="A64" s="4" t="str">
        <f ca="1">IFERROR(__xludf.DUMMYFUNCTION("""COMPUTED_VALUE"""),"Yes")</f>
        <v>Yes</v>
      </c>
      <c r="B64" s="4" t="str">
        <f ca="1">IFERROR(__xludf.DUMMYFUNCTION("""COMPUTED_VALUE"""),"No")</f>
        <v>No</v>
      </c>
      <c r="C64" s="96"/>
      <c r="D64" s="96"/>
      <c r="E64" s="96"/>
      <c r="F64" s="96"/>
      <c r="G64" s="7" t="str">
        <f ca="1">IFERROR(__xludf.DUMMYFUNCTION("""COMPUTED_VALUE"""),"Population description")</f>
        <v>Population description</v>
      </c>
      <c r="H64" s="5" t="str">
        <f ca="1">IFERROR(__xludf.DUMMYFUNCTION("""COMPUTED_VALUE"""),"0:N")</f>
        <v>0:N</v>
      </c>
      <c r="I64" s="13"/>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x14ac:dyDescent="0.25">
      <c r="A65" s="4" t="str">
        <f ca="1">IFERROR(__xludf.DUMMYFUNCTION("""COMPUTED_VALUE"""),"Yes")</f>
        <v>Yes</v>
      </c>
      <c r="B65" s="4" t="str">
        <f ca="1">IFERROR(__xludf.DUMMYFUNCTION("""COMPUTED_VALUE"""),"No")</f>
        <v>No</v>
      </c>
      <c r="C65" s="96"/>
      <c r="D65" s="96"/>
      <c r="E65" s="96"/>
      <c r="F65" s="96"/>
      <c r="G65" s="7" t="str">
        <f ca="1">IFERROR(__xludf.DUMMYFUNCTION("""COMPUTED_VALUE"""),"Population age")</f>
        <v>Population age</v>
      </c>
      <c r="H65" s="5" t="str">
        <f ca="1">IFERROR(__xludf.DUMMYFUNCTION("""COMPUTED_VALUE"""),"0:N")</f>
        <v>0:N</v>
      </c>
      <c r="I65" s="13"/>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x14ac:dyDescent="0.25">
      <c r="A66" s="4" t="str">
        <f ca="1">IFERROR(__xludf.DUMMYFUNCTION("""COMPUTED_VALUE"""),"Yes")</f>
        <v>Yes</v>
      </c>
      <c r="B66" s="4" t="str">
        <f ca="1">IFERROR(__xludf.DUMMYFUNCTION("""COMPUTED_VALUE"""),"No")</f>
        <v>No</v>
      </c>
      <c r="C66" s="96"/>
      <c r="D66" s="96"/>
      <c r="E66" s="96"/>
      <c r="F66" s="96"/>
      <c r="G66" s="7" t="str">
        <f ca="1">IFERROR(__xludf.DUMMYFUNCTION("""COMPUTED_VALUE"""),"Population gender")</f>
        <v>Population gender</v>
      </c>
      <c r="H66" s="5" t="str">
        <f ca="1">IFERROR(__xludf.DUMMYFUNCTION("""COMPUTED_VALUE"""),"0:1")</f>
        <v>0:1</v>
      </c>
      <c r="I66" s="13"/>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x14ac:dyDescent="0.25">
      <c r="A67" s="4" t="str">
        <f ca="1">IFERROR(__xludf.DUMMYFUNCTION("""COMPUTED_VALUE"""),"Yes")</f>
        <v>Yes</v>
      </c>
      <c r="B67" s="4" t="str">
        <f ca="1">IFERROR(__xludf.DUMMYFUNCTION("""COMPUTED_VALUE"""),"No")</f>
        <v>No</v>
      </c>
      <c r="C67" s="96"/>
      <c r="D67" s="96"/>
      <c r="E67" s="96"/>
      <c r="F67" s="96"/>
      <c r="G67" s="7" t="str">
        <f ca="1">IFERROR(__xludf.DUMMYFUNCTION("""COMPUTED_VALUE"""),"BMI")</f>
        <v>BMI</v>
      </c>
      <c r="H67" s="5" t="str">
        <f ca="1">IFERROR(__xludf.DUMMYFUNCTION("""COMPUTED_VALUE"""),"0:N")</f>
        <v>0:N</v>
      </c>
      <c r="I67" s="13"/>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x14ac:dyDescent="0.25">
      <c r="A68" s="4" t="str">
        <f ca="1">IFERROR(__xludf.DUMMYFUNCTION("""COMPUTED_VALUE"""),"Yes")</f>
        <v>Yes</v>
      </c>
      <c r="B68" s="4" t="str">
        <f ca="1">IFERROR(__xludf.DUMMYFUNCTION("""COMPUTED_VALUE"""),"No")</f>
        <v>No</v>
      </c>
      <c r="C68" s="96"/>
      <c r="D68" s="96"/>
      <c r="E68" s="96"/>
      <c r="F68" s="96"/>
      <c r="G68" s="7" t="str">
        <f ca="1">IFERROR(__xludf.DUMMYFUNCTION("""COMPUTED_VALUE"""),"Special diet groups")</f>
        <v>Special diet groups</v>
      </c>
      <c r="H68" s="5" t="str">
        <f ca="1">IFERROR(__xludf.DUMMYFUNCTION("""COMPUTED_VALUE"""),"0:N")</f>
        <v>0:N</v>
      </c>
      <c r="I68" s="13"/>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x14ac:dyDescent="0.25">
      <c r="A69" s="4" t="str">
        <f ca="1">IFERROR(__xludf.DUMMYFUNCTION("""COMPUTED_VALUE"""),"Yes")</f>
        <v>Yes</v>
      </c>
      <c r="B69" s="4" t="str">
        <f ca="1">IFERROR(__xludf.DUMMYFUNCTION("""COMPUTED_VALUE"""),"No")</f>
        <v>No</v>
      </c>
      <c r="C69" s="96"/>
      <c r="D69" s="96"/>
      <c r="E69" s="96"/>
      <c r="F69" s="96"/>
      <c r="G69" s="7" t="str">
        <f ca="1">IFERROR(__xludf.DUMMYFUNCTION("""COMPUTED_VALUE"""),"Pattern consumption")</f>
        <v>Pattern consumption</v>
      </c>
      <c r="H69" s="5" t="str">
        <f ca="1">IFERROR(__xludf.DUMMYFUNCTION("""COMPUTED_VALUE"""),"0:N")</f>
        <v>0:N</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x14ac:dyDescent="0.25">
      <c r="A70" s="4" t="str">
        <f ca="1">IFERROR(__xludf.DUMMYFUNCTION("""COMPUTED_VALUE"""),"Yes")</f>
        <v>Yes</v>
      </c>
      <c r="B70" s="4" t="str">
        <f ca="1">IFERROR(__xludf.DUMMYFUNCTION("""COMPUTED_VALUE"""),"No")</f>
        <v>No</v>
      </c>
      <c r="C70" s="96"/>
      <c r="D70" s="96"/>
      <c r="E70" s="96"/>
      <c r="F70" s="96"/>
      <c r="G70" s="7" t="str">
        <f ca="1">IFERROR(__xludf.DUMMYFUNCTION("""COMPUTED_VALUE"""),"Region")</f>
        <v>Region</v>
      </c>
      <c r="H70" s="5" t="str">
        <f ca="1">IFERROR(__xludf.DUMMYFUNCTION("""COMPUTED_VALUE"""),"0:N")</f>
        <v>0:N</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x14ac:dyDescent="0.25">
      <c r="A71" s="4" t="str">
        <f ca="1">IFERROR(__xludf.DUMMYFUNCTION("""COMPUTED_VALUE"""),"Yes")</f>
        <v>Yes</v>
      </c>
      <c r="B71" s="4" t="str">
        <f ca="1">IFERROR(__xludf.DUMMYFUNCTION("""COMPUTED_VALUE"""),"No")</f>
        <v>No</v>
      </c>
      <c r="C71" s="96"/>
      <c r="D71" s="96"/>
      <c r="E71" s="96"/>
      <c r="F71" s="96"/>
      <c r="G71" s="7" t="str">
        <f ca="1">IFERROR(__xludf.DUMMYFUNCTION("""COMPUTED_VALUE"""),"Country")</f>
        <v>Country</v>
      </c>
      <c r="H71" s="5" t="str">
        <f ca="1">IFERROR(__xludf.DUMMYFUNCTION("""COMPUTED_VALUE"""),"0:N")</f>
        <v>0:N</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x14ac:dyDescent="0.25">
      <c r="A72" s="4" t="str">
        <f ca="1">IFERROR(__xludf.DUMMYFUNCTION("""COMPUTED_VALUE"""),"Yes")</f>
        <v>Yes</v>
      </c>
      <c r="B72" s="4" t="str">
        <f ca="1">IFERROR(__xludf.DUMMYFUNCTION("""COMPUTED_VALUE"""),"No")</f>
        <v>No</v>
      </c>
      <c r="C72" s="96"/>
      <c r="D72" s="96"/>
      <c r="E72" s="96"/>
      <c r="F72" s="96"/>
      <c r="G72" s="7" t="str">
        <f ca="1">IFERROR(__xludf.DUMMYFUNCTION("""COMPUTED_VALUE"""),"Risk and population factors")</f>
        <v>Risk and population factors</v>
      </c>
      <c r="H72" s="5" t="str">
        <f ca="1">IFERROR(__xludf.DUMMYFUNCTION("""COMPUTED_VALUE"""),"0:N")</f>
        <v>0:N</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x14ac:dyDescent="0.25">
      <c r="A73" s="4" t="str">
        <f ca="1">IFERROR(__xludf.DUMMYFUNCTION("""COMPUTED_VALUE"""),"Yes")</f>
        <v>Yes</v>
      </c>
      <c r="B73" s="4" t="str">
        <f ca="1">IFERROR(__xludf.DUMMYFUNCTION("""COMPUTED_VALUE"""),"No")</f>
        <v>No</v>
      </c>
      <c r="C73" s="96"/>
      <c r="D73" s="96"/>
      <c r="E73" s="96"/>
      <c r="F73" s="96"/>
      <c r="G73" s="7" t="str">
        <f ca="1">IFERROR(__xludf.DUMMYFUNCTION("""COMPUTED_VALUE"""),"Season")</f>
        <v>Season</v>
      </c>
      <c r="H73" s="5" t="str">
        <f ca="1">IFERROR(__xludf.DUMMYFUNCTION("""COMPUTED_VALUE"""),"0:N")</f>
        <v>0:N</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x14ac:dyDescent="0.25">
      <c r="A74" s="4" t="str">
        <f ca="1">IFERROR(__xludf.DUMMYFUNCTION("""COMPUTED_VALUE"""),"Yes")</f>
        <v>Yes</v>
      </c>
      <c r="B74" s="4" t="str">
        <f ca="1">IFERROR(__xludf.DUMMYFUNCTION("""COMPUTED_VALUE"""),"No")</f>
        <v>No</v>
      </c>
      <c r="C74" s="96"/>
      <c r="D74" s="96"/>
      <c r="E74" s="5" t="str">
        <f ca="1">IFERROR(__xludf.DUMMYFUNCTION("""COMPUTED_VALUE"""),"General comment")</f>
        <v>General comment</v>
      </c>
      <c r="F74" s="97" t="str">
        <f ca="1">IFERROR(__xludf.DUMMYFUNCTION("""COMPUTED_VALUE"""),"0:1")</f>
        <v>0:1</v>
      </c>
      <c r="G74" s="96"/>
      <c r="H74" s="96"/>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x14ac:dyDescent="0.25">
      <c r="A75" s="4" t="str">
        <f ca="1">IFERROR(__xludf.DUMMYFUNCTION("""COMPUTED_VALUE"""),"Yes")</f>
        <v>Yes</v>
      </c>
      <c r="B75" s="4" t="str">
        <f ca="1">IFERROR(__xludf.DUMMYFUNCTION("""COMPUTED_VALUE"""),"No")</f>
        <v>No</v>
      </c>
      <c r="C75" s="96"/>
      <c r="D75" s="96"/>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x14ac:dyDescent="0.25">
      <c r="A76" s="4" t="str">
        <f ca="1">IFERROR(__xludf.DUMMYFUNCTION("""COMPUTED_VALUE"""),"Yes")</f>
        <v>Yes</v>
      </c>
      <c r="B76" s="4" t="str">
        <f ca="1">IFERROR(__xludf.DUMMYFUNCTION("""COMPUTED_VALUE"""),"No")</f>
        <v>No</v>
      </c>
      <c r="C76" s="96"/>
      <c r="D76" s="96"/>
      <c r="E76" s="97" t="str">
        <f ca="1">IFERROR(__xludf.DUMMYFUNCTION("""COMPUTED_VALUE"""),"Spatial information")</f>
        <v>Spatial information</v>
      </c>
      <c r="F76" s="97" t="str">
        <f ca="1">IFERROR(__xludf.DUMMYFUNCTION("""COMPUTED_VALUE"""),"0:1")</f>
        <v>0:1</v>
      </c>
      <c r="G76" s="5" t="str">
        <f ca="1">IFERROR(__xludf.DUMMYFUNCTION("""COMPUTED_VALUE"""),"Region")</f>
        <v>Region</v>
      </c>
      <c r="H76" s="5" t="str">
        <f ca="1">IFERROR(__xludf.DUMMYFUNCTION("""COMPUTED_VALUE"""),"0:N")</f>
        <v>0:N</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x14ac:dyDescent="0.25">
      <c r="A77" s="4" t="str">
        <f ca="1">IFERROR(__xludf.DUMMYFUNCTION("""COMPUTED_VALUE"""),"Yes")</f>
        <v>Yes</v>
      </c>
      <c r="B77" s="4" t="str">
        <f ca="1">IFERROR(__xludf.DUMMYFUNCTION("""COMPUTED_VALUE"""),"No")</f>
        <v>No</v>
      </c>
      <c r="C77" s="96"/>
      <c r="D77" s="96"/>
      <c r="E77" s="96"/>
      <c r="F77" s="96"/>
      <c r="G77" s="5" t="str">
        <f ca="1">IFERROR(__xludf.DUMMYFUNCTION("""COMPUTED_VALUE"""),"Country")</f>
        <v>Country</v>
      </c>
      <c r="H77" s="5" t="str">
        <f ca="1">IFERROR(__xludf.DUMMYFUNCTION("""COMPUTED_VALUE"""),"0:N")</f>
        <v>0:N</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x14ac:dyDescent="0.25">
      <c r="A78" s="4" t="str">
        <f ca="1">IFERROR(__xludf.DUMMYFUNCTION("""COMPUTED_VALUE"""),"Yes")</f>
        <v>Yes</v>
      </c>
      <c r="B78" s="4" t="str">
        <f ca="1">IFERROR(__xludf.DUMMYFUNCTION("""COMPUTED_VALUE"""),"No")</f>
        <v>No</v>
      </c>
      <c r="C78" s="95" t="str">
        <f ca="1">IFERROR(__xludf.DUMMYFUNCTION("""COMPUTED_VALUE"""),"Data_background")</f>
        <v>Data_background</v>
      </c>
      <c r="D78" s="95" t="str">
        <f ca="1">IFERROR(__xludf.DUMMYFUNCTION("""COMPUTED_VALUE"""),"0:1")</f>
        <v>0:1</v>
      </c>
      <c r="E78" s="97" t="str">
        <f ca="1">IFERROR(__xludf.DUMMYFUNCTION("""COMPUTED_VALUE"""),"Study")</f>
        <v>Study</v>
      </c>
      <c r="F78" s="97" t="str">
        <f ca="1">IFERROR(__xludf.DUMMYFUNCTION("""COMPUTED_VALUE"""),"1")</f>
        <v>1</v>
      </c>
      <c r="G78" s="7" t="str">
        <f ca="1">IFERROR(__xludf.DUMMYFUNCTION("""COMPUTED_VALUE"""),"Study Identifier")</f>
        <v>Study Identifier</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x14ac:dyDescent="0.25">
      <c r="A79" s="4" t="str">
        <f ca="1">IFERROR(__xludf.DUMMYFUNCTION("""COMPUTED_VALUE"""),"Yes")</f>
        <v>Yes</v>
      </c>
      <c r="B79" s="4" t="str">
        <f ca="1">IFERROR(__xludf.DUMMYFUNCTION("""COMPUTED_VALUE"""),"No")</f>
        <v>No</v>
      </c>
      <c r="C79" s="96"/>
      <c r="D79" s="96"/>
      <c r="E79" s="96"/>
      <c r="F79" s="96"/>
      <c r="G79" s="7" t="str">
        <f ca="1">IFERROR(__xludf.DUMMYFUNCTION("""COMPUTED_VALUE"""),"Study Title")</f>
        <v>Study Title</v>
      </c>
      <c r="H79" s="5" t="str">
        <f ca="1">IFERROR(__xludf.DUMMYFUNCTION("""COMPUTED_VALUE"""),"1")</f>
        <v>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x14ac:dyDescent="0.25">
      <c r="A80" s="4" t="str">
        <f ca="1">IFERROR(__xludf.DUMMYFUNCTION("""COMPUTED_VALUE"""),"Yes")</f>
        <v>Yes</v>
      </c>
      <c r="B80" s="4" t="str">
        <f ca="1">IFERROR(__xludf.DUMMYFUNCTION("""COMPUTED_VALUE"""),"No")</f>
        <v>No</v>
      </c>
      <c r="C80" s="96"/>
      <c r="D80" s="96"/>
      <c r="E80" s="96"/>
      <c r="F80" s="96"/>
      <c r="G80" s="7" t="str">
        <f ca="1">IFERROR(__xludf.DUMMYFUNCTION("""COMPUTED_VALUE"""),"Study Description")</f>
        <v>Study Description</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x14ac:dyDescent="0.25">
      <c r="A81" s="4" t="str">
        <f ca="1">IFERROR(__xludf.DUMMYFUNCTION("""COMPUTED_VALUE"""),"Yes")</f>
        <v>Yes</v>
      </c>
      <c r="B81" s="4" t="str">
        <f ca="1">IFERROR(__xludf.DUMMYFUNCTION("""COMPUTED_VALUE"""),"No")</f>
        <v>No</v>
      </c>
      <c r="C81" s="96"/>
      <c r="D81" s="96"/>
      <c r="E81" s="96"/>
      <c r="F81" s="96"/>
      <c r="G81" s="7" t="str">
        <f ca="1">IFERROR(__xludf.DUMMYFUNCTION("""COMPUTED_VALUE"""),"Study Design Type")</f>
        <v>Study Design Type</v>
      </c>
      <c r="H81" s="5" t="str">
        <f ca="1">IFERROR(__xludf.DUMMYFUNCTION("""COMPUTED_VALUE"""),"0:1")</f>
        <v>0:1</v>
      </c>
      <c r="I81" s="11"/>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x14ac:dyDescent="0.25">
      <c r="A82" s="4" t="str">
        <f ca="1">IFERROR(__xludf.DUMMYFUNCTION("""COMPUTED_VALUE"""),"Yes")</f>
        <v>Yes</v>
      </c>
      <c r="B82" s="4" t="str">
        <f ca="1">IFERROR(__xludf.DUMMYFUNCTION("""COMPUTED_VALUE"""),"No")</f>
        <v>No</v>
      </c>
      <c r="C82" s="96"/>
      <c r="D82" s="96"/>
      <c r="E82" s="96"/>
      <c r="F82" s="96"/>
      <c r="G82" s="7" t="str">
        <f ca="1">IFERROR(__xludf.DUMMYFUNCTION("""COMPUTED_VALUE"""),"Study Assay Measurement Type")</f>
        <v>Study Assay Measurement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x14ac:dyDescent="0.25">
      <c r="A83" s="4" t="str">
        <f ca="1">IFERROR(__xludf.DUMMYFUNCTION("""COMPUTED_VALUE"""),"Yes")</f>
        <v>Yes</v>
      </c>
      <c r="B83" s="4" t="str">
        <f ca="1">IFERROR(__xludf.DUMMYFUNCTION("""COMPUTED_VALUE"""),"No")</f>
        <v>No</v>
      </c>
      <c r="C83" s="96"/>
      <c r="D83" s="96"/>
      <c r="E83" s="96"/>
      <c r="F83" s="96"/>
      <c r="G83" s="7" t="str">
        <f ca="1">IFERROR(__xludf.DUMMYFUNCTION("""COMPUTED_VALUE"""),"Study Assay Technology Type")</f>
        <v>Study Assay Technology Type</v>
      </c>
      <c r="H83" s="5" t="str">
        <f ca="1">IFERROR(__xludf.DUMMYFUNCTION("""COMPUTED_VALUE"""),"0:1")</f>
        <v>0:1</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x14ac:dyDescent="0.25">
      <c r="A84" s="4" t="str">
        <f ca="1">IFERROR(__xludf.DUMMYFUNCTION("""COMPUTED_VALUE"""),"Yes")</f>
        <v>Yes</v>
      </c>
      <c r="B84" s="4" t="str">
        <f ca="1">IFERROR(__xludf.DUMMYFUNCTION("""COMPUTED_VALUE"""),"No")</f>
        <v>No</v>
      </c>
      <c r="C84" s="96"/>
      <c r="D84" s="96"/>
      <c r="E84" s="96"/>
      <c r="F84" s="96"/>
      <c r="G84" s="7" t="str">
        <f ca="1">IFERROR(__xludf.DUMMYFUNCTION("""COMPUTED_VALUE"""),"Study Assay Technology Platform")</f>
        <v>Study Assay Technology Platform</v>
      </c>
      <c r="H84" s="5" t="str">
        <f ca="1">IFERROR(__xludf.DUMMYFUNCTION("""COMPUTED_VALUE"""),"0:1")</f>
        <v>0:1</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x14ac:dyDescent="0.25">
      <c r="A85" s="4" t="str">
        <f ca="1">IFERROR(__xludf.DUMMYFUNCTION("""COMPUTED_VALUE"""),"Yes")</f>
        <v>Yes</v>
      </c>
      <c r="B85" s="4" t="str">
        <f ca="1">IFERROR(__xludf.DUMMYFUNCTION("""COMPUTED_VALUE"""),"No")</f>
        <v>No</v>
      </c>
      <c r="C85" s="96"/>
      <c r="D85" s="96"/>
      <c r="E85" s="96"/>
      <c r="F85" s="96"/>
      <c r="G85" s="7" t="str">
        <f ca="1">IFERROR(__xludf.DUMMYFUNCTION("""COMPUTED_VALUE"""),"Accreditation procedure for the assay technology")</f>
        <v>Accreditation procedure for the assay technology</v>
      </c>
      <c r="H85" s="5" t="str">
        <f ca="1">IFERROR(__xludf.DUMMYFUNCTION("""COMPUTED_VALUE"""),"0:1")</f>
        <v>0:1</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x14ac:dyDescent="0.25">
      <c r="A86" s="4" t="str">
        <f ca="1">IFERROR(__xludf.DUMMYFUNCTION("""COMPUTED_VALUE"""),"Yes")</f>
        <v>Yes</v>
      </c>
      <c r="B86" s="4" t="str">
        <f ca="1">IFERROR(__xludf.DUMMYFUNCTION("""COMPUTED_VALUE"""),"No")</f>
        <v>No</v>
      </c>
      <c r="C86" s="96"/>
      <c r="D86" s="96"/>
      <c r="E86" s="96"/>
      <c r="F86" s="96"/>
      <c r="G86" s="7" t="str">
        <f ca="1">IFERROR(__xludf.DUMMYFUNCTION("""COMPUTED_VALUE"""),"Study Protocol Name")</f>
        <v>Study Protocol Name</v>
      </c>
      <c r="H86" s="5" t="str">
        <f ca="1">IFERROR(__xludf.DUMMYFUNCTION("""COMPUTED_VALUE"""),"0:1")</f>
        <v>0:1</v>
      </c>
      <c r="I86" s="11"/>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x14ac:dyDescent="0.25">
      <c r="A87" s="4" t="str">
        <f ca="1">IFERROR(__xludf.DUMMYFUNCTION("""COMPUTED_VALUE"""),"Yes")</f>
        <v>Yes</v>
      </c>
      <c r="B87" s="4" t="str">
        <f ca="1">IFERROR(__xludf.DUMMYFUNCTION("""COMPUTED_VALUE"""),"No")</f>
        <v>No</v>
      </c>
      <c r="C87" s="96"/>
      <c r="D87" s="96"/>
      <c r="E87" s="96"/>
      <c r="F87" s="96"/>
      <c r="G87" s="7" t="str">
        <f ca="1">IFERROR(__xludf.DUMMYFUNCTION("""COMPUTED_VALUE"""),"Study Protocol Type")</f>
        <v>Study Protocol Type</v>
      </c>
      <c r="H87" s="5" t="str">
        <f ca="1">IFERROR(__xludf.DUMMYFUNCTION("""COMPUTED_VALUE"""),"0:1")</f>
        <v>0:1</v>
      </c>
      <c r="I87" s="11"/>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x14ac:dyDescent="0.25">
      <c r="A88" s="4" t="str">
        <f ca="1">IFERROR(__xludf.DUMMYFUNCTION("""COMPUTED_VALUE"""),"Yes")</f>
        <v>Yes</v>
      </c>
      <c r="B88" s="4" t="str">
        <f ca="1">IFERROR(__xludf.DUMMYFUNCTION("""COMPUTED_VALUE"""),"No")</f>
        <v>No</v>
      </c>
      <c r="C88" s="96"/>
      <c r="D88" s="96"/>
      <c r="E88" s="96"/>
      <c r="F88" s="96"/>
      <c r="G88" s="7" t="str">
        <f ca="1">IFERROR(__xludf.DUMMYFUNCTION("""COMPUTED_VALUE"""),"Study Protocol Description")</f>
        <v>Study Protocol Description</v>
      </c>
      <c r="H88" s="5" t="str">
        <f ca="1">IFERROR(__xludf.DUMMYFUNCTION("""COMPUTED_VALUE"""),"0:1")</f>
        <v>0:1</v>
      </c>
      <c r="I88" s="11"/>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x14ac:dyDescent="0.25">
      <c r="A89" s="4" t="str">
        <f ca="1">IFERROR(__xludf.DUMMYFUNCTION("""COMPUTED_VALUE"""),"Yes")</f>
        <v>Yes</v>
      </c>
      <c r="B89" s="4" t="str">
        <f ca="1">IFERROR(__xludf.DUMMYFUNCTION("""COMPUTED_VALUE"""),"No")</f>
        <v>No</v>
      </c>
      <c r="C89" s="96"/>
      <c r="D89" s="96"/>
      <c r="E89" s="96"/>
      <c r="F89" s="96"/>
      <c r="G89" s="7" t="str">
        <f ca="1">IFERROR(__xludf.DUMMYFUNCTION("""COMPUTED_VALUE"""),"Study Protocol URI")</f>
        <v>Study Protocol URI</v>
      </c>
      <c r="H89" s="5" t="str">
        <f ca="1">IFERROR(__xludf.DUMMYFUNCTION("""COMPUTED_VALUE"""),"0:1")</f>
        <v>0:1</v>
      </c>
      <c r="I89" s="1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x14ac:dyDescent="0.25">
      <c r="A90" s="4" t="str">
        <f ca="1">IFERROR(__xludf.DUMMYFUNCTION("""COMPUTED_VALUE"""),"Yes")</f>
        <v>Yes</v>
      </c>
      <c r="B90" s="4" t="str">
        <f ca="1">IFERROR(__xludf.DUMMYFUNCTION("""COMPUTED_VALUE"""),"No")</f>
        <v>No</v>
      </c>
      <c r="C90" s="96"/>
      <c r="D90" s="96"/>
      <c r="E90" s="96"/>
      <c r="F90" s="96"/>
      <c r="G90" s="7" t="str">
        <f ca="1">IFERROR(__xludf.DUMMYFUNCTION("""COMPUTED_VALUE"""),"Study Protocol Version")</f>
        <v>Study Protocol Version</v>
      </c>
      <c r="H90" s="5" t="str">
        <f ca="1">IFERROR(__xludf.DUMMYFUNCTION("""COMPUTED_VALUE"""),"0:1")</f>
        <v>0:1</v>
      </c>
      <c r="I90" s="11"/>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x14ac:dyDescent="0.25">
      <c r="A91" s="4" t="str">
        <f ca="1">IFERROR(__xludf.DUMMYFUNCTION("""COMPUTED_VALUE"""),"Yes")</f>
        <v>Yes</v>
      </c>
      <c r="B91" s="4" t="str">
        <f ca="1">IFERROR(__xludf.DUMMYFUNCTION("""COMPUTED_VALUE"""),"No")</f>
        <v>No</v>
      </c>
      <c r="C91" s="96"/>
      <c r="D91" s="96"/>
      <c r="E91" s="96"/>
      <c r="F91" s="96"/>
      <c r="G91" s="7" t="str">
        <f ca="1">IFERROR(__xludf.DUMMYFUNCTION("""COMPUTED_VALUE"""),"Study Protocol Parameters Name")</f>
        <v>Study Protocol Parameters Name</v>
      </c>
      <c r="H91" s="5" t="str">
        <f ca="1">IFERROR(__xludf.DUMMYFUNCTION("""COMPUTED_VALUE"""),"0:1")</f>
        <v>0:1</v>
      </c>
      <c r="I91" s="11"/>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x14ac:dyDescent="0.25">
      <c r="A92" s="4" t="str">
        <f ca="1">IFERROR(__xludf.DUMMYFUNCTION("""COMPUTED_VALUE"""),"Yes")</f>
        <v>Yes</v>
      </c>
      <c r="B92" s="4" t="str">
        <f ca="1">IFERROR(__xludf.DUMMYFUNCTION("""COMPUTED_VALUE"""),"No")</f>
        <v>No</v>
      </c>
      <c r="C92" s="96"/>
      <c r="D92" s="96"/>
      <c r="E92" s="96"/>
      <c r="F92" s="96"/>
      <c r="G92" s="7" t="str">
        <f ca="1">IFERROR(__xludf.DUMMYFUNCTION("""COMPUTED_VALUE"""),"Study Protocol Components Name")</f>
        <v>Study Protocol Components Name</v>
      </c>
      <c r="H92" s="5" t="str">
        <f ca="1">IFERROR(__xludf.DUMMYFUNCTION("""COMPUTED_VALUE"""),"0:1")</f>
        <v>0:1</v>
      </c>
      <c r="I92" s="11"/>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x14ac:dyDescent="0.25">
      <c r="A93" s="4" t="str">
        <f ca="1">IFERROR(__xludf.DUMMYFUNCTION("""COMPUTED_VALUE"""),"Yes")</f>
        <v>Yes</v>
      </c>
      <c r="B93" s="4" t="str">
        <f ca="1">IFERROR(__xludf.DUMMYFUNCTION("""COMPUTED_VALUE"""),"No")</f>
        <v>No</v>
      </c>
      <c r="C93" s="96"/>
      <c r="D93" s="96"/>
      <c r="E93" s="96"/>
      <c r="F93" s="96"/>
      <c r="G93" s="7" t="str">
        <f ca="1">IFERROR(__xludf.DUMMYFUNCTION("""COMPUTED_VALUE"""),"Study Protocol Components Type")</f>
        <v>Study Protocol Components Type</v>
      </c>
      <c r="H93" s="5" t="str">
        <f ca="1">IFERROR(__xludf.DUMMYFUNCTION("""COMPUTED_VALUE"""),"0:1")</f>
        <v>0:1</v>
      </c>
      <c r="I93" s="11"/>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x14ac:dyDescent="0.25">
      <c r="A94" s="4" t="str">
        <f ca="1">IFERROR(__xludf.DUMMYFUNCTION("""COMPUTED_VALUE"""),"Yes")</f>
        <v>Yes</v>
      </c>
      <c r="B94" s="4" t="str">
        <f ca="1">IFERROR(__xludf.DUMMYFUNCTION("""COMPUTED_VALUE"""),"No")</f>
        <v>No</v>
      </c>
      <c r="C94" s="96"/>
      <c r="D94" s="96"/>
      <c r="E94" s="97" t="str">
        <f ca="1">IFERROR(__xludf.DUMMYFUNCTION("""COMPUTED_VALUE"""),"Study Sample")</f>
        <v>Study Sample</v>
      </c>
      <c r="F94" s="97" t="str">
        <f ca="1">IFERROR(__xludf.DUMMYFUNCTION("""COMPUTED_VALUE"""),"0:N")</f>
        <v>0:N</v>
      </c>
      <c r="G94" s="7" t="str">
        <f ca="1">IFERROR(__xludf.DUMMYFUNCTION("""COMPUTED_VALUE"""),"Sample Name (ID)")</f>
        <v>Sample Name (ID)</v>
      </c>
      <c r="H94" s="5" t="str">
        <f ca="1">IFERROR(__xludf.DUMMYFUNCTION("""COMPUTED_VALUE"""),"1")</f>
        <v>1</v>
      </c>
      <c r="I94" s="13"/>
      <c r="J94" s="4"/>
      <c r="K94" s="99" t="str">
        <f ca="1">E94</f>
        <v>Study Sample</v>
      </c>
      <c r="L94" s="96"/>
      <c r="M94" s="96"/>
      <c r="N94" s="96"/>
      <c r="O94" s="96"/>
      <c r="P94" s="96"/>
      <c r="Q94" s="96"/>
      <c r="R94" s="96"/>
      <c r="S94" s="96"/>
      <c r="T94" s="96"/>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x14ac:dyDescent="0.25">
      <c r="A95" s="4" t="str">
        <f ca="1">IFERROR(__xludf.DUMMYFUNCTION("""COMPUTED_VALUE"""),"Yes")</f>
        <v>Yes</v>
      </c>
      <c r="B95" s="4" t="str">
        <f ca="1">IFERROR(__xludf.DUMMYFUNCTION("""COMPUTED_VALUE"""),"No")</f>
        <v>No</v>
      </c>
      <c r="C95" s="96"/>
      <c r="D95" s="96"/>
      <c r="E95" s="96"/>
      <c r="F95" s="96"/>
      <c r="G95" s="7" t="str">
        <f ca="1">IFERROR(__xludf.DUMMYFUNCTION("""COMPUTED_VALUE"""),"Protocol of sample collection")</f>
        <v>Protocol of sample collection</v>
      </c>
      <c r="H95" s="5" t="str">
        <f ca="1">IFERROR(__xludf.DUMMYFUNCTION("""COMPUTED_VALUE"""),"1")</f>
        <v>1</v>
      </c>
      <c r="I95" s="13"/>
      <c r="J95" s="4"/>
      <c r="K95" s="7" t="str">
        <f ca="1">G94</f>
        <v>Sample Name (ID)</v>
      </c>
      <c r="L95" s="7" t="str">
        <f ca="1">G95</f>
        <v>Protocol of sample collection</v>
      </c>
      <c r="M95" s="7" t="str">
        <f ca="1">G96</f>
        <v>Sampling strategy</v>
      </c>
      <c r="N95" s="7" t="str">
        <f ca="1">G97</f>
        <v>Type of sampling program</v>
      </c>
      <c r="O95" s="7" t="str">
        <f ca="1">G98</f>
        <v>Sampling method</v>
      </c>
      <c r="P95" s="7" t="str">
        <f ca="1">G99</f>
        <v>Sampling plan</v>
      </c>
      <c r="Q95" s="7" t="str">
        <f ca="1">G100</f>
        <v>Sampling weight</v>
      </c>
      <c r="R95" s="7" t="str">
        <f ca="1">G101</f>
        <v>Sampling size</v>
      </c>
      <c r="S95" s="7" t="str">
        <f ca="1">G102</f>
        <v>Lot size unit</v>
      </c>
      <c r="T95" s="7" t="str">
        <f ca="1">G103</f>
        <v>Sampling point</v>
      </c>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x14ac:dyDescent="0.25">
      <c r="A96" s="4" t="str">
        <f ca="1">IFERROR(__xludf.DUMMYFUNCTION("""COMPUTED_VALUE"""),"Yes")</f>
        <v>Yes</v>
      </c>
      <c r="B96" s="4" t="str">
        <f ca="1">IFERROR(__xludf.DUMMYFUNCTION("""COMPUTED_VALUE"""),"No")</f>
        <v>No</v>
      </c>
      <c r="C96" s="96"/>
      <c r="D96" s="96"/>
      <c r="E96" s="96"/>
      <c r="F96" s="96"/>
      <c r="G96" s="7" t="str">
        <f ca="1">IFERROR(__xludf.DUMMYFUNCTION("""COMPUTED_VALUE"""),"Sampling strategy")</f>
        <v>Sampling strategy</v>
      </c>
      <c r="H96" s="5" t="str">
        <f ca="1">IFERROR(__xludf.DUMMYFUNCTION("""COMPUTED_VALUE"""),"0:1")</f>
        <v>0:1</v>
      </c>
      <c r="I96" s="13"/>
      <c r="J96" s="4"/>
      <c r="K96" s="4" t="str">
        <f ca="1">H94</f>
        <v>1</v>
      </c>
      <c r="L96" s="4" t="str">
        <f ca="1">H95</f>
        <v>1</v>
      </c>
      <c r="M96" s="4" t="str">
        <f ca="1">H96</f>
        <v>0:1</v>
      </c>
      <c r="N96" s="4" t="str">
        <f ca="1">H97</f>
        <v>0:1</v>
      </c>
      <c r="O96" s="4" t="str">
        <f ca="1">H98</f>
        <v>0:1</v>
      </c>
      <c r="P96" s="4" t="str">
        <f ca="1">H99</f>
        <v>1</v>
      </c>
      <c r="Q96" s="4" t="str">
        <f ca="1">H100</f>
        <v>1</v>
      </c>
      <c r="R96" s="4" t="str">
        <f ca="1">H101</f>
        <v>1</v>
      </c>
      <c r="S96" s="4" t="str">
        <f ca="1">H102</f>
        <v>0:1</v>
      </c>
      <c r="T96" s="4" t="str">
        <f ca="1">H103</f>
        <v>0:1</v>
      </c>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x14ac:dyDescent="0.25">
      <c r="A97" s="4" t="str">
        <f ca="1">IFERROR(__xludf.DUMMYFUNCTION("""COMPUTED_VALUE"""),"Yes")</f>
        <v>Yes</v>
      </c>
      <c r="B97" s="4" t="str">
        <f ca="1">IFERROR(__xludf.DUMMYFUNCTION("""COMPUTED_VALUE"""),"No")</f>
        <v>No</v>
      </c>
      <c r="C97" s="96"/>
      <c r="D97" s="96"/>
      <c r="E97" s="96"/>
      <c r="F97" s="96"/>
      <c r="G97" s="7" t="str">
        <f ca="1">IFERROR(__xludf.DUMMYFUNCTION("""COMPUTED_VALUE"""),"Type of sampling program")</f>
        <v>Type of sampling program</v>
      </c>
      <c r="H97" s="5" t="str">
        <f ca="1">IFERROR(__xludf.DUMMYFUNCTION("""COMPUTED_VALUE"""),"0:1")</f>
        <v>0:1</v>
      </c>
      <c r="I97" s="13"/>
      <c r="J97" s="4"/>
      <c r="K97" s="10"/>
      <c r="L97" s="10"/>
      <c r="M97" s="10"/>
      <c r="N97" s="10"/>
      <c r="O97" s="10"/>
      <c r="P97" s="10"/>
      <c r="Q97" s="10"/>
      <c r="R97" s="10"/>
      <c r="S97" s="15"/>
      <c r="T97" s="10"/>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x14ac:dyDescent="0.25">
      <c r="A98" s="4" t="str">
        <f ca="1">IFERROR(__xludf.DUMMYFUNCTION("""COMPUTED_VALUE"""),"Yes")</f>
        <v>Yes</v>
      </c>
      <c r="B98" s="4" t="str">
        <f ca="1">IFERROR(__xludf.DUMMYFUNCTION("""COMPUTED_VALUE"""),"No")</f>
        <v>No</v>
      </c>
      <c r="C98" s="96"/>
      <c r="D98" s="96"/>
      <c r="E98" s="96"/>
      <c r="F98" s="96"/>
      <c r="G98" s="7" t="str">
        <f ca="1">IFERROR(__xludf.DUMMYFUNCTION("""COMPUTED_VALUE"""),"Sampling method")</f>
        <v>Sampling method</v>
      </c>
      <c r="H98" s="5" t="str">
        <f ca="1">IFERROR(__xludf.DUMMYFUNCTION("""COMPUTED_VALUE"""),"0:1")</f>
        <v>0:1</v>
      </c>
      <c r="I98" s="13"/>
      <c r="J98" s="4"/>
      <c r="K98" s="10"/>
      <c r="L98" s="10"/>
      <c r="M98" s="10"/>
      <c r="N98" s="10"/>
      <c r="O98" s="10"/>
      <c r="P98" s="10"/>
      <c r="Q98" s="10"/>
      <c r="R98" s="10"/>
      <c r="S98" s="15"/>
      <c r="T98" s="10"/>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x14ac:dyDescent="0.25">
      <c r="A99" s="4" t="str">
        <f ca="1">IFERROR(__xludf.DUMMYFUNCTION("""COMPUTED_VALUE"""),"Yes")</f>
        <v>Yes</v>
      </c>
      <c r="B99" s="4" t="str">
        <f ca="1">IFERROR(__xludf.DUMMYFUNCTION("""COMPUTED_VALUE"""),"No")</f>
        <v>No</v>
      </c>
      <c r="C99" s="96"/>
      <c r="D99" s="96"/>
      <c r="E99" s="96"/>
      <c r="F99" s="96"/>
      <c r="G99" s="7" t="str">
        <f ca="1">IFERROR(__xludf.DUMMYFUNCTION("""COMPUTED_VALUE"""),"Sampling plan")</f>
        <v>Sampling plan</v>
      </c>
      <c r="H99" s="5" t="str">
        <f ca="1">IFERROR(__xludf.DUMMYFUNCTION("""COMPUTED_VALUE"""),"1")</f>
        <v>1</v>
      </c>
      <c r="I99" s="13"/>
      <c r="J99" s="4"/>
      <c r="K99" s="10"/>
      <c r="L99" s="10"/>
      <c r="M99" s="10"/>
      <c r="N99" s="10"/>
      <c r="O99" s="10"/>
      <c r="P99" s="10"/>
      <c r="Q99" s="10"/>
      <c r="R99" s="10"/>
      <c r="S99" s="15"/>
      <c r="T99" s="10"/>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x14ac:dyDescent="0.25">
      <c r="A100" s="4" t="str">
        <f ca="1">IFERROR(__xludf.DUMMYFUNCTION("""COMPUTED_VALUE"""),"Yes")</f>
        <v>Yes</v>
      </c>
      <c r="B100" s="4" t="str">
        <f ca="1">IFERROR(__xludf.DUMMYFUNCTION("""COMPUTED_VALUE"""),"No")</f>
        <v>No</v>
      </c>
      <c r="C100" s="96"/>
      <c r="D100" s="96"/>
      <c r="E100" s="96"/>
      <c r="F100" s="96"/>
      <c r="G100" s="7" t="str">
        <f ca="1">IFERROR(__xludf.DUMMYFUNCTION("""COMPUTED_VALUE"""),"Sampling weight")</f>
        <v>Sampling weight</v>
      </c>
      <c r="H100" s="5" t="str">
        <f ca="1">IFERROR(__xludf.DUMMYFUNCTION("""COMPUTED_VALUE"""),"1")</f>
        <v>1</v>
      </c>
      <c r="I100" s="13"/>
      <c r="J100" s="4"/>
      <c r="K100" s="99" t="str">
        <f ca="1">E104</f>
        <v>Dietary assessment method</v>
      </c>
      <c r="L100" s="96"/>
      <c r="M100" s="96"/>
      <c r="N100" s="96"/>
      <c r="O100" s="96"/>
      <c r="P100" s="96"/>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x14ac:dyDescent="0.25">
      <c r="A101" s="4" t="str">
        <f ca="1">IFERROR(__xludf.DUMMYFUNCTION("""COMPUTED_VALUE"""),"Yes")</f>
        <v>Yes</v>
      </c>
      <c r="B101" s="4" t="str">
        <f ca="1">IFERROR(__xludf.DUMMYFUNCTION("""COMPUTED_VALUE"""),"No")</f>
        <v>No</v>
      </c>
      <c r="C101" s="96"/>
      <c r="D101" s="96"/>
      <c r="E101" s="96"/>
      <c r="F101" s="96"/>
      <c r="G101" s="7" t="str">
        <f ca="1">IFERROR(__xludf.DUMMYFUNCTION("""COMPUTED_VALUE"""),"Sampling size")</f>
        <v>Sampling size</v>
      </c>
      <c r="H101" s="5" t="str">
        <f ca="1">IFERROR(__xludf.DUMMYFUNCTION("""COMPUTED_VALUE"""),"1")</f>
        <v>1</v>
      </c>
      <c r="I101" s="13"/>
      <c r="J101" s="4"/>
      <c r="K101" s="7" t="str">
        <f ca="1">G104</f>
        <v>Methodological tool to collect data</v>
      </c>
      <c r="L101" s="7" t="str">
        <f ca="1">G105</f>
        <v>Number of non-consecutive one-day</v>
      </c>
      <c r="M101" s="7" t="str">
        <f ca="1">G106</f>
        <v>Dietary software tool</v>
      </c>
      <c r="N101" s="7" t="str">
        <f ca="1">G107</f>
        <v>Number of food items</v>
      </c>
      <c r="O101" s="7" t="str">
        <f ca="1">G108</f>
        <v>Type of records</v>
      </c>
      <c r="P101" s="7" t="str">
        <f ca="1">G109</f>
        <v>Food descriptors</v>
      </c>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x14ac:dyDescent="0.25">
      <c r="A102" s="4" t="str">
        <f ca="1">IFERROR(__xludf.DUMMYFUNCTION("""COMPUTED_VALUE"""),"Yes")</f>
        <v>Yes</v>
      </c>
      <c r="B102" s="4" t="str">
        <f ca="1">IFERROR(__xludf.DUMMYFUNCTION("""COMPUTED_VALUE"""),"No")</f>
        <v>No</v>
      </c>
      <c r="C102" s="96"/>
      <c r="D102" s="96"/>
      <c r="E102" s="96"/>
      <c r="F102" s="96"/>
      <c r="G102" s="7" t="str">
        <f ca="1">IFERROR(__xludf.DUMMYFUNCTION("""COMPUTED_VALUE"""),"Lot size unit")</f>
        <v>Lot size unit</v>
      </c>
      <c r="H102" s="5" t="str">
        <f ca="1">IFERROR(__xludf.DUMMYFUNCTION("""COMPUTED_VALUE"""),"0:1")</f>
        <v>0:1</v>
      </c>
      <c r="I102" s="13"/>
      <c r="J102" s="4"/>
      <c r="K102" s="4" t="str">
        <f ca="1">H104</f>
        <v>1</v>
      </c>
      <c r="L102" s="4" t="str">
        <f ca="1">H105</f>
        <v>1</v>
      </c>
      <c r="M102" s="4" t="str">
        <f ca="1">H106</f>
        <v>0:1</v>
      </c>
      <c r="N102" s="4" t="str">
        <f ca="1">H107</f>
        <v>1:N</v>
      </c>
      <c r="O102" s="4" t="str">
        <f ca="1">H108</f>
        <v>1:N</v>
      </c>
      <c r="P102" s="4" t="str">
        <f ca="1">H109</f>
        <v>1:N</v>
      </c>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x14ac:dyDescent="0.25">
      <c r="A103" s="4" t="str">
        <f ca="1">IFERROR(__xludf.DUMMYFUNCTION("""COMPUTED_VALUE"""),"Yes")</f>
        <v>Yes</v>
      </c>
      <c r="B103" s="4" t="str">
        <f ca="1">IFERROR(__xludf.DUMMYFUNCTION("""COMPUTED_VALUE"""),"No")</f>
        <v>No</v>
      </c>
      <c r="C103" s="96"/>
      <c r="D103" s="96"/>
      <c r="E103" s="96"/>
      <c r="F103" s="96"/>
      <c r="G103" s="7" t="str">
        <f ca="1">IFERROR(__xludf.DUMMYFUNCTION("""COMPUTED_VALUE"""),"Sampling point")</f>
        <v>Sampling point</v>
      </c>
      <c r="H103" s="5" t="str">
        <f ca="1">IFERROR(__xludf.DUMMYFUNCTION("""COMPUTED_VALUE"""),"0:1")</f>
        <v>0:1</v>
      </c>
      <c r="I103" s="13"/>
      <c r="J103" s="4"/>
      <c r="K103" s="10"/>
      <c r="L103" s="10"/>
      <c r="M103" s="10"/>
      <c r="N103" s="10"/>
      <c r="O103" s="10"/>
      <c r="P103" s="10"/>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x14ac:dyDescent="0.25">
      <c r="A104" s="4" t="str">
        <f ca="1">IFERROR(__xludf.DUMMYFUNCTION("""COMPUTED_VALUE"""),"Yes")</f>
        <v>Yes</v>
      </c>
      <c r="B104" s="4" t="str">
        <f ca="1">IFERROR(__xludf.DUMMYFUNCTION("""COMPUTED_VALUE"""),"No")</f>
        <v>No</v>
      </c>
      <c r="C104" s="96"/>
      <c r="D104" s="96"/>
      <c r="E104" s="97" t="str">
        <f ca="1">IFERROR(__xludf.DUMMYFUNCTION("""COMPUTED_VALUE"""),"Dietary assessment method")</f>
        <v>Dietary assessment method</v>
      </c>
      <c r="F104" s="97" t="str">
        <f ca="1">IFERROR(__xludf.DUMMYFUNCTION("""COMPUTED_VALUE"""),"0:N")</f>
        <v>0:N</v>
      </c>
      <c r="G104" s="7" t="str">
        <f ca="1">IFERROR(__xludf.DUMMYFUNCTION("""COMPUTED_VALUE"""),"Methodological tool to collect data")</f>
        <v>Methodological tool to collect data</v>
      </c>
      <c r="H104" s="5" t="str">
        <f ca="1">IFERROR(__xludf.DUMMYFUNCTION("""COMPUTED_VALUE"""),"1")</f>
        <v>1</v>
      </c>
      <c r="I104" s="13"/>
      <c r="J104" s="4"/>
      <c r="K104" s="10"/>
      <c r="L104" s="10"/>
      <c r="M104" s="10"/>
      <c r="N104" s="10"/>
      <c r="O104" s="10"/>
      <c r="P104" s="10"/>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x14ac:dyDescent="0.25">
      <c r="A105" s="4" t="str">
        <f ca="1">IFERROR(__xludf.DUMMYFUNCTION("""COMPUTED_VALUE"""),"Yes")</f>
        <v>Yes</v>
      </c>
      <c r="B105" s="4" t="str">
        <f ca="1">IFERROR(__xludf.DUMMYFUNCTION("""COMPUTED_VALUE"""),"No")</f>
        <v>No</v>
      </c>
      <c r="C105" s="96"/>
      <c r="D105" s="96"/>
      <c r="E105" s="96"/>
      <c r="F105" s="96"/>
      <c r="G105" s="7" t="str">
        <f ca="1">IFERROR(__xludf.DUMMYFUNCTION("""COMPUTED_VALUE"""),"Number of non-consecutive one-day")</f>
        <v>Number of non-consecutive one-day</v>
      </c>
      <c r="H105" s="5" t="str">
        <f ca="1">IFERROR(__xludf.DUMMYFUNCTION("""COMPUTED_VALUE"""),"1")</f>
        <v>1</v>
      </c>
      <c r="I105" s="13"/>
      <c r="J105" s="4"/>
      <c r="K105" s="10"/>
      <c r="L105" s="10"/>
      <c r="M105" s="10"/>
      <c r="N105" s="10"/>
      <c r="O105" s="10"/>
      <c r="P105" s="10"/>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x14ac:dyDescent="0.25">
      <c r="A106" s="4" t="str">
        <f ca="1">IFERROR(__xludf.DUMMYFUNCTION("""COMPUTED_VALUE"""),"Yes")</f>
        <v>Yes</v>
      </c>
      <c r="B106" s="4" t="str">
        <f ca="1">IFERROR(__xludf.DUMMYFUNCTION("""COMPUTED_VALUE"""),"No")</f>
        <v>No</v>
      </c>
      <c r="C106" s="96"/>
      <c r="D106" s="96"/>
      <c r="E106" s="96"/>
      <c r="F106" s="96"/>
      <c r="G106" s="7" t="str">
        <f ca="1">IFERROR(__xludf.DUMMYFUNCTION("""COMPUTED_VALUE"""),"Dietary software tool")</f>
        <v>Dietary software tool</v>
      </c>
      <c r="H106" s="5" t="str">
        <f ca="1">IFERROR(__xludf.DUMMYFUNCTION("""COMPUTED_VALUE"""),"0:1")</f>
        <v>0:1</v>
      </c>
      <c r="I106" s="13"/>
      <c r="J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x14ac:dyDescent="0.25">
      <c r="A107" s="4" t="str">
        <f ca="1">IFERROR(__xludf.DUMMYFUNCTION("""COMPUTED_VALUE"""),"Yes")</f>
        <v>Yes</v>
      </c>
      <c r="B107" s="4" t="str">
        <f ca="1">IFERROR(__xludf.DUMMYFUNCTION("""COMPUTED_VALUE"""),"No")</f>
        <v>No</v>
      </c>
      <c r="C107" s="96"/>
      <c r="D107" s="96"/>
      <c r="E107" s="96"/>
      <c r="F107" s="96"/>
      <c r="G107" s="7" t="str">
        <f ca="1">IFERROR(__xludf.DUMMYFUNCTION("""COMPUTED_VALUE"""),"Number of food items")</f>
        <v>Number of food items</v>
      </c>
      <c r="H107" s="5" t="str">
        <f ca="1">IFERROR(__xludf.DUMMYFUNCTION("""COMPUTED_VALUE"""),"1:N")</f>
        <v>1:N</v>
      </c>
      <c r="I107" s="13"/>
      <c r="J107" s="4"/>
      <c r="K107" s="99" t="str">
        <f ca="1">E110</f>
        <v>Laboratory</v>
      </c>
      <c r="L107" s="96"/>
      <c r="M107" s="96"/>
      <c r="O107" s="5" t="str">
        <f ca="1">E156</f>
        <v>Events</v>
      </c>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x14ac:dyDescent="0.25">
      <c r="A108" s="4" t="str">
        <f ca="1">IFERROR(__xludf.DUMMYFUNCTION("""COMPUTED_VALUE"""),"Yes")</f>
        <v>Yes</v>
      </c>
      <c r="B108" s="4" t="str">
        <f ca="1">IFERROR(__xludf.DUMMYFUNCTION("""COMPUTED_VALUE"""),"No")</f>
        <v>No</v>
      </c>
      <c r="C108" s="96"/>
      <c r="D108" s="96"/>
      <c r="E108" s="96"/>
      <c r="F108" s="96"/>
      <c r="G108" s="7" t="str">
        <f ca="1">IFERROR(__xludf.DUMMYFUNCTION("""COMPUTED_VALUE"""),"Type of records")</f>
        <v>Type of records</v>
      </c>
      <c r="H108" s="5" t="str">
        <f ca="1">IFERROR(__xludf.DUMMYFUNCTION("""COMPUTED_VALUE"""),"1:N")</f>
        <v>1:N</v>
      </c>
      <c r="I108" s="13"/>
      <c r="J108" s="4"/>
      <c r="K108" s="7" t="str">
        <f ca="1">G110</f>
        <v>Laboratory accreditation</v>
      </c>
      <c r="L108" s="7" t="str">
        <f ca="1">G111</f>
        <v>Laboratory Name</v>
      </c>
      <c r="M108" s="7" t="str">
        <f ca="1">G112</f>
        <v>Laboratory country</v>
      </c>
      <c r="O108" s="4" t="str">
        <f ca="1">F156</f>
        <v>0:N</v>
      </c>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x14ac:dyDescent="0.25">
      <c r="A109" s="4" t="str">
        <f ca="1">IFERROR(__xludf.DUMMYFUNCTION("""COMPUTED_VALUE"""),"Yes")</f>
        <v>Yes</v>
      </c>
      <c r="B109" s="4" t="str">
        <f ca="1">IFERROR(__xludf.DUMMYFUNCTION("""COMPUTED_VALUE"""),"No")</f>
        <v>No</v>
      </c>
      <c r="C109" s="96"/>
      <c r="D109" s="96"/>
      <c r="E109" s="96"/>
      <c r="F109" s="96"/>
      <c r="G109" s="7" t="str">
        <f ca="1">IFERROR(__xludf.DUMMYFUNCTION("""COMPUTED_VALUE"""),"Food descriptors")</f>
        <v>Food descriptors</v>
      </c>
      <c r="H109" s="5" t="str">
        <f ca="1">IFERROR(__xludf.DUMMYFUNCTION("""COMPUTED_VALUE"""),"1:N")</f>
        <v>1:N</v>
      </c>
      <c r="I109" s="13"/>
      <c r="J109" s="4"/>
      <c r="K109" s="4" t="str">
        <f ca="1">H110</f>
        <v>1:N</v>
      </c>
      <c r="L109" s="4" t="str">
        <f ca="1">H111</f>
        <v>0:1</v>
      </c>
      <c r="M109" s="4" t="str">
        <f ca="1">H112</f>
        <v>0:1</v>
      </c>
      <c r="N109" s="4"/>
      <c r="O109" s="11"/>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x14ac:dyDescent="0.25">
      <c r="A110" s="4" t="str">
        <f ca="1">IFERROR(__xludf.DUMMYFUNCTION("""COMPUTED_VALUE"""),"Yes")</f>
        <v>Yes</v>
      </c>
      <c r="B110" s="4" t="str">
        <f ca="1">IFERROR(__xludf.DUMMYFUNCTION("""COMPUTED_VALUE"""),"No")</f>
        <v>No</v>
      </c>
      <c r="C110" s="96"/>
      <c r="D110" s="96"/>
      <c r="E110" s="97" t="str">
        <f ca="1">IFERROR(__xludf.DUMMYFUNCTION("""COMPUTED_VALUE"""),"Laboratory")</f>
        <v>Laboratory</v>
      </c>
      <c r="F110" s="97" t="str">
        <f ca="1">IFERROR(__xludf.DUMMYFUNCTION("""COMPUTED_VALUE"""),"0:N")</f>
        <v>0:N</v>
      </c>
      <c r="G110" s="7" t="str">
        <f ca="1">IFERROR(__xludf.DUMMYFUNCTION("""COMPUTED_VALUE"""),"Laboratory accreditation")</f>
        <v>Laboratory accreditation</v>
      </c>
      <c r="H110" s="5" t="str">
        <f ca="1">IFERROR(__xludf.DUMMYFUNCTION("""COMPUTED_VALUE"""),"1:N")</f>
        <v>1:N</v>
      </c>
      <c r="I110" s="13"/>
      <c r="J110" s="4"/>
      <c r="K110" s="62"/>
      <c r="L110" s="63"/>
      <c r="M110" s="63"/>
      <c r="N110" s="4"/>
      <c r="O110" s="11"/>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x14ac:dyDescent="0.25">
      <c r="A111" s="4" t="str">
        <f ca="1">IFERROR(__xludf.DUMMYFUNCTION("""COMPUTED_VALUE"""),"Yes")</f>
        <v>Yes</v>
      </c>
      <c r="B111" s="4" t="str">
        <f ca="1">IFERROR(__xludf.DUMMYFUNCTION("""COMPUTED_VALUE"""),"No")</f>
        <v>No</v>
      </c>
      <c r="C111" s="96"/>
      <c r="D111" s="96"/>
      <c r="E111" s="96"/>
      <c r="F111" s="96"/>
      <c r="G111" s="7" t="str">
        <f ca="1">IFERROR(__xludf.DUMMYFUNCTION("""COMPUTED_VALUE"""),"Laboratory Name")</f>
        <v>Laboratory Name</v>
      </c>
      <c r="H111" s="5" t="str">
        <f ca="1">IFERROR(__xludf.DUMMYFUNCTION("""COMPUTED_VALUE"""),"0:1")</f>
        <v>0:1</v>
      </c>
      <c r="I111" s="13"/>
      <c r="J111" s="4"/>
      <c r="K111" s="62"/>
      <c r="L111" s="63"/>
      <c r="M111" s="63"/>
      <c r="N111" s="4"/>
      <c r="O111" s="11"/>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x14ac:dyDescent="0.25">
      <c r="A112" s="4" t="str">
        <f ca="1">IFERROR(__xludf.DUMMYFUNCTION("""COMPUTED_VALUE"""),"Yes")</f>
        <v>Yes</v>
      </c>
      <c r="B112" s="4" t="str">
        <f ca="1">IFERROR(__xludf.DUMMYFUNCTION("""COMPUTED_VALUE"""),"No")</f>
        <v>No</v>
      </c>
      <c r="C112" s="96"/>
      <c r="D112" s="96"/>
      <c r="E112" s="96"/>
      <c r="F112" s="96"/>
      <c r="G112" s="7" t="str">
        <f ca="1">IFERROR(__xludf.DUMMYFUNCTION("""COMPUTED_VALUE"""),"Laboratory country")</f>
        <v>Laboratory country</v>
      </c>
      <c r="H112" s="5" t="str">
        <f ca="1">IFERROR(__xludf.DUMMYFUNCTION("""COMPUTED_VALUE"""),"0:1")</f>
        <v>0:1</v>
      </c>
      <c r="I112" s="13"/>
      <c r="J112" s="4"/>
      <c r="K112" s="62"/>
      <c r="L112" s="63"/>
      <c r="M112" s="64"/>
      <c r="O112" s="11"/>
      <c r="Q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row>
    <row r="113" spans="1:48" ht="12.5" x14ac:dyDescent="0.25">
      <c r="A113" s="4" t="str">
        <f ca="1">IFERROR(__xludf.DUMMYFUNCTION("""COMPUTED_VALUE"""),"Yes")</f>
        <v>Yes</v>
      </c>
      <c r="B113" s="4" t="str">
        <f ca="1">IFERROR(__xludf.DUMMYFUNCTION("""COMPUTED_VALUE"""),"No")</f>
        <v>No</v>
      </c>
      <c r="C113" s="96"/>
      <c r="D113" s="96"/>
      <c r="E113" s="97" t="str">
        <f ca="1">IFERROR(__xludf.DUMMYFUNCTION("""COMPUTED_VALUE"""),"Assay")</f>
        <v>Assay</v>
      </c>
      <c r="F113" s="97" t="str">
        <f ca="1">IFERROR(__xludf.DUMMYFUNCTION("""COMPUTED_VALUE"""),"0:N")</f>
        <v>0:N</v>
      </c>
      <c r="G113" s="7" t="str">
        <f ca="1">IFERROR(__xludf.DUMMYFUNCTION("""COMPUTED_VALUE"""),"Assay Name")</f>
        <v>Assay Name</v>
      </c>
      <c r="H113" s="5" t="str">
        <f ca="1">IFERROR(__xludf.DUMMYFUNCTION("""COMPUTED_VALUE"""),"1")</f>
        <v>1</v>
      </c>
      <c r="I113" s="13"/>
      <c r="J113" s="4"/>
      <c r="K113" s="99" t="str">
        <f ca="1">E113</f>
        <v>Assay</v>
      </c>
      <c r="L113" s="96"/>
      <c r="M113" s="96"/>
      <c r="N113" s="96"/>
      <c r="O113" s="96"/>
      <c r="P113" s="96"/>
      <c r="Q113" s="96"/>
      <c r="R113" s="96"/>
      <c r="S113" s="96"/>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x14ac:dyDescent="0.25">
      <c r="A114" s="4" t="str">
        <f ca="1">IFERROR(__xludf.DUMMYFUNCTION("""COMPUTED_VALUE"""),"Yes")</f>
        <v>Yes</v>
      </c>
      <c r="B114" s="4" t="str">
        <f ca="1">IFERROR(__xludf.DUMMYFUNCTION("""COMPUTED_VALUE"""),"No")</f>
        <v>No</v>
      </c>
      <c r="C114" s="96"/>
      <c r="D114" s="96"/>
      <c r="E114" s="96"/>
      <c r="F114" s="96"/>
      <c r="G114" s="7" t="str">
        <f ca="1">IFERROR(__xludf.DUMMYFUNCTION("""COMPUTED_VALUE"""),"Assay description")</f>
        <v>Assay description</v>
      </c>
      <c r="H114" s="5" t="str">
        <f ca="1">IFERROR(__xludf.DUMMYFUNCTION("""COMPUTED_VALUE"""),"0:1")</f>
        <v>0:1</v>
      </c>
      <c r="I114" s="13"/>
      <c r="J114" s="4"/>
      <c r="K114" s="4" t="str">
        <f ca="1">G113</f>
        <v>Assay Name</v>
      </c>
      <c r="L114" s="4" t="str">
        <f ca="1">G114</f>
        <v>Assay description</v>
      </c>
      <c r="M114" s="4" t="str">
        <f ca="1">G115</f>
        <v>Percentage of moisture</v>
      </c>
      <c r="N114" s="4" t="str">
        <f ca="1">G116</f>
        <v>Percentage of fat</v>
      </c>
      <c r="O114" s="4" t="str">
        <f ca="1">G117</f>
        <v>Limit of detection</v>
      </c>
      <c r="P114" s="4" t="str">
        <f ca="1">G118</f>
        <v>Limit of quantification</v>
      </c>
      <c r="Q114" s="4" t="str">
        <f ca="1">G119</f>
        <v>Left-censored data</v>
      </c>
      <c r="R114" s="4" t="str">
        <f ca="1">G120</f>
        <v>Range of contamination</v>
      </c>
      <c r="S114" s="4" t="str">
        <f ca="1">G121</f>
        <v>Uncertainty value</v>
      </c>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x14ac:dyDescent="0.25">
      <c r="A115" s="4" t="str">
        <f ca="1">IFERROR(__xludf.DUMMYFUNCTION("""COMPUTED_VALUE"""),"Yes")</f>
        <v>Yes</v>
      </c>
      <c r="B115" s="4" t="str">
        <f ca="1">IFERROR(__xludf.DUMMYFUNCTION("""COMPUTED_VALUE"""),"No")</f>
        <v>No</v>
      </c>
      <c r="C115" s="96"/>
      <c r="D115" s="96"/>
      <c r="E115" s="96"/>
      <c r="F115" s="96"/>
      <c r="G115" s="7" t="str">
        <f ca="1">IFERROR(__xludf.DUMMYFUNCTION("""COMPUTED_VALUE"""),"Percentage of moisture")</f>
        <v>Percentage of moisture</v>
      </c>
      <c r="H115" s="5" t="str">
        <f ca="1">IFERROR(__xludf.DUMMYFUNCTION("""COMPUTED_VALUE"""),"0:1")</f>
        <v>0:1</v>
      </c>
      <c r="I115" s="13"/>
      <c r="J115" s="4"/>
      <c r="K115" s="4" t="str">
        <f ca="1">H114</f>
        <v>0:1</v>
      </c>
      <c r="L115" s="4" t="str">
        <f ca="1">H115</f>
        <v>0:1</v>
      </c>
      <c r="M115" s="4" t="str">
        <f ca="1">H116</f>
        <v>0:1</v>
      </c>
      <c r="N115" s="4" t="str">
        <f ca="1">H117</f>
        <v>0:1</v>
      </c>
      <c r="O115" s="4" t="str">
        <f ca="1">H118</f>
        <v>0:1</v>
      </c>
      <c r="P115" s="4" t="str">
        <f ca="1">H119</f>
        <v>0:1</v>
      </c>
      <c r="Q115" s="4" t="str">
        <f ca="1">H120</f>
        <v>0:1</v>
      </c>
      <c r="R115" s="4" t="str">
        <f ca="1">H121</f>
        <v>0:1</v>
      </c>
      <c r="S115" s="4" t="str">
        <f ca="1">H122</f>
        <v>1</v>
      </c>
      <c r="T115" s="4"/>
      <c r="U115" s="4"/>
      <c r="V115" s="4"/>
      <c r="W115" s="4"/>
      <c r="X115" s="4"/>
      <c r="Y115" s="4"/>
      <c r="Z115" s="4"/>
      <c r="AA115" s="4"/>
    </row>
    <row r="116" spans="1:48" ht="12.5" x14ac:dyDescent="0.25">
      <c r="A116" s="4" t="str">
        <f ca="1">IFERROR(__xludf.DUMMYFUNCTION("""COMPUTED_VALUE"""),"Yes")</f>
        <v>Yes</v>
      </c>
      <c r="B116" s="4" t="str">
        <f ca="1">IFERROR(__xludf.DUMMYFUNCTION("""COMPUTED_VALUE"""),"No")</f>
        <v>No</v>
      </c>
      <c r="C116" s="96"/>
      <c r="D116" s="96"/>
      <c r="E116" s="96"/>
      <c r="F116" s="96"/>
      <c r="G116" s="7" t="str">
        <f ca="1">IFERROR(__xludf.DUMMYFUNCTION("""COMPUTED_VALUE"""),"Percentage of fat")</f>
        <v>Percentage of fat</v>
      </c>
      <c r="H116" s="5" t="str">
        <f ca="1">IFERROR(__xludf.DUMMYFUNCTION("""COMPUTED_VALUE"""),"0:1")</f>
        <v>0:1</v>
      </c>
      <c r="I116" s="13"/>
      <c r="J116" s="4"/>
      <c r="K116" s="10"/>
      <c r="L116" s="10"/>
      <c r="M116" s="10"/>
      <c r="N116" s="10"/>
      <c r="O116" s="10"/>
      <c r="P116" s="10"/>
      <c r="Q116" s="10"/>
      <c r="R116" s="10"/>
      <c r="S116" s="10"/>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x14ac:dyDescent="0.25">
      <c r="A117" s="4" t="str">
        <f ca="1">IFERROR(__xludf.DUMMYFUNCTION("""COMPUTED_VALUE"""),"Yes")</f>
        <v>Yes</v>
      </c>
      <c r="B117" s="4" t="str">
        <f ca="1">IFERROR(__xludf.DUMMYFUNCTION("""COMPUTED_VALUE"""),"No")</f>
        <v>No</v>
      </c>
      <c r="C117" s="96"/>
      <c r="D117" s="96"/>
      <c r="E117" s="96"/>
      <c r="F117" s="96"/>
      <c r="G117" s="7" t="str">
        <f ca="1">IFERROR(__xludf.DUMMYFUNCTION("""COMPUTED_VALUE"""),"Limit of detection")</f>
        <v>Limit of detection</v>
      </c>
      <c r="H117" s="5" t="str">
        <f ca="1">IFERROR(__xludf.DUMMYFUNCTION("""COMPUTED_VALUE"""),"0:1")</f>
        <v>0:1</v>
      </c>
      <c r="I117" s="13"/>
      <c r="J117" s="4"/>
      <c r="K117" s="10"/>
      <c r="L117" s="10"/>
      <c r="M117" s="10"/>
      <c r="N117" s="10"/>
      <c r="O117" s="10"/>
      <c r="P117" s="10"/>
      <c r="Q117" s="10"/>
      <c r="R117" s="10"/>
      <c r="S117" s="10"/>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x14ac:dyDescent="0.25">
      <c r="A118" s="4" t="str">
        <f ca="1">IFERROR(__xludf.DUMMYFUNCTION("""COMPUTED_VALUE"""),"Yes")</f>
        <v>Yes</v>
      </c>
      <c r="B118" s="4" t="str">
        <f ca="1">IFERROR(__xludf.DUMMYFUNCTION("""COMPUTED_VALUE"""),"No")</f>
        <v>No</v>
      </c>
      <c r="C118" s="96"/>
      <c r="D118" s="96"/>
      <c r="E118" s="96"/>
      <c r="F118" s="96"/>
      <c r="G118" s="7" t="str">
        <f ca="1">IFERROR(__xludf.DUMMYFUNCTION("""COMPUTED_VALUE"""),"Limit of quantification")</f>
        <v>Limit of quantification</v>
      </c>
      <c r="H118" s="5" t="str">
        <f ca="1">IFERROR(__xludf.DUMMYFUNCTION("""COMPUTED_VALUE"""),"0:1")</f>
        <v>0:1</v>
      </c>
      <c r="I118" s="13"/>
      <c r="J118" s="4"/>
      <c r="K118" s="10"/>
      <c r="L118" s="10"/>
      <c r="M118" s="10"/>
      <c r="N118" s="10"/>
      <c r="O118" s="10"/>
      <c r="P118" s="10"/>
      <c r="Q118" s="10"/>
      <c r="R118" s="10"/>
      <c r="S118" s="10"/>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x14ac:dyDescent="0.25">
      <c r="A119" s="4" t="str">
        <f ca="1">IFERROR(__xludf.DUMMYFUNCTION("""COMPUTED_VALUE"""),"Yes")</f>
        <v>Yes</v>
      </c>
      <c r="B119" s="4" t="str">
        <f ca="1">IFERROR(__xludf.DUMMYFUNCTION("""COMPUTED_VALUE"""),"No")</f>
        <v>No</v>
      </c>
      <c r="C119" s="96"/>
      <c r="D119" s="96"/>
      <c r="E119" s="96"/>
      <c r="F119" s="96"/>
      <c r="G119" s="7" t="str">
        <f ca="1">IFERROR(__xludf.DUMMYFUNCTION("""COMPUTED_VALUE"""),"Left-censored data")</f>
        <v>Left-censored data</v>
      </c>
      <c r="H119" s="5" t="str">
        <f ca="1">IFERROR(__xludf.DUMMYFUNCTION("""COMPUTED_VALUE"""),"0:1")</f>
        <v>0:1</v>
      </c>
      <c r="I119" s="13"/>
      <c r="J119" s="4"/>
      <c r="K119" s="10"/>
      <c r="L119" s="10"/>
      <c r="M119" s="10"/>
      <c r="N119" s="10"/>
      <c r="O119" s="10"/>
      <c r="P119" s="10"/>
      <c r="Q119" s="10"/>
      <c r="R119" s="10"/>
      <c r="S119" s="10"/>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x14ac:dyDescent="0.25">
      <c r="A120" s="4" t="str">
        <f ca="1">IFERROR(__xludf.DUMMYFUNCTION("""COMPUTED_VALUE"""),"Yes")</f>
        <v>Yes</v>
      </c>
      <c r="B120" s="4" t="str">
        <f ca="1">IFERROR(__xludf.DUMMYFUNCTION("""COMPUTED_VALUE"""),"No")</f>
        <v>No</v>
      </c>
      <c r="C120" s="96"/>
      <c r="D120" s="96"/>
      <c r="E120" s="96"/>
      <c r="F120" s="96"/>
      <c r="G120" s="7" t="str">
        <f ca="1">IFERROR(__xludf.DUMMYFUNCTION("""COMPUTED_VALUE"""),"Range of contamination")</f>
        <v>Range of contamination</v>
      </c>
      <c r="H120" s="5" t="str">
        <f ca="1">IFERROR(__xludf.DUMMYFUNCTION("""COMPUTED_VALUE"""),"0:1")</f>
        <v>0:1</v>
      </c>
      <c r="I120" s="13"/>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x14ac:dyDescent="0.25">
      <c r="A121" s="4" t="str">
        <f ca="1">IFERROR(__xludf.DUMMYFUNCTION("""COMPUTED_VALUE"""),"Yes")</f>
        <v>Yes</v>
      </c>
      <c r="B121" s="4" t="str">
        <f ca="1">IFERROR(__xludf.DUMMYFUNCTION("""COMPUTED_VALUE"""),"No")</f>
        <v>No</v>
      </c>
      <c r="C121" s="96"/>
      <c r="D121" s="96"/>
      <c r="E121" s="96"/>
      <c r="F121" s="96"/>
      <c r="G121" s="7" t="str">
        <f ca="1">IFERROR(__xludf.DUMMYFUNCTION("""COMPUTED_VALUE"""),"Uncertainty value")</f>
        <v>Uncertainty value</v>
      </c>
      <c r="H121" s="5" t="str">
        <f ca="1">IFERROR(__xludf.DUMMYFUNCTION("""COMPUTED_VALUE"""),"0:1")</f>
        <v>0:1</v>
      </c>
      <c r="I121" s="13"/>
      <c r="J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row>
    <row r="122" spans="1:48" ht="12.5" x14ac:dyDescent="0.25">
      <c r="A122" s="4" t="str">
        <f ca="1">IFERROR(__xludf.DUMMYFUNCTION("""COMPUTED_VALUE"""),"Yes")</f>
        <v>Yes</v>
      </c>
      <c r="B122" s="4" t="str">
        <f ca="1">IFERROR(__xludf.DUMMYFUNCTION("""COMPUTED_VALUE"""),"Yes")</f>
        <v>Yes</v>
      </c>
      <c r="C122" s="95" t="str">
        <f ca="1">IFERROR(__xludf.DUMMYFUNCTION("""COMPUTED_VALUE"""),"Model math / Data definition")</f>
        <v>Model math / Data definition</v>
      </c>
      <c r="D122" s="95" t="str">
        <f ca="1">IFERROR(__xludf.DUMMYFUNCTION("""COMPUTED_VALUE"""),"1")</f>
        <v>1</v>
      </c>
      <c r="E122" s="97" t="str">
        <f ca="1">IFERROR(__xludf.DUMMYFUNCTION("""COMPUTED_VALUE"""),"Parameter / Factor / Input / Output / ""Data column""")</f>
        <v>Parameter / Factor / Input / Output / "Data column"</v>
      </c>
      <c r="F122" s="97" t="str">
        <f ca="1">IFERROR(__xludf.DUMMYFUNCTION("""COMPUTED_VALUE"""),"1:N")</f>
        <v>1:N</v>
      </c>
      <c r="G122" s="7" t="str">
        <f ca="1">IFERROR(__xludf.DUMMYFUNCTION("""COMPUTED_VALUE"""),"Parameter ID")</f>
        <v>Parameter ID</v>
      </c>
      <c r="H122" s="5" t="str">
        <f ca="1">IFERROR(__xludf.DUMMYFUNCTION("""COMPUTED_VALUE"""),"1")</f>
        <v>1</v>
      </c>
      <c r="I122" s="41"/>
      <c r="J122" s="4"/>
      <c r="K122" s="23"/>
      <c r="L122" s="98" t="str">
        <f ca="1">E140</f>
        <v>Quality measures</v>
      </c>
      <c r="M122" s="96"/>
      <c r="N122" s="23"/>
      <c r="O122" s="98" t="str">
        <f ca="1">E142</f>
        <v>Model equation</v>
      </c>
      <c r="P122" s="96"/>
      <c r="Q122" s="96"/>
      <c r="R122" s="96"/>
      <c r="S122" s="96"/>
      <c r="T122" s="23"/>
      <c r="U122" s="23"/>
      <c r="V122" s="23"/>
      <c r="W122" s="23"/>
      <c r="X122" s="23"/>
      <c r="Y122" s="23"/>
      <c r="Z122" s="23"/>
      <c r="AA122" s="4"/>
      <c r="AB122" s="4"/>
      <c r="AC122" s="4"/>
      <c r="AD122" s="4"/>
      <c r="AE122" s="4"/>
      <c r="AF122" s="4"/>
      <c r="AG122" s="4"/>
      <c r="AH122" s="4"/>
      <c r="AI122" s="4"/>
      <c r="AJ122" s="4"/>
      <c r="AK122" s="4"/>
      <c r="AL122" s="4"/>
      <c r="AM122" s="4"/>
      <c r="AN122" s="4"/>
      <c r="AO122" s="4"/>
      <c r="AP122" s="4"/>
      <c r="AQ122" s="4"/>
      <c r="AR122" s="4"/>
      <c r="AS122" s="4"/>
      <c r="AT122" s="4"/>
      <c r="AU122" s="4"/>
      <c r="AV122" s="4"/>
    </row>
    <row r="123" spans="1:48" ht="12.5" x14ac:dyDescent="0.25">
      <c r="A123" s="4" t="str">
        <f ca="1">IFERROR(__xludf.DUMMYFUNCTION("""COMPUTED_VALUE"""),"Yes")</f>
        <v>Yes</v>
      </c>
      <c r="B123" s="4" t="str">
        <f ca="1">IFERROR(__xludf.DUMMYFUNCTION("""COMPUTED_VALUE"""),"Yes")</f>
        <v>Yes</v>
      </c>
      <c r="C123" s="96"/>
      <c r="D123" s="96"/>
      <c r="E123" s="96"/>
      <c r="F123" s="96"/>
      <c r="G123" s="7" t="str">
        <f ca="1">IFERROR(__xludf.DUMMYFUNCTION("""COMPUTED_VALUE"""),"Parameter classification")</f>
        <v>Parameter classification</v>
      </c>
      <c r="H123" s="5" t="str">
        <f ca="1">IFERROR(__xludf.DUMMYFUNCTION("""COMPUTED_VALUE"""),"1")</f>
        <v>1</v>
      </c>
      <c r="I123" s="41"/>
      <c r="J123" s="4"/>
      <c r="K123" s="24"/>
      <c r="L123" s="25" t="str">
        <f ca="1">G140</f>
        <v>SSE / MSE / RMSE / Rsquared / AIC / BIC</v>
      </c>
      <c r="M123" s="23" t="str">
        <f ca="1">G141</f>
        <v>Sensitivity analysis</v>
      </c>
      <c r="N123" s="24"/>
      <c r="O123" s="23" t="str">
        <f ca="1">G142</f>
        <v>Model equation name</v>
      </c>
      <c r="P123" s="23" t="str">
        <f ca="1">G143</f>
        <v>Model equation class/distribution</v>
      </c>
      <c r="Q123" s="23" t="str">
        <f ca="1">G147</f>
        <v>Model equation reference</v>
      </c>
      <c r="R123" s="23" t="str">
        <f ca="1">G148</f>
        <v>Model equation / Script</v>
      </c>
      <c r="S123" s="26" t="str">
        <f ca="1">G149</f>
        <v>Hypothesis of the model</v>
      </c>
      <c r="T123" s="23"/>
      <c r="U123" s="23"/>
      <c r="V123" s="23"/>
      <c r="W123" s="23"/>
      <c r="X123" s="23"/>
      <c r="Y123" s="23"/>
      <c r="Z123" s="23"/>
      <c r="AA123" s="4"/>
      <c r="AB123" s="4"/>
      <c r="AC123" s="4"/>
      <c r="AD123" s="4"/>
      <c r="AE123" s="4"/>
      <c r="AF123" s="4"/>
      <c r="AG123" s="4"/>
      <c r="AH123" s="4"/>
      <c r="AI123" s="4"/>
      <c r="AJ123" s="4"/>
      <c r="AK123" s="4"/>
      <c r="AL123" s="4"/>
      <c r="AM123" s="4"/>
      <c r="AN123" s="4"/>
      <c r="AO123" s="4"/>
      <c r="AP123" s="4"/>
      <c r="AQ123" s="4"/>
      <c r="AR123" s="4"/>
      <c r="AS123" s="4"/>
      <c r="AT123" s="4"/>
      <c r="AU123" s="4"/>
      <c r="AV123" s="4"/>
    </row>
    <row r="124" spans="1:48" ht="12.5" x14ac:dyDescent="0.25">
      <c r="A124" s="4" t="str">
        <f ca="1">IFERROR(__xludf.DUMMYFUNCTION("""COMPUTED_VALUE"""),"Yes")</f>
        <v>Yes</v>
      </c>
      <c r="B124" s="4" t="str">
        <f ca="1">IFERROR(__xludf.DUMMYFUNCTION("""COMPUTED_VALUE"""),"Yes")</f>
        <v>Yes</v>
      </c>
      <c r="C124" s="96"/>
      <c r="D124" s="96"/>
      <c r="E124" s="96"/>
      <c r="F124" s="96"/>
      <c r="G124" s="7" t="str">
        <f ca="1">IFERROR(__xludf.DUMMYFUNCTION("""COMPUTED_VALUE"""),"Parameter name")</f>
        <v>Parameter name</v>
      </c>
      <c r="H124" s="5" t="str">
        <f ca="1">IFERROR(__xludf.DUMMYFUNCTION("""COMPUTED_VALUE"""),"1")</f>
        <v>1</v>
      </c>
      <c r="I124" s="41"/>
      <c r="J124" s="4"/>
      <c r="K124" s="23"/>
      <c r="L124" t="str">
        <f ca="1">H140</f>
        <v>0:N</v>
      </c>
      <c r="M124" t="str">
        <f ca="1">H141</f>
        <v>0:N</v>
      </c>
      <c r="N124" s="23"/>
      <c r="O124" t="str">
        <f ca="1">H142</f>
        <v>1</v>
      </c>
      <c r="P124" t="str">
        <f ca="1">H143</f>
        <v>0:1</v>
      </c>
      <c r="Q124" t="str">
        <f ca="1">H147</f>
        <v>0:N</v>
      </c>
      <c r="R124" t="str">
        <f ca="1">H148</f>
        <v>1</v>
      </c>
      <c r="S124" t="str">
        <f ca="1">H149</f>
        <v>0:N</v>
      </c>
      <c r="T124" s="23"/>
      <c r="U124" s="23"/>
      <c r="V124" s="23"/>
      <c r="W124" s="23"/>
      <c r="X124" s="23"/>
      <c r="Y124" s="23"/>
      <c r="Z124" s="23"/>
      <c r="AA124" s="4"/>
      <c r="AB124" s="4"/>
      <c r="AC124" s="4"/>
      <c r="AD124" s="4"/>
      <c r="AE124" s="4"/>
      <c r="AF124" s="4"/>
      <c r="AG124" s="4"/>
      <c r="AH124" s="4"/>
      <c r="AI124" s="4"/>
      <c r="AJ124" s="4"/>
      <c r="AK124" s="4"/>
      <c r="AL124" s="4"/>
      <c r="AM124" s="4"/>
      <c r="AN124" s="4"/>
      <c r="AO124" s="4"/>
      <c r="AP124" s="4"/>
      <c r="AQ124" s="4"/>
      <c r="AR124" s="4"/>
      <c r="AS124" s="4"/>
      <c r="AT124" s="4"/>
      <c r="AU124" s="4"/>
      <c r="AV124" s="4"/>
    </row>
    <row r="125" spans="1:48" ht="12.5" x14ac:dyDescent="0.25">
      <c r="A125" s="4" t="str">
        <f ca="1">IFERROR(__xludf.DUMMYFUNCTION("""COMPUTED_VALUE"""),"Yes")</f>
        <v>Yes</v>
      </c>
      <c r="B125" s="4" t="str">
        <f ca="1">IFERROR(__xludf.DUMMYFUNCTION("""COMPUTED_VALUE"""),"No")</f>
        <v>No</v>
      </c>
      <c r="C125" s="96"/>
      <c r="D125" s="96"/>
      <c r="E125" s="96"/>
      <c r="F125" s="96"/>
      <c r="G125" s="7" t="str">
        <f ca="1">IFERROR(__xludf.DUMMYFUNCTION("""COMPUTED_VALUE"""),"Parameter description")</f>
        <v>Parameter description</v>
      </c>
      <c r="H125" s="5" t="str">
        <f ca="1">IFERROR(__xludf.DUMMYFUNCTION("""COMPUTED_VALUE"""),"0:1")</f>
        <v>0:1</v>
      </c>
      <c r="I125" s="41"/>
      <c r="J125" s="4"/>
      <c r="K125" s="29" t="s">
        <v>17</v>
      </c>
      <c r="L125" s="30"/>
      <c r="M125" s="31"/>
      <c r="N125" s="29"/>
      <c r="O125" s="31"/>
      <c r="P125" s="12"/>
      <c r="Q125" s="31"/>
      <c r="R125" s="31"/>
      <c r="S125" s="31"/>
      <c r="T125" s="23"/>
      <c r="U125" s="23"/>
      <c r="V125" s="23"/>
      <c r="W125" s="23"/>
      <c r="X125" s="23"/>
      <c r="Y125" s="23"/>
      <c r="Z125" s="23"/>
      <c r="AA125" s="4"/>
      <c r="AB125" s="4"/>
      <c r="AC125" s="4"/>
      <c r="AD125" s="4"/>
      <c r="AE125" s="4"/>
      <c r="AF125" s="4"/>
      <c r="AG125" s="4"/>
      <c r="AH125" s="4"/>
      <c r="AI125" s="4"/>
      <c r="AJ125" s="4"/>
      <c r="AK125" s="4"/>
      <c r="AL125" s="4"/>
      <c r="AM125" s="4"/>
      <c r="AN125" s="4"/>
      <c r="AO125" s="4"/>
      <c r="AP125" s="4"/>
      <c r="AQ125" s="4"/>
      <c r="AR125" s="4"/>
      <c r="AS125" s="4"/>
      <c r="AT125" s="4"/>
      <c r="AU125" s="4"/>
      <c r="AV125" s="4"/>
    </row>
    <row r="126" spans="1:48" ht="12.5" x14ac:dyDescent="0.25">
      <c r="A126" s="4" t="str">
        <f ca="1">IFERROR(__xludf.DUMMYFUNCTION("""COMPUTED_VALUE"""),"Yes")</f>
        <v>Yes</v>
      </c>
      <c r="B126" s="4" t="str">
        <f ca="1">IFERROR(__xludf.DUMMYFUNCTION("""COMPUTED_VALUE"""),"Yes")</f>
        <v>Yes</v>
      </c>
      <c r="C126" s="96"/>
      <c r="D126" s="96"/>
      <c r="E126" s="96"/>
      <c r="F126" s="96"/>
      <c r="G126" s="7" t="str">
        <f ca="1">IFERROR(__xludf.DUMMYFUNCTION("""COMPUTED_VALUE"""),"Parameter unit")</f>
        <v>Parameter unit</v>
      </c>
      <c r="H126" s="5" t="str">
        <f ca="1">IFERROR(__xludf.DUMMYFUNCTION("""COMPUTED_VALUE"""),"1")</f>
        <v>1</v>
      </c>
      <c r="I126" s="41"/>
      <c r="J126" s="4"/>
      <c r="K126" s="33" t="s">
        <v>18</v>
      </c>
      <c r="L126" s="31"/>
      <c r="M126" s="31"/>
      <c r="N126" s="29"/>
      <c r="O126" s="31"/>
      <c r="P126" s="12"/>
      <c r="Q126" s="31"/>
      <c r="R126" s="31"/>
      <c r="S126" s="31"/>
      <c r="T126" s="23"/>
      <c r="U126" s="23"/>
      <c r="V126" s="23"/>
      <c r="W126" s="23"/>
      <c r="X126" s="23"/>
      <c r="Y126" s="23"/>
      <c r="Z126" s="23"/>
      <c r="AA126" s="4"/>
      <c r="AB126" s="4"/>
      <c r="AC126" s="4"/>
      <c r="AD126" s="4"/>
      <c r="AE126" s="4"/>
      <c r="AF126" s="4"/>
      <c r="AG126" s="4"/>
      <c r="AH126" s="4"/>
      <c r="AI126" s="4"/>
      <c r="AJ126" s="4"/>
      <c r="AK126" s="4"/>
      <c r="AL126" s="4"/>
      <c r="AM126" s="4"/>
      <c r="AN126" s="4"/>
      <c r="AO126" s="4"/>
      <c r="AP126" s="4"/>
      <c r="AQ126" s="4"/>
      <c r="AR126" s="4"/>
      <c r="AS126" s="4"/>
      <c r="AT126" s="4"/>
      <c r="AU126" s="4"/>
      <c r="AV126" s="4"/>
    </row>
    <row r="127" spans="1:48" ht="12.5" x14ac:dyDescent="0.25">
      <c r="A127" s="4" t="str">
        <f ca="1">IFERROR(__xludf.DUMMYFUNCTION("""COMPUTED_VALUE"""),"Yes")</f>
        <v>Yes</v>
      </c>
      <c r="B127" s="4" t="str">
        <f ca="1">IFERROR(__xludf.DUMMYFUNCTION("""COMPUTED_VALUE"""),"No")</f>
        <v>No</v>
      </c>
      <c r="C127" s="96"/>
      <c r="D127" s="96"/>
      <c r="E127" s="96"/>
      <c r="F127" s="96"/>
      <c r="G127" s="7" t="str">
        <f ca="1">IFERROR(__xludf.DUMMYFUNCTION("""COMPUTED_VALUE"""),"Parameter unit category")</f>
        <v>Parameter unit category</v>
      </c>
      <c r="H127" s="5" t="str">
        <f ca="1">IFERROR(__xludf.DUMMYFUNCTION("""COMPUTED_VALUE"""),"0:1")</f>
        <v>0:1</v>
      </c>
      <c r="I127" s="41"/>
      <c r="J127" s="4"/>
      <c r="K127" s="29" t="s">
        <v>19</v>
      </c>
      <c r="L127" s="31"/>
      <c r="M127" s="31"/>
      <c r="N127" s="29"/>
      <c r="O127" s="31"/>
      <c r="P127" s="12"/>
      <c r="Q127" s="31"/>
      <c r="R127" s="31"/>
      <c r="S127" s="31"/>
      <c r="T127" s="23"/>
      <c r="U127" s="23"/>
      <c r="V127" s="23"/>
      <c r="W127" s="23"/>
      <c r="X127" s="23"/>
      <c r="Y127" s="23"/>
      <c r="Z127" s="23"/>
      <c r="AA127" s="4"/>
      <c r="AB127" s="4"/>
      <c r="AC127" s="4"/>
      <c r="AD127" s="4"/>
      <c r="AE127" s="4"/>
      <c r="AF127" s="4"/>
      <c r="AG127" s="4"/>
      <c r="AH127" s="4"/>
      <c r="AI127" s="4"/>
      <c r="AJ127" s="4"/>
      <c r="AK127" s="4"/>
      <c r="AL127" s="4"/>
      <c r="AM127" s="4"/>
      <c r="AN127" s="4"/>
      <c r="AO127" s="4"/>
      <c r="AP127" s="4"/>
      <c r="AQ127" s="4"/>
      <c r="AR127" s="4"/>
      <c r="AS127" s="4"/>
      <c r="AT127" s="4"/>
      <c r="AU127" s="4"/>
      <c r="AV127" s="4"/>
    </row>
    <row r="128" spans="1:48" ht="12.5" x14ac:dyDescent="0.25">
      <c r="A128" s="4" t="str">
        <f ca="1">IFERROR(__xludf.DUMMYFUNCTION("""COMPUTED_VALUE"""),"Yes")</f>
        <v>Yes</v>
      </c>
      <c r="B128" s="4" t="str">
        <f ca="1">IFERROR(__xludf.DUMMYFUNCTION("""COMPUTED_VALUE"""),"Yes")</f>
        <v>Yes</v>
      </c>
      <c r="C128" s="96"/>
      <c r="D128" s="96"/>
      <c r="E128" s="96"/>
      <c r="F128" s="96"/>
      <c r="G128" s="7" t="str">
        <f ca="1">IFERROR(__xludf.DUMMYFUNCTION("""COMPUTED_VALUE"""),"Parameter data type")</f>
        <v>Parameter data type</v>
      </c>
      <c r="H128" s="5" t="str">
        <f ca="1">IFERROR(__xludf.DUMMYFUNCTION("""COMPUTED_VALUE"""),"1")</f>
        <v>1</v>
      </c>
      <c r="I128" s="41"/>
      <c r="J128" s="4"/>
      <c r="K128" s="29" t="s">
        <v>20</v>
      </c>
      <c r="L128" s="31"/>
      <c r="M128" s="31"/>
      <c r="N128" s="29"/>
      <c r="O128" s="31"/>
      <c r="P128" s="12"/>
      <c r="Q128" s="31"/>
      <c r="R128" s="31"/>
      <c r="S128" s="31"/>
      <c r="T128" s="23"/>
      <c r="U128" s="23"/>
      <c r="V128" s="23"/>
      <c r="W128" s="23"/>
      <c r="X128" s="23"/>
      <c r="Y128" s="23"/>
      <c r="Z128" s="23"/>
      <c r="AA128" s="4"/>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x14ac:dyDescent="0.25">
      <c r="A129" s="4" t="str">
        <f ca="1">IFERROR(__xludf.DUMMYFUNCTION("""COMPUTED_VALUE"""),"Yes")</f>
        <v>Yes</v>
      </c>
      <c r="B129" s="4" t="str">
        <f ca="1">IFERROR(__xludf.DUMMYFUNCTION("""COMPUTED_VALUE"""),"No")</f>
        <v>No</v>
      </c>
      <c r="C129" s="96"/>
      <c r="D129" s="96"/>
      <c r="E129" s="96"/>
      <c r="F129" s="96"/>
      <c r="G129" s="7" t="str">
        <f ca="1">IFERROR(__xludf.DUMMYFUNCTION("""COMPUTED_VALUE"""),"Parameter source")</f>
        <v>Parameter source</v>
      </c>
      <c r="H129" s="5" t="str">
        <f ca="1">IFERROR(__xludf.DUMMYFUNCTION("""COMPUTED_VALUE"""),"0:1")</f>
        <v>0:1</v>
      </c>
      <c r="I129" s="41"/>
      <c r="J129" s="4"/>
      <c r="K129" s="29" t="s">
        <v>21</v>
      </c>
      <c r="L129" s="31"/>
      <c r="M129" s="31"/>
      <c r="N129" s="29"/>
      <c r="O129" s="31"/>
      <c r="P129" s="12"/>
      <c r="Q129" s="31"/>
      <c r="R129" s="31"/>
      <c r="S129" s="31"/>
      <c r="T129" s="23"/>
      <c r="U129" s="23"/>
      <c r="V129" s="23"/>
      <c r="W129" s="23"/>
      <c r="X129" s="23"/>
      <c r="Y129" s="23"/>
      <c r="Z129" s="23"/>
      <c r="AA129" s="4"/>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x14ac:dyDescent="0.25">
      <c r="A130" s="4" t="str">
        <f ca="1">IFERROR(__xludf.DUMMYFUNCTION("""COMPUTED_VALUE"""),"Yes")</f>
        <v>Yes</v>
      </c>
      <c r="B130" s="4" t="str">
        <f ca="1">IFERROR(__xludf.DUMMYFUNCTION("""COMPUTED_VALUE"""),"Yes")</f>
        <v>Yes</v>
      </c>
      <c r="C130" s="96"/>
      <c r="D130" s="96"/>
      <c r="E130" s="96"/>
      <c r="F130" s="96"/>
      <c r="G130" s="7" t="str">
        <f ca="1">IFERROR(__xludf.DUMMYFUNCTION("""COMPUTED_VALUE"""),"Parameter subject")</f>
        <v>Parameter subject</v>
      </c>
      <c r="H130" s="5" t="str">
        <f ca="1">IFERROR(__xludf.DUMMYFUNCTION("""COMPUTED_VALUE"""),"0:1")</f>
        <v>0:1</v>
      </c>
      <c r="I130" s="41"/>
      <c r="J130" s="4"/>
      <c r="K130" s="8" t="s">
        <v>22</v>
      </c>
      <c r="L130" s="34"/>
      <c r="M130" s="31"/>
      <c r="N130" s="23"/>
      <c r="O130" s="23"/>
      <c r="P130" s="23"/>
      <c r="Q130" s="23"/>
      <c r="R130" s="23"/>
      <c r="S130" s="23"/>
      <c r="T130" s="23"/>
      <c r="U130" s="23"/>
      <c r="V130" s="23"/>
      <c r="W130" s="23"/>
      <c r="X130" s="23"/>
      <c r="Y130" s="23"/>
      <c r="Z130" s="23"/>
      <c r="AA130" s="4"/>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x14ac:dyDescent="0.25">
      <c r="A131" s="4" t="str">
        <f ca="1">IFERROR(__xludf.DUMMYFUNCTION("""COMPUTED_VALUE"""),"Yes")</f>
        <v>Yes</v>
      </c>
      <c r="B131" s="4" t="str">
        <f ca="1">IFERROR(__xludf.DUMMYFUNCTION("""COMPUTED_VALUE"""),"Yes")</f>
        <v>Yes</v>
      </c>
      <c r="C131" s="96"/>
      <c r="D131" s="96"/>
      <c r="E131" s="96"/>
      <c r="F131" s="96"/>
      <c r="G131" s="7" t="str">
        <f ca="1">IFERROR(__xludf.DUMMYFUNCTION("""COMPUTED_VALUE"""),"Parameter distribution")</f>
        <v>Parameter distribution</v>
      </c>
      <c r="H131" s="5" t="str">
        <f ca="1">IFERROR(__xludf.DUMMYFUNCTION("""COMPUTED_VALUE"""),"0:1")</f>
        <v>0:1</v>
      </c>
      <c r="I131" s="41"/>
      <c r="J131" s="35" t="s">
        <v>23</v>
      </c>
      <c r="K131" s="98" t="str">
        <f ca="1">E122</f>
        <v>Parameter / Factor / Input / Output / "Data column"</v>
      </c>
      <c r="L131" s="96"/>
      <c r="M131" s="96"/>
      <c r="N131" s="96"/>
      <c r="O131" s="96"/>
      <c r="P131" s="96"/>
      <c r="Q131" s="96"/>
      <c r="R131" s="96"/>
      <c r="S131" s="96"/>
      <c r="T131" s="96"/>
      <c r="U131" s="96"/>
      <c r="V131" s="96"/>
      <c r="W131" s="96"/>
      <c r="X131" s="96"/>
      <c r="Y131" s="96"/>
      <c r="Z131" s="96"/>
      <c r="AA131" s="4"/>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x14ac:dyDescent="0.25">
      <c r="A132" s="4" t="str">
        <f ca="1">IFERROR(__xludf.DUMMYFUNCTION("""COMPUTED_VALUE"""),"Yes")</f>
        <v>Yes</v>
      </c>
      <c r="B132" s="4" t="str">
        <f ca="1">IFERROR(__xludf.DUMMYFUNCTION("""COMPUTED_VALUE"""),"Yes")</f>
        <v>Yes</v>
      </c>
      <c r="C132" s="96"/>
      <c r="D132" s="96"/>
      <c r="E132" s="96"/>
      <c r="F132" s="96"/>
      <c r="G132" s="7"/>
      <c r="H132" s="5"/>
      <c r="I132" s="41"/>
      <c r="J132" s="4"/>
      <c r="K132" s="23" t="str">
        <f ca="1">G122</f>
        <v>Parameter ID</v>
      </c>
      <c r="L132" s="23" t="str">
        <f ca="1">G123</f>
        <v>Parameter classification</v>
      </c>
      <c r="M132" s="23" t="str">
        <f ca="1">G124</f>
        <v>Parameter name</v>
      </c>
      <c r="N132" s="23" t="str">
        <f ca="1">G125</f>
        <v>Parameter description</v>
      </c>
      <c r="O132" s="23" t="str">
        <f ca="1">G126</f>
        <v>Parameter unit</v>
      </c>
      <c r="P132" s="23" t="str">
        <f ca="1">G127</f>
        <v>Parameter unit category</v>
      </c>
      <c r="Q132" s="47" t="str">
        <f ca="1">G128</f>
        <v>Parameter data type</v>
      </c>
      <c r="R132" s="23" t="str">
        <f ca="1">G129</f>
        <v>Parameter source</v>
      </c>
      <c r="S132" s="23" t="str">
        <f ca="1">G130</f>
        <v>Parameter subject</v>
      </c>
      <c r="T132" s="23" t="str">
        <f ca="1">G131</f>
        <v>Parameter distribution</v>
      </c>
      <c r="U132" s="23" t="str">
        <f ca="1">G134</f>
        <v>Parameter value</v>
      </c>
      <c r="V132" s="23" t="str">
        <f ca="1">G135</f>
        <v>Parameter Reference</v>
      </c>
      <c r="W132" s="23" t="str">
        <f ca="1">G136</f>
        <v>Parameter variability subject</v>
      </c>
      <c r="X132" s="23" t="str">
        <f ca="1">G137</f>
        <v>Parameter value max</v>
      </c>
      <c r="Y132" t="str">
        <f ca="1">G138</f>
        <v>Parameter value min</v>
      </c>
      <c r="Z132" s="23" t="str">
        <f ca="1">G139</f>
        <v>Parameter error</v>
      </c>
      <c r="AA132" s="4"/>
      <c r="AB132" s="4"/>
      <c r="AC132" s="4"/>
      <c r="AD132" s="4"/>
      <c r="AE132" s="4"/>
      <c r="AF132" s="4"/>
      <c r="AG132" s="4"/>
      <c r="AH132" s="4"/>
      <c r="AI132" s="4"/>
      <c r="AJ132" s="4"/>
      <c r="AK132" s="4"/>
      <c r="AL132" s="4"/>
      <c r="AM132" s="4"/>
      <c r="AN132" s="4"/>
      <c r="AO132" s="4"/>
      <c r="AP132" s="4"/>
      <c r="AQ132" s="4"/>
      <c r="AR132" s="4"/>
      <c r="AS132" s="4"/>
      <c r="AT132" s="4"/>
      <c r="AU132" s="4"/>
    </row>
    <row r="133" spans="1:48" ht="12.5" x14ac:dyDescent="0.25">
      <c r="A133" s="4" t="str">
        <f ca="1">IFERROR(__xludf.DUMMYFUNCTION("""COMPUTED_VALUE"""),"Yes")</f>
        <v>Yes</v>
      </c>
      <c r="B133" s="4" t="str">
        <f ca="1">IFERROR(__xludf.DUMMYFUNCTION("""COMPUTED_VALUE"""),"Yes")</f>
        <v>Yes</v>
      </c>
      <c r="C133" s="96"/>
      <c r="D133" s="96"/>
      <c r="E133" s="96"/>
      <c r="F133" s="96"/>
      <c r="G133" s="7"/>
      <c r="H133" s="5"/>
      <c r="I133" s="41"/>
      <c r="J133" s="4"/>
      <c r="K133" s="27" t="str">
        <f ca="1">H122</f>
        <v>1</v>
      </c>
      <c r="L133" s="27" t="str">
        <f ca="1">H123</f>
        <v>1</v>
      </c>
      <c r="M133" s="27" t="str">
        <f ca="1">H124</f>
        <v>1</v>
      </c>
      <c r="N133" s="27" t="str">
        <f ca="1">H125</f>
        <v>0:1</v>
      </c>
      <c r="O133" s="27" t="str">
        <f ca="1">H126</f>
        <v>1</v>
      </c>
      <c r="P133" s="27" t="str">
        <f ca="1">H127</f>
        <v>0:1</v>
      </c>
      <c r="Q133" s="27" t="str">
        <f ca="1">H128</f>
        <v>1</v>
      </c>
      <c r="R133" s="27" t="str">
        <f ca="1">H129</f>
        <v>0:1</v>
      </c>
      <c r="S133" s="27" t="str">
        <f ca="1">H130</f>
        <v>0:1</v>
      </c>
      <c r="T133" s="27" t="str">
        <f ca="1">H131</f>
        <v>0:1</v>
      </c>
      <c r="U133" s="27" t="str">
        <f ca="1">H134</f>
        <v>0:1</v>
      </c>
      <c r="V133" s="27" t="str">
        <f ca="1">H135</f>
        <v>0:1</v>
      </c>
      <c r="W133" s="27" t="str">
        <f ca="1">H136</f>
        <v>0:1</v>
      </c>
      <c r="X133" s="27" t="str">
        <f ca="1">H137</f>
        <v>0:1</v>
      </c>
      <c r="Y133" t="str">
        <f ca="1">H138</f>
        <v>0:1</v>
      </c>
      <c r="Z133" s="27" t="str">
        <f ca="1">H139</f>
        <v>0:1</v>
      </c>
      <c r="AA133" s="4"/>
      <c r="AB133" s="4"/>
      <c r="AC133" s="4"/>
      <c r="AD133" s="4"/>
      <c r="AE133" s="4"/>
      <c r="AF133" s="4"/>
      <c r="AG133" s="4"/>
      <c r="AH133" s="4"/>
      <c r="AI133" s="4"/>
      <c r="AJ133" s="4"/>
      <c r="AK133" s="4"/>
      <c r="AL133" s="4"/>
      <c r="AM133" s="4"/>
      <c r="AN133" s="4"/>
      <c r="AO133" s="4"/>
      <c r="AP133" s="4"/>
      <c r="AQ133" s="4"/>
      <c r="AR133" s="4"/>
      <c r="AS133" s="4"/>
      <c r="AT133" s="4"/>
      <c r="AU133" s="4"/>
    </row>
    <row r="134" spans="1:48" ht="12.5" x14ac:dyDescent="0.25">
      <c r="A134" s="4" t="str">
        <f ca="1">IFERROR(__xludf.DUMMYFUNCTION("""COMPUTED_VALUE"""),"Yes")</f>
        <v>Yes</v>
      </c>
      <c r="B134" s="4" t="str">
        <f ca="1">IFERROR(__xludf.DUMMYFUNCTION("""COMPUTED_VALUE"""),"No")</f>
        <v>No</v>
      </c>
      <c r="C134" s="96"/>
      <c r="D134" s="96"/>
      <c r="E134" s="96"/>
      <c r="F134" s="96"/>
      <c r="G134" s="7" t="str">
        <f ca="1">IFERROR(__xludf.DUMMYFUNCTION("""COMPUTED_VALUE"""),"Parameter value")</f>
        <v>Parameter value</v>
      </c>
      <c r="H134" s="5" t="str">
        <f ca="1">IFERROR(__xludf.DUMMYFUNCTION("""COMPUTED_VALUE"""),"0:1")</f>
        <v>0:1</v>
      </c>
      <c r="I134" s="41"/>
      <c r="J134" s="4"/>
      <c r="K134" s="39"/>
      <c r="L134" s="40"/>
      <c r="M134" s="37"/>
      <c r="N134" s="37"/>
      <c r="O134" s="36" t="s">
        <v>41</v>
      </c>
      <c r="P134" s="13" t="e">
        <f>'Parameter unit'!O3</f>
        <v>#N/A</v>
      </c>
      <c r="Q134" s="37"/>
      <c r="R134" s="37"/>
      <c r="S134" s="37"/>
      <c r="T134" s="37"/>
      <c r="U134" s="37"/>
      <c r="V134" s="37"/>
      <c r="W134" s="37"/>
      <c r="X134" s="37"/>
      <c r="Y134" s="48"/>
      <c r="Z134" s="37"/>
      <c r="AA134" s="4"/>
      <c r="AB134" s="4"/>
      <c r="AC134" s="4"/>
      <c r="AD134" s="4"/>
      <c r="AE134" s="4"/>
      <c r="AF134" s="4"/>
      <c r="AG134" s="4"/>
      <c r="AH134" s="4"/>
      <c r="AI134" s="4"/>
      <c r="AJ134" s="4"/>
      <c r="AK134" s="4"/>
      <c r="AL134" s="4"/>
      <c r="AM134" s="4"/>
      <c r="AN134" s="4"/>
      <c r="AO134" s="4"/>
      <c r="AP134" s="4"/>
      <c r="AQ134" s="4"/>
      <c r="AR134" s="4"/>
      <c r="AS134" s="4"/>
      <c r="AT134" s="4"/>
      <c r="AU134" s="4"/>
    </row>
    <row r="135" spans="1:48" ht="12.5" x14ac:dyDescent="0.25">
      <c r="A135" s="4" t="str">
        <f ca="1">IFERROR(__xludf.DUMMYFUNCTION("""COMPUTED_VALUE"""),"Yes")</f>
        <v>Yes</v>
      </c>
      <c r="B135" s="4" t="str">
        <f ca="1">IFERROR(__xludf.DUMMYFUNCTION("""COMPUTED_VALUE"""),"No")</f>
        <v>No</v>
      </c>
      <c r="C135" s="96"/>
      <c r="D135" s="96"/>
      <c r="E135" s="96"/>
      <c r="F135" s="96"/>
      <c r="G135" s="7" t="str">
        <f ca="1">IFERROR(__xludf.DUMMYFUNCTION("""COMPUTED_VALUE"""),"Parameter Reference")</f>
        <v>Parameter Reference</v>
      </c>
      <c r="H135" s="5" t="str">
        <f ca="1">IFERROR(__xludf.DUMMYFUNCTION("""COMPUTED_VALUE"""),"0:1")</f>
        <v>0:1</v>
      </c>
      <c r="I135" s="41"/>
      <c r="J135" s="4"/>
      <c r="K135" s="39"/>
      <c r="L135" s="37"/>
      <c r="M135" s="37"/>
      <c r="N135" s="37"/>
      <c r="O135" s="36" t="s">
        <v>25</v>
      </c>
      <c r="P135" s="13">
        <f>'Parameter unit'!O4</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c r="AO135" s="4"/>
      <c r="AP135" s="4"/>
      <c r="AQ135" s="4"/>
      <c r="AR135" s="4"/>
      <c r="AS135" s="4"/>
      <c r="AT135" s="4"/>
      <c r="AU135" s="4"/>
    </row>
    <row r="136" spans="1:48" ht="12.5" x14ac:dyDescent="0.25">
      <c r="A136" s="4" t="str">
        <f ca="1">IFERROR(__xludf.DUMMYFUNCTION("""COMPUTED_VALUE"""),"Yes")</f>
        <v>Yes</v>
      </c>
      <c r="B136" s="4" t="str">
        <f ca="1">IFERROR(__xludf.DUMMYFUNCTION("""COMPUTED_VALUE"""),"No")</f>
        <v>No</v>
      </c>
      <c r="C136" s="96"/>
      <c r="D136" s="96"/>
      <c r="E136" s="96"/>
      <c r="F136" s="96"/>
      <c r="G136" s="7" t="str">
        <f ca="1">IFERROR(__xludf.DUMMYFUNCTION("""COMPUTED_VALUE"""),"Parameter variability subject")</f>
        <v>Parameter variability subject</v>
      </c>
      <c r="H136" s="5" t="str">
        <f ca="1">IFERROR(__xludf.DUMMYFUNCTION("""COMPUTED_VALUE"""),"0:1")</f>
        <v>0:1</v>
      </c>
      <c r="I136" s="41"/>
      <c r="J136" s="4"/>
      <c r="K136" s="39"/>
      <c r="L136" s="37"/>
      <c r="M136" s="37"/>
      <c r="N136" s="37"/>
      <c r="O136" s="36" t="s">
        <v>25</v>
      </c>
      <c r="P136" s="13">
        <f>'Parameter unit'!O5</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c r="AO136" s="4"/>
      <c r="AP136" s="4"/>
      <c r="AQ136" s="4"/>
      <c r="AR136" s="4"/>
      <c r="AS136" s="4"/>
      <c r="AT136" s="4"/>
      <c r="AU136" s="4"/>
    </row>
    <row r="137" spans="1:48" ht="12.5" x14ac:dyDescent="0.25">
      <c r="A137" s="4" t="str">
        <f ca="1">IFERROR(__xludf.DUMMYFUNCTION("""COMPUTED_VALUE"""),"Yes")</f>
        <v>Yes</v>
      </c>
      <c r="B137" s="4" t="str">
        <f ca="1">IFERROR(__xludf.DUMMYFUNCTION("""COMPUTED_VALUE"""),"No")</f>
        <v>No</v>
      </c>
      <c r="C137" s="96"/>
      <c r="D137" s="96"/>
      <c r="E137" s="96"/>
      <c r="F137" s="96"/>
      <c r="G137" s="7" t="str">
        <f ca="1">IFERROR(__xludf.DUMMYFUNCTION("""COMPUTED_VALUE"""),"Parameter value max")</f>
        <v>Parameter value max</v>
      </c>
      <c r="H137" s="5" t="str">
        <f ca="1">IFERROR(__xludf.DUMMYFUNCTION("""COMPUTED_VALUE"""),"0:1")</f>
        <v>0:1</v>
      </c>
      <c r="I137" s="41"/>
      <c r="J137" s="4"/>
      <c r="K137" s="39"/>
      <c r="L137" s="37"/>
      <c r="M137" s="37"/>
      <c r="N137" s="37"/>
      <c r="O137" s="36" t="s">
        <v>25</v>
      </c>
      <c r="P137" s="13">
        <f>'Parameter unit'!O6</f>
        <v>0</v>
      </c>
      <c r="Q137" s="37"/>
      <c r="R137" s="37"/>
      <c r="S137" s="37"/>
      <c r="T137" s="37"/>
      <c r="U137" s="37"/>
      <c r="V137" s="37"/>
      <c r="W137" s="37"/>
      <c r="X137" s="37"/>
      <c r="Y137" s="37"/>
      <c r="Z137" s="37"/>
      <c r="AA137" s="4"/>
      <c r="AB137" s="4"/>
      <c r="AC137" s="4"/>
      <c r="AD137" s="4"/>
      <c r="AE137" s="4"/>
      <c r="AF137" s="4"/>
      <c r="AG137" s="4"/>
      <c r="AH137" s="4"/>
      <c r="AI137" s="4"/>
      <c r="AJ137" s="4"/>
      <c r="AK137" s="4"/>
      <c r="AL137" s="4"/>
      <c r="AM137" s="4"/>
      <c r="AN137" s="4"/>
      <c r="AO137" s="4"/>
      <c r="AP137" s="4"/>
      <c r="AQ137" s="4"/>
      <c r="AR137" s="4"/>
      <c r="AS137" s="4"/>
      <c r="AT137" s="4"/>
      <c r="AU137" s="4"/>
    </row>
    <row r="138" spans="1:48" ht="12.5" x14ac:dyDescent="0.25">
      <c r="A138" s="4" t="str">
        <f ca="1">IFERROR(__xludf.DUMMYFUNCTION("""COMPUTED_VALUE"""),"Yes")</f>
        <v>Yes</v>
      </c>
      <c r="B138" s="4" t="str">
        <f ca="1">IFERROR(__xludf.DUMMYFUNCTION("""COMPUTED_VALUE"""),"No")</f>
        <v>No</v>
      </c>
      <c r="C138" s="96"/>
      <c r="D138" s="96"/>
      <c r="E138" s="96"/>
      <c r="F138" s="96"/>
      <c r="G138" s="7" t="str">
        <f ca="1">IFERROR(__xludf.DUMMYFUNCTION("""COMPUTED_VALUE"""),"Parameter value min")</f>
        <v>Parameter value min</v>
      </c>
      <c r="H138" s="5" t="str">
        <f ca="1">IFERROR(__xludf.DUMMYFUNCTION("""COMPUTED_VALUE"""),"0:1")</f>
        <v>0:1</v>
      </c>
      <c r="I138" s="41"/>
      <c r="J138" s="4"/>
      <c r="K138" s="39"/>
      <c r="L138" s="37"/>
      <c r="M138" s="37"/>
      <c r="N138" s="37"/>
      <c r="O138" s="36" t="s">
        <v>25</v>
      </c>
      <c r="P138" s="13">
        <f>'Parameter unit'!O7</f>
        <v>0</v>
      </c>
      <c r="Q138" s="37"/>
      <c r="R138" s="37"/>
      <c r="S138" s="37"/>
      <c r="T138" s="37"/>
      <c r="U138" s="37"/>
      <c r="V138" s="37"/>
      <c r="W138" s="37"/>
      <c r="X138" s="37"/>
      <c r="Y138" s="37"/>
      <c r="Z138" s="37"/>
      <c r="AA138" s="4"/>
      <c r="AB138" s="4"/>
      <c r="AC138" s="4"/>
      <c r="AD138" s="4"/>
      <c r="AE138" s="4"/>
      <c r="AF138" s="4"/>
      <c r="AG138" s="4"/>
      <c r="AH138" s="4"/>
      <c r="AI138" s="4"/>
      <c r="AJ138" s="4"/>
      <c r="AK138" s="4"/>
      <c r="AL138" s="4"/>
      <c r="AM138" s="4"/>
      <c r="AN138" s="4"/>
      <c r="AO138" s="4"/>
      <c r="AP138" s="4"/>
      <c r="AQ138" s="4"/>
      <c r="AR138" s="4"/>
      <c r="AS138" s="4"/>
      <c r="AT138" s="4"/>
      <c r="AU138" s="4"/>
    </row>
    <row r="139" spans="1:48" ht="12.5" x14ac:dyDescent="0.25">
      <c r="A139" s="4" t="str">
        <f ca="1">IFERROR(__xludf.DUMMYFUNCTION("""COMPUTED_VALUE"""),"Yes")</f>
        <v>Yes</v>
      </c>
      <c r="B139" s="4" t="str">
        <f ca="1">IFERROR(__xludf.DUMMYFUNCTION("""COMPUTED_VALUE"""),"No")</f>
        <v>No</v>
      </c>
      <c r="C139" s="96"/>
      <c r="D139" s="96"/>
      <c r="E139" s="96"/>
      <c r="F139" s="96"/>
      <c r="G139" s="7" t="str">
        <f ca="1">IFERROR(__xludf.DUMMYFUNCTION("""COMPUTED_VALUE"""),"Parameter error")</f>
        <v>Parameter error</v>
      </c>
      <c r="H139" s="5" t="str">
        <f ca="1">IFERROR(__xludf.DUMMYFUNCTION("""COMPUTED_VALUE"""),"0:1")</f>
        <v>0:1</v>
      </c>
      <c r="I139" s="41"/>
      <c r="J139" s="4"/>
      <c r="K139" s="39"/>
      <c r="L139" s="37"/>
      <c r="M139" s="37"/>
      <c r="N139" s="37"/>
      <c r="O139" s="36" t="s">
        <v>25</v>
      </c>
      <c r="P139" s="13">
        <f>'Parameter unit'!O8</f>
        <v>0</v>
      </c>
      <c r="Q139" s="37"/>
      <c r="R139" s="37"/>
      <c r="S139" s="37"/>
      <c r="T139" s="37"/>
      <c r="U139" s="37"/>
      <c r="V139" s="37"/>
      <c r="W139" s="37"/>
      <c r="X139" s="37"/>
      <c r="Y139" s="37"/>
      <c r="Z139" s="37"/>
      <c r="AA139" s="4"/>
      <c r="AB139" s="4"/>
      <c r="AC139" s="4"/>
      <c r="AD139" s="4"/>
      <c r="AE139" s="4"/>
      <c r="AF139" s="4"/>
      <c r="AG139" s="4"/>
      <c r="AH139" s="4"/>
      <c r="AI139" s="4"/>
      <c r="AJ139" s="4"/>
      <c r="AK139" s="4"/>
      <c r="AL139" s="4"/>
      <c r="AM139" s="4"/>
      <c r="AN139" s="4"/>
      <c r="AO139" s="4"/>
      <c r="AP139" s="4"/>
      <c r="AQ139" s="4"/>
      <c r="AR139" s="4"/>
      <c r="AS139" s="4"/>
      <c r="AT139" s="4"/>
      <c r="AU139" s="4"/>
    </row>
    <row r="140" spans="1:48" ht="12.5" x14ac:dyDescent="0.25">
      <c r="A140" s="4" t="str">
        <f ca="1">IFERROR(__xludf.DUMMYFUNCTION("""COMPUTED_VALUE"""),"Yes")</f>
        <v>Yes</v>
      </c>
      <c r="B140" s="4" t="str">
        <f ca="1">IFERROR(__xludf.DUMMYFUNCTION("""COMPUTED_VALUE"""),"No")</f>
        <v>No</v>
      </c>
      <c r="C140" s="96"/>
      <c r="D140" s="96"/>
      <c r="E140" s="97" t="str">
        <f ca="1">IFERROR(__xludf.DUMMYFUNCTION("""COMPUTED_VALUE"""),"Quality measures")</f>
        <v>Quality measures</v>
      </c>
      <c r="F140" s="97" t="str">
        <f ca="1">IFERROR(__xludf.DUMMYFUNCTION("""COMPUTED_VALUE"""),"0:N")</f>
        <v>0:N</v>
      </c>
      <c r="G140" s="7" t="str">
        <f ca="1">IFERROR(__xludf.DUMMYFUNCTION("""COMPUTED_VALUE"""),"SSE / MSE / RMSE / Rsquared / AIC / BIC")</f>
        <v>SSE / MSE / RMSE / Rsquared / AIC / BIC</v>
      </c>
      <c r="H140" s="5" t="str">
        <f ca="1">IFERROR(__xludf.DUMMYFUNCTION("""COMPUTED_VALUE"""),"0:N")</f>
        <v>0:N</v>
      </c>
      <c r="I140" s="41"/>
      <c r="J140" s="4"/>
      <c r="K140" s="39"/>
      <c r="L140" s="37"/>
      <c r="M140" s="37"/>
      <c r="N140" s="37"/>
      <c r="O140" s="36" t="s">
        <v>25</v>
      </c>
      <c r="P140" s="13">
        <f>'Parameter unit'!O9</f>
        <v>0</v>
      </c>
      <c r="Q140" s="37"/>
      <c r="R140" s="37"/>
      <c r="S140" s="37"/>
      <c r="T140" s="37"/>
      <c r="U140" s="37"/>
      <c r="V140" s="37"/>
      <c r="W140" s="37"/>
      <c r="X140" s="37"/>
      <c r="Y140" s="37"/>
      <c r="Z140" s="37"/>
      <c r="AA140" s="4"/>
      <c r="AB140" s="4"/>
      <c r="AC140" s="4"/>
      <c r="AD140" s="4"/>
      <c r="AE140" s="4"/>
      <c r="AF140" s="4"/>
      <c r="AG140" s="4"/>
      <c r="AH140" s="4"/>
      <c r="AI140" s="4"/>
      <c r="AJ140" s="4"/>
      <c r="AK140" s="4"/>
      <c r="AL140" s="4"/>
      <c r="AM140" s="4"/>
      <c r="AN140" s="4"/>
      <c r="AO140" s="4"/>
      <c r="AP140" s="4"/>
      <c r="AQ140" s="4"/>
      <c r="AR140" s="4"/>
      <c r="AS140" s="4"/>
      <c r="AT140" s="4"/>
      <c r="AU140" s="4"/>
    </row>
    <row r="141" spans="1:48" ht="12.5" x14ac:dyDescent="0.25">
      <c r="A141" s="4" t="str">
        <f ca="1">IFERROR(__xludf.DUMMYFUNCTION("""COMPUTED_VALUE"""),"Yes")</f>
        <v>Yes</v>
      </c>
      <c r="B141" s="4" t="str">
        <f ca="1">IFERROR(__xludf.DUMMYFUNCTION("""COMPUTED_VALUE"""),"No")</f>
        <v>No</v>
      </c>
      <c r="C141" s="96"/>
      <c r="D141" s="96"/>
      <c r="E141" s="96"/>
      <c r="F141" s="96"/>
      <c r="G141" s="7" t="str">
        <f ca="1">IFERROR(__xludf.DUMMYFUNCTION("""COMPUTED_VALUE"""),"Sensitivity analysis")</f>
        <v>Sensitivity analysis</v>
      </c>
      <c r="H141" s="5" t="str">
        <f ca="1">IFERROR(__xludf.DUMMYFUNCTION("""COMPUTED_VALUE"""),"0:N")</f>
        <v>0:N</v>
      </c>
      <c r="I141" s="41"/>
      <c r="J141" s="4"/>
      <c r="K141" s="39"/>
      <c r="L141" s="37"/>
      <c r="M141" s="37"/>
      <c r="N141" s="37"/>
      <c r="O141" s="36" t="s">
        <v>25</v>
      </c>
      <c r="P141" s="13">
        <f>'Parameter unit'!O10</f>
        <v>0</v>
      </c>
      <c r="Q141" s="37"/>
      <c r="R141" s="37"/>
      <c r="S141" s="37"/>
      <c r="T141" s="37"/>
      <c r="U141" s="37"/>
      <c r="V141" s="37"/>
      <c r="W141" s="37"/>
      <c r="X141" s="37"/>
      <c r="Y141" s="37"/>
      <c r="Z141" s="37"/>
      <c r="AA141" s="4"/>
      <c r="AB141" s="4"/>
      <c r="AC141" s="4"/>
      <c r="AD141" s="4"/>
      <c r="AE141" s="4"/>
      <c r="AF141" s="4"/>
      <c r="AG141" s="4"/>
      <c r="AH141" s="4"/>
      <c r="AI141" s="4"/>
      <c r="AJ141" s="4"/>
      <c r="AK141" s="4"/>
      <c r="AL141" s="4"/>
      <c r="AM141" s="4"/>
      <c r="AN141" s="4"/>
      <c r="AO141" s="4"/>
      <c r="AP141" s="4"/>
      <c r="AQ141" s="4"/>
      <c r="AR141" s="4"/>
      <c r="AS141" s="4"/>
      <c r="AT141" s="4"/>
      <c r="AU141" s="4"/>
    </row>
    <row r="142" spans="1:48" ht="12.5" x14ac:dyDescent="0.25">
      <c r="A142" s="4" t="str">
        <f ca="1">IFERROR(__xludf.DUMMYFUNCTION("""COMPUTED_VALUE"""),"Yes")</f>
        <v>Yes</v>
      </c>
      <c r="B142" s="4" t="str">
        <f ca="1">IFERROR(__xludf.DUMMYFUNCTION("""COMPUTED_VALUE"""),"No")</f>
        <v>No</v>
      </c>
      <c r="C142" s="96"/>
      <c r="D142" s="96"/>
      <c r="E142" s="97" t="str">
        <f ca="1">IFERROR(__xludf.DUMMYFUNCTION("""COMPUTED_VALUE"""),"Model equation")</f>
        <v>Model equation</v>
      </c>
      <c r="F142" s="97" t="str">
        <f ca="1">IFERROR(__xludf.DUMMYFUNCTION("""COMPUTED_VALUE"""),"0:N")</f>
        <v>0:N</v>
      </c>
      <c r="G142" s="7" t="str">
        <f ca="1">IFERROR(__xludf.DUMMYFUNCTION("""COMPUTED_VALUE"""),"Model equation name")</f>
        <v>Model equation name</v>
      </c>
      <c r="H142" s="5" t="str">
        <f ca="1">IFERROR(__xludf.DUMMYFUNCTION("""COMPUTED_VALUE"""),"1")</f>
        <v>1</v>
      </c>
      <c r="I142" s="41"/>
      <c r="J142" s="4"/>
      <c r="K142" s="39"/>
      <c r="L142" s="37"/>
      <c r="M142" s="37"/>
      <c r="N142" s="37"/>
      <c r="O142" s="36" t="s">
        <v>25</v>
      </c>
      <c r="P142" s="13">
        <f>'Parameter unit'!O11</f>
        <v>0</v>
      </c>
      <c r="Q142" s="37"/>
      <c r="R142" s="37"/>
      <c r="S142" s="37"/>
      <c r="T142" s="37"/>
      <c r="U142" s="37"/>
      <c r="V142" s="37"/>
      <c r="W142" s="37"/>
      <c r="X142" s="37"/>
      <c r="Y142" s="37"/>
      <c r="Z142" s="37"/>
      <c r="AA142" s="4"/>
      <c r="AB142" s="4"/>
      <c r="AC142" s="4"/>
      <c r="AD142" s="4"/>
      <c r="AE142" s="4"/>
      <c r="AF142" s="4"/>
      <c r="AG142" s="4"/>
      <c r="AH142" s="4"/>
      <c r="AI142" s="4"/>
      <c r="AJ142" s="4"/>
      <c r="AK142" s="4"/>
      <c r="AL142" s="4"/>
      <c r="AM142" s="4"/>
      <c r="AN142" s="4"/>
      <c r="AO142" s="4"/>
      <c r="AP142" s="4"/>
      <c r="AQ142" s="4"/>
      <c r="AR142" s="4"/>
      <c r="AS142" s="4"/>
      <c r="AT142" s="4"/>
      <c r="AU142" s="4"/>
    </row>
    <row r="143" spans="1:48" ht="12.5" x14ac:dyDescent="0.25">
      <c r="A143" s="4" t="str">
        <f ca="1">IFERROR(__xludf.DUMMYFUNCTION("""COMPUTED_VALUE"""),"Yes")</f>
        <v>Yes</v>
      </c>
      <c r="B143" s="4" t="str">
        <f ca="1">IFERROR(__xludf.DUMMYFUNCTION("""COMPUTED_VALUE"""),"No")</f>
        <v>No</v>
      </c>
      <c r="C143" s="96"/>
      <c r="D143" s="96"/>
      <c r="E143" s="96"/>
      <c r="F143" s="96"/>
      <c r="G143" s="7" t="str">
        <f ca="1">IFERROR(__xludf.DUMMYFUNCTION("""COMPUTED_VALUE"""),"Model equation class/distribution")</f>
        <v>Model equation class/distribution</v>
      </c>
      <c r="H143" s="5" t="str">
        <f ca="1">IFERROR(__xludf.DUMMYFUNCTION("""COMPUTED_VALUE"""),"0:1")</f>
        <v>0:1</v>
      </c>
      <c r="I143" s="41"/>
      <c r="J143" s="4"/>
      <c r="K143" s="39"/>
      <c r="L143" s="37"/>
      <c r="M143" s="37"/>
      <c r="N143" s="37"/>
      <c r="O143" s="36" t="s">
        <v>25</v>
      </c>
      <c r="P143" s="13">
        <f>'Parameter unit'!O12</f>
        <v>0</v>
      </c>
      <c r="Q143" s="37"/>
      <c r="R143" s="37"/>
      <c r="S143" s="37"/>
      <c r="T143" s="37"/>
      <c r="U143" s="37"/>
      <c r="V143" s="37"/>
      <c r="W143" s="37"/>
      <c r="X143" s="37"/>
      <c r="Y143" s="37"/>
      <c r="Z143" s="37"/>
      <c r="AA143" s="4"/>
      <c r="AB143" s="4"/>
      <c r="AC143" s="4"/>
      <c r="AD143" s="4"/>
      <c r="AE143" s="4"/>
      <c r="AF143" s="4"/>
      <c r="AG143" s="4"/>
      <c r="AH143" s="4"/>
      <c r="AI143" s="4"/>
      <c r="AJ143" s="4"/>
      <c r="AK143" s="4"/>
      <c r="AL143" s="4"/>
      <c r="AM143" s="4"/>
      <c r="AN143" s="4"/>
      <c r="AO143" s="4"/>
      <c r="AP143" s="4"/>
      <c r="AQ143" s="4"/>
      <c r="AR143" s="4"/>
      <c r="AS143" s="4"/>
      <c r="AT143" s="4"/>
      <c r="AU143" s="4"/>
    </row>
    <row r="144" spans="1:48" ht="12.5" x14ac:dyDescent="0.25">
      <c r="A144" s="4" t="str">
        <f ca="1">IFERROR(__xludf.DUMMYFUNCTION("""COMPUTED_VALUE"""),"Yes")</f>
        <v>Yes</v>
      </c>
      <c r="B144" s="4" t="str">
        <f ca="1">IFERROR(__xludf.DUMMYFUNCTION("""COMPUTED_VALUE"""),"No")</f>
        <v>No</v>
      </c>
      <c r="C144" s="96"/>
      <c r="D144" s="96"/>
      <c r="E144" s="96"/>
      <c r="F144" s="96"/>
      <c r="G144" s="7"/>
      <c r="H144" s="5"/>
      <c r="I144" s="41"/>
      <c r="J144" s="4"/>
      <c r="K144" s="39"/>
      <c r="L144" s="37"/>
      <c r="M144" s="37"/>
      <c r="N144" s="37"/>
      <c r="O144" s="36" t="s">
        <v>25</v>
      </c>
      <c r="P144" s="13">
        <f>'Parameter unit'!O13</f>
        <v>0</v>
      </c>
      <c r="Q144" s="37"/>
      <c r="R144" s="37"/>
      <c r="S144" s="37"/>
      <c r="T144" s="37"/>
      <c r="U144" s="37"/>
      <c r="V144" s="37"/>
      <c r="W144" s="37"/>
      <c r="X144" s="37"/>
      <c r="Y144" s="37"/>
      <c r="Z144" s="37"/>
      <c r="AA144" s="4"/>
      <c r="AB144" s="4"/>
      <c r="AC144" s="4"/>
      <c r="AD144" s="4"/>
      <c r="AE144" s="4"/>
      <c r="AF144" s="4"/>
      <c r="AG144" s="4"/>
      <c r="AH144" s="4"/>
      <c r="AI144" s="4"/>
      <c r="AJ144" s="4"/>
      <c r="AK144" s="4"/>
      <c r="AL144" s="4"/>
      <c r="AM144" s="4"/>
      <c r="AN144" s="4"/>
      <c r="AO144" s="4"/>
      <c r="AP144" s="4"/>
      <c r="AQ144" s="4"/>
      <c r="AR144" s="4"/>
      <c r="AS144" s="4"/>
      <c r="AT144" s="4"/>
      <c r="AU144" s="4"/>
    </row>
    <row r="145" spans="1:47" ht="12.5" x14ac:dyDescent="0.25">
      <c r="A145" s="4" t="str">
        <f ca="1">IFERROR(__xludf.DUMMYFUNCTION("""COMPUTED_VALUE"""),"Yes")</f>
        <v>Yes</v>
      </c>
      <c r="B145" s="4" t="str">
        <f ca="1">IFERROR(__xludf.DUMMYFUNCTION("""COMPUTED_VALUE"""),"No")</f>
        <v>No</v>
      </c>
      <c r="C145" s="96"/>
      <c r="D145" s="96"/>
      <c r="E145" s="96"/>
      <c r="F145" s="96"/>
      <c r="G145" s="7"/>
      <c r="H145" s="5"/>
      <c r="I145" s="41"/>
      <c r="J145" s="4"/>
      <c r="K145" s="39"/>
      <c r="L145" s="37"/>
      <c r="M145" s="37"/>
      <c r="N145" s="37"/>
      <c r="O145" s="36" t="s">
        <v>25</v>
      </c>
      <c r="P145" s="13">
        <f>'Parameter unit'!O14</f>
        <v>0</v>
      </c>
      <c r="Q145" s="37"/>
      <c r="R145" s="37"/>
      <c r="S145" s="37"/>
      <c r="T145" s="37"/>
      <c r="U145" s="37"/>
      <c r="V145" s="37"/>
      <c r="W145" s="37"/>
      <c r="X145" s="37"/>
      <c r="Y145" s="37"/>
      <c r="Z145" s="37"/>
      <c r="AA145" s="4"/>
      <c r="AB145" s="4"/>
      <c r="AC145" s="4"/>
      <c r="AD145" s="4"/>
      <c r="AE145" s="4"/>
      <c r="AF145" s="4"/>
      <c r="AG145" s="4"/>
      <c r="AH145" s="4"/>
      <c r="AI145" s="4"/>
      <c r="AJ145" s="4"/>
      <c r="AK145" s="4"/>
      <c r="AL145" s="4"/>
      <c r="AM145" s="4"/>
      <c r="AN145" s="4"/>
      <c r="AO145" s="4"/>
      <c r="AP145" s="4"/>
      <c r="AQ145" s="4"/>
      <c r="AR145" s="4"/>
      <c r="AS145" s="4"/>
      <c r="AT145" s="4"/>
      <c r="AU145" s="4"/>
    </row>
    <row r="146" spans="1:47" ht="12.5" x14ac:dyDescent="0.25">
      <c r="A146" s="4" t="str">
        <f ca="1">IFERROR(__xludf.DUMMYFUNCTION("""COMPUTED_VALUE"""),"Yes")</f>
        <v>Yes</v>
      </c>
      <c r="B146" s="4" t="str">
        <f ca="1">IFERROR(__xludf.DUMMYFUNCTION("""COMPUTED_VALUE"""),"No")</f>
        <v>No</v>
      </c>
      <c r="C146" s="96"/>
      <c r="D146" s="96"/>
      <c r="E146" s="96"/>
      <c r="F146" s="96"/>
      <c r="G146" s="7"/>
      <c r="H146" s="5"/>
      <c r="I146" s="41"/>
      <c r="J146" s="4"/>
      <c r="K146" s="39"/>
      <c r="L146" s="37"/>
      <c r="M146" s="37"/>
      <c r="N146" s="37"/>
      <c r="O146" s="36" t="s">
        <v>25</v>
      </c>
      <c r="P146" s="13">
        <f>'Parameter unit'!O15</f>
        <v>0</v>
      </c>
      <c r="Q146" s="37"/>
      <c r="R146" s="37"/>
      <c r="S146" s="37"/>
      <c r="T146" s="37"/>
      <c r="U146" s="37"/>
      <c r="V146" s="37"/>
      <c r="W146" s="37"/>
      <c r="X146" s="37"/>
      <c r="Y146" s="37"/>
      <c r="Z146" s="37"/>
      <c r="AA146" s="4"/>
      <c r="AB146" s="4"/>
      <c r="AC146" s="4"/>
      <c r="AD146" s="4"/>
      <c r="AE146" s="4"/>
      <c r="AF146" s="4"/>
      <c r="AG146" s="4"/>
      <c r="AH146" s="4"/>
      <c r="AI146" s="4"/>
      <c r="AJ146" s="4"/>
      <c r="AK146" s="4"/>
      <c r="AL146" s="4"/>
      <c r="AM146" s="4"/>
      <c r="AN146" s="4"/>
      <c r="AO146" s="4"/>
      <c r="AP146" s="4"/>
      <c r="AQ146" s="4"/>
      <c r="AR146" s="4"/>
      <c r="AS146" s="4"/>
      <c r="AT146" s="4"/>
      <c r="AU146" s="4"/>
    </row>
    <row r="147" spans="1:47" ht="12.5" x14ac:dyDescent="0.25">
      <c r="A147" s="4" t="str">
        <f ca="1">IFERROR(__xludf.DUMMYFUNCTION("""COMPUTED_VALUE"""),"Yes")</f>
        <v>Yes</v>
      </c>
      <c r="B147" s="4" t="str">
        <f ca="1">IFERROR(__xludf.DUMMYFUNCTION("""COMPUTED_VALUE"""),"No")</f>
        <v>No</v>
      </c>
      <c r="C147" s="96"/>
      <c r="D147" s="96"/>
      <c r="E147" s="96"/>
      <c r="F147" s="96"/>
      <c r="G147" s="7" t="str">
        <f ca="1">IFERROR(__xludf.DUMMYFUNCTION("""COMPUTED_VALUE"""),"Model equation reference")</f>
        <v>Model equation reference</v>
      </c>
      <c r="H147" s="5" t="str">
        <f ca="1">IFERROR(__xludf.DUMMYFUNCTION("""COMPUTED_VALUE"""),"0:N")</f>
        <v>0:N</v>
      </c>
      <c r="I147" s="41"/>
      <c r="J147" s="4"/>
      <c r="K147" s="39"/>
      <c r="L147" s="37"/>
      <c r="M147" s="37"/>
      <c r="N147" s="37"/>
      <c r="O147" s="36" t="s">
        <v>25</v>
      </c>
      <c r="P147" s="13">
        <f>'Parameter unit'!O16</f>
        <v>0</v>
      </c>
      <c r="Q147" s="37"/>
      <c r="R147" s="37"/>
      <c r="S147" s="37"/>
      <c r="T147" s="37"/>
      <c r="U147" s="37"/>
      <c r="V147" s="37"/>
      <c r="W147" s="37"/>
      <c r="X147" s="37"/>
      <c r="Y147" s="37"/>
      <c r="Z147" s="37"/>
      <c r="AA147" s="4"/>
      <c r="AB147" s="4"/>
      <c r="AC147" s="4"/>
      <c r="AD147" s="4"/>
      <c r="AE147" s="4"/>
      <c r="AF147" s="4"/>
      <c r="AG147" s="4"/>
      <c r="AH147" s="4"/>
      <c r="AI147" s="4"/>
      <c r="AJ147" s="4"/>
      <c r="AK147" s="4"/>
      <c r="AL147" s="4"/>
      <c r="AM147" s="4"/>
      <c r="AN147" s="4"/>
      <c r="AO147" s="4"/>
      <c r="AP147" s="4"/>
      <c r="AQ147" s="4"/>
      <c r="AR147" s="4"/>
      <c r="AS147" s="4"/>
      <c r="AT147" s="4"/>
      <c r="AU147" s="4"/>
    </row>
    <row r="148" spans="1:47" ht="12.5" x14ac:dyDescent="0.25">
      <c r="A148" s="4" t="str">
        <f ca="1">IFERROR(__xludf.DUMMYFUNCTION("""COMPUTED_VALUE"""),"Yes")</f>
        <v>Yes</v>
      </c>
      <c r="B148" s="4" t="str">
        <f ca="1">IFERROR(__xludf.DUMMYFUNCTION("""COMPUTED_VALUE"""),"No")</f>
        <v>No</v>
      </c>
      <c r="C148" s="96"/>
      <c r="D148" s="96"/>
      <c r="E148" s="96"/>
      <c r="F148" s="96"/>
      <c r="G148" s="7" t="str">
        <f ca="1">IFERROR(__xludf.DUMMYFUNCTION("""COMPUTED_VALUE"""),"Model equation / Script")</f>
        <v>Model equation / Script</v>
      </c>
      <c r="H148" s="5" t="str">
        <f ca="1">IFERROR(__xludf.DUMMYFUNCTION("""COMPUTED_VALUE"""),"1")</f>
        <v>1</v>
      </c>
      <c r="I148" s="41"/>
      <c r="J148" s="4"/>
      <c r="K148" s="39"/>
      <c r="L148" s="37"/>
      <c r="M148" s="37"/>
      <c r="N148" s="37"/>
      <c r="O148" s="36" t="s">
        <v>25</v>
      </c>
      <c r="P148" s="13">
        <f>'Parameter unit'!O17</f>
        <v>0</v>
      </c>
      <c r="Q148" s="37"/>
      <c r="R148" s="37"/>
      <c r="S148" s="37"/>
      <c r="T148" s="37"/>
      <c r="U148" s="37"/>
      <c r="V148" s="37"/>
      <c r="W148" s="37"/>
      <c r="X148" s="37"/>
      <c r="Y148" s="37"/>
      <c r="Z148" s="37"/>
      <c r="AA148" s="4"/>
      <c r="AB148" s="4"/>
      <c r="AC148" s="4"/>
      <c r="AD148" s="4"/>
      <c r="AE148" s="4"/>
      <c r="AF148" s="4"/>
      <c r="AG148" s="4"/>
      <c r="AH148" s="4"/>
      <c r="AI148" s="4"/>
      <c r="AJ148" s="4"/>
      <c r="AK148" s="4"/>
      <c r="AL148" s="4"/>
      <c r="AM148" s="4"/>
      <c r="AN148" s="4"/>
      <c r="AO148" s="4"/>
      <c r="AP148" s="4"/>
      <c r="AQ148" s="4"/>
      <c r="AR148" s="4"/>
      <c r="AS148" s="4"/>
      <c r="AT148" s="4"/>
      <c r="AU148" s="4"/>
    </row>
    <row r="149" spans="1:47" ht="12.5" x14ac:dyDescent="0.25">
      <c r="A149" s="4" t="str">
        <f ca="1">IFERROR(__xludf.DUMMYFUNCTION("""COMPUTED_VALUE"""),"Yes")</f>
        <v>Yes</v>
      </c>
      <c r="B149" s="4" t="str">
        <f ca="1">IFERROR(__xludf.DUMMYFUNCTION("""COMPUTED_VALUE"""),"No")</f>
        <v>No</v>
      </c>
      <c r="C149" s="96"/>
      <c r="D149" s="96"/>
      <c r="E149" s="96"/>
      <c r="F149" s="96"/>
      <c r="G149" s="7" t="str">
        <f ca="1">IFERROR(__xludf.DUMMYFUNCTION("""COMPUTED_VALUE"""),"Hypothesis of the model")</f>
        <v>Hypothesis of the model</v>
      </c>
      <c r="H149" s="5" t="str">
        <f ca="1">IFERROR(__xludf.DUMMYFUNCTION("""COMPUTED_VALUE"""),"0:N")</f>
        <v>0:N</v>
      </c>
      <c r="I149" s="41"/>
      <c r="J149" s="4"/>
      <c r="K149" s="39"/>
      <c r="L149" s="37"/>
      <c r="M149" s="37"/>
      <c r="N149" s="37"/>
      <c r="O149" s="36" t="s">
        <v>25</v>
      </c>
      <c r="P149" s="13">
        <f>'Parameter unit'!O18</f>
        <v>0</v>
      </c>
      <c r="Q149" s="37"/>
      <c r="R149" s="37"/>
      <c r="S149" s="37"/>
      <c r="T149" s="37"/>
      <c r="U149" s="37"/>
      <c r="V149" s="37"/>
      <c r="W149" s="37"/>
      <c r="X149" s="37"/>
      <c r="Y149" s="37"/>
      <c r="Z149" s="37"/>
      <c r="AA149" s="4"/>
      <c r="AB149" s="4"/>
      <c r="AC149" s="4"/>
      <c r="AD149" s="4"/>
      <c r="AE149" s="4"/>
      <c r="AF149" s="4"/>
      <c r="AG149" s="4"/>
      <c r="AH149" s="4"/>
      <c r="AI149" s="4"/>
      <c r="AJ149" s="4"/>
      <c r="AK149" s="4"/>
      <c r="AL149" s="4"/>
      <c r="AM149" s="4"/>
      <c r="AN149" s="4"/>
      <c r="AO149" s="4"/>
      <c r="AP149" s="4"/>
      <c r="AQ149" s="4"/>
      <c r="AR149" s="4"/>
      <c r="AS149" s="4"/>
      <c r="AT149" s="4"/>
      <c r="AU149" s="4"/>
    </row>
    <row r="150" spans="1:47" ht="12.5" x14ac:dyDescent="0.25">
      <c r="A150" s="4" t="str">
        <f ca="1">IFERROR(__xludf.DUMMYFUNCTION("""COMPUTED_VALUE"""),"Yes")</f>
        <v>Yes</v>
      </c>
      <c r="B150" s="4" t="str">
        <f ca="1">IFERROR(__xludf.DUMMYFUNCTION("""COMPUTED_VALUE"""),"No")</f>
        <v>No</v>
      </c>
      <c r="C150" s="96"/>
      <c r="D150" s="96"/>
      <c r="E150" s="5" t="str">
        <f ca="1">IFERROR(__xludf.DUMMYFUNCTION("""COMPUTED_VALUE"""),"Fitting procedure")</f>
        <v>Fitting procedure</v>
      </c>
      <c r="F150" s="5" t="str">
        <f ca="1">IFERROR(__xludf.DUMMYFUNCTION("""COMPUTED_VALUE"""),"0:1")</f>
        <v>0:1</v>
      </c>
      <c r="G150" s="7"/>
      <c r="H150" s="5"/>
      <c r="I150" s="11"/>
      <c r="J150" s="4"/>
      <c r="K150" s="39"/>
      <c r="L150" s="37"/>
      <c r="M150" s="37"/>
      <c r="N150" s="37"/>
      <c r="O150" s="36" t="s">
        <v>25</v>
      </c>
      <c r="P150" s="13">
        <f>'Parameter unit'!O19</f>
        <v>0</v>
      </c>
      <c r="Q150" s="37"/>
      <c r="R150" s="37"/>
      <c r="S150" s="37"/>
      <c r="T150" s="37"/>
      <c r="U150" s="37"/>
      <c r="V150" s="37"/>
      <c r="W150" s="37"/>
      <c r="X150" s="37"/>
      <c r="Y150" s="37"/>
      <c r="Z150" s="37"/>
      <c r="AA150" s="4"/>
      <c r="AB150" s="4"/>
      <c r="AC150" s="4"/>
      <c r="AD150" s="4"/>
      <c r="AE150" s="4"/>
      <c r="AF150" s="4"/>
      <c r="AG150" s="4"/>
      <c r="AH150" s="4"/>
      <c r="AI150" s="4"/>
      <c r="AJ150" s="4"/>
      <c r="AK150" s="4"/>
      <c r="AL150" s="4"/>
      <c r="AM150" s="4"/>
      <c r="AN150" s="4"/>
      <c r="AO150" s="4"/>
      <c r="AP150" s="4"/>
      <c r="AQ150" s="4"/>
      <c r="AR150" s="4"/>
      <c r="AS150" s="4"/>
      <c r="AT150" s="4"/>
      <c r="AU150" s="4"/>
    </row>
    <row r="151" spans="1:47" ht="12.5" x14ac:dyDescent="0.25">
      <c r="A151" s="4" t="str">
        <f ca="1">IFERROR(__xludf.DUMMYFUNCTION("""COMPUTED_VALUE"""),"Yes")</f>
        <v>Yes</v>
      </c>
      <c r="B151" s="4" t="str">
        <f ca="1">IFERROR(__xludf.DUMMYFUNCTION("""COMPUTED_VALUE"""),"No")</f>
        <v>No</v>
      </c>
      <c r="C151" s="96"/>
      <c r="D151" s="96"/>
      <c r="E151" s="97" t="str">
        <f ca="1">IFERROR(__xludf.DUMMYFUNCTION("""COMPUTED_VALUE"""),"Exposure")</f>
        <v>Exposure</v>
      </c>
      <c r="F151" s="97" t="str">
        <f ca="1">IFERROR(__xludf.DUMMYFUNCTION("""COMPUTED_VALUE"""),"0:1")</f>
        <v>0:1</v>
      </c>
      <c r="G151" s="7" t="str">
        <f ca="1">IFERROR(__xludf.DUMMYFUNCTION("""COMPUTED_VALUE"""),"Methodological treatment of left-censored data")</f>
        <v>Methodological treatment of left-censored data</v>
      </c>
      <c r="H151" s="5" t="str">
        <f ca="1">IFERROR(__xludf.DUMMYFUNCTION("""COMPUTED_VALUE"""),"0:N")</f>
        <v>0:N</v>
      </c>
      <c r="I151" s="11"/>
      <c r="J151" s="4"/>
      <c r="K151" s="39"/>
      <c r="L151" s="37"/>
      <c r="M151" s="37"/>
      <c r="N151" s="37"/>
      <c r="O151" s="36" t="s">
        <v>25</v>
      </c>
      <c r="P151" s="13">
        <f>'Parameter unit'!O20</f>
        <v>0</v>
      </c>
      <c r="Q151" s="37"/>
      <c r="R151" s="37"/>
      <c r="S151" s="37"/>
      <c r="T151" s="37"/>
      <c r="U151" s="37"/>
      <c r="V151" s="37"/>
      <c r="W151" s="37"/>
      <c r="X151" s="37"/>
      <c r="Y151" s="37"/>
      <c r="Z151" s="37"/>
      <c r="AA151" s="4"/>
      <c r="AB151" s="4"/>
      <c r="AC151" s="4"/>
      <c r="AD151" s="4"/>
      <c r="AE151" s="4"/>
      <c r="AF151" s="4"/>
      <c r="AG151" s="4"/>
      <c r="AH151" s="4"/>
      <c r="AI151" s="4"/>
      <c r="AJ151" s="4"/>
      <c r="AK151" s="4"/>
      <c r="AL151" s="4"/>
      <c r="AM151" s="4"/>
      <c r="AN151" s="4"/>
      <c r="AO151" s="4"/>
      <c r="AP151" s="4"/>
      <c r="AQ151" s="4"/>
      <c r="AR151" s="4"/>
      <c r="AS151" s="4"/>
      <c r="AT151" s="4"/>
      <c r="AU151" s="4"/>
    </row>
    <row r="152" spans="1:47" ht="12.5" x14ac:dyDescent="0.25">
      <c r="A152" s="4" t="str">
        <f ca="1">IFERROR(__xludf.DUMMYFUNCTION("""COMPUTED_VALUE"""),"Yes")</f>
        <v>Yes</v>
      </c>
      <c r="B152" s="4" t="str">
        <f ca="1">IFERROR(__xludf.DUMMYFUNCTION("""COMPUTED_VALUE"""),"No")</f>
        <v>No</v>
      </c>
      <c r="C152" s="96"/>
      <c r="D152" s="96"/>
      <c r="E152" s="96"/>
      <c r="F152" s="96"/>
      <c r="G152" s="7" t="str">
        <f ca="1">IFERROR(__xludf.DUMMYFUNCTION("""COMPUTED_VALUE"""),"Level of contamination after left-censored data treatment")</f>
        <v>Level of contamination after left-censored data treatment</v>
      </c>
      <c r="H152" s="5" t="str">
        <f ca="1">IFERROR(__xludf.DUMMYFUNCTION("""COMPUTED_VALUE"""),"0:N")</f>
        <v>0:N</v>
      </c>
      <c r="I152" s="11"/>
      <c r="J152" s="4"/>
      <c r="K152" s="39"/>
      <c r="L152" s="37"/>
      <c r="M152" s="37"/>
      <c r="N152" s="37"/>
      <c r="O152" s="36" t="s">
        <v>25</v>
      </c>
      <c r="P152" s="13">
        <f>'Parameter unit'!O21</f>
        <v>0</v>
      </c>
      <c r="Q152" s="37"/>
      <c r="R152" s="37"/>
      <c r="S152" s="37"/>
      <c r="T152" s="37"/>
      <c r="U152" s="37"/>
      <c r="V152" s="37"/>
      <c r="W152" s="37"/>
      <c r="X152" s="37"/>
      <c r="Y152" s="37"/>
      <c r="Z152" s="37"/>
      <c r="AA152" s="4"/>
      <c r="AB152" s="4"/>
      <c r="AC152" s="4"/>
      <c r="AD152" s="4"/>
      <c r="AE152" s="4"/>
      <c r="AF152" s="4"/>
      <c r="AG152" s="4"/>
      <c r="AH152" s="4"/>
      <c r="AI152" s="4"/>
      <c r="AJ152" s="4"/>
      <c r="AK152" s="4"/>
      <c r="AL152" s="4"/>
      <c r="AM152" s="4"/>
      <c r="AN152" s="4"/>
      <c r="AO152" s="4"/>
      <c r="AP152" s="4"/>
      <c r="AQ152" s="4"/>
      <c r="AR152" s="4"/>
      <c r="AS152" s="4"/>
      <c r="AT152" s="4"/>
      <c r="AU152" s="4"/>
    </row>
    <row r="153" spans="1:47" ht="12.5" x14ac:dyDescent="0.25">
      <c r="A153" s="4" t="str">
        <f ca="1">IFERROR(__xludf.DUMMYFUNCTION("""COMPUTED_VALUE"""),"Yes")</f>
        <v>Yes</v>
      </c>
      <c r="B153" s="4" t="str">
        <f ca="1">IFERROR(__xludf.DUMMYFUNCTION("""COMPUTED_VALUE"""),"No")</f>
        <v>No</v>
      </c>
      <c r="C153" s="96"/>
      <c r="D153" s="96"/>
      <c r="E153" s="96"/>
      <c r="F153" s="96"/>
      <c r="G153" s="7" t="str">
        <f ca="1">IFERROR(__xludf.DUMMYFUNCTION("""COMPUTED_VALUE"""),"Type of exposure")</f>
        <v>Type of exposure</v>
      </c>
      <c r="H153" s="5" t="str">
        <f ca="1">IFERROR(__xludf.DUMMYFUNCTION("""COMPUTED_VALUE"""),"1")</f>
        <v>1</v>
      </c>
      <c r="I153" s="11"/>
      <c r="J153" s="4"/>
      <c r="K153" s="39"/>
      <c r="L153" s="37"/>
      <c r="M153" s="37"/>
      <c r="N153" s="37"/>
      <c r="O153" s="36" t="s">
        <v>25</v>
      </c>
      <c r="P153" s="13">
        <f>'Parameter unit'!O22</f>
        <v>0</v>
      </c>
      <c r="Q153" s="37"/>
      <c r="R153" s="37"/>
      <c r="S153" s="37"/>
      <c r="T153" s="37"/>
      <c r="U153" s="37"/>
      <c r="V153" s="37"/>
      <c r="W153" s="37"/>
      <c r="X153" s="37"/>
      <c r="Y153" s="37"/>
      <c r="Z153" s="37"/>
      <c r="AA153" s="4"/>
      <c r="AB153" s="4"/>
      <c r="AC153" s="4"/>
      <c r="AD153" s="4"/>
      <c r="AE153" s="4"/>
      <c r="AF153" s="4"/>
      <c r="AG153" s="4"/>
      <c r="AH153" s="4"/>
      <c r="AI153" s="4"/>
      <c r="AJ153" s="4"/>
      <c r="AK153" s="4"/>
      <c r="AL153" s="4"/>
      <c r="AM153" s="4"/>
      <c r="AN153" s="4"/>
      <c r="AO153" s="4"/>
      <c r="AP153" s="4"/>
      <c r="AQ153" s="4"/>
      <c r="AR153" s="4"/>
      <c r="AS153" s="4"/>
      <c r="AT153" s="4"/>
      <c r="AU153" s="4"/>
    </row>
    <row r="154" spans="1:47" ht="12.5" x14ac:dyDescent="0.25">
      <c r="A154" s="4" t="str">
        <f ca="1">IFERROR(__xludf.DUMMYFUNCTION("""COMPUTED_VALUE"""),"Yes")</f>
        <v>Yes</v>
      </c>
      <c r="B154" s="4" t="str">
        <f ca="1">IFERROR(__xludf.DUMMYFUNCTION("""COMPUTED_VALUE"""),"No")</f>
        <v>No</v>
      </c>
      <c r="C154" s="96"/>
      <c r="D154" s="96"/>
      <c r="E154" s="96"/>
      <c r="F154" s="96"/>
      <c r="G154" s="7" t="str">
        <f ca="1">IFERROR(__xludf.DUMMYFUNCTION("""COMPUTED_VALUE"""),"Scenario")</f>
        <v>Scenario</v>
      </c>
      <c r="H154" s="5" t="str">
        <f ca="1">IFERROR(__xludf.DUMMYFUNCTION("""COMPUTED_VALUE"""),"0:N")</f>
        <v>0:N</v>
      </c>
      <c r="I154" s="11"/>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row>
    <row r="155" spans="1:47" ht="12.5" x14ac:dyDescent="0.25">
      <c r="A155" s="4" t="str">
        <f ca="1">IFERROR(__xludf.DUMMYFUNCTION("""COMPUTED_VALUE"""),"Yes")</f>
        <v>Yes</v>
      </c>
      <c r="B155" s="4" t="str">
        <f ca="1">IFERROR(__xludf.DUMMYFUNCTION("""COMPUTED_VALUE"""),"No")</f>
        <v>No</v>
      </c>
      <c r="C155" s="96"/>
      <c r="D155" s="96"/>
      <c r="E155" s="96"/>
      <c r="F155" s="96"/>
      <c r="G155" s="7" t="str">
        <f ca="1">IFERROR(__xludf.DUMMYFUNCTION("""COMPUTED_VALUE"""),"Uncertainty estimation")</f>
        <v>Uncertainty estimation</v>
      </c>
      <c r="H155" s="5" t="str">
        <f ca="1">IFERROR(__xludf.DUMMYFUNCTION("""COMPUTED_VALUE"""),"0:1")</f>
        <v>0:1</v>
      </c>
      <c r="I155" s="11"/>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row>
    <row r="156" spans="1:47" ht="12.5" x14ac:dyDescent="0.25">
      <c r="A156" s="4" t="str">
        <f ca="1">IFERROR(__xludf.DUMMYFUNCTION("""COMPUTED_VALUE"""),"Yes")</f>
        <v>Yes</v>
      </c>
      <c r="B156" s="4" t="str">
        <f ca="1">IFERROR(__xludf.DUMMYFUNCTION("""COMPUTED_VALUE"""),"No")</f>
        <v>No</v>
      </c>
      <c r="C156" s="96"/>
      <c r="D156" s="96"/>
      <c r="E156" s="5" t="str">
        <f ca="1">IFERROR(__xludf.DUMMYFUNCTION("""COMPUTED_VALUE"""),"Events")</f>
        <v>Events</v>
      </c>
      <c r="F156" s="97" t="str">
        <f ca="1">IFERROR(__xludf.DUMMYFUNCTION("""COMPUTED_VALUE"""),"0:N")</f>
        <v>0:N</v>
      </c>
      <c r="G156" s="96"/>
      <c r="H156" s="96"/>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x14ac:dyDescent="0.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x14ac:dyDescent="0.25">
      <c r="A158" s="4"/>
      <c r="B158" s="4"/>
      <c r="C158" s="5"/>
      <c r="D158" s="5"/>
      <c r="E158" s="5"/>
      <c r="F158" s="5"/>
      <c r="G158" s="5"/>
      <c r="H158" s="5"/>
      <c r="I158" s="5"/>
      <c r="J158" s="4"/>
      <c r="K158" s="8"/>
      <c r="L158" s="8"/>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x14ac:dyDescent="0.25">
      <c r="A159" s="4"/>
      <c r="B159" s="4"/>
      <c r="C159" s="5"/>
      <c r="D159" s="5"/>
      <c r="E159" s="5"/>
      <c r="F159" s="5"/>
      <c r="G159" s="5"/>
      <c r="H159" s="5"/>
      <c r="I159" s="5"/>
      <c r="J159" s="8"/>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x14ac:dyDescent="0.25">
      <c r="A160" s="4"/>
      <c r="B160" s="4"/>
      <c r="C160" s="5"/>
      <c r="D160" s="5"/>
      <c r="E160" s="5"/>
      <c r="F160" s="5"/>
      <c r="G160" s="5"/>
      <c r="H160" s="5"/>
      <c r="I160" s="5"/>
      <c r="J160" s="8"/>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x14ac:dyDescent="0.25">
      <c r="A161" s="4"/>
      <c r="B161" s="4"/>
      <c r="C161" s="5"/>
      <c r="D161" s="5"/>
      <c r="E161" s="5"/>
      <c r="F161" s="5"/>
      <c r="G161" s="5"/>
      <c r="H161" s="5"/>
      <c r="I161" s="5"/>
      <c r="J161" s="8"/>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x14ac:dyDescent="0.25">
      <c r="A162" s="4"/>
      <c r="B162" s="4"/>
      <c r="C162" s="5"/>
      <c r="D162" s="5"/>
      <c r="E162" s="5"/>
      <c r="F162" s="5"/>
      <c r="G162" s="5"/>
      <c r="H162" s="5"/>
      <c r="I162" s="5"/>
      <c r="J162" s="8"/>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x14ac:dyDescent="0.25">
      <c r="A163" s="4"/>
      <c r="B163" s="4"/>
      <c r="C163" s="5"/>
      <c r="D163" s="5"/>
      <c r="E163" s="5"/>
      <c r="F163" s="5"/>
      <c r="G163" s="5"/>
      <c r="H163" s="5"/>
      <c r="I163" s="5"/>
      <c r="J163" s="8"/>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x14ac:dyDescent="0.25">
      <c r="A164" s="4"/>
      <c r="B164" s="4"/>
      <c r="C164" s="5"/>
      <c r="D164" s="5"/>
      <c r="E164" s="5"/>
      <c r="F164" s="5"/>
      <c r="G164" s="5"/>
      <c r="H164" s="5"/>
      <c r="I164" s="5"/>
      <c r="J164" s="8"/>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x14ac:dyDescent="0.25">
      <c r="A165" s="4"/>
      <c r="B165" s="4"/>
      <c r="C165" s="5"/>
      <c r="D165" s="5"/>
      <c r="E165" s="5"/>
      <c r="F165" s="5"/>
      <c r="G165" s="5"/>
      <c r="H165" s="5"/>
      <c r="I165" s="5"/>
      <c r="J165" s="8"/>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x14ac:dyDescent="0.25">
      <c r="A166" s="4"/>
      <c r="B166" s="4"/>
      <c r="C166" s="5"/>
      <c r="D166" s="5"/>
      <c r="E166" s="5"/>
      <c r="F166" s="5"/>
      <c r="G166" s="5"/>
      <c r="H166" s="5"/>
      <c r="I166" s="5"/>
      <c r="J166" s="8"/>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x14ac:dyDescent="0.25">
      <c r="A167" s="4"/>
      <c r="B167" s="4"/>
      <c r="C167" s="5"/>
      <c r="D167" s="5"/>
      <c r="E167" s="5"/>
      <c r="F167" s="5"/>
      <c r="G167" s="5"/>
      <c r="H167" s="5"/>
      <c r="I167" s="5"/>
      <c r="J167" s="8"/>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x14ac:dyDescent="0.25">
      <c r="A168" s="4"/>
      <c r="B168" s="4"/>
      <c r="C168" s="5"/>
      <c r="D168" s="5"/>
      <c r="E168" s="5"/>
      <c r="F168" s="5"/>
      <c r="G168" s="5"/>
      <c r="H168" s="5"/>
      <c r="I168" s="5"/>
      <c r="J168" s="8"/>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x14ac:dyDescent="0.25">
      <c r="A169" s="4"/>
      <c r="B169" s="4"/>
      <c r="C169" s="5"/>
      <c r="D169" s="5"/>
      <c r="E169" s="5"/>
      <c r="F169" s="5"/>
      <c r="G169" s="5"/>
      <c r="H169" s="5"/>
      <c r="I169" s="5"/>
      <c r="J169" s="8"/>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x14ac:dyDescent="0.25">
      <c r="A170" s="4"/>
      <c r="B170" s="4"/>
      <c r="C170" s="5"/>
      <c r="D170" s="5"/>
      <c r="E170" s="5"/>
      <c r="F170" s="5"/>
      <c r="G170" s="5"/>
      <c r="H170" s="5"/>
      <c r="I170" s="5"/>
      <c r="J170" s="8"/>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x14ac:dyDescent="0.25">
      <c r="A171" s="4"/>
      <c r="B171" s="4"/>
      <c r="C171" s="5"/>
      <c r="D171" s="5"/>
      <c r="E171" s="5"/>
      <c r="F171" s="5"/>
      <c r="G171" s="5"/>
      <c r="H171" s="5"/>
      <c r="I171" s="5"/>
      <c r="J171" s="8"/>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x14ac:dyDescent="0.25">
      <c r="A172" s="4"/>
      <c r="B172" s="4"/>
      <c r="C172" s="5"/>
      <c r="D172" s="5"/>
      <c r="E172" s="5"/>
      <c r="F172" s="5"/>
      <c r="G172" s="5"/>
      <c r="H172" s="5"/>
      <c r="I172" s="5"/>
      <c r="J172" s="8"/>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x14ac:dyDescent="0.25">
      <c r="A173" s="4"/>
      <c r="B173" s="4"/>
      <c r="C173" s="5"/>
      <c r="D173" s="5"/>
      <c r="E173" s="5"/>
      <c r="F173" s="5"/>
      <c r="G173" s="5"/>
      <c r="H173" s="5"/>
      <c r="I173" s="5"/>
      <c r="J173" s="8"/>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x14ac:dyDescent="0.25">
      <c r="A174" s="4"/>
      <c r="B174" s="4"/>
      <c r="C174" s="5"/>
      <c r="D174" s="5"/>
      <c r="E174" s="5"/>
      <c r="F174" s="5"/>
      <c r="G174" s="5"/>
      <c r="H174" s="5"/>
      <c r="I174" s="5"/>
      <c r="J174" s="8"/>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x14ac:dyDescent="0.25">
      <c r="A175" s="4"/>
      <c r="B175" s="4"/>
      <c r="C175" s="5"/>
      <c r="D175" s="5"/>
      <c r="E175" s="5"/>
      <c r="F175" s="5"/>
      <c r="G175" s="5"/>
      <c r="H175" s="5"/>
      <c r="I175" s="5"/>
      <c r="J175" s="8"/>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x14ac:dyDescent="0.25">
      <c r="A176" s="4"/>
      <c r="B176" s="4"/>
      <c r="C176" s="5"/>
      <c r="D176" s="5"/>
      <c r="E176" s="5"/>
      <c r="F176" s="5"/>
      <c r="G176" s="5"/>
      <c r="H176" s="5"/>
      <c r="I176" s="5"/>
      <c r="J176" s="8"/>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x14ac:dyDescent="0.25">
      <c r="A177" s="4"/>
      <c r="B177" s="4"/>
      <c r="C177" s="5"/>
      <c r="D177" s="5"/>
      <c r="E177" s="5"/>
      <c r="F177" s="5"/>
      <c r="G177" s="5"/>
      <c r="H177" s="5"/>
      <c r="I177" s="5"/>
      <c r="J177" s="8"/>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x14ac:dyDescent="0.25">
      <c r="A178" s="4"/>
      <c r="B178" s="4"/>
      <c r="C178" s="5"/>
      <c r="D178" s="5"/>
      <c r="E178" s="5"/>
      <c r="F178" s="5"/>
      <c r="G178" s="5"/>
      <c r="H178" s="5"/>
      <c r="I178" s="5"/>
      <c r="J178" s="8"/>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x14ac:dyDescent="0.25">
      <c r="A179" s="4"/>
      <c r="B179" s="4"/>
      <c r="C179" s="5"/>
      <c r="D179" s="5"/>
      <c r="E179" s="5"/>
      <c r="F179" s="5"/>
      <c r="G179" s="5"/>
      <c r="H179" s="5"/>
      <c r="I179" s="5"/>
      <c r="J179" s="8"/>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x14ac:dyDescent="0.25">
      <c r="A180" s="4"/>
      <c r="B180" s="4"/>
      <c r="C180" s="5"/>
      <c r="D180" s="5"/>
      <c r="E180" s="5"/>
      <c r="F180" s="5"/>
      <c r="G180" s="5"/>
      <c r="H180" s="5"/>
      <c r="I180" s="5"/>
      <c r="J180" s="8"/>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x14ac:dyDescent="0.25">
      <c r="A181" s="4"/>
      <c r="B181" s="4"/>
      <c r="C181" s="5"/>
      <c r="D181" s="5"/>
      <c r="E181" s="5"/>
      <c r="F181" s="5"/>
      <c r="G181" s="5"/>
      <c r="H181" s="5"/>
      <c r="I181" s="5"/>
      <c r="J181" s="8"/>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x14ac:dyDescent="0.25">
      <c r="A182" s="4"/>
      <c r="B182" s="4"/>
      <c r="C182" s="5"/>
      <c r="D182" s="5"/>
      <c r="E182" s="5"/>
      <c r="F182" s="5"/>
      <c r="G182" s="5"/>
      <c r="H182" s="5"/>
      <c r="I182" s="5"/>
      <c r="J182" s="8"/>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x14ac:dyDescent="0.25">
      <c r="A183" s="4"/>
      <c r="B183" s="4"/>
      <c r="C183" s="5"/>
      <c r="D183" s="5"/>
      <c r="E183" s="5"/>
      <c r="F183" s="5"/>
      <c r="G183" s="5"/>
      <c r="H183" s="5"/>
      <c r="I183" s="5"/>
      <c r="J183" s="8"/>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x14ac:dyDescent="0.25">
      <c r="A184" s="4"/>
      <c r="B184" s="4"/>
      <c r="C184" s="5"/>
      <c r="D184" s="5"/>
      <c r="E184" s="5"/>
      <c r="F184" s="5"/>
      <c r="G184" s="5"/>
      <c r="H184" s="5"/>
      <c r="I184" s="5"/>
      <c r="J184" s="8"/>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x14ac:dyDescent="0.25">
      <c r="A185" s="4"/>
      <c r="B185" s="4"/>
      <c r="C185" s="5"/>
      <c r="D185" s="5"/>
      <c r="E185" s="5"/>
      <c r="F185" s="5"/>
      <c r="G185" s="5"/>
      <c r="H185" s="5"/>
      <c r="I185" s="5"/>
      <c r="J185" s="8"/>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x14ac:dyDescent="0.25">
      <c r="A186" s="4"/>
      <c r="B186" s="4"/>
      <c r="C186" s="5"/>
      <c r="D186" s="5"/>
      <c r="E186" s="5"/>
      <c r="F186" s="5"/>
      <c r="G186" s="5"/>
      <c r="H186" s="5"/>
      <c r="I186" s="5"/>
      <c r="J186" s="8"/>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x14ac:dyDescent="0.25">
      <c r="A187" s="4"/>
      <c r="B187" s="4"/>
      <c r="C187" s="5"/>
      <c r="D187" s="5"/>
      <c r="E187" s="5"/>
      <c r="F187" s="5"/>
      <c r="G187" s="5"/>
      <c r="H187" s="5"/>
      <c r="I187" s="5"/>
      <c r="J187" s="8"/>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x14ac:dyDescent="0.25">
      <c r="A188" s="4"/>
      <c r="B188" s="4"/>
      <c r="C188" s="5"/>
      <c r="D188" s="5"/>
      <c r="E188" s="5"/>
      <c r="F188" s="5"/>
      <c r="G188" s="5"/>
      <c r="H188" s="5"/>
      <c r="I188" s="5"/>
      <c r="J188" s="8"/>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x14ac:dyDescent="0.25">
      <c r="A189" s="4"/>
      <c r="B189" s="4"/>
      <c r="C189" s="5"/>
      <c r="D189" s="5"/>
      <c r="E189" s="5"/>
      <c r="F189" s="5"/>
      <c r="G189" s="5"/>
      <c r="H189" s="5"/>
      <c r="I189" s="5"/>
      <c r="J189" s="8"/>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x14ac:dyDescent="0.25">
      <c r="A190" s="4"/>
      <c r="B190" s="4"/>
      <c r="C190" s="5"/>
      <c r="D190" s="5"/>
      <c r="E190" s="5"/>
      <c r="F190" s="5"/>
      <c r="G190" s="5"/>
      <c r="H190" s="5"/>
      <c r="I190" s="5"/>
      <c r="J190" s="8"/>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x14ac:dyDescent="0.25">
      <c r="A191" s="4"/>
      <c r="B191" s="4"/>
      <c r="C191" s="5"/>
      <c r="D191" s="5"/>
      <c r="E191" s="5"/>
      <c r="F191" s="5"/>
      <c r="G191" s="5"/>
      <c r="H191" s="5"/>
      <c r="I191" s="5"/>
      <c r="J191" s="8"/>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x14ac:dyDescent="0.25">
      <c r="A192" s="4"/>
      <c r="B192" s="4"/>
      <c r="C192" s="5"/>
      <c r="D192" s="5"/>
      <c r="E192" s="5"/>
      <c r="F192" s="5"/>
      <c r="G192" s="5"/>
      <c r="H192" s="5"/>
      <c r="I192" s="5"/>
      <c r="J192" s="8"/>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x14ac:dyDescent="0.25">
      <c r="A193" s="4"/>
      <c r="B193" s="4"/>
      <c r="C193" s="5"/>
      <c r="D193" s="5"/>
      <c r="E193" s="5"/>
      <c r="F193" s="5"/>
      <c r="G193" s="5"/>
      <c r="H193" s="5"/>
      <c r="I193" s="5"/>
      <c r="J193" s="8"/>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x14ac:dyDescent="0.25">
      <c r="A194" s="4"/>
      <c r="B194" s="4"/>
      <c r="C194" s="5"/>
      <c r="D194" s="5"/>
      <c r="E194" s="5"/>
      <c r="F194" s="5"/>
      <c r="G194" s="5"/>
      <c r="H194" s="5"/>
      <c r="I194" s="5"/>
      <c r="J194" s="8"/>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x14ac:dyDescent="0.25">
      <c r="A195" s="4"/>
      <c r="B195" s="4"/>
      <c r="C195" s="5"/>
      <c r="D195" s="5"/>
      <c r="E195" s="5"/>
      <c r="F195" s="5"/>
      <c r="G195" s="5"/>
      <c r="H195" s="5"/>
      <c r="I195" s="5"/>
      <c r="J195" s="8"/>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x14ac:dyDescent="0.25">
      <c r="A196" s="4"/>
      <c r="B196" s="4"/>
      <c r="C196" s="5"/>
      <c r="D196" s="5"/>
      <c r="E196" s="5"/>
      <c r="F196" s="5"/>
      <c r="G196" s="5"/>
      <c r="H196" s="5"/>
      <c r="I196" s="5"/>
      <c r="J196" s="8"/>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x14ac:dyDescent="0.25">
      <c r="A197" s="4"/>
      <c r="B197" s="4"/>
      <c r="C197" s="5"/>
      <c r="D197" s="5"/>
      <c r="E197" s="5"/>
      <c r="F197" s="5"/>
      <c r="G197" s="5"/>
      <c r="H197" s="5"/>
      <c r="I197" s="5"/>
      <c r="J197" s="8"/>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x14ac:dyDescent="0.25">
      <c r="A198" s="4"/>
      <c r="B198" s="4"/>
      <c r="C198" s="5"/>
      <c r="D198" s="5"/>
      <c r="E198" s="5"/>
      <c r="F198" s="5"/>
      <c r="G198" s="5"/>
      <c r="H198" s="5"/>
      <c r="I198" s="5"/>
      <c r="J198" s="8"/>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x14ac:dyDescent="0.25">
      <c r="A199" s="4"/>
      <c r="B199" s="4"/>
      <c r="C199" s="5"/>
      <c r="D199" s="5"/>
      <c r="E199" s="5"/>
      <c r="F199" s="5"/>
      <c r="G199" s="5"/>
      <c r="H199" s="5"/>
      <c r="I199" s="5"/>
      <c r="J199" s="8"/>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x14ac:dyDescent="0.25">
      <c r="A200" s="4"/>
      <c r="B200" s="4"/>
      <c r="C200" s="5"/>
      <c r="D200" s="5"/>
      <c r="E200" s="5"/>
      <c r="F200" s="5"/>
      <c r="G200" s="5"/>
      <c r="H200" s="5"/>
      <c r="I200" s="5"/>
      <c r="J200" s="8"/>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x14ac:dyDescent="0.25">
      <c r="A201" s="4"/>
      <c r="B201" s="4"/>
      <c r="C201" s="5"/>
      <c r="D201" s="5"/>
      <c r="E201" s="5"/>
      <c r="F201" s="5"/>
      <c r="G201" s="5"/>
      <c r="H201" s="5"/>
      <c r="I201" s="5"/>
      <c r="J201" s="8"/>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x14ac:dyDescent="0.25">
      <c r="A202" s="4"/>
      <c r="B202" s="4"/>
      <c r="C202" s="5"/>
      <c r="D202" s="5"/>
      <c r="E202" s="5"/>
      <c r="F202" s="5"/>
      <c r="G202" s="5"/>
      <c r="H202" s="5"/>
      <c r="I202" s="5"/>
      <c r="J202" s="8"/>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x14ac:dyDescent="0.25">
      <c r="A203" s="4"/>
      <c r="B203" s="4"/>
      <c r="C203" s="5"/>
      <c r="D203" s="5"/>
      <c r="E203" s="5"/>
      <c r="F203" s="5"/>
      <c r="G203" s="5"/>
      <c r="H203" s="5"/>
      <c r="I203" s="5"/>
      <c r="J203" s="8"/>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x14ac:dyDescent="0.25">
      <c r="A204" s="4"/>
      <c r="B204" s="4"/>
      <c r="C204" s="5"/>
      <c r="D204" s="5"/>
      <c r="E204" s="5"/>
      <c r="F204" s="5"/>
      <c r="G204" s="5"/>
      <c r="H204" s="5"/>
      <c r="I204" s="5"/>
      <c r="J204" s="8"/>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x14ac:dyDescent="0.25">
      <c r="A205" s="4"/>
      <c r="B205" s="4"/>
      <c r="C205" s="5"/>
      <c r="D205" s="5"/>
      <c r="E205" s="5"/>
      <c r="F205" s="5"/>
      <c r="G205" s="5"/>
      <c r="H205" s="5"/>
      <c r="I205" s="5"/>
      <c r="J205" s="8"/>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x14ac:dyDescent="0.25">
      <c r="A206" s="4"/>
      <c r="B206" s="4"/>
      <c r="C206" s="5"/>
      <c r="D206" s="5"/>
      <c r="E206" s="5"/>
      <c r="F206" s="5"/>
      <c r="G206" s="5"/>
      <c r="H206" s="5"/>
      <c r="I206" s="5"/>
      <c r="J206" s="8"/>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x14ac:dyDescent="0.25">
      <c r="A207" s="4"/>
      <c r="B207" s="4"/>
      <c r="C207" s="5"/>
      <c r="D207" s="5"/>
      <c r="E207" s="5"/>
      <c r="F207" s="5"/>
      <c r="G207" s="5"/>
      <c r="H207" s="5"/>
      <c r="I207" s="5"/>
      <c r="J207" s="8"/>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x14ac:dyDescent="0.25">
      <c r="A208" s="4"/>
      <c r="B208" s="4"/>
      <c r="C208" s="5"/>
      <c r="D208" s="5"/>
      <c r="E208" s="5"/>
      <c r="F208" s="5"/>
      <c r="G208" s="5"/>
      <c r="H208" s="5"/>
      <c r="I208" s="5"/>
      <c r="J208" s="8"/>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x14ac:dyDescent="0.25">
      <c r="A209" s="4"/>
      <c r="B209" s="4"/>
      <c r="C209" s="5"/>
      <c r="D209" s="5"/>
      <c r="E209" s="5"/>
      <c r="F209" s="5"/>
      <c r="G209" s="5"/>
      <c r="H209" s="5"/>
      <c r="I209" s="5"/>
      <c r="J209" s="8"/>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x14ac:dyDescent="0.25">
      <c r="A210" s="4"/>
      <c r="B210" s="4"/>
      <c r="C210" s="5"/>
      <c r="D210" s="5"/>
      <c r="E210" s="5"/>
      <c r="F210" s="5"/>
      <c r="G210" s="5"/>
      <c r="H210" s="5"/>
      <c r="I210" s="5"/>
      <c r="J210" s="8"/>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x14ac:dyDescent="0.25">
      <c r="A211" s="4"/>
      <c r="B211" s="4"/>
      <c r="C211" s="5"/>
      <c r="D211" s="5"/>
      <c r="E211" s="5"/>
      <c r="F211" s="5"/>
      <c r="G211" s="5"/>
      <c r="H211" s="5"/>
      <c r="I211" s="5"/>
      <c r="J211" s="8"/>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x14ac:dyDescent="0.25">
      <c r="A212" s="4"/>
      <c r="B212" s="4"/>
      <c r="C212" s="5"/>
      <c r="D212" s="5"/>
      <c r="E212" s="5"/>
      <c r="F212" s="5"/>
      <c r="G212" s="5"/>
      <c r="H212" s="5"/>
      <c r="I212" s="5"/>
      <c r="J212" s="8"/>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x14ac:dyDescent="0.25">
      <c r="A213" s="4"/>
      <c r="B213" s="4"/>
      <c r="C213" s="5"/>
      <c r="D213" s="5"/>
      <c r="E213" s="5"/>
      <c r="F213" s="5"/>
      <c r="G213" s="5"/>
      <c r="H213" s="5"/>
      <c r="I213" s="5"/>
      <c r="J213" s="8"/>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x14ac:dyDescent="0.25">
      <c r="A214" s="4"/>
      <c r="B214" s="4"/>
      <c r="C214" s="5"/>
      <c r="D214" s="5"/>
      <c r="E214" s="5"/>
      <c r="F214" s="5"/>
      <c r="G214" s="5"/>
      <c r="H214" s="5"/>
      <c r="I214" s="5"/>
      <c r="J214" s="8"/>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x14ac:dyDescent="0.25">
      <c r="A215" s="4"/>
      <c r="B215" s="4"/>
      <c r="C215" s="5"/>
      <c r="D215" s="5"/>
      <c r="E215" s="5"/>
      <c r="F215" s="5"/>
      <c r="G215" s="5"/>
      <c r="H215" s="5"/>
      <c r="I215" s="5"/>
      <c r="J215" s="8"/>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x14ac:dyDescent="0.25">
      <c r="A216" s="4"/>
      <c r="B216" s="4"/>
      <c r="C216" s="5"/>
      <c r="D216" s="5"/>
      <c r="E216" s="5"/>
      <c r="F216" s="5"/>
      <c r="G216" s="5"/>
      <c r="H216" s="5"/>
      <c r="I216" s="5"/>
      <c r="J216" s="8"/>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x14ac:dyDescent="0.25">
      <c r="A217" s="4"/>
      <c r="B217" s="4"/>
      <c r="C217" s="5"/>
      <c r="D217" s="5"/>
      <c r="E217" s="5"/>
      <c r="F217" s="5"/>
      <c r="G217" s="5"/>
      <c r="H217" s="5"/>
      <c r="I217" s="5"/>
      <c r="J217" s="8"/>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x14ac:dyDescent="0.25">
      <c r="A218" s="4"/>
      <c r="B218" s="4"/>
      <c r="C218" s="5"/>
      <c r="D218" s="5"/>
      <c r="E218" s="5"/>
      <c r="F218" s="5"/>
      <c r="G218" s="5"/>
      <c r="H218" s="5"/>
      <c r="I218" s="5"/>
      <c r="J218" s="8"/>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x14ac:dyDescent="0.25">
      <c r="A219" s="4"/>
      <c r="B219" s="4"/>
      <c r="C219" s="5"/>
      <c r="D219" s="5"/>
      <c r="E219" s="5"/>
      <c r="F219" s="5"/>
      <c r="G219" s="5"/>
      <c r="H219" s="5"/>
      <c r="I219" s="5"/>
      <c r="J219" s="8"/>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x14ac:dyDescent="0.25">
      <c r="A220" s="4"/>
      <c r="B220" s="4"/>
      <c r="C220" s="5"/>
      <c r="D220" s="5"/>
      <c r="E220" s="5"/>
      <c r="F220" s="5"/>
      <c r="G220" s="5"/>
      <c r="H220" s="5"/>
      <c r="I220" s="5"/>
      <c r="J220" s="8"/>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x14ac:dyDescent="0.25">
      <c r="A221" s="4"/>
      <c r="B221" s="4"/>
      <c r="C221" s="5"/>
      <c r="D221" s="5"/>
      <c r="E221" s="5"/>
      <c r="F221" s="5"/>
      <c r="G221" s="5"/>
      <c r="H221" s="5"/>
      <c r="I221" s="5"/>
      <c r="J221" s="8"/>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x14ac:dyDescent="0.25">
      <c r="A222" s="4"/>
      <c r="B222" s="4"/>
      <c r="C222" s="5"/>
      <c r="D222" s="5"/>
      <c r="E222" s="5"/>
      <c r="F222" s="5"/>
      <c r="G222" s="5"/>
      <c r="H222" s="5"/>
      <c r="I222" s="5"/>
      <c r="J222" s="8"/>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x14ac:dyDescent="0.25">
      <c r="A223" s="4"/>
      <c r="B223" s="4"/>
      <c r="C223" s="5"/>
      <c r="D223" s="5"/>
      <c r="E223" s="5"/>
      <c r="F223" s="5"/>
      <c r="G223" s="5"/>
      <c r="H223" s="5"/>
      <c r="I223" s="5"/>
      <c r="J223" s="8"/>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x14ac:dyDescent="0.25">
      <c r="A224" s="4"/>
      <c r="B224" s="4"/>
      <c r="C224" s="5"/>
      <c r="D224" s="5"/>
      <c r="E224" s="5"/>
      <c r="F224" s="5"/>
      <c r="G224" s="5"/>
      <c r="H224" s="5"/>
      <c r="I224" s="5"/>
      <c r="J224" s="8"/>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x14ac:dyDescent="0.25">
      <c r="A225" s="4"/>
      <c r="B225" s="4"/>
      <c r="C225" s="5"/>
      <c r="D225" s="5"/>
      <c r="E225" s="5"/>
      <c r="F225" s="5"/>
      <c r="G225" s="5"/>
      <c r="H225" s="5"/>
      <c r="I225" s="5"/>
      <c r="J225" s="8"/>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x14ac:dyDescent="0.25">
      <c r="A226" s="4"/>
      <c r="B226" s="4"/>
      <c r="C226" s="5"/>
      <c r="D226" s="5"/>
      <c r="E226" s="5"/>
      <c r="F226" s="5"/>
      <c r="G226" s="5"/>
      <c r="H226" s="5"/>
      <c r="I226" s="5"/>
      <c r="J226" s="8"/>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x14ac:dyDescent="0.25">
      <c r="A227" s="4"/>
      <c r="B227" s="4"/>
      <c r="C227" s="5"/>
      <c r="D227" s="5"/>
      <c r="E227" s="5"/>
      <c r="F227" s="5"/>
      <c r="G227" s="5"/>
      <c r="H227" s="5"/>
      <c r="I227" s="5"/>
      <c r="J227" s="8"/>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x14ac:dyDescent="0.25">
      <c r="A228" s="4"/>
      <c r="B228" s="4"/>
      <c r="C228" s="5"/>
      <c r="D228" s="5"/>
      <c r="E228" s="5"/>
      <c r="F228" s="5"/>
      <c r="G228" s="5"/>
      <c r="H228" s="5"/>
      <c r="I228" s="5"/>
      <c r="J228" s="8"/>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x14ac:dyDescent="0.25">
      <c r="A229" s="4"/>
      <c r="B229" s="4"/>
      <c r="C229" s="5"/>
      <c r="D229" s="5"/>
      <c r="E229" s="5"/>
      <c r="F229" s="5"/>
      <c r="G229" s="5"/>
      <c r="H229" s="5"/>
      <c r="I229" s="5"/>
      <c r="J229" s="8"/>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x14ac:dyDescent="0.25">
      <c r="A230" s="4"/>
      <c r="B230" s="4"/>
      <c r="C230" s="5"/>
      <c r="D230" s="5"/>
      <c r="E230" s="5"/>
      <c r="F230" s="5"/>
      <c r="G230" s="5"/>
      <c r="H230" s="5"/>
      <c r="I230" s="5"/>
      <c r="J230" s="8"/>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x14ac:dyDescent="0.25">
      <c r="A231" s="4"/>
      <c r="B231" s="4"/>
      <c r="C231" s="5"/>
      <c r="D231" s="5"/>
      <c r="E231" s="5"/>
      <c r="F231" s="5"/>
      <c r="G231" s="5"/>
      <c r="H231" s="5"/>
      <c r="I231" s="5"/>
      <c r="J231" s="8"/>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x14ac:dyDescent="0.25">
      <c r="A232" s="4"/>
      <c r="B232" s="4"/>
      <c r="C232" s="5"/>
      <c r="D232" s="5"/>
      <c r="E232" s="5"/>
      <c r="F232" s="5"/>
      <c r="G232" s="5"/>
      <c r="H232" s="5"/>
      <c r="I232" s="5"/>
      <c r="J232" s="8"/>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x14ac:dyDescent="0.25">
      <c r="A233" s="4"/>
      <c r="B233" s="4"/>
      <c r="C233" s="5"/>
      <c r="D233" s="5"/>
      <c r="E233" s="5"/>
      <c r="F233" s="5"/>
      <c r="G233" s="5"/>
      <c r="H233" s="5"/>
      <c r="I233" s="5"/>
      <c r="J233" s="8"/>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x14ac:dyDescent="0.25">
      <c r="A234" s="4"/>
      <c r="B234" s="4"/>
      <c r="C234" s="5"/>
      <c r="D234" s="5"/>
      <c r="E234" s="5"/>
      <c r="F234" s="5"/>
      <c r="G234" s="5"/>
      <c r="H234" s="5"/>
      <c r="I234" s="5"/>
      <c r="J234" s="8"/>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x14ac:dyDescent="0.25">
      <c r="A235" s="4"/>
      <c r="B235" s="4"/>
      <c r="C235" s="5"/>
      <c r="D235" s="5"/>
      <c r="E235" s="5"/>
      <c r="F235" s="5"/>
      <c r="G235" s="5"/>
      <c r="H235" s="5"/>
      <c r="I235" s="5"/>
      <c r="J235" s="8"/>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x14ac:dyDescent="0.25">
      <c r="A236" s="4"/>
      <c r="B236" s="4"/>
      <c r="C236" s="5"/>
      <c r="D236" s="5"/>
      <c r="E236" s="5"/>
      <c r="F236" s="5"/>
      <c r="G236" s="5"/>
      <c r="H236" s="5"/>
      <c r="I236" s="5"/>
      <c r="J236" s="8"/>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x14ac:dyDescent="0.25">
      <c r="A237" s="4"/>
      <c r="B237" s="4"/>
      <c r="C237" s="5"/>
      <c r="D237" s="5"/>
      <c r="E237" s="5"/>
      <c r="F237" s="5"/>
      <c r="G237" s="5"/>
      <c r="H237" s="5"/>
      <c r="I237" s="5"/>
      <c r="J237" s="8"/>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x14ac:dyDescent="0.25">
      <c r="A238" s="4"/>
      <c r="B238" s="4"/>
      <c r="C238" s="5"/>
      <c r="D238" s="5"/>
      <c r="E238" s="5"/>
      <c r="F238" s="5"/>
      <c r="G238" s="5"/>
      <c r="H238" s="5"/>
      <c r="I238" s="5"/>
      <c r="J238" s="8"/>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x14ac:dyDescent="0.25">
      <c r="A239" s="4"/>
      <c r="B239" s="4"/>
      <c r="C239" s="5"/>
      <c r="D239" s="5"/>
      <c r="E239" s="5"/>
      <c r="F239" s="5"/>
      <c r="G239" s="5"/>
      <c r="H239" s="5"/>
      <c r="I239" s="5"/>
      <c r="J239" s="8"/>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x14ac:dyDescent="0.25">
      <c r="A240" s="4"/>
      <c r="B240" s="4"/>
      <c r="C240" s="5"/>
      <c r="D240" s="5"/>
      <c r="E240" s="5"/>
      <c r="F240" s="5"/>
      <c r="G240" s="5"/>
      <c r="H240" s="5"/>
      <c r="I240" s="5"/>
      <c r="J240" s="8"/>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x14ac:dyDescent="0.25">
      <c r="A241" s="4"/>
      <c r="B241" s="4"/>
      <c r="C241" s="5"/>
      <c r="D241" s="5"/>
      <c r="E241" s="5"/>
      <c r="F241" s="5"/>
      <c r="G241" s="5"/>
      <c r="H241" s="5"/>
      <c r="I241" s="5"/>
      <c r="J241" s="8"/>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x14ac:dyDescent="0.25">
      <c r="A242" s="4"/>
      <c r="B242" s="4"/>
      <c r="C242" s="5"/>
      <c r="D242" s="5"/>
      <c r="E242" s="5"/>
      <c r="F242" s="5"/>
      <c r="G242" s="5"/>
      <c r="H242" s="5"/>
      <c r="I242" s="5"/>
      <c r="J242" s="8"/>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x14ac:dyDescent="0.25">
      <c r="A243" s="4"/>
      <c r="B243" s="4"/>
      <c r="C243" s="5"/>
      <c r="D243" s="5"/>
      <c r="E243" s="5"/>
      <c r="F243" s="5"/>
      <c r="G243" s="5"/>
      <c r="H243" s="5"/>
      <c r="I243" s="5"/>
      <c r="J243" s="8"/>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x14ac:dyDescent="0.25">
      <c r="A244" s="4"/>
      <c r="B244" s="4"/>
      <c r="C244" s="5"/>
      <c r="D244" s="5"/>
      <c r="E244" s="5"/>
      <c r="F244" s="5"/>
      <c r="G244" s="5"/>
      <c r="H244" s="5"/>
      <c r="I244" s="5"/>
      <c r="J244" s="8"/>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x14ac:dyDescent="0.25">
      <c r="A245" s="4"/>
      <c r="B245" s="4"/>
      <c r="C245" s="5"/>
      <c r="D245" s="5"/>
      <c r="E245" s="5"/>
      <c r="F245" s="5"/>
      <c r="G245" s="5"/>
      <c r="H245" s="5"/>
      <c r="I245" s="5"/>
      <c r="J245" s="8"/>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x14ac:dyDescent="0.25">
      <c r="A246" s="4"/>
      <c r="B246" s="4"/>
      <c r="C246" s="5"/>
      <c r="D246" s="5"/>
      <c r="E246" s="5"/>
      <c r="F246" s="5"/>
      <c r="G246" s="5"/>
      <c r="H246" s="5"/>
      <c r="I246" s="5"/>
      <c r="J246" s="8"/>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x14ac:dyDescent="0.25">
      <c r="A247" s="4"/>
      <c r="B247" s="4"/>
      <c r="C247" s="5"/>
      <c r="D247" s="5"/>
      <c r="E247" s="5"/>
      <c r="F247" s="5"/>
      <c r="G247" s="5"/>
      <c r="H247" s="5"/>
      <c r="I247" s="5"/>
      <c r="J247" s="8"/>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x14ac:dyDescent="0.25">
      <c r="A248" s="4"/>
      <c r="B248" s="4"/>
      <c r="C248" s="5"/>
      <c r="D248" s="5"/>
      <c r="E248" s="5"/>
      <c r="F248" s="5"/>
      <c r="G248" s="5"/>
      <c r="H248" s="5"/>
      <c r="I248" s="5"/>
      <c r="J248" s="8"/>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x14ac:dyDescent="0.25">
      <c r="A249" s="4"/>
      <c r="B249" s="4"/>
      <c r="C249" s="5"/>
      <c r="D249" s="5"/>
      <c r="E249" s="5"/>
      <c r="F249" s="5"/>
      <c r="G249" s="5"/>
      <c r="H249" s="5"/>
      <c r="I249" s="5"/>
      <c r="J249" s="8"/>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x14ac:dyDescent="0.25">
      <c r="A250" s="4"/>
      <c r="B250" s="4"/>
      <c r="C250" s="5"/>
      <c r="D250" s="5"/>
      <c r="E250" s="5"/>
      <c r="F250" s="5"/>
      <c r="G250" s="5"/>
      <c r="H250" s="5"/>
      <c r="I250" s="5"/>
      <c r="J250" s="8"/>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x14ac:dyDescent="0.25">
      <c r="A251" s="4"/>
      <c r="B251" s="4"/>
      <c r="C251" s="5"/>
      <c r="D251" s="5"/>
      <c r="E251" s="5"/>
      <c r="F251" s="5"/>
      <c r="G251" s="5"/>
      <c r="H251" s="5"/>
      <c r="I251" s="5"/>
      <c r="J251" s="8"/>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x14ac:dyDescent="0.25">
      <c r="A252" s="4"/>
      <c r="B252" s="4"/>
      <c r="C252" s="5"/>
      <c r="D252" s="5"/>
      <c r="E252" s="5"/>
      <c r="F252" s="5"/>
      <c r="G252" s="5"/>
      <c r="H252" s="5"/>
      <c r="I252" s="5"/>
      <c r="J252" s="8"/>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x14ac:dyDescent="0.25">
      <c r="A253" s="4"/>
      <c r="B253" s="4"/>
      <c r="C253" s="5"/>
      <c r="D253" s="5"/>
      <c r="E253" s="5"/>
      <c r="F253" s="5"/>
      <c r="G253" s="5"/>
      <c r="H253" s="5"/>
      <c r="I253" s="5"/>
      <c r="J253" s="8"/>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x14ac:dyDescent="0.25">
      <c r="A254" s="4"/>
      <c r="B254" s="4"/>
      <c r="C254" s="5"/>
      <c r="D254" s="5"/>
      <c r="E254" s="5"/>
      <c r="F254" s="5"/>
      <c r="G254" s="5"/>
      <c r="H254" s="5"/>
      <c r="I254" s="5"/>
      <c r="J254" s="8"/>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x14ac:dyDescent="0.25">
      <c r="A255" s="4"/>
      <c r="B255" s="4"/>
      <c r="C255" s="5"/>
      <c r="D255" s="5"/>
      <c r="E255" s="5"/>
      <c r="F255" s="5"/>
      <c r="G255" s="5"/>
      <c r="H255" s="5"/>
      <c r="I255" s="5"/>
      <c r="J255" s="8"/>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x14ac:dyDescent="0.25">
      <c r="A256" s="4"/>
      <c r="B256" s="4"/>
      <c r="C256" s="5"/>
      <c r="D256" s="5"/>
      <c r="E256" s="5"/>
      <c r="F256" s="5"/>
      <c r="G256" s="5"/>
      <c r="H256" s="5"/>
      <c r="I256" s="5"/>
      <c r="J256" s="8"/>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x14ac:dyDescent="0.25">
      <c r="A257" s="4"/>
      <c r="B257" s="4"/>
      <c r="C257" s="5"/>
      <c r="D257" s="5"/>
      <c r="E257" s="5"/>
      <c r="F257" s="5"/>
      <c r="G257" s="5"/>
      <c r="H257" s="5"/>
      <c r="I257" s="5"/>
      <c r="J257" s="8"/>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x14ac:dyDescent="0.25">
      <c r="A258" s="4"/>
      <c r="B258" s="4"/>
      <c r="C258" s="5"/>
      <c r="D258" s="5"/>
      <c r="E258" s="5"/>
      <c r="F258" s="5"/>
      <c r="G258" s="5"/>
      <c r="H258" s="5"/>
      <c r="I258" s="5"/>
      <c r="J258" s="8"/>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x14ac:dyDescent="0.25">
      <c r="A259" s="4"/>
      <c r="B259" s="4"/>
      <c r="C259" s="5"/>
      <c r="D259" s="5"/>
      <c r="E259" s="5"/>
      <c r="F259" s="5"/>
      <c r="G259" s="5"/>
      <c r="H259" s="5"/>
      <c r="I259" s="5"/>
      <c r="J259" s="8"/>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sheetData>
  <autoFilter ref="B1:B158"/>
  <mergeCells count="67">
    <mergeCell ref="K131:Z131"/>
    <mergeCell ref="K107:M107"/>
    <mergeCell ref="K113:S113"/>
    <mergeCell ref="F74:H74"/>
    <mergeCell ref="F10:H10"/>
    <mergeCell ref="O122:S122"/>
    <mergeCell ref="L122:M122"/>
    <mergeCell ref="F13:F24"/>
    <mergeCell ref="F28:F32"/>
    <mergeCell ref="F76:F77"/>
    <mergeCell ref="F78:F93"/>
    <mergeCell ref="F113:F121"/>
    <mergeCell ref="F110:F112"/>
    <mergeCell ref="F47:F60"/>
    <mergeCell ref="K100:P100"/>
    <mergeCell ref="K94:T94"/>
    <mergeCell ref="F25:H25"/>
    <mergeCell ref="F11:H11"/>
    <mergeCell ref="F12:H12"/>
    <mergeCell ref="F151:F155"/>
    <mergeCell ref="F142:F149"/>
    <mergeCell ref="F61:F73"/>
    <mergeCell ref="F33:H33"/>
    <mergeCell ref="F34:H34"/>
    <mergeCell ref="F26:H26"/>
    <mergeCell ref="F35:H35"/>
    <mergeCell ref="F27:H27"/>
    <mergeCell ref="F36:F46"/>
    <mergeCell ref="F156:H156"/>
    <mergeCell ref="F140:F141"/>
    <mergeCell ref="F122:F139"/>
    <mergeCell ref="F94:F103"/>
    <mergeCell ref="F104:F109"/>
    <mergeCell ref="D2:D35"/>
    <mergeCell ref="C2:C35"/>
    <mergeCell ref="E13:E24"/>
    <mergeCell ref="E28:E32"/>
    <mergeCell ref="D36:D77"/>
    <mergeCell ref="E76:E77"/>
    <mergeCell ref="E47:E60"/>
    <mergeCell ref="E36:E46"/>
    <mergeCell ref="E61:E73"/>
    <mergeCell ref="C36:C77"/>
    <mergeCell ref="C122:C156"/>
    <mergeCell ref="E94:E103"/>
    <mergeCell ref="D78:D121"/>
    <mergeCell ref="E104:E109"/>
    <mergeCell ref="E110:E112"/>
    <mergeCell ref="E78:E93"/>
    <mergeCell ref="D122:D156"/>
    <mergeCell ref="C78:C121"/>
    <mergeCell ref="E113:E121"/>
    <mergeCell ref="E151:E155"/>
    <mergeCell ref="E142:E149"/>
    <mergeCell ref="E140:E141"/>
    <mergeCell ref="E122:E139"/>
    <mergeCell ref="F7:F8"/>
    <mergeCell ref="F3:H3"/>
    <mergeCell ref="F4:H4"/>
    <mergeCell ref="E7:E8"/>
    <mergeCell ref="F2:H2"/>
    <mergeCell ref="V36:AI36"/>
    <mergeCell ref="AJ36:AV36"/>
    <mergeCell ref="K36:U36"/>
    <mergeCell ref="AA1:AO1"/>
    <mergeCell ref="K1:Y1"/>
    <mergeCell ref="K12:V12"/>
  </mergeCells>
  <conditionalFormatting sqref="U134:U153">
    <cfRule type="expression" dxfId="18" priority="1">
      <formula>IF(AND(L134="Input",Q134="File"),U134="")</formula>
    </cfRule>
  </conditionalFormatting>
  <conditionalFormatting sqref="L125">
    <cfRule type="notContainsBlanks" dxfId="17" priority="2">
      <formula>LEN(TRIM(L125))&gt;0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25:L128 L130">
      <formula1>-1E+179</formula1>
    </dataValidation>
    <dataValidation type="decimal" operator="lessThanOrEqual" allowBlank="1" showDropDown="1" showErrorMessage="1" sqref="L12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9">
        <x14:dataValidation type="list" allowBlank="1" showErrorMessage="1">
          <x14:formula1>
            <xm:f>Country!$A$2:$A$500</xm:f>
          </x14:formula1>
          <xm:sqref>S4:S9 AI4:AI9 AT39:AT50 I77 M110:M112</xm:sqref>
        </x14:dataValidation>
        <x14:dataValidation type="list" allowBlank="1" showErrorMessage="1">
          <x14:formula1>
            <xm:f>'Parameter classification'!$A$2:$A$50</xm:f>
          </x14:formula1>
          <xm:sqref>L140:L153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K103:K105</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P125:P129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O97:O99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N97:N99</xm:sqref>
        </x14:dataValidation>
        <x14:dataValidation type="list" allowBlank="1" showErrorMessage="1">
          <x14:formula1>
            <xm:f>'Sampling strategy'!$A$2:$A$100</xm:f>
          </x14:formula1>
          <xm:sqref>M97:M99</xm:sqref>
        </x14:dataValidation>
        <x14:dataValidation type="list" allowBlank="1" showErrorMessage="1">
          <x14:formula1>
            <xm:f>Source!$A$2:$A$30</xm:f>
          </x14:formula1>
          <xm:sqref>I3</xm:sqref>
        </x14:dataValidation>
        <x14:dataValidation type="list" allowBlank="1" showErrorMessage="1">
          <x14:formula1>
            <xm:f>'Parameter source'!$A$2:$A$50</xm:f>
          </x14:formula1>
          <xm:sqref>R134:R153</xm:sqref>
        </x14:dataValidation>
        <x14:dataValidation type="list" allowBlank="1" showErrorMessage="1">
          <x14:formula1>
            <xm:f>'Population name'!$A$2:$A$30</xm:f>
          </x14:formula1>
          <xm:sqref>AJ39:AJ50</xm:sqref>
        </x14:dataValidation>
        <x14:dataValidation type="list" allowBlank="1" showErrorMessage="1">
          <x14:formula1>
            <xm:f>'Basic Process'!$U$3:$U$40</xm:f>
          </x14:formula1>
          <xm:sqref>I31</xm:sqref>
        </x14:dataValidation>
        <x14:dataValidation type="list" allowBlank="1" showErrorMessage="1">
          <x14:formula1>
            <xm:f>'Parameter unit'!$A:$A</xm:f>
          </x14:formula1>
          <xm:sqref>M39:M50 Y39:Y50 S97:S99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T97:T99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Q134:Q138</xm:sqref>
        </x14:dataValidation>
        <x14:dataValidation type="list" allowBlank="1" showErrorMessage="1">
          <x14:formula1>
            <xm:f>'Parameter data type'!$A$2:$A$50</xm:f>
          </x14:formula1>
          <xm:sqref>Q140:Q153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O134:O153</xm:sqref>
        </x14:dataValidation>
        <x14:dataValidation type="list" allowBlank="1" showErrorMessage="1">
          <x14:formula1>
            <xm:f>'Laboratory accreditation'!$A$2:$A$200</xm:f>
          </x14:formula1>
          <xm:sqref>K110:K112</xm:sqref>
        </x14:dataValidation>
        <x14:dataValidation type="list" allowBlank="1" showErrorMessage="1">
          <x14:formula1>
            <xm:f>'Parameter classification'!$A$2:$A$50</xm:f>
          </x14:formula1>
          <xm:sqref>L134:L138</xm:sqref>
        </x14:dataValidation>
        <x14:dataValidation type="list" allowBlank="1" showErrorMessage="1">
          <x14:formula1>
            <xm:f>'Parameter subject'!$A$2:$A$500</xm:f>
          </x14:formula1>
          <xm:sqref>S134:S153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'Model Sub-Class'!$A$3:$A$50</xm:f>
          </x14:formula1>
          <xm:sqref>I29</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P103:P105</xm:sqref>
        </x14:dataValidation>
        <x14:dataValidation type="list" allowBlank="1" showErrorMessage="1">
          <x14:formula1>
            <xm:f>'Parameter data type'!$A$2:$A$50</xm:f>
          </x14:formula1>
          <xm:sqref>Q139</xm:sqref>
        </x14:dataValidation>
        <x14:dataValidation type="list" allowBlank="1" showErrorMessage="1">
          <x14:formula1>
            <xm:f>'Parameter distribution'!$A$2:$A$800</xm:f>
          </x14:formula1>
          <xm:sqref>T134:T153</xm:sqref>
        </x14:dataValidation>
        <x14:dataValidation type="list" allowBlank="1" showErrorMessage="1">
          <x14:formula1>
            <xm:f>'Parameter classification'!$A$2:$A$50</xm:f>
          </x14:formula1>
          <xm:sqref>L139</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234"/>
  <sheetViews>
    <sheetView workbookViewId="0"/>
  </sheetViews>
  <sheetFormatPr defaultColWidth="14.453125" defaultRowHeight="15.75" customHeight="1" x14ac:dyDescent="0.25"/>
  <cols>
    <col min="3" max="3" width="6.1796875" customWidth="1"/>
    <col min="4" max="4" width="6.7265625" customWidth="1"/>
    <col min="6" max="6" width="6" customWidth="1"/>
    <col min="7" max="7" width="29.1796875" customWidth="1"/>
    <col min="8" max="8" width="6.1796875" customWidth="1"/>
    <col min="9" max="9" width="44.453125" customWidth="1"/>
    <col min="10" max="10" width="21.7265625" customWidth="1"/>
    <col min="26" max="26" width="18.1796875" customWidth="1"/>
  </cols>
  <sheetData>
    <row r="1" spans="1:41" ht="15.75" customHeight="1" x14ac:dyDescent="0.3">
      <c r="A1" s="16" t="str">
        <f ca="1">IFERROR(__xludf.DUMMYFUNCTION("QUERY(IMPORTRANGE(""https://docs.google.com/spreadsheets/d/1R5ofJAIqAywN97cnBY9R9kqj10AvQOs3Gq472n6iDyc/edit#gid=811823962"",""Process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7" t="str">
        <f ca="1">E6</f>
        <v>Creator</v>
      </c>
      <c r="L1" s="96"/>
      <c r="M1" s="96"/>
      <c r="N1" s="96"/>
      <c r="O1" s="96"/>
      <c r="P1" s="96"/>
      <c r="Q1" s="96"/>
      <c r="R1" s="96"/>
      <c r="S1" s="96"/>
      <c r="T1" s="96"/>
      <c r="U1" s="96"/>
      <c r="V1" s="96"/>
      <c r="W1" s="96"/>
      <c r="X1" s="96"/>
      <c r="Y1" s="96"/>
      <c r="Z1" s="4"/>
      <c r="AA1" s="97" t="str">
        <f ca="1">E5</f>
        <v>Author</v>
      </c>
      <c r="AB1" s="96"/>
      <c r="AC1" s="96"/>
      <c r="AD1" s="96"/>
      <c r="AE1" s="96"/>
      <c r="AF1" s="96"/>
      <c r="AG1" s="96"/>
      <c r="AH1" s="96"/>
      <c r="AI1" s="96"/>
      <c r="AJ1" s="96"/>
      <c r="AK1" s="96"/>
      <c r="AL1" s="96"/>
      <c r="AM1" s="96"/>
      <c r="AN1" s="96"/>
      <c r="AO1" s="96"/>
    </row>
    <row r="2" spans="1:41" ht="12.5" x14ac:dyDescent="0.25">
      <c r="A2" s="4" t="str">
        <f ca="1">IFERROR(__xludf.DUMMYFUNCTION("""COMPUTED_VALUE"""),"Yes")</f>
        <v>Yes</v>
      </c>
      <c r="B2" s="4" t="str">
        <f ca="1">IFERROR(__xludf.DUMMYFUNCTION("""COMPUTED_VALUE"""),"Yes")</f>
        <v>Yes</v>
      </c>
      <c r="C2" s="95" t="str">
        <f ca="1">IFERROR(__xludf.DUMMYFUNCTION("""COMPUTED_VALUE"""),"General information")</f>
        <v>General information</v>
      </c>
      <c r="D2" s="95" t="str">
        <f ca="1">IFERROR(__xludf.DUMMYFUNCTION("""COMPUTED_VALUE"""),"1")</f>
        <v>1</v>
      </c>
      <c r="E2" s="5" t="str">
        <f ca="1">IFERROR(__xludf.DUMMYFUNCTION("""COMPUTED_VALUE"""),"Model name")</f>
        <v>Model name</v>
      </c>
      <c r="F2" s="97" t="str">
        <f ca="1">IFERROR(__xludf.DUMMYFUNCTION("""COMPUTED_VALUE"""),"1")</f>
        <v>1</v>
      </c>
      <c r="G2" s="96"/>
      <c r="H2" s="96"/>
      <c r="I2" s="11"/>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x14ac:dyDescent="0.25">
      <c r="A3" s="4" t="str">
        <f ca="1">IFERROR(__xludf.DUMMYFUNCTION("""COMPUTED_VALUE"""),"Yes")</f>
        <v>Yes</v>
      </c>
      <c r="B3" s="4" t="str">
        <f ca="1">IFERROR(__xludf.DUMMYFUNCTION("""COMPUTED_VALUE"""),"Yes")</f>
        <v>Yes</v>
      </c>
      <c r="C3" s="96"/>
      <c r="D3" s="96"/>
      <c r="E3" s="5" t="str">
        <f ca="1">IFERROR(__xludf.DUMMYFUNCTION("""COMPUTED_VALUE"""),"Source")</f>
        <v>Source</v>
      </c>
      <c r="F3" s="97" t="str">
        <f ca="1">IFERROR(__xludf.DUMMYFUNCTION("""COMPUTED_VALUE"""),"0:1")</f>
        <v>0:1</v>
      </c>
      <c r="G3" s="96"/>
      <c r="H3" s="96"/>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x14ac:dyDescent="0.25">
      <c r="A4" s="4" t="str">
        <f ca="1">IFERROR(__xludf.DUMMYFUNCTION("""COMPUTED_VALUE"""),"Yes")</f>
        <v>Yes</v>
      </c>
      <c r="B4" s="4" t="str">
        <f ca="1">IFERROR(__xludf.DUMMYFUNCTION("""COMPUTED_VALUE"""),"Yes")</f>
        <v>Yes</v>
      </c>
      <c r="C4" s="96"/>
      <c r="D4" s="96"/>
      <c r="E4" s="5" t="str">
        <f ca="1">IFERROR(__xludf.DUMMYFUNCTION("""COMPUTED_VALUE"""),"Identifier")</f>
        <v>Identifier</v>
      </c>
      <c r="F4" s="97" t="str">
        <f ca="1">IFERROR(__xludf.DUMMYFUNCTION("""COMPUTED_VALUE"""),"1")</f>
        <v>1</v>
      </c>
      <c r="G4" s="96"/>
      <c r="H4" s="96"/>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x14ac:dyDescent="0.25">
      <c r="A5" s="4" t="str">
        <f ca="1">IFERROR(__xludf.DUMMYFUNCTION("""COMPUTED_VALUE"""),"Yes")</f>
        <v>Yes</v>
      </c>
      <c r="B5" s="4" t="str">
        <f ca="1">IFERROR(__xludf.DUMMYFUNCTION("""COMPUTED_VALUE"""),"No")</f>
        <v>No</v>
      </c>
      <c r="C5" s="96"/>
      <c r="D5" s="9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x14ac:dyDescent="0.25">
      <c r="A6" s="4" t="str">
        <f ca="1">IFERROR(__xludf.DUMMYFUNCTION("""COMPUTED_VALUE"""),"Yes")</f>
        <v>Yes</v>
      </c>
      <c r="B6" s="4" t="str">
        <f ca="1">IFERROR(__xludf.DUMMYFUNCTION("""COMPUTED_VALUE"""),"Yes")</f>
        <v>Yes</v>
      </c>
      <c r="C6" s="96"/>
      <c r="D6" s="96"/>
      <c r="E6" s="97"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x14ac:dyDescent="0.25">
      <c r="A7" s="4" t="str">
        <f ca="1">IFERROR(__xludf.DUMMYFUNCTION("""COMPUTED_VALUE"""),"Yes")</f>
        <v>Yes</v>
      </c>
      <c r="B7" s="4" t="str">
        <f ca="1">IFERROR(__xludf.DUMMYFUNCTION("""COMPUTED_VALUE"""),"Yes")</f>
        <v>Yes</v>
      </c>
      <c r="C7" s="96"/>
      <c r="D7" s="96"/>
      <c r="E7" s="96"/>
      <c r="F7" s="97"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x14ac:dyDescent="0.25">
      <c r="A8" s="4" t="str">
        <f ca="1">IFERROR(__xludf.DUMMYFUNCTION("""COMPUTED_VALUE"""),"Yes")</f>
        <v>Yes</v>
      </c>
      <c r="B8" s="4" t="str">
        <f ca="1">IFERROR(__xludf.DUMMYFUNCTION("""COMPUTED_VALUE"""),"No")</f>
        <v>No</v>
      </c>
      <c r="C8" s="96"/>
      <c r="D8" s="96"/>
      <c r="E8" s="5"/>
      <c r="F8" s="96"/>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x14ac:dyDescent="0.25">
      <c r="A9" s="4" t="str">
        <f ca="1">IFERROR(__xludf.DUMMYFUNCTION("""COMPUTED_VALUE"""),"Yes")</f>
        <v>Yes</v>
      </c>
      <c r="B9" s="4" t="str">
        <f ca="1">IFERROR(__xludf.DUMMYFUNCTION("""COMPUTED_VALUE"""),"Yes")</f>
        <v>Yes</v>
      </c>
      <c r="C9" s="96"/>
      <c r="D9" s="9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x14ac:dyDescent="0.25">
      <c r="A10" s="4" t="str">
        <f ca="1">IFERROR(__xludf.DUMMYFUNCTION("""COMPUTED_VALUE"""),"Yes")</f>
        <v>Yes</v>
      </c>
      <c r="B10" s="4" t="str">
        <f ca="1">IFERROR(__xludf.DUMMYFUNCTION("""COMPUTED_VALUE"""),"No")</f>
        <v>No</v>
      </c>
      <c r="C10" s="96"/>
      <c r="D10" s="96"/>
      <c r="E10" s="5" t="str">
        <f ca="1">IFERROR(__xludf.DUMMYFUNCTION("""COMPUTED_VALUE"""),"Availability")</f>
        <v>Availability</v>
      </c>
      <c r="F10" s="97" t="str">
        <f ca="1">IFERROR(__xludf.DUMMYFUNCTION("""COMPUTED_VALUE"""),"0:1")</f>
        <v>0:1</v>
      </c>
      <c r="G10" s="96"/>
      <c r="H10" s="96"/>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x14ac:dyDescent="0.25">
      <c r="A11" s="4" t="str">
        <f ca="1">IFERROR(__xludf.DUMMYFUNCTION("""COMPUTED_VALUE"""),"Yes")</f>
        <v>Yes</v>
      </c>
      <c r="B11" s="4" t="str">
        <f ca="1">IFERROR(__xludf.DUMMYFUNCTION("""COMPUTED_VALUE"""),"No")</f>
        <v>No</v>
      </c>
      <c r="C11" s="96"/>
      <c r="D11" s="96"/>
      <c r="E11" s="5" t="str">
        <f ca="1">IFERROR(__xludf.DUMMYFUNCTION("""COMPUTED_VALUE"""),"URL")</f>
        <v>URL</v>
      </c>
      <c r="F11" s="97" t="str">
        <f ca="1">IFERROR(__xludf.DUMMYFUNCTION("""COMPUTED_VALUE"""),"0:1")</f>
        <v>0:1</v>
      </c>
      <c r="G11" s="96"/>
      <c r="H11" s="96"/>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x14ac:dyDescent="0.25">
      <c r="A12" s="4" t="str">
        <f ca="1">IFERROR(__xludf.DUMMYFUNCTION("""COMPUTED_VALUE"""),"Yes")</f>
        <v>Yes</v>
      </c>
      <c r="B12" s="4" t="str">
        <f ca="1">IFERROR(__xludf.DUMMYFUNCTION("""COMPUTED_VALUE"""),"No")</f>
        <v>No</v>
      </c>
      <c r="C12" s="96"/>
      <c r="D12" s="96"/>
      <c r="E12" s="5" t="str">
        <f ca="1">IFERROR(__xludf.DUMMYFUNCTION("""COMPUTED_VALUE"""),"Format")</f>
        <v>Format</v>
      </c>
      <c r="F12" s="97" t="str">
        <f ca="1">IFERROR(__xludf.DUMMYFUNCTION("""COMPUTED_VALUE"""),"0:1")</f>
        <v>0:1</v>
      </c>
      <c r="G12" s="96"/>
      <c r="H12" s="96"/>
      <c r="I12" s="10"/>
      <c r="J12" s="4"/>
      <c r="K12" s="99" t="str">
        <f ca="1">E13</f>
        <v>References</v>
      </c>
      <c r="L12" s="96"/>
      <c r="M12" s="96"/>
      <c r="N12" s="96"/>
      <c r="O12" s="96"/>
      <c r="P12" s="96"/>
      <c r="Q12" s="96"/>
      <c r="R12" s="96"/>
      <c r="S12" s="96"/>
      <c r="T12" s="96"/>
      <c r="U12" s="96"/>
      <c r="V12" s="96"/>
      <c r="W12" s="4"/>
      <c r="X12" s="4"/>
      <c r="Y12" s="4"/>
      <c r="Z12" s="4"/>
      <c r="AA12" s="4"/>
      <c r="AB12" s="4"/>
      <c r="AC12" s="4"/>
      <c r="AD12" s="4"/>
      <c r="AE12" s="4"/>
      <c r="AF12" s="4"/>
      <c r="AG12" s="4"/>
      <c r="AH12" s="4"/>
      <c r="AI12" s="4"/>
      <c r="AJ12" s="4"/>
      <c r="AK12" s="4"/>
      <c r="AL12" s="4"/>
      <c r="AM12" s="4"/>
      <c r="AN12" s="4"/>
      <c r="AO12" s="4"/>
    </row>
    <row r="13" spans="1:41" ht="14" x14ac:dyDescent="0.3">
      <c r="A13" s="4" t="str">
        <f ca="1">IFERROR(__xludf.DUMMYFUNCTION("""COMPUTED_VALUE"""),"Yes")</f>
        <v>Yes</v>
      </c>
      <c r="B13" s="4" t="str">
        <f ca="1">IFERROR(__xludf.DUMMYFUNCTION("""COMPUTED_VALUE"""),"Yes")</f>
        <v>Yes</v>
      </c>
      <c r="C13" s="96"/>
      <c r="D13" s="96"/>
      <c r="E13" s="97" t="str">
        <f ca="1">IFERROR(__xludf.DUMMYFUNCTION("""COMPUTED_VALUE"""),"References")</f>
        <v>References</v>
      </c>
      <c r="F13" s="97"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x14ac:dyDescent="0.25">
      <c r="A14" s="4" t="str">
        <f ca="1">IFERROR(__xludf.DUMMYFUNCTION("""COMPUTED_VALUE"""),"Yes")</f>
        <v>Yes</v>
      </c>
      <c r="B14" s="4" t="str">
        <f ca="1">IFERROR(__xludf.DUMMYFUNCTION("""COMPUTED_VALUE"""),"Yes")</f>
        <v>Yes</v>
      </c>
      <c r="C14" s="96"/>
      <c r="D14" s="96"/>
      <c r="E14" s="96"/>
      <c r="F14" s="96"/>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x14ac:dyDescent="0.25">
      <c r="A15" s="4" t="str">
        <f ca="1">IFERROR(__xludf.DUMMYFUNCTION("""COMPUTED_VALUE"""),"Yes")</f>
        <v>Yes</v>
      </c>
      <c r="B15" s="4" t="str">
        <f ca="1">IFERROR(__xludf.DUMMYFUNCTION("""COMPUTED_VALUE"""),"No")</f>
        <v>No</v>
      </c>
      <c r="C15" s="96"/>
      <c r="D15" s="96"/>
      <c r="E15" s="96"/>
      <c r="F15" s="96"/>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x14ac:dyDescent="0.25">
      <c r="A16" s="4" t="str">
        <f ca="1">IFERROR(__xludf.DUMMYFUNCTION("""COMPUTED_VALUE"""),"Yes")</f>
        <v>Yes</v>
      </c>
      <c r="B16" s="4" t="str">
        <f ca="1">IFERROR(__xludf.DUMMYFUNCTION("""COMPUTED_VALUE"""),"No")</f>
        <v>No</v>
      </c>
      <c r="C16" s="96"/>
      <c r="D16" s="96"/>
      <c r="E16" s="96"/>
      <c r="F16" s="96"/>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x14ac:dyDescent="0.25">
      <c r="A17" s="4" t="str">
        <f ca="1">IFERROR(__xludf.DUMMYFUNCTION("""COMPUTED_VALUE"""),"Yes")</f>
        <v>Yes</v>
      </c>
      <c r="B17" s="4" t="str">
        <f ca="1">IFERROR(__xludf.DUMMYFUNCTION("""COMPUTED_VALUE"""),"Yes")</f>
        <v>Yes</v>
      </c>
      <c r="C17" s="96"/>
      <c r="D17" s="96"/>
      <c r="E17" s="96"/>
      <c r="F17" s="96"/>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x14ac:dyDescent="0.25">
      <c r="A18" s="4" t="str">
        <f ca="1">IFERROR(__xludf.DUMMYFUNCTION("""COMPUTED_VALUE"""),"Yes")</f>
        <v>Yes</v>
      </c>
      <c r="B18" s="4" t="str">
        <f ca="1">IFERROR(__xludf.DUMMYFUNCTION("""COMPUTED_VALUE"""),"No")</f>
        <v>No</v>
      </c>
      <c r="C18" s="96"/>
      <c r="D18" s="96"/>
      <c r="E18" s="96"/>
      <c r="F18" s="96"/>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x14ac:dyDescent="0.25">
      <c r="A19" s="4" t="str">
        <f ca="1">IFERROR(__xludf.DUMMYFUNCTION("""COMPUTED_VALUE"""),"Yes")</f>
        <v>Yes</v>
      </c>
      <c r="B19" s="4" t="str">
        <f ca="1">IFERROR(__xludf.DUMMYFUNCTION("""COMPUTED_VALUE"""),"Yes")</f>
        <v>Yes</v>
      </c>
      <c r="C19" s="96"/>
      <c r="D19" s="96"/>
      <c r="E19" s="96"/>
      <c r="F19" s="96"/>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x14ac:dyDescent="0.25">
      <c r="A20" s="4" t="str">
        <f ca="1">IFERROR(__xludf.DUMMYFUNCTION("""COMPUTED_VALUE"""),"Yes")</f>
        <v>Yes</v>
      </c>
      <c r="B20" s="4" t="str">
        <f ca="1">IFERROR(__xludf.DUMMYFUNCTION("""COMPUTED_VALUE"""),"No")</f>
        <v>No</v>
      </c>
      <c r="C20" s="96"/>
      <c r="D20" s="96"/>
      <c r="E20" s="96"/>
      <c r="F20" s="96"/>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x14ac:dyDescent="0.25">
      <c r="A21" s="4" t="str">
        <f ca="1">IFERROR(__xludf.DUMMYFUNCTION("""COMPUTED_VALUE"""),"Yes")</f>
        <v>Yes</v>
      </c>
      <c r="B21" s="4" t="str">
        <f ca="1">IFERROR(__xludf.DUMMYFUNCTION("""COMPUTED_VALUE"""),"No")</f>
        <v>No</v>
      </c>
      <c r="C21" s="96"/>
      <c r="D21" s="96"/>
      <c r="E21" s="96"/>
      <c r="F21" s="96"/>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x14ac:dyDescent="0.25">
      <c r="A22" s="4" t="str">
        <f ca="1">IFERROR(__xludf.DUMMYFUNCTION("""COMPUTED_VALUE"""),"Yes")</f>
        <v>Yes</v>
      </c>
      <c r="B22" s="4" t="str">
        <f ca="1">IFERROR(__xludf.DUMMYFUNCTION("""COMPUTED_VALUE"""),"No")</f>
        <v>No</v>
      </c>
      <c r="C22" s="96"/>
      <c r="D22" s="96"/>
      <c r="E22" s="96"/>
      <c r="F22" s="96"/>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x14ac:dyDescent="0.3">
      <c r="A23" s="4" t="str">
        <f ca="1">IFERROR(__xludf.DUMMYFUNCTION("""COMPUTED_VALUE"""),"Yes")</f>
        <v>Yes</v>
      </c>
      <c r="B23" s="4" t="str">
        <f ca="1">IFERROR(__xludf.DUMMYFUNCTION("""COMPUTED_VALUE"""),"No")</f>
        <v>No</v>
      </c>
      <c r="C23" s="96"/>
      <c r="D23" s="96"/>
      <c r="E23" s="96"/>
      <c r="F23" s="96"/>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x14ac:dyDescent="0.25">
      <c r="A24" s="4" t="str">
        <f ca="1">IFERROR(__xludf.DUMMYFUNCTION("""COMPUTED_VALUE"""),"Yes")</f>
        <v>Yes</v>
      </c>
      <c r="B24" s="4" t="str">
        <f ca="1">IFERROR(__xludf.DUMMYFUNCTION("""COMPUTED_VALUE"""),"No")</f>
        <v>No</v>
      </c>
      <c r="C24" s="96"/>
      <c r="D24" s="96"/>
      <c r="E24" s="96"/>
      <c r="F24" s="96"/>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4" x14ac:dyDescent="0.3">
      <c r="A25" s="4" t="str">
        <f ca="1">IFERROR(__xludf.DUMMYFUNCTION("""COMPUTED_VALUE"""),"Yes")</f>
        <v>Yes</v>
      </c>
      <c r="B25" s="4" t="str">
        <f ca="1">IFERROR(__xludf.DUMMYFUNCTION("""COMPUTED_VALUE"""),"No")</f>
        <v>No</v>
      </c>
      <c r="C25" s="96"/>
      <c r="D25" s="96"/>
      <c r="E25" s="5" t="str">
        <f ca="1">IFERROR(__xludf.DUMMYFUNCTION("""COMPUTED_VALUE"""),"Language")</f>
        <v>Language</v>
      </c>
      <c r="F25" s="97" t="str">
        <f ca="1">IFERROR(__xludf.DUMMYFUNCTION("""COMPUTED_VALUE"""),"0:1")</f>
        <v>0:1</v>
      </c>
      <c r="G25" s="96"/>
      <c r="H25" s="96"/>
      <c r="I25" s="15"/>
      <c r="J25" s="4"/>
      <c r="K25" s="16"/>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x14ac:dyDescent="0.25">
      <c r="A26" s="4" t="str">
        <f ca="1">IFERROR(__xludf.DUMMYFUNCTION("""COMPUTED_VALUE"""),"Yes")</f>
        <v>Yes</v>
      </c>
      <c r="B26" s="4" t="str">
        <f ca="1">IFERROR(__xludf.DUMMYFUNCTION("""COMPUTED_VALUE"""),"No")</f>
        <v>No</v>
      </c>
      <c r="C26" s="96"/>
      <c r="D26" s="96"/>
      <c r="E26" s="5" t="str">
        <f ca="1">IFERROR(__xludf.DUMMYFUNCTION("""COMPUTED_VALUE"""),"Software")</f>
        <v>Software</v>
      </c>
      <c r="F26" s="97" t="str">
        <f ca="1">IFERROR(__xludf.DUMMYFUNCTION("""COMPUTED_VALUE"""),"0:1")</f>
        <v>0:1</v>
      </c>
      <c r="G26" s="96"/>
      <c r="H26" s="96"/>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x14ac:dyDescent="0.25">
      <c r="A27" s="4" t="str">
        <f ca="1">IFERROR(__xludf.DUMMYFUNCTION("""COMPUTED_VALUE"""),"Yes")</f>
        <v>Yes</v>
      </c>
      <c r="B27" s="4" t="str">
        <f ca="1">IFERROR(__xludf.DUMMYFUNCTION("""COMPUTED_VALUE"""),"Yes")</f>
        <v>Yes</v>
      </c>
      <c r="C27" s="96"/>
      <c r="D27" s="96"/>
      <c r="E27" s="5" t="str">
        <f ca="1">IFERROR(__xludf.DUMMYFUNCTION("""COMPUTED_VALUE"""),"Language written in")</f>
        <v>Language written in</v>
      </c>
      <c r="F27" s="97" t="str">
        <f ca="1">IFERROR(__xludf.DUMMYFUNCTION("""COMPUTED_VALUE"""),"1")</f>
        <v>1</v>
      </c>
      <c r="G27" s="96"/>
      <c r="H27" s="96"/>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x14ac:dyDescent="0.25">
      <c r="A28" s="4" t="str">
        <f ca="1">IFERROR(__xludf.DUMMYFUNCTION("""COMPUTED_VALUE"""),"Yes")</f>
        <v>Yes</v>
      </c>
      <c r="B28" s="4" t="str">
        <f ca="1">IFERROR(__xludf.DUMMYFUNCTION("""COMPUTED_VALUE"""),"No")</f>
        <v>No</v>
      </c>
      <c r="C28" s="96"/>
      <c r="D28" s="96"/>
      <c r="E28" s="97" t="str">
        <f ca="1">IFERROR(__xludf.DUMMYFUNCTION("""COMPUTED_VALUE"""),"Model category")</f>
        <v>Model category</v>
      </c>
      <c r="F28" s="97" t="str">
        <f ca="1">IFERROR(__xludf.DUMMYFUNCTION("""COMPUTED_VALUE"""),"0:1")</f>
        <v>0:1</v>
      </c>
      <c r="G28" s="5"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x14ac:dyDescent="0.25">
      <c r="A29" s="4" t="str">
        <f ca="1">IFERROR(__xludf.DUMMYFUNCTION("""COMPUTED_VALUE"""),"Yes")</f>
        <v>Yes</v>
      </c>
      <c r="B29" s="4" t="str">
        <f ca="1">IFERROR(__xludf.DUMMYFUNCTION("""COMPUTED_VALUE"""),"No")</f>
        <v>No</v>
      </c>
      <c r="C29" s="96"/>
      <c r="D29" s="96"/>
      <c r="E29" s="96"/>
      <c r="F29" s="96"/>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x14ac:dyDescent="0.25">
      <c r="A30" s="4" t="str">
        <f ca="1">IFERROR(__xludf.DUMMYFUNCTION("""COMPUTED_VALUE"""),"Yes")</f>
        <v>Yes</v>
      </c>
      <c r="B30" s="4" t="str">
        <f ca="1">IFERROR(__xludf.DUMMYFUNCTION("""COMPUTED_VALUE"""),"No")</f>
        <v>No</v>
      </c>
      <c r="C30" s="96"/>
      <c r="D30" s="96"/>
      <c r="E30" s="96"/>
      <c r="F30" s="96"/>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x14ac:dyDescent="0.25">
      <c r="A31" s="4" t="str">
        <f ca="1">IFERROR(__xludf.DUMMYFUNCTION("""COMPUTED_VALUE"""),"Yes")</f>
        <v>Yes</v>
      </c>
      <c r="B31" s="4" t="str">
        <f ca="1">IFERROR(__xludf.DUMMYFUNCTION("""COMPUTED_VALUE"""),"No")</f>
        <v>No</v>
      </c>
      <c r="C31" s="96"/>
      <c r="D31" s="96"/>
      <c r="E31" s="96"/>
      <c r="F31" s="96"/>
      <c r="G31" s="5"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x14ac:dyDescent="0.25">
      <c r="A32" s="4" t="str">
        <f ca="1">IFERROR(__xludf.DUMMYFUNCTION("""COMPUTED_VALUE"""),"Yes")</f>
        <v>Yes</v>
      </c>
      <c r="B32" s="4" t="str">
        <f ca="1">IFERROR(__xludf.DUMMYFUNCTION("""COMPUTED_VALUE"""),"No")</f>
        <v>No</v>
      </c>
      <c r="C32" s="96"/>
      <c r="D32" s="96"/>
      <c r="E32" s="96"/>
      <c r="F32" s="96"/>
      <c r="G32" s="5"/>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x14ac:dyDescent="0.25">
      <c r="A33" s="4" t="str">
        <f ca="1">IFERROR(__xludf.DUMMYFUNCTION("""COMPUTED_VALUE"""),"Yes")</f>
        <v>Yes</v>
      </c>
      <c r="B33" s="4" t="str">
        <f ca="1">IFERROR(__xludf.DUMMYFUNCTION("""COMPUTED_VALUE"""),"No")</f>
        <v>No</v>
      </c>
      <c r="C33" s="96"/>
      <c r="D33" s="96"/>
      <c r="E33" s="5" t="str">
        <f ca="1">IFERROR(__xludf.DUMMYFUNCTION("""COMPUTED_VALUE"""),"Status")</f>
        <v>Status</v>
      </c>
      <c r="F33" s="97" t="str">
        <f ca="1">IFERROR(__xludf.DUMMYFUNCTION("""COMPUTED_VALUE"""),"0:1")</f>
        <v>0:1</v>
      </c>
      <c r="G33" s="96"/>
      <c r="H33" s="96"/>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x14ac:dyDescent="0.25">
      <c r="A34" s="4" t="str">
        <f ca="1">IFERROR(__xludf.DUMMYFUNCTION("""COMPUTED_VALUE"""),"Yes")</f>
        <v>Yes</v>
      </c>
      <c r="B34" s="4" t="str">
        <f ca="1">IFERROR(__xludf.DUMMYFUNCTION("""COMPUTED_VALUE"""),"No")</f>
        <v>No</v>
      </c>
      <c r="C34" s="96"/>
      <c r="D34" s="96"/>
      <c r="E34" s="5" t="str">
        <f ca="1">IFERROR(__xludf.DUMMYFUNCTION("""COMPUTED_VALUE"""),"Objective")</f>
        <v>Objective</v>
      </c>
      <c r="F34" s="97" t="str">
        <f ca="1">IFERROR(__xludf.DUMMYFUNCTION("""COMPUTED_VALUE"""),"0:1")</f>
        <v>0:1</v>
      </c>
      <c r="G34" s="96"/>
      <c r="H34" s="96"/>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x14ac:dyDescent="0.25">
      <c r="A35" s="4" t="str">
        <f ca="1">IFERROR(__xludf.DUMMYFUNCTION("""COMPUTED_VALUE"""),"Yes")</f>
        <v>Yes</v>
      </c>
      <c r="B35" s="4" t="str">
        <f ca="1">IFERROR(__xludf.DUMMYFUNCTION("""COMPUTED_VALUE"""),"No")</f>
        <v>No</v>
      </c>
      <c r="C35" s="96"/>
      <c r="D35" s="96"/>
      <c r="E35" s="5" t="str">
        <f ca="1">IFERROR(__xludf.DUMMYFUNCTION("""COMPUTED_VALUE"""),"Description")</f>
        <v>Description</v>
      </c>
      <c r="F35" s="97" t="str">
        <f ca="1">IFERROR(__xludf.DUMMYFUNCTION("""COMPUTED_VALUE"""),"0:1")</f>
        <v>0:1</v>
      </c>
      <c r="G35" s="96"/>
      <c r="H35" s="96"/>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row>
    <row r="36" spans="1:41" ht="12.5" x14ac:dyDescent="0.25">
      <c r="A36" s="4" t="str">
        <f ca="1">IFERROR(__xludf.DUMMYFUNCTION("""COMPUTED_VALUE"""),"Yes")</f>
        <v>Yes</v>
      </c>
      <c r="B36" s="4" t="str">
        <f ca="1">IFERROR(__xludf.DUMMYFUNCTION("""COMPUTED_VALUE"""),"Yes")</f>
        <v>Yes</v>
      </c>
      <c r="C36" s="95" t="str">
        <f ca="1">IFERROR(__xludf.DUMMYFUNCTION("""COMPUTED_VALUE"""),"Scope")</f>
        <v>Scope</v>
      </c>
      <c r="D36" s="95" t="str">
        <f ca="1">IFERROR(__xludf.DUMMYFUNCTION("""COMPUTED_VALUE"""),"1")</f>
        <v>1</v>
      </c>
      <c r="E36" s="97" t="str">
        <f ca="1">IFERROR(__xludf.DUMMYFUNCTION("""COMPUTED_VALUE"""),"Product / matrix")</f>
        <v>Product / matrix</v>
      </c>
      <c r="F36" s="97" t="str">
        <f ca="1">IFERROR(__xludf.DUMMYFUNCTION("""COMPUTED_VALUE"""),"1:N")</f>
        <v>1:N</v>
      </c>
      <c r="G36" s="5" t="str">
        <f ca="1">IFERROR(__xludf.DUMMYFUNCTION("""COMPUTED_VALUE"""),"Product/matrix name")</f>
        <v>Product/matrix name</v>
      </c>
      <c r="H36" s="5" t="str">
        <f ca="1">IFERROR(__xludf.DUMMYFUNCTION("""COMPUTED_VALUE"""),"1")</f>
        <v>1</v>
      </c>
      <c r="I36" s="41"/>
      <c r="J36" s="4"/>
      <c r="K36" s="99" t="str">
        <f ca="1">E36</f>
        <v>Product / matrix</v>
      </c>
      <c r="L36" s="96"/>
      <c r="M36" s="96"/>
      <c r="N36" s="96"/>
      <c r="O36" s="96"/>
      <c r="P36" s="96"/>
      <c r="Q36" s="96"/>
      <c r="R36" s="96"/>
      <c r="S36" s="96"/>
      <c r="T36" s="96"/>
      <c r="U36" s="96"/>
      <c r="V36" s="99" t="str">
        <f ca="1">E47</f>
        <v>Hazard</v>
      </c>
      <c r="W36" s="96"/>
      <c r="X36" s="96"/>
      <c r="Y36" s="96"/>
      <c r="Z36" s="96"/>
      <c r="AA36" s="96"/>
      <c r="AB36" s="96"/>
      <c r="AC36" s="96"/>
      <c r="AD36" s="96"/>
      <c r="AE36" s="96"/>
      <c r="AF36" s="96"/>
      <c r="AG36" s="96"/>
      <c r="AH36" s="96"/>
      <c r="AI36" s="96"/>
      <c r="AJ36" s="4"/>
      <c r="AK36" s="4"/>
      <c r="AL36" s="4"/>
      <c r="AM36" s="4"/>
      <c r="AN36" s="4"/>
      <c r="AO36" s="4"/>
    </row>
    <row r="37" spans="1:41" ht="12.5" x14ac:dyDescent="0.25">
      <c r="A37" s="4" t="str">
        <f ca="1">IFERROR(__xludf.DUMMYFUNCTION("""COMPUTED_VALUE"""),"Yes")</f>
        <v>Yes</v>
      </c>
      <c r="B37" s="4" t="str">
        <f ca="1">IFERROR(__xludf.DUMMYFUNCTION("""COMPUTED_VALUE"""),"Yes")</f>
        <v>Yes</v>
      </c>
      <c r="C37" s="96"/>
      <c r="D37" s="96"/>
      <c r="E37" s="96"/>
      <c r="F37" s="96"/>
      <c r="G37" s="5" t="str">
        <f ca="1">IFERROR(__xludf.DUMMYFUNCTION("""COMPUTED_VALUE"""),"Product/matrix description")</f>
        <v>Product/matrix description</v>
      </c>
      <c r="H37" s="5" t="str">
        <f ca="1">IFERROR(__xludf.DUMMYFUNCTION("""COMPUTED_VALUE"""),"0:1")</f>
        <v>0:1</v>
      </c>
      <c r="I37" s="41"/>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row>
    <row r="38" spans="1:41" ht="12.5" x14ac:dyDescent="0.25">
      <c r="A38" s="4" t="str">
        <f ca="1">IFERROR(__xludf.DUMMYFUNCTION("""COMPUTED_VALUE"""),"Yes")</f>
        <v>Yes</v>
      </c>
      <c r="B38" s="4" t="str">
        <f ca="1">IFERROR(__xludf.DUMMYFUNCTION("""COMPUTED_VALUE"""),"Yes")</f>
        <v>Yes</v>
      </c>
      <c r="C38" s="96"/>
      <c r="D38" s="96"/>
      <c r="E38" s="96"/>
      <c r="F38" s="96"/>
      <c r="G38" s="5" t="str">
        <f ca="1">IFERROR(__xludf.DUMMYFUNCTION("""COMPUTED_VALUE"""),"Product/matrix unit")</f>
        <v>Product/matrix unit</v>
      </c>
      <c r="H38" s="5" t="str">
        <f ca="1">IFERROR(__xludf.DUMMYFUNCTION("""COMPUTED_VALUE"""),"1")</f>
        <v>1</v>
      </c>
      <c r="I38" s="41"/>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row>
    <row r="39" spans="1:41" ht="12.5" x14ac:dyDescent="0.25">
      <c r="A39" s="4" t="str">
        <f ca="1">IFERROR(__xludf.DUMMYFUNCTION("""COMPUTED_VALUE"""),"Yes")</f>
        <v>Yes</v>
      </c>
      <c r="B39" s="4" t="str">
        <f ca="1">IFERROR(__xludf.DUMMYFUNCTION("""COMPUTED_VALUE"""),"No")</f>
        <v>No</v>
      </c>
      <c r="C39" s="96"/>
      <c r="D39" s="96"/>
      <c r="E39" s="96"/>
      <c r="F39" s="96"/>
      <c r="G39" s="5" t="str">
        <f ca="1">IFERROR(__xludf.DUMMYFUNCTION("""COMPUTED_VALUE"""),"Method of production")</f>
        <v>Method of production</v>
      </c>
      <c r="H39" s="5" t="str">
        <f ca="1">IFERROR(__xludf.DUMMYFUNCTION("""COMPUTED_VALUE"""),"0:N")</f>
        <v>0:N</v>
      </c>
      <c r="I39" s="41"/>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row>
    <row r="40" spans="1:41" ht="12.5" x14ac:dyDescent="0.25">
      <c r="A40" s="4" t="str">
        <f ca="1">IFERROR(__xludf.DUMMYFUNCTION("""COMPUTED_VALUE"""),"Yes")</f>
        <v>Yes</v>
      </c>
      <c r="B40" s="4" t="str">
        <f ca="1">IFERROR(__xludf.DUMMYFUNCTION("""COMPUTED_VALUE"""),"No")</f>
        <v>No</v>
      </c>
      <c r="C40" s="96"/>
      <c r="D40" s="96"/>
      <c r="E40" s="96"/>
      <c r="F40" s="96"/>
      <c r="G40" s="5" t="str">
        <f ca="1">IFERROR(__xludf.DUMMYFUNCTION("""COMPUTED_VALUE"""),"Packaging")</f>
        <v>Packaging</v>
      </c>
      <c r="H40" s="5" t="str">
        <f ca="1">IFERROR(__xludf.DUMMYFUNCTION("""COMPUTED_VALUE"""),"0:N")</f>
        <v>0:N</v>
      </c>
      <c r="I40" s="41"/>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row>
    <row r="41" spans="1:41" ht="12.5" x14ac:dyDescent="0.25">
      <c r="A41" s="4" t="str">
        <f ca="1">IFERROR(__xludf.DUMMYFUNCTION("""COMPUTED_VALUE"""),"Yes")</f>
        <v>Yes</v>
      </c>
      <c r="B41" s="4" t="str">
        <f ca="1">IFERROR(__xludf.DUMMYFUNCTION("""COMPUTED_VALUE"""),"No")</f>
        <v>No</v>
      </c>
      <c r="C41" s="96"/>
      <c r="D41" s="96"/>
      <c r="E41" s="96"/>
      <c r="F41" s="96"/>
      <c r="G41" s="5" t="str">
        <f ca="1">IFERROR(__xludf.DUMMYFUNCTION("""COMPUTED_VALUE"""),"Product treatment")</f>
        <v>Product treatment</v>
      </c>
      <c r="H41" s="5" t="str">
        <f ca="1">IFERROR(__xludf.DUMMYFUNCTION("""COMPUTED_VALUE"""),"0:N")</f>
        <v>0:N</v>
      </c>
      <c r="I41" s="41"/>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row>
    <row r="42" spans="1:41" ht="12.5" x14ac:dyDescent="0.25">
      <c r="A42" s="4" t="str">
        <f ca="1">IFERROR(__xludf.DUMMYFUNCTION("""COMPUTED_VALUE"""),"Yes")</f>
        <v>Yes</v>
      </c>
      <c r="B42" s="4" t="str">
        <f ca="1">IFERROR(__xludf.DUMMYFUNCTION("""COMPUTED_VALUE"""),"No")</f>
        <v>No</v>
      </c>
      <c r="C42" s="96"/>
      <c r="D42" s="96"/>
      <c r="E42" s="96"/>
      <c r="F42" s="96"/>
      <c r="G42" s="5" t="str">
        <f ca="1">IFERROR(__xludf.DUMMYFUNCTION("""COMPUTED_VALUE"""),"Country of origin")</f>
        <v>Country of origin</v>
      </c>
      <c r="H42" s="5" t="str">
        <f ca="1">IFERROR(__xludf.DUMMYFUNCTION("""COMPUTED_VALUE"""),"0:1")</f>
        <v>0:1</v>
      </c>
      <c r="I42" s="41"/>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row>
    <row r="43" spans="1:41" ht="12.5" x14ac:dyDescent="0.25">
      <c r="A43" s="4" t="str">
        <f ca="1">IFERROR(__xludf.DUMMYFUNCTION("""COMPUTED_VALUE"""),"Yes")</f>
        <v>Yes</v>
      </c>
      <c r="B43" s="4" t="str">
        <f ca="1">IFERROR(__xludf.DUMMYFUNCTION("""COMPUTED_VALUE"""),"No")</f>
        <v>No</v>
      </c>
      <c r="C43" s="96"/>
      <c r="D43" s="96"/>
      <c r="E43" s="96"/>
      <c r="F43" s="96"/>
      <c r="G43" s="5" t="str">
        <f ca="1">IFERROR(__xludf.DUMMYFUNCTION("""COMPUTED_VALUE"""),"Area of origin")</f>
        <v>Area of origin</v>
      </c>
      <c r="H43" s="5" t="str">
        <f ca="1">IFERROR(__xludf.DUMMYFUNCTION("""COMPUTED_VALUE"""),"0:1")</f>
        <v>0:1</v>
      </c>
      <c r="I43" s="41"/>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row>
    <row r="44" spans="1:41" ht="12.5" x14ac:dyDescent="0.25">
      <c r="A44" s="4" t="str">
        <f ca="1">IFERROR(__xludf.DUMMYFUNCTION("""COMPUTED_VALUE"""),"Yes")</f>
        <v>Yes</v>
      </c>
      <c r="B44" s="4" t="str">
        <f ca="1">IFERROR(__xludf.DUMMYFUNCTION("""COMPUTED_VALUE"""),"No")</f>
        <v>No</v>
      </c>
      <c r="C44" s="96"/>
      <c r="D44" s="96"/>
      <c r="E44" s="96"/>
      <c r="F44" s="96"/>
      <c r="G44" s="5" t="str">
        <f ca="1">IFERROR(__xludf.DUMMYFUNCTION("""COMPUTED_VALUE"""),"Fisheries area")</f>
        <v>Fisheries area</v>
      </c>
      <c r="H44" s="5" t="str">
        <f ca="1">IFERROR(__xludf.DUMMYFUNCTION("""COMPUTED_VALUE"""),"0:1")</f>
        <v>0:1</v>
      </c>
      <c r="I44" s="41"/>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row>
    <row r="45" spans="1:41" ht="12.5" x14ac:dyDescent="0.25">
      <c r="A45" s="4" t="str">
        <f ca="1">IFERROR(__xludf.DUMMYFUNCTION("""COMPUTED_VALUE"""),"Yes")</f>
        <v>Yes</v>
      </c>
      <c r="B45" s="4" t="str">
        <f ca="1">IFERROR(__xludf.DUMMYFUNCTION("""COMPUTED_VALUE"""),"No")</f>
        <v>No</v>
      </c>
      <c r="C45" s="96"/>
      <c r="D45" s="96"/>
      <c r="E45" s="96"/>
      <c r="F45" s="96"/>
      <c r="G45" s="5" t="str">
        <f ca="1">IFERROR(__xludf.DUMMYFUNCTION("""COMPUTED_VALUE"""),"Date of production")</f>
        <v>Date of production</v>
      </c>
      <c r="H45" s="5" t="str">
        <f ca="1">IFERROR(__xludf.DUMMYFUNCTION("""COMPUTED_VALUE"""),"0:1")</f>
        <v>0:1</v>
      </c>
      <c r="I45" s="41"/>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row>
    <row r="46" spans="1:41" ht="12.5" x14ac:dyDescent="0.25">
      <c r="A46" s="4" t="str">
        <f ca="1">IFERROR(__xludf.DUMMYFUNCTION("""COMPUTED_VALUE"""),"Yes")</f>
        <v>Yes</v>
      </c>
      <c r="B46" s="4" t="str">
        <f ca="1">IFERROR(__xludf.DUMMYFUNCTION("""COMPUTED_VALUE"""),"No")</f>
        <v>No</v>
      </c>
      <c r="C46" s="96"/>
      <c r="D46" s="96"/>
      <c r="E46" s="96"/>
      <c r="F46" s="96"/>
      <c r="G46" s="5" t="str">
        <f ca="1">IFERROR(__xludf.DUMMYFUNCTION("""COMPUTED_VALUE"""),"Date of expiry")</f>
        <v>Date of expiry</v>
      </c>
      <c r="H46" s="5" t="str">
        <f ca="1">IFERROR(__xludf.DUMMYFUNCTION("""COMPUTED_VALUE"""),"0:1")</f>
        <v>0:1</v>
      </c>
      <c r="I46" s="41"/>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row>
    <row r="47" spans="1:41" ht="12.5" x14ac:dyDescent="0.25">
      <c r="A47" s="4" t="str">
        <f ca="1">IFERROR(__xludf.DUMMYFUNCTION("""COMPUTED_VALUE"""),"Yes")</f>
        <v>Yes</v>
      </c>
      <c r="B47" s="4" t="str">
        <f ca="1">IFERROR(__xludf.DUMMYFUNCTION("""COMPUTED_VALUE"""),"No")</f>
        <v>No</v>
      </c>
      <c r="C47" s="96"/>
      <c r="D47" s="96"/>
      <c r="E47" s="97" t="str">
        <f ca="1">IFERROR(__xludf.DUMMYFUNCTION("""COMPUTED_VALUE"""),"Hazard")</f>
        <v>Hazard</v>
      </c>
      <c r="F47" s="97" t="str">
        <f ca="1">IFERROR(__xludf.DUMMYFUNCTION("""COMPUTED_VALUE"""),"0:N")</f>
        <v>0:N</v>
      </c>
      <c r="G47" s="5" t="str">
        <f ca="1">IFERROR(__xludf.DUMMYFUNCTION("""COMPUTED_VALUE"""),"Hazard type")</f>
        <v>Hazard type</v>
      </c>
      <c r="H47" s="5" t="str">
        <f ca="1">IFERROR(__xludf.DUMMYFUNCTION("""COMPUTED_VALUE"""),"0:1")</f>
        <v>0:1</v>
      </c>
      <c r="I47" s="41"/>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row>
    <row r="48" spans="1:41" ht="12.5" x14ac:dyDescent="0.25">
      <c r="A48" s="4" t="str">
        <f ca="1">IFERROR(__xludf.DUMMYFUNCTION("""COMPUTED_VALUE"""),"Yes")</f>
        <v>Yes</v>
      </c>
      <c r="B48" s="4" t="str">
        <f ca="1">IFERROR(__xludf.DUMMYFUNCTION("""COMPUTED_VALUE"""),"Yes")</f>
        <v>Yes</v>
      </c>
      <c r="C48" s="96"/>
      <c r="D48" s="96"/>
      <c r="E48" s="96"/>
      <c r="F48" s="96"/>
      <c r="G48" s="5" t="str">
        <f ca="1">IFERROR(__xludf.DUMMYFUNCTION("""COMPUTED_VALUE"""),"Hazard name")</f>
        <v>Hazard name</v>
      </c>
      <c r="H48" s="5" t="str">
        <f ca="1">IFERROR(__xludf.DUMMYFUNCTION("""COMPUTED_VALUE"""),"1")</f>
        <v>1</v>
      </c>
      <c r="I48" s="41"/>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row>
    <row r="49" spans="1:41" ht="12.5" x14ac:dyDescent="0.25">
      <c r="A49" s="4" t="str">
        <f ca="1">IFERROR(__xludf.DUMMYFUNCTION("""COMPUTED_VALUE"""),"Yes")</f>
        <v>Yes</v>
      </c>
      <c r="B49" s="4" t="str">
        <f ca="1">IFERROR(__xludf.DUMMYFUNCTION("""COMPUTED_VALUE"""),"No")</f>
        <v>No</v>
      </c>
      <c r="C49" s="96"/>
      <c r="D49" s="96"/>
      <c r="E49" s="96"/>
      <c r="F49" s="96"/>
      <c r="G49" s="5" t="str">
        <f ca="1">IFERROR(__xludf.DUMMYFUNCTION("""COMPUTED_VALUE"""),"Hazard description")</f>
        <v>Hazard description</v>
      </c>
      <c r="H49" s="5" t="str">
        <f ca="1">IFERROR(__xludf.DUMMYFUNCTION("""COMPUTED_VALUE"""),"0:1")</f>
        <v>0:1</v>
      </c>
      <c r="I49" s="41"/>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row>
    <row r="50" spans="1:41" ht="12.5" x14ac:dyDescent="0.25">
      <c r="A50" s="4" t="str">
        <f ca="1">IFERROR(__xludf.DUMMYFUNCTION("""COMPUTED_VALUE"""),"Yes")</f>
        <v>Yes</v>
      </c>
      <c r="B50" s="4" t="str">
        <f ca="1">IFERROR(__xludf.DUMMYFUNCTION("""COMPUTED_VALUE"""),"No")</f>
        <v>No</v>
      </c>
      <c r="C50" s="96"/>
      <c r="D50" s="96"/>
      <c r="E50" s="96"/>
      <c r="F50" s="96"/>
      <c r="G50" s="5" t="str">
        <f ca="1">IFERROR(__xludf.DUMMYFUNCTION("""COMPUTED_VALUE"""),"Hazard unit")</f>
        <v>Hazard unit</v>
      </c>
      <c r="H50" s="5" t="str">
        <f ca="1">IFERROR(__xludf.DUMMYFUNCTION("""COMPUTED_VALUE"""),"0:1")</f>
        <v>0:1</v>
      </c>
      <c r="I50" s="41"/>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row>
    <row r="51" spans="1:41" ht="12.5" x14ac:dyDescent="0.25">
      <c r="A51" s="4" t="str">
        <f ca="1">IFERROR(__xludf.DUMMYFUNCTION("""COMPUTED_VALUE"""),"Yes")</f>
        <v>Yes</v>
      </c>
      <c r="B51" s="4" t="str">
        <f ca="1">IFERROR(__xludf.DUMMYFUNCTION("""COMPUTED_VALUE"""),"No")</f>
        <v>No</v>
      </c>
      <c r="C51" s="96"/>
      <c r="D51" s="96"/>
      <c r="E51" s="96"/>
      <c r="F51" s="96"/>
      <c r="G51" s="5" t="str">
        <f ca="1">IFERROR(__xludf.DUMMYFUNCTION("""COMPUTED_VALUE"""),"Adverse effect")</f>
        <v>Adverse effect</v>
      </c>
      <c r="H51" s="5" t="str">
        <f ca="1">IFERROR(__xludf.DUMMYFUNCTION("""COMPUTED_VALUE"""),"0:1")</f>
        <v>0:1</v>
      </c>
      <c r="I51" s="41"/>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x14ac:dyDescent="0.25">
      <c r="A52" s="4" t="str">
        <f ca="1">IFERROR(__xludf.DUMMYFUNCTION("""COMPUTED_VALUE"""),"Yes")</f>
        <v>Yes</v>
      </c>
      <c r="B52" s="4" t="str">
        <f ca="1">IFERROR(__xludf.DUMMYFUNCTION("""COMPUTED_VALUE"""),"No")</f>
        <v>No</v>
      </c>
      <c r="C52" s="96"/>
      <c r="D52" s="96"/>
      <c r="E52" s="96"/>
      <c r="F52" s="96"/>
      <c r="G52" s="5" t="str">
        <f ca="1">IFERROR(__xludf.DUMMYFUNCTION("""COMPUTED_VALUE"""),"Source of contamination")</f>
        <v>Source of contamination</v>
      </c>
      <c r="H52" s="5" t="str">
        <f ca="1">IFERROR(__xludf.DUMMYFUNCTION("""COMPUTED_VALUE"""),"0:1")</f>
        <v>0:1</v>
      </c>
      <c r="I52" s="41"/>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x14ac:dyDescent="0.25">
      <c r="A53" s="4" t="str">
        <f ca="1">IFERROR(__xludf.DUMMYFUNCTION("""COMPUTED_VALUE"""),"Yes")</f>
        <v>Yes</v>
      </c>
      <c r="B53" s="4" t="str">
        <f ca="1">IFERROR(__xludf.DUMMYFUNCTION("""COMPUTED_VALUE"""),"No")</f>
        <v>No</v>
      </c>
      <c r="C53" s="96"/>
      <c r="D53" s="96"/>
      <c r="E53" s="96"/>
      <c r="F53" s="96"/>
      <c r="G53" s="5" t="str">
        <f ca="1">IFERROR(__xludf.DUMMYFUNCTION("""COMPUTED_VALUE"""),"Benchmark Dose (BMD)")</f>
        <v>Benchmark Dose (BMD)</v>
      </c>
      <c r="H53" s="5" t="str">
        <f ca="1">IFERROR(__xludf.DUMMYFUNCTION("""COMPUTED_VALUE"""),"0:1")</f>
        <v>0:1</v>
      </c>
      <c r="I53" s="41"/>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x14ac:dyDescent="0.25">
      <c r="A54" s="4" t="str">
        <f ca="1">IFERROR(__xludf.DUMMYFUNCTION("""COMPUTED_VALUE"""),"Yes")</f>
        <v>Yes</v>
      </c>
      <c r="B54" s="4" t="str">
        <f ca="1">IFERROR(__xludf.DUMMYFUNCTION("""COMPUTED_VALUE"""),"No")</f>
        <v>No</v>
      </c>
      <c r="C54" s="96"/>
      <c r="D54" s="96"/>
      <c r="E54" s="96"/>
      <c r="F54" s="96"/>
      <c r="G54" s="5" t="str">
        <f ca="1">IFERROR(__xludf.DUMMYFUNCTION("""COMPUTED_VALUE"""),"Maximum Residue Limit (MRL)")</f>
        <v>Maximum Residue Limit (MRL)</v>
      </c>
      <c r="H54" s="5" t="str">
        <f ca="1">IFERROR(__xludf.DUMMYFUNCTION("""COMPUTED_VALUE"""),"0:1")</f>
        <v>0:1</v>
      </c>
      <c r="I54" s="41"/>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x14ac:dyDescent="0.25">
      <c r="A55" s="4" t="str">
        <f ca="1">IFERROR(__xludf.DUMMYFUNCTION("""COMPUTED_VALUE"""),"Yes")</f>
        <v>Yes</v>
      </c>
      <c r="B55" s="4" t="str">
        <f ca="1">IFERROR(__xludf.DUMMYFUNCTION("""COMPUTED_VALUE"""),"No")</f>
        <v>No</v>
      </c>
      <c r="C55" s="96"/>
      <c r="D55" s="96"/>
      <c r="E55" s="96"/>
      <c r="F55" s="96"/>
      <c r="G55" s="5" t="str">
        <f ca="1">IFERROR(__xludf.DUMMYFUNCTION("""COMPUTED_VALUE"""),"No Observed Adverse Affect Level (NOAEL)")</f>
        <v>No Observed Adverse Affect Level (NOAEL)</v>
      </c>
      <c r="H55" s="5" t="str">
        <f ca="1">IFERROR(__xludf.DUMMYFUNCTION("""COMPUTED_VALUE"""),"0:1")</f>
        <v>0:1</v>
      </c>
      <c r="I55" s="41"/>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x14ac:dyDescent="0.25">
      <c r="A56" s="4" t="str">
        <f ca="1">IFERROR(__xludf.DUMMYFUNCTION("""COMPUTED_VALUE"""),"Yes")</f>
        <v>Yes</v>
      </c>
      <c r="B56" s="4" t="str">
        <f ca="1">IFERROR(__xludf.DUMMYFUNCTION("""COMPUTED_VALUE"""),"No")</f>
        <v>No</v>
      </c>
      <c r="C56" s="96"/>
      <c r="D56" s="96"/>
      <c r="E56" s="96"/>
      <c r="F56" s="96"/>
      <c r="G56" s="5" t="str">
        <f ca="1">IFERROR(__xludf.DUMMYFUNCTION("""COMPUTED_VALUE"""),"Lowest Observed Adverse Effect Level (LOAEL)")</f>
        <v>Lowest Observed Adverse Effect Level (LOAEL)</v>
      </c>
      <c r="H56" s="5" t="str">
        <f ca="1">IFERROR(__xludf.DUMMYFUNCTION("""COMPUTED_VALUE"""),"0:1")</f>
        <v>0:1</v>
      </c>
      <c r="I56" s="41"/>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x14ac:dyDescent="0.25">
      <c r="A57" s="4" t="str">
        <f ca="1">IFERROR(__xludf.DUMMYFUNCTION("""COMPUTED_VALUE"""),"Yes")</f>
        <v>Yes</v>
      </c>
      <c r="B57" s="4" t="str">
        <f ca="1">IFERROR(__xludf.DUMMYFUNCTION("""COMPUTED_VALUE"""),"No")</f>
        <v>No</v>
      </c>
      <c r="C57" s="96"/>
      <c r="D57" s="96"/>
      <c r="E57" s="96"/>
      <c r="F57" s="96"/>
      <c r="G57" s="5" t="str">
        <f ca="1">IFERROR(__xludf.DUMMYFUNCTION("""COMPUTED_VALUE"""),"Acceptable Operator Exposure Level (AOEL)")</f>
        <v>Acceptable Operator Exposure Level (AOEL)</v>
      </c>
      <c r="H57" s="5" t="str">
        <f ca="1">IFERROR(__xludf.DUMMYFUNCTION("""COMPUTED_VALUE"""),"0:1")</f>
        <v>0:1</v>
      </c>
      <c r="I57" s="41"/>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x14ac:dyDescent="0.25">
      <c r="A58" s="4" t="str">
        <f ca="1">IFERROR(__xludf.DUMMYFUNCTION("""COMPUTED_VALUE"""),"Yes")</f>
        <v>Yes</v>
      </c>
      <c r="B58" s="4" t="str">
        <f ca="1">IFERROR(__xludf.DUMMYFUNCTION("""COMPUTED_VALUE"""),"No")</f>
        <v>No</v>
      </c>
      <c r="C58" s="96"/>
      <c r="D58" s="96"/>
      <c r="E58" s="96"/>
      <c r="F58" s="96"/>
      <c r="G58" s="5" t="str">
        <f ca="1">IFERROR(__xludf.DUMMYFUNCTION("""COMPUTED_VALUE"""),"Acute Reference Dose (ARfD)")</f>
        <v>Acute Reference Dose (ARfD)</v>
      </c>
      <c r="H58" s="5" t="str">
        <f ca="1">IFERROR(__xludf.DUMMYFUNCTION("""COMPUTED_VALUE"""),"0:1")</f>
        <v>0:1</v>
      </c>
      <c r="I58" s="41"/>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x14ac:dyDescent="0.25">
      <c r="A59" s="4" t="str">
        <f ca="1">IFERROR(__xludf.DUMMYFUNCTION("""COMPUTED_VALUE"""),"Yes")</f>
        <v>Yes</v>
      </c>
      <c r="B59" s="4" t="str">
        <f ca="1">IFERROR(__xludf.DUMMYFUNCTION("""COMPUTED_VALUE"""),"No")</f>
        <v>No</v>
      </c>
      <c r="C59" s="96"/>
      <c r="D59" s="96"/>
      <c r="E59" s="96"/>
      <c r="F59" s="96"/>
      <c r="G59" s="5" t="str">
        <f ca="1">IFERROR(__xludf.DUMMYFUNCTION("""COMPUTED_VALUE"""),"Acceptable Daily Intake (ADI)")</f>
        <v>Acceptable Daily Intake (ADI)</v>
      </c>
      <c r="H59" s="5" t="str">
        <f ca="1">IFERROR(__xludf.DUMMYFUNCTION("""COMPUTED_VALUE"""),"0:1")</f>
        <v>0:1</v>
      </c>
      <c r="I59" s="41"/>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x14ac:dyDescent="0.25">
      <c r="A60" s="4" t="str">
        <f ca="1">IFERROR(__xludf.DUMMYFUNCTION("""COMPUTED_VALUE"""),"Yes")</f>
        <v>Yes</v>
      </c>
      <c r="B60" s="4" t="str">
        <f ca="1">IFERROR(__xludf.DUMMYFUNCTION("""COMPUTED_VALUE"""),"No")</f>
        <v>No</v>
      </c>
      <c r="C60" s="96"/>
      <c r="D60" s="96"/>
      <c r="E60" s="96"/>
      <c r="F60" s="96"/>
      <c r="G60" s="5" t="str">
        <f ca="1">IFERROR(__xludf.DUMMYFUNCTION("""COMPUTED_VALUE"""),"Hazard ind/sum")</f>
        <v>Hazard ind/sum</v>
      </c>
      <c r="H60" s="5" t="str">
        <f ca="1">IFERROR(__xludf.DUMMYFUNCTION("""COMPUTED_VALUE"""),"0:1")</f>
        <v>0:1</v>
      </c>
      <c r="I60" s="41"/>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x14ac:dyDescent="0.25">
      <c r="A61" s="4" t="str">
        <f ca="1">IFERROR(__xludf.DUMMYFUNCTION("""COMPUTED_VALUE"""),"Yes")</f>
        <v>Yes</v>
      </c>
      <c r="B61" s="4" t="str">
        <f ca="1">IFERROR(__xludf.DUMMYFUNCTION("""COMPUTED_VALUE"""),"No")</f>
        <v>No</v>
      </c>
      <c r="C61" s="96"/>
      <c r="D61" s="96"/>
      <c r="E61" s="5" t="str">
        <f ca="1">IFERROR(__xludf.DUMMYFUNCTION("""COMPUTED_VALUE"""),"General comment")</f>
        <v>General comment</v>
      </c>
      <c r="F61" s="97" t="str">
        <f ca="1">IFERROR(__xludf.DUMMYFUNCTION("""COMPUTED_VALUE"""),"0:1")</f>
        <v>0:1</v>
      </c>
      <c r="G61" s="96"/>
      <c r="H61" s="96"/>
      <c r="I61" s="11"/>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x14ac:dyDescent="0.25">
      <c r="A62" s="4" t="str">
        <f ca="1">IFERROR(__xludf.DUMMYFUNCTION("""COMPUTED_VALUE"""),"Yes")</f>
        <v>Yes</v>
      </c>
      <c r="B62" s="4" t="str">
        <f ca="1">IFERROR(__xludf.DUMMYFUNCTION("""COMPUTED_VALUE"""),"No")</f>
        <v>No</v>
      </c>
      <c r="C62" s="96"/>
      <c r="D62" s="96"/>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10"/>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x14ac:dyDescent="0.25">
      <c r="A63" s="4" t="str">
        <f ca="1">IFERROR(__xludf.DUMMYFUNCTION("""COMPUTED_VALUE"""),"Yes")</f>
        <v>Yes</v>
      </c>
      <c r="B63" s="4" t="str">
        <f ca="1">IFERROR(__xludf.DUMMYFUNCTION("""COMPUTED_VALUE"""),"No")</f>
        <v>No</v>
      </c>
      <c r="C63" s="96"/>
      <c r="D63" s="96"/>
      <c r="E63" s="97" t="str">
        <f ca="1">IFERROR(__xludf.DUMMYFUNCTION("""COMPUTED_VALUE"""),"Spatial information")</f>
        <v>Spatial information</v>
      </c>
      <c r="F63" s="97" t="str">
        <f ca="1">IFERROR(__xludf.DUMMYFUNCTION("""COMPUTED_VALUE"""),"0:1")</f>
        <v>0:1</v>
      </c>
      <c r="G63" s="5" t="str">
        <f ca="1">IFERROR(__xludf.DUMMYFUNCTION("""COMPUTED_VALUE"""),"Region")</f>
        <v>Region</v>
      </c>
      <c r="H63" s="5" t="str">
        <f ca="1">IFERROR(__xludf.DUMMYFUNCTION("""COMPUTED_VALUE"""),"0:N")</f>
        <v>0:N</v>
      </c>
      <c r="I63" s="15"/>
      <c r="J63" s="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x14ac:dyDescent="0.25">
      <c r="A64" s="4" t="str">
        <f ca="1">IFERROR(__xludf.DUMMYFUNCTION("""COMPUTED_VALUE"""),"Yes")</f>
        <v>Yes</v>
      </c>
      <c r="B64" s="4" t="str">
        <f ca="1">IFERROR(__xludf.DUMMYFUNCTION("""COMPUTED_VALUE"""),"No")</f>
        <v>No</v>
      </c>
      <c r="C64" s="96"/>
      <c r="D64" s="96"/>
      <c r="E64" s="96"/>
      <c r="F64" s="96"/>
      <c r="G64" s="5" t="str">
        <f ca="1">IFERROR(__xludf.DUMMYFUNCTION("""COMPUTED_VALUE"""),"Country")</f>
        <v>Country</v>
      </c>
      <c r="H64" s="5" t="str">
        <f ca="1">IFERROR(__xludf.DUMMYFUNCTION("""COMPUTED_VALUE"""),"0:N")</f>
        <v>0:N</v>
      </c>
      <c r="I64" s="10"/>
      <c r="J64" s="5"/>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x14ac:dyDescent="0.25">
      <c r="A65" s="4" t="str">
        <f ca="1">IFERROR(__xludf.DUMMYFUNCTION("""COMPUTED_VALUE"""),"Yes")</f>
        <v>Yes</v>
      </c>
      <c r="B65" s="4" t="str">
        <f ca="1">IFERROR(__xludf.DUMMYFUNCTION("""COMPUTED_VALUE"""),"No")</f>
        <v>No</v>
      </c>
      <c r="C65" s="95" t="str">
        <f ca="1">IFERROR(__xludf.DUMMYFUNCTION("""COMPUTED_VALUE"""),"Data_background")</f>
        <v>Data_background</v>
      </c>
      <c r="D65" s="95" t="str">
        <f ca="1">IFERROR(__xludf.DUMMYFUNCTION("""COMPUTED_VALUE"""),"0:1")</f>
        <v>0:1</v>
      </c>
      <c r="E65" s="97" t="str">
        <f ca="1">IFERROR(__xludf.DUMMYFUNCTION("""COMPUTED_VALUE"""),"Study")</f>
        <v>Study</v>
      </c>
      <c r="F65" s="97" t="str">
        <f ca="1">IFERROR(__xludf.DUMMYFUNCTION("""COMPUTED_VALUE"""),"1")</f>
        <v>1</v>
      </c>
      <c r="G65" s="5" t="str">
        <f ca="1">IFERROR(__xludf.DUMMYFUNCTION("""COMPUTED_VALUE"""),"Study Identifier")</f>
        <v>Study Identifier</v>
      </c>
      <c r="H65" s="5" t="str">
        <f ca="1">IFERROR(__xludf.DUMMYFUNCTION("""COMPUTED_VALUE"""),"0:1")</f>
        <v>0:1</v>
      </c>
      <c r="I65" s="11"/>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x14ac:dyDescent="0.25">
      <c r="A66" s="4" t="str">
        <f ca="1">IFERROR(__xludf.DUMMYFUNCTION("""COMPUTED_VALUE"""),"Yes")</f>
        <v>Yes</v>
      </c>
      <c r="B66" s="4" t="str">
        <f ca="1">IFERROR(__xludf.DUMMYFUNCTION("""COMPUTED_VALUE"""),"No")</f>
        <v>No</v>
      </c>
      <c r="C66" s="96"/>
      <c r="D66" s="96"/>
      <c r="E66" s="96"/>
      <c r="F66" s="96"/>
      <c r="G66" s="5" t="str">
        <f ca="1">IFERROR(__xludf.DUMMYFUNCTION("""COMPUTED_VALUE"""),"Study Title")</f>
        <v>Study Title</v>
      </c>
      <c r="H66" s="5" t="str">
        <f ca="1">IFERROR(__xludf.DUMMYFUNCTION("""COMPUTED_VALUE"""),"1")</f>
        <v>1</v>
      </c>
      <c r="I66" s="11"/>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x14ac:dyDescent="0.25">
      <c r="A67" s="4" t="str">
        <f ca="1">IFERROR(__xludf.DUMMYFUNCTION("""COMPUTED_VALUE"""),"Yes")</f>
        <v>Yes</v>
      </c>
      <c r="B67" s="4" t="str">
        <f ca="1">IFERROR(__xludf.DUMMYFUNCTION("""COMPUTED_VALUE"""),"No")</f>
        <v>No</v>
      </c>
      <c r="C67" s="96"/>
      <c r="D67" s="96"/>
      <c r="E67" s="96"/>
      <c r="F67" s="96"/>
      <c r="G67" s="5" t="str">
        <f ca="1">IFERROR(__xludf.DUMMYFUNCTION("""COMPUTED_VALUE"""),"Study Description")</f>
        <v>Study Description</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x14ac:dyDescent="0.25">
      <c r="A68" s="4" t="str">
        <f ca="1">IFERROR(__xludf.DUMMYFUNCTION("""COMPUTED_VALUE"""),"Yes")</f>
        <v>Yes</v>
      </c>
      <c r="B68" s="4" t="str">
        <f ca="1">IFERROR(__xludf.DUMMYFUNCTION("""COMPUTED_VALUE"""),"No")</f>
        <v>No</v>
      </c>
      <c r="C68" s="96"/>
      <c r="D68" s="96"/>
      <c r="E68" s="96"/>
      <c r="F68" s="96"/>
      <c r="G68" s="5" t="str">
        <f ca="1">IFERROR(__xludf.DUMMYFUNCTION("""COMPUTED_VALUE"""),"Study Design Type")</f>
        <v>Study Design Type</v>
      </c>
      <c r="H68" s="5" t="str">
        <f ca="1">IFERROR(__xludf.DUMMYFUNCTION("""COMPUTED_VALUE"""),"0:1")</f>
        <v>0:1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x14ac:dyDescent="0.25">
      <c r="A69" s="4" t="str">
        <f ca="1">IFERROR(__xludf.DUMMYFUNCTION("""COMPUTED_VALUE"""),"Yes")</f>
        <v>Yes</v>
      </c>
      <c r="B69" s="4" t="str">
        <f ca="1">IFERROR(__xludf.DUMMYFUNCTION("""COMPUTED_VALUE"""),"No")</f>
        <v>No</v>
      </c>
      <c r="C69" s="96"/>
      <c r="D69" s="96"/>
      <c r="E69" s="96"/>
      <c r="F69" s="96"/>
      <c r="G69" s="5" t="str">
        <f ca="1">IFERROR(__xludf.DUMMYFUNCTION("""COMPUTED_VALUE"""),"Study Assay Measurement Type")</f>
        <v>Study Assay Measurement Type</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x14ac:dyDescent="0.25">
      <c r="A70" s="4" t="str">
        <f ca="1">IFERROR(__xludf.DUMMYFUNCTION("""COMPUTED_VALUE"""),"Yes")</f>
        <v>Yes</v>
      </c>
      <c r="B70" s="4" t="str">
        <f ca="1">IFERROR(__xludf.DUMMYFUNCTION("""COMPUTED_VALUE"""),"No")</f>
        <v>No</v>
      </c>
      <c r="C70" s="96"/>
      <c r="D70" s="96"/>
      <c r="E70" s="96"/>
      <c r="F70" s="96"/>
      <c r="G70" s="5" t="str">
        <f ca="1">IFERROR(__xludf.DUMMYFUNCTION("""COMPUTED_VALUE"""),"Study Assay Technology Type")</f>
        <v>Study Assay Technology Type</v>
      </c>
      <c r="H70" s="5" t="str">
        <f ca="1">IFERROR(__xludf.DUMMYFUNCTION("""COMPUTED_VALUE"""),"0:1")</f>
        <v>0:1</v>
      </c>
      <c r="I70" s="10"/>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x14ac:dyDescent="0.25">
      <c r="A71" s="4" t="str">
        <f ca="1">IFERROR(__xludf.DUMMYFUNCTION("""COMPUTED_VALUE"""),"Yes")</f>
        <v>Yes</v>
      </c>
      <c r="B71" s="4" t="str">
        <f ca="1">IFERROR(__xludf.DUMMYFUNCTION("""COMPUTED_VALUE"""),"No")</f>
        <v>No</v>
      </c>
      <c r="C71" s="96"/>
      <c r="D71" s="96"/>
      <c r="E71" s="96"/>
      <c r="F71" s="96"/>
      <c r="G71" s="5" t="str">
        <f ca="1">IFERROR(__xludf.DUMMYFUNCTION("""COMPUTED_VALUE"""),"Study Assay Technology Platform")</f>
        <v>Study Assay Technology Platform</v>
      </c>
      <c r="H71" s="5" t="str">
        <f ca="1">IFERROR(__xludf.DUMMYFUNCTION("""COMPUTED_VALUE"""),"0:1")</f>
        <v>0:1</v>
      </c>
      <c r="I71" s="10"/>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x14ac:dyDescent="0.25">
      <c r="A72" s="4" t="str">
        <f ca="1">IFERROR(__xludf.DUMMYFUNCTION("""COMPUTED_VALUE"""),"Yes")</f>
        <v>Yes</v>
      </c>
      <c r="B72" s="4" t="str">
        <f ca="1">IFERROR(__xludf.DUMMYFUNCTION("""COMPUTED_VALUE"""),"No")</f>
        <v>No</v>
      </c>
      <c r="C72" s="96"/>
      <c r="D72" s="96"/>
      <c r="E72" s="96"/>
      <c r="F72" s="96"/>
      <c r="G72" s="5" t="str">
        <f ca="1">IFERROR(__xludf.DUMMYFUNCTION("""COMPUTED_VALUE"""),"Accreditation procedure for the assay technology")</f>
        <v>Accreditation procedure for the assay technology</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x14ac:dyDescent="0.25">
      <c r="A73" s="4" t="str">
        <f ca="1">IFERROR(__xludf.DUMMYFUNCTION("""COMPUTED_VALUE"""),"Yes")</f>
        <v>Yes</v>
      </c>
      <c r="B73" s="4" t="str">
        <f ca="1">IFERROR(__xludf.DUMMYFUNCTION("""COMPUTED_VALUE"""),"No")</f>
        <v>No</v>
      </c>
      <c r="C73" s="96"/>
      <c r="D73" s="96"/>
      <c r="E73" s="96"/>
      <c r="F73" s="96"/>
      <c r="G73" s="5" t="str">
        <f ca="1">IFERROR(__xludf.DUMMYFUNCTION("""COMPUTED_VALUE"""),"Study Protocol Name")</f>
        <v>Study Protocol Name</v>
      </c>
      <c r="H73" s="5" t="str">
        <f ca="1">IFERROR(__xludf.DUMMYFUNCTION("""COMPUTED_VALUE"""),"0:1")</f>
        <v>0:1</v>
      </c>
      <c r="I73" s="11"/>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x14ac:dyDescent="0.25">
      <c r="A74" s="4" t="str">
        <f ca="1">IFERROR(__xludf.DUMMYFUNCTION("""COMPUTED_VALUE"""),"Yes")</f>
        <v>Yes</v>
      </c>
      <c r="B74" s="4" t="str">
        <f ca="1">IFERROR(__xludf.DUMMYFUNCTION("""COMPUTED_VALUE"""),"No")</f>
        <v>No</v>
      </c>
      <c r="C74" s="96"/>
      <c r="D74" s="96"/>
      <c r="E74" s="96"/>
      <c r="F74" s="96"/>
      <c r="G74" s="5" t="str">
        <f ca="1">IFERROR(__xludf.DUMMYFUNCTION("""COMPUTED_VALUE"""),"Study Protocol Type")</f>
        <v>Study Protocol Type</v>
      </c>
      <c r="H74" s="5" t="str">
        <f ca="1">IFERROR(__xludf.DUMMYFUNCTION("""COMPUTED_VALUE"""),"0:1")</f>
        <v>0:1</v>
      </c>
      <c r="I74" s="11"/>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x14ac:dyDescent="0.25">
      <c r="A75" s="4" t="str">
        <f ca="1">IFERROR(__xludf.DUMMYFUNCTION("""COMPUTED_VALUE"""),"Yes")</f>
        <v>Yes</v>
      </c>
      <c r="B75" s="4" t="str">
        <f ca="1">IFERROR(__xludf.DUMMYFUNCTION("""COMPUTED_VALUE"""),"No")</f>
        <v>No</v>
      </c>
      <c r="C75" s="96"/>
      <c r="D75" s="96"/>
      <c r="E75" s="96"/>
      <c r="F75" s="96"/>
      <c r="G75" s="5" t="str">
        <f ca="1">IFERROR(__xludf.DUMMYFUNCTION("""COMPUTED_VALUE"""),"Study Protocol Description")</f>
        <v>Study Protocol Description</v>
      </c>
      <c r="H75" s="5" t="str">
        <f ca="1">IFERROR(__xludf.DUMMYFUNCTION("""COMPUTED_VALUE"""),"0:1")</f>
        <v>0:1</v>
      </c>
      <c r="I75" s="11"/>
      <c r="J75" s="4"/>
      <c r="U75" s="4"/>
      <c r="V75" s="4"/>
      <c r="W75" s="4"/>
      <c r="X75" s="4"/>
      <c r="Y75" s="4"/>
      <c r="Z75" s="4"/>
      <c r="AA75" s="4"/>
      <c r="AB75" s="4"/>
      <c r="AC75" s="4"/>
      <c r="AD75" s="4"/>
      <c r="AE75" s="4"/>
      <c r="AF75" s="4"/>
      <c r="AG75" s="4"/>
      <c r="AH75" s="4"/>
      <c r="AI75" s="4"/>
      <c r="AJ75" s="4"/>
      <c r="AK75" s="4"/>
      <c r="AL75" s="4"/>
      <c r="AM75" s="4"/>
      <c r="AN75" s="4"/>
      <c r="AO75" s="4"/>
    </row>
    <row r="76" spans="1:41" ht="12.5" x14ac:dyDescent="0.25">
      <c r="A76" s="4" t="str">
        <f ca="1">IFERROR(__xludf.DUMMYFUNCTION("""COMPUTED_VALUE"""),"Yes")</f>
        <v>Yes</v>
      </c>
      <c r="B76" s="4" t="str">
        <f ca="1">IFERROR(__xludf.DUMMYFUNCTION("""COMPUTED_VALUE"""),"No")</f>
        <v>No</v>
      </c>
      <c r="C76" s="96"/>
      <c r="D76" s="96"/>
      <c r="E76" s="96"/>
      <c r="F76" s="96"/>
      <c r="G76" s="5" t="str">
        <f ca="1">IFERROR(__xludf.DUMMYFUNCTION("""COMPUTED_VALUE"""),"Study Protocol URI")</f>
        <v>Study Protocol URI</v>
      </c>
      <c r="H76" s="5" t="str">
        <f ca="1">IFERROR(__xludf.DUMMYFUNCTION("""COMPUTED_VALUE"""),"0:1")</f>
        <v>0:1</v>
      </c>
      <c r="I76" s="11"/>
      <c r="J76" s="4"/>
      <c r="U76" s="4"/>
      <c r="V76" s="4"/>
      <c r="W76" s="4"/>
      <c r="X76" s="4"/>
      <c r="Y76" s="4"/>
      <c r="Z76" s="4"/>
      <c r="AA76" s="4"/>
      <c r="AB76" s="4"/>
      <c r="AC76" s="4"/>
      <c r="AD76" s="4"/>
      <c r="AE76" s="4"/>
      <c r="AF76" s="4"/>
      <c r="AG76" s="4"/>
      <c r="AH76" s="4"/>
      <c r="AI76" s="4"/>
      <c r="AJ76" s="4"/>
      <c r="AK76" s="4"/>
      <c r="AL76" s="4"/>
      <c r="AM76" s="4"/>
      <c r="AN76" s="4"/>
      <c r="AO76" s="4"/>
    </row>
    <row r="77" spans="1:41" ht="12.5" x14ac:dyDescent="0.25">
      <c r="A77" s="4" t="str">
        <f ca="1">IFERROR(__xludf.DUMMYFUNCTION("""COMPUTED_VALUE"""),"Yes")</f>
        <v>Yes</v>
      </c>
      <c r="B77" s="4" t="str">
        <f ca="1">IFERROR(__xludf.DUMMYFUNCTION("""COMPUTED_VALUE"""),"No")</f>
        <v>No</v>
      </c>
      <c r="C77" s="96"/>
      <c r="D77" s="96"/>
      <c r="E77" s="96"/>
      <c r="F77" s="96"/>
      <c r="G77" s="5" t="str">
        <f ca="1">IFERROR(__xludf.DUMMYFUNCTION("""COMPUTED_VALUE"""),"Study Protocol Version")</f>
        <v>Study Protocol Version</v>
      </c>
      <c r="H77" s="5" t="str">
        <f ca="1">IFERROR(__xludf.DUMMYFUNCTION("""COMPUTED_VALUE"""),"0:1")</f>
        <v>0:1</v>
      </c>
      <c r="I77" s="11"/>
      <c r="J77" s="4"/>
      <c r="U77" s="4"/>
      <c r="V77" s="4"/>
      <c r="W77" s="4"/>
      <c r="X77" s="4"/>
      <c r="Y77" s="4"/>
      <c r="Z77" s="4"/>
      <c r="AA77" s="4"/>
      <c r="AB77" s="4"/>
      <c r="AC77" s="4"/>
      <c r="AD77" s="4"/>
      <c r="AE77" s="4"/>
      <c r="AF77" s="4"/>
      <c r="AG77" s="4"/>
      <c r="AH77" s="4"/>
      <c r="AI77" s="4"/>
      <c r="AJ77" s="4"/>
      <c r="AK77" s="4"/>
      <c r="AL77" s="4"/>
      <c r="AM77" s="4"/>
      <c r="AN77" s="4"/>
      <c r="AO77" s="4"/>
    </row>
    <row r="78" spans="1:41" ht="12.5" x14ac:dyDescent="0.25">
      <c r="A78" s="4" t="str">
        <f ca="1">IFERROR(__xludf.DUMMYFUNCTION("""COMPUTED_VALUE"""),"Yes")</f>
        <v>Yes</v>
      </c>
      <c r="B78" s="4" t="str">
        <f ca="1">IFERROR(__xludf.DUMMYFUNCTION("""COMPUTED_VALUE"""),"No")</f>
        <v>No</v>
      </c>
      <c r="C78" s="96"/>
      <c r="D78" s="96"/>
      <c r="E78" s="96"/>
      <c r="F78" s="96"/>
      <c r="G78" s="5" t="str">
        <f ca="1">IFERROR(__xludf.DUMMYFUNCTION("""COMPUTED_VALUE"""),"Study Protocol Parameters Name")</f>
        <v>Study Protocol Parameters Name</v>
      </c>
      <c r="H78" s="5" t="str">
        <f ca="1">IFERROR(__xludf.DUMMYFUNCTION("""COMPUTED_VALUE"""),"0:1")</f>
        <v>0:1</v>
      </c>
      <c r="I78" s="11"/>
      <c r="J78" s="4"/>
      <c r="U78" s="4"/>
      <c r="V78" s="4"/>
      <c r="W78" s="4"/>
      <c r="X78" s="4"/>
      <c r="Y78" s="4"/>
      <c r="Z78" s="4"/>
      <c r="AA78" s="4"/>
      <c r="AB78" s="4"/>
      <c r="AC78" s="4"/>
      <c r="AD78" s="4"/>
      <c r="AE78" s="4"/>
      <c r="AF78" s="4"/>
      <c r="AG78" s="4"/>
      <c r="AH78" s="4"/>
      <c r="AI78" s="4"/>
      <c r="AJ78" s="4"/>
      <c r="AK78" s="4"/>
      <c r="AL78" s="4"/>
      <c r="AM78" s="4"/>
      <c r="AN78" s="4"/>
      <c r="AO78" s="4"/>
    </row>
    <row r="79" spans="1:41" ht="12.5" x14ac:dyDescent="0.25">
      <c r="A79" s="4" t="str">
        <f ca="1">IFERROR(__xludf.DUMMYFUNCTION("""COMPUTED_VALUE"""),"Yes")</f>
        <v>Yes</v>
      </c>
      <c r="B79" s="4" t="str">
        <f ca="1">IFERROR(__xludf.DUMMYFUNCTION("""COMPUTED_VALUE"""),"No")</f>
        <v>No</v>
      </c>
      <c r="C79" s="96"/>
      <c r="D79" s="96"/>
      <c r="E79" s="96"/>
      <c r="F79" s="96"/>
      <c r="G79" s="5" t="str">
        <f ca="1">IFERROR(__xludf.DUMMYFUNCTION("""COMPUTED_VALUE"""),"Study Protocol Components Name")</f>
        <v>Study Protocol Components Name</v>
      </c>
      <c r="H79" s="5" t="str">
        <f ca="1">IFERROR(__xludf.DUMMYFUNCTION("""COMPUTED_VALUE"""),"0:1")</f>
        <v>0:1</v>
      </c>
      <c r="I79" s="11"/>
      <c r="J79" s="4"/>
      <c r="U79" s="4"/>
      <c r="V79" s="4"/>
      <c r="W79" s="4"/>
      <c r="X79" s="4"/>
      <c r="Y79" s="4"/>
      <c r="Z79" s="4"/>
      <c r="AA79" s="4"/>
      <c r="AB79" s="4"/>
      <c r="AC79" s="4"/>
      <c r="AD79" s="4"/>
      <c r="AE79" s="4"/>
      <c r="AF79" s="4"/>
      <c r="AG79" s="4"/>
      <c r="AH79" s="4"/>
      <c r="AI79" s="4"/>
      <c r="AJ79" s="4"/>
      <c r="AK79" s="4"/>
      <c r="AL79" s="4"/>
      <c r="AM79" s="4"/>
      <c r="AN79" s="4"/>
      <c r="AO79" s="4"/>
    </row>
    <row r="80" spans="1:41" ht="12.5" x14ac:dyDescent="0.25">
      <c r="A80" s="4" t="str">
        <f ca="1">IFERROR(__xludf.DUMMYFUNCTION("""COMPUTED_VALUE"""),"Yes")</f>
        <v>Yes</v>
      </c>
      <c r="B80" s="4" t="str">
        <f ca="1">IFERROR(__xludf.DUMMYFUNCTION("""COMPUTED_VALUE"""),"No")</f>
        <v>No</v>
      </c>
      <c r="C80" s="96"/>
      <c r="D80" s="96"/>
      <c r="E80" s="96"/>
      <c r="F80" s="96"/>
      <c r="G80" s="5" t="str">
        <f ca="1">IFERROR(__xludf.DUMMYFUNCTION("""COMPUTED_VALUE"""),"Study Protocol Components Type")</f>
        <v>Study Protocol Components Type</v>
      </c>
      <c r="H80" s="5" t="str">
        <f ca="1">IFERROR(__xludf.DUMMYFUNCTION("""COMPUTED_VALUE"""),"0:1")</f>
        <v>0:1</v>
      </c>
      <c r="I80" s="11"/>
      <c r="J80" s="4"/>
      <c r="U80" s="4"/>
      <c r="V80" s="4"/>
      <c r="W80" s="4"/>
      <c r="X80" s="4"/>
      <c r="Y80" s="4"/>
      <c r="Z80" s="4"/>
      <c r="AA80" s="4"/>
      <c r="AB80" s="4"/>
      <c r="AC80" s="4"/>
      <c r="AD80" s="4"/>
      <c r="AE80" s="4"/>
      <c r="AF80" s="4"/>
      <c r="AG80" s="4"/>
      <c r="AH80" s="4"/>
      <c r="AI80" s="4"/>
      <c r="AJ80" s="4"/>
      <c r="AK80" s="4"/>
      <c r="AL80" s="4"/>
      <c r="AM80" s="4"/>
      <c r="AN80" s="4"/>
      <c r="AO80" s="4"/>
    </row>
    <row r="81" spans="1:41" ht="12.5" x14ac:dyDescent="0.25">
      <c r="A81" s="4" t="str">
        <f ca="1">IFERROR(__xludf.DUMMYFUNCTION("""COMPUTED_VALUE"""),"Yes")</f>
        <v>Yes</v>
      </c>
      <c r="B81" s="4" t="str">
        <f ca="1">IFERROR(__xludf.DUMMYFUNCTION("""COMPUTED_VALUE"""),"No")</f>
        <v>No</v>
      </c>
      <c r="C81" s="96"/>
      <c r="D81" s="96"/>
      <c r="E81" s="97" t="str">
        <f ca="1">IFERROR(__xludf.DUMMYFUNCTION("""COMPUTED_VALUE"""),"Study Sample")</f>
        <v>Study Sample</v>
      </c>
      <c r="F81" s="97" t="str">
        <f ca="1">IFERROR(__xludf.DUMMYFUNCTION("""COMPUTED_VALUE"""),"0:N")</f>
        <v>0:N</v>
      </c>
      <c r="G81" s="5" t="str">
        <f ca="1">IFERROR(__xludf.DUMMYFUNCTION("""COMPUTED_VALUE"""),"Sample Name (ID)")</f>
        <v>Sample Name (ID)</v>
      </c>
      <c r="H81" s="5" t="str">
        <f ca="1">IFERROR(__xludf.DUMMYFUNCTION("""COMPUTED_VALUE"""),"1")</f>
        <v>1</v>
      </c>
      <c r="I81" s="13"/>
      <c r="J81" s="4"/>
      <c r="K81" s="99" t="str">
        <f ca="1">E81</f>
        <v>Study Sample</v>
      </c>
      <c r="L81" s="96"/>
      <c r="M81" s="96"/>
      <c r="N81" s="96"/>
      <c r="O81" s="96"/>
      <c r="P81" s="96"/>
      <c r="Q81" s="96"/>
      <c r="R81" s="96"/>
      <c r="S81" s="96"/>
      <c r="T81" s="96"/>
      <c r="U81" s="4"/>
      <c r="V81" s="4"/>
      <c r="W81" s="4"/>
      <c r="X81" s="4"/>
      <c r="Y81" s="4"/>
      <c r="Z81" s="4"/>
      <c r="AA81" s="4"/>
      <c r="AB81" s="4"/>
      <c r="AC81" s="4"/>
      <c r="AD81" s="4"/>
      <c r="AE81" s="4"/>
      <c r="AF81" s="4"/>
      <c r="AG81" s="4"/>
      <c r="AH81" s="4"/>
      <c r="AI81" s="4"/>
      <c r="AJ81" s="4"/>
      <c r="AK81" s="4"/>
      <c r="AL81" s="4"/>
      <c r="AM81" s="4"/>
      <c r="AN81" s="4"/>
      <c r="AO81" s="4"/>
    </row>
    <row r="82" spans="1:41" ht="12.5" x14ac:dyDescent="0.25">
      <c r="A82" s="4" t="str">
        <f ca="1">IFERROR(__xludf.DUMMYFUNCTION("""COMPUTED_VALUE"""),"Yes")</f>
        <v>Yes</v>
      </c>
      <c r="B82" s="4" t="str">
        <f ca="1">IFERROR(__xludf.DUMMYFUNCTION("""COMPUTED_VALUE"""),"No")</f>
        <v>No</v>
      </c>
      <c r="C82" s="96"/>
      <c r="D82" s="96"/>
      <c r="E82" s="96"/>
      <c r="F82" s="96"/>
      <c r="G82" s="5" t="str">
        <f ca="1">IFERROR(__xludf.DUMMYFUNCTION("""COMPUTED_VALUE"""),"Protocol of sample collection")</f>
        <v>Protocol of sample collection</v>
      </c>
      <c r="H82" s="5" t="str">
        <f ca="1">IFERROR(__xludf.DUMMYFUNCTION("""COMPUTED_VALUE"""),"1")</f>
        <v>1</v>
      </c>
      <c r="I82" s="13"/>
      <c r="J82" s="4"/>
      <c r="K82" s="7" t="str">
        <f ca="1">G81</f>
        <v>Sample Name (ID)</v>
      </c>
      <c r="L82" s="7" t="str">
        <f ca="1">G82</f>
        <v>Protocol of sample collection</v>
      </c>
      <c r="M82" s="7" t="str">
        <f ca="1">G83</f>
        <v>Sampling strategy</v>
      </c>
      <c r="N82" s="7" t="str">
        <f ca="1">G84</f>
        <v>Type of sampling program</v>
      </c>
      <c r="O82" s="7" t="str">
        <f ca="1">G85</f>
        <v>Sampling method</v>
      </c>
      <c r="P82" s="7" t="str">
        <f ca="1">G86</f>
        <v>Sampling plan</v>
      </c>
      <c r="Q82" s="7" t="str">
        <f ca="1">G87</f>
        <v>Sampling weight</v>
      </c>
      <c r="R82" s="7" t="str">
        <f ca="1">G88</f>
        <v>Sampling size</v>
      </c>
      <c r="S82" s="7" t="str">
        <f ca="1">G89</f>
        <v>Lot size unit</v>
      </c>
      <c r="T82" s="7" t="str">
        <f ca="1">G90</f>
        <v>Sampling point</v>
      </c>
      <c r="U82" s="4"/>
      <c r="V82" s="4"/>
      <c r="W82" s="4"/>
      <c r="X82" s="4"/>
      <c r="Y82" s="4"/>
      <c r="Z82" s="4"/>
      <c r="AA82" s="4"/>
      <c r="AB82" s="4"/>
      <c r="AC82" s="4"/>
      <c r="AD82" s="4"/>
      <c r="AE82" s="4"/>
      <c r="AF82" s="4"/>
      <c r="AG82" s="4"/>
      <c r="AH82" s="4"/>
      <c r="AI82" s="4"/>
      <c r="AJ82" s="4"/>
      <c r="AK82" s="4"/>
      <c r="AL82" s="4"/>
      <c r="AM82" s="4"/>
      <c r="AN82" s="4"/>
      <c r="AO82" s="4"/>
    </row>
    <row r="83" spans="1:41" ht="12.5" x14ac:dyDescent="0.25">
      <c r="A83" s="4" t="str">
        <f ca="1">IFERROR(__xludf.DUMMYFUNCTION("""COMPUTED_VALUE"""),"Yes")</f>
        <v>Yes</v>
      </c>
      <c r="B83" s="4" t="str">
        <f ca="1">IFERROR(__xludf.DUMMYFUNCTION("""COMPUTED_VALUE"""),"No")</f>
        <v>No</v>
      </c>
      <c r="C83" s="96"/>
      <c r="D83" s="96"/>
      <c r="E83" s="96"/>
      <c r="F83" s="96"/>
      <c r="G83" s="5" t="str">
        <f ca="1">IFERROR(__xludf.DUMMYFUNCTION("""COMPUTED_VALUE"""),"Sampling strategy")</f>
        <v>Sampling strategy</v>
      </c>
      <c r="H83" s="5" t="str">
        <f ca="1">IFERROR(__xludf.DUMMYFUNCTION("""COMPUTED_VALUE"""),"0:1")</f>
        <v>0:1</v>
      </c>
      <c r="I83" s="13"/>
      <c r="J83" s="4"/>
      <c r="K83" s="4" t="str">
        <f ca="1">H81</f>
        <v>1</v>
      </c>
      <c r="L83" s="4" t="str">
        <f ca="1">H82</f>
        <v>1</v>
      </c>
      <c r="M83" s="4" t="str">
        <f ca="1">H83</f>
        <v>0:1</v>
      </c>
      <c r="N83" s="4" t="str">
        <f ca="1">H84</f>
        <v>0:1</v>
      </c>
      <c r="O83" s="4" t="str">
        <f ca="1">H85</f>
        <v>0:1</v>
      </c>
      <c r="P83" s="4" t="str">
        <f ca="1">H86</f>
        <v>1</v>
      </c>
      <c r="Q83" s="4" t="str">
        <f ca="1">H87</f>
        <v>1</v>
      </c>
      <c r="R83" s="4" t="str">
        <f ca="1">H88</f>
        <v>1</v>
      </c>
      <c r="S83" s="4" t="str">
        <f ca="1">H89</f>
        <v>0:1</v>
      </c>
      <c r="T83" s="4" t="str">
        <f ca="1">H90</f>
        <v>0:1</v>
      </c>
      <c r="U83" s="4"/>
      <c r="V83" s="4"/>
      <c r="W83" s="4"/>
      <c r="X83" s="4"/>
      <c r="Y83" s="4"/>
      <c r="Z83" s="4"/>
      <c r="AA83" s="4"/>
      <c r="AB83" s="4"/>
      <c r="AC83" s="4"/>
      <c r="AD83" s="4"/>
      <c r="AE83" s="4"/>
      <c r="AF83" s="4"/>
      <c r="AG83" s="4"/>
      <c r="AH83" s="4"/>
      <c r="AI83" s="4"/>
      <c r="AJ83" s="4"/>
      <c r="AK83" s="4"/>
      <c r="AL83" s="4"/>
      <c r="AM83" s="4"/>
      <c r="AN83" s="4"/>
      <c r="AO83" s="4"/>
    </row>
    <row r="84" spans="1:41" ht="12.5" x14ac:dyDescent="0.25">
      <c r="A84" s="4" t="str">
        <f ca="1">IFERROR(__xludf.DUMMYFUNCTION("""COMPUTED_VALUE"""),"Yes")</f>
        <v>Yes</v>
      </c>
      <c r="B84" s="4" t="str">
        <f ca="1">IFERROR(__xludf.DUMMYFUNCTION("""COMPUTED_VALUE"""),"No")</f>
        <v>No</v>
      </c>
      <c r="C84" s="96"/>
      <c r="D84" s="96"/>
      <c r="E84" s="96"/>
      <c r="F84" s="96"/>
      <c r="G84" s="5" t="str">
        <f ca="1">IFERROR(__xludf.DUMMYFUNCTION("""COMPUTED_VALUE"""),"Type of sampling program")</f>
        <v>Type of sampling program</v>
      </c>
      <c r="H84" s="5" t="str">
        <f ca="1">IFERROR(__xludf.DUMMYFUNCTION("""COMPUTED_VALUE"""),"0:1")</f>
        <v>0:1</v>
      </c>
      <c r="I84" s="13"/>
      <c r="J84" s="4"/>
      <c r="K84" s="10"/>
      <c r="L84" s="10"/>
      <c r="M84" s="10"/>
      <c r="N84" s="10"/>
      <c r="O84" s="10"/>
      <c r="P84" s="10"/>
      <c r="Q84" s="10"/>
      <c r="R84" s="10"/>
      <c r="S84" s="15"/>
      <c r="T84" s="10"/>
      <c r="U84" s="4"/>
      <c r="V84" s="4"/>
      <c r="W84" s="4"/>
      <c r="X84" s="4"/>
      <c r="Y84" s="4"/>
      <c r="Z84" s="4"/>
      <c r="AA84" s="4"/>
      <c r="AB84" s="4"/>
      <c r="AC84" s="4"/>
      <c r="AD84" s="4"/>
      <c r="AE84" s="4"/>
      <c r="AF84" s="4"/>
      <c r="AG84" s="4"/>
      <c r="AH84" s="4"/>
      <c r="AI84" s="4"/>
      <c r="AJ84" s="4"/>
      <c r="AK84" s="4"/>
      <c r="AL84" s="4"/>
      <c r="AM84" s="4"/>
      <c r="AN84" s="4"/>
      <c r="AO84" s="4"/>
    </row>
    <row r="85" spans="1:41" ht="12.5" x14ac:dyDescent="0.25">
      <c r="A85" s="4" t="str">
        <f ca="1">IFERROR(__xludf.DUMMYFUNCTION("""COMPUTED_VALUE"""),"Yes")</f>
        <v>Yes</v>
      </c>
      <c r="B85" s="4" t="str">
        <f ca="1">IFERROR(__xludf.DUMMYFUNCTION("""COMPUTED_VALUE"""),"No")</f>
        <v>No</v>
      </c>
      <c r="C85" s="96"/>
      <c r="D85" s="96"/>
      <c r="E85" s="96"/>
      <c r="F85" s="96"/>
      <c r="G85" s="5" t="str">
        <f ca="1">IFERROR(__xludf.DUMMYFUNCTION("""COMPUTED_VALUE"""),"Sampling method")</f>
        <v>Sampling method</v>
      </c>
      <c r="H85" s="5" t="str">
        <f ca="1">IFERROR(__xludf.DUMMYFUNCTION("""COMPUTED_VALUE"""),"0:1")</f>
        <v>0:1</v>
      </c>
      <c r="I85" s="13"/>
      <c r="J85" s="4"/>
      <c r="K85" s="10"/>
      <c r="L85" s="10"/>
      <c r="M85" s="10"/>
      <c r="N85" s="10"/>
      <c r="O85" s="10"/>
      <c r="P85" s="10"/>
      <c r="Q85" s="10"/>
      <c r="R85" s="10"/>
      <c r="S85" s="15"/>
      <c r="T85" s="10"/>
      <c r="U85" s="4"/>
      <c r="V85" s="4"/>
      <c r="W85" s="4"/>
      <c r="X85" s="4"/>
      <c r="Y85" s="4"/>
      <c r="Z85" s="4"/>
      <c r="AA85" s="4"/>
      <c r="AB85" s="4"/>
      <c r="AC85" s="4"/>
      <c r="AD85" s="4"/>
      <c r="AE85" s="4"/>
      <c r="AF85" s="4"/>
      <c r="AG85" s="4"/>
      <c r="AH85" s="4"/>
      <c r="AI85" s="4"/>
      <c r="AJ85" s="4"/>
      <c r="AK85" s="4"/>
      <c r="AL85" s="4"/>
      <c r="AM85" s="4"/>
      <c r="AN85" s="4"/>
      <c r="AO85" s="4"/>
    </row>
    <row r="86" spans="1:41" ht="12.5" x14ac:dyDescent="0.25">
      <c r="A86" s="4" t="str">
        <f ca="1">IFERROR(__xludf.DUMMYFUNCTION("""COMPUTED_VALUE"""),"Yes")</f>
        <v>Yes</v>
      </c>
      <c r="B86" s="4" t="str">
        <f ca="1">IFERROR(__xludf.DUMMYFUNCTION("""COMPUTED_VALUE"""),"No")</f>
        <v>No</v>
      </c>
      <c r="C86" s="96"/>
      <c r="D86" s="96"/>
      <c r="E86" s="96"/>
      <c r="F86" s="96"/>
      <c r="G86" s="5" t="str">
        <f ca="1">IFERROR(__xludf.DUMMYFUNCTION("""COMPUTED_VALUE"""),"Sampling plan")</f>
        <v>Sampling plan</v>
      </c>
      <c r="H86" s="5" t="str">
        <f ca="1">IFERROR(__xludf.DUMMYFUNCTION("""COMPUTED_VALUE"""),"1")</f>
        <v>1</v>
      </c>
      <c r="I86" s="13"/>
      <c r="J86" s="4"/>
      <c r="K86" s="10"/>
      <c r="L86" s="10"/>
      <c r="M86" s="10"/>
      <c r="N86" s="10"/>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x14ac:dyDescent="0.25">
      <c r="A87" s="4" t="str">
        <f ca="1">IFERROR(__xludf.DUMMYFUNCTION("""COMPUTED_VALUE"""),"Yes")</f>
        <v>Yes</v>
      </c>
      <c r="B87" s="4" t="str">
        <f ca="1">IFERROR(__xludf.DUMMYFUNCTION("""COMPUTED_VALUE"""),"No")</f>
        <v>No</v>
      </c>
      <c r="C87" s="96"/>
      <c r="D87" s="96"/>
      <c r="E87" s="96"/>
      <c r="F87" s="96"/>
      <c r="G87" s="5" t="str">
        <f ca="1">IFERROR(__xludf.DUMMYFUNCTION("""COMPUTED_VALUE"""),"Sampling weight")</f>
        <v>Sampling weight</v>
      </c>
      <c r="H87" s="5" t="str">
        <f ca="1">IFERROR(__xludf.DUMMYFUNCTION("""COMPUTED_VALUE"""),"1")</f>
        <v>1</v>
      </c>
      <c r="I87" s="13"/>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row>
    <row r="88" spans="1:41" ht="12.5" x14ac:dyDescent="0.25">
      <c r="A88" s="4" t="str">
        <f ca="1">IFERROR(__xludf.DUMMYFUNCTION("""COMPUTED_VALUE"""),"Yes")</f>
        <v>Yes</v>
      </c>
      <c r="B88" s="4" t="str">
        <f ca="1">IFERROR(__xludf.DUMMYFUNCTION("""COMPUTED_VALUE"""),"No")</f>
        <v>No</v>
      </c>
      <c r="C88" s="96"/>
      <c r="D88" s="96"/>
      <c r="E88" s="96"/>
      <c r="F88" s="96"/>
      <c r="G88" s="5" t="str">
        <f ca="1">IFERROR(__xludf.DUMMYFUNCTION("""COMPUTED_VALUE"""),"Sampling size")</f>
        <v>Sampling size</v>
      </c>
      <c r="H88" s="5" t="str">
        <f ca="1">IFERROR(__xludf.DUMMYFUNCTION("""COMPUTED_VALUE"""),"1")</f>
        <v>1</v>
      </c>
      <c r="I88" s="13"/>
      <c r="J88" s="4"/>
      <c r="K88" s="99" t="str">
        <f ca="1">E91</f>
        <v>Laboratory</v>
      </c>
      <c r="L88" s="96"/>
      <c r="M88" s="96"/>
      <c r="N88" s="4"/>
      <c r="O88" s="5" t="str">
        <f ca="1">E132</f>
        <v>Events</v>
      </c>
      <c r="P88" s="4"/>
      <c r="Q88" s="4"/>
      <c r="R88" s="4"/>
      <c r="S88" s="4"/>
      <c r="T88" s="4"/>
      <c r="U88" s="4"/>
      <c r="V88" s="4"/>
      <c r="W88" s="4"/>
      <c r="X88" s="4"/>
      <c r="Y88" s="4"/>
      <c r="Z88" s="4"/>
      <c r="AA88" s="4"/>
      <c r="AB88" s="4"/>
      <c r="AC88" s="4"/>
      <c r="AD88" s="4"/>
      <c r="AE88" s="4"/>
      <c r="AF88" s="4"/>
      <c r="AG88" s="4"/>
      <c r="AH88" s="4"/>
      <c r="AI88" s="4"/>
      <c r="AJ88" s="4"/>
      <c r="AK88" s="4"/>
      <c r="AL88" s="4"/>
      <c r="AM88" s="4"/>
      <c r="AN88" s="4"/>
      <c r="AO88" s="4"/>
    </row>
    <row r="89" spans="1:41" ht="12.5" x14ac:dyDescent="0.25">
      <c r="A89" s="4" t="str">
        <f ca="1">IFERROR(__xludf.DUMMYFUNCTION("""COMPUTED_VALUE"""),"Yes")</f>
        <v>Yes</v>
      </c>
      <c r="B89" s="4" t="str">
        <f ca="1">IFERROR(__xludf.DUMMYFUNCTION("""COMPUTED_VALUE"""),"No")</f>
        <v>No</v>
      </c>
      <c r="C89" s="96"/>
      <c r="D89" s="96"/>
      <c r="E89" s="96"/>
      <c r="F89" s="96"/>
      <c r="G89" s="5" t="str">
        <f ca="1">IFERROR(__xludf.DUMMYFUNCTION("""COMPUTED_VALUE"""),"Lot size unit")</f>
        <v>Lot size unit</v>
      </c>
      <c r="H89" s="5" t="str">
        <f ca="1">IFERROR(__xludf.DUMMYFUNCTION("""COMPUTED_VALUE"""),"0:1")</f>
        <v>0:1</v>
      </c>
      <c r="I89" s="13"/>
      <c r="J89" s="4"/>
      <c r="K89" s="7" t="str">
        <f ca="1">G91</f>
        <v>Laboratory accreditation</v>
      </c>
      <c r="L89" s="7" t="str">
        <f ca="1">G92</f>
        <v>Laboratory Name</v>
      </c>
      <c r="M89" s="7" t="str">
        <f ca="1">G93</f>
        <v>Laboratory country</v>
      </c>
      <c r="N89" s="4"/>
      <c r="O89" s="4" t="str">
        <f ca="1">F132</f>
        <v>0:N</v>
      </c>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x14ac:dyDescent="0.25">
      <c r="A90" s="4" t="str">
        <f ca="1">IFERROR(__xludf.DUMMYFUNCTION("""COMPUTED_VALUE"""),"Yes")</f>
        <v>Yes</v>
      </c>
      <c r="B90" s="4" t="str">
        <f ca="1">IFERROR(__xludf.DUMMYFUNCTION("""COMPUTED_VALUE"""),"No")</f>
        <v>No</v>
      </c>
      <c r="C90" s="96"/>
      <c r="D90" s="96"/>
      <c r="E90" s="96"/>
      <c r="F90" s="96"/>
      <c r="G90" s="5" t="str">
        <f ca="1">IFERROR(__xludf.DUMMYFUNCTION("""COMPUTED_VALUE"""),"Sampling point")</f>
        <v>Sampling point</v>
      </c>
      <c r="H90" s="5" t="str">
        <f ca="1">IFERROR(__xludf.DUMMYFUNCTION("""COMPUTED_VALUE"""),"0:1")</f>
        <v>0:1</v>
      </c>
      <c r="I90" s="13"/>
      <c r="J90" s="4"/>
      <c r="K90" s="4" t="str">
        <f ca="1">H91</f>
        <v>1:N</v>
      </c>
      <c r="L90" s="4" t="str">
        <f ca="1">H92</f>
        <v>0:1</v>
      </c>
      <c r="M90" s="4" t="str">
        <f ca="1">H93</f>
        <v>0:1</v>
      </c>
      <c r="N90" s="4"/>
      <c r="O90" s="11"/>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x14ac:dyDescent="0.25">
      <c r="A91" s="4" t="str">
        <f ca="1">IFERROR(__xludf.DUMMYFUNCTION("""COMPUTED_VALUE"""),"Yes")</f>
        <v>Yes</v>
      </c>
      <c r="B91" s="4" t="str">
        <f ca="1">IFERROR(__xludf.DUMMYFUNCTION("""COMPUTED_VALUE"""),"No")</f>
        <v>No</v>
      </c>
      <c r="C91" s="96"/>
      <c r="D91" s="96"/>
      <c r="E91" s="97" t="str">
        <f ca="1">IFERROR(__xludf.DUMMYFUNCTION("""COMPUTED_VALUE"""),"Laboratory")</f>
        <v>Laboratory</v>
      </c>
      <c r="F91" s="97" t="str">
        <f ca="1">IFERROR(__xludf.DUMMYFUNCTION("""COMPUTED_VALUE"""),"0:N")</f>
        <v>0:N</v>
      </c>
      <c r="G91" s="5" t="str">
        <f ca="1">IFERROR(__xludf.DUMMYFUNCTION("""COMPUTED_VALUE"""),"Laboratory accreditation")</f>
        <v>Laboratory accreditation</v>
      </c>
      <c r="H91" s="5" t="str">
        <f ca="1">IFERROR(__xludf.DUMMYFUNCTION("""COMPUTED_VALUE"""),"1:N")</f>
        <v>1:N</v>
      </c>
      <c r="I91" s="13"/>
      <c r="J91" s="4"/>
      <c r="K91" s="65"/>
      <c r="L91" s="63"/>
      <c r="M91" s="63"/>
      <c r="N91" s="4"/>
      <c r="O91" s="11"/>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x14ac:dyDescent="0.25">
      <c r="A92" s="4" t="str">
        <f ca="1">IFERROR(__xludf.DUMMYFUNCTION("""COMPUTED_VALUE"""),"Yes")</f>
        <v>Yes</v>
      </c>
      <c r="B92" s="4" t="str">
        <f ca="1">IFERROR(__xludf.DUMMYFUNCTION("""COMPUTED_VALUE"""),"No")</f>
        <v>No</v>
      </c>
      <c r="C92" s="96"/>
      <c r="D92" s="96"/>
      <c r="E92" s="96"/>
      <c r="F92" s="96"/>
      <c r="G92" s="5" t="str">
        <f ca="1">IFERROR(__xludf.DUMMYFUNCTION("""COMPUTED_VALUE"""),"Laboratory Name")</f>
        <v>Laboratory Name</v>
      </c>
      <c r="H92" s="5" t="str">
        <f ca="1">IFERROR(__xludf.DUMMYFUNCTION("""COMPUTED_VALUE"""),"0:1")</f>
        <v>0:1</v>
      </c>
      <c r="I92" s="13"/>
      <c r="J92" s="4"/>
      <c r="K92" s="66"/>
      <c r="L92" s="67"/>
      <c r="M92" s="67"/>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x14ac:dyDescent="0.25">
      <c r="A93" s="4" t="str">
        <f ca="1">IFERROR(__xludf.DUMMYFUNCTION("""COMPUTED_VALUE"""),"Yes")</f>
        <v>Yes</v>
      </c>
      <c r="B93" s="4" t="str">
        <f ca="1">IFERROR(__xludf.DUMMYFUNCTION("""COMPUTED_VALUE"""),"No")</f>
        <v>No</v>
      </c>
      <c r="C93" s="96"/>
      <c r="D93" s="96"/>
      <c r="E93" s="96"/>
      <c r="F93" s="96"/>
      <c r="G93" s="5" t="str">
        <f ca="1">IFERROR(__xludf.DUMMYFUNCTION("""COMPUTED_VALUE"""),"Laboratory country")</f>
        <v>Laboratory country</v>
      </c>
      <c r="H93" s="5" t="str">
        <f ca="1">IFERROR(__xludf.DUMMYFUNCTION("""COMPUTED_VALUE"""),"0:1")</f>
        <v>0:1</v>
      </c>
      <c r="I93" s="13"/>
      <c r="J93" s="4"/>
      <c r="K93" s="66"/>
      <c r="L93" s="67"/>
      <c r="M93" s="67"/>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x14ac:dyDescent="0.25">
      <c r="A94" s="4" t="str">
        <f ca="1">IFERROR(__xludf.DUMMYFUNCTION("""COMPUTED_VALUE"""),"Yes")</f>
        <v>Yes</v>
      </c>
      <c r="B94" s="4" t="str">
        <f ca="1">IFERROR(__xludf.DUMMYFUNCTION("""COMPUTED_VALUE"""),"No")</f>
        <v>No</v>
      </c>
      <c r="C94" s="96"/>
      <c r="D94" s="96"/>
      <c r="E94" s="97" t="str">
        <f ca="1">IFERROR(__xludf.DUMMYFUNCTION("""COMPUTED_VALUE"""),"Assay")</f>
        <v>Assay</v>
      </c>
      <c r="F94" s="97" t="str">
        <f ca="1">IFERROR(__xludf.DUMMYFUNCTION("""COMPUTED_VALUE"""),"0:N")</f>
        <v>0:N</v>
      </c>
      <c r="G94" s="5" t="str">
        <f ca="1">IFERROR(__xludf.DUMMYFUNCTION("""COMPUTED_VALUE"""),"Assay Name")</f>
        <v>Assay Name</v>
      </c>
      <c r="H94" s="5" t="str">
        <f ca="1">IFERROR(__xludf.DUMMYFUNCTION("""COMPUTED_VALUE"""),"1")</f>
        <v>1</v>
      </c>
      <c r="I94" s="13"/>
      <c r="J94" s="4"/>
      <c r="K94" s="99" t="str">
        <f ca="1">E94</f>
        <v>Assay</v>
      </c>
      <c r="L94" s="96"/>
      <c r="M94" s="96"/>
      <c r="N94" s="96"/>
      <c r="O94" s="96"/>
      <c r="P94" s="96"/>
      <c r="Q94" s="96"/>
      <c r="R94" s="96"/>
      <c r="S94" s="96"/>
      <c r="T94" s="4"/>
      <c r="U94" s="4"/>
      <c r="V94" s="4"/>
      <c r="W94" s="4"/>
      <c r="X94" s="4"/>
      <c r="Y94" s="4"/>
      <c r="Z94" s="4"/>
      <c r="AA94" s="4"/>
      <c r="AB94" s="4"/>
      <c r="AC94" s="4"/>
      <c r="AD94" s="4"/>
      <c r="AE94" s="4"/>
      <c r="AF94" s="4"/>
      <c r="AG94" s="4"/>
      <c r="AH94" s="4"/>
      <c r="AI94" s="4"/>
      <c r="AJ94" s="4"/>
      <c r="AK94" s="4"/>
      <c r="AL94" s="4"/>
      <c r="AM94" s="4"/>
      <c r="AN94" s="4"/>
      <c r="AO94" s="4"/>
    </row>
    <row r="95" spans="1:41" ht="12.5" x14ac:dyDescent="0.25">
      <c r="A95" s="4" t="str">
        <f ca="1">IFERROR(__xludf.DUMMYFUNCTION("""COMPUTED_VALUE"""),"Yes")</f>
        <v>Yes</v>
      </c>
      <c r="B95" s="4" t="str">
        <f ca="1">IFERROR(__xludf.DUMMYFUNCTION("""COMPUTED_VALUE"""),"No")</f>
        <v>No</v>
      </c>
      <c r="C95" s="96"/>
      <c r="D95" s="96"/>
      <c r="E95" s="96"/>
      <c r="F95" s="96"/>
      <c r="G95" s="5" t="str">
        <f ca="1">IFERROR(__xludf.DUMMYFUNCTION("""COMPUTED_VALUE"""),"Assay description")</f>
        <v>Assay description</v>
      </c>
      <c r="H95" s="5" t="str">
        <f ca="1">IFERROR(__xludf.DUMMYFUNCTION("""COMPUTED_VALUE"""),"0:1")</f>
        <v>0:1</v>
      </c>
      <c r="I95" s="13"/>
      <c r="J95" s="4"/>
      <c r="K95" s="4" t="str">
        <f ca="1">G94</f>
        <v>Assay Name</v>
      </c>
      <c r="L95" s="4" t="str">
        <f ca="1">G95</f>
        <v>Assay description</v>
      </c>
      <c r="M95" s="4" t="str">
        <f ca="1">G96</f>
        <v>Percentage of moisture</v>
      </c>
      <c r="N95" s="4" t="str">
        <f ca="1">G97</f>
        <v>Percentage of fat</v>
      </c>
      <c r="O95" s="4" t="str">
        <f ca="1">G98</f>
        <v>Limit of detection</v>
      </c>
      <c r="P95" s="4" t="str">
        <f ca="1">G99</f>
        <v>Limit of quantification</v>
      </c>
      <c r="Q95" s="4" t="str">
        <f ca="1">G100</f>
        <v>Left-censored data</v>
      </c>
      <c r="R95" s="4" t="str">
        <f ca="1">G101</f>
        <v>Range of contamination</v>
      </c>
      <c r="S95" s="4" t="str">
        <f ca="1">G102</f>
        <v>Uncertainty value</v>
      </c>
      <c r="T95" s="4"/>
      <c r="U95" s="4"/>
      <c r="V95" s="4"/>
      <c r="W95" s="4"/>
      <c r="X95" s="4"/>
      <c r="Y95" s="4"/>
      <c r="Z95" s="4"/>
      <c r="AA95" s="4"/>
      <c r="AB95" s="4"/>
      <c r="AC95" s="4"/>
      <c r="AD95" s="4"/>
      <c r="AE95" s="4"/>
      <c r="AF95" s="4"/>
      <c r="AG95" s="4"/>
      <c r="AH95" s="4"/>
      <c r="AI95" s="4"/>
      <c r="AJ95" s="4"/>
      <c r="AK95" s="4"/>
      <c r="AL95" s="4"/>
      <c r="AM95" s="4"/>
      <c r="AN95" s="4"/>
      <c r="AO95" s="4"/>
    </row>
    <row r="96" spans="1:41" ht="12.5" x14ac:dyDescent="0.25">
      <c r="A96" s="4" t="str">
        <f ca="1">IFERROR(__xludf.DUMMYFUNCTION("""COMPUTED_VALUE"""),"Yes")</f>
        <v>Yes</v>
      </c>
      <c r="B96" s="4" t="str">
        <f ca="1">IFERROR(__xludf.DUMMYFUNCTION("""COMPUTED_VALUE"""),"No")</f>
        <v>No</v>
      </c>
      <c r="C96" s="96"/>
      <c r="D96" s="96"/>
      <c r="E96" s="96"/>
      <c r="F96" s="96"/>
      <c r="G96" s="5" t="str">
        <f ca="1">IFERROR(__xludf.DUMMYFUNCTION("""COMPUTED_VALUE"""),"Percentage of moisture")</f>
        <v>Percentage of moisture</v>
      </c>
      <c r="H96" s="5" t="str">
        <f ca="1">IFERROR(__xludf.DUMMYFUNCTION("""COMPUTED_VALUE"""),"0:1")</f>
        <v>0:1</v>
      </c>
      <c r="I96" s="13"/>
      <c r="J96" s="4"/>
      <c r="K96" s="4" t="str">
        <f ca="1">H95</f>
        <v>0:1</v>
      </c>
      <c r="L96" s="4" t="str">
        <f ca="1">H96</f>
        <v>0:1</v>
      </c>
      <c r="M96" s="4" t="str">
        <f ca="1">H97</f>
        <v>0:1</v>
      </c>
      <c r="N96" s="4" t="str">
        <f ca="1">H98</f>
        <v>0:1</v>
      </c>
      <c r="O96" s="4" t="str">
        <f ca="1">H99</f>
        <v>0:1</v>
      </c>
      <c r="P96" s="4" t="str">
        <f ca="1">H100</f>
        <v>0:1</v>
      </c>
      <c r="Q96" s="4" t="str">
        <f ca="1">H101</f>
        <v>0:1</v>
      </c>
      <c r="R96" s="4" t="str">
        <f ca="1">H102</f>
        <v>0:1</v>
      </c>
      <c r="S96" s="4" t="str">
        <f ca="1">H103</f>
        <v>1</v>
      </c>
      <c r="T96" s="4"/>
      <c r="U96" s="4"/>
      <c r="V96" s="4"/>
      <c r="W96" s="4"/>
      <c r="X96" s="4"/>
      <c r="Y96" s="4"/>
      <c r="Z96" s="4"/>
      <c r="AA96" s="4"/>
      <c r="AB96" s="4"/>
      <c r="AC96" s="4"/>
      <c r="AD96" s="4"/>
      <c r="AE96" s="4"/>
      <c r="AF96" s="4"/>
      <c r="AG96" s="4"/>
      <c r="AH96" s="4"/>
      <c r="AI96" s="4"/>
      <c r="AJ96" s="4"/>
      <c r="AK96" s="4"/>
      <c r="AL96" s="4"/>
      <c r="AM96" s="4"/>
      <c r="AN96" s="4"/>
      <c r="AO96" s="4"/>
    </row>
    <row r="97" spans="1:41" ht="12.5" x14ac:dyDescent="0.25">
      <c r="A97" s="4" t="str">
        <f ca="1">IFERROR(__xludf.DUMMYFUNCTION("""COMPUTED_VALUE"""),"Yes")</f>
        <v>Yes</v>
      </c>
      <c r="B97" s="4" t="str">
        <f ca="1">IFERROR(__xludf.DUMMYFUNCTION("""COMPUTED_VALUE"""),"No")</f>
        <v>No</v>
      </c>
      <c r="C97" s="96"/>
      <c r="D97" s="96"/>
      <c r="E97" s="96"/>
      <c r="F97" s="96"/>
      <c r="G97" s="5" t="str">
        <f ca="1">IFERROR(__xludf.DUMMYFUNCTION("""COMPUTED_VALUE"""),"Percentage of fat")</f>
        <v>Percentage of fat</v>
      </c>
      <c r="H97" s="5" t="str">
        <f ca="1">IFERROR(__xludf.DUMMYFUNCTION("""COMPUTED_VALUE"""),"0:1")</f>
        <v>0:1</v>
      </c>
      <c r="I97" s="13"/>
      <c r="J97" s="4"/>
      <c r="K97" s="10"/>
      <c r="L97" s="10"/>
      <c r="M97" s="10"/>
      <c r="N97" s="10"/>
      <c r="O97" s="10"/>
      <c r="P97" s="10"/>
      <c r="Q97" s="10"/>
      <c r="R97" s="10"/>
      <c r="S97" s="10"/>
      <c r="T97" s="4"/>
      <c r="U97" s="4"/>
      <c r="V97" s="4"/>
      <c r="W97" s="4"/>
      <c r="X97" s="4"/>
      <c r="Y97" s="4"/>
      <c r="Z97" s="4"/>
      <c r="AA97" s="4"/>
      <c r="AB97" s="4"/>
      <c r="AC97" s="4"/>
      <c r="AD97" s="4"/>
      <c r="AE97" s="4"/>
      <c r="AF97" s="4"/>
      <c r="AG97" s="4"/>
      <c r="AH97" s="4"/>
      <c r="AI97" s="4"/>
      <c r="AJ97" s="4"/>
      <c r="AK97" s="4"/>
      <c r="AL97" s="4"/>
      <c r="AM97" s="4"/>
      <c r="AN97" s="4"/>
      <c r="AO97" s="4"/>
    </row>
    <row r="98" spans="1:41" ht="12.5" x14ac:dyDescent="0.25">
      <c r="A98" s="4" t="str">
        <f ca="1">IFERROR(__xludf.DUMMYFUNCTION("""COMPUTED_VALUE"""),"Yes")</f>
        <v>Yes</v>
      </c>
      <c r="B98" s="4" t="str">
        <f ca="1">IFERROR(__xludf.DUMMYFUNCTION("""COMPUTED_VALUE"""),"No")</f>
        <v>No</v>
      </c>
      <c r="C98" s="96"/>
      <c r="D98" s="96"/>
      <c r="E98" s="96"/>
      <c r="F98" s="96"/>
      <c r="G98" s="5" t="str">
        <f ca="1">IFERROR(__xludf.DUMMYFUNCTION("""COMPUTED_VALUE"""),"Limit of detection")</f>
        <v>Limit of detection</v>
      </c>
      <c r="H98" s="5" t="str">
        <f ca="1">IFERROR(__xludf.DUMMYFUNCTION("""COMPUTED_VALUE"""),"0:1")</f>
        <v>0:1</v>
      </c>
      <c r="I98" s="13"/>
      <c r="J98" s="4"/>
      <c r="K98" s="10"/>
      <c r="L98" s="10"/>
      <c r="M98" s="10"/>
      <c r="N98" s="10"/>
      <c r="O98" s="10"/>
      <c r="P98" s="10"/>
      <c r="Q98" s="10"/>
      <c r="R98" s="10"/>
      <c r="S98" s="10"/>
      <c r="T98" s="4"/>
      <c r="U98" s="4"/>
      <c r="V98" s="4"/>
      <c r="W98" s="4"/>
      <c r="X98" s="4"/>
      <c r="Y98" s="4"/>
      <c r="Z98" s="4"/>
      <c r="AA98" s="4"/>
      <c r="AB98" s="4"/>
      <c r="AC98" s="4"/>
      <c r="AD98" s="4"/>
      <c r="AE98" s="4"/>
      <c r="AF98" s="4"/>
      <c r="AG98" s="4"/>
      <c r="AH98" s="4"/>
      <c r="AI98" s="4"/>
      <c r="AJ98" s="4"/>
      <c r="AK98" s="4"/>
      <c r="AL98" s="4"/>
      <c r="AM98" s="4"/>
      <c r="AN98" s="4"/>
      <c r="AO98" s="4"/>
    </row>
    <row r="99" spans="1:41" ht="12.5" x14ac:dyDescent="0.25">
      <c r="A99" s="4" t="str">
        <f ca="1">IFERROR(__xludf.DUMMYFUNCTION("""COMPUTED_VALUE"""),"Yes")</f>
        <v>Yes</v>
      </c>
      <c r="B99" s="4" t="str">
        <f ca="1">IFERROR(__xludf.DUMMYFUNCTION("""COMPUTED_VALUE"""),"No")</f>
        <v>No</v>
      </c>
      <c r="C99" s="96"/>
      <c r="D99" s="96"/>
      <c r="E99" s="96"/>
      <c r="F99" s="96"/>
      <c r="G99" s="5" t="str">
        <f ca="1">IFERROR(__xludf.DUMMYFUNCTION("""COMPUTED_VALUE"""),"Limit of quantification")</f>
        <v>Limit of quantification</v>
      </c>
      <c r="H99" s="5" t="str">
        <f ca="1">IFERROR(__xludf.DUMMYFUNCTION("""COMPUTED_VALUE"""),"0:1")</f>
        <v>0:1</v>
      </c>
      <c r="I99" s="13"/>
      <c r="J99" s="4"/>
      <c r="K99" s="10"/>
      <c r="L99" s="10"/>
      <c r="M99" s="10"/>
      <c r="N99" s="10"/>
      <c r="O99" s="10"/>
      <c r="P99" s="10"/>
      <c r="Q99" s="10"/>
      <c r="R99" s="10"/>
      <c r="S99" s="10"/>
      <c r="T99" s="4"/>
      <c r="U99" s="4"/>
      <c r="V99" s="4"/>
      <c r="W99" s="4"/>
      <c r="X99" s="4"/>
      <c r="Y99" s="4"/>
      <c r="Z99" s="4"/>
      <c r="AA99" s="4"/>
      <c r="AB99" s="4"/>
      <c r="AC99" s="4"/>
      <c r="AD99" s="4"/>
      <c r="AE99" s="4"/>
      <c r="AF99" s="4"/>
      <c r="AG99" s="4"/>
      <c r="AH99" s="4"/>
      <c r="AI99" s="4"/>
      <c r="AJ99" s="4"/>
      <c r="AK99" s="4"/>
      <c r="AL99" s="4"/>
      <c r="AM99" s="4"/>
      <c r="AN99" s="4"/>
      <c r="AO99" s="4"/>
    </row>
    <row r="100" spans="1:41" ht="12.5" x14ac:dyDescent="0.25">
      <c r="A100" s="4" t="str">
        <f ca="1">IFERROR(__xludf.DUMMYFUNCTION("""COMPUTED_VALUE"""),"Yes")</f>
        <v>Yes</v>
      </c>
      <c r="B100" s="4" t="str">
        <f ca="1">IFERROR(__xludf.DUMMYFUNCTION("""COMPUTED_VALUE"""),"No")</f>
        <v>No</v>
      </c>
      <c r="C100" s="96"/>
      <c r="D100" s="96"/>
      <c r="E100" s="96"/>
      <c r="F100" s="96"/>
      <c r="G100" s="5" t="str">
        <f ca="1">IFERROR(__xludf.DUMMYFUNCTION("""COMPUTED_VALUE"""),"Left-censored data")</f>
        <v>Left-censored data</v>
      </c>
      <c r="H100" s="5" t="str">
        <f ca="1">IFERROR(__xludf.DUMMYFUNCTION("""COMPUTED_VALUE"""),"0:1")</f>
        <v>0:1</v>
      </c>
      <c r="I100" s="13"/>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x14ac:dyDescent="0.25">
      <c r="A101" s="4" t="str">
        <f ca="1">IFERROR(__xludf.DUMMYFUNCTION("""COMPUTED_VALUE"""),"Yes")</f>
        <v>Yes</v>
      </c>
      <c r="B101" s="4" t="str">
        <f ca="1">IFERROR(__xludf.DUMMYFUNCTION("""COMPUTED_VALUE"""),"No")</f>
        <v>No</v>
      </c>
      <c r="C101" s="96"/>
      <c r="D101" s="96"/>
      <c r="E101" s="96"/>
      <c r="F101" s="96"/>
      <c r="G101" s="5" t="str">
        <f ca="1">IFERROR(__xludf.DUMMYFUNCTION("""COMPUTED_VALUE"""),"Range of contamination")</f>
        <v>Range of contamination</v>
      </c>
      <c r="H101" s="5" t="str">
        <f ca="1">IFERROR(__xludf.DUMMYFUNCTION("""COMPUTED_VALUE"""),"0:1")</f>
        <v>0:1</v>
      </c>
      <c r="I101" s="13"/>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x14ac:dyDescent="0.25">
      <c r="A102" s="4" t="str">
        <f ca="1">IFERROR(__xludf.DUMMYFUNCTION("""COMPUTED_VALUE"""),"Yes")</f>
        <v>Yes</v>
      </c>
      <c r="B102" s="4" t="str">
        <f ca="1">IFERROR(__xludf.DUMMYFUNCTION("""COMPUTED_VALUE"""),"No")</f>
        <v>No</v>
      </c>
      <c r="C102" s="96"/>
      <c r="D102" s="96"/>
      <c r="E102" s="96"/>
      <c r="F102" s="96"/>
      <c r="G102" s="5" t="str">
        <f ca="1">IFERROR(__xludf.DUMMYFUNCTION("""COMPUTED_VALUE"""),"Uncertainty value")</f>
        <v>Uncertainty value</v>
      </c>
      <c r="H102" s="5" t="str">
        <f ca="1">IFERROR(__xludf.DUMMYFUNCTION("""COMPUTED_VALUE"""),"0:1")</f>
        <v>0:1</v>
      </c>
      <c r="I102" s="13"/>
      <c r="J102" s="4"/>
      <c r="K102" s="23"/>
      <c r="L102" s="98" t="str">
        <f ca="1">E121</f>
        <v>Quality measures</v>
      </c>
      <c r="M102" s="96"/>
      <c r="N102" s="23"/>
      <c r="O102" s="98" t="str">
        <f ca="1">E123</f>
        <v>Model equation</v>
      </c>
      <c r="P102" s="96"/>
      <c r="Q102" s="96"/>
      <c r="R102" s="96"/>
      <c r="S102" s="96"/>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x14ac:dyDescent="0.25">
      <c r="A103" s="4" t="str">
        <f ca="1">IFERROR(__xludf.DUMMYFUNCTION("""COMPUTED_VALUE"""),"Yes")</f>
        <v>Yes</v>
      </c>
      <c r="B103" s="4" t="str">
        <f ca="1">IFERROR(__xludf.DUMMYFUNCTION("""COMPUTED_VALUE"""),"Yes")</f>
        <v>Yes</v>
      </c>
      <c r="C103" s="95" t="str">
        <f ca="1">IFERROR(__xludf.DUMMYFUNCTION("""COMPUTED_VALUE"""),"Model math / Data definition")</f>
        <v>Model math / Data definition</v>
      </c>
      <c r="D103" s="95" t="str">
        <f ca="1">IFERROR(__xludf.DUMMYFUNCTION("""COMPUTED_VALUE"""),"1")</f>
        <v>1</v>
      </c>
      <c r="E103" s="97" t="str">
        <f ca="1">IFERROR(__xludf.DUMMYFUNCTION("""COMPUTED_VALUE"""),"Parameter / Factor / Input / Output / ""Data column""")</f>
        <v>Parameter / Factor / Input / Output / "Data column"</v>
      </c>
      <c r="F103" s="97" t="str">
        <f ca="1">IFERROR(__xludf.DUMMYFUNCTION("""COMPUTED_VALUE"""),"1:N")</f>
        <v>1:N</v>
      </c>
      <c r="G103" s="5" t="str">
        <f ca="1">IFERROR(__xludf.DUMMYFUNCTION("""COMPUTED_VALUE"""),"Parameter ID")</f>
        <v>Parameter ID</v>
      </c>
      <c r="H103" s="5" t="str">
        <f ca="1">IFERROR(__xludf.DUMMYFUNCTION("""COMPUTED_VALUE"""),"1")</f>
        <v>1</v>
      </c>
      <c r="I103" s="13"/>
      <c r="J103" s="4"/>
      <c r="K103" s="24"/>
      <c r="L103" s="68" t="str">
        <f ca="1">G121</f>
        <v>SSE / MSE / RMSE / Rsquared / AIC / BIC</v>
      </c>
      <c r="M103" s="26" t="str">
        <f ca="1">G122</f>
        <v>Sensitivity analysis</v>
      </c>
      <c r="N103" s="69"/>
      <c r="O103" s="25" t="str">
        <f ca="1">G123</f>
        <v>Model equation name</v>
      </c>
      <c r="P103" s="23" t="str">
        <f ca="1">G124</f>
        <v>Model equation class/distribution</v>
      </c>
      <c r="Q103" s="23" t="str">
        <f ca="1">G128</f>
        <v>Model equation reference</v>
      </c>
      <c r="R103" s="23" t="str">
        <f ca="1">G129</f>
        <v>Model equation / Script</v>
      </c>
      <c r="S103" s="69" t="str">
        <f ca="1">G130</f>
        <v>Hypothesis of the model</v>
      </c>
      <c r="T103" s="23"/>
      <c r="U103" s="23"/>
      <c r="V103" s="23"/>
      <c r="W103" s="23"/>
      <c r="X103" s="23"/>
      <c r="Y103" s="23"/>
      <c r="Z103" s="23"/>
      <c r="AA103" s="4"/>
      <c r="AB103" s="4"/>
      <c r="AC103" s="4"/>
      <c r="AD103" s="4"/>
      <c r="AE103" s="4"/>
      <c r="AF103" s="4"/>
      <c r="AG103" s="4"/>
      <c r="AH103" s="4"/>
      <c r="AI103" s="4"/>
      <c r="AJ103" s="4"/>
      <c r="AK103" s="4"/>
      <c r="AL103" s="4"/>
      <c r="AM103" s="4"/>
      <c r="AN103" s="4"/>
      <c r="AO103" s="4"/>
    </row>
    <row r="104" spans="1:41" ht="12.5" x14ac:dyDescent="0.25">
      <c r="A104" s="4" t="str">
        <f ca="1">IFERROR(__xludf.DUMMYFUNCTION("""COMPUTED_VALUE"""),"Yes")</f>
        <v>Yes</v>
      </c>
      <c r="B104" s="4" t="str">
        <f ca="1">IFERROR(__xludf.DUMMYFUNCTION("""COMPUTED_VALUE"""),"Yes")</f>
        <v>Yes</v>
      </c>
      <c r="C104" s="96"/>
      <c r="D104" s="96"/>
      <c r="E104" s="96"/>
      <c r="F104" s="96"/>
      <c r="G104" s="5" t="str">
        <f ca="1">IFERROR(__xludf.DUMMYFUNCTION("""COMPUTED_VALUE"""),"Parameter classification")</f>
        <v>Parameter classification</v>
      </c>
      <c r="H104" s="5" t="str">
        <f ca="1">IFERROR(__xludf.DUMMYFUNCTION("""COMPUTED_VALUE"""),"1")</f>
        <v>1</v>
      </c>
      <c r="I104" s="13"/>
      <c r="J104" s="4"/>
      <c r="K104" s="23"/>
      <c r="L104" s="52" t="str">
        <f ca="1">H121</f>
        <v>0:N</v>
      </c>
      <c r="M104" s="52" t="str">
        <f ca="1">H122</f>
        <v>0:N</v>
      </c>
      <c r="N104" s="23"/>
      <c r="O104" s="52" t="str">
        <f ca="1">H123</f>
        <v>1</v>
      </c>
      <c r="P104" s="70" t="str">
        <f ca="1">H124</f>
        <v>0:1</v>
      </c>
      <c r="Q104" s="52" t="str">
        <f ca="1">H128</f>
        <v>0:N</v>
      </c>
      <c r="R104" s="52" t="str">
        <f ca="1">H129</f>
        <v>1</v>
      </c>
      <c r="S104" s="52" t="str">
        <f ca="1">H130</f>
        <v>0:N</v>
      </c>
      <c r="T104" s="23"/>
      <c r="U104" s="23"/>
      <c r="V104" s="23"/>
      <c r="W104" s="23"/>
      <c r="X104" s="23"/>
      <c r="Y104" s="23"/>
      <c r="Z104" s="23"/>
      <c r="AA104" s="4"/>
      <c r="AB104" s="4"/>
      <c r="AC104" s="4"/>
      <c r="AD104" s="4"/>
      <c r="AE104" s="4"/>
      <c r="AF104" s="4"/>
      <c r="AG104" s="4"/>
      <c r="AH104" s="4"/>
      <c r="AI104" s="4"/>
      <c r="AJ104" s="4"/>
      <c r="AK104" s="4"/>
      <c r="AL104" s="4"/>
      <c r="AM104" s="4"/>
      <c r="AN104" s="4"/>
      <c r="AO104" s="4"/>
    </row>
    <row r="105" spans="1:41" ht="12.5" x14ac:dyDescent="0.25">
      <c r="A105" s="4" t="str">
        <f ca="1">IFERROR(__xludf.DUMMYFUNCTION("""COMPUTED_VALUE"""),"Yes")</f>
        <v>Yes</v>
      </c>
      <c r="B105" s="4" t="str">
        <f ca="1">IFERROR(__xludf.DUMMYFUNCTION("""COMPUTED_VALUE"""),"Yes")</f>
        <v>Yes</v>
      </c>
      <c r="C105" s="96"/>
      <c r="D105" s="96"/>
      <c r="E105" s="96"/>
      <c r="F105" s="96"/>
      <c r="G105" s="5" t="str">
        <f ca="1">IFERROR(__xludf.DUMMYFUNCTION("""COMPUTED_VALUE"""),"Parameter name")</f>
        <v>Parameter name</v>
      </c>
      <c r="H105" s="5" t="str">
        <f ca="1">IFERROR(__xludf.DUMMYFUNCTION("""COMPUTED_VALUE"""),"1")</f>
        <v>1</v>
      </c>
      <c r="I105" s="13"/>
      <c r="J105" s="4"/>
      <c r="K105" s="29" t="s">
        <v>17</v>
      </c>
      <c r="L105" s="30"/>
      <c r="M105" s="31"/>
      <c r="N105" s="29"/>
      <c r="O105" s="46"/>
      <c r="P105" s="12"/>
      <c r="Q105" s="31"/>
      <c r="R105" s="31"/>
      <c r="S105" s="31"/>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x14ac:dyDescent="0.25">
      <c r="A106" s="4" t="str">
        <f ca="1">IFERROR(__xludf.DUMMYFUNCTION("""COMPUTED_VALUE"""),"Yes")</f>
        <v>Yes</v>
      </c>
      <c r="B106" s="4" t="str">
        <f ca="1">IFERROR(__xludf.DUMMYFUNCTION("""COMPUTED_VALUE"""),"No")</f>
        <v>No</v>
      </c>
      <c r="C106" s="96"/>
      <c r="D106" s="96"/>
      <c r="E106" s="96"/>
      <c r="F106" s="96"/>
      <c r="G106" s="5" t="str">
        <f ca="1">IFERROR(__xludf.DUMMYFUNCTION("""COMPUTED_VALUE"""),"Parameter description")</f>
        <v>Parameter description</v>
      </c>
      <c r="H106" s="5" t="str">
        <f ca="1">IFERROR(__xludf.DUMMYFUNCTION("""COMPUTED_VALUE"""),"0:1")</f>
        <v>0:1</v>
      </c>
      <c r="I106" s="13"/>
      <c r="J106" s="4"/>
      <c r="K106" s="29" t="s">
        <v>18</v>
      </c>
      <c r="L106" s="32"/>
      <c r="M106" s="31"/>
      <c r="N106" s="29"/>
      <c r="O106" s="31"/>
      <c r="P106" s="12"/>
      <c r="Q106" s="31"/>
      <c r="R106" s="31"/>
      <c r="S106" s="31"/>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x14ac:dyDescent="0.25">
      <c r="A107" s="4" t="str">
        <f ca="1">IFERROR(__xludf.DUMMYFUNCTION("""COMPUTED_VALUE"""),"Yes")</f>
        <v>Yes</v>
      </c>
      <c r="B107" s="4" t="str">
        <f ca="1">IFERROR(__xludf.DUMMYFUNCTION("""COMPUTED_VALUE"""),"Yes")</f>
        <v>Yes</v>
      </c>
      <c r="C107" s="96"/>
      <c r="D107" s="96"/>
      <c r="E107" s="96"/>
      <c r="F107" s="96"/>
      <c r="G107" s="5" t="str">
        <f ca="1">IFERROR(__xludf.DUMMYFUNCTION("""COMPUTED_VALUE"""),"Parameter unit")</f>
        <v>Parameter unit</v>
      </c>
      <c r="H107" s="5" t="str">
        <f ca="1">IFERROR(__xludf.DUMMYFUNCTION("""COMPUTED_VALUE"""),"1")</f>
        <v>1</v>
      </c>
      <c r="I107" s="13"/>
      <c r="J107" s="4"/>
      <c r="K107" s="33" t="s">
        <v>42</v>
      </c>
      <c r="L107" s="31"/>
      <c r="M107" s="31"/>
      <c r="N107" s="29"/>
      <c r="O107" s="31"/>
      <c r="P107" s="12"/>
      <c r="Q107" s="31"/>
      <c r="R107" s="31"/>
      <c r="S107" s="31"/>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x14ac:dyDescent="0.25">
      <c r="A108" s="4" t="str">
        <f ca="1">IFERROR(__xludf.DUMMYFUNCTION("""COMPUTED_VALUE"""),"Yes")</f>
        <v>Yes</v>
      </c>
      <c r="B108" s="4" t="str">
        <f ca="1">IFERROR(__xludf.DUMMYFUNCTION("""COMPUTED_VALUE"""),"No")</f>
        <v>No</v>
      </c>
      <c r="C108" s="96"/>
      <c r="D108" s="96"/>
      <c r="E108" s="96"/>
      <c r="F108" s="96"/>
      <c r="G108" s="5" t="str">
        <f ca="1">IFERROR(__xludf.DUMMYFUNCTION("""COMPUTED_VALUE"""),"Parameter unit category")</f>
        <v>Parameter unit category</v>
      </c>
      <c r="H108" s="5" t="str">
        <f ca="1">IFERROR(__xludf.DUMMYFUNCTION("""COMPUTED_VALUE"""),"0:1")</f>
        <v>0:1</v>
      </c>
      <c r="I108" s="13"/>
      <c r="J108" s="4"/>
      <c r="K108" s="29" t="s">
        <v>20</v>
      </c>
      <c r="L108" s="31"/>
      <c r="M108" s="31"/>
      <c r="N108" s="29"/>
      <c r="O108" s="31"/>
      <c r="P108" s="12"/>
      <c r="Q108" s="31"/>
      <c r="R108" s="31"/>
      <c r="S108" s="31"/>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x14ac:dyDescent="0.25">
      <c r="A109" s="4" t="str">
        <f ca="1">IFERROR(__xludf.DUMMYFUNCTION("""COMPUTED_VALUE"""),"Yes")</f>
        <v>Yes</v>
      </c>
      <c r="B109" s="4" t="str">
        <f ca="1">IFERROR(__xludf.DUMMYFUNCTION("""COMPUTED_VALUE"""),"Yes")</f>
        <v>Yes</v>
      </c>
      <c r="C109" s="96"/>
      <c r="D109" s="96"/>
      <c r="E109" s="96"/>
      <c r="F109" s="96"/>
      <c r="G109" s="5" t="str">
        <f ca="1">IFERROR(__xludf.DUMMYFUNCTION("""COMPUTED_VALUE"""),"Parameter data type")</f>
        <v>Parameter data type</v>
      </c>
      <c r="H109" s="5" t="str">
        <f ca="1">IFERROR(__xludf.DUMMYFUNCTION("""COMPUTED_VALUE"""),"1")</f>
        <v>1</v>
      </c>
      <c r="I109" s="41"/>
      <c r="J109" s="4"/>
      <c r="K109" s="29" t="s">
        <v>21</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x14ac:dyDescent="0.25">
      <c r="A110" s="4" t="str">
        <f ca="1">IFERROR(__xludf.DUMMYFUNCTION("""COMPUTED_VALUE"""),"Yes")</f>
        <v>Yes</v>
      </c>
      <c r="B110" s="4" t="str">
        <f ca="1">IFERROR(__xludf.DUMMYFUNCTION("""COMPUTED_VALUE"""),"No")</f>
        <v>No</v>
      </c>
      <c r="C110" s="96"/>
      <c r="D110" s="96"/>
      <c r="E110" s="96"/>
      <c r="F110" s="96"/>
      <c r="G110" s="5" t="str">
        <f ca="1">IFERROR(__xludf.DUMMYFUNCTION("""COMPUTED_VALUE"""),"Parameter source")</f>
        <v>Parameter source</v>
      </c>
      <c r="H110" s="5" t="str">
        <f ca="1">IFERROR(__xludf.DUMMYFUNCTION("""COMPUTED_VALUE"""),"0:1")</f>
        <v>0:1</v>
      </c>
      <c r="I110" s="41"/>
      <c r="J110" s="4"/>
      <c r="K110" s="8" t="s">
        <v>22</v>
      </c>
      <c r="L110" s="34"/>
      <c r="M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x14ac:dyDescent="0.25">
      <c r="A111" s="4" t="str">
        <f ca="1">IFERROR(__xludf.DUMMYFUNCTION("""COMPUTED_VALUE"""),"Yes")</f>
        <v>Yes</v>
      </c>
      <c r="B111" s="4" t="str">
        <f ca="1">IFERROR(__xludf.DUMMYFUNCTION("""COMPUTED_VALUE"""),"Yes")</f>
        <v>Yes</v>
      </c>
      <c r="C111" s="96"/>
      <c r="D111" s="96"/>
      <c r="E111" s="96"/>
      <c r="F111" s="96"/>
      <c r="G111" s="5" t="str">
        <f ca="1">IFERROR(__xludf.DUMMYFUNCTION("""COMPUTED_VALUE"""),"Parameter subject")</f>
        <v>Parameter subject</v>
      </c>
      <c r="H111" s="5" t="str">
        <f ca="1">IFERROR(__xludf.DUMMYFUNCTION("""COMPUTED_VALUE"""),"0:1")</f>
        <v>0:1</v>
      </c>
      <c r="I111" s="41"/>
      <c r="J111" s="4"/>
      <c r="K111" s="23"/>
      <c r="L111" s="23"/>
      <c r="M111" s="23"/>
      <c r="N111" s="23"/>
      <c r="O111" s="23"/>
      <c r="P111" s="23"/>
      <c r="Q111" s="23"/>
      <c r="R111" s="23"/>
      <c r="S111" s="23"/>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x14ac:dyDescent="0.25">
      <c r="A112" s="4" t="str">
        <f ca="1">IFERROR(__xludf.DUMMYFUNCTION("""COMPUTED_VALUE"""),"Yes")</f>
        <v>Yes</v>
      </c>
      <c r="B112" s="4" t="str">
        <f ca="1">IFERROR(__xludf.DUMMYFUNCTION("""COMPUTED_VALUE"""),"Yes")</f>
        <v>Yes</v>
      </c>
      <c r="C112" s="96"/>
      <c r="D112" s="96"/>
      <c r="E112" s="96"/>
      <c r="F112" s="96"/>
      <c r="G112" s="5" t="str">
        <f ca="1">IFERROR(__xludf.DUMMYFUNCTION("""COMPUTED_VALUE"""),"Parameter distribution")</f>
        <v>Parameter distribution</v>
      </c>
      <c r="H112" s="5" t="str">
        <f ca="1">IFERROR(__xludf.DUMMYFUNCTION("""COMPUTED_VALUE"""),"0:1")</f>
        <v>0:1</v>
      </c>
      <c r="I112" s="41"/>
      <c r="J112" s="35" t="s">
        <v>23</v>
      </c>
      <c r="K112" s="98" t="str">
        <f ca="1">E103</f>
        <v>Parameter / Factor / Input / Output / "Data column"</v>
      </c>
      <c r="L112" s="96"/>
      <c r="M112" s="96"/>
      <c r="N112" s="96"/>
      <c r="O112" s="96"/>
      <c r="P112" s="96"/>
      <c r="Q112" s="96"/>
      <c r="R112" s="96"/>
      <c r="S112" s="96"/>
      <c r="T112" s="96"/>
      <c r="U112" s="96"/>
      <c r="V112" s="96"/>
      <c r="W112" s="96"/>
      <c r="X112" s="96"/>
      <c r="Y112" s="96"/>
      <c r="Z112" s="96"/>
      <c r="AA112" s="4"/>
      <c r="AB112" s="4"/>
      <c r="AC112" s="23"/>
      <c r="AD112" s="23"/>
      <c r="AE112" s="23"/>
      <c r="AF112" s="23"/>
      <c r="AG112" s="23"/>
      <c r="AH112" s="23"/>
      <c r="AI112" s="23"/>
      <c r="AJ112" s="23"/>
      <c r="AK112" s="23"/>
      <c r="AL112" s="23"/>
      <c r="AM112" s="23"/>
      <c r="AN112" s="23"/>
      <c r="AO112" s="23"/>
    </row>
    <row r="113" spans="1:40" ht="12.5" x14ac:dyDescent="0.25">
      <c r="A113" s="4" t="str">
        <f ca="1">IFERROR(__xludf.DUMMYFUNCTION("""COMPUTED_VALUE"""),"Yes")</f>
        <v>Yes</v>
      </c>
      <c r="B113" s="4" t="str">
        <f ca="1">IFERROR(__xludf.DUMMYFUNCTION("""COMPUTED_VALUE"""),"Yes")</f>
        <v>Yes</v>
      </c>
      <c r="C113" s="96"/>
      <c r="D113" s="96"/>
      <c r="E113" s="96"/>
      <c r="F113" s="96"/>
      <c r="G113" s="5"/>
      <c r="H113" s="5"/>
      <c r="I113" s="41"/>
      <c r="J113" s="4"/>
      <c r="K113" s="23" t="str">
        <f ca="1">G103</f>
        <v>Parameter ID</v>
      </c>
      <c r="L113" s="23" t="str">
        <f ca="1">G104</f>
        <v>Parameter classification</v>
      </c>
      <c r="M113" s="23" t="str">
        <f ca="1">G105</f>
        <v>Parameter name</v>
      </c>
      <c r="N113" s="23" t="str">
        <f ca="1">G106</f>
        <v>Parameter description</v>
      </c>
      <c r="O113" s="23" t="str">
        <f ca="1">G107</f>
        <v>Parameter unit</v>
      </c>
      <c r="P113" s="23" t="str">
        <f ca="1">G108</f>
        <v>Parameter unit category</v>
      </c>
      <c r="Q113" s="47" t="str">
        <f ca="1">G109</f>
        <v>Parameter data type</v>
      </c>
      <c r="R113" s="23" t="str">
        <f ca="1">G110</f>
        <v>Parameter source</v>
      </c>
      <c r="S113" s="23" t="str">
        <f ca="1">G111</f>
        <v>Parameter subject</v>
      </c>
      <c r="T113" s="23" t="str">
        <f ca="1">G112</f>
        <v>Parameter distribution</v>
      </c>
      <c r="U113" s="23" t="str">
        <f ca="1">G115</f>
        <v>Parameter value</v>
      </c>
      <c r="V113" s="23" t="str">
        <f ca="1">G116</f>
        <v>Parameter Reference</v>
      </c>
      <c r="W113" s="23" t="str">
        <f ca="1">G117</f>
        <v>Parameter variability subject</v>
      </c>
      <c r="X113" s="23" t="str">
        <f ca="1">G118</f>
        <v>Parameter value max</v>
      </c>
      <c r="Y113" t="str">
        <f ca="1">G119</f>
        <v>Parameter value min</v>
      </c>
      <c r="Z113" s="23" t="str">
        <f ca="1">G120</f>
        <v>Parameter error</v>
      </c>
      <c r="AA113" s="23"/>
      <c r="AB113" s="23"/>
      <c r="AC113" s="23"/>
      <c r="AD113" s="23"/>
      <c r="AE113" s="23"/>
      <c r="AF113" s="23"/>
      <c r="AG113" s="23"/>
      <c r="AH113" s="23"/>
      <c r="AI113" s="23"/>
      <c r="AJ113" s="23"/>
      <c r="AK113" s="23"/>
      <c r="AL113" s="23"/>
      <c r="AM113" s="23"/>
      <c r="AN113" s="23"/>
    </row>
    <row r="114" spans="1:40" ht="12.5" x14ac:dyDescent="0.25">
      <c r="A114" s="4" t="str">
        <f ca="1">IFERROR(__xludf.DUMMYFUNCTION("""COMPUTED_VALUE"""),"Yes")</f>
        <v>Yes</v>
      </c>
      <c r="B114" s="4" t="str">
        <f ca="1">IFERROR(__xludf.DUMMYFUNCTION("""COMPUTED_VALUE"""),"Yes")</f>
        <v>Yes</v>
      </c>
      <c r="C114" s="96"/>
      <c r="D114" s="96"/>
      <c r="E114" s="96"/>
      <c r="F114" s="96"/>
      <c r="G114" s="5"/>
      <c r="H114" s="5"/>
      <c r="I114" s="41"/>
      <c r="J114" s="4"/>
      <c r="K114" s="27" t="str">
        <f ca="1">H103</f>
        <v>1</v>
      </c>
      <c r="L114" s="27" t="str">
        <f ca="1">H104</f>
        <v>1</v>
      </c>
      <c r="M114" s="27" t="str">
        <f ca="1">H105</f>
        <v>1</v>
      </c>
      <c r="N114" s="27" t="str">
        <f ca="1">H106</f>
        <v>0:1</v>
      </c>
      <c r="O114" s="27" t="str">
        <f ca="1">H107</f>
        <v>1</v>
      </c>
      <c r="P114" s="27" t="str">
        <f ca="1">H108</f>
        <v>0:1</v>
      </c>
      <c r="Q114" s="27" t="str">
        <f ca="1">H109</f>
        <v>1</v>
      </c>
      <c r="R114" s="27" t="str">
        <f ca="1">H110</f>
        <v>0:1</v>
      </c>
      <c r="S114" s="27" t="str">
        <f ca="1">H111</f>
        <v>0:1</v>
      </c>
      <c r="T114" s="27" t="str">
        <f ca="1">H112</f>
        <v>0:1</v>
      </c>
      <c r="U114" s="27" t="str">
        <f ca="1">H115</f>
        <v>0:1</v>
      </c>
      <c r="V114" s="27" t="str">
        <f ca="1">H116</f>
        <v>0:1</v>
      </c>
      <c r="W114" s="27" t="str">
        <f ca="1">H117</f>
        <v>0:1</v>
      </c>
      <c r="X114" s="27" t="str">
        <f ca="1">H118</f>
        <v>0:1</v>
      </c>
      <c r="Y114" t="str">
        <f ca="1">H119</f>
        <v>0:1</v>
      </c>
      <c r="Z114" s="27" t="str">
        <f ca="1">H120</f>
        <v>0:1</v>
      </c>
      <c r="AA114" s="23"/>
      <c r="AB114" s="23"/>
      <c r="AC114" s="23"/>
      <c r="AD114" s="23"/>
      <c r="AE114" s="23"/>
      <c r="AF114" s="23"/>
      <c r="AG114" s="23"/>
      <c r="AH114" s="23"/>
      <c r="AI114" s="23"/>
      <c r="AJ114" s="23"/>
      <c r="AK114" s="23"/>
      <c r="AL114" s="23"/>
      <c r="AM114" s="23"/>
      <c r="AN114" s="23"/>
    </row>
    <row r="115" spans="1:40" ht="12.5" x14ac:dyDescent="0.25">
      <c r="A115" s="4" t="str">
        <f ca="1">IFERROR(__xludf.DUMMYFUNCTION("""COMPUTED_VALUE"""),"Yes")</f>
        <v>Yes</v>
      </c>
      <c r="B115" s="4" t="str">
        <f ca="1">IFERROR(__xludf.DUMMYFUNCTION("""COMPUTED_VALUE"""),"No")</f>
        <v>No</v>
      </c>
      <c r="C115" s="96"/>
      <c r="D115" s="96"/>
      <c r="E115" s="96"/>
      <c r="F115" s="96"/>
      <c r="G115" s="5" t="str">
        <f ca="1">IFERROR(__xludf.DUMMYFUNCTION("""COMPUTED_VALUE"""),"Parameter value")</f>
        <v>Parameter value</v>
      </c>
      <c r="H115" s="5" t="str">
        <f ca="1">IFERROR(__xludf.DUMMYFUNCTION("""COMPUTED_VALUE"""),"0:1")</f>
        <v>0:1</v>
      </c>
      <c r="I115" s="41"/>
      <c r="J115" s="4"/>
      <c r="K115" s="39"/>
      <c r="L115" s="40"/>
      <c r="M115" s="37"/>
      <c r="N115" s="37"/>
      <c r="O115" s="36" t="s">
        <v>25</v>
      </c>
      <c r="P115" s="13">
        <f>'Parameter unit'!U3</f>
        <v>0</v>
      </c>
      <c r="Q115" s="37"/>
      <c r="R115" s="37"/>
      <c r="S115" s="37"/>
      <c r="T115" s="37"/>
      <c r="U115" s="37"/>
      <c r="V115" s="37"/>
      <c r="W115" s="37"/>
      <c r="X115" s="37"/>
      <c r="Y115" s="48"/>
      <c r="Z115" s="37"/>
      <c r="AA115" s="23"/>
      <c r="AB115" s="23"/>
      <c r="AC115" s="23"/>
      <c r="AD115" s="23"/>
      <c r="AE115" s="23"/>
      <c r="AF115" s="23"/>
      <c r="AG115" s="23"/>
      <c r="AH115" s="23"/>
      <c r="AI115" s="23"/>
      <c r="AJ115" s="23"/>
      <c r="AK115" s="23"/>
      <c r="AL115" s="23"/>
      <c r="AM115" s="23"/>
      <c r="AN115" s="23"/>
    </row>
    <row r="116" spans="1:40" ht="12.5" x14ac:dyDescent="0.25">
      <c r="A116" s="4" t="str">
        <f ca="1">IFERROR(__xludf.DUMMYFUNCTION("""COMPUTED_VALUE"""),"Yes")</f>
        <v>Yes</v>
      </c>
      <c r="B116" s="4" t="str">
        <f ca="1">IFERROR(__xludf.DUMMYFUNCTION("""COMPUTED_VALUE"""),"No")</f>
        <v>No</v>
      </c>
      <c r="C116" s="96"/>
      <c r="D116" s="96"/>
      <c r="E116" s="96"/>
      <c r="F116" s="96"/>
      <c r="G116" s="5" t="str">
        <f ca="1">IFERROR(__xludf.DUMMYFUNCTION("""COMPUTED_VALUE"""),"Parameter Reference")</f>
        <v>Parameter Reference</v>
      </c>
      <c r="H116" s="5" t="str">
        <f ca="1">IFERROR(__xludf.DUMMYFUNCTION("""COMPUTED_VALUE"""),"0:1")</f>
        <v>0:1</v>
      </c>
      <c r="I116" s="41"/>
      <c r="J116" s="4"/>
      <c r="K116" s="39"/>
      <c r="L116" s="37"/>
      <c r="M116" s="37"/>
      <c r="N116" s="37"/>
      <c r="O116" s="36" t="s">
        <v>25</v>
      </c>
      <c r="P116" s="13">
        <f>'Parameter unit'!U4</f>
        <v>0</v>
      </c>
      <c r="Q116" s="37"/>
      <c r="R116" s="37"/>
      <c r="S116" s="37"/>
      <c r="T116" s="37"/>
      <c r="U116" s="37"/>
      <c r="V116" s="37"/>
      <c r="W116" s="37"/>
      <c r="X116" s="37"/>
      <c r="Y116" s="37"/>
      <c r="Z116" s="37"/>
      <c r="AA116" s="23"/>
      <c r="AB116" s="23"/>
      <c r="AC116" s="23"/>
      <c r="AD116" s="23"/>
      <c r="AE116" s="23"/>
      <c r="AF116" s="23"/>
      <c r="AG116" s="23"/>
      <c r="AH116" s="23"/>
      <c r="AI116" s="23"/>
      <c r="AJ116" s="23"/>
      <c r="AK116" s="23"/>
      <c r="AL116" s="23"/>
      <c r="AM116" s="23"/>
      <c r="AN116" s="23"/>
    </row>
    <row r="117" spans="1:40" ht="12.5" x14ac:dyDescent="0.25">
      <c r="A117" s="4" t="str">
        <f ca="1">IFERROR(__xludf.DUMMYFUNCTION("""COMPUTED_VALUE"""),"Yes")</f>
        <v>Yes</v>
      </c>
      <c r="B117" s="4" t="str">
        <f ca="1">IFERROR(__xludf.DUMMYFUNCTION("""COMPUTED_VALUE"""),"No")</f>
        <v>No</v>
      </c>
      <c r="C117" s="96"/>
      <c r="D117" s="96"/>
      <c r="E117" s="96"/>
      <c r="F117" s="96"/>
      <c r="G117" s="5" t="str">
        <f ca="1">IFERROR(__xludf.DUMMYFUNCTION("""COMPUTED_VALUE"""),"Parameter variability subject")</f>
        <v>Parameter variability subject</v>
      </c>
      <c r="H117" s="5" t="str">
        <f ca="1">IFERROR(__xludf.DUMMYFUNCTION("""COMPUTED_VALUE"""),"0:1")</f>
        <v>0:1</v>
      </c>
      <c r="I117" s="41"/>
      <c r="J117" s="4"/>
      <c r="K117" s="39"/>
      <c r="L117" s="37"/>
      <c r="M117" s="37"/>
      <c r="N117" s="37"/>
      <c r="O117" s="36" t="s">
        <v>25</v>
      </c>
      <c r="P117" s="13">
        <f>'Parameter unit'!U5</f>
        <v>0</v>
      </c>
      <c r="Q117" s="37"/>
      <c r="R117" s="37"/>
      <c r="S117" s="37"/>
      <c r="T117" s="37"/>
      <c r="U117" s="37"/>
      <c r="V117" s="37"/>
      <c r="W117" s="37"/>
      <c r="X117" s="37"/>
      <c r="Y117" s="37"/>
      <c r="Z117" s="37"/>
      <c r="AA117" s="23"/>
      <c r="AB117" s="23"/>
      <c r="AC117" s="23"/>
      <c r="AD117" s="23"/>
      <c r="AE117" s="23"/>
      <c r="AF117" s="23"/>
      <c r="AG117" s="23"/>
      <c r="AH117" s="23"/>
      <c r="AI117" s="23"/>
      <c r="AJ117" s="23"/>
      <c r="AK117" s="23"/>
      <c r="AL117" s="23"/>
      <c r="AM117" s="23"/>
      <c r="AN117" s="23"/>
    </row>
    <row r="118" spans="1:40" ht="12.5" x14ac:dyDescent="0.25">
      <c r="A118" s="4" t="str">
        <f ca="1">IFERROR(__xludf.DUMMYFUNCTION("""COMPUTED_VALUE"""),"Yes")</f>
        <v>Yes</v>
      </c>
      <c r="B118" s="4" t="str">
        <f ca="1">IFERROR(__xludf.DUMMYFUNCTION("""COMPUTED_VALUE"""),"No")</f>
        <v>No</v>
      </c>
      <c r="C118" s="96"/>
      <c r="D118" s="96"/>
      <c r="E118" s="96"/>
      <c r="F118" s="96"/>
      <c r="G118" s="5" t="str">
        <f ca="1">IFERROR(__xludf.DUMMYFUNCTION("""COMPUTED_VALUE"""),"Parameter value max")</f>
        <v>Parameter value max</v>
      </c>
      <c r="H118" s="5" t="str">
        <f ca="1">IFERROR(__xludf.DUMMYFUNCTION("""COMPUTED_VALUE"""),"0:1")</f>
        <v>0:1</v>
      </c>
      <c r="I118" s="41"/>
      <c r="J118" s="4"/>
      <c r="K118" s="39"/>
      <c r="L118" s="37"/>
      <c r="M118" s="37"/>
      <c r="N118" s="37"/>
      <c r="O118" s="36" t="s">
        <v>25</v>
      </c>
      <c r="P118" s="13">
        <f>'Parameter unit'!U6</f>
        <v>0</v>
      </c>
      <c r="Q118" s="37"/>
      <c r="R118" s="37"/>
      <c r="S118" s="37"/>
      <c r="T118" s="37"/>
      <c r="U118" s="37"/>
      <c r="V118" s="37"/>
      <c r="W118" s="37"/>
      <c r="X118" s="37"/>
      <c r="Y118" s="37"/>
      <c r="Z118" s="37"/>
      <c r="AA118" s="23"/>
      <c r="AB118" s="23"/>
      <c r="AC118" s="23"/>
      <c r="AD118" s="23"/>
      <c r="AE118" s="23"/>
      <c r="AF118" s="23"/>
      <c r="AG118" s="23"/>
      <c r="AH118" s="23"/>
      <c r="AI118" s="23"/>
      <c r="AJ118" s="23"/>
      <c r="AK118" s="23"/>
      <c r="AL118" s="23"/>
      <c r="AM118" s="23"/>
      <c r="AN118" s="23"/>
    </row>
    <row r="119" spans="1:40" ht="12.5" x14ac:dyDescent="0.25">
      <c r="A119" s="4" t="str">
        <f ca="1">IFERROR(__xludf.DUMMYFUNCTION("""COMPUTED_VALUE"""),"Yes")</f>
        <v>Yes</v>
      </c>
      <c r="B119" s="4" t="str">
        <f ca="1">IFERROR(__xludf.DUMMYFUNCTION("""COMPUTED_VALUE"""),"No")</f>
        <v>No</v>
      </c>
      <c r="C119" s="96"/>
      <c r="D119" s="96"/>
      <c r="E119" s="96"/>
      <c r="F119" s="96"/>
      <c r="G119" s="5" t="str">
        <f ca="1">IFERROR(__xludf.DUMMYFUNCTION("""COMPUTED_VALUE"""),"Parameter value min")</f>
        <v>Parameter value min</v>
      </c>
      <c r="H119" s="5" t="str">
        <f ca="1">IFERROR(__xludf.DUMMYFUNCTION("""COMPUTED_VALUE"""),"0:1")</f>
        <v>0:1</v>
      </c>
      <c r="I119" s="41"/>
      <c r="J119" s="4"/>
      <c r="K119" s="39"/>
      <c r="L119" s="37"/>
      <c r="M119" s="37"/>
      <c r="N119" s="37"/>
      <c r="O119" s="36" t="s">
        <v>25</v>
      </c>
      <c r="P119" s="13">
        <f>'Parameter unit'!U7</f>
        <v>0</v>
      </c>
      <c r="Q119" s="37"/>
      <c r="R119" s="37"/>
      <c r="S119" s="37"/>
      <c r="T119" s="37"/>
      <c r="U119" s="37"/>
      <c r="V119" s="37"/>
      <c r="W119" s="37"/>
      <c r="X119" s="37"/>
      <c r="Y119" s="37"/>
      <c r="Z119" s="37"/>
      <c r="AA119" s="23"/>
      <c r="AB119" s="23"/>
      <c r="AC119" s="23"/>
      <c r="AD119" s="23"/>
      <c r="AE119" s="23"/>
      <c r="AF119" s="23"/>
      <c r="AG119" s="23"/>
      <c r="AH119" s="23"/>
      <c r="AI119" s="23"/>
      <c r="AJ119" s="23"/>
      <c r="AK119" s="23"/>
      <c r="AL119" s="23"/>
      <c r="AM119" s="23"/>
      <c r="AN119" s="23"/>
    </row>
    <row r="120" spans="1:40" ht="12.5" x14ac:dyDescent="0.25">
      <c r="A120" s="4" t="str">
        <f ca="1">IFERROR(__xludf.DUMMYFUNCTION("""COMPUTED_VALUE"""),"Yes")</f>
        <v>Yes</v>
      </c>
      <c r="B120" s="4" t="str">
        <f ca="1">IFERROR(__xludf.DUMMYFUNCTION("""COMPUTED_VALUE"""),"No")</f>
        <v>No</v>
      </c>
      <c r="C120" s="96"/>
      <c r="D120" s="96"/>
      <c r="E120" s="96"/>
      <c r="F120" s="96"/>
      <c r="G120" s="5" t="str">
        <f ca="1">IFERROR(__xludf.DUMMYFUNCTION("""COMPUTED_VALUE"""),"Parameter error")</f>
        <v>Parameter error</v>
      </c>
      <c r="H120" s="5" t="str">
        <f ca="1">IFERROR(__xludf.DUMMYFUNCTION("""COMPUTED_VALUE"""),"0:1")</f>
        <v>0:1</v>
      </c>
      <c r="I120" s="41"/>
      <c r="J120" s="4"/>
      <c r="K120" s="39"/>
      <c r="L120" s="37"/>
      <c r="M120" s="37"/>
      <c r="N120" s="37"/>
      <c r="O120" s="36" t="s">
        <v>25</v>
      </c>
      <c r="P120" s="13">
        <f>'Parameter unit'!U8</f>
        <v>0</v>
      </c>
      <c r="Q120" s="37"/>
      <c r="R120" s="37"/>
      <c r="S120" s="37"/>
      <c r="T120" s="37"/>
      <c r="U120" s="37"/>
      <c r="V120" s="37"/>
      <c r="W120" s="37"/>
      <c r="X120" s="37"/>
      <c r="Y120" s="37"/>
      <c r="Z120" s="37"/>
      <c r="AA120" s="23"/>
      <c r="AB120" s="23"/>
      <c r="AC120" s="23"/>
      <c r="AD120" s="23"/>
      <c r="AE120" s="23"/>
      <c r="AF120" s="23"/>
      <c r="AG120" s="23"/>
      <c r="AH120" s="23"/>
      <c r="AI120" s="23"/>
      <c r="AJ120" s="23"/>
      <c r="AK120" s="23"/>
      <c r="AL120" s="23"/>
      <c r="AM120" s="23"/>
      <c r="AN120" s="23"/>
    </row>
    <row r="121" spans="1:40" ht="12.5" x14ac:dyDescent="0.25">
      <c r="A121" s="4" t="str">
        <f ca="1">IFERROR(__xludf.DUMMYFUNCTION("""COMPUTED_VALUE"""),"Yes")</f>
        <v>Yes</v>
      </c>
      <c r="B121" s="4" t="str">
        <f ca="1">IFERROR(__xludf.DUMMYFUNCTION("""COMPUTED_VALUE"""),"No")</f>
        <v>No</v>
      </c>
      <c r="C121" s="96"/>
      <c r="D121" s="96"/>
      <c r="E121" s="97" t="str">
        <f ca="1">IFERROR(__xludf.DUMMYFUNCTION("""COMPUTED_VALUE"""),"Quality measures")</f>
        <v>Quality measures</v>
      </c>
      <c r="F121" s="97"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41"/>
      <c r="J121" s="4"/>
      <c r="K121" s="39"/>
      <c r="L121" s="37"/>
      <c r="M121" s="37"/>
      <c r="N121" s="37"/>
      <c r="O121" s="36" t="s">
        <v>25</v>
      </c>
      <c r="P121" s="13">
        <f>'Parameter unit'!U9</f>
        <v>0</v>
      </c>
      <c r="Q121" s="37"/>
      <c r="R121" s="37"/>
      <c r="S121" s="37"/>
      <c r="T121" s="37"/>
      <c r="U121" s="37"/>
      <c r="V121" s="37"/>
      <c r="W121" s="37"/>
      <c r="X121" s="37"/>
      <c r="Y121" s="37"/>
      <c r="Z121" s="37"/>
      <c r="AA121" s="23"/>
      <c r="AB121" s="23"/>
      <c r="AC121" s="23"/>
      <c r="AD121" s="23"/>
      <c r="AE121" s="23"/>
      <c r="AF121" s="23"/>
      <c r="AG121" s="23"/>
      <c r="AH121" s="23"/>
      <c r="AI121" s="23"/>
      <c r="AJ121" s="23"/>
      <c r="AK121" s="23"/>
      <c r="AL121" s="23"/>
      <c r="AM121" s="23"/>
      <c r="AN121" s="23"/>
    </row>
    <row r="122" spans="1:40" ht="12.5" x14ac:dyDescent="0.25">
      <c r="A122" s="4" t="str">
        <f ca="1">IFERROR(__xludf.DUMMYFUNCTION("""COMPUTED_VALUE"""),"Yes")</f>
        <v>Yes</v>
      </c>
      <c r="B122" s="4" t="str">
        <f ca="1">IFERROR(__xludf.DUMMYFUNCTION("""COMPUTED_VALUE"""),"No")</f>
        <v>No</v>
      </c>
      <c r="C122" s="96"/>
      <c r="D122" s="96"/>
      <c r="E122" s="96"/>
      <c r="F122" s="96"/>
      <c r="G122" s="5" t="str">
        <f ca="1">IFERROR(__xludf.DUMMYFUNCTION("""COMPUTED_VALUE"""),"Sensitivity analysis")</f>
        <v>Sensitivity analysis</v>
      </c>
      <c r="H122" s="5" t="str">
        <f ca="1">IFERROR(__xludf.DUMMYFUNCTION("""COMPUTED_VALUE"""),"0:N")</f>
        <v>0:N</v>
      </c>
      <c r="I122" s="41"/>
      <c r="J122" s="4"/>
      <c r="K122" s="39"/>
      <c r="L122" s="37"/>
      <c r="M122" s="37"/>
      <c r="N122" s="37"/>
      <c r="O122" s="36" t="s">
        <v>25</v>
      </c>
      <c r="P122" s="13">
        <f>'Parameter unit'!U10</f>
        <v>0</v>
      </c>
      <c r="Q122" s="37"/>
      <c r="R122" s="37"/>
      <c r="S122" s="37"/>
      <c r="T122" s="37"/>
      <c r="U122" s="37"/>
      <c r="V122" s="37"/>
      <c r="W122" s="37"/>
      <c r="X122" s="37"/>
      <c r="Y122" s="37"/>
      <c r="Z122" s="37"/>
      <c r="AA122" s="23"/>
      <c r="AB122" s="23"/>
      <c r="AC122" s="23"/>
      <c r="AD122" s="23"/>
      <c r="AE122" s="23"/>
      <c r="AF122" s="23"/>
      <c r="AG122" s="23"/>
      <c r="AH122" s="23"/>
      <c r="AI122" s="23"/>
      <c r="AJ122" s="23"/>
      <c r="AK122" s="23"/>
      <c r="AL122" s="23"/>
      <c r="AM122" s="23"/>
      <c r="AN122" s="23"/>
    </row>
    <row r="123" spans="1:40" ht="12.5" x14ac:dyDescent="0.25">
      <c r="A123" s="4" t="str">
        <f ca="1">IFERROR(__xludf.DUMMYFUNCTION("""COMPUTED_VALUE"""),"Yes")</f>
        <v>Yes</v>
      </c>
      <c r="B123" s="4" t="str">
        <f ca="1">IFERROR(__xludf.DUMMYFUNCTION("""COMPUTED_VALUE"""),"No")</f>
        <v>No</v>
      </c>
      <c r="C123" s="96"/>
      <c r="D123" s="96"/>
      <c r="E123" s="97" t="str">
        <f ca="1">IFERROR(__xludf.DUMMYFUNCTION("""COMPUTED_VALUE"""),"Model equation")</f>
        <v>Model equation</v>
      </c>
      <c r="F123" s="97" t="str">
        <f ca="1">IFERROR(__xludf.DUMMYFUNCTION("""COMPUTED_VALUE"""),"0:N")</f>
        <v>0:N</v>
      </c>
      <c r="G123" s="5" t="str">
        <f ca="1">IFERROR(__xludf.DUMMYFUNCTION("""COMPUTED_VALUE"""),"Model equation name")</f>
        <v>Model equation name</v>
      </c>
      <c r="H123" s="5" t="str">
        <f ca="1">IFERROR(__xludf.DUMMYFUNCTION("""COMPUTED_VALUE"""),"1")</f>
        <v>1</v>
      </c>
      <c r="I123" s="41"/>
      <c r="J123" s="4"/>
      <c r="K123" s="39"/>
      <c r="L123" s="37"/>
      <c r="M123" s="37"/>
      <c r="N123" s="37"/>
      <c r="O123" s="36" t="s">
        <v>25</v>
      </c>
      <c r="P123" s="13">
        <f>'Parameter unit'!U11</f>
        <v>0</v>
      </c>
      <c r="Q123" s="37"/>
      <c r="R123" s="37"/>
      <c r="S123" s="37"/>
      <c r="T123" s="37"/>
      <c r="U123" s="37"/>
      <c r="V123" s="37"/>
      <c r="W123" s="37"/>
      <c r="X123" s="37"/>
      <c r="Y123" s="37"/>
      <c r="Z123" s="37"/>
      <c r="AA123" s="23"/>
      <c r="AB123" s="23"/>
      <c r="AC123" s="23"/>
      <c r="AD123" s="23"/>
      <c r="AE123" s="23"/>
      <c r="AF123" s="23"/>
      <c r="AG123" s="23"/>
      <c r="AH123" s="23"/>
      <c r="AI123" s="23"/>
      <c r="AJ123" s="23"/>
      <c r="AK123" s="23"/>
      <c r="AL123" s="23"/>
      <c r="AM123" s="23"/>
      <c r="AN123" s="23"/>
    </row>
    <row r="124" spans="1:40" ht="12.5" x14ac:dyDescent="0.25">
      <c r="A124" s="4" t="str">
        <f ca="1">IFERROR(__xludf.DUMMYFUNCTION("""COMPUTED_VALUE"""),"Yes")</f>
        <v>Yes</v>
      </c>
      <c r="B124" s="4" t="str">
        <f ca="1">IFERROR(__xludf.DUMMYFUNCTION("""COMPUTED_VALUE"""),"No")</f>
        <v>No</v>
      </c>
      <c r="C124" s="96"/>
      <c r="D124" s="96"/>
      <c r="E124" s="96"/>
      <c r="F124" s="96"/>
      <c r="G124" s="5" t="str">
        <f ca="1">IFERROR(__xludf.DUMMYFUNCTION("""COMPUTED_VALUE"""),"Model equation class/distribution")</f>
        <v>Model equation class/distribution</v>
      </c>
      <c r="H124" s="5" t="str">
        <f ca="1">IFERROR(__xludf.DUMMYFUNCTION("""COMPUTED_VALUE"""),"0:1")</f>
        <v>0:1</v>
      </c>
      <c r="I124" s="41"/>
      <c r="J124" s="4"/>
      <c r="K124" s="39"/>
      <c r="L124" s="37"/>
      <c r="M124" s="37"/>
      <c r="N124" s="37"/>
      <c r="O124" s="36" t="s">
        <v>25</v>
      </c>
      <c r="P124" s="13">
        <f>'Parameter unit'!U12</f>
        <v>0</v>
      </c>
      <c r="Q124" s="37"/>
      <c r="R124" s="37"/>
      <c r="S124" s="37"/>
      <c r="T124" s="37"/>
      <c r="U124" s="37"/>
      <c r="V124" s="37"/>
      <c r="W124" s="37"/>
      <c r="X124" s="37"/>
      <c r="Y124" s="37"/>
      <c r="Z124" s="37"/>
      <c r="AA124" s="23"/>
      <c r="AB124" s="23"/>
      <c r="AC124" s="23"/>
      <c r="AD124" s="23"/>
      <c r="AE124" s="23"/>
      <c r="AF124" s="23"/>
      <c r="AG124" s="23"/>
      <c r="AH124" s="23"/>
      <c r="AI124" s="23"/>
      <c r="AJ124" s="23"/>
      <c r="AK124" s="23"/>
      <c r="AL124" s="23"/>
      <c r="AM124" s="23"/>
      <c r="AN124" s="23"/>
    </row>
    <row r="125" spans="1:40" ht="12.5" x14ac:dyDescent="0.25">
      <c r="A125" s="4" t="str">
        <f ca="1">IFERROR(__xludf.DUMMYFUNCTION("""COMPUTED_VALUE"""),"Yes")</f>
        <v>Yes</v>
      </c>
      <c r="B125" s="4" t="str">
        <f ca="1">IFERROR(__xludf.DUMMYFUNCTION("""COMPUTED_VALUE"""),"No")</f>
        <v>No</v>
      </c>
      <c r="C125" s="96"/>
      <c r="D125" s="96"/>
      <c r="E125" s="96"/>
      <c r="F125" s="96"/>
      <c r="G125" s="5"/>
      <c r="H125" s="5"/>
      <c r="I125" s="41"/>
      <c r="J125" s="4"/>
      <c r="K125" s="39"/>
      <c r="L125" s="37"/>
      <c r="M125" s="37"/>
      <c r="N125" s="37"/>
      <c r="O125" s="36" t="s">
        <v>25</v>
      </c>
      <c r="P125" s="13">
        <f>'Parameter unit'!U13</f>
        <v>0</v>
      </c>
      <c r="Q125" s="37"/>
      <c r="R125" s="37"/>
      <c r="S125" s="37"/>
      <c r="T125" s="37"/>
      <c r="U125" s="37"/>
      <c r="V125" s="37"/>
      <c r="W125" s="37"/>
      <c r="X125" s="37"/>
      <c r="Y125" s="37"/>
      <c r="Z125" s="37"/>
      <c r="AA125" s="23"/>
      <c r="AB125" s="23"/>
      <c r="AC125" s="23"/>
      <c r="AD125" s="23"/>
      <c r="AE125" s="23"/>
      <c r="AF125" s="23"/>
      <c r="AG125" s="23"/>
      <c r="AH125" s="23"/>
      <c r="AI125" s="23"/>
      <c r="AJ125" s="23"/>
      <c r="AK125" s="23"/>
      <c r="AL125" s="23"/>
      <c r="AM125" s="23"/>
      <c r="AN125" s="23"/>
    </row>
    <row r="126" spans="1:40" ht="12.5" x14ac:dyDescent="0.25">
      <c r="A126" s="4" t="str">
        <f ca="1">IFERROR(__xludf.DUMMYFUNCTION("""COMPUTED_VALUE"""),"Yes")</f>
        <v>Yes</v>
      </c>
      <c r="B126" s="4" t="str">
        <f ca="1">IFERROR(__xludf.DUMMYFUNCTION("""COMPUTED_VALUE"""),"No")</f>
        <v>No</v>
      </c>
      <c r="C126" s="96"/>
      <c r="D126" s="96"/>
      <c r="E126" s="96"/>
      <c r="F126" s="96"/>
      <c r="G126" s="5"/>
      <c r="H126" s="5"/>
      <c r="I126" s="41"/>
      <c r="J126" s="4"/>
      <c r="K126" s="39"/>
      <c r="L126" s="37"/>
      <c r="M126" s="37"/>
      <c r="N126" s="37"/>
      <c r="O126" s="36" t="s">
        <v>25</v>
      </c>
      <c r="P126" s="13">
        <f>'Parameter unit'!U14</f>
        <v>0</v>
      </c>
      <c r="Q126" s="37"/>
      <c r="R126" s="37"/>
      <c r="S126" s="37"/>
      <c r="T126" s="37"/>
      <c r="U126" s="37"/>
      <c r="V126" s="37"/>
      <c r="W126" s="37"/>
      <c r="X126" s="37"/>
      <c r="Y126" s="37"/>
      <c r="Z126" s="37"/>
      <c r="AA126" s="23"/>
      <c r="AB126" s="23"/>
      <c r="AC126" s="23"/>
      <c r="AD126" s="23"/>
      <c r="AE126" s="23"/>
      <c r="AF126" s="23"/>
      <c r="AG126" s="23"/>
      <c r="AH126" s="23"/>
      <c r="AI126" s="23"/>
      <c r="AJ126" s="23"/>
      <c r="AK126" s="23"/>
      <c r="AL126" s="23"/>
      <c r="AM126" s="23"/>
      <c r="AN126" s="23"/>
    </row>
    <row r="127" spans="1:40" ht="12.5" x14ac:dyDescent="0.25">
      <c r="A127" s="4" t="str">
        <f ca="1">IFERROR(__xludf.DUMMYFUNCTION("""COMPUTED_VALUE"""),"Yes")</f>
        <v>Yes</v>
      </c>
      <c r="B127" s="4" t="str">
        <f ca="1">IFERROR(__xludf.DUMMYFUNCTION("""COMPUTED_VALUE"""),"No")</f>
        <v>No</v>
      </c>
      <c r="C127" s="96"/>
      <c r="D127" s="96"/>
      <c r="E127" s="96"/>
      <c r="F127" s="96"/>
      <c r="G127" s="5"/>
      <c r="H127" s="5"/>
      <c r="I127" s="41"/>
      <c r="J127" s="4"/>
      <c r="K127" s="39"/>
      <c r="L127" s="37"/>
      <c r="M127" s="37"/>
      <c r="N127" s="37"/>
      <c r="O127" s="36" t="s">
        <v>25</v>
      </c>
      <c r="P127" s="13">
        <f>'Parameter unit'!U15</f>
        <v>0</v>
      </c>
      <c r="Q127" s="37"/>
      <c r="R127" s="37"/>
      <c r="S127" s="37"/>
      <c r="T127" s="37"/>
      <c r="U127" s="37"/>
      <c r="V127" s="37"/>
      <c r="W127" s="37"/>
      <c r="X127" s="37"/>
      <c r="Y127" s="37"/>
      <c r="Z127" s="37"/>
      <c r="AA127" s="23"/>
      <c r="AB127" s="23"/>
      <c r="AC127" s="23"/>
      <c r="AD127" s="23"/>
      <c r="AE127" s="23"/>
      <c r="AF127" s="23"/>
      <c r="AG127" s="23"/>
      <c r="AH127" s="23"/>
      <c r="AI127" s="23"/>
      <c r="AJ127" s="23"/>
      <c r="AK127" s="23"/>
      <c r="AL127" s="23"/>
      <c r="AM127" s="23"/>
      <c r="AN127" s="23"/>
    </row>
    <row r="128" spans="1:40" ht="12.5" x14ac:dyDescent="0.25">
      <c r="A128" s="4" t="str">
        <f ca="1">IFERROR(__xludf.DUMMYFUNCTION("""COMPUTED_VALUE"""),"Yes")</f>
        <v>Yes</v>
      </c>
      <c r="B128" s="4" t="str">
        <f ca="1">IFERROR(__xludf.DUMMYFUNCTION("""COMPUTED_VALUE"""),"No")</f>
        <v>No</v>
      </c>
      <c r="C128" s="96"/>
      <c r="D128" s="96"/>
      <c r="E128" s="96"/>
      <c r="F128" s="96"/>
      <c r="G128" s="5" t="str">
        <f ca="1">IFERROR(__xludf.DUMMYFUNCTION("""COMPUTED_VALUE"""),"Model equation reference")</f>
        <v>Model equation reference</v>
      </c>
      <c r="H128" s="5" t="str">
        <f ca="1">IFERROR(__xludf.DUMMYFUNCTION("""COMPUTED_VALUE"""),"0:N")</f>
        <v>0:N</v>
      </c>
      <c r="I128" s="41"/>
      <c r="J128" s="4"/>
      <c r="K128" s="39"/>
      <c r="L128" s="37"/>
      <c r="M128" s="37"/>
      <c r="N128" s="37"/>
      <c r="O128" s="36" t="s">
        <v>25</v>
      </c>
      <c r="P128" s="13">
        <f>'Parameter unit'!U16</f>
        <v>0</v>
      </c>
      <c r="Q128" s="37"/>
      <c r="R128" s="37"/>
      <c r="S128" s="37"/>
      <c r="T128" s="37"/>
      <c r="U128" s="37"/>
      <c r="V128" s="37"/>
      <c r="W128" s="37"/>
      <c r="X128" s="37"/>
      <c r="Y128" s="37"/>
      <c r="Z128" s="37"/>
      <c r="AA128" s="23"/>
      <c r="AB128" s="23"/>
      <c r="AC128" s="23"/>
      <c r="AD128" s="23"/>
      <c r="AE128" s="23"/>
      <c r="AF128" s="23"/>
      <c r="AG128" s="23"/>
      <c r="AH128" s="23"/>
      <c r="AI128" s="23"/>
      <c r="AJ128" s="23"/>
      <c r="AK128" s="23"/>
      <c r="AL128" s="23"/>
      <c r="AM128" s="23"/>
      <c r="AN128" s="23"/>
    </row>
    <row r="129" spans="1:40" ht="12.5" x14ac:dyDescent="0.25">
      <c r="A129" s="4" t="str">
        <f ca="1">IFERROR(__xludf.DUMMYFUNCTION("""COMPUTED_VALUE"""),"Yes")</f>
        <v>Yes</v>
      </c>
      <c r="B129" s="4" t="str">
        <f ca="1">IFERROR(__xludf.DUMMYFUNCTION("""COMPUTED_VALUE"""),"No")</f>
        <v>No</v>
      </c>
      <c r="C129" s="96"/>
      <c r="D129" s="96"/>
      <c r="E129" s="96"/>
      <c r="F129" s="96"/>
      <c r="G129" s="5" t="str">
        <f ca="1">IFERROR(__xludf.DUMMYFUNCTION("""COMPUTED_VALUE"""),"Model equation / Script")</f>
        <v>Model equation / Script</v>
      </c>
      <c r="H129" s="5" t="str">
        <f ca="1">IFERROR(__xludf.DUMMYFUNCTION("""COMPUTED_VALUE"""),"1")</f>
        <v>1</v>
      </c>
      <c r="I129" s="41"/>
      <c r="J129" s="4"/>
      <c r="K129" s="39"/>
      <c r="L129" s="37"/>
      <c r="M129" s="37"/>
      <c r="N129" s="37"/>
      <c r="O129" s="36" t="s">
        <v>25</v>
      </c>
      <c r="P129" s="13">
        <f>'Parameter unit'!U17</f>
        <v>0</v>
      </c>
      <c r="Q129" s="37"/>
      <c r="R129" s="37"/>
      <c r="S129" s="37"/>
      <c r="T129" s="37"/>
      <c r="U129" s="37"/>
      <c r="V129" s="37"/>
      <c r="W129" s="37"/>
      <c r="X129" s="37"/>
      <c r="Y129" s="37"/>
      <c r="Z129" s="37"/>
      <c r="AA129" s="23"/>
      <c r="AB129" s="23"/>
      <c r="AC129" s="23"/>
      <c r="AD129" s="23"/>
      <c r="AE129" s="23"/>
      <c r="AF129" s="23"/>
      <c r="AG129" s="23"/>
      <c r="AH129" s="23"/>
      <c r="AI129" s="23"/>
      <c r="AJ129" s="23"/>
      <c r="AK129" s="23"/>
      <c r="AL129" s="23"/>
      <c r="AM129" s="23"/>
      <c r="AN129" s="23"/>
    </row>
    <row r="130" spans="1:40" ht="12.5" x14ac:dyDescent="0.25">
      <c r="A130" s="4" t="str">
        <f ca="1">IFERROR(__xludf.DUMMYFUNCTION("""COMPUTED_VALUE"""),"Yes")</f>
        <v>Yes</v>
      </c>
      <c r="B130" s="4" t="str">
        <f ca="1">IFERROR(__xludf.DUMMYFUNCTION("""COMPUTED_VALUE"""),"No")</f>
        <v>No</v>
      </c>
      <c r="C130" s="96"/>
      <c r="D130" s="96"/>
      <c r="E130" s="96"/>
      <c r="F130" s="96"/>
      <c r="G130" s="5" t="str">
        <f ca="1">IFERROR(__xludf.DUMMYFUNCTION("""COMPUTED_VALUE"""),"Hypothesis of the model")</f>
        <v>Hypothesis of the model</v>
      </c>
      <c r="H130" s="5" t="str">
        <f ca="1">IFERROR(__xludf.DUMMYFUNCTION("""COMPUTED_VALUE"""),"0:N")</f>
        <v>0:N</v>
      </c>
      <c r="I130" s="41"/>
      <c r="J130" s="4"/>
      <c r="K130" s="39"/>
      <c r="L130" s="37"/>
      <c r="M130" s="37"/>
      <c r="N130" s="37"/>
      <c r="O130" s="36" t="s">
        <v>25</v>
      </c>
      <c r="P130" s="13">
        <f>'Parameter unit'!U18</f>
        <v>0</v>
      </c>
      <c r="Q130" s="37"/>
      <c r="R130" s="37"/>
      <c r="S130" s="37"/>
      <c r="T130" s="37"/>
      <c r="U130" s="37"/>
      <c r="V130" s="37"/>
      <c r="W130" s="37"/>
      <c r="X130" s="37"/>
      <c r="Y130" s="37"/>
      <c r="Z130" s="37"/>
      <c r="AA130" s="23"/>
      <c r="AB130" s="23"/>
      <c r="AC130" s="23"/>
      <c r="AD130" s="23"/>
      <c r="AE130" s="23"/>
      <c r="AF130" s="23"/>
      <c r="AG130" s="23"/>
      <c r="AH130" s="23"/>
      <c r="AI130" s="23"/>
      <c r="AJ130" s="23"/>
      <c r="AK130" s="23"/>
      <c r="AL130" s="23"/>
      <c r="AM130" s="23"/>
      <c r="AN130" s="23"/>
    </row>
    <row r="131" spans="1:40" ht="12.5" x14ac:dyDescent="0.25">
      <c r="A131" s="4" t="str">
        <f ca="1">IFERROR(__xludf.DUMMYFUNCTION("""COMPUTED_VALUE"""),"Yes")</f>
        <v>Yes</v>
      </c>
      <c r="B131" s="4" t="str">
        <f ca="1">IFERROR(__xludf.DUMMYFUNCTION("""COMPUTED_VALUE"""),"No")</f>
        <v>No</v>
      </c>
      <c r="C131" s="96"/>
      <c r="D131" s="96"/>
      <c r="E131" s="5" t="str">
        <f ca="1">IFERROR(__xludf.DUMMYFUNCTION("""COMPUTED_VALUE"""),"Fitting procedure")</f>
        <v>Fitting procedure</v>
      </c>
      <c r="F131" s="97" t="str">
        <f ca="1">IFERROR(__xludf.DUMMYFUNCTION("""COMPUTED_VALUE"""),"0:1")</f>
        <v>0:1</v>
      </c>
      <c r="G131" s="96"/>
      <c r="H131" s="96"/>
      <c r="I131" s="11"/>
      <c r="J131" s="4"/>
      <c r="K131" s="39"/>
      <c r="L131" s="37"/>
      <c r="M131" s="37"/>
      <c r="N131" s="37"/>
      <c r="O131" s="36" t="s">
        <v>25</v>
      </c>
      <c r="P131" s="13">
        <f>'Parameter unit'!U19</f>
        <v>0</v>
      </c>
      <c r="Q131" s="37"/>
      <c r="R131" s="37"/>
      <c r="S131" s="37"/>
      <c r="T131" s="37"/>
      <c r="U131" s="37"/>
      <c r="V131" s="37"/>
      <c r="W131" s="37"/>
      <c r="X131" s="37"/>
      <c r="Y131" s="37"/>
      <c r="Z131" s="37"/>
      <c r="AA131" s="23"/>
      <c r="AB131" s="23"/>
      <c r="AC131" s="23"/>
      <c r="AD131" s="23"/>
      <c r="AE131" s="23"/>
      <c r="AF131" s="23"/>
      <c r="AG131" s="23"/>
      <c r="AH131" s="23"/>
      <c r="AI131" s="23"/>
      <c r="AJ131" s="23"/>
      <c r="AK131" s="23"/>
      <c r="AL131" s="23"/>
      <c r="AM131" s="23"/>
      <c r="AN131" s="23"/>
    </row>
    <row r="132" spans="1:40" ht="12.5" x14ac:dyDescent="0.25">
      <c r="A132" s="4" t="str">
        <f ca="1">IFERROR(__xludf.DUMMYFUNCTION("""COMPUTED_VALUE"""),"Yes")</f>
        <v>Yes</v>
      </c>
      <c r="B132" s="4" t="str">
        <f ca="1">IFERROR(__xludf.DUMMYFUNCTION("""COMPUTED_VALUE"""),"No")</f>
        <v>No</v>
      </c>
      <c r="C132" s="96"/>
      <c r="D132" s="96"/>
      <c r="E132" s="5" t="str">
        <f ca="1">IFERROR(__xludf.DUMMYFUNCTION("""COMPUTED_VALUE"""),"Events")</f>
        <v>Events</v>
      </c>
      <c r="F132" s="97" t="str">
        <f ca="1">IFERROR(__xludf.DUMMYFUNCTION("""COMPUTED_VALUE"""),"0:N")</f>
        <v>0:N</v>
      </c>
      <c r="G132" s="96"/>
      <c r="H132" s="96"/>
      <c r="I132" s="41"/>
      <c r="J132" s="4"/>
      <c r="K132" s="39"/>
      <c r="L132" s="37"/>
      <c r="M132" s="37"/>
      <c r="N132" s="37"/>
      <c r="O132" s="36" t="s">
        <v>25</v>
      </c>
      <c r="P132" s="13">
        <f>'Parameter unit'!U20</f>
        <v>0</v>
      </c>
      <c r="Q132" s="37"/>
      <c r="R132" s="37"/>
      <c r="S132" s="37"/>
      <c r="T132" s="37"/>
      <c r="U132" s="37"/>
      <c r="V132" s="37"/>
      <c r="W132" s="37"/>
      <c r="X132" s="37"/>
      <c r="Y132" s="37"/>
      <c r="Z132" s="37"/>
      <c r="AA132" s="23"/>
      <c r="AB132" s="23"/>
      <c r="AC132" s="23"/>
      <c r="AD132" s="23"/>
      <c r="AE132" s="23"/>
      <c r="AF132" s="23"/>
      <c r="AG132" s="23"/>
      <c r="AH132" s="23"/>
      <c r="AI132" s="23"/>
      <c r="AJ132" s="23"/>
      <c r="AK132" s="23"/>
      <c r="AL132" s="23"/>
      <c r="AM132" s="23"/>
      <c r="AN132" s="23"/>
    </row>
    <row r="133" spans="1:40" ht="12.5" x14ac:dyDescent="0.25">
      <c r="A133" s="4"/>
      <c r="B133" s="4"/>
      <c r="C133" s="5"/>
      <c r="D133" s="5"/>
      <c r="E133" s="5"/>
      <c r="F133" s="5"/>
      <c r="G133" s="5"/>
      <c r="H133" s="5"/>
      <c r="I133" s="5"/>
      <c r="J133" s="4"/>
      <c r="K133" s="39"/>
      <c r="L133" s="37"/>
      <c r="M133" s="37"/>
      <c r="N133" s="37"/>
      <c r="O133" s="36" t="s">
        <v>25</v>
      </c>
      <c r="P133" s="13">
        <f>'Parameter unit'!U21</f>
        <v>0</v>
      </c>
      <c r="Q133" s="37"/>
      <c r="R133" s="37"/>
      <c r="S133" s="37"/>
      <c r="T133" s="37"/>
      <c r="U133" s="37"/>
      <c r="V133" s="37"/>
      <c r="W133" s="37"/>
      <c r="X133" s="37"/>
      <c r="Y133" s="37"/>
      <c r="Z133" s="37"/>
      <c r="AA133" s="23"/>
      <c r="AB133" s="23"/>
      <c r="AC133" s="23"/>
      <c r="AD133" s="23"/>
      <c r="AE133" s="23"/>
      <c r="AF133" s="23"/>
      <c r="AG133" s="23"/>
      <c r="AH133" s="23"/>
      <c r="AI133" s="23"/>
      <c r="AJ133" s="23"/>
      <c r="AK133" s="23"/>
      <c r="AL133" s="23"/>
      <c r="AM133" s="23"/>
      <c r="AN133" s="23"/>
    </row>
    <row r="134" spans="1:40" ht="12.5" x14ac:dyDescent="0.25">
      <c r="A134" s="4"/>
      <c r="B134" s="4"/>
      <c r="C134" s="5"/>
      <c r="D134" s="5"/>
      <c r="E134" s="5"/>
      <c r="F134" s="5"/>
      <c r="G134" s="5"/>
      <c r="H134" s="5"/>
      <c r="I134" s="5"/>
      <c r="J134" s="4"/>
      <c r="K134" s="4"/>
      <c r="L134" s="4"/>
      <c r="M134" s="4"/>
      <c r="N134" s="4"/>
      <c r="O134" s="4"/>
      <c r="P134" s="4"/>
      <c r="Q134" s="4"/>
      <c r="R134" s="4"/>
      <c r="S134" s="4"/>
      <c r="T134" s="4"/>
      <c r="U134" s="4"/>
      <c r="V134" s="4"/>
      <c r="W134" s="4"/>
      <c r="X134" s="4"/>
      <c r="Y134" s="4"/>
      <c r="Z134" s="4"/>
      <c r="AA134" s="23"/>
      <c r="AB134" s="23"/>
      <c r="AC134" s="23"/>
      <c r="AD134" s="23"/>
      <c r="AE134" s="23"/>
      <c r="AF134" s="23"/>
      <c r="AG134" s="23"/>
      <c r="AH134" s="23"/>
      <c r="AI134" s="23"/>
      <c r="AJ134" s="23"/>
      <c r="AK134" s="23"/>
      <c r="AL134" s="23"/>
      <c r="AM134" s="23"/>
      <c r="AN134" s="23"/>
    </row>
    <row r="135" spans="1:40" ht="12.5" x14ac:dyDescent="0.25">
      <c r="A135" s="4"/>
      <c r="B135" s="4"/>
      <c r="C135" s="5"/>
      <c r="D135" s="5"/>
      <c r="E135" s="5"/>
      <c r="F135" s="5"/>
      <c r="G135" s="5"/>
      <c r="H135" s="5"/>
      <c r="I135" s="5"/>
      <c r="J135" s="4"/>
      <c r="K135" s="4"/>
      <c r="L135" s="4"/>
      <c r="M135" s="4"/>
      <c r="N135" s="4"/>
      <c r="O135" s="4"/>
      <c r="P135" s="4"/>
      <c r="Q135" s="4"/>
      <c r="R135" s="4"/>
      <c r="S135" s="4"/>
      <c r="T135" s="4"/>
      <c r="U135" s="4"/>
      <c r="V135" s="4"/>
      <c r="W135" s="4"/>
      <c r="X135" s="4"/>
      <c r="Y135" s="4"/>
      <c r="Z135" s="4"/>
      <c r="AA135" s="23"/>
      <c r="AB135" s="23"/>
      <c r="AC135" s="23"/>
      <c r="AD135" s="23"/>
      <c r="AE135" s="23"/>
      <c r="AF135" s="23"/>
      <c r="AG135" s="23"/>
      <c r="AH135" s="23"/>
      <c r="AI135" s="23"/>
      <c r="AJ135" s="23"/>
      <c r="AK135" s="23"/>
      <c r="AL135" s="23"/>
      <c r="AM135" s="23"/>
      <c r="AN135" s="23"/>
    </row>
    <row r="136" spans="1:40" ht="12.5" x14ac:dyDescent="0.25">
      <c r="A136" s="4"/>
      <c r="B136" s="4"/>
      <c r="C136" s="5"/>
      <c r="D136" s="5"/>
      <c r="E136" s="5"/>
      <c r="F136" s="5"/>
      <c r="G136" s="5"/>
      <c r="H136" s="5"/>
      <c r="I136" s="5"/>
      <c r="J136" s="4"/>
      <c r="K136" s="4"/>
      <c r="L136" s="4"/>
      <c r="M136" s="4"/>
      <c r="N136" s="4"/>
      <c r="O136" s="4"/>
      <c r="P136" s="4"/>
      <c r="Q136" s="4"/>
      <c r="R136" s="4"/>
      <c r="S136" s="4"/>
      <c r="T136" s="4"/>
      <c r="U136" s="4"/>
      <c r="V136" s="4"/>
      <c r="W136" s="4"/>
      <c r="X136" s="4"/>
      <c r="Y136" s="4"/>
      <c r="Z136" s="4"/>
      <c r="AA136" s="23"/>
      <c r="AB136" s="23"/>
      <c r="AC136" s="23"/>
      <c r="AD136" s="23"/>
      <c r="AE136" s="23"/>
      <c r="AF136" s="23"/>
      <c r="AG136" s="23"/>
      <c r="AH136" s="23"/>
      <c r="AI136" s="23"/>
      <c r="AJ136" s="23"/>
      <c r="AK136" s="23"/>
      <c r="AL136" s="23"/>
      <c r="AM136" s="23"/>
      <c r="AN136" s="23"/>
    </row>
    <row r="137" spans="1:40" ht="12.5" x14ac:dyDescent="0.25">
      <c r="A137" s="4"/>
      <c r="B137" s="4"/>
      <c r="C137" s="5"/>
      <c r="D137" s="5"/>
      <c r="E137" s="5"/>
      <c r="F137" s="5"/>
      <c r="G137" s="5"/>
      <c r="H137" s="5"/>
      <c r="I137" s="5"/>
      <c r="J137" s="4"/>
      <c r="K137" s="4"/>
      <c r="L137" s="4"/>
      <c r="M137" s="4"/>
      <c r="N137" s="4"/>
      <c r="O137" s="4"/>
      <c r="P137" s="4"/>
      <c r="Q137" s="4"/>
      <c r="R137" s="4"/>
      <c r="S137" s="4"/>
      <c r="T137" s="4"/>
      <c r="U137" s="4"/>
      <c r="V137" s="4"/>
      <c r="W137" s="4"/>
      <c r="X137" s="4"/>
      <c r="Y137" s="4"/>
      <c r="Z137" s="4"/>
      <c r="AA137" s="23"/>
      <c r="AB137" s="23"/>
      <c r="AC137" s="23"/>
      <c r="AD137" s="23"/>
      <c r="AE137" s="23"/>
      <c r="AF137" s="23"/>
      <c r="AG137" s="23"/>
      <c r="AH137" s="23"/>
      <c r="AI137" s="23"/>
      <c r="AJ137" s="23"/>
      <c r="AK137" s="23"/>
      <c r="AL137" s="23"/>
      <c r="AM137" s="23"/>
      <c r="AN137" s="23"/>
    </row>
    <row r="138" spans="1:40" ht="12.5" x14ac:dyDescent="0.25">
      <c r="A138" s="4"/>
      <c r="B138" s="4"/>
      <c r="C138" s="5"/>
      <c r="D138" s="5"/>
      <c r="E138" s="5"/>
      <c r="F138" s="5"/>
      <c r="G138" s="5"/>
      <c r="H138" s="5"/>
      <c r="I138" s="5"/>
      <c r="J138" s="4"/>
      <c r="K138" s="4"/>
      <c r="L138" s="4"/>
      <c r="M138" s="4"/>
      <c r="N138" s="4"/>
      <c r="O138" s="4"/>
      <c r="P138" s="4"/>
      <c r="Q138" s="4"/>
      <c r="R138" s="4"/>
      <c r="S138" s="4"/>
      <c r="T138" s="4"/>
      <c r="U138" s="4"/>
      <c r="V138" s="4"/>
      <c r="W138" s="4"/>
      <c r="X138" s="4"/>
      <c r="Y138" s="4"/>
      <c r="Z138" s="4"/>
      <c r="AA138" s="23"/>
      <c r="AB138" s="23"/>
      <c r="AC138" s="23"/>
      <c r="AD138" s="23"/>
      <c r="AE138" s="23"/>
      <c r="AF138" s="23"/>
      <c r="AG138" s="23"/>
      <c r="AH138" s="23"/>
      <c r="AI138" s="23"/>
      <c r="AJ138" s="23"/>
      <c r="AK138" s="23"/>
      <c r="AL138" s="23"/>
      <c r="AM138" s="23"/>
      <c r="AN138" s="23"/>
    </row>
    <row r="139" spans="1:40" ht="12.5" x14ac:dyDescent="0.25">
      <c r="A139" s="4"/>
      <c r="B139" s="4"/>
      <c r="C139" s="5"/>
      <c r="D139" s="5"/>
      <c r="E139" s="5"/>
      <c r="F139" s="5"/>
      <c r="G139" s="5"/>
      <c r="H139" s="5"/>
      <c r="I139" s="5"/>
      <c r="J139" s="4"/>
      <c r="K139" s="4"/>
      <c r="L139" s="4"/>
      <c r="M139" s="4"/>
      <c r="N139" s="4"/>
      <c r="O139" s="4"/>
      <c r="P139" s="4"/>
      <c r="Q139" s="4"/>
      <c r="R139" s="4"/>
      <c r="S139" s="4"/>
      <c r="T139" s="4"/>
      <c r="U139" s="4"/>
      <c r="V139" s="4"/>
      <c r="W139" s="4"/>
      <c r="X139" s="4"/>
      <c r="Y139" s="4"/>
      <c r="Z139" s="4"/>
      <c r="AA139" s="23"/>
      <c r="AB139" s="23"/>
      <c r="AC139" s="23"/>
      <c r="AD139" s="23"/>
      <c r="AE139" s="23"/>
      <c r="AF139" s="23"/>
      <c r="AG139" s="23"/>
      <c r="AH139" s="23"/>
      <c r="AI139" s="23"/>
      <c r="AJ139" s="23"/>
      <c r="AK139" s="23"/>
      <c r="AL139" s="23"/>
      <c r="AM139" s="23"/>
      <c r="AN139" s="23"/>
    </row>
    <row r="140" spans="1:40" ht="12.5" x14ac:dyDescent="0.25">
      <c r="A140" s="4"/>
      <c r="B140" s="4"/>
      <c r="C140" s="5"/>
      <c r="D140" s="5"/>
      <c r="E140" s="5"/>
      <c r="F140" s="5"/>
      <c r="G140" s="5"/>
      <c r="H140" s="5"/>
      <c r="I140" s="5"/>
      <c r="J140" s="4"/>
      <c r="K140" s="4"/>
      <c r="L140" s="4"/>
      <c r="M140" s="4"/>
      <c r="N140" s="4"/>
      <c r="O140" s="4"/>
      <c r="P140" s="4"/>
      <c r="Q140" s="4"/>
      <c r="R140" s="4"/>
      <c r="S140" s="4"/>
      <c r="T140" s="4"/>
      <c r="U140" s="4"/>
      <c r="V140" s="4"/>
      <c r="W140" s="4"/>
      <c r="X140" s="4"/>
      <c r="Y140" s="4"/>
      <c r="Z140" s="4"/>
      <c r="AA140" s="23"/>
      <c r="AB140" s="23"/>
      <c r="AC140" s="23"/>
      <c r="AD140" s="23"/>
      <c r="AE140" s="23"/>
      <c r="AF140" s="23"/>
      <c r="AG140" s="23"/>
      <c r="AH140" s="23"/>
      <c r="AI140" s="23"/>
      <c r="AJ140" s="23"/>
      <c r="AK140" s="23"/>
      <c r="AL140" s="23"/>
      <c r="AM140" s="23"/>
      <c r="AN140" s="23"/>
    </row>
    <row r="141" spans="1:40" ht="12.5" x14ac:dyDescent="0.25">
      <c r="A141" s="4"/>
      <c r="B141" s="4"/>
      <c r="C141" s="5"/>
      <c r="D141" s="5"/>
      <c r="E141" s="5"/>
      <c r="F141" s="5"/>
      <c r="G141" s="5"/>
      <c r="H141" s="5"/>
      <c r="I141" s="5"/>
      <c r="J141" s="4"/>
      <c r="K141" s="4"/>
      <c r="L141" s="4"/>
      <c r="M141" s="4"/>
      <c r="N141" s="4"/>
      <c r="O141" s="4"/>
      <c r="P141" s="4"/>
      <c r="Q141" s="4"/>
      <c r="R141" s="4"/>
      <c r="S141" s="4"/>
      <c r="T141" s="4"/>
      <c r="U141" s="4"/>
      <c r="V141" s="4"/>
      <c r="W141" s="4"/>
      <c r="X141" s="4"/>
      <c r="Y141" s="4"/>
      <c r="Z141" s="4"/>
      <c r="AA141" s="23"/>
      <c r="AB141" s="23"/>
      <c r="AC141" s="23"/>
      <c r="AD141" s="23"/>
      <c r="AE141" s="23"/>
      <c r="AF141" s="23"/>
      <c r="AG141" s="23"/>
      <c r="AH141" s="23"/>
      <c r="AI141" s="23"/>
      <c r="AJ141" s="23"/>
      <c r="AK141" s="23"/>
      <c r="AL141" s="23"/>
      <c r="AM141" s="23"/>
      <c r="AN141" s="23"/>
    </row>
    <row r="142" spans="1:40" ht="12.5" x14ac:dyDescent="0.25">
      <c r="A142" s="4"/>
      <c r="B142" s="4"/>
      <c r="C142" s="5"/>
      <c r="D142" s="5"/>
      <c r="E142" s="5"/>
      <c r="F142" s="5"/>
      <c r="G142" s="5"/>
      <c r="H142" s="5"/>
      <c r="I142" s="5"/>
      <c r="J142" s="4"/>
      <c r="K142" s="4"/>
      <c r="L142" s="4"/>
      <c r="M142" s="4"/>
      <c r="N142" s="4"/>
      <c r="O142" s="4"/>
      <c r="P142" s="4"/>
      <c r="Q142" s="4"/>
      <c r="R142" s="4"/>
      <c r="S142" s="4"/>
      <c r="T142" s="4"/>
      <c r="U142" s="4"/>
      <c r="V142" s="4"/>
      <c r="W142" s="4"/>
      <c r="X142" s="4"/>
      <c r="Y142" s="4"/>
      <c r="Z142" s="4"/>
      <c r="AA142" s="23"/>
      <c r="AB142" s="23"/>
      <c r="AC142" s="23"/>
      <c r="AD142" s="23"/>
      <c r="AE142" s="23"/>
      <c r="AF142" s="23"/>
      <c r="AG142" s="23"/>
      <c r="AH142" s="23"/>
      <c r="AI142" s="23"/>
      <c r="AJ142" s="23"/>
      <c r="AK142" s="23"/>
      <c r="AL142" s="23"/>
      <c r="AM142" s="23"/>
      <c r="AN142" s="23"/>
    </row>
    <row r="143" spans="1:40" ht="12.5" x14ac:dyDescent="0.25">
      <c r="A143" s="4"/>
      <c r="B143" s="4"/>
      <c r="C143" s="5"/>
      <c r="D143" s="5"/>
      <c r="E143" s="5"/>
      <c r="F143" s="5"/>
      <c r="G143" s="5"/>
      <c r="H143" s="5"/>
      <c r="I143" s="5"/>
      <c r="J143" s="4"/>
      <c r="K143" s="4"/>
      <c r="L143" s="4"/>
      <c r="M143" s="4"/>
      <c r="N143" s="4"/>
      <c r="O143" s="4"/>
      <c r="P143" s="4"/>
      <c r="Q143" s="4"/>
      <c r="R143" s="4"/>
      <c r="S143" s="4"/>
      <c r="T143" s="4"/>
      <c r="U143" s="4"/>
      <c r="V143" s="4"/>
      <c r="W143" s="4"/>
      <c r="X143" s="4"/>
      <c r="Y143" s="4"/>
      <c r="Z143" s="4"/>
      <c r="AA143" s="23"/>
      <c r="AB143" s="23"/>
      <c r="AC143" s="23"/>
      <c r="AD143" s="23"/>
      <c r="AE143" s="23"/>
      <c r="AF143" s="23"/>
      <c r="AG143" s="23"/>
      <c r="AH143" s="23"/>
      <c r="AI143" s="23"/>
      <c r="AJ143" s="23"/>
      <c r="AK143" s="23"/>
      <c r="AL143" s="23"/>
      <c r="AM143" s="23"/>
      <c r="AN143" s="23"/>
    </row>
    <row r="144" spans="1:40" ht="12.5" x14ac:dyDescent="0.25">
      <c r="A144" s="4"/>
      <c r="B144" s="4"/>
      <c r="C144" s="5"/>
      <c r="D144" s="5"/>
      <c r="E144" s="5"/>
      <c r="F144" s="5"/>
      <c r="G144" s="5"/>
      <c r="H144" s="5"/>
      <c r="I144" s="5"/>
      <c r="J144" s="4"/>
      <c r="K144" s="4"/>
      <c r="L144" s="4"/>
      <c r="M144" s="4"/>
      <c r="N144" s="4"/>
      <c r="O144" s="4"/>
      <c r="P144" s="4"/>
      <c r="Q144" s="4"/>
      <c r="R144" s="4"/>
      <c r="S144" s="4"/>
      <c r="T144" s="4"/>
      <c r="U144" s="4"/>
      <c r="V144" s="4"/>
      <c r="W144" s="4"/>
      <c r="X144" s="4"/>
      <c r="Y144" s="4"/>
      <c r="Z144" s="4"/>
      <c r="AA144" s="23"/>
      <c r="AB144" s="23"/>
      <c r="AC144" s="23"/>
      <c r="AD144" s="23"/>
      <c r="AE144" s="23"/>
      <c r="AF144" s="23"/>
      <c r="AG144" s="23"/>
      <c r="AH144" s="23"/>
      <c r="AI144" s="23"/>
      <c r="AJ144" s="23"/>
      <c r="AK144" s="23"/>
      <c r="AL144" s="23"/>
      <c r="AM144" s="23"/>
      <c r="AN144" s="23"/>
    </row>
    <row r="145" spans="1:40" ht="12.5" x14ac:dyDescent="0.25">
      <c r="A145" s="4"/>
      <c r="B145" s="4"/>
      <c r="C145" s="5"/>
      <c r="D145" s="5"/>
      <c r="E145" s="5"/>
      <c r="F145" s="5"/>
      <c r="G145" s="5"/>
      <c r="H145" s="5"/>
      <c r="I145" s="5"/>
      <c r="J145" s="4"/>
      <c r="K145" s="4"/>
      <c r="L145" s="4"/>
      <c r="M145" s="4"/>
      <c r="N145" s="4"/>
      <c r="O145" s="4"/>
      <c r="P145" s="4"/>
      <c r="Q145" s="4"/>
      <c r="R145" s="4"/>
      <c r="S145" s="4"/>
      <c r="T145" s="4"/>
      <c r="U145" s="4"/>
      <c r="V145" s="4"/>
      <c r="W145" s="4"/>
      <c r="X145" s="4"/>
      <c r="Y145" s="4"/>
      <c r="Z145" s="4"/>
      <c r="AA145" s="23"/>
      <c r="AB145" s="23"/>
      <c r="AC145" s="23"/>
      <c r="AD145" s="23"/>
      <c r="AE145" s="23"/>
      <c r="AF145" s="23"/>
      <c r="AG145" s="23"/>
      <c r="AH145" s="23"/>
      <c r="AI145" s="23"/>
      <c r="AJ145" s="23"/>
      <c r="AK145" s="23"/>
      <c r="AL145" s="23"/>
      <c r="AM145" s="23"/>
      <c r="AN145" s="23"/>
    </row>
    <row r="146" spans="1:40" ht="12.5" x14ac:dyDescent="0.25">
      <c r="A146" s="4"/>
      <c r="B146" s="4"/>
      <c r="C146" s="5"/>
      <c r="D146" s="5"/>
      <c r="E146" s="5"/>
      <c r="F146" s="5"/>
      <c r="G146" s="5"/>
      <c r="H146" s="5"/>
      <c r="I146" s="5"/>
      <c r="J146" s="4"/>
      <c r="K146" s="4"/>
      <c r="L146" s="4"/>
      <c r="M146" s="4"/>
      <c r="N146" s="4"/>
      <c r="O146" s="4"/>
      <c r="P146" s="4"/>
      <c r="Q146" s="4"/>
      <c r="R146" s="4"/>
      <c r="S146" s="4"/>
      <c r="T146" s="4"/>
      <c r="U146" s="4"/>
      <c r="V146" s="4"/>
      <c r="W146" s="4"/>
      <c r="X146" s="4"/>
      <c r="Y146" s="4"/>
      <c r="Z146" s="4"/>
      <c r="AA146" s="23"/>
      <c r="AB146" s="23"/>
      <c r="AC146" s="23"/>
      <c r="AD146" s="23"/>
      <c r="AE146" s="23"/>
      <c r="AF146" s="23"/>
      <c r="AG146" s="23"/>
      <c r="AH146" s="23"/>
      <c r="AI146" s="23"/>
      <c r="AJ146" s="23"/>
      <c r="AK146" s="23"/>
      <c r="AL146" s="23"/>
      <c r="AM146" s="23"/>
      <c r="AN146" s="23"/>
    </row>
    <row r="147" spans="1:40" ht="12.5" x14ac:dyDescent="0.25">
      <c r="A147" s="4"/>
      <c r="B147" s="4"/>
      <c r="C147" s="5"/>
      <c r="D147" s="5"/>
      <c r="E147" s="5"/>
      <c r="F147" s="5"/>
      <c r="G147" s="5"/>
      <c r="H147" s="5"/>
      <c r="I147" s="5"/>
      <c r="J147" s="4"/>
      <c r="K147" s="4"/>
      <c r="L147" s="4"/>
      <c r="M147" s="4"/>
      <c r="N147" s="4"/>
      <c r="O147" s="4"/>
      <c r="P147" s="4"/>
      <c r="Q147" s="4"/>
      <c r="R147" s="4"/>
      <c r="S147" s="4"/>
      <c r="T147" s="4"/>
      <c r="U147" s="4"/>
      <c r="V147" s="4"/>
      <c r="W147" s="4"/>
      <c r="X147" s="4"/>
      <c r="Y147" s="4"/>
      <c r="Z147" s="4"/>
      <c r="AA147" s="23"/>
      <c r="AB147" s="23"/>
      <c r="AC147" s="23"/>
      <c r="AD147" s="23"/>
      <c r="AE147" s="23"/>
      <c r="AF147" s="23"/>
      <c r="AG147" s="23"/>
      <c r="AH147" s="23"/>
      <c r="AI147" s="23"/>
      <c r="AJ147" s="23"/>
      <c r="AK147" s="23"/>
      <c r="AL147" s="23"/>
      <c r="AM147" s="23"/>
      <c r="AN147" s="23"/>
    </row>
    <row r="148" spans="1:40" ht="12.5" x14ac:dyDescent="0.25">
      <c r="A148" s="4"/>
      <c r="B148" s="4"/>
      <c r="C148" s="5"/>
      <c r="D148" s="5"/>
      <c r="E148" s="5"/>
      <c r="F148" s="5"/>
      <c r="G148" s="5"/>
      <c r="H148" s="5"/>
      <c r="I148" s="5"/>
      <c r="J148" s="4"/>
      <c r="K148" s="4"/>
      <c r="L148" s="4"/>
      <c r="M148" s="4"/>
      <c r="N148" s="4"/>
      <c r="O148" s="4"/>
      <c r="P148" s="4"/>
      <c r="Q148" s="4"/>
      <c r="R148" s="4"/>
      <c r="S148" s="4"/>
      <c r="T148" s="4"/>
      <c r="U148" s="4"/>
      <c r="V148" s="4"/>
      <c r="W148" s="4"/>
      <c r="X148" s="4"/>
      <c r="Y148" s="4"/>
      <c r="Z148" s="4"/>
      <c r="AA148" s="23"/>
      <c r="AB148" s="23"/>
      <c r="AC148" s="23"/>
      <c r="AD148" s="23"/>
      <c r="AE148" s="23"/>
      <c r="AF148" s="23"/>
      <c r="AG148" s="23"/>
      <c r="AH148" s="23"/>
      <c r="AI148" s="23"/>
      <c r="AJ148" s="23"/>
      <c r="AK148" s="23"/>
      <c r="AL148" s="23"/>
      <c r="AM148" s="23"/>
      <c r="AN148" s="23"/>
    </row>
    <row r="149" spans="1:40" ht="12.5" x14ac:dyDescent="0.25">
      <c r="A149" s="4"/>
      <c r="B149" s="4"/>
      <c r="C149" s="5"/>
      <c r="D149" s="5"/>
      <c r="E149" s="5"/>
      <c r="F149" s="5"/>
      <c r="G149" s="5"/>
      <c r="H149" s="5"/>
      <c r="I149" s="5"/>
      <c r="J149" s="4"/>
      <c r="K149" s="4"/>
      <c r="L149" s="4"/>
      <c r="M149" s="4"/>
      <c r="N149" s="4"/>
      <c r="O149" s="4"/>
      <c r="P149" s="4"/>
      <c r="Q149" s="4"/>
      <c r="R149" s="4"/>
      <c r="S149" s="4"/>
      <c r="T149" s="4"/>
      <c r="U149" s="4"/>
      <c r="V149" s="4"/>
      <c r="W149" s="4"/>
      <c r="X149" s="4"/>
      <c r="Y149" s="4"/>
      <c r="Z149" s="4"/>
      <c r="AA149" s="23"/>
      <c r="AB149" s="23"/>
      <c r="AC149" s="23"/>
      <c r="AD149" s="23"/>
      <c r="AE149" s="23"/>
      <c r="AF149" s="23"/>
      <c r="AG149" s="23"/>
      <c r="AH149" s="23"/>
      <c r="AI149" s="23"/>
      <c r="AJ149" s="23"/>
      <c r="AK149" s="23"/>
      <c r="AL149" s="23"/>
      <c r="AM149" s="23"/>
      <c r="AN149" s="23"/>
    </row>
    <row r="150" spans="1:40" ht="12.5" x14ac:dyDescent="0.25">
      <c r="A150" s="4"/>
      <c r="B150" s="4"/>
      <c r="C150" s="5"/>
      <c r="D150" s="5"/>
      <c r="E150" s="5"/>
      <c r="F150" s="5"/>
      <c r="G150" s="5"/>
      <c r="H150" s="5"/>
      <c r="I150" s="5"/>
      <c r="J150" s="4"/>
      <c r="K150" s="4"/>
      <c r="L150" s="4"/>
      <c r="M150" s="4"/>
      <c r="N150" s="4"/>
      <c r="O150" s="4"/>
      <c r="P150" s="4"/>
      <c r="Q150" s="4"/>
      <c r="R150" s="4"/>
      <c r="S150" s="4"/>
      <c r="T150" s="4"/>
      <c r="U150" s="4"/>
      <c r="V150" s="4"/>
      <c r="W150" s="4"/>
      <c r="X150" s="4"/>
      <c r="Y150" s="4"/>
      <c r="Z150" s="4"/>
      <c r="AA150" s="23"/>
      <c r="AB150" s="23"/>
      <c r="AC150" s="23"/>
      <c r="AD150" s="23"/>
      <c r="AE150" s="23"/>
      <c r="AF150" s="23"/>
      <c r="AG150" s="23"/>
      <c r="AH150" s="23"/>
      <c r="AI150" s="23"/>
      <c r="AJ150" s="23"/>
      <c r="AK150" s="23"/>
      <c r="AL150" s="23"/>
      <c r="AM150" s="23"/>
      <c r="AN150" s="23"/>
    </row>
    <row r="151" spans="1:40" ht="12.5" x14ac:dyDescent="0.25">
      <c r="A151" s="4"/>
      <c r="B151" s="4"/>
      <c r="C151" s="5"/>
      <c r="D151" s="5"/>
      <c r="E151" s="5"/>
      <c r="F151" s="5"/>
      <c r="G151" s="5"/>
      <c r="H151" s="5"/>
      <c r="I151" s="5"/>
      <c r="J151" s="4"/>
      <c r="K151" s="4"/>
      <c r="L151" s="4"/>
      <c r="M151" s="4"/>
      <c r="N151" s="4"/>
      <c r="O151" s="4"/>
      <c r="P151" s="4"/>
      <c r="Q151" s="4"/>
      <c r="R151" s="4"/>
      <c r="S151" s="4"/>
      <c r="T151" s="4"/>
      <c r="U151" s="4"/>
      <c r="V151" s="4"/>
      <c r="W151" s="4"/>
      <c r="X151" s="4"/>
      <c r="Y151" s="4"/>
      <c r="Z151" s="4"/>
      <c r="AA151" s="23"/>
      <c r="AB151" s="23"/>
      <c r="AC151" s="23"/>
      <c r="AD151" s="23"/>
      <c r="AE151" s="23"/>
      <c r="AF151" s="23"/>
      <c r="AG151" s="23"/>
      <c r="AH151" s="23"/>
      <c r="AI151" s="23"/>
      <c r="AJ151" s="23"/>
      <c r="AK151" s="23"/>
      <c r="AL151" s="23"/>
      <c r="AM151" s="23"/>
      <c r="AN151" s="23"/>
    </row>
    <row r="152" spans="1:40" ht="12.5" x14ac:dyDescent="0.25">
      <c r="A152" s="4"/>
      <c r="B152" s="4"/>
      <c r="C152" s="5"/>
      <c r="D152" s="5"/>
      <c r="E152" s="5"/>
      <c r="F152" s="5"/>
      <c r="G152" s="5"/>
      <c r="H152" s="5"/>
      <c r="I152" s="5"/>
      <c r="J152" s="4"/>
      <c r="K152" s="4"/>
      <c r="L152" s="4"/>
      <c r="M152" s="4"/>
      <c r="N152" s="4"/>
      <c r="O152" s="4"/>
      <c r="P152" s="4"/>
      <c r="Q152" s="4"/>
      <c r="R152" s="4"/>
      <c r="S152" s="4"/>
      <c r="T152" s="4"/>
      <c r="U152" s="4"/>
      <c r="V152" s="4"/>
      <c r="W152" s="4"/>
      <c r="X152" s="4"/>
      <c r="Y152" s="4"/>
      <c r="Z152" s="4"/>
      <c r="AA152" s="23"/>
      <c r="AB152" s="23"/>
      <c r="AC152" s="23"/>
      <c r="AD152" s="23"/>
      <c r="AE152" s="23"/>
      <c r="AF152" s="23"/>
      <c r="AG152" s="23"/>
      <c r="AH152" s="23"/>
      <c r="AI152" s="23"/>
      <c r="AJ152" s="23"/>
      <c r="AK152" s="23"/>
      <c r="AL152" s="23"/>
      <c r="AM152" s="23"/>
      <c r="AN152" s="23"/>
    </row>
    <row r="153" spans="1:40" ht="12.5" x14ac:dyDescent="0.25">
      <c r="A153" s="4"/>
      <c r="B153" s="4"/>
      <c r="C153" s="5"/>
      <c r="D153" s="5"/>
      <c r="E153" s="5"/>
      <c r="F153" s="5"/>
      <c r="G153" s="5"/>
      <c r="H153" s="5"/>
      <c r="I153" s="5"/>
      <c r="J153" s="4"/>
      <c r="K153" s="4"/>
      <c r="L153" s="4"/>
      <c r="M153" s="4"/>
      <c r="N153" s="4"/>
      <c r="O153" s="4"/>
      <c r="P153" s="4"/>
      <c r="Q153" s="4"/>
      <c r="R153" s="4"/>
      <c r="S153" s="4"/>
      <c r="T153" s="4"/>
      <c r="U153" s="4"/>
      <c r="V153" s="4"/>
      <c r="W153" s="4"/>
      <c r="X153" s="4"/>
      <c r="Y153" s="4"/>
      <c r="Z153" s="4"/>
      <c r="AA153" s="23"/>
      <c r="AB153" s="23"/>
      <c r="AC153" s="23"/>
      <c r="AD153" s="23"/>
      <c r="AE153" s="23"/>
      <c r="AF153" s="23"/>
      <c r="AG153" s="23"/>
      <c r="AH153" s="23"/>
      <c r="AI153" s="23"/>
      <c r="AJ153" s="23"/>
      <c r="AK153" s="23"/>
      <c r="AL153" s="23"/>
      <c r="AM153" s="23"/>
      <c r="AN153" s="23"/>
    </row>
    <row r="154" spans="1:40" ht="12.5" x14ac:dyDescent="0.25">
      <c r="A154" s="4"/>
      <c r="B154" s="4"/>
      <c r="C154" s="5"/>
      <c r="D154" s="5"/>
      <c r="E154" s="5"/>
      <c r="F154" s="5"/>
      <c r="G154" s="5"/>
      <c r="H154" s="5"/>
      <c r="I154" s="5"/>
      <c r="J154" s="4"/>
      <c r="K154" s="4"/>
      <c r="L154" s="4"/>
      <c r="M154" s="4"/>
      <c r="N154" s="4"/>
      <c r="O154" s="4"/>
      <c r="P154" s="4"/>
      <c r="Q154" s="4"/>
      <c r="R154" s="4"/>
      <c r="S154" s="4"/>
      <c r="T154" s="4"/>
      <c r="U154" s="4"/>
      <c r="V154" s="4"/>
      <c r="W154" s="4"/>
      <c r="X154" s="4"/>
      <c r="Y154" s="4"/>
      <c r="Z154" s="4"/>
      <c r="AA154" s="23"/>
      <c r="AB154" s="23"/>
      <c r="AC154" s="23"/>
      <c r="AD154" s="23"/>
      <c r="AE154" s="23"/>
      <c r="AF154" s="23"/>
      <c r="AG154" s="23"/>
      <c r="AH154" s="23"/>
      <c r="AI154" s="23"/>
      <c r="AJ154" s="23"/>
      <c r="AK154" s="23"/>
      <c r="AL154" s="23"/>
      <c r="AM154" s="23"/>
      <c r="AN154" s="23"/>
    </row>
    <row r="155" spans="1:40" ht="12.5" x14ac:dyDescent="0.25">
      <c r="A155" s="4"/>
      <c r="B155" s="4"/>
      <c r="C155" s="5"/>
      <c r="D155" s="5"/>
      <c r="E155" s="5"/>
      <c r="F155" s="5"/>
      <c r="G155" s="5"/>
      <c r="H155" s="5"/>
      <c r="I155" s="5"/>
      <c r="J155" s="4"/>
      <c r="K155" s="4"/>
      <c r="L155" s="4"/>
      <c r="M155" s="4"/>
      <c r="N155" s="4"/>
      <c r="O155" s="4"/>
      <c r="P155" s="4"/>
      <c r="Q155" s="4"/>
      <c r="R155" s="4"/>
      <c r="S155" s="4"/>
      <c r="T155" s="4"/>
      <c r="U155" s="4"/>
      <c r="V155" s="4"/>
      <c r="W155" s="4"/>
      <c r="X155" s="4"/>
      <c r="Y155" s="4"/>
      <c r="Z155" s="4"/>
      <c r="AA155" s="23"/>
      <c r="AB155" s="23"/>
      <c r="AC155" s="23"/>
      <c r="AD155" s="23"/>
      <c r="AE155" s="23"/>
      <c r="AF155" s="23"/>
      <c r="AG155" s="23"/>
      <c r="AH155" s="23"/>
      <c r="AI155" s="23"/>
      <c r="AJ155" s="23"/>
      <c r="AK155" s="23"/>
      <c r="AL155" s="23"/>
      <c r="AM155" s="23"/>
      <c r="AN155" s="23"/>
    </row>
    <row r="156" spans="1:40" ht="12.5" x14ac:dyDescent="0.25">
      <c r="A156" s="4"/>
      <c r="B156" s="4"/>
      <c r="C156" s="5"/>
      <c r="D156" s="5"/>
      <c r="E156" s="5"/>
      <c r="F156" s="5"/>
      <c r="G156" s="5"/>
      <c r="H156" s="5"/>
      <c r="I156" s="5"/>
      <c r="J156" s="4"/>
      <c r="K156" s="4"/>
      <c r="L156" s="4"/>
      <c r="M156" s="4"/>
      <c r="N156" s="4"/>
      <c r="O156" s="4"/>
      <c r="P156" s="4"/>
      <c r="Q156" s="4"/>
      <c r="R156" s="4"/>
      <c r="S156" s="4"/>
      <c r="T156" s="4"/>
      <c r="U156" s="4"/>
      <c r="V156" s="4"/>
      <c r="W156" s="4"/>
      <c r="X156" s="4"/>
      <c r="Y156" s="4"/>
      <c r="Z156" s="4"/>
      <c r="AA156" s="23"/>
      <c r="AB156" s="23"/>
      <c r="AC156" s="23"/>
      <c r="AD156" s="23"/>
      <c r="AE156" s="23"/>
      <c r="AF156" s="23"/>
      <c r="AG156" s="23"/>
      <c r="AH156" s="23"/>
      <c r="AI156" s="23"/>
      <c r="AJ156" s="23"/>
      <c r="AK156" s="23"/>
      <c r="AL156" s="23"/>
      <c r="AM156" s="23"/>
      <c r="AN156" s="23"/>
    </row>
    <row r="157" spans="1:40" ht="12.5" x14ac:dyDescent="0.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23"/>
      <c r="AB157" s="23"/>
      <c r="AC157" s="23"/>
      <c r="AD157" s="23"/>
      <c r="AE157" s="23"/>
      <c r="AF157" s="23"/>
      <c r="AG157" s="23"/>
      <c r="AH157" s="23"/>
      <c r="AI157" s="23"/>
      <c r="AJ157" s="23"/>
      <c r="AK157" s="23"/>
      <c r="AL157" s="23"/>
      <c r="AM157" s="23"/>
      <c r="AN157" s="23"/>
    </row>
    <row r="158" spans="1:40" ht="12.5" x14ac:dyDescent="0.25">
      <c r="A158" s="4"/>
      <c r="B158" s="4"/>
      <c r="C158" s="5"/>
      <c r="D158" s="5"/>
      <c r="E158" s="5"/>
      <c r="F158" s="5"/>
      <c r="G158" s="5"/>
      <c r="H158" s="5"/>
      <c r="I158" s="5"/>
      <c r="J158" s="4"/>
      <c r="K158" s="4"/>
      <c r="L158" s="4"/>
      <c r="M158" s="4"/>
      <c r="N158" s="4"/>
      <c r="O158" s="4"/>
      <c r="P158" s="4"/>
      <c r="Q158" s="4"/>
      <c r="R158" s="4"/>
      <c r="S158" s="4"/>
      <c r="T158" s="4"/>
      <c r="U158" s="4"/>
      <c r="V158" s="4"/>
      <c r="W158" s="4"/>
      <c r="X158" s="4"/>
      <c r="Y158" s="4"/>
      <c r="Z158" s="4"/>
      <c r="AA158" s="23"/>
      <c r="AB158" s="23"/>
      <c r="AC158" s="23"/>
      <c r="AD158" s="23"/>
      <c r="AE158" s="23"/>
      <c r="AF158" s="23"/>
      <c r="AG158" s="23"/>
      <c r="AH158" s="23"/>
      <c r="AI158" s="23"/>
      <c r="AJ158" s="23"/>
      <c r="AK158" s="23"/>
      <c r="AL158" s="23"/>
      <c r="AM158" s="23"/>
      <c r="AN158" s="23"/>
    </row>
    <row r="159" spans="1:40" ht="12.5" x14ac:dyDescent="0.25">
      <c r="A159" s="4"/>
      <c r="B159" s="4"/>
      <c r="C159" s="5"/>
      <c r="D159" s="5"/>
      <c r="E159" s="5"/>
      <c r="F159" s="5"/>
      <c r="G159" s="5"/>
      <c r="H159" s="5"/>
      <c r="I159" s="5"/>
      <c r="J159" s="4"/>
      <c r="K159" s="4"/>
      <c r="L159" s="4"/>
      <c r="M159" s="4"/>
      <c r="N159" s="4"/>
      <c r="O159" s="4"/>
      <c r="P159" s="4"/>
      <c r="Q159" s="4"/>
      <c r="R159" s="4"/>
      <c r="S159" s="4"/>
      <c r="T159" s="4"/>
      <c r="U159" s="4"/>
      <c r="V159" s="4"/>
      <c r="W159" s="4"/>
      <c r="X159" s="4"/>
      <c r="Y159" s="4"/>
      <c r="Z159" s="4"/>
      <c r="AA159" s="23"/>
      <c r="AB159" s="23"/>
      <c r="AC159" s="23"/>
      <c r="AD159" s="23"/>
      <c r="AE159" s="23"/>
      <c r="AF159" s="23"/>
      <c r="AG159" s="23"/>
      <c r="AH159" s="23"/>
      <c r="AI159" s="23"/>
      <c r="AJ159" s="23"/>
      <c r="AK159" s="23"/>
      <c r="AL159" s="23"/>
      <c r="AM159" s="23"/>
      <c r="AN159" s="23"/>
    </row>
    <row r="160" spans="1:40" ht="12.5" x14ac:dyDescent="0.25">
      <c r="A160" s="4"/>
      <c r="B160" s="4"/>
      <c r="C160" s="5"/>
      <c r="D160" s="5"/>
      <c r="E160" s="5"/>
      <c r="F160" s="5"/>
      <c r="G160" s="5"/>
      <c r="H160" s="5"/>
      <c r="I160" s="5"/>
      <c r="J160" s="4"/>
      <c r="K160" s="4"/>
      <c r="L160" s="4"/>
      <c r="M160" s="4"/>
      <c r="N160" s="4"/>
      <c r="O160" s="4"/>
      <c r="P160" s="4"/>
      <c r="Q160" s="4"/>
      <c r="R160" s="4"/>
      <c r="S160" s="4"/>
      <c r="T160" s="4"/>
      <c r="U160" s="4"/>
      <c r="V160" s="4"/>
      <c r="W160" s="4"/>
      <c r="X160" s="4"/>
      <c r="Y160" s="4"/>
      <c r="Z160" s="4"/>
      <c r="AA160" s="23"/>
      <c r="AB160" s="23"/>
      <c r="AC160" s="23"/>
      <c r="AD160" s="23"/>
      <c r="AE160" s="23"/>
      <c r="AF160" s="23"/>
      <c r="AG160" s="23"/>
      <c r="AH160" s="23"/>
      <c r="AI160" s="23"/>
      <c r="AJ160" s="23"/>
      <c r="AK160" s="23"/>
      <c r="AL160" s="23"/>
      <c r="AM160" s="23"/>
      <c r="AN160" s="23"/>
    </row>
    <row r="161" spans="1:40" ht="12.5" x14ac:dyDescent="0.25">
      <c r="A161" s="4"/>
      <c r="B161" s="4"/>
      <c r="C161" s="5"/>
      <c r="D161" s="5"/>
      <c r="E161" s="5"/>
      <c r="F161" s="5"/>
      <c r="G161" s="5"/>
      <c r="H161" s="5"/>
      <c r="I161" s="5"/>
      <c r="J161" s="4"/>
      <c r="K161" s="4"/>
      <c r="L161" s="4"/>
      <c r="M161" s="4"/>
      <c r="N161" s="4"/>
      <c r="O161" s="4"/>
      <c r="P161" s="4"/>
      <c r="Q161" s="4"/>
      <c r="R161" s="4"/>
      <c r="S161" s="4"/>
      <c r="T161" s="4"/>
      <c r="U161" s="4"/>
      <c r="V161" s="4"/>
      <c r="W161" s="4"/>
      <c r="X161" s="4"/>
      <c r="Y161" s="4"/>
      <c r="Z161" s="4"/>
      <c r="AA161" s="23"/>
      <c r="AB161" s="23"/>
      <c r="AC161" s="23"/>
      <c r="AD161" s="23"/>
      <c r="AE161" s="23"/>
      <c r="AF161" s="23"/>
      <c r="AG161" s="23"/>
      <c r="AH161" s="23"/>
      <c r="AI161" s="23"/>
      <c r="AJ161" s="23"/>
      <c r="AK161" s="23"/>
      <c r="AL161" s="23"/>
      <c r="AM161" s="23"/>
      <c r="AN161" s="23"/>
    </row>
    <row r="162" spans="1:40" ht="12.5" x14ac:dyDescent="0.25">
      <c r="A162" s="4"/>
      <c r="B162" s="4"/>
      <c r="C162" s="5"/>
      <c r="D162" s="5"/>
      <c r="E162" s="5"/>
      <c r="F162" s="5"/>
      <c r="G162" s="5"/>
      <c r="H162" s="5"/>
      <c r="I162" s="5"/>
      <c r="J162" s="4"/>
      <c r="K162" s="4"/>
      <c r="L162" s="4"/>
      <c r="M162" s="4"/>
      <c r="N162" s="4"/>
      <c r="O162" s="4"/>
      <c r="P162" s="4"/>
      <c r="Q162" s="4"/>
      <c r="R162" s="4"/>
      <c r="S162" s="4"/>
      <c r="T162" s="4"/>
      <c r="U162" s="4"/>
      <c r="V162" s="4"/>
      <c r="W162" s="4"/>
      <c r="X162" s="4"/>
      <c r="Y162" s="4"/>
      <c r="Z162" s="4"/>
      <c r="AA162" s="23"/>
      <c r="AB162" s="23"/>
      <c r="AC162" s="23"/>
      <c r="AD162" s="23"/>
      <c r="AE162" s="23"/>
      <c r="AF162" s="23"/>
      <c r="AG162" s="23"/>
      <c r="AH162" s="23"/>
      <c r="AI162" s="23"/>
      <c r="AJ162" s="23"/>
      <c r="AK162" s="23"/>
      <c r="AL162" s="23"/>
      <c r="AM162" s="23"/>
      <c r="AN162" s="23"/>
    </row>
    <row r="163" spans="1:40" ht="12.5" x14ac:dyDescent="0.25">
      <c r="A163" s="4"/>
      <c r="B163" s="4"/>
      <c r="C163" s="5"/>
      <c r="D163" s="5"/>
      <c r="E163" s="5"/>
      <c r="F163" s="5"/>
      <c r="G163" s="5"/>
      <c r="H163" s="5"/>
      <c r="I163" s="5"/>
      <c r="J163" s="4"/>
      <c r="K163" s="4"/>
      <c r="L163" s="4"/>
      <c r="M163" s="4"/>
      <c r="N163" s="4"/>
      <c r="O163" s="4"/>
      <c r="P163" s="4"/>
      <c r="Q163" s="4"/>
      <c r="R163" s="4"/>
      <c r="S163" s="4"/>
      <c r="T163" s="4"/>
      <c r="U163" s="4"/>
      <c r="V163" s="4"/>
      <c r="W163" s="4"/>
      <c r="X163" s="4"/>
      <c r="Y163" s="4"/>
      <c r="Z163" s="4"/>
      <c r="AA163" s="23"/>
      <c r="AB163" s="23"/>
      <c r="AC163" s="23"/>
      <c r="AD163" s="23"/>
      <c r="AE163" s="23"/>
      <c r="AF163" s="23"/>
      <c r="AG163" s="23"/>
      <c r="AH163" s="23"/>
      <c r="AI163" s="23"/>
      <c r="AJ163" s="23"/>
      <c r="AK163" s="23"/>
      <c r="AL163" s="23"/>
      <c r="AM163" s="23"/>
      <c r="AN163" s="23"/>
    </row>
    <row r="164" spans="1:40" ht="12.5" x14ac:dyDescent="0.25">
      <c r="A164" s="4"/>
      <c r="B164" s="4"/>
      <c r="C164" s="5"/>
      <c r="D164" s="5"/>
      <c r="E164" s="5"/>
      <c r="F164" s="5"/>
      <c r="G164" s="5"/>
      <c r="H164" s="5"/>
      <c r="I164" s="5"/>
      <c r="J164" s="4"/>
      <c r="K164" s="4"/>
      <c r="L164" s="4"/>
      <c r="M164" s="4"/>
      <c r="N164" s="4"/>
      <c r="O164" s="4"/>
      <c r="P164" s="4"/>
      <c r="Q164" s="4"/>
      <c r="R164" s="4"/>
      <c r="S164" s="4"/>
      <c r="T164" s="4"/>
      <c r="U164" s="4"/>
      <c r="V164" s="4"/>
      <c r="W164" s="4"/>
      <c r="X164" s="4"/>
      <c r="Y164" s="4"/>
      <c r="Z164" s="4"/>
      <c r="AA164" s="23"/>
      <c r="AB164" s="23"/>
      <c r="AC164" s="23"/>
      <c r="AD164" s="23"/>
      <c r="AE164" s="23"/>
      <c r="AF164" s="23"/>
      <c r="AG164" s="23"/>
      <c r="AH164" s="23"/>
      <c r="AI164" s="23"/>
      <c r="AJ164" s="23"/>
      <c r="AK164" s="23"/>
      <c r="AL164" s="23"/>
      <c r="AM164" s="23"/>
      <c r="AN164" s="23"/>
    </row>
    <row r="165" spans="1:40" ht="12.5" x14ac:dyDescent="0.25">
      <c r="A165" s="4"/>
      <c r="B165" s="4"/>
      <c r="C165" s="5"/>
      <c r="D165" s="5"/>
      <c r="E165" s="5"/>
      <c r="F165" s="5"/>
      <c r="G165" s="5"/>
      <c r="H165" s="5"/>
      <c r="I165" s="5"/>
      <c r="J165" s="4"/>
      <c r="K165" s="4"/>
      <c r="L165" s="4"/>
      <c r="M165" s="4"/>
      <c r="N165" s="4"/>
      <c r="O165" s="4"/>
      <c r="P165" s="4"/>
      <c r="Q165" s="4"/>
      <c r="R165" s="4"/>
      <c r="S165" s="4"/>
      <c r="T165" s="4"/>
      <c r="U165" s="4"/>
      <c r="V165" s="4"/>
      <c r="W165" s="4"/>
      <c r="X165" s="4"/>
      <c r="Y165" s="4"/>
      <c r="Z165" s="4"/>
      <c r="AA165" s="23"/>
      <c r="AB165" s="23"/>
      <c r="AC165" s="23"/>
      <c r="AD165" s="23"/>
      <c r="AE165" s="23"/>
      <c r="AF165" s="23"/>
      <c r="AG165" s="23"/>
      <c r="AH165" s="23"/>
      <c r="AI165" s="23"/>
      <c r="AJ165" s="23"/>
      <c r="AK165" s="23"/>
      <c r="AL165" s="23"/>
      <c r="AM165" s="23"/>
      <c r="AN165" s="23"/>
    </row>
    <row r="166" spans="1:40" ht="12.5" x14ac:dyDescent="0.25">
      <c r="A166" s="4"/>
      <c r="B166" s="4"/>
      <c r="C166" s="5"/>
      <c r="D166" s="5"/>
      <c r="E166" s="5"/>
      <c r="F166" s="5"/>
      <c r="G166" s="5"/>
      <c r="H166" s="5"/>
      <c r="I166" s="5"/>
      <c r="J166" s="4"/>
      <c r="K166" s="4"/>
      <c r="L166" s="4"/>
      <c r="M166" s="4"/>
      <c r="N166" s="4"/>
      <c r="O166" s="4"/>
      <c r="P166" s="4"/>
      <c r="Q166" s="4"/>
      <c r="R166" s="4"/>
      <c r="S166" s="4"/>
      <c r="T166" s="4"/>
      <c r="U166" s="4"/>
      <c r="V166" s="4"/>
      <c r="W166" s="4"/>
      <c r="X166" s="4"/>
      <c r="Y166" s="4"/>
      <c r="Z166" s="4"/>
      <c r="AA166" s="23"/>
      <c r="AB166" s="23"/>
      <c r="AC166" s="23"/>
      <c r="AD166" s="23"/>
      <c r="AE166" s="23"/>
      <c r="AF166" s="23"/>
      <c r="AG166" s="23"/>
      <c r="AH166" s="23"/>
      <c r="AI166" s="23"/>
      <c r="AJ166" s="23"/>
      <c r="AK166" s="23"/>
      <c r="AL166" s="23"/>
      <c r="AM166" s="23"/>
      <c r="AN166" s="23"/>
    </row>
    <row r="167" spans="1:40" ht="12.5" x14ac:dyDescent="0.25">
      <c r="A167" s="4"/>
      <c r="B167" s="4"/>
      <c r="C167" s="5"/>
      <c r="D167" s="5"/>
      <c r="E167" s="5"/>
      <c r="F167" s="5"/>
      <c r="G167" s="5"/>
      <c r="H167" s="5"/>
      <c r="I167" s="5"/>
      <c r="J167" s="4"/>
      <c r="K167" s="4"/>
      <c r="L167" s="4"/>
      <c r="M167" s="4"/>
      <c r="N167" s="4"/>
      <c r="O167" s="4"/>
      <c r="P167" s="4"/>
      <c r="Q167" s="4"/>
      <c r="R167" s="4"/>
      <c r="S167" s="4"/>
      <c r="T167" s="4"/>
      <c r="U167" s="4"/>
      <c r="V167" s="4"/>
      <c r="W167" s="4"/>
      <c r="X167" s="4"/>
      <c r="Y167" s="4"/>
      <c r="Z167" s="4"/>
      <c r="AA167" s="23"/>
      <c r="AB167" s="23"/>
      <c r="AC167" s="23"/>
      <c r="AD167" s="23"/>
      <c r="AE167" s="23"/>
      <c r="AF167" s="23"/>
      <c r="AG167" s="23"/>
      <c r="AH167" s="23"/>
      <c r="AI167" s="23"/>
      <c r="AJ167" s="23"/>
      <c r="AK167" s="23"/>
      <c r="AL167" s="23"/>
      <c r="AM167" s="23"/>
      <c r="AN167" s="23"/>
    </row>
    <row r="168" spans="1:40" ht="12.5" x14ac:dyDescent="0.25">
      <c r="A168" s="4"/>
      <c r="B168" s="4"/>
      <c r="C168" s="5"/>
      <c r="D168" s="5"/>
      <c r="E168" s="5"/>
      <c r="F168" s="5"/>
      <c r="G168" s="5"/>
      <c r="H168" s="5"/>
      <c r="I168" s="5"/>
      <c r="J168" s="4"/>
      <c r="K168" s="4"/>
      <c r="L168" s="4"/>
      <c r="M168" s="4"/>
      <c r="N168" s="4"/>
      <c r="O168" s="4"/>
      <c r="P168" s="4"/>
      <c r="Q168" s="4"/>
      <c r="R168" s="4"/>
      <c r="S168" s="4"/>
      <c r="T168" s="4"/>
      <c r="U168" s="4"/>
      <c r="V168" s="4"/>
      <c r="W168" s="4"/>
      <c r="X168" s="4"/>
      <c r="Y168" s="4"/>
      <c r="Z168" s="4"/>
      <c r="AA168" s="23"/>
      <c r="AB168" s="23"/>
      <c r="AC168" s="23"/>
      <c r="AD168" s="23"/>
      <c r="AE168" s="23"/>
      <c r="AF168" s="23"/>
      <c r="AG168" s="23"/>
      <c r="AH168" s="23"/>
      <c r="AI168" s="23"/>
      <c r="AJ168" s="23"/>
      <c r="AK168" s="23"/>
      <c r="AL168" s="23"/>
      <c r="AM168" s="23"/>
      <c r="AN168" s="23"/>
    </row>
    <row r="169" spans="1:40" ht="12.5" x14ac:dyDescent="0.25">
      <c r="A169" s="4"/>
      <c r="B169" s="4"/>
      <c r="C169" s="5"/>
      <c r="D169" s="5"/>
      <c r="E169" s="5"/>
      <c r="F169" s="5"/>
      <c r="G169" s="5"/>
      <c r="H169" s="5"/>
      <c r="I169" s="5"/>
      <c r="J169" s="4"/>
      <c r="K169" s="4"/>
      <c r="L169" s="4"/>
      <c r="M169" s="4"/>
      <c r="N169" s="4"/>
      <c r="O169" s="4"/>
      <c r="P169" s="4"/>
      <c r="Q169" s="4"/>
      <c r="R169" s="4"/>
      <c r="S169" s="4"/>
      <c r="T169" s="4"/>
      <c r="U169" s="4"/>
      <c r="V169" s="4"/>
      <c r="W169" s="4"/>
      <c r="X169" s="4"/>
      <c r="Y169" s="4"/>
      <c r="Z169" s="4"/>
      <c r="AA169" s="23"/>
      <c r="AB169" s="23"/>
      <c r="AC169" s="23"/>
      <c r="AD169" s="23"/>
      <c r="AE169" s="23"/>
      <c r="AF169" s="23"/>
      <c r="AG169" s="23"/>
      <c r="AH169" s="23"/>
      <c r="AI169" s="23"/>
      <c r="AJ169" s="23"/>
      <c r="AK169" s="23"/>
      <c r="AL169" s="23"/>
      <c r="AM169" s="23"/>
      <c r="AN169" s="23"/>
    </row>
    <row r="170" spans="1:40" ht="12.5" x14ac:dyDescent="0.25">
      <c r="A170" s="4"/>
      <c r="B170" s="4"/>
      <c r="C170" s="5"/>
      <c r="D170" s="5"/>
      <c r="E170" s="5"/>
      <c r="F170" s="5"/>
      <c r="G170" s="5"/>
      <c r="H170" s="5"/>
      <c r="I170" s="5"/>
      <c r="J170" s="4"/>
      <c r="K170" s="4"/>
      <c r="L170" s="4"/>
      <c r="M170" s="4"/>
      <c r="N170" s="4"/>
      <c r="O170" s="4"/>
      <c r="P170" s="4"/>
      <c r="Q170" s="4"/>
      <c r="R170" s="4"/>
      <c r="S170" s="4"/>
      <c r="T170" s="4"/>
      <c r="U170" s="4"/>
      <c r="V170" s="4"/>
      <c r="W170" s="4"/>
      <c r="X170" s="4"/>
      <c r="Y170" s="4"/>
      <c r="Z170" s="4"/>
      <c r="AA170" s="23"/>
      <c r="AB170" s="23"/>
      <c r="AC170" s="23"/>
      <c r="AD170" s="23"/>
      <c r="AE170" s="23"/>
      <c r="AF170" s="23"/>
      <c r="AG170" s="23"/>
      <c r="AH170" s="23"/>
      <c r="AI170" s="23"/>
      <c r="AJ170" s="23"/>
      <c r="AK170" s="23"/>
      <c r="AL170" s="23"/>
      <c r="AM170" s="23"/>
      <c r="AN170" s="23"/>
    </row>
    <row r="171" spans="1:40" ht="12.5" x14ac:dyDescent="0.25">
      <c r="A171" s="4"/>
      <c r="B171" s="4"/>
      <c r="C171" s="5"/>
      <c r="D171" s="5"/>
      <c r="E171" s="5"/>
      <c r="F171" s="5"/>
      <c r="G171" s="5"/>
      <c r="H171" s="5"/>
      <c r="I171" s="5"/>
      <c r="J171" s="4"/>
      <c r="K171" s="4"/>
      <c r="L171" s="4"/>
      <c r="M171" s="4"/>
      <c r="N171" s="4"/>
      <c r="O171" s="4"/>
      <c r="P171" s="4"/>
      <c r="Q171" s="4"/>
      <c r="R171" s="4"/>
      <c r="S171" s="4"/>
      <c r="T171" s="4"/>
      <c r="U171" s="4"/>
      <c r="V171" s="4"/>
      <c r="W171" s="4"/>
      <c r="X171" s="4"/>
      <c r="Y171" s="4"/>
      <c r="Z171" s="4"/>
      <c r="AA171" s="23"/>
      <c r="AB171" s="23"/>
      <c r="AC171" s="23"/>
      <c r="AD171" s="23"/>
      <c r="AE171" s="23"/>
      <c r="AF171" s="23"/>
      <c r="AG171" s="23"/>
      <c r="AH171" s="23"/>
      <c r="AI171" s="23"/>
      <c r="AJ171" s="23"/>
      <c r="AK171" s="23"/>
      <c r="AL171" s="23"/>
      <c r="AM171" s="23"/>
      <c r="AN171" s="23"/>
    </row>
    <row r="172" spans="1:40" ht="12.5" x14ac:dyDescent="0.25">
      <c r="A172" s="4"/>
      <c r="B172" s="4"/>
      <c r="C172" s="5"/>
      <c r="D172" s="5"/>
      <c r="E172" s="5"/>
      <c r="F172" s="5"/>
      <c r="G172" s="5"/>
      <c r="H172" s="5"/>
      <c r="I172" s="5"/>
      <c r="J172" s="4"/>
      <c r="K172" s="4"/>
      <c r="L172" s="4"/>
      <c r="M172" s="4"/>
      <c r="N172" s="4"/>
      <c r="O172" s="4"/>
      <c r="P172" s="4"/>
      <c r="Q172" s="4"/>
      <c r="R172" s="4"/>
      <c r="S172" s="4"/>
      <c r="T172" s="4"/>
      <c r="U172" s="4"/>
      <c r="V172" s="4"/>
      <c r="W172" s="4"/>
      <c r="X172" s="4"/>
      <c r="Y172" s="4"/>
      <c r="Z172" s="4"/>
      <c r="AA172" s="23"/>
      <c r="AB172" s="23"/>
      <c r="AC172" s="23"/>
      <c r="AD172" s="23"/>
      <c r="AE172" s="23"/>
      <c r="AF172" s="23"/>
      <c r="AG172" s="23"/>
      <c r="AH172" s="23"/>
      <c r="AI172" s="23"/>
      <c r="AJ172" s="23"/>
      <c r="AK172" s="23"/>
      <c r="AL172" s="23"/>
      <c r="AM172" s="23"/>
      <c r="AN172" s="23"/>
    </row>
    <row r="173" spans="1:40" ht="12.5" x14ac:dyDescent="0.25">
      <c r="A173" s="4"/>
      <c r="B173" s="4"/>
      <c r="C173" s="5"/>
      <c r="D173" s="5"/>
      <c r="E173" s="5"/>
      <c r="F173" s="5"/>
      <c r="G173" s="5"/>
      <c r="H173" s="5"/>
      <c r="I173" s="5"/>
      <c r="J173" s="4"/>
      <c r="K173" s="4"/>
      <c r="L173" s="4"/>
      <c r="M173" s="4"/>
      <c r="N173" s="4"/>
      <c r="O173" s="4"/>
      <c r="P173" s="4"/>
      <c r="Q173" s="4"/>
      <c r="R173" s="4"/>
      <c r="S173" s="4"/>
      <c r="T173" s="4"/>
      <c r="U173" s="4"/>
      <c r="V173" s="4"/>
      <c r="W173" s="4"/>
      <c r="X173" s="4"/>
      <c r="Y173" s="4"/>
      <c r="Z173" s="4"/>
      <c r="AA173" s="23"/>
      <c r="AB173" s="23"/>
      <c r="AC173" s="23"/>
      <c r="AD173" s="23"/>
      <c r="AE173" s="23"/>
      <c r="AF173" s="23"/>
      <c r="AG173" s="23"/>
      <c r="AH173" s="23"/>
      <c r="AI173" s="23"/>
      <c r="AJ173" s="23"/>
      <c r="AK173" s="23"/>
      <c r="AL173" s="23"/>
      <c r="AM173" s="23"/>
      <c r="AN173" s="23"/>
    </row>
    <row r="174" spans="1:40" ht="12.5" x14ac:dyDescent="0.25">
      <c r="A174" s="4"/>
      <c r="B174" s="4"/>
      <c r="C174" s="5"/>
      <c r="D174" s="5"/>
      <c r="E174" s="5"/>
      <c r="F174" s="5"/>
      <c r="G174" s="5"/>
      <c r="H174" s="5"/>
      <c r="I174" s="5"/>
      <c r="J174" s="4"/>
      <c r="K174" s="4"/>
      <c r="L174" s="4"/>
      <c r="M174" s="4"/>
      <c r="N174" s="4"/>
      <c r="O174" s="4"/>
      <c r="P174" s="4"/>
      <c r="Q174" s="4"/>
      <c r="R174" s="4"/>
      <c r="S174" s="4"/>
      <c r="T174" s="4"/>
      <c r="U174" s="4"/>
      <c r="V174" s="4"/>
      <c r="W174" s="4"/>
      <c r="X174" s="4"/>
      <c r="Y174" s="4"/>
      <c r="Z174" s="4"/>
      <c r="AA174" s="23"/>
      <c r="AB174" s="23"/>
      <c r="AC174" s="23"/>
      <c r="AD174" s="23"/>
      <c r="AE174" s="23"/>
      <c r="AF174" s="23"/>
      <c r="AG174" s="23"/>
      <c r="AH174" s="23"/>
      <c r="AI174" s="23"/>
      <c r="AJ174" s="23"/>
      <c r="AK174" s="23"/>
      <c r="AL174" s="23"/>
      <c r="AM174" s="23"/>
      <c r="AN174" s="23"/>
    </row>
    <row r="175" spans="1:40" ht="12.5" x14ac:dyDescent="0.25">
      <c r="A175" s="4"/>
      <c r="B175" s="4"/>
      <c r="C175" s="5"/>
      <c r="D175" s="5"/>
      <c r="E175" s="5"/>
      <c r="F175" s="5"/>
      <c r="G175" s="5"/>
      <c r="H175" s="5"/>
      <c r="I175" s="5"/>
      <c r="J175" s="4"/>
      <c r="K175" s="4"/>
      <c r="L175" s="4"/>
      <c r="M175" s="4"/>
      <c r="N175" s="4"/>
      <c r="O175" s="4"/>
      <c r="P175" s="4"/>
      <c r="Q175" s="4"/>
      <c r="R175" s="4"/>
      <c r="S175" s="4"/>
      <c r="T175" s="4"/>
      <c r="U175" s="4"/>
      <c r="V175" s="4"/>
      <c r="W175" s="4"/>
      <c r="X175" s="4"/>
      <c r="Y175" s="4"/>
      <c r="Z175" s="4"/>
      <c r="AA175" s="23"/>
      <c r="AB175" s="23"/>
      <c r="AC175" s="23"/>
      <c r="AD175" s="23"/>
      <c r="AE175" s="23"/>
      <c r="AF175" s="23"/>
      <c r="AG175" s="23"/>
      <c r="AH175" s="23"/>
      <c r="AI175" s="23"/>
      <c r="AJ175" s="23"/>
      <c r="AK175" s="23"/>
      <c r="AL175" s="23"/>
      <c r="AM175" s="23"/>
      <c r="AN175" s="23"/>
    </row>
    <row r="176" spans="1:40" ht="12.5" x14ac:dyDescent="0.25">
      <c r="A176" s="4"/>
      <c r="B176" s="4"/>
      <c r="C176" s="5"/>
      <c r="D176" s="5"/>
      <c r="E176" s="5"/>
      <c r="F176" s="5"/>
      <c r="G176" s="5"/>
      <c r="H176" s="5"/>
      <c r="I176" s="5"/>
      <c r="J176" s="4"/>
      <c r="K176" s="4"/>
      <c r="L176" s="4"/>
      <c r="M176" s="4"/>
      <c r="N176" s="4"/>
      <c r="O176" s="4"/>
      <c r="P176" s="4"/>
      <c r="Q176" s="4"/>
      <c r="R176" s="4"/>
      <c r="S176" s="4"/>
      <c r="T176" s="4"/>
      <c r="U176" s="4"/>
      <c r="V176" s="4"/>
      <c r="W176" s="4"/>
      <c r="X176" s="4"/>
      <c r="Y176" s="4"/>
      <c r="Z176" s="4"/>
      <c r="AA176" s="23"/>
      <c r="AB176" s="23"/>
      <c r="AC176" s="23"/>
      <c r="AD176" s="23"/>
      <c r="AE176" s="23"/>
      <c r="AF176" s="23"/>
      <c r="AG176" s="23"/>
      <c r="AH176" s="23"/>
      <c r="AI176" s="23"/>
      <c r="AJ176" s="23"/>
      <c r="AK176" s="23"/>
      <c r="AL176" s="23"/>
      <c r="AM176" s="23"/>
      <c r="AN176" s="23"/>
    </row>
    <row r="177" spans="1:40" ht="12.5" x14ac:dyDescent="0.25">
      <c r="A177" s="4"/>
      <c r="B177" s="4"/>
      <c r="C177" s="5"/>
      <c r="D177" s="5"/>
      <c r="E177" s="5"/>
      <c r="F177" s="5"/>
      <c r="G177" s="5"/>
      <c r="H177" s="5"/>
      <c r="I177" s="5"/>
      <c r="J177" s="4"/>
      <c r="K177" s="4"/>
      <c r="L177" s="4"/>
      <c r="M177" s="4"/>
      <c r="N177" s="4"/>
      <c r="O177" s="4"/>
      <c r="P177" s="4"/>
      <c r="Q177" s="4"/>
      <c r="R177" s="4"/>
      <c r="S177" s="4"/>
      <c r="T177" s="4"/>
      <c r="U177" s="4"/>
      <c r="V177" s="4"/>
      <c r="W177" s="4"/>
      <c r="X177" s="4"/>
      <c r="Y177" s="4"/>
      <c r="Z177" s="4"/>
      <c r="AA177" s="23"/>
      <c r="AB177" s="23"/>
      <c r="AC177" s="23"/>
      <c r="AD177" s="23"/>
      <c r="AE177" s="23"/>
      <c r="AF177" s="23"/>
      <c r="AG177" s="23"/>
      <c r="AH177" s="23"/>
      <c r="AI177" s="23"/>
      <c r="AJ177" s="23"/>
      <c r="AK177" s="23"/>
      <c r="AL177" s="23"/>
      <c r="AM177" s="23"/>
      <c r="AN177" s="23"/>
    </row>
    <row r="178" spans="1:40" ht="12.5" x14ac:dyDescent="0.25">
      <c r="A178" s="4"/>
      <c r="B178" s="4"/>
      <c r="C178" s="5"/>
      <c r="D178" s="5"/>
      <c r="E178" s="5"/>
      <c r="F178" s="5"/>
      <c r="G178" s="5"/>
      <c r="H178" s="5"/>
      <c r="I178" s="5"/>
      <c r="J178" s="4"/>
      <c r="K178" s="4"/>
      <c r="L178" s="4"/>
      <c r="M178" s="4"/>
      <c r="N178" s="4"/>
      <c r="O178" s="4"/>
      <c r="P178" s="4"/>
      <c r="Q178" s="4"/>
      <c r="R178" s="4"/>
      <c r="S178" s="4"/>
      <c r="T178" s="4"/>
      <c r="U178" s="4"/>
      <c r="V178" s="4"/>
      <c r="W178" s="4"/>
      <c r="X178" s="4"/>
      <c r="Y178" s="4"/>
      <c r="Z178" s="4"/>
      <c r="AA178" s="23"/>
      <c r="AB178" s="23"/>
      <c r="AC178" s="23"/>
      <c r="AD178" s="23"/>
      <c r="AE178" s="23"/>
      <c r="AF178" s="23"/>
      <c r="AG178" s="23"/>
      <c r="AH178" s="23"/>
      <c r="AI178" s="23"/>
      <c r="AJ178" s="23"/>
      <c r="AK178" s="23"/>
      <c r="AL178" s="23"/>
      <c r="AM178" s="23"/>
      <c r="AN178" s="23"/>
    </row>
    <row r="179" spans="1:40" ht="12.5" x14ac:dyDescent="0.25">
      <c r="A179" s="4"/>
      <c r="B179" s="4"/>
      <c r="C179" s="5"/>
      <c r="D179" s="5"/>
      <c r="E179" s="5"/>
      <c r="F179" s="5"/>
      <c r="G179" s="5"/>
      <c r="H179" s="5"/>
      <c r="I179" s="5"/>
      <c r="J179" s="4"/>
      <c r="K179" s="4"/>
      <c r="L179" s="4"/>
      <c r="M179" s="4"/>
      <c r="N179" s="4"/>
      <c r="O179" s="4"/>
      <c r="P179" s="4"/>
      <c r="Q179" s="4"/>
      <c r="R179" s="4"/>
      <c r="S179" s="4"/>
      <c r="T179" s="4"/>
      <c r="U179" s="4"/>
      <c r="V179" s="4"/>
      <c r="W179" s="4"/>
      <c r="X179" s="4"/>
      <c r="Y179" s="4"/>
      <c r="Z179" s="4"/>
      <c r="AA179" s="23"/>
      <c r="AB179" s="23"/>
      <c r="AC179" s="23"/>
      <c r="AD179" s="23"/>
      <c r="AE179" s="23"/>
      <c r="AF179" s="23"/>
      <c r="AG179" s="23"/>
      <c r="AH179" s="23"/>
      <c r="AI179" s="23"/>
      <c r="AJ179" s="23"/>
      <c r="AK179" s="23"/>
      <c r="AL179" s="23"/>
      <c r="AM179" s="23"/>
      <c r="AN179" s="23"/>
    </row>
    <row r="180" spans="1:40" ht="12.5" x14ac:dyDescent="0.25">
      <c r="A180" s="4"/>
      <c r="B180" s="4"/>
      <c r="C180" s="5"/>
      <c r="D180" s="5"/>
      <c r="E180" s="5"/>
      <c r="F180" s="5"/>
      <c r="G180" s="5"/>
      <c r="H180" s="5"/>
      <c r="I180" s="5"/>
      <c r="J180" s="4"/>
      <c r="K180" s="4"/>
      <c r="L180" s="4"/>
      <c r="M180" s="4"/>
      <c r="N180" s="4"/>
      <c r="O180" s="4"/>
      <c r="P180" s="4"/>
      <c r="Q180" s="4"/>
      <c r="R180" s="4"/>
      <c r="S180" s="4"/>
      <c r="T180" s="4"/>
      <c r="U180" s="4"/>
      <c r="V180" s="4"/>
      <c r="W180" s="4"/>
      <c r="X180" s="4"/>
      <c r="Y180" s="4"/>
      <c r="Z180" s="4"/>
      <c r="AA180" s="23"/>
      <c r="AB180" s="23"/>
      <c r="AC180" s="23"/>
      <c r="AD180" s="23"/>
      <c r="AE180" s="23"/>
      <c r="AF180" s="23"/>
      <c r="AG180" s="23"/>
      <c r="AH180" s="23"/>
      <c r="AI180" s="23"/>
      <c r="AJ180" s="23"/>
      <c r="AK180" s="23"/>
      <c r="AL180" s="23"/>
      <c r="AM180" s="23"/>
      <c r="AN180" s="23"/>
    </row>
    <row r="181" spans="1:40" ht="12.5" x14ac:dyDescent="0.25">
      <c r="A181" s="4"/>
      <c r="B181" s="4"/>
      <c r="C181" s="5"/>
      <c r="D181" s="5"/>
      <c r="E181" s="5"/>
      <c r="F181" s="5"/>
      <c r="G181" s="5"/>
      <c r="H181" s="5"/>
      <c r="I181" s="5"/>
      <c r="J181" s="4"/>
      <c r="K181" s="4"/>
      <c r="L181" s="4"/>
      <c r="M181" s="4"/>
      <c r="N181" s="4"/>
      <c r="O181" s="4"/>
      <c r="P181" s="4"/>
      <c r="Q181" s="4"/>
      <c r="R181" s="4"/>
      <c r="S181" s="4"/>
      <c r="T181" s="4"/>
      <c r="U181" s="4"/>
      <c r="V181" s="4"/>
      <c r="W181" s="4"/>
      <c r="X181" s="4"/>
      <c r="Y181" s="4"/>
      <c r="Z181" s="4"/>
      <c r="AA181" s="23"/>
      <c r="AB181" s="23"/>
      <c r="AC181" s="23"/>
      <c r="AD181" s="23"/>
      <c r="AE181" s="23"/>
      <c r="AF181" s="23"/>
      <c r="AG181" s="23"/>
      <c r="AH181" s="23"/>
      <c r="AI181" s="23"/>
      <c r="AJ181" s="23"/>
      <c r="AK181" s="23"/>
      <c r="AL181" s="23"/>
      <c r="AM181" s="23"/>
      <c r="AN181" s="23"/>
    </row>
    <row r="182" spans="1:40" ht="12.5" x14ac:dyDescent="0.25">
      <c r="A182" s="4"/>
      <c r="B182" s="4"/>
      <c r="C182" s="5"/>
      <c r="D182" s="5"/>
      <c r="E182" s="5"/>
      <c r="F182" s="5"/>
      <c r="G182" s="5"/>
      <c r="H182" s="5"/>
      <c r="I182" s="5"/>
      <c r="J182" s="4"/>
      <c r="K182" s="4"/>
      <c r="L182" s="4"/>
      <c r="M182" s="4"/>
      <c r="N182" s="4"/>
      <c r="O182" s="4"/>
      <c r="P182" s="4"/>
      <c r="Q182" s="4"/>
      <c r="R182" s="4"/>
      <c r="S182" s="4"/>
      <c r="T182" s="4"/>
      <c r="U182" s="4"/>
      <c r="V182" s="4"/>
      <c r="W182" s="4"/>
      <c r="X182" s="4"/>
      <c r="Y182" s="4"/>
      <c r="Z182" s="4"/>
      <c r="AA182" s="23"/>
      <c r="AB182" s="23"/>
      <c r="AC182" s="23"/>
      <c r="AD182" s="23"/>
      <c r="AE182" s="23"/>
      <c r="AF182" s="23"/>
      <c r="AG182" s="23"/>
      <c r="AH182" s="23"/>
      <c r="AI182" s="23"/>
      <c r="AJ182" s="23"/>
      <c r="AK182" s="23"/>
      <c r="AL182" s="23"/>
      <c r="AM182" s="23"/>
      <c r="AN182" s="23"/>
    </row>
    <row r="183" spans="1:40" ht="12.5" x14ac:dyDescent="0.25">
      <c r="A183" s="4"/>
      <c r="B183" s="4"/>
      <c r="C183" s="5"/>
      <c r="D183" s="5"/>
      <c r="E183" s="5"/>
      <c r="F183" s="5"/>
      <c r="G183" s="5"/>
      <c r="H183" s="5"/>
      <c r="I183" s="5"/>
      <c r="J183" s="4"/>
      <c r="K183" s="4"/>
      <c r="L183" s="4"/>
      <c r="M183" s="4"/>
      <c r="N183" s="4"/>
      <c r="O183" s="4"/>
      <c r="P183" s="4"/>
      <c r="Q183" s="4"/>
      <c r="R183" s="4"/>
      <c r="S183" s="4"/>
      <c r="T183" s="4"/>
      <c r="U183" s="4"/>
      <c r="V183" s="4"/>
      <c r="W183" s="4"/>
      <c r="X183" s="4"/>
      <c r="Y183" s="4"/>
      <c r="Z183" s="4"/>
      <c r="AA183" s="23"/>
      <c r="AB183" s="23"/>
      <c r="AC183" s="23"/>
      <c r="AD183" s="23"/>
      <c r="AE183" s="23"/>
      <c r="AF183" s="23"/>
      <c r="AG183" s="23"/>
      <c r="AH183" s="23"/>
      <c r="AI183" s="23"/>
      <c r="AJ183" s="23"/>
      <c r="AK183" s="23"/>
      <c r="AL183" s="23"/>
      <c r="AM183" s="23"/>
      <c r="AN183" s="23"/>
    </row>
    <row r="184" spans="1:40" ht="12.5" x14ac:dyDescent="0.25">
      <c r="A184" s="4"/>
      <c r="B184" s="4"/>
      <c r="C184" s="5"/>
      <c r="D184" s="5"/>
      <c r="E184" s="5"/>
      <c r="F184" s="5"/>
      <c r="G184" s="5"/>
      <c r="H184" s="5"/>
      <c r="I184" s="5"/>
      <c r="J184" s="4"/>
      <c r="K184" s="4"/>
      <c r="L184" s="4"/>
      <c r="M184" s="4"/>
      <c r="N184" s="4"/>
      <c r="O184" s="4"/>
      <c r="P184" s="4"/>
      <c r="Q184" s="4"/>
      <c r="R184" s="4"/>
      <c r="S184" s="4"/>
      <c r="T184" s="4"/>
      <c r="U184" s="4"/>
      <c r="V184" s="4"/>
      <c r="W184" s="4"/>
      <c r="X184" s="4"/>
      <c r="Y184" s="4"/>
      <c r="Z184" s="4"/>
      <c r="AA184" s="23"/>
      <c r="AB184" s="23"/>
      <c r="AC184" s="23"/>
      <c r="AD184" s="23"/>
      <c r="AE184" s="23"/>
      <c r="AF184" s="23"/>
      <c r="AG184" s="23"/>
      <c r="AH184" s="23"/>
      <c r="AI184" s="23"/>
      <c r="AJ184" s="23"/>
      <c r="AK184" s="23"/>
      <c r="AL184" s="23"/>
      <c r="AM184" s="23"/>
      <c r="AN184" s="23"/>
    </row>
    <row r="185" spans="1:40" ht="12.5" x14ac:dyDescent="0.25">
      <c r="A185" s="4"/>
      <c r="B185" s="4"/>
      <c r="C185" s="5"/>
      <c r="D185" s="5"/>
      <c r="E185" s="5"/>
      <c r="F185" s="5"/>
      <c r="G185" s="5"/>
      <c r="H185" s="5"/>
      <c r="I185" s="5"/>
      <c r="J185" s="4"/>
      <c r="K185" s="4"/>
      <c r="L185" s="4"/>
      <c r="M185" s="4"/>
      <c r="N185" s="4"/>
      <c r="O185" s="4"/>
      <c r="P185" s="4"/>
      <c r="Q185" s="4"/>
      <c r="R185" s="4"/>
      <c r="S185" s="4"/>
      <c r="T185" s="4"/>
      <c r="U185" s="4"/>
      <c r="V185" s="4"/>
      <c r="W185" s="4"/>
      <c r="X185" s="4"/>
      <c r="Y185" s="4"/>
      <c r="Z185" s="4"/>
      <c r="AA185" s="23"/>
      <c r="AB185" s="23"/>
      <c r="AC185" s="23"/>
      <c r="AD185" s="23"/>
      <c r="AE185" s="23"/>
      <c r="AF185" s="23"/>
      <c r="AG185" s="23"/>
      <c r="AH185" s="23"/>
      <c r="AI185" s="23"/>
      <c r="AJ185" s="23"/>
      <c r="AK185" s="23"/>
      <c r="AL185" s="23"/>
      <c r="AM185" s="23"/>
      <c r="AN185" s="23"/>
    </row>
    <row r="186" spans="1:40" ht="12.5" x14ac:dyDescent="0.25">
      <c r="A186" s="4"/>
      <c r="B186" s="4"/>
      <c r="C186" s="5"/>
      <c r="D186" s="5"/>
      <c r="E186" s="5"/>
      <c r="F186" s="5"/>
      <c r="G186" s="5"/>
      <c r="H186" s="5"/>
      <c r="I186" s="5"/>
      <c r="J186" s="4"/>
      <c r="K186" s="4"/>
      <c r="L186" s="4"/>
      <c r="M186" s="4"/>
      <c r="N186" s="4"/>
      <c r="O186" s="4"/>
      <c r="P186" s="4"/>
      <c r="Q186" s="4"/>
      <c r="R186" s="4"/>
      <c r="S186" s="4"/>
      <c r="T186" s="4"/>
      <c r="U186" s="4"/>
      <c r="V186" s="4"/>
      <c r="W186" s="4"/>
      <c r="X186" s="4"/>
      <c r="Y186" s="4"/>
      <c r="Z186" s="4"/>
      <c r="AA186" s="23"/>
      <c r="AB186" s="23"/>
      <c r="AC186" s="23"/>
      <c r="AD186" s="23"/>
      <c r="AE186" s="23"/>
      <c r="AF186" s="23"/>
      <c r="AG186" s="23"/>
      <c r="AH186" s="23"/>
      <c r="AI186" s="23"/>
      <c r="AJ186" s="23"/>
      <c r="AK186" s="23"/>
      <c r="AL186" s="23"/>
      <c r="AM186" s="23"/>
      <c r="AN186" s="23"/>
    </row>
    <row r="187" spans="1:40" ht="12.5" x14ac:dyDescent="0.25">
      <c r="A187" s="4"/>
      <c r="B187" s="4"/>
      <c r="C187" s="5"/>
      <c r="D187" s="5"/>
      <c r="E187" s="5"/>
      <c r="F187" s="5"/>
      <c r="G187" s="5"/>
      <c r="H187" s="5"/>
      <c r="I187" s="5"/>
      <c r="J187" s="4"/>
      <c r="K187" s="4"/>
      <c r="L187" s="4"/>
      <c r="M187" s="4"/>
      <c r="N187" s="4"/>
      <c r="O187" s="4"/>
      <c r="P187" s="4"/>
      <c r="Q187" s="4"/>
      <c r="R187" s="4"/>
      <c r="S187" s="4"/>
      <c r="T187" s="4"/>
      <c r="U187" s="4"/>
      <c r="V187" s="4"/>
      <c r="W187" s="4"/>
      <c r="X187" s="4"/>
      <c r="Y187" s="4"/>
      <c r="Z187" s="4"/>
      <c r="AA187" s="23"/>
      <c r="AB187" s="23"/>
      <c r="AC187" s="23"/>
      <c r="AD187" s="23"/>
      <c r="AE187" s="23"/>
      <c r="AF187" s="23"/>
      <c r="AG187" s="23"/>
      <c r="AH187" s="23"/>
      <c r="AI187" s="23"/>
      <c r="AJ187" s="23"/>
      <c r="AK187" s="23"/>
      <c r="AL187" s="23"/>
      <c r="AM187" s="23"/>
      <c r="AN187" s="23"/>
    </row>
    <row r="188" spans="1:40" ht="12.5" x14ac:dyDescent="0.25">
      <c r="A188" s="4"/>
      <c r="B188" s="4"/>
      <c r="C188" s="5"/>
      <c r="D188" s="5"/>
      <c r="E188" s="5"/>
      <c r="F188" s="5"/>
      <c r="G188" s="5"/>
      <c r="H188" s="5"/>
      <c r="I188" s="5"/>
      <c r="J188" s="4"/>
      <c r="K188" s="4"/>
      <c r="L188" s="4"/>
      <c r="M188" s="4"/>
      <c r="N188" s="4"/>
      <c r="O188" s="4"/>
      <c r="P188" s="4"/>
      <c r="Q188" s="4"/>
      <c r="R188" s="4"/>
      <c r="S188" s="4"/>
      <c r="T188" s="4"/>
      <c r="U188" s="4"/>
      <c r="V188" s="4"/>
      <c r="W188" s="4"/>
      <c r="X188" s="4"/>
      <c r="Y188" s="4"/>
      <c r="Z188" s="4"/>
      <c r="AA188" s="23"/>
      <c r="AB188" s="23"/>
      <c r="AC188" s="23"/>
      <c r="AD188" s="23"/>
      <c r="AE188" s="23"/>
      <c r="AF188" s="23"/>
      <c r="AG188" s="23"/>
      <c r="AH188" s="23"/>
      <c r="AI188" s="23"/>
      <c r="AJ188" s="23"/>
      <c r="AK188" s="23"/>
      <c r="AL188" s="23"/>
      <c r="AM188" s="23"/>
      <c r="AN188" s="23"/>
    </row>
    <row r="189" spans="1:40" ht="12.5" x14ac:dyDescent="0.25">
      <c r="A189" s="4"/>
      <c r="B189" s="4"/>
      <c r="C189" s="5"/>
      <c r="D189" s="5"/>
      <c r="E189" s="5"/>
      <c r="F189" s="5"/>
      <c r="G189" s="5"/>
      <c r="H189" s="5"/>
      <c r="I189" s="5"/>
      <c r="J189" s="4"/>
      <c r="K189" s="4"/>
      <c r="L189" s="4"/>
      <c r="M189" s="4"/>
      <c r="N189" s="4"/>
      <c r="O189" s="4"/>
      <c r="P189" s="4"/>
      <c r="Q189" s="4"/>
      <c r="R189" s="4"/>
      <c r="S189" s="4"/>
      <c r="T189" s="4"/>
      <c r="U189" s="4"/>
      <c r="V189" s="4"/>
      <c r="W189" s="4"/>
      <c r="X189" s="4"/>
      <c r="Y189" s="4"/>
      <c r="Z189" s="4"/>
      <c r="AA189" s="23"/>
      <c r="AB189" s="23"/>
      <c r="AC189" s="23"/>
      <c r="AD189" s="23"/>
      <c r="AE189" s="23"/>
      <c r="AF189" s="23"/>
      <c r="AG189" s="23"/>
      <c r="AH189" s="23"/>
      <c r="AI189" s="23"/>
      <c r="AJ189" s="23"/>
      <c r="AK189" s="23"/>
      <c r="AL189" s="23"/>
      <c r="AM189" s="23"/>
      <c r="AN189" s="23"/>
    </row>
    <row r="190" spans="1:40" ht="12.5" x14ac:dyDescent="0.25">
      <c r="A190" s="4"/>
      <c r="B190" s="4"/>
      <c r="C190" s="5"/>
      <c r="D190" s="5"/>
      <c r="E190" s="5"/>
      <c r="F190" s="5"/>
      <c r="G190" s="5"/>
      <c r="H190" s="5"/>
      <c r="I190" s="5"/>
      <c r="J190" s="4"/>
      <c r="K190" s="4"/>
      <c r="L190" s="4"/>
      <c r="M190" s="4"/>
      <c r="N190" s="4"/>
      <c r="O190" s="4"/>
      <c r="P190" s="4"/>
      <c r="Q190" s="4"/>
      <c r="R190" s="4"/>
      <c r="S190" s="4"/>
      <c r="T190" s="4"/>
      <c r="U190" s="4"/>
      <c r="V190" s="4"/>
      <c r="W190" s="4"/>
      <c r="X190" s="4"/>
      <c r="Y190" s="4"/>
      <c r="Z190" s="4"/>
      <c r="AA190" s="23"/>
      <c r="AB190" s="23"/>
      <c r="AC190" s="23"/>
      <c r="AD190" s="23"/>
      <c r="AE190" s="23"/>
      <c r="AF190" s="23"/>
      <c r="AG190" s="23"/>
      <c r="AH190" s="23"/>
      <c r="AI190" s="23"/>
      <c r="AJ190" s="23"/>
      <c r="AK190" s="23"/>
      <c r="AL190" s="23"/>
      <c r="AM190" s="23"/>
      <c r="AN190" s="23"/>
    </row>
    <row r="191" spans="1:40" ht="12.5" x14ac:dyDescent="0.25">
      <c r="A191" s="4"/>
      <c r="B191" s="4"/>
      <c r="C191" s="5"/>
      <c r="D191" s="5"/>
      <c r="E191" s="5"/>
      <c r="F191" s="5"/>
      <c r="G191" s="5"/>
      <c r="H191" s="5"/>
      <c r="I191" s="5"/>
      <c r="J191" s="4"/>
      <c r="K191" s="4"/>
      <c r="L191" s="4"/>
      <c r="M191" s="4"/>
      <c r="N191" s="4"/>
      <c r="O191" s="4"/>
      <c r="P191" s="4"/>
      <c r="Q191" s="4"/>
      <c r="R191" s="4"/>
      <c r="S191" s="4"/>
      <c r="T191" s="4"/>
      <c r="U191" s="4"/>
      <c r="V191" s="4"/>
      <c r="W191" s="4"/>
      <c r="X191" s="4"/>
      <c r="Y191" s="4"/>
      <c r="Z191" s="4"/>
      <c r="AA191" s="23"/>
      <c r="AB191" s="23"/>
      <c r="AC191" s="23"/>
      <c r="AD191" s="23"/>
      <c r="AE191" s="23"/>
      <c r="AF191" s="23"/>
      <c r="AG191" s="23"/>
      <c r="AH191" s="23"/>
      <c r="AI191" s="23"/>
      <c r="AJ191" s="23"/>
      <c r="AK191" s="23"/>
      <c r="AL191" s="23"/>
      <c r="AM191" s="23"/>
      <c r="AN191" s="23"/>
    </row>
    <row r="192" spans="1:40" ht="12.5" x14ac:dyDescent="0.25">
      <c r="A192" s="4"/>
      <c r="B192" s="4"/>
      <c r="C192" s="5"/>
      <c r="D192" s="5"/>
      <c r="E192" s="5"/>
      <c r="F192" s="5"/>
      <c r="G192" s="5"/>
      <c r="H192" s="5"/>
      <c r="I192" s="5"/>
      <c r="J192" s="4"/>
      <c r="K192" s="4"/>
      <c r="L192" s="4"/>
      <c r="M192" s="4"/>
      <c r="N192" s="4"/>
      <c r="O192" s="4"/>
      <c r="P192" s="4"/>
      <c r="Q192" s="4"/>
      <c r="R192" s="4"/>
      <c r="S192" s="4"/>
      <c r="T192" s="4"/>
      <c r="U192" s="4"/>
      <c r="V192" s="4"/>
      <c r="W192" s="4"/>
      <c r="X192" s="4"/>
      <c r="Y192" s="4"/>
      <c r="Z192" s="4"/>
      <c r="AA192" s="23"/>
      <c r="AB192" s="23"/>
      <c r="AC192" s="23"/>
      <c r="AD192" s="23"/>
      <c r="AE192" s="23"/>
      <c r="AF192" s="23"/>
      <c r="AG192" s="23"/>
      <c r="AH192" s="23"/>
      <c r="AI192" s="23"/>
      <c r="AJ192" s="23"/>
      <c r="AK192" s="23"/>
      <c r="AL192" s="23"/>
      <c r="AM192" s="23"/>
      <c r="AN192" s="23"/>
    </row>
    <row r="193" spans="1:40" ht="12.5" x14ac:dyDescent="0.25">
      <c r="A193" s="4"/>
      <c r="B193" s="4"/>
      <c r="C193" s="5"/>
      <c r="D193" s="5"/>
      <c r="E193" s="5"/>
      <c r="F193" s="5"/>
      <c r="G193" s="5"/>
      <c r="H193" s="5"/>
      <c r="I193" s="5"/>
      <c r="J193" s="4"/>
      <c r="K193" s="4"/>
      <c r="L193" s="4"/>
      <c r="M193" s="4"/>
      <c r="N193" s="4"/>
      <c r="O193" s="4"/>
      <c r="P193" s="4"/>
      <c r="Q193" s="4"/>
      <c r="R193" s="4"/>
      <c r="S193" s="4"/>
      <c r="T193" s="4"/>
      <c r="U193" s="4"/>
      <c r="V193" s="4"/>
      <c r="W193" s="4"/>
      <c r="X193" s="4"/>
      <c r="Y193" s="4"/>
      <c r="Z193" s="4"/>
      <c r="AA193" s="23"/>
      <c r="AB193" s="23"/>
      <c r="AC193" s="23"/>
      <c r="AD193" s="23"/>
      <c r="AE193" s="23"/>
      <c r="AF193" s="23"/>
      <c r="AG193" s="23"/>
      <c r="AH193" s="23"/>
      <c r="AI193" s="23"/>
      <c r="AJ193" s="23"/>
      <c r="AK193" s="23"/>
      <c r="AL193" s="23"/>
      <c r="AM193" s="23"/>
      <c r="AN193" s="23"/>
    </row>
    <row r="194" spans="1:40" ht="12.5" x14ac:dyDescent="0.25">
      <c r="A194" s="4"/>
      <c r="B194" s="4"/>
      <c r="C194" s="5"/>
      <c r="D194" s="5"/>
      <c r="E194" s="5"/>
      <c r="F194" s="5"/>
      <c r="G194" s="5"/>
      <c r="H194" s="5"/>
      <c r="I194" s="5"/>
      <c r="J194" s="4"/>
      <c r="K194" s="4"/>
      <c r="L194" s="4"/>
      <c r="M194" s="4"/>
      <c r="N194" s="4"/>
      <c r="O194" s="4"/>
      <c r="P194" s="4"/>
      <c r="Q194" s="4"/>
      <c r="R194" s="4"/>
      <c r="S194" s="4"/>
      <c r="T194" s="4"/>
      <c r="U194" s="4"/>
      <c r="V194" s="4"/>
      <c r="W194" s="4"/>
      <c r="X194" s="4"/>
      <c r="Y194" s="4"/>
      <c r="Z194" s="4"/>
      <c r="AA194" s="23"/>
      <c r="AB194" s="23"/>
      <c r="AC194" s="23"/>
      <c r="AD194" s="23"/>
      <c r="AE194" s="23"/>
      <c r="AF194" s="23"/>
      <c r="AG194" s="23"/>
      <c r="AH194" s="23"/>
      <c r="AI194" s="23"/>
      <c r="AJ194" s="23"/>
      <c r="AK194" s="23"/>
      <c r="AL194" s="23"/>
      <c r="AM194" s="23"/>
      <c r="AN194" s="23"/>
    </row>
    <row r="195" spans="1:40" ht="12.5" x14ac:dyDescent="0.25">
      <c r="A195" s="4"/>
      <c r="B195" s="4"/>
      <c r="C195" s="5"/>
      <c r="D195" s="5"/>
      <c r="E195" s="5"/>
      <c r="F195" s="5"/>
      <c r="G195" s="5"/>
      <c r="H195" s="5"/>
      <c r="I195" s="5"/>
      <c r="J195" s="4"/>
      <c r="K195" s="4"/>
      <c r="L195" s="4"/>
      <c r="M195" s="4"/>
      <c r="N195" s="4"/>
      <c r="O195" s="4"/>
      <c r="P195" s="4"/>
      <c r="Q195" s="4"/>
      <c r="R195" s="4"/>
      <c r="S195" s="4"/>
      <c r="T195" s="4"/>
      <c r="U195" s="4"/>
      <c r="V195" s="4"/>
      <c r="W195" s="4"/>
      <c r="X195" s="4"/>
      <c r="Y195" s="4"/>
      <c r="Z195" s="4"/>
      <c r="AA195" s="23"/>
      <c r="AB195" s="23"/>
      <c r="AC195" s="23"/>
      <c r="AD195" s="23"/>
      <c r="AE195" s="23"/>
      <c r="AF195" s="23"/>
      <c r="AG195" s="23"/>
      <c r="AH195" s="23"/>
      <c r="AI195" s="23"/>
      <c r="AJ195" s="23"/>
      <c r="AK195" s="23"/>
      <c r="AL195" s="23"/>
      <c r="AM195" s="23"/>
      <c r="AN195" s="23"/>
    </row>
    <row r="196" spans="1:40" ht="12.5" x14ac:dyDescent="0.25">
      <c r="A196" s="4"/>
      <c r="B196" s="4"/>
      <c r="C196" s="5"/>
      <c r="D196" s="5"/>
      <c r="E196" s="5"/>
      <c r="F196" s="5"/>
      <c r="G196" s="5"/>
      <c r="H196" s="5"/>
      <c r="I196" s="5"/>
      <c r="J196" s="4"/>
      <c r="K196" s="4"/>
      <c r="L196" s="4"/>
      <c r="M196" s="4"/>
      <c r="N196" s="4"/>
      <c r="O196" s="4"/>
      <c r="P196" s="4"/>
      <c r="Q196" s="4"/>
      <c r="R196" s="4"/>
      <c r="S196" s="4"/>
      <c r="T196" s="4"/>
      <c r="U196" s="4"/>
      <c r="V196" s="4"/>
      <c r="W196" s="4"/>
      <c r="X196" s="4"/>
      <c r="Y196" s="4"/>
      <c r="Z196" s="4"/>
      <c r="AA196" s="23"/>
      <c r="AB196" s="23"/>
      <c r="AC196" s="23"/>
      <c r="AD196" s="23"/>
      <c r="AE196" s="23"/>
      <c r="AF196" s="23"/>
      <c r="AG196" s="23"/>
      <c r="AH196" s="23"/>
      <c r="AI196" s="23"/>
      <c r="AJ196" s="23"/>
      <c r="AK196" s="23"/>
      <c r="AL196" s="23"/>
      <c r="AM196" s="23"/>
      <c r="AN196" s="23"/>
    </row>
    <row r="197" spans="1:40" ht="12.5" x14ac:dyDescent="0.25">
      <c r="A197" s="4"/>
      <c r="B197" s="4"/>
      <c r="C197" s="5"/>
      <c r="D197" s="5"/>
      <c r="E197" s="5"/>
      <c r="F197" s="5"/>
      <c r="G197" s="5"/>
      <c r="H197" s="5"/>
      <c r="I197" s="5"/>
      <c r="J197" s="4"/>
      <c r="K197" s="4"/>
      <c r="L197" s="4"/>
      <c r="M197" s="4"/>
      <c r="N197" s="4"/>
      <c r="O197" s="4"/>
      <c r="P197" s="4"/>
      <c r="Q197" s="4"/>
      <c r="R197" s="4"/>
      <c r="S197" s="4"/>
      <c r="T197" s="4"/>
      <c r="U197" s="4"/>
      <c r="V197" s="4"/>
      <c r="W197" s="4"/>
      <c r="X197" s="4"/>
      <c r="Y197" s="4"/>
      <c r="Z197" s="4"/>
      <c r="AA197" s="23"/>
      <c r="AB197" s="23"/>
      <c r="AC197" s="23"/>
      <c r="AD197" s="23"/>
      <c r="AE197" s="23"/>
      <c r="AF197" s="23"/>
      <c r="AG197" s="23"/>
      <c r="AH197" s="23"/>
      <c r="AI197" s="23"/>
      <c r="AJ197" s="23"/>
      <c r="AK197" s="23"/>
      <c r="AL197" s="23"/>
      <c r="AM197" s="23"/>
      <c r="AN197" s="23"/>
    </row>
    <row r="198" spans="1:40" ht="12.5" x14ac:dyDescent="0.25">
      <c r="A198" s="4"/>
      <c r="B198" s="4"/>
      <c r="C198" s="5"/>
      <c r="D198" s="5"/>
      <c r="E198" s="5"/>
      <c r="F198" s="5"/>
      <c r="G198" s="5"/>
      <c r="H198" s="5"/>
      <c r="I198" s="5"/>
      <c r="J198" s="4"/>
      <c r="K198" s="4"/>
      <c r="L198" s="4"/>
      <c r="M198" s="4"/>
      <c r="N198" s="4"/>
      <c r="O198" s="4"/>
      <c r="P198" s="4"/>
      <c r="Q198" s="4"/>
      <c r="R198" s="4"/>
      <c r="S198" s="4"/>
      <c r="T198" s="4"/>
      <c r="U198" s="4"/>
      <c r="V198" s="4"/>
      <c r="W198" s="4"/>
      <c r="X198" s="4"/>
      <c r="Y198" s="4"/>
      <c r="Z198" s="4"/>
      <c r="AA198" s="23"/>
      <c r="AB198" s="23"/>
      <c r="AC198" s="23"/>
      <c r="AD198" s="23"/>
      <c r="AE198" s="23"/>
      <c r="AF198" s="23"/>
      <c r="AG198" s="23"/>
      <c r="AH198" s="23"/>
      <c r="AI198" s="23"/>
      <c r="AJ198" s="23"/>
      <c r="AK198" s="23"/>
      <c r="AL198" s="23"/>
      <c r="AM198" s="23"/>
      <c r="AN198" s="23"/>
    </row>
    <row r="199" spans="1:40" ht="12.5" x14ac:dyDescent="0.25">
      <c r="A199" s="4"/>
      <c r="B199" s="4"/>
      <c r="C199" s="5"/>
      <c r="D199" s="5"/>
      <c r="E199" s="5"/>
      <c r="F199" s="5"/>
      <c r="G199" s="5"/>
      <c r="H199" s="5"/>
      <c r="I199" s="5"/>
      <c r="J199" s="4"/>
      <c r="K199" s="4"/>
      <c r="L199" s="4"/>
      <c r="M199" s="4"/>
      <c r="N199" s="4"/>
      <c r="O199" s="4"/>
      <c r="P199" s="4"/>
      <c r="Q199" s="4"/>
      <c r="R199" s="4"/>
      <c r="S199" s="4"/>
      <c r="T199" s="4"/>
      <c r="U199" s="4"/>
      <c r="V199" s="4"/>
      <c r="W199" s="4"/>
      <c r="X199" s="4"/>
      <c r="Y199" s="4"/>
      <c r="Z199" s="4"/>
      <c r="AA199" s="23"/>
      <c r="AB199" s="23"/>
      <c r="AC199" s="23"/>
      <c r="AD199" s="23"/>
      <c r="AE199" s="23"/>
      <c r="AF199" s="23"/>
      <c r="AG199" s="23"/>
      <c r="AH199" s="23"/>
      <c r="AI199" s="23"/>
      <c r="AJ199" s="23"/>
      <c r="AK199" s="23"/>
      <c r="AL199" s="23"/>
      <c r="AM199" s="23"/>
      <c r="AN199" s="23"/>
    </row>
    <row r="200" spans="1:40" ht="12.5" x14ac:dyDescent="0.25">
      <c r="A200" s="4"/>
      <c r="B200" s="4"/>
      <c r="C200" s="5"/>
      <c r="D200" s="5"/>
      <c r="E200" s="5"/>
      <c r="F200" s="5"/>
      <c r="G200" s="5"/>
      <c r="H200" s="5"/>
      <c r="I200" s="5"/>
      <c r="J200" s="4"/>
      <c r="K200" s="4"/>
      <c r="L200" s="4"/>
      <c r="M200" s="4"/>
      <c r="N200" s="4"/>
      <c r="O200" s="4"/>
      <c r="P200" s="4"/>
      <c r="Q200" s="4"/>
      <c r="R200" s="4"/>
      <c r="S200" s="4"/>
      <c r="T200" s="4"/>
      <c r="U200" s="4"/>
      <c r="V200" s="4"/>
      <c r="W200" s="4"/>
      <c r="X200" s="4"/>
      <c r="Y200" s="4"/>
      <c r="Z200" s="4"/>
      <c r="AA200" s="23"/>
      <c r="AB200" s="23"/>
      <c r="AC200" s="23"/>
      <c r="AD200" s="23"/>
      <c r="AE200" s="23"/>
      <c r="AF200" s="23"/>
      <c r="AG200" s="23"/>
      <c r="AH200" s="23"/>
      <c r="AI200" s="23"/>
      <c r="AJ200" s="23"/>
      <c r="AK200" s="23"/>
      <c r="AL200" s="23"/>
      <c r="AM200" s="23"/>
      <c r="AN200" s="23"/>
    </row>
    <row r="201" spans="1:40" ht="12.5" x14ac:dyDescent="0.25">
      <c r="A201" s="4"/>
      <c r="B201" s="4"/>
      <c r="C201" s="5"/>
      <c r="D201" s="5"/>
      <c r="E201" s="5"/>
      <c r="F201" s="5"/>
      <c r="G201" s="5"/>
      <c r="H201" s="5"/>
      <c r="I201" s="5"/>
      <c r="J201" s="4"/>
      <c r="K201" s="4"/>
      <c r="L201" s="4"/>
      <c r="M201" s="4"/>
      <c r="N201" s="4"/>
      <c r="O201" s="4"/>
      <c r="P201" s="4"/>
      <c r="Q201" s="4"/>
      <c r="R201" s="4"/>
      <c r="S201" s="4"/>
      <c r="T201" s="4"/>
      <c r="U201" s="4"/>
      <c r="V201" s="4"/>
      <c r="W201" s="4"/>
      <c r="X201" s="4"/>
      <c r="Y201" s="4"/>
      <c r="Z201" s="4"/>
      <c r="AA201" s="23"/>
      <c r="AB201" s="23"/>
      <c r="AC201" s="23"/>
      <c r="AD201" s="23"/>
      <c r="AE201" s="23"/>
      <c r="AF201" s="23"/>
      <c r="AG201" s="23"/>
      <c r="AH201" s="23"/>
      <c r="AI201" s="23"/>
      <c r="AJ201" s="23"/>
      <c r="AK201" s="23"/>
      <c r="AL201" s="23"/>
      <c r="AM201" s="23"/>
      <c r="AN201" s="23"/>
    </row>
    <row r="202" spans="1:40" ht="12.5" x14ac:dyDescent="0.25">
      <c r="A202" s="4"/>
      <c r="B202" s="4"/>
      <c r="C202" s="5"/>
      <c r="D202" s="5"/>
      <c r="E202" s="5"/>
      <c r="F202" s="5"/>
      <c r="G202" s="5"/>
      <c r="H202" s="5"/>
      <c r="I202" s="5"/>
      <c r="J202" s="4"/>
      <c r="K202" s="4"/>
      <c r="L202" s="4"/>
      <c r="M202" s="4"/>
      <c r="N202" s="4"/>
      <c r="O202" s="4"/>
      <c r="P202" s="4"/>
      <c r="Q202" s="4"/>
      <c r="R202" s="4"/>
      <c r="S202" s="4"/>
      <c r="T202" s="4"/>
      <c r="U202" s="4"/>
      <c r="V202" s="4"/>
      <c r="W202" s="4"/>
      <c r="X202" s="4"/>
      <c r="Y202" s="4"/>
      <c r="Z202" s="4"/>
      <c r="AA202" s="23"/>
      <c r="AB202" s="23"/>
      <c r="AC202" s="23"/>
      <c r="AD202" s="23"/>
      <c r="AE202" s="23"/>
      <c r="AF202" s="23"/>
      <c r="AG202" s="23"/>
      <c r="AH202" s="23"/>
      <c r="AI202" s="23"/>
      <c r="AJ202" s="23"/>
      <c r="AK202" s="23"/>
      <c r="AL202" s="23"/>
      <c r="AM202" s="23"/>
      <c r="AN202" s="23"/>
    </row>
    <row r="203" spans="1:40" ht="12.5" x14ac:dyDescent="0.25">
      <c r="A203" s="4"/>
      <c r="B203" s="4"/>
      <c r="C203" s="5"/>
      <c r="D203" s="5"/>
      <c r="E203" s="5"/>
      <c r="F203" s="5"/>
      <c r="G203" s="5"/>
      <c r="H203" s="5"/>
      <c r="I203" s="5"/>
      <c r="J203" s="4"/>
      <c r="K203" s="4"/>
      <c r="L203" s="4"/>
      <c r="M203" s="4"/>
      <c r="N203" s="4"/>
      <c r="O203" s="4"/>
      <c r="P203" s="4"/>
      <c r="Q203" s="4"/>
      <c r="R203" s="4"/>
      <c r="S203" s="4"/>
      <c r="T203" s="4"/>
      <c r="U203" s="4"/>
      <c r="V203" s="4"/>
      <c r="W203" s="4"/>
      <c r="X203" s="4"/>
      <c r="Y203" s="4"/>
      <c r="Z203" s="4"/>
      <c r="AA203" s="23"/>
      <c r="AB203" s="23"/>
      <c r="AC203" s="23"/>
      <c r="AD203" s="23"/>
      <c r="AE203" s="23"/>
      <c r="AF203" s="23"/>
      <c r="AG203" s="23"/>
      <c r="AH203" s="23"/>
      <c r="AI203" s="23"/>
      <c r="AJ203" s="23"/>
      <c r="AK203" s="23"/>
      <c r="AL203" s="23"/>
      <c r="AM203" s="23"/>
      <c r="AN203" s="23"/>
    </row>
    <row r="204" spans="1:40" ht="12.5" x14ac:dyDescent="0.25">
      <c r="A204" s="4"/>
      <c r="B204" s="4"/>
      <c r="C204" s="5"/>
      <c r="D204" s="5"/>
      <c r="E204" s="5"/>
      <c r="F204" s="5"/>
      <c r="G204" s="5"/>
      <c r="H204" s="5"/>
      <c r="I204" s="5"/>
      <c r="J204" s="4"/>
      <c r="K204" s="4"/>
      <c r="L204" s="4"/>
      <c r="M204" s="4"/>
      <c r="N204" s="4"/>
      <c r="O204" s="4"/>
      <c r="P204" s="4"/>
      <c r="Q204" s="4"/>
      <c r="R204" s="4"/>
      <c r="S204" s="4"/>
      <c r="T204" s="4"/>
      <c r="U204" s="4"/>
      <c r="V204" s="4"/>
      <c r="W204" s="4"/>
      <c r="X204" s="4"/>
      <c r="Y204" s="4"/>
      <c r="Z204" s="4"/>
      <c r="AA204" s="23"/>
      <c r="AB204" s="23"/>
      <c r="AC204" s="23"/>
      <c r="AD204" s="23"/>
      <c r="AE204" s="23"/>
      <c r="AF204" s="23"/>
      <c r="AG204" s="23"/>
      <c r="AH204" s="23"/>
      <c r="AI204" s="23"/>
      <c r="AJ204" s="23"/>
      <c r="AK204" s="23"/>
      <c r="AL204" s="23"/>
      <c r="AM204" s="23"/>
      <c r="AN204" s="23"/>
    </row>
    <row r="205" spans="1:40" ht="12.5" x14ac:dyDescent="0.25">
      <c r="A205" s="4"/>
      <c r="B205" s="4"/>
      <c r="C205" s="5"/>
      <c r="D205" s="5"/>
      <c r="E205" s="5"/>
      <c r="F205" s="5"/>
      <c r="G205" s="5"/>
      <c r="H205" s="5"/>
      <c r="I205" s="5"/>
      <c r="J205" s="4"/>
      <c r="K205" s="4"/>
      <c r="L205" s="4"/>
      <c r="M205" s="4"/>
      <c r="N205" s="4"/>
      <c r="O205" s="4"/>
      <c r="P205" s="4"/>
      <c r="Q205" s="4"/>
      <c r="R205" s="4"/>
      <c r="S205" s="4"/>
      <c r="T205" s="4"/>
      <c r="U205" s="4"/>
      <c r="V205" s="4"/>
      <c r="W205" s="4"/>
      <c r="X205" s="4"/>
      <c r="Y205" s="4"/>
      <c r="Z205" s="4"/>
      <c r="AA205" s="23"/>
      <c r="AB205" s="23"/>
      <c r="AC205" s="23"/>
      <c r="AD205" s="23"/>
      <c r="AE205" s="23"/>
      <c r="AF205" s="23"/>
      <c r="AG205" s="23"/>
      <c r="AH205" s="23"/>
      <c r="AI205" s="23"/>
      <c r="AJ205" s="23"/>
      <c r="AK205" s="23"/>
      <c r="AL205" s="23"/>
      <c r="AM205" s="23"/>
      <c r="AN205" s="23"/>
    </row>
    <row r="206" spans="1:40" ht="12.5" x14ac:dyDescent="0.25">
      <c r="A206" s="4"/>
      <c r="B206" s="4"/>
      <c r="C206" s="5"/>
      <c r="D206" s="5"/>
      <c r="E206" s="5"/>
      <c r="F206" s="5"/>
      <c r="G206" s="5"/>
      <c r="H206" s="5"/>
      <c r="I206" s="5"/>
      <c r="J206" s="4"/>
      <c r="K206" s="4"/>
      <c r="L206" s="4"/>
      <c r="M206" s="4"/>
      <c r="N206" s="4"/>
      <c r="O206" s="4"/>
      <c r="P206" s="4"/>
      <c r="Q206" s="4"/>
      <c r="R206" s="4"/>
      <c r="S206" s="4"/>
      <c r="T206" s="4"/>
      <c r="U206" s="4"/>
      <c r="V206" s="4"/>
      <c r="W206" s="4"/>
      <c r="X206" s="4"/>
      <c r="Y206" s="4"/>
      <c r="Z206" s="4"/>
      <c r="AA206" s="23"/>
      <c r="AB206" s="23"/>
      <c r="AC206" s="23"/>
      <c r="AD206" s="23"/>
      <c r="AE206" s="23"/>
      <c r="AF206" s="23"/>
      <c r="AG206" s="23"/>
      <c r="AH206" s="23"/>
      <c r="AI206" s="23"/>
      <c r="AJ206" s="23"/>
      <c r="AK206" s="23"/>
      <c r="AL206" s="23"/>
      <c r="AM206" s="23"/>
      <c r="AN206" s="23"/>
    </row>
    <row r="207" spans="1:40" ht="12.5" x14ac:dyDescent="0.25">
      <c r="A207" s="4"/>
      <c r="B207" s="4"/>
      <c r="C207" s="5"/>
      <c r="D207" s="5"/>
      <c r="E207" s="5"/>
      <c r="F207" s="5"/>
      <c r="G207" s="5"/>
      <c r="H207" s="5"/>
      <c r="I207" s="5"/>
      <c r="J207" s="4"/>
      <c r="K207" s="4"/>
      <c r="L207" s="4"/>
      <c r="M207" s="4"/>
      <c r="N207" s="4"/>
      <c r="O207" s="4"/>
      <c r="P207" s="4"/>
      <c r="Q207" s="4"/>
      <c r="R207" s="4"/>
      <c r="S207" s="4"/>
      <c r="T207" s="4"/>
      <c r="U207" s="4"/>
      <c r="V207" s="4"/>
      <c r="W207" s="4"/>
      <c r="X207" s="4"/>
      <c r="Y207" s="4"/>
      <c r="Z207" s="4"/>
      <c r="AA207" s="23"/>
      <c r="AB207" s="23"/>
      <c r="AC207" s="23"/>
      <c r="AD207" s="23"/>
      <c r="AE207" s="23"/>
      <c r="AF207" s="23"/>
      <c r="AG207" s="23"/>
      <c r="AH207" s="23"/>
      <c r="AI207" s="23"/>
      <c r="AJ207" s="23"/>
      <c r="AK207" s="23"/>
      <c r="AL207" s="23"/>
      <c r="AM207" s="23"/>
      <c r="AN207" s="23"/>
    </row>
    <row r="208" spans="1:40" ht="12.5" x14ac:dyDescent="0.25">
      <c r="A208" s="4"/>
      <c r="B208" s="4"/>
      <c r="C208" s="5"/>
      <c r="D208" s="5"/>
      <c r="E208" s="5"/>
      <c r="F208" s="5"/>
      <c r="G208" s="5"/>
      <c r="H208" s="5"/>
      <c r="I208" s="5"/>
      <c r="J208" s="4"/>
      <c r="K208" s="4"/>
      <c r="L208" s="4"/>
      <c r="M208" s="4"/>
      <c r="N208" s="4"/>
      <c r="O208" s="4"/>
      <c r="P208" s="4"/>
      <c r="Q208" s="4"/>
      <c r="R208" s="4"/>
      <c r="S208" s="4"/>
      <c r="T208" s="4"/>
      <c r="U208" s="4"/>
      <c r="V208" s="4"/>
      <c r="W208" s="4"/>
      <c r="X208" s="4"/>
      <c r="Y208" s="4"/>
      <c r="Z208" s="4"/>
      <c r="AA208" s="23"/>
      <c r="AB208" s="23"/>
      <c r="AC208" s="23"/>
      <c r="AD208" s="23"/>
      <c r="AE208" s="23"/>
      <c r="AF208" s="23"/>
      <c r="AG208" s="23"/>
      <c r="AH208" s="23"/>
      <c r="AI208" s="23"/>
      <c r="AJ208" s="23"/>
      <c r="AK208" s="23"/>
      <c r="AL208" s="23"/>
      <c r="AM208" s="23"/>
      <c r="AN208" s="23"/>
    </row>
    <row r="209" spans="1:40" ht="12.5" x14ac:dyDescent="0.25">
      <c r="A209" s="4"/>
      <c r="B209" s="4"/>
      <c r="C209" s="5"/>
      <c r="D209" s="5"/>
      <c r="E209" s="5"/>
      <c r="F209" s="5"/>
      <c r="G209" s="5"/>
      <c r="H209" s="5"/>
      <c r="I209" s="5"/>
      <c r="J209" s="4"/>
      <c r="K209" s="4"/>
      <c r="L209" s="4"/>
      <c r="M209" s="4"/>
      <c r="N209" s="4"/>
      <c r="O209" s="4"/>
      <c r="P209" s="4"/>
      <c r="Q209" s="4"/>
      <c r="R209" s="4"/>
      <c r="S209" s="4"/>
      <c r="T209" s="4"/>
      <c r="U209" s="4"/>
      <c r="V209" s="4"/>
      <c r="W209" s="4"/>
      <c r="X209" s="4"/>
      <c r="Y209" s="4"/>
      <c r="Z209" s="4"/>
      <c r="AA209" s="23"/>
      <c r="AB209" s="23"/>
      <c r="AC209" s="23"/>
      <c r="AD209" s="23"/>
      <c r="AE209" s="23"/>
      <c r="AF209" s="23"/>
      <c r="AG209" s="23"/>
      <c r="AH209" s="23"/>
      <c r="AI209" s="23"/>
      <c r="AJ209" s="23"/>
      <c r="AK209" s="23"/>
      <c r="AL209" s="23"/>
      <c r="AM209" s="23"/>
      <c r="AN209" s="23"/>
    </row>
    <row r="210" spans="1:40" ht="12.5" x14ac:dyDescent="0.25">
      <c r="A210" s="4"/>
      <c r="B210" s="4"/>
      <c r="C210" s="5"/>
      <c r="D210" s="5"/>
      <c r="E210" s="5"/>
      <c r="F210" s="5"/>
      <c r="G210" s="5"/>
      <c r="H210" s="5"/>
      <c r="I210" s="5"/>
      <c r="J210" s="4"/>
      <c r="K210" s="4"/>
      <c r="L210" s="4"/>
      <c r="M210" s="4"/>
      <c r="N210" s="4"/>
      <c r="O210" s="4"/>
      <c r="P210" s="4"/>
      <c r="Q210" s="4"/>
      <c r="R210" s="4"/>
      <c r="S210" s="4"/>
      <c r="T210" s="4"/>
      <c r="U210" s="4"/>
      <c r="V210" s="4"/>
      <c r="W210" s="4"/>
      <c r="X210" s="4"/>
      <c r="Y210" s="4"/>
      <c r="Z210" s="4"/>
      <c r="AA210" s="23"/>
      <c r="AB210" s="23"/>
      <c r="AC210" s="23"/>
      <c r="AD210" s="23"/>
      <c r="AE210" s="23"/>
      <c r="AF210" s="23"/>
      <c r="AG210" s="23"/>
      <c r="AH210" s="23"/>
      <c r="AI210" s="23"/>
      <c r="AJ210" s="23"/>
      <c r="AK210" s="23"/>
      <c r="AL210" s="23"/>
      <c r="AM210" s="23"/>
      <c r="AN210" s="23"/>
    </row>
    <row r="211" spans="1:40" ht="12.5" x14ac:dyDescent="0.25">
      <c r="A211" s="4"/>
      <c r="B211" s="4"/>
      <c r="C211" s="5"/>
      <c r="D211" s="5"/>
      <c r="E211" s="5"/>
      <c r="F211" s="5"/>
      <c r="G211" s="5"/>
      <c r="H211" s="5"/>
      <c r="I211" s="5"/>
      <c r="J211" s="4"/>
      <c r="K211" s="4"/>
      <c r="L211" s="4"/>
      <c r="M211" s="4"/>
      <c r="N211" s="4"/>
      <c r="O211" s="4"/>
      <c r="P211" s="4"/>
      <c r="Q211" s="4"/>
      <c r="R211" s="4"/>
      <c r="S211" s="4"/>
      <c r="T211" s="4"/>
      <c r="U211" s="4"/>
      <c r="V211" s="4"/>
      <c r="W211" s="4"/>
      <c r="X211" s="4"/>
      <c r="Y211" s="4"/>
      <c r="Z211" s="4"/>
      <c r="AA211" s="23"/>
      <c r="AB211" s="23"/>
      <c r="AC211" s="23"/>
      <c r="AD211" s="23"/>
      <c r="AE211" s="23"/>
      <c r="AF211" s="23"/>
      <c r="AG211" s="23"/>
      <c r="AH211" s="23"/>
      <c r="AI211" s="23"/>
      <c r="AJ211" s="23"/>
      <c r="AK211" s="23"/>
      <c r="AL211" s="23"/>
      <c r="AM211" s="23"/>
      <c r="AN211" s="23"/>
    </row>
    <row r="212" spans="1:40" ht="12.5" x14ac:dyDescent="0.25">
      <c r="A212" s="4"/>
      <c r="B212" s="4"/>
      <c r="C212" s="5"/>
      <c r="D212" s="5"/>
      <c r="E212" s="5"/>
      <c r="F212" s="5"/>
      <c r="G212" s="5"/>
      <c r="H212" s="5"/>
      <c r="I212" s="5"/>
      <c r="J212" s="4"/>
      <c r="K212" s="4"/>
      <c r="L212" s="4"/>
      <c r="M212" s="4"/>
      <c r="N212" s="4"/>
      <c r="O212" s="4"/>
      <c r="P212" s="4"/>
      <c r="Q212" s="4"/>
      <c r="R212" s="4"/>
      <c r="S212" s="4"/>
      <c r="T212" s="4"/>
      <c r="U212" s="4"/>
      <c r="V212" s="4"/>
      <c r="W212" s="4"/>
      <c r="X212" s="4"/>
      <c r="Y212" s="4"/>
      <c r="Z212" s="4"/>
      <c r="AA212" s="23"/>
      <c r="AB212" s="23"/>
      <c r="AC212" s="23"/>
      <c r="AD212" s="23"/>
      <c r="AE212" s="23"/>
      <c r="AF212" s="23"/>
      <c r="AG212" s="23"/>
      <c r="AH212" s="23"/>
      <c r="AI212" s="23"/>
      <c r="AJ212" s="23"/>
      <c r="AK212" s="23"/>
      <c r="AL212" s="23"/>
      <c r="AM212" s="23"/>
      <c r="AN212" s="23"/>
    </row>
    <row r="213" spans="1:40" ht="12.5" x14ac:dyDescent="0.25">
      <c r="A213" s="4"/>
      <c r="B213" s="4"/>
      <c r="C213" s="5"/>
      <c r="D213" s="5"/>
      <c r="E213" s="5"/>
      <c r="F213" s="5"/>
      <c r="G213" s="5"/>
      <c r="H213" s="5"/>
      <c r="I213" s="5"/>
      <c r="J213" s="4"/>
      <c r="K213" s="4"/>
      <c r="L213" s="4"/>
      <c r="M213" s="4"/>
      <c r="N213" s="4"/>
      <c r="O213" s="4"/>
      <c r="P213" s="4"/>
      <c r="Q213" s="4"/>
      <c r="R213" s="4"/>
      <c r="S213" s="4"/>
      <c r="T213" s="4"/>
      <c r="U213" s="4"/>
      <c r="V213" s="4"/>
      <c r="W213" s="4"/>
      <c r="X213" s="4"/>
      <c r="Y213" s="4"/>
      <c r="Z213" s="4"/>
      <c r="AA213" s="23"/>
      <c r="AB213" s="23"/>
      <c r="AC213" s="23"/>
      <c r="AD213" s="23"/>
      <c r="AE213" s="23"/>
      <c r="AF213" s="23"/>
      <c r="AG213" s="23"/>
      <c r="AH213" s="23"/>
      <c r="AI213" s="23"/>
      <c r="AJ213" s="23"/>
      <c r="AK213" s="23"/>
      <c r="AL213" s="23"/>
      <c r="AM213" s="23"/>
      <c r="AN213" s="23"/>
    </row>
    <row r="214" spans="1:40" ht="12.5" x14ac:dyDescent="0.25">
      <c r="A214" s="4"/>
      <c r="B214" s="4"/>
      <c r="C214" s="5"/>
      <c r="D214" s="5"/>
      <c r="E214" s="5"/>
      <c r="F214" s="5"/>
      <c r="G214" s="5"/>
      <c r="H214" s="5"/>
      <c r="I214" s="5"/>
      <c r="J214" s="4"/>
      <c r="K214" s="4"/>
      <c r="L214" s="4"/>
      <c r="M214" s="4"/>
      <c r="N214" s="4"/>
      <c r="O214" s="4"/>
      <c r="P214" s="4"/>
      <c r="Q214" s="4"/>
      <c r="R214" s="4"/>
      <c r="S214" s="4"/>
      <c r="T214" s="4"/>
      <c r="U214" s="4"/>
      <c r="V214" s="4"/>
      <c r="W214" s="4"/>
      <c r="X214" s="4"/>
      <c r="Y214" s="4"/>
      <c r="Z214" s="4"/>
      <c r="AA214" s="23"/>
      <c r="AB214" s="23"/>
      <c r="AC214" s="23"/>
      <c r="AD214" s="23"/>
      <c r="AE214" s="23"/>
      <c r="AF214" s="23"/>
      <c r="AG214" s="23"/>
      <c r="AH214" s="23"/>
      <c r="AI214" s="23"/>
      <c r="AJ214" s="23"/>
      <c r="AK214" s="23"/>
      <c r="AL214" s="23"/>
      <c r="AM214" s="23"/>
      <c r="AN214" s="23"/>
    </row>
    <row r="215" spans="1:40" ht="12.5" x14ac:dyDescent="0.25">
      <c r="A215" s="4"/>
      <c r="B215" s="4"/>
      <c r="C215" s="5"/>
      <c r="D215" s="5"/>
      <c r="E215" s="5"/>
      <c r="F215" s="5"/>
      <c r="G215" s="5"/>
      <c r="H215" s="5"/>
      <c r="I215" s="5"/>
      <c r="J215" s="4"/>
      <c r="K215" s="4"/>
      <c r="L215" s="4"/>
      <c r="M215" s="4"/>
      <c r="N215" s="4"/>
      <c r="O215" s="4"/>
      <c r="P215" s="4"/>
      <c r="Q215" s="4"/>
      <c r="R215" s="4"/>
      <c r="S215" s="4"/>
      <c r="T215" s="4"/>
      <c r="U215" s="4"/>
      <c r="V215" s="4"/>
      <c r="W215" s="4"/>
      <c r="X215" s="4"/>
      <c r="Y215" s="4"/>
      <c r="Z215" s="4"/>
      <c r="AA215" s="23"/>
      <c r="AB215" s="23"/>
      <c r="AC215" s="23"/>
      <c r="AD215" s="23"/>
      <c r="AE215" s="23"/>
      <c r="AF215" s="23"/>
      <c r="AG215" s="23"/>
      <c r="AH215" s="23"/>
      <c r="AI215" s="23"/>
      <c r="AJ215" s="23"/>
      <c r="AK215" s="23"/>
      <c r="AL215" s="23"/>
      <c r="AM215" s="23"/>
      <c r="AN215" s="23"/>
    </row>
    <row r="216" spans="1:40" ht="12.5" x14ac:dyDescent="0.25">
      <c r="A216" s="4"/>
      <c r="B216" s="4"/>
      <c r="C216" s="5"/>
      <c r="D216" s="5"/>
      <c r="E216" s="5"/>
      <c r="F216" s="5"/>
      <c r="G216" s="5"/>
      <c r="H216" s="5"/>
      <c r="I216" s="5"/>
      <c r="J216" s="4"/>
      <c r="K216" s="4"/>
      <c r="L216" s="4"/>
      <c r="M216" s="4"/>
      <c r="N216" s="4"/>
      <c r="O216" s="4"/>
      <c r="P216" s="4"/>
      <c r="Q216" s="4"/>
      <c r="R216" s="4"/>
      <c r="S216" s="4"/>
      <c r="T216" s="4"/>
      <c r="U216" s="4"/>
      <c r="V216" s="4"/>
      <c r="W216" s="4"/>
      <c r="X216" s="4"/>
      <c r="Y216" s="4"/>
      <c r="Z216" s="4"/>
      <c r="AA216" s="23"/>
      <c r="AB216" s="23"/>
      <c r="AC216" s="23"/>
      <c r="AD216" s="23"/>
      <c r="AE216" s="23"/>
      <c r="AF216" s="23"/>
      <c r="AG216" s="23"/>
      <c r="AH216" s="23"/>
      <c r="AI216" s="23"/>
      <c r="AJ216" s="23"/>
      <c r="AK216" s="23"/>
      <c r="AL216" s="23"/>
      <c r="AM216" s="23"/>
      <c r="AN216" s="23"/>
    </row>
    <row r="217" spans="1:40" ht="12.5" x14ac:dyDescent="0.25">
      <c r="A217" s="4"/>
      <c r="B217" s="4"/>
      <c r="C217" s="5"/>
      <c r="D217" s="5"/>
      <c r="E217" s="5"/>
      <c r="F217" s="5"/>
      <c r="G217" s="5"/>
      <c r="H217" s="5"/>
      <c r="I217" s="5"/>
      <c r="J217" s="4"/>
      <c r="K217" s="4"/>
      <c r="L217" s="4"/>
      <c r="M217" s="4"/>
      <c r="N217" s="4"/>
      <c r="O217" s="4"/>
      <c r="P217" s="4"/>
      <c r="Q217" s="4"/>
      <c r="R217" s="4"/>
      <c r="S217" s="4"/>
      <c r="T217" s="4"/>
      <c r="U217" s="4"/>
      <c r="V217" s="4"/>
      <c r="W217" s="4"/>
      <c r="X217" s="4"/>
      <c r="Y217" s="4"/>
      <c r="Z217" s="4"/>
      <c r="AA217" s="23"/>
      <c r="AB217" s="23"/>
      <c r="AC217" s="23"/>
      <c r="AD217" s="23"/>
      <c r="AE217" s="23"/>
      <c r="AF217" s="23"/>
      <c r="AG217" s="23"/>
      <c r="AH217" s="23"/>
      <c r="AI217" s="23"/>
      <c r="AJ217" s="23"/>
      <c r="AK217" s="23"/>
      <c r="AL217" s="23"/>
      <c r="AM217" s="23"/>
      <c r="AN217" s="23"/>
    </row>
    <row r="218" spans="1:40" ht="12.5" x14ac:dyDescent="0.25">
      <c r="A218" s="4"/>
      <c r="B218" s="4"/>
      <c r="C218" s="5"/>
      <c r="D218" s="5"/>
      <c r="E218" s="5"/>
      <c r="F218" s="5"/>
      <c r="G218" s="5"/>
      <c r="H218" s="5"/>
      <c r="I218" s="5"/>
      <c r="J218" s="4"/>
      <c r="K218" s="4"/>
      <c r="L218" s="4"/>
      <c r="M218" s="4"/>
      <c r="N218" s="4"/>
      <c r="O218" s="4"/>
      <c r="P218" s="4"/>
      <c r="Q218" s="4"/>
      <c r="R218" s="4"/>
      <c r="S218" s="4"/>
      <c r="T218" s="4"/>
      <c r="U218" s="4"/>
      <c r="V218" s="4"/>
      <c r="W218" s="4"/>
      <c r="X218" s="4"/>
      <c r="Y218" s="4"/>
      <c r="Z218" s="4"/>
      <c r="AA218" s="23"/>
      <c r="AB218" s="23"/>
      <c r="AC218" s="23"/>
      <c r="AD218" s="23"/>
      <c r="AE218" s="23"/>
      <c r="AF218" s="23"/>
      <c r="AG218" s="23"/>
      <c r="AH218" s="23"/>
      <c r="AI218" s="23"/>
      <c r="AJ218" s="23"/>
      <c r="AK218" s="23"/>
      <c r="AL218" s="23"/>
      <c r="AM218" s="23"/>
      <c r="AN218" s="23"/>
    </row>
    <row r="219" spans="1:40" ht="12.5" x14ac:dyDescent="0.25">
      <c r="A219" s="4"/>
      <c r="B219" s="4"/>
      <c r="C219" s="5"/>
      <c r="D219" s="5"/>
      <c r="E219" s="5"/>
      <c r="F219" s="5"/>
      <c r="G219" s="5"/>
      <c r="H219" s="5"/>
      <c r="I219" s="5"/>
      <c r="J219" s="4"/>
      <c r="K219" s="4"/>
      <c r="L219" s="4"/>
      <c r="M219" s="4"/>
      <c r="N219" s="4"/>
      <c r="O219" s="4"/>
      <c r="P219" s="4"/>
      <c r="Q219" s="4"/>
      <c r="R219" s="4"/>
      <c r="S219" s="4"/>
      <c r="T219" s="4"/>
      <c r="U219" s="4"/>
      <c r="V219" s="4"/>
      <c r="W219" s="4"/>
      <c r="X219" s="4"/>
      <c r="Y219" s="4"/>
      <c r="Z219" s="4"/>
      <c r="AA219" s="23"/>
      <c r="AB219" s="23"/>
      <c r="AC219" s="23"/>
      <c r="AD219" s="23"/>
      <c r="AE219" s="23"/>
      <c r="AF219" s="23"/>
      <c r="AG219" s="23"/>
      <c r="AH219" s="23"/>
      <c r="AI219" s="23"/>
      <c r="AJ219" s="23"/>
      <c r="AK219" s="23"/>
      <c r="AL219" s="23"/>
      <c r="AM219" s="23"/>
      <c r="AN219" s="23"/>
    </row>
    <row r="220" spans="1:40" ht="12.5" x14ac:dyDescent="0.25">
      <c r="A220" s="4"/>
      <c r="B220" s="4"/>
      <c r="C220" s="5"/>
      <c r="D220" s="5"/>
      <c r="E220" s="5"/>
      <c r="F220" s="5"/>
      <c r="G220" s="5"/>
      <c r="H220" s="5"/>
      <c r="I220" s="5"/>
      <c r="J220" s="4"/>
      <c r="K220" s="4"/>
      <c r="L220" s="4"/>
      <c r="M220" s="4"/>
      <c r="N220" s="4"/>
      <c r="O220" s="4"/>
      <c r="P220" s="4"/>
      <c r="Q220" s="4"/>
      <c r="R220" s="4"/>
      <c r="S220" s="4"/>
      <c r="T220" s="4"/>
      <c r="U220" s="4"/>
      <c r="V220" s="4"/>
      <c r="W220" s="4"/>
      <c r="X220" s="4"/>
      <c r="Y220" s="4"/>
      <c r="Z220" s="4"/>
      <c r="AA220" s="23"/>
      <c r="AB220" s="23"/>
      <c r="AC220" s="23"/>
      <c r="AD220" s="23"/>
      <c r="AE220" s="23"/>
      <c r="AF220" s="23"/>
      <c r="AG220" s="23"/>
      <c r="AH220" s="23"/>
      <c r="AI220" s="23"/>
      <c r="AJ220" s="23"/>
      <c r="AK220" s="23"/>
      <c r="AL220" s="23"/>
      <c r="AM220" s="23"/>
      <c r="AN220" s="23"/>
    </row>
    <row r="221" spans="1:40" ht="12.5" x14ac:dyDescent="0.25">
      <c r="A221" s="4"/>
      <c r="B221" s="4"/>
      <c r="C221" s="5"/>
      <c r="D221" s="5"/>
      <c r="E221" s="5"/>
      <c r="F221" s="5"/>
      <c r="G221" s="5"/>
      <c r="H221" s="5"/>
      <c r="I221" s="5"/>
      <c r="J221" s="4"/>
      <c r="K221" s="4"/>
      <c r="L221" s="4"/>
      <c r="M221" s="4"/>
      <c r="N221" s="4"/>
      <c r="O221" s="4"/>
      <c r="P221" s="4"/>
      <c r="Q221" s="4"/>
      <c r="R221" s="4"/>
      <c r="S221" s="4"/>
      <c r="T221" s="4"/>
      <c r="U221" s="4"/>
      <c r="V221" s="4"/>
      <c r="W221" s="4"/>
      <c r="X221" s="4"/>
      <c r="Y221" s="4"/>
      <c r="Z221" s="4"/>
      <c r="AA221" s="23"/>
      <c r="AB221" s="23"/>
      <c r="AC221" s="23"/>
      <c r="AD221" s="23"/>
      <c r="AE221" s="23"/>
      <c r="AF221" s="23"/>
      <c r="AG221" s="23"/>
      <c r="AH221" s="23"/>
      <c r="AI221" s="23"/>
      <c r="AJ221" s="23"/>
      <c r="AK221" s="23"/>
      <c r="AL221" s="23"/>
      <c r="AM221" s="23"/>
      <c r="AN221" s="23"/>
    </row>
    <row r="222" spans="1:40" ht="12.5" x14ac:dyDescent="0.25">
      <c r="A222" s="4"/>
      <c r="B222" s="4"/>
      <c r="C222" s="5"/>
      <c r="D222" s="5"/>
      <c r="E222" s="5"/>
      <c r="F222" s="5"/>
      <c r="G222" s="5"/>
      <c r="H222" s="5"/>
      <c r="I222" s="5"/>
      <c r="J222" s="4"/>
      <c r="K222" s="4"/>
      <c r="L222" s="4"/>
      <c r="M222" s="4"/>
      <c r="N222" s="4"/>
      <c r="O222" s="4"/>
      <c r="P222" s="4"/>
      <c r="Q222" s="4"/>
      <c r="R222" s="4"/>
      <c r="S222" s="4"/>
      <c r="T222" s="4"/>
      <c r="U222" s="4"/>
      <c r="V222" s="4"/>
      <c r="W222" s="4"/>
      <c r="X222" s="4"/>
      <c r="Y222" s="4"/>
      <c r="Z222" s="4"/>
      <c r="AA222" s="23"/>
      <c r="AB222" s="23"/>
      <c r="AC222" s="23"/>
      <c r="AD222" s="23"/>
      <c r="AE222" s="23"/>
      <c r="AF222" s="23"/>
      <c r="AG222" s="23"/>
      <c r="AH222" s="23"/>
      <c r="AI222" s="23"/>
      <c r="AJ222" s="23"/>
      <c r="AK222" s="23"/>
      <c r="AL222" s="23"/>
      <c r="AM222" s="23"/>
      <c r="AN222" s="23"/>
    </row>
    <row r="223" spans="1:40" ht="12.5" x14ac:dyDescent="0.25">
      <c r="A223" s="4"/>
      <c r="B223" s="4"/>
      <c r="C223" s="5"/>
      <c r="D223" s="5"/>
      <c r="E223" s="5"/>
      <c r="F223" s="5"/>
      <c r="G223" s="5"/>
      <c r="H223" s="5"/>
      <c r="I223" s="5"/>
      <c r="J223" s="4"/>
      <c r="K223" s="4"/>
      <c r="L223" s="4"/>
      <c r="M223" s="4"/>
      <c r="N223" s="4"/>
      <c r="O223" s="4"/>
      <c r="P223" s="4"/>
      <c r="Q223" s="4"/>
      <c r="R223" s="4"/>
      <c r="S223" s="4"/>
      <c r="T223" s="4"/>
      <c r="U223" s="4"/>
      <c r="V223" s="4"/>
      <c r="W223" s="4"/>
      <c r="X223" s="4"/>
      <c r="Y223" s="4"/>
      <c r="Z223" s="4"/>
      <c r="AA223" s="23"/>
      <c r="AB223" s="23"/>
      <c r="AC223" s="23"/>
      <c r="AD223" s="23"/>
      <c r="AE223" s="23"/>
      <c r="AF223" s="23"/>
      <c r="AG223" s="23"/>
      <c r="AH223" s="23"/>
      <c r="AI223" s="23"/>
      <c r="AJ223" s="23"/>
      <c r="AK223" s="23"/>
      <c r="AL223" s="23"/>
      <c r="AM223" s="23"/>
      <c r="AN223" s="23"/>
    </row>
    <row r="224" spans="1:40" ht="12.5" x14ac:dyDescent="0.25">
      <c r="A224" s="4"/>
      <c r="B224" s="4"/>
      <c r="C224" s="5"/>
      <c r="D224" s="5"/>
      <c r="E224" s="5"/>
      <c r="F224" s="5"/>
      <c r="G224" s="5"/>
      <c r="H224" s="5"/>
      <c r="I224" s="5"/>
      <c r="J224" s="4"/>
      <c r="K224" s="4"/>
      <c r="L224" s="4"/>
      <c r="M224" s="4"/>
      <c r="N224" s="4"/>
      <c r="O224" s="4"/>
      <c r="P224" s="4"/>
      <c r="Q224" s="4"/>
      <c r="R224" s="4"/>
      <c r="S224" s="4"/>
      <c r="T224" s="4"/>
      <c r="U224" s="4"/>
      <c r="V224" s="4"/>
      <c r="W224" s="4"/>
      <c r="X224" s="4"/>
      <c r="Y224" s="4"/>
      <c r="Z224" s="4"/>
      <c r="AA224" s="23"/>
      <c r="AB224" s="23"/>
      <c r="AC224" s="23"/>
      <c r="AD224" s="23"/>
      <c r="AE224" s="23"/>
      <c r="AF224" s="23"/>
      <c r="AG224" s="23"/>
      <c r="AH224" s="23"/>
      <c r="AI224" s="23"/>
      <c r="AJ224" s="23"/>
      <c r="AK224" s="23"/>
      <c r="AL224" s="23"/>
      <c r="AM224" s="23"/>
      <c r="AN224" s="23"/>
    </row>
    <row r="225" spans="1:40" ht="12.5" x14ac:dyDescent="0.25">
      <c r="A225" s="4"/>
      <c r="B225" s="4"/>
      <c r="C225" s="5"/>
      <c r="D225" s="5"/>
      <c r="E225" s="5"/>
      <c r="F225" s="5"/>
      <c r="G225" s="5"/>
      <c r="H225" s="5"/>
      <c r="I225" s="5"/>
      <c r="J225" s="4"/>
      <c r="K225" s="4"/>
      <c r="L225" s="4"/>
      <c r="M225" s="4"/>
      <c r="N225" s="4"/>
      <c r="O225" s="4"/>
      <c r="P225" s="4"/>
      <c r="Q225" s="4"/>
      <c r="R225" s="4"/>
      <c r="S225" s="4"/>
      <c r="T225" s="4"/>
      <c r="U225" s="4"/>
      <c r="V225" s="4"/>
      <c r="W225" s="4"/>
      <c r="X225" s="4"/>
      <c r="Y225" s="4"/>
      <c r="Z225" s="4"/>
      <c r="AA225" s="23"/>
      <c r="AB225" s="23"/>
      <c r="AC225" s="23"/>
      <c r="AD225" s="23"/>
      <c r="AE225" s="23"/>
      <c r="AF225" s="23"/>
      <c r="AG225" s="23"/>
      <c r="AH225" s="23"/>
      <c r="AI225" s="23"/>
      <c r="AJ225" s="23"/>
      <c r="AK225" s="23"/>
      <c r="AL225" s="23"/>
      <c r="AM225" s="23"/>
      <c r="AN225" s="23"/>
    </row>
    <row r="226" spans="1:40" ht="12.5" x14ac:dyDescent="0.25">
      <c r="A226" s="4"/>
      <c r="B226" s="4"/>
      <c r="C226" s="5"/>
      <c r="D226" s="5"/>
      <c r="E226" s="5"/>
      <c r="F226" s="5"/>
      <c r="G226" s="5"/>
      <c r="H226" s="5"/>
      <c r="I226" s="5"/>
      <c r="J226" s="4"/>
      <c r="K226" s="4"/>
      <c r="L226" s="4"/>
      <c r="M226" s="4"/>
      <c r="N226" s="4"/>
      <c r="O226" s="4"/>
      <c r="P226" s="4"/>
      <c r="Q226" s="4"/>
      <c r="R226" s="4"/>
      <c r="S226" s="4"/>
      <c r="T226" s="4"/>
      <c r="U226" s="4"/>
      <c r="V226" s="4"/>
      <c r="W226" s="4"/>
      <c r="X226" s="4"/>
      <c r="Y226" s="4"/>
      <c r="Z226" s="4"/>
      <c r="AA226" s="23"/>
      <c r="AB226" s="23"/>
      <c r="AC226" s="23"/>
      <c r="AD226" s="23"/>
      <c r="AE226" s="23"/>
      <c r="AF226" s="23"/>
      <c r="AG226" s="23"/>
      <c r="AH226" s="23"/>
      <c r="AI226" s="23"/>
      <c r="AJ226" s="23"/>
      <c r="AK226" s="23"/>
      <c r="AL226" s="23"/>
      <c r="AM226" s="23"/>
      <c r="AN226" s="23"/>
    </row>
    <row r="227" spans="1:40" ht="12.5" x14ac:dyDescent="0.25">
      <c r="A227" s="4"/>
      <c r="B227" s="4"/>
      <c r="C227" s="5"/>
      <c r="D227" s="5"/>
      <c r="E227" s="5"/>
      <c r="F227" s="5"/>
      <c r="G227" s="5"/>
      <c r="H227" s="5"/>
      <c r="I227" s="5"/>
      <c r="J227" s="4"/>
      <c r="K227" s="4"/>
      <c r="L227" s="4"/>
      <c r="M227" s="4"/>
      <c r="N227" s="4"/>
      <c r="O227" s="4"/>
      <c r="P227" s="4"/>
      <c r="Q227" s="4"/>
      <c r="R227" s="4"/>
      <c r="S227" s="4"/>
      <c r="T227" s="4"/>
      <c r="U227" s="4"/>
      <c r="V227" s="4"/>
      <c r="W227" s="4"/>
      <c r="X227" s="4"/>
      <c r="Y227" s="4"/>
      <c r="Z227" s="4"/>
      <c r="AA227" s="23"/>
      <c r="AB227" s="23"/>
      <c r="AC227" s="23"/>
      <c r="AD227" s="23"/>
      <c r="AE227" s="23"/>
      <c r="AF227" s="23"/>
      <c r="AG227" s="23"/>
      <c r="AH227" s="23"/>
      <c r="AI227" s="23"/>
      <c r="AJ227" s="23"/>
      <c r="AK227" s="23"/>
      <c r="AL227" s="23"/>
      <c r="AM227" s="23"/>
      <c r="AN227" s="23"/>
    </row>
    <row r="228" spans="1:40" ht="12.5" x14ac:dyDescent="0.25">
      <c r="A228" s="4"/>
      <c r="B228" s="4"/>
      <c r="C228" s="5"/>
      <c r="D228" s="5"/>
      <c r="E228" s="5"/>
      <c r="F228" s="5"/>
      <c r="G228" s="5"/>
      <c r="H228" s="5"/>
      <c r="I228" s="5"/>
      <c r="J228" s="4"/>
      <c r="K228" s="4"/>
      <c r="L228" s="4"/>
      <c r="M228" s="4"/>
      <c r="N228" s="4"/>
      <c r="O228" s="4"/>
      <c r="P228" s="4"/>
      <c r="Q228" s="4"/>
      <c r="R228" s="4"/>
      <c r="S228" s="4"/>
      <c r="T228" s="4"/>
      <c r="U228" s="4"/>
      <c r="V228" s="4"/>
      <c r="W228" s="4"/>
      <c r="X228" s="4"/>
      <c r="Y228" s="4"/>
      <c r="Z228" s="4"/>
      <c r="AA228" s="23"/>
      <c r="AB228" s="23"/>
      <c r="AC228" s="23"/>
      <c r="AD228" s="23"/>
      <c r="AE228" s="23"/>
      <c r="AF228" s="23"/>
      <c r="AG228" s="23"/>
      <c r="AH228" s="23"/>
      <c r="AI228" s="23"/>
      <c r="AJ228" s="23"/>
      <c r="AK228" s="23"/>
      <c r="AL228" s="23"/>
      <c r="AM228" s="23"/>
      <c r="AN228" s="23"/>
    </row>
    <row r="229" spans="1:40" ht="12.5" x14ac:dyDescent="0.25">
      <c r="A229" s="4"/>
      <c r="B229" s="4"/>
      <c r="C229" s="5"/>
      <c r="D229" s="5"/>
      <c r="E229" s="5"/>
      <c r="F229" s="5"/>
      <c r="G229" s="5"/>
      <c r="H229" s="5"/>
      <c r="I229" s="5"/>
      <c r="J229" s="4"/>
      <c r="K229" s="4"/>
      <c r="L229" s="4"/>
      <c r="M229" s="4"/>
      <c r="N229" s="4"/>
      <c r="O229" s="4"/>
      <c r="P229" s="4"/>
      <c r="Q229" s="4"/>
      <c r="R229" s="4"/>
      <c r="S229" s="4"/>
      <c r="T229" s="4"/>
      <c r="U229" s="4"/>
      <c r="V229" s="4"/>
      <c r="W229" s="4"/>
      <c r="X229" s="4"/>
      <c r="Y229" s="4"/>
      <c r="Z229" s="4"/>
      <c r="AA229" s="23"/>
      <c r="AB229" s="23"/>
      <c r="AC229" s="23"/>
      <c r="AD229" s="23"/>
      <c r="AE229" s="23"/>
      <c r="AF229" s="23"/>
      <c r="AG229" s="23"/>
      <c r="AH229" s="23"/>
      <c r="AI229" s="23"/>
      <c r="AJ229" s="23"/>
      <c r="AK229" s="23"/>
      <c r="AL229" s="23"/>
      <c r="AM229" s="23"/>
      <c r="AN229" s="23"/>
    </row>
    <row r="230" spans="1:40" ht="12.5" x14ac:dyDescent="0.25">
      <c r="A230" s="4"/>
      <c r="B230" s="4"/>
      <c r="C230" s="5"/>
      <c r="D230" s="5"/>
      <c r="E230" s="5"/>
      <c r="F230" s="5"/>
      <c r="G230" s="5"/>
      <c r="H230" s="5"/>
      <c r="I230" s="5"/>
      <c r="J230" s="4"/>
      <c r="K230" s="4"/>
      <c r="L230" s="4"/>
      <c r="M230" s="4"/>
      <c r="N230" s="4"/>
      <c r="O230" s="4"/>
      <c r="P230" s="4"/>
      <c r="Q230" s="4"/>
      <c r="R230" s="4"/>
      <c r="S230" s="4"/>
      <c r="T230" s="4"/>
      <c r="U230" s="4"/>
      <c r="V230" s="4"/>
      <c r="W230" s="4"/>
      <c r="X230" s="4"/>
      <c r="Y230" s="4"/>
      <c r="Z230" s="4"/>
      <c r="AA230" s="23"/>
      <c r="AB230" s="23"/>
      <c r="AC230" s="23"/>
      <c r="AD230" s="23"/>
      <c r="AE230" s="23"/>
      <c r="AF230" s="23"/>
      <c r="AG230" s="23"/>
      <c r="AH230" s="23"/>
      <c r="AI230" s="23"/>
      <c r="AJ230" s="23"/>
      <c r="AK230" s="23"/>
      <c r="AL230" s="23"/>
      <c r="AM230" s="23"/>
      <c r="AN230" s="23"/>
    </row>
    <row r="231" spans="1:40" ht="12.5" x14ac:dyDescent="0.25">
      <c r="A231" s="4"/>
      <c r="B231" s="4"/>
      <c r="C231" s="5"/>
      <c r="D231" s="5"/>
      <c r="E231" s="5"/>
      <c r="F231" s="5"/>
      <c r="G231" s="5"/>
      <c r="H231" s="5"/>
      <c r="I231" s="5"/>
      <c r="J231" s="4"/>
      <c r="K231" s="4"/>
      <c r="L231" s="4"/>
      <c r="M231" s="4"/>
      <c r="N231" s="4"/>
      <c r="O231" s="4"/>
      <c r="P231" s="4"/>
      <c r="Q231" s="4"/>
      <c r="R231" s="4"/>
      <c r="S231" s="4"/>
      <c r="T231" s="4"/>
      <c r="U231" s="4"/>
      <c r="V231" s="4"/>
      <c r="W231" s="4"/>
      <c r="X231" s="4"/>
      <c r="Y231" s="4"/>
      <c r="Z231" s="4"/>
      <c r="AA231" s="23"/>
      <c r="AB231" s="23"/>
      <c r="AC231" s="23"/>
      <c r="AD231" s="23"/>
      <c r="AE231" s="23"/>
      <c r="AF231" s="23"/>
      <c r="AG231" s="23"/>
      <c r="AH231" s="23"/>
      <c r="AI231" s="23"/>
      <c r="AJ231" s="23"/>
      <c r="AK231" s="23"/>
      <c r="AL231" s="23"/>
      <c r="AM231" s="23"/>
      <c r="AN231" s="23"/>
    </row>
    <row r="232" spans="1:40" ht="12.5" x14ac:dyDescent="0.25">
      <c r="A232" s="4"/>
      <c r="B232" s="4"/>
      <c r="C232" s="5"/>
      <c r="D232" s="5"/>
      <c r="E232" s="5"/>
      <c r="F232" s="5"/>
      <c r="G232" s="5"/>
      <c r="H232" s="5"/>
      <c r="I232" s="5"/>
      <c r="J232" s="4"/>
      <c r="K232" s="4"/>
      <c r="L232" s="4"/>
      <c r="M232" s="4"/>
      <c r="N232" s="4"/>
      <c r="O232" s="4"/>
      <c r="P232" s="4"/>
      <c r="Q232" s="4"/>
      <c r="R232" s="4"/>
      <c r="S232" s="4"/>
      <c r="T232" s="4"/>
      <c r="U232" s="4"/>
      <c r="V232" s="4"/>
      <c r="W232" s="4"/>
      <c r="X232" s="4"/>
      <c r="Y232" s="4"/>
      <c r="Z232" s="4"/>
      <c r="AA232" s="23"/>
      <c r="AB232" s="23"/>
      <c r="AC232" s="23"/>
      <c r="AD232" s="23"/>
      <c r="AE232" s="23"/>
      <c r="AF232" s="23"/>
      <c r="AG232" s="23"/>
      <c r="AH232" s="23"/>
      <c r="AI232" s="23"/>
      <c r="AJ232" s="23"/>
      <c r="AK232" s="23"/>
      <c r="AL232" s="23"/>
      <c r="AM232" s="23"/>
      <c r="AN232" s="23"/>
    </row>
    <row r="233" spans="1:40" ht="12.5" x14ac:dyDescent="0.25">
      <c r="A233" s="4"/>
      <c r="B233" s="4"/>
      <c r="C233" s="5"/>
      <c r="D233" s="5"/>
      <c r="E233" s="5"/>
      <c r="F233" s="5"/>
      <c r="G233" s="5"/>
      <c r="H233" s="5"/>
      <c r="I233" s="5"/>
      <c r="J233" s="4"/>
      <c r="K233" s="4"/>
      <c r="L233" s="4"/>
      <c r="M233" s="4"/>
      <c r="N233" s="4"/>
      <c r="O233" s="4"/>
      <c r="P233" s="4"/>
      <c r="Q233" s="4"/>
      <c r="R233" s="4"/>
      <c r="S233" s="4"/>
      <c r="T233" s="4"/>
      <c r="U233" s="4"/>
      <c r="V233" s="4"/>
      <c r="W233" s="4"/>
      <c r="X233" s="4"/>
      <c r="Y233" s="4"/>
      <c r="Z233" s="4"/>
      <c r="AA233" s="23"/>
      <c r="AB233" s="23"/>
      <c r="AC233" s="23"/>
      <c r="AD233" s="23"/>
      <c r="AE233" s="23"/>
      <c r="AF233" s="23"/>
      <c r="AG233" s="23"/>
      <c r="AH233" s="23"/>
      <c r="AI233" s="23"/>
      <c r="AJ233" s="23"/>
      <c r="AK233" s="23"/>
      <c r="AL233" s="23"/>
      <c r="AM233" s="23"/>
      <c r="AN233" s="23"/>
    </row>
    <row r="234" spans="1:40" ht="12.5" x14ac:dyDescent="0.25">
      <c r="A234" s="4"/>
      <c r="B234" s="4"/>
      <c r="C234" s="5"/>
      <c r="D234" s="5"/>
      <c r="E234" s="5"/>
      <c r="F234" s="5"/>
      <c r="G234" s="5"/>
      <c r="H234" s="5"/>
      <c r="I234" s="5"/>
      <c r="J234" s="4"/>
      <c r="K234" s="4"/>
      <c r="L234" s="4"/>
      <c r="M234" s="4"/>
      <c r="N234" s="4"/>
      <c r="O234" s="4"/>
      <c r="P234" s="4"/>
      <c r="Q234" s="4"/>
      <c r="R234" s="4"/>
      <c r="S234" s="4"/>
      <c r="T234" s="4"/>
      <c r="U234" s="4"/>
      <c r="V234" s="4"/>
      <c r="W234" s="4"/>
      <c r="X234" s="4"/>
      <c r="Y234" s="4"/>
      <c r="Z234" s="4"/>
      <c r="AA234" s="23"/>
      <c r="AB234" s="23"/>
      <c r="AC234" s="23"/>
      <c r="AD234" s="23"/>
      <c r="AE234" s="23"/>
      <c r="AF234" s="23"/>
      <c r="AG234" s="23"/>
      <c r="AH234" s="23"/>
      <c r="AI234" s="23"/>
      <c r="AJ234" s="23"/>
      <c r="AK234" s="23"/>
      <c r="AL234" s="23"/>
      <c r="AM234" s="23"/>
      <c r="AN234" s="23"/>
    </row>
  </sheetData>
  <autoFilter ref="B1:B233"/>
  <mergeCells count="60">
    <mergeCell ref="D2:D35"/>
    <mergeCell ref="C2:C35"/>
    <mergeCell ref="C65:C102"/>
    <mergeCell ref="C36:C64"/>
    <mergeCell ref="D65:D102"/>
    <mergeCell ref="D36:D64"/>
    <mergeCell ref="D103:D132"/>
    <mergeCell ref="C103:C132"/>
    <mergeCell ref="F91:F93"/>
    <mergeCell ref="F94:F102"/>
    <mergeCell ref="E91:E93"/>
    <mergeCell ref="E94:E102"/>
    <mergeCell ref="E123:E130"/>
    <mergeCell ref="F123:F130"/>
    <mergeCell ref="E121:E122"/>
    <mergeCell ref="F131:H131"/>
    <mergeCell ref="F132:H132"/>
    <mergeCell ref="F34:H34"/>
    <mergeCell ref="F33:H33"/>
    <mergeCell ref="F35:H35"/>
    <mergeCell ref="K112:Z112"/>
    <mergeCell ref="K88:M88"/>
    <mergeCell ref="K81:T81"/>
    <mergeCell ref="V36:AI36"/>
    <mergeCell ref="K36:U36"/>
    <mergeCell ref="K94:S94"/>
    <mergeCell ref="O102:S102"/>
    <mergeCell ref="L102:M102"/>
    <mergeCell ref="E36:E46"/>
    <mergeCell ref="E63:E64"/>
    <mergeCell ref="F36:F46"/>
    <mergeCell ref="F47:F60"/>
    <mergeCell ref="F121:F122"/>
    <mergeCell ref="F103:F120"/>
    <mergeCell ref="F61:H61"/>
    <mergeCell ref="E103:E120"/>
    <mergeCell ref="F65:F80"/>
    <mergeCell ref="E65:E80"/>
    <mergeCell ref="E81:E90"/>
    <mergeCell ref="F81:F90"/>
    <mergeCell ref="E47:E60"/>
    <mergeCell ref="F63:F64"/>
    <mergeCell ref="F28:F32"/>
    <mergeCell ref="F27:H27"/>
    <mergeCell ref="F26:H26"/>
    <mergeCell ref="F25:H25"/>
    <mergeCell ref="E28:E32"/>
    <mergeCell ref="E6:E7"/>
    <mergeCell ref="F7:F8"/>
    <mergeCell ref="F11:H11"/>
    <mergeCell ref="F12:H12"/>
    <mergeCell ref="E13:E24"/>
    <mergeCell ref="F13:F24"/>
    <mergeCell ref="F2:H2"/>
    <mergeCell ref="F3:H3"/>
    <mergeCell ref="AA1:AO1"/>
    <mergeCell ref="K1:Y1"/>
    <mergeCell ref="K12:V12"/>
    <mergeCell ref="F10:H10"/>
    <mergeCell ref="F4:H4"/>
  </mergeCells>
  <conditionalFormatting sqref="U115:U133">
    <cfRule type="expression" dxfId="16" priority="1">
      <formula>IF(AND(L115="Input",Q115="File"),U115="")</formula>
    </cfRule>
  </conditionalFormatting>
  <conditionalFormatting sqref="L105">
    <cfRule type="notContainsBlanks" dxfId="15" priority="2">
      <formula>LEN(TRIM(L105))&gt;0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05:L108 L110">
      <formula1>-1E+179</formula1>
    </dataValidation>
    <dataValidation type="decimal" operator="lessThanOrEqual" allowBlank="1" showDropDown="1" showErrorMessage="1" sqref="L10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S4:S9 AI4:AI9 I64 M91:M93</xm:sqref>
        </x14:dataValidation>
        <x14:dataValidation type="list" allowBlank="1" showErrorMessage="1">
          <x14:formula1>
            <xm:f>'Parameter classification'!$A$2:$A$50</xm:f>
          </x14:formula1>
          <xm:sqref>L121:L133</xm:sqref>
        </x14:dataValidation>
        <x14:dataValidation type="list" allowBlank="1" showErrorMessage="1">
          <x14:formula1>
            <xm:f>'Fitting procedure'!$A$2:$A$100</xm:f>
          </x14:formula1>
          <xm:sqref>I131</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P105:P109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O84:O86</xm:sqref>
        </x14:dataValidation>
        <x14:dataValidation type="list" allowBlank="1" showErrorMessage="1">
          <x14:formula1>
            <xm:f>'Accreditation procedure for the'!$A$2:$A$100</xm:f>
          </x14:formula1>
          <xm:sqref>I72</xm:sqref>
        </x14:dataValidation>
        <x14:dataValidation type="list" allowBlank="1" showErrorMessage="1">
          <x14:formula1>
            <xm:f>'type of sampling program'!$A$2:$A$100</xm:f>
          </x14:formula1>
          <xm:sqref>N84:N86</xm:sqref>
        </x14:dataValidation>
        <x14:dataValidation type="list" allowBlank="1" showErrorMessage="1">
          <x14:formula1>
            <xm:f>'Sampling strategy'!$A$2:$A$100</xm:f>
          </x14:formula1>
          <xm:sqref>M84:M86</xm:sqref>
        </x14:dataValidation>
        <x14:dataValidation type="list" allowBlank="1" showErrorMessage="1">
          <x14:formula1>
            <xm:f>'Model Sub-Class'!$M$3:$M$100</xm:f>
          </x14:formula1>
          <xm:sqref>I29</xm:sqref>
        </x14:dataValidation>
        <x14:dataValidation type="list" allowBlank="1" showErrorMessage="1">
          <x14:formula1>
            <xm:f>Source!$A$2:$A$30</xm:f>
          </x14:formula1>
          <xm:sqref>I3</xm:sqref>
        </x14:dataValidation>
        <x14:dataValidation type="list" allowBlank="1" showErrorMessage="1">
          <x14:formula1>
            <xm:f>'Parameter source'!$A$2:$A$50</xm:f>
          </x14:formula1>
          <xm:sqref>R115:R133</xm:sqref>
        </x14:dataValidation>
        <x14:dataValidation type="list" allowBlank="1" showErrorMessage="1">
          <x14:formula1>
            <xm:f>'Parameter unit'!$A:$A</xm:f>
          </x14:formula1>
          <xm:sqref>M39:M50 Y39:Y50 S84:S86</xm:sqref>
        </x14:dataValidation>
        <x14:dataValidation type="list" allowBlank="1" showErrorMessage="1">
          <x14:formula1>
            <xm:f>'Study Assay Technology Type'!$A$2:$A$500</xm:f>
          </x14:formula1>
          <xm:sqref>I70</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I63</xm:sqref>
        </x14:dataValidation>
        <x14:dataValidation type="list" allowBlank="1" showErrorMessage="1">
          <x14:formula1>
            <xm:f>'Basic Process'!$M$32:$M$100</xm:f>
          </x14:formula1>
          <xm:sqref>I31</xm:sqref>
        </x14:dataValidation>
        <x14:dataValidation type="list" allowBlank="1" showErrorMessage="1">
          <x14:formula1>
            <xm:f>'Sampling point'!$A$2:$A$500</xm:f>
          </x14:formula1>
          <xm:sqref>T84:T86</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Q115:Q119</xm:sqref>
        </x14:dataValidation>
        <x14:dataValidation type="list" allowBlank="1" showErrorMessage="1">
          <x14:formula1>
            <xm:f>'Parameter data type'!$A$2:$A$50</xm:f>
          </x14:formula1>
          <xm:sqref>Q121:Q133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O115:O133</xm:sqref>
        </x14:dataValidation>
        <x14:dataValidation type="list" allowBlank="1" showErrorMessage="1">
          <x14:formula1>
            <xm:f>'Laboratory accreditation'!$A$2:$A$200</xm:f>
          </x14:formula1>
          <xm:sqref>K91:K93</xm:sqref>
        </x14:dataValidation>
        <x14:dataValidation type="list" allowBlank="1" showErrorMessage="1">
          <x14:formula1>
            <xm:f>'Parameter classification'!$A$2:$A$50</xm:f>
          </x14:formula1>
          <xm:sqref>L115:L119</xm:sqref>
        </x14:dataValidation>
        <x14:dataValidation type="list" allowBlank="1" showErrorMessage="1">
          <x14:formula1>
            <xm:f>'Parameter subject'!$A$2:$A$500</xm:f>
          </x14:formula1>
          <xm:sqref>S115:S133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'Area of origin'!$A$2:$A$3000</xm:f>
          </x14:formula1>
          <xm:sqref>R39:R50</xm:sqref>
        </x14:dataValidation>
        <x14:dataValidation type="list" allowBlank="1" showErrorMessage="1">
          <x14:formula1>
            <xm:f>'Parameter data type'!$A$2:$A$50</xm:f>
          </x14:formula1>
          <xm:sqref>Q120</xm:sqref>
        </x14:dataValidation>
        <x14:dataValidation type="list" allowBlank="1" showErrorMessage="1">
          <x14:formula1>
            <xm:f>'Parameter distribution'!$A$2:$A$800</xm:f>
          </x14:formula1>
          <xm:sqref>T115:T133</xm:sqref>
        </x14:dataValidation>
        <x14:dataValidation type="list" allowBlank="1" showErrorMessage="1">
          <x14:formula1>
            <xm:f>'Parameter classification'!$A$2:$A$50</xm:f>
          </x14:formula1>
          <xm:sqref>L120</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33"/>
  <sheetViews>
    <sheetView workbookViewId="0"/>
  </sheetViews>
  <sheetFormatPr defaultColWidth="14.453125" defaultRowHeight="15.75" customHeight="1" x14ac:dyDescent="0.25"/>
  <cols>
    <col min="1" max="1" width="9.1796875" customWidth="1"/>
    <col min="2" max="2" width="9.7265625" customWidth="1"/>
    <col min="3" max="4" width="6.81640625" customWidth="1"/>
    <col min="6" max="6" width="6" customWidth="1"/>
    <col min="7" max="7" width="29.1796875" customWidth="1"/>
    <col min="8" max="8" width="6.1796875" customWidth="1"/>
    <col min="9" max="9" width="33.1796875" hidden="1" customWidth="1"/>
    <col min="10" max="10" width="44.453125" customWidth="1"/>
    <col min="17" max="17" width="23.7265625" customWidth="1"/>
    <col min="18" max="18" width="23" customWidth="1"/>
  </cols>
  <sheetData>
    <row r="1" spans="1:42" ht="15.75" customHeight="1" x14ac:dyDescent="0.3">
      <c r="A1" s="71" t="str">
        <f ca="1">IFERROR(__xludf.DUMMYFUNCTION("QUERY(IMPORTRANGE(""https://docs.google.com/spreadsheets/d/1R5ofJAIqAywN97cnBY9R9kqj10AvQOs3Gq472n6iDyc/edit#gid=811823962"",""Predictive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72"/>
      <c r="L1" s="97" t="str">
        <f ca="1">E6</f>
        <v>Creator</v>
      </c>
      <c r="M1" s="96"/>
      <c r="N1" s="96"/>
      <c r="O1" s="96"/>
      <c r="P1" s="96"/>
      <c r="Q1" s="96"/>
      <c r="R1" s="96"/>
      <c r="S1" s="96"/>
      <c r="T1" s="96"/>
      <c r="U1" s="96"/>
      <c r="V1" s="96"/>
      <c r="W1" s="96"/>
      <c r="X1" s="96"/>
      <c r="Y1" s="96"/>
      <c r="Z1" s="96"/>
      <c r="AA1" s="4"/>
      <c r="AB1" s="97" t="str">
        <f ca="1">E5</f>
        <v>Author</v>
      </c>
      <c r="AC1" s="96"/>
      <c r="AD1" s="96"/>
      <c r="AE1" s="96"/>
      <c r="AF1" s="96"/>
      <c r="AG1" s="96"/>
      <c r="AH1" s="96"/>
      <c r="AI1" s="96"/>
      <c r="AJ1" s="96"/>
      <c r="AK1" s="96"/>
      <c r="AL1" s="96"/>
      <c r="AM1" s="96"/>
      <c r="AN1" s="96"/>
      <c r="AO1" s="96"/>
      <c r="AP1" s="96"/>
    </row>
    <row r="2" spans="1:42" ht="12.5" x14ac:dyDescent="0.25">
      <c r="A2" s="4" t="str">
        <f ca="1">IFERROR(__xludf.DUMMYFUNCTION("""COMPUTED_VALUE"""),"Yes")</f>
        <v>Yes</v>
      </c>
      <c r="B2" s="4" t="str">
        <f ca="1">IFERROR(__xludf.DUMMYFUNCTION("""COMPUTED_VALUE"""),"Yes")</f>
        <v>Yes</v>
      </c>
      <c r="C2" s="95" t="str">
        <f ca="1">IFERROR(__xludf.DUMMYFUNCTION("""COMPUTED_VALUE"""),"General information")</f>
        <v>General information</v>
      </c>
      <c r="D2" s="95" t="str">
        <f ca="1">IFERROR(__xludf.DUMMYFUNCTION("""COMPUTED_VALUE"""),"1")</f>
        <v>1</v>
      </c>
      <c r="E2" s="5" t="str">
        <f ca="1">IFERROR(__xludf.DUMMYFUNCTION("""COMPUTED_VALUE"""),"Model name")</f>
        <v>Model name</v>
      </c>
      <c r="F2" s="97" t="str">
        <f ca="1">IFERROR(__xludf.DUMMYFUNCTION("""COMPUTED_VALUE"""),"1")</f>
        <v>1</v>
      </c>
      <c r="G2" s="96"/>
      <c r="H2" s="96"/>
      <c r="I2" s="5"/>
      <c r="J2" s="11"/>
      <c r="K2" s="72"/>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x14ac:dyDescent="0.25">
      <c r="A3" s="4" t="str">
        <f ca="1">IFERROR(__xludf.DUMMYFUNCTION("""COMPUTED_VALUE"""),"Yes")</f>
        <v>Yes</v>
      </c>
      <c r="B3" s="4" t="str">
        <f ca="1">IFERROR(__xludf.DUMMYFUNCTION("""COMPUTED_VALUE"""),"Yes")</f>
        <v>Yes</v>
      </c>
      <c r="C3" s="96"/>
      <c r="D3" s="96"/>
      <c r="E3" s="5" t="str">
        <f ca="1">IFERROR(__xludf.DUMMYFUNCTION("""COMPUTED_VALUE"""),"Source")</f>
        <v>Source</v>
      </c>
      <c r="F3" s="97" t="str">
        <f ca="1">IFERROR(__xludf.DUMMYFUNCTION("""COMPUTED_VALUE"""),"0:1")</f>
        <v>0:1</v>
      </c>
      <c r="G3" s="96"/>
      <c r="H3" s="96"/>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x14ac:dyDescent="0.25">
      <c r="A4" s="4" t="str">
        <f ca="1">IFERROR(__xludf.DUMMYFUNCTION("""COMPUTED_VALUE"""),"Yes")</f>
        <v>Yes</v>
      </c>
      <c r="B4" s="4" t="str">
        <f ca="1">IFERROR(__xludf.DUMMYFUNCTION("""COMPUTED_VALUE"""),"Yes")</f>
        <v>Yes</v>
      </c>
      <c r="C4" s="96"/>
      <c r="D4" s="96"/>
      <c r="E4" s="5" t="str">
        <f ca="1">IFERROR(__xludf.DUMMYFUNCTION("""COMPUTED_VALUE"""),"Identifier")</f>
        <v>Identifier</v>
      </c>
      <c r="F4" s="97" t="str">
        <f ca="1">IFERROR(__xludf.DUMMYFUNCTION("""COMPUTED_VALUE"""),"1")</f>
        <v>1</v>
      </c>
      <c r="G4" s="96"/>
      <c r="H4" s="96"/>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x14ac:dyDescent="0.25">
      <c r="A5" s="4" t="str">
        <f ca="1">IFERROR(__xludf.DUMMYFUNCTION("""COMPUTED_VALUE"""),"Yes")</f>
        <v>Yes</v>
      </c>
      <c r="B5" s="4" t="str">
        <f ca="1">IFERROR(__xludf.DUMMYFUNCTION("""COMPUTED_VALUE"""),"No")</f>
        <v>No</v>
      </c>
      <c r="C5" s="96"/>
      <c r="D5" s="9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x14ac:dyDescent="0.25">
      <c r="A6" s="4" t="str">
        <f ca="1">IFERROR(__xludf.DUMMYFUNCTION("""COMPUTED_VALUE"""),"Yes")</f>
        <v>Yes</v>
      </c>
      <c r="B6" s="4" t="str">
        <f ca="1">IFERROR(__xludf.DUMMYFUNCTION("""COMPUTED_VALUE"""),"Yes")</f>
        <v>Yes</v>
      </c>
      <c r="C6" s="96"/>
      <c r="D6" s="96"/>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x14ac:dyDescent="0.25">
      <c r="A7" s="4" t="str">
        <f ca="1">IFERROR(__xludf.DUMMYFUNCTION("""COMPUTED_VALUE"""),"Yes")</f>
        <v>Yes</v>
      </c>
      <c r="B7" s="8" t="str">
        <f ca="1">IFERROR(__xludf.DUMMYFUNCTION("""COMPUTED_VALUE"""),"Yes")</f>
        <v>Yes</v>
      </c>
      <c r="C7" s="96"/>
      <c r="D7" s="96"/>
      <c r="E7" s="97" t="str">
        <f ca="1">IFERROR(__xludf.DUMMYFUNCTION("""COMPUTED_VALUE"""),"Date")</f>
        <v>Date</v>
      </c>
      <c r="F7" s="97"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x14ac:dyDescent="0.25">
      <c r="A8" s="4" t="str">
        <f ca="1">IFERROR(__xludf.DUMMYFUNCTION("""COMPUTED_VALUE"""),"Yes")</f>
        <v>Yes</v>
      </c>
      <c r="B8" s="4" t="str">
        <f ca="1">IFERROR(__xludf.DUMMYFUNCTION("""COMPUTED_VALUE"""),"No")</f>
        <v>No</v>
      </c>
      <c r="C8" s="96"/>
      <c r="D8" s="96"/>
      <c r="E8" s="96"/>
      <c r="F8" s="96"/>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x14ac:dyDescent="0.25">
      <c r="A9" s="4" t="str">
        <f ca="1">IFERROR(__xludf.DUMMYFUNCTION("""COMPUTED_VALUE"""),"Yes")</f>
        <v>Yes</v>
      </c>
      <c r="B9" s="4" t="str">
        <f ca="1">IFERROR(__xludf.DUMMYFUNCTION("""COMPUTED_VALUE"""),"Yes")</f>
        <v>Yes</v>
      </c>
      <c r="C9" s="96"/>
      <c r="D9" s="9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x14ac:dyDescent="0.25">
      <c r="A10" s="4" t="str">
        <f ca="1">IFERROR(__xludf.DUMMYFUNCTION("""COMPUTED_VALUE"""),"Yes")</f>
        <v>Yes</v>
      </c>
      <c r="B10" s="4" t="str">
        <f ca="1">IFERROR(__xludf.DUMMYFUNCTION("""COMPUTED_VALUE"""),"No")</f>
        <v>No</v>
      </c>
      <c r="C10" s="96"/>
      <c r="D10" s="96"/>
      <c r="E10" s="5" t="str">
        <f ca="1">IFERROR(__xludf.DUMMYFUNCTION("""COMPUTED_VALUE"""),"Availability")</f>
        <v>Availability</v>
      </c>
      <c r="F10" s="97" t="str">
        <f ca="1">IFERROR(__xludf.DUMMYFUNCTION("""COMPUTED_VALUE"""),"0:1")</f>
        <v>0:1</v>
      </c>
      <c r="G10" s="96"/>
      <c r="H10" s="96"/>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x14ac:dyDescent="0.25">
      <c r="A11" s="4" t="str">
        <f ca="1">IFERROR(__xludf.DUMMYFUNCTION("""COMPUTED_VALUE"""),"Yes")</f>
        <v>Yes</v>
      </c>
      <c r="B11" s="4" t="str">
        <f ca="1">IFERROR(__xludf.DUMMYFUNCTION("""COMPUTED_VALUE"""),"No")</f>
        <v>No</v>
      </c>
      <c r="C11" s="96"/>
      <c r="D11" s="96"/>
      <c r="E11" s="5" t="str">
        <f ca="1">IFERROR(__xludf.DUMMYFUNCTION("""COMPUTED_VALUE"""),"URL")</f>
        <v>URL</v>
      </c>
      <c r="F11" s="97" t="str">
        <f ca="1">IFERROR(__xludf.DUMMYFUNCTION("""COMPUTED_VALUE"""),"0:1")</f>
        <v>0:1</v>
      </c>
      <c r="G11" s="96"/>
      <c r="H11" s="96"/>
      <c r="I11" s="5"/>
      <c r="J11" s="15"/>
      <c r="K11" s="4"/>
      <c r="L11" s="4"/>
      <c r="M11" s="4"/>
      <c r="N11" s="4"/>
      <c r="O11" s="4"/>
      <c r="P11" s="4"/>
      <c r="Q11" s="4"/>
    </row>
    <row r="12" spans="1:42" ht="12.5" x14ac:dyDescent="0.25">
      <c r="A12" s="4" t="str">
        <f ca="1">IFERROR(__xludf.DUMMYFUNCTION("""COMPUTED_VALUE"""),"Yes")</f>
        <v>Yes</v>
      </c>
      <c r="B12" s="4" t="str">
        <f ca="1">IFERROR(__xludf.DUMMYFUNCTION("""COMPUTED_VALUE"""),"No")</f>
        <v>No</v>
      </c>
      <c r="C12" s="96"/>
      <c r="D12" s="96"/>
      <c r="E12" s="5" t="str">
        <f ca="1">IFERROR(__xludf.DUMMYFUNCTION("""COMPUTED_VALUE"""),"Format")</f>
        <v>Format</v>
      </c>
      <c r="F12" s="97" t="str">
        <f ca="1">IFERROR(__xludf.DUMMYFUNCTION("""COMPUTED_VALUE"""),"0:1")</f>
        <v>0:1</v>
      </c>
      <c r="G12" s="96"/>
      <c r="H12" s="96"/>
      <c r="I12" s="5"/>
      <c r="J12" s="10"/>
      <c r="K12" s="4"/>
      <c r="L12" s="99" t="str">
        <f ca="1">E13</f>
        <v>References</v>
      </c>
      <c r="M12" s="96"/>
      <c r="N12" s="96"/>
      <c r="O12" s="96"/>
      <c r="P12" s="96"/>
      <c r="Q12" s="96"/>
      <c r="R12" s="96"/>
      <c r="S12" s="96"/>
      <c r="T12" s="96"/>
      <c r="U12" s="96"/>
      <c r="V12" s="96"/>
      <c r="W12" s="96"/>
      <c r="X12" s="4"/>
      <c r="Y12" s="4"/>
      <c r="Z12" s="4"/>
      <c r="AA12" s="4"/>
      <c r="AB12" s="4"/>
      <c r="AC12" s="4"/>
      <c r="AD12" s="4"/>
      <c r="AE12" s="4"/>
      <c r="AF12" s="4"/>
      <c r="AG12" s="4"/>
      <c r="AH12" s="4"/>
      <c r="AI12" s="4"/>
      <c r="AJ12" s="4"/>
      <c r="AK12" s="4"/>
      <c r="AL12" s="4"/>
      <c r="AM12" s="4"/>
      <c r="AN12" s="4"/>
      <c r="AO12" s="4"/>
      <c r="AP12" s="4"/>
    </row>
    <row r="13" spans="1:42" ht="14" x14ac:dyDescent="0.3">
      <c r="A13" s="4" t="str">
        <f ca="1">IFERROR(__xludf.DUMMYFUNCTION("""COMPUTED_VALUE"""),"Yes")</f>
        <v>Yes</v>
      </c>
      <c r="B13" s="4" t="str">
        <f ca="1">IFERROR(__xludf.DUMMYFUNCTION("""COMPUTED_VALUE"""),"Yes")</f>
        <v>Yes</v>
      </c>
      <c r="C13" s="96"/>
      <c r="D13" s="96"/>
      <c r="E13" s="97" t="str">
        <f ca="1">IFERROR(__xludf.DUMMYFUNCTION("""COMPUTED_VALUE"""),"References")</f>
        <v>References</v>
      </c>
      <c r="F13" s="97"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x14ac:dyDescent="0.25">
      <c r="A14" s="4" t="str">
        <f ca="1">IFERROR(__xludf.DUMMYFUNCTION("""COMPUTED_VALUE"""),"Yes")</f>
        <v>Yes</v>
      </c>
      <c r="B14" s="4" t="str">
        <f ca="1">IFERROR(__xludf.DUMMYFUNCTION("""COMPUTED_VALUE"""),"Yes")</f>
        <v>Yes</v>
      </c>
      <c r="C14" s="96"/>
      <c r="D14" s="96"/>
      <c r="E14" s="96"/>
      <c r="F14" s="96"/>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x14ac:dyDescent="0.25">
      <c r="A15" s="4" t="str">
        <f ca="1">IFERROR(__xludf.DUMMYFUNCTION("""COMPUTED_VALUE"""),"Yes")</f>
        <v>Yes</v>
      </c>
      <c r="B15" s="4" t="str">
        <f ca="1">IFERROR(__xludf.DUMMYFUNCTION("""COMPUTED_VALUE"""),"No")</f>
        <v>No</v>
      </c>
      <c r="C15" s="96"/>
      <c r="D15" s="96"/>
      <c r="E15" s="96"/>
      <c r="F15" s="96"/>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x14ac:dyDescent="0.25">
      <c r="A16" s="4" t="str">
        <f ca="1">IFERROR(__xludf.DUMMYFUNCTION("""COMPUTED_VALUE"""),"Yes")</f>
        <v>Yes</v>
      </c>
      <c r="B16" s="4" t="str">
        <f ca="1">IFERROR(__xludf.DUMMYFUNCTION("""COMPUTED_VALUE"""),"No")</f>
        <v>No</v>
      </c>
      <c r="C16" s="96"/>
      <c r="D16" s="96"/>
      <c r="E16" s="96"/>
      <c r="F16" s="96"/>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x14ac:dyDescent="0.25">
      <c r="A17" s="4" t="str">
        <f ca="1">IFERROR(__xludf.DUMMYFUNCTION("""COMPUTED_VALUE"""),"Yes")</f>
        <v>Yes</v>
      </c>
      <c r="B17" s="4" t="str">
        <f ca="1">IFERROR(__xludf.DUMMYFUNCTION("""COMPUTED_VALUE"""),"Yes")</f>
        <v>Yes</v>
      </c>
      <c r="C17" s="96"/>
      <c r="D17" s="96"/>
      <c r="E17" s="96"/>
      <c r="F17" s="96"/>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x14ac:dyDescent="0.25">
      <c r="A18" s="4" t="str">
        <f ca="1">IFERROR(__xludf.DUMMYFUNCTION("""COMPUTED_VALUE"""),"Yes")</f>
        <v>Yes</v>
      </c>
      <c r="B18" s="4" t="str">
        <f ca="1">IFERROR(__xludf.DUMMYFUNCTION("""COMPUTED_VALUE"""),"No")</f>
        <v>No</v>
      </c>
      <c r="C18" s="96"/>
      <c r="D18" s="96"/>
      <c r="E18" s="96"/>
      <c r="F18" s="96"/>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x14ac:dyDescent="0.25">
      <c r="A19" s="4" t="str">
        <f ca="1">IFERROR(__xludf.DUMMYFUNCTION("""COMPUTED_VALUE"""),"Yes")</f>
        <v>Yes</v>
      </c>
      <c r="B19" s="4" t="str">
        <f ca="1">IFERROR(__xludf.DUMMYFUNCTION("""COMPUTED_VALUE"""),"Yes")</f>
        <v>Yes</v>
      </c>
      <c r="C19" s="96"/>
      <c r="D19" s="96"/>
      <c r="E19" s="96"/>
      <c r="F19" s="96"/>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x14ac:dyDescent="0.25">
      <c r="A20" s="4" t="str">
        <f ca="1">IFERROR(__xludf.DUMMYFUNCTION("""COMPUTED_VALUE"""),"Yes")</f>
        <v>Yes</v>
      </c>
      <c r="B20" s="4" t="str">
        <f ca="1">IFERROR(__xludf.DUMMYFUNCTION("""COMPUTED_VALUE"""),"No")</f>
        <v>No</v>
      </c>
      <c r="C20" s="96"/>
      <c r="D20" s="96"/>
      <c r="E20" s="96"/>
      <c r="F20" s="96"/>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x14ac:dyDescent="0.25">
      <c r="A21" s="4" t="str">
        <f ca="1">IFERROR(__xludf.DUMMYFUNCTION("""COMPUTED_VALUE"""),"Yes")</f>
        <v>Yes</v>
      </c>
      <c r="B21" s="4" t="str">
        <f ca="1">IFERROR(__xludf.DUMMYFUNCTION("""COMPUTED_VALUE"""),"No")</f>
        <v>No</v>
      </c>
      <c r="C21" s="96"/>
      <c r="D21" s="96"/>
      <c r="E21" s="96"/>
      <c r="F21" s="96"/>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x14ac:dyDescent="0.25">
      <c r="A22" s="4" t="str">
        <f ca="1">IFERROR(__xludf.DUMMYFUNCTION("""COMPUTED_VALUE"""),"Yes")</f>
        <v>Yes</v>
      </c>
      <c r="B22" s="4" t="str">
        <f ca="1">IFERROR(__xludf.DUMMYFUNCTION("""COMPUTED_VALUE"""),"No")</f>
        <v>No</v>
      </c>
      <c r="C22" s="96"/>
      <c r="D22" s="96"/>
      <c r="E22" s="96"/>
      <c r="F22" s="96"/>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x14ac:dyDescent="0.3">
      <c r="A23" s="4" t="str">
        <f ca="1">IFERROR(__xludf.DUMMYFUNCTION("""COMPUTED_VALUE"""),"Yes")</f>
        <v>Yes</v>
      </c>
      <c r="B23" s="4" t="str">
        <f ca="1">IFERROR(__xludf.DUMMYFUNCTION("""COMPUTED_VALUE"""),"No")</f>
        <v>No</v>
      </c>
      <c r="C23" s="96"/>
      <c r="D23" s="96"/>
      <c r="E23" s="96"/>
      <c r="F23" s="96"/>
      <c r="G23" s="5" t="str">
        <f ca="1">IFERROR(__xludf.DUMMYFUNCTION("""COMPUTED_VALUE"""),"Publication website")</f>
        <v>Publication website</v>
      </c>
      <c r="H23" s="5" t="str">
        <f ca="1">IFERROR(__xludf.DUMMYFUNCTION("""COMPUTED_VALUE"""),"0:1")</f>
        <v>0:1</v>
      </c>
      <c r="I23" s="5"/>
      <c r="J23" s="41"/>
      <c r="K23" s="4"/>
      <c r="L23" s="17" t="s">
        <v>43</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x14ac:dyDescent="0.25">
      <c r="A24" s="4" t="str">
        <f ca="1">IFERROR(__xludf.DUMMYFUNCTION("""COMPUTED_VALUE"""),"Yes")</f>
        <v>Yes</v>
      </c>
      <c r="B24" s="4" t="str">
        <f ca="1">IFERROR(__xludf.DUMMYFUNCTION("""COMPUTED_VALUE"""),"No")</f>
        <v>No</v>
      </c>
      <c r="C24" s="96"/>
      <c r="D24" s="96"/>
      <c r="E24" s="96"/>
      <c r="F24" s="96"/>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x14ac:dyDescent="0.25">
      <c r="A25" s="4" t="str">
        <f ca="1">IFERROR(__xludf.DUMMYFUNCTION("""COMPUTED_VALUE"""),"Yes")</f>
        <v>Yes</v>
      </c>
      <c r="B25" s="4" t="str">
        <f ca="1">IFERROR(__xludf.DUMMYFUNCTION("""COMPUTED_VALUE"""),"No")</f>
        <v>No</v>
      </c>
      <c r="C25" s="96"/>
      <c r="D25" s="96"/>
      <c r="E25" s="5" t="str">
        <f ca="1">IFERROR(__xludf.DUMMYFUNCTION("""COMPUTED_VALUE"""),"Language")</f>
        <v>Language</v>
      </c>
      <c r="F25" s="97" t="str">
        <f ca="1">IFERROR(__xludf.DUMMYFUNCTION("""COMPUTED_VALUE"""),"0:1")</f>
        <v>0:1</v>
      </c>
      <c r="G25" s="96"/>
      <c r="H25" s="96"/>
      <c r="I25" s="5"/>
      <c r="J25" s="15"/>
      <c r="K25" s="4"/>
      <c r="L25" s="73"/>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x14ac:dyDescent="0.25">
      <c r="A26" s="4" t="str">
        <f ca="1">IFERROR(__xludf.DUMMYFUNCTION("""COMPUTED_VALUE"""),"Yes")</f>
        <v>Yes</v>
      </c>
      <c r="B26" s="4" t="str">
        <f ca="1">IFERROR(__xludf.DUMMYFUNCTION("""COMPUTED_VALUE"""),"No")</f>
        <v>No</v>
      </c>
      <c r="C26" s="96"/>
      <c r="D26" s="96"/>
      <c r="E26" s="5" t="str">
        <f ca="1">IFERROR(__xludf.DUMMYFUNCTION("""COMPUTED_VALUE"""),"Software")</f>
        <v>Software</v>
      </c>
      <c r="F26" s="97" t="str">
        <f ca="1">IFERROR(__xludf.DUMMYFUNCTION("""COMPUTED_VALUE"""),"0:1")</f>
        <v>0:1</v>
      </c>
      <c r="G26" s="96"/>
      <c r="H26" s="96"/>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x14ac:dyDescent="0.25">
      <c r="A27" s="4" t="str">
        <f ca="1">IFERROR(__xludf.DUMMYFUNCTION("""COMPUTED_VALUE"""),"Yes")</f>
        <v>Yes</v>
      </c>
      <c r="B27" s="4" t="str">
        <f ca="1">IFERROR(__xludf.DUMMYFUNCTION("""COMPUTED_VALUE"""),"Yes")</f>
        <v>Yes</v>
      </c>
      <c r="C27" s="96"/>
      <c r="D27" s="96"/>
      <c r="E27" s="5" t="str">
        <f ca="1">IFERROR(__xludf.DUMMYFUNCTION("""COMPUTED_VALUE"""),"Language written in")</f>
        <v>Language written in</v>
      </c>
      <c r="F27" s="97" t="str">
        <f ca="1">IFERROR(__xludf.DUMMYFUNCTION("""COMPUTED_VALUE"""),"1")</f>
        <v>1</v>
      </c>
      <c r="G27" s="96"/>
      <c r="H27" s="96"/>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x14ac:dyDescent="0.25">
      <c r="A28" s="4" t="str">
        <f ca="1">IFERROR(__xludf.DUMMYFUNCTION("""COMPUTED_VALUE"""),"Yes")</f>
        <v>Yes</v>
      </c>
      <c r="B28" s="4" t="str">
        <f ca="1">IFERROR(__xludf.DUMMYFUNCTION("""COMPUTED_VALUE"""),"No")</f>
        <v>No</v>
      </c>
      <c r="C28" s="96"/>
      <c r="D28" s="96"/>
      <c r="E28" s="97" t="str">
        <f ca="1">IFERROR(__xludf.DUMMYFUNCTION("""COMPUTED_VALUE"""),"Model category")</f>
        <v>Model category</v>
      </c>
      <c r="F28" s="97" t="str">
        <f ca="1">IFERROR(__xludf.DUMMYFUNCTION("""COMPUTED_VALUE"""),"0:1")</f>
        <v>0:1</v>
      </c>
      <c r="G28" s="5" t="str">
        <f ca="1">IFERROR(__xludf.DUMMYFUNCTION("""COMPUTED_VALUE"""),"Model Class")</f>
        <v>Model Class</v>
      </c>
      <c r="H28" s="5" t="str">
        <f ca="1">IFERROR(__xludf.DUMMYFUNCTION("""COMPUTED_VALUE"""),"1")</f>
        <v>1</v>
      </c>
      <c r="I28" s="5"/>
      <c r="J28" s="44" t="s">
        <v>44</v>
      </c>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x14ac:dyDescent="0.25">
      <c r="A29" s="4" t="str">
        <f ca="1">IFERROR(__xludf.DUMMYFUNCTION("""COMPUTED_VALUE"""),"Yes")</f>
        <v>Yes</v>
      </c>
      <c r="B29" s="4" t="str">
        <f ca="1">IFERROR(__xludf.DUMMYFUNCTION("""COMPUTED_VALUE"""),"No")</f>
        <v>No</v>
      </c>
      <c r="C29" s="96"/>
      <c r="D29" s="96"/>
      <c r="E29" s="96"/>
      <c r="F29" s="96"/>
      <c r="G29" s="5" t="str">
        <f ca="1">IFERROR(__xludf.DUMMYFUNCTION("""COMPUTED_VALUE"""),"Model Sub-Class")</f>
        <v>Model Sub-Class</v>
      </c>
      <c r="H29" s="5" t="str">
        <f ca="1">IFERROR(__xludf.DUMMYFUNCTION("""COMPUTED_VALUE"""),"0:N")</f>
        <v>0:N</v>
      </c>
      <c r="I29" s="5"/>
      <c r="J29" s="10"/>
      <c r="K29" s="4"/>
      <c r="L29" s="8"/>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x14ac:dyDescent="0.25">
      <c r="A30" s="4" t="str">
        <f ca="1">IFERROR(__xludf.DUMMYFUNCTION("""COMPUTED_VALUE"""),"Yes")</f>
        <v>Yes</v>
      </c>
      <c r="B30" s="4" t="str">
        <f ca="1">IFERROR(__xludf.DUMMYFUNCTION("""COMPUTED_VALUE"""),"No")</f>
        <v>No</v>
      </c>
      <c r="C30" s="96"/>
      <c r="D30" s="96"/>
      <c r="E30" s="96"/>
      <c r="F30" s="96"/>
      <c r="G30" s="5" t="str">
        <f ca="1">IFERROR(__xludf.DUMMYFUNCTION("""COMPUTED_VALUE"""),"Model Class comment")</f>
        <v>Model Class comment</v>
      </c>
      <c r="H30" s="5" t="str">
        <f ca="1">IFERROR(__xludf.DUMMYFUNCTION("""COMPUTED_VALUE"""),"0:1")</f>
        <v>0:1</v>
      </c>
      <c r="I30" s="5"/>
      <c r="J30" s="10"/>
      <c r="K30" s="4"/>
      <c r="L30" s="7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x14ac:dyDescent="0.25">
      <c r="A31" s="4" t="str">
        <f ca="1">IFERROR(__xludf.DUMMYFUNCTION("""COMPUTED_VALUE"""),"Yes")</f>
        <v>Yes</v>
      </c>
      <c r="B31" s="4" t="str">
        <f ca="1">IFERROR(__xludf.DUMMYFUNCTION("""COMPUTED_VALUE"""),"No")</f>
        <v>No</v>
      </c>
      <c r="C31" s="96"/>
      <c r="D31" s="96"/>
      <c r="E31" s="96"/>
      <c r="F31" s="96"/>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x14ac:dyDescent="0.25">
      <c r="A32" s="4" t="str">
        <f ca="1">IFERROR(__xludf.DUMMYFUNCTION("""COMPUTED_VALUE"""),"Yes")</f>
        <v>Yes</v>
      </c>
      <c r="B32" s="4" t="str">
        <f ca="1">IFERROR(__xludf.DUMMYFUNCTION("""COMPUTED_VALUE"""),"No")</f>
        <v>No</v>
      </c>
      <c r="C32" s="96"/>
      <c r="D32" s="96"/>
      <c r="E32" s="96"/>
      <c r="F32" s="96"/>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x14ac:dyDescent="0.25">
      <c r="A33" s="4" t="str">
        <f ca="1">IFERROR(__xludf.DUMMYFUNCTION("""COMPUTED_VALUE"""),"Yes")</f>
        <v>Yes</v>
      </c>
      <c r="B33" s="4" t="str">
        <f ca="1">IFERROR(__xludf.DUMMYFUNCTION("""COMPUTED_VALUE"""),"No")</f>
        <v>No</v>
      </c>
      <c r="C33" s="96"/>
      <c r="D33" s="96"/>
      <c r="E33" s="5" t="str">
        <f ca="1">IFERROR(__xludf.DUMMYFUNCTION("""COMPUTED_VALUE"""),"Status")</f>
        <v>Status</v>
      </c>
      <c r="F33" s="97" t="str">
        <f ca="1">IFERROR(__xludf.DUMMYFUNCTION("""COMPUTED_VALUE"""),"0:1")</f>
        <v>0:1</v>
      </c>
      <c r="G33" s="96"/>
      <c r="H33" s="96"/>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x14ac:dyDescent="0.25">
      <c r="A34" s="4" t="str">
        <f ca="1">IFERROR(__xludf.DUMMYFUNCTION("""COMPUTED_VALUE"""),"Yes")</f>
        <v>Yes</v>
      </c>
      <c r="B34" s="4" t="str">
        <f ca="1">IFERROR(__xludf.DUMMYFUNCTION("""COMPUTED_VALUE"""),"No")</f>
        <v>No</v>
      </c>
      <c r="C34" s="96"/>
      <c r="D34" s="96"/>
      <c r="E34" s="5" t="str">
        <f ca="1">IFERROR(__xludf.DUMMYFUNCTION("""COMPUTED_VALUE"""),"Objective")</f>
        <v>Objective</v>
      </c>
      <c r="F34" s="97" t="str">
        <f ca="1">IFERROR(__xludf.DUMMYFUNCTION("""COMPUTED_VALUE"""),"0:1")</f>
        <v>0:1</v>
      </c>
      <c r="G34" s="96"/>
      <c r="H34" s="96"/>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x14ac:dyDescent="0.25">
      <c r="A35" s="4" t="str">
        <f ca="1">IFERROR(__xludf.DUMMYFUNCTION("""COMPUTED_VALUE"""),"Yes")</f>
        <v>Yes</v>
      </c>
      <c r="B35" s="4" t="str">
        <f ca="1">IFERROR(__xludf.DUMMYFUNCTION("""COMPUTED_VALUE"""),"No")</f>
        <v>No</v>
      </c>
      <c r="C35" s="96"/>
      <c r="D35" s="96"/>
      <c r="E35" s="5" t="str">
        <f ca="1">IFERROR(__xludf.DUMMYFUNCTION("""COMPUTED_VALUE"""),"Description")</f>
        <v>Description</v>
      </c>
      <c r="F35" s="97" t="str">
        <f ca="1">IFERROR(__xludf.DUMMYFUNCTION("""COMPUTED_VALUE"""),"0:1")</f>
        <v>0:1</v>
      </c>
      <c r="G35" s="96"/>
      <c r="H35" s="96"/>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x14ac:dyDescent="0.25">
      <c r="A36" s="4" t="str">
        <f ca="1">IFERROR(__xludf.DUMMYFUNCTION("""COMPUTED_VALUE"""),"Yes")</f>
        <v>Yes</v>
      </c>
      <c r="B36" s="4" t="str">
        <f ca="1">IFERROR(__xludf.DUMMYFUNCTION("""COMPUTED_VALUE"""),"Yes")</f>
        <v>Yes</v>
      </c>
      <c r="C36" s="95" t="str">
        <f ca="1">IFERROR(__xludf.DUMMYFUNCTION("""COMPUTED_VALUE"""),"Scope")</f>
        <v>Scope</v>
      </c>
      <c r="D36" s="95" t="str">
        <f ca="1">IFERROR(__xludf.DUMMYFUNCTION("""COMPUTED_VALUE"""),"1")</f>
        <v>1</v>
      </c>
      <c r="E36" s="97" t="str">
        <f ca="1">IFERROR(__xludf.DUMMYFUNCTION("""COMPUTED_VALUE"""),"Product / matrix")</f>
        <v>Product / matrix</v>
      </c>
      <c r="F36" s="97" t="str">
        <f ca="1">IFERROR(__xludf.DUMMYFUNCTION("""COMPUTED_VALUE"""),"1:N")</f>
        <v>1:N</v>
      </c>
      <c r="G36" s="5" t="str">
        <f ca="1">IFERROR(__xludf.DUMMYFUNCTION("""COMPUTED_VALUE"""),"Product/matrix name")</f>
        <v>Product/matrix name</v>
      </c>
      <c r="H36" s="5" t="str">
        <f ca="1">IFERROR(__xludf.DUMMYFUNCTION("""COMPUTED_VALUE"""),"1")</f>
        <v>1</v>
      </c>
      <c r="I36" s="5"/>
      <c r="J36" s="13"/>
      <c r="K36" s="4"/>
      <c r="L36" s="99" t="str">
        <f ca="1">E36</f>
        <v>Product / matrix</v>
      </c>
      <c r="M36" s="96"/>
      <c r="N36" s="96"/>
      <c r="O36" s="96"/>
      <c r="P36" s="96"/>
      <c r="Q36" s="96"/>
      <c r="R36" s="96"/>
      <c r="S36" s="96"/>
      <c r="T36" s="96"/>
      <c r="U36" s="96"/>
      <c r="V36" s="96"/>
      <c r="W36" s="99" t="str">
        <f ca="1">E47</f>
        <v>Hazard</v>
      </c>
      <c r="X36" s="96"/>
      <c r="Y36" s="96"/>
      <c r="Z36" s="96"/>
      <c r="AA36" s="96"/>
      <c r="AB36" s="96"/>
      <c r="AC36" s="96"/>
      <c r="AD36" s="96"/>
      <c r="AE36" s="96"/>
      <c r="AF36" s="96"/>
      <c r="AG36" s="96"/>
      <c r="AH36" s="96"/>
      <c r="AI36" s="96"/>
      <c r="AJ36" s="96"/>
      <c r="AK36" s="4"/>
      <c r="AL36" s="4"/>
      <c r="AM36" s="4"/>
      <c r="AN36" s="4"/>
      <c r="AO36" s="4"/>
      <c r="AP36" s="4"/>
    </row>
    <row r="37" spans="1:42" ht="12.5" x14ac:dyDescent="0.25">
      <c r="A37" s="4" t="str">
        <f ca="1">IFERROR(__xludf.DUMMYFUNCTION("""COMPUTED_VALUE"""),"Yes")</f>
        <v>Yes</v>
      </c>
      <c r="B37" s="4" t="str">
        <f ca="1">IFERROR(__xludf.DUMMYFUNCTION("""COMPUTED_VALUE"""),"Yes")</f>
        <v>Yes</v>
      </c>
      <c r="C37" s="96"/>
      <c r="D37" s="96"/>
      <c r="E37" s="96"/>
      <c r="F37" s="96"/>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c r="AL37" s="7"/>
      <c r="AM37" s="7"/>
      <c r="AN37" s="7"/>
      <c r="AO37" s="7"/>
      <c r="AP37" s="7"/>
    </row>
    <row r="38" spans="1:42" ht="12.5" x14ac:dyDescent="0.25">
      <c r="A38" s="4" t="str">
        <f ca="1">IFERROR(__xludf.DUMMYFUNCTION("""COMPUTED_VALUE"""),"Yes")</f>
        <v>Yes</v>
      </c>
      <c r="B38" s="4" t="str">
        <f ca="1">IFERROR(__xludf.DUMMYFUNCTION("""COMPUTED_VALUE"""),"Yes")</f>
        <v>Yes</v>
      </c>
      <c r="C38" s="96"/>
      <c r="D38" s="96"/>
      <c r="E38" s="96"/>
      <c r="F38" s="96"/>
      <c r="G38" s="5" t="str">
        <f ca="1">IFERROR(__xludf.DUMMYFUNCTION("""COMPUTED_VALUE"""),"Product/matrix unit")</f>
        <v>Product/matrix unit</v>
      </c>
      <c r="H38" s="5" t="str">
        <f ca="1">IFERROR(__xludf.DUMMYFUNCTION("""COMPUTED_VALUE"""),"0:1")</f>
        <v>0:1</v>
      </c>
      <c r="I38" s="5"/>
      <c r="J38" s="13"/>
      <c r="K38" s="4"/>
      <c r="L38" s="8" t="str">
        <f ca="1">H36</f>
        <v>1</v>
      </c>
      <c r="M38" s="8" t="str">
        <f ca="1">H37</f>
        <v>0:1</v>
      </c>
      <c r="N38" s="8" t="str">
        <f ca="1">H38</f>
        <v>0:1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7"/>
      <c r="AL38" s="7"/>
      <c r="AM38" s="7"/>
      <c r="AN38" s="7"/>
      <c r="AO38" s="7"/>
      <c r="AP38" s="7"/>
    </row>
    <row r="39" spans="1:42" ht="12.5" x14ac:dyDescent="0.25">
      <c r="A39" s="4" t="str">
        <f ca="1">IFERROR(__xludf.DUMMYFUNCTION("""COMPUTED_VALUE"""),"Yes")</f>
        <v>Yes</v>
      </c>
      <c r="B39" s="4" t="str">
        <f ca="1">IFERROR(__xludf.DUMMYFUNCTION("""COMPUTED_VALUE"""),"No")</f>
        <v>No</v>
      </c>
      <c r="C39" s="96"/>
      <c r="D39" s="96"/>
      <c r="E39" s="96"/>
      <c r="F39" s="96"/>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7"/>
      <c r="AL39" s="7"/>
      <c r="AM39" s="7"/>
      <c r="AN39" s="7"/>
      <c r="AO39" s="7"/>
      <c r="AP39" s="7"/>
    </row>
    <row r="40" spans="1:42" ht="12.5" x14ac:dyDescent="0.25">
      <c r="A40" s="4" t="str">
        <f ca="1">IFERROR(__xludf.DUMMYFUNCTION("""COMPUTED_VALUE"""),"Yes")</f>
        <v>Yes</v>
      </c>
      <c r="B40" s="4" t="str">
        <f ca="1">IFERROR(__xludf.DUMMYFUNCTION("""COMPUTED_VALUE"""),"No")</f>
        <v>No</v>
      </c>
      <c r="C40" s="96"/>
      <c r="D40" s="96"/>
      <c r="E40" s="96"/>
      <c r="F40" s="96"/>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7"/>
      <c r="AL40" s="7"/>
      <c r="AM40" s="7"/>
      <c r="AN40" s="7"/>
      <c r="AO40" s="7"/>
      <c r="AP40" s="7"/>
    </row>
    <row r="41" spans="1:42" ht="12.5" x14ac:dyDescent="0.25">
      <c r="A41" s="4" t="str">
        <f ca="1">IFERROR(__xludf.DUMMYFUNCTION("""COMPUTED_VALUE"""),"Yes")</f>
        <v>Yes</v>
      </c>
      <c r="B41" s="4" t="str">
        <f ca="1">IFERROR(__xludf.DUMMYFUNCTION("""COMPUTED_VALUE"""),"No")</f>
        <v>No</v>
      </c>
      <c r="C41" s="96"/>
      <c r="D41" s="96"/>
      <c r="E41" s="96"/>
      <c r="F41" s="96"/>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7"/>
      <c r="AL41" s="7"/>
      <c r="AM41" s="7"/>
      <c r="AN41" s="7"/>
      <c r="AO41" s="7"/>
      <c r="AP41" s="7"/>
    </row>
    <row r="42" spans="1:42" ht="12.5" x14ac:dyDescent="0.25">
      <c r="A42" s="4" t="str">
        <f ca="1">IFERROR(__xludf.DUMMYFUNCTION("""COMPUTED_VALUE"""),"Yes")</f>
        <v>Yes</v>
      </c>
      <c r="B42" s="4" t="str">
        <f ca="1">IFERROR(__xludf.DUMMYFUNCTION("""COMPUTED_VALUE"""),"No")</f>
        <v>No</v>
      </c>
      <c r="C42" s="96"/>
      <c r="D42" s="96"/>
      <c r="E42" s="96"/>
      <c r="F42" s="96"/>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7"/>
      <c r="AL42" s="7"/>
      <c r="AM42" s="7"/>
      <c r="AN42" s="7"/>
      <c r="AO42" s="7"/>
      <c r="AP42" s="7"/>
    </row>
    <row r="43" spans="1:42" ht="12.5" x14ac:dyDescent="0.25">
      <c r="A43" s="4" t="str">
        <f ca="1">IFERROR(__xludf.DUMMYFUNCTION("""COMPUTED_VALUE"""),"Yes")</f>
        <v>Yes</v>
      </c>
      <c r="B43" s="4" t="str">
        <f ca="1">IFERROR(__xludf.DUMMYFUNCTION("""COMPUTED_VALUE"""),"No")</f>
        <v>No</v>
      </c>
      <c r="C43" s="96"/>
      <c r="D43" s="96"/>
      <c r="E43" s="96"/>
      <c r="F43" s="96"/>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7"/>
      <c r="AL43" s="7"/>
      <c r="AM43" s="7"/>
      <c r="AN43" s="7"/>
      <c r="AO43" s="7"/>
      <c r="AP43" s="7"/>
    </row>
    <row r="44" spans="1:42" ht="12.5" x14ac:dyDescent="0.25">
      <c r="A44" s="4" t="str">
        <f ca="1">IFERROR(__xludf.DUMMYFUNCTION("""COMPUTED_VALUE"""),"Yes")</f>
        <v>Yes</v>
      </c>
      <c r="B44" s="4" t="str">
        <f ca="1">IFERROR(__xludf.DUMMYFUNCTION("""COMPUTED_VALUE"""),"No")</f>
        <v>No</v>
      </c>
      <c r="C44" s="96"/>
      <c r="D44" s="96"/>
      <c r="E44" s="96"/>
      <c r="F44" s="96"/>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7"/>
      <c r="AL44" s="7"/>
      <c r="AM44" s="7"/>
      <c r="AN44" s="7"/>
      <c r="AO44" s="7"/>
      <c r="AP44" s="7"/>
    </row>
    <row r="45" spans="1:42" ht="12.5" x14ac:dyDescent="0.25">
      <c r="A45" s="4" t="str">
        <f ca="1">IFERROR(__xludf.DUMMYFUNCTION("""COMPUTED_VALUE"""),"Yes")</f>
        <v>Yes</v>
      </c>
      <c r="B45" s="4" t="str">
        <f ca="1">IFERROR(__xludf.DUMMYFUNCTION("""COMPUTED_VALUE"""),"No")</f>
        <v>No</v>
      </c>
      <c r="C45" s="96"/>
      <c r="D45" s="96"/>
      <c r="E45" s="96"/>
      <c r="F45" s="96"/>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7"/>
      <c r="AL45" s="7"/>
      <c r="AM45" s="7"/>
      <c r="AN45" s="7"/>
      <c r="AO45" s="7"/>
      <c r="AP45" s="7"/>
    </row>
    <row r="46" spans="1:42" ht="12.5" x14ac:dyDescent="0.25">
      <c r="A46" s="4" t="str">
        <f ca="1">IFERROR(__xludf.DUMMYFUNCTION("""COMPUTED_VALUE"""),"Yes")</f>
        <v>Yes</v>
      </c>
      <c r="B46" s="4" t="str">
        <f ca="1">IFERROR(__xludf.DUMMYFUNCTION("""COMPUTED_VALUE"""),"No")</f>
        <v>No</v>
      </c>
      <c r="C46" s="96"/>
      <c r="D46" s="96"/>
      <c r="E46" s="96"/>
      <c r="F46" s="96"/>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7"/>
      <c r="AL46" s="7"/>
      <c r="AM46" s="7"/>
      <c r="AN46" s="7"/>
      <c r="AO46" s="7"/>
      <c r="AP46" s="7"/>
    </row>
    <row r="47" spans="1:42" ht="12.5" x14ac:dyDescent="0.25">
      <c r="A47" s="4" t="str">
        <f ca="1">IFERROR(__xludf.DUMMYFUNCTION("""COMPUTED_VALUE"""),"Yes")</f>
        <v>Yes</v>
      </c>
      <c r="B47" s="4" t="str">
        <f ca="1">IFERROR(__xludf.DUMMYFUNCTION("""COMPUTED_VALUE"""),"No")</f>
        <v>No</v>
      </c>
      <c r="C47" s="96"/>
      <c r="D47" s="96"/>
      <c r="E47" s="97" t="str">
        <f ca="1">IFERROR(__xludf.DUMMYFUNCTION("""COMPUTED_VALUE"""),"Hazard")</f>
        <v>Hazard</v>
      </c>
      <c r="F47" s="97"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7"/>
      <c r="AL47" s="7"/>
      <c r="AM47" s="7"/>
      <c r="AN47" s="7"/>
      <c r="AO47" s="7"/>
      <c r="AP47" s="7"/>
    </row>
    <row r="48" spans="1:42" ht="12.5" x14ac:dyDescent="0.25">
      <c r="A48" s="4" t="str">
        <f ca="1">IFERROR(__xludf.DUMMYFUNCTION("""COMPUTED_VALUE"""),"Yes")</f>
        <v>Yes</v>
      </c>
      <c r="B48" s="4" t="str">
        <f ca="1">IFERROR(__xludf.DUMMYFUNCTION("""COMPUTED_VALUE"""),"Yes")</f>
        <v>Yes</v>
      </c>
      <c r="C48" s="96"/>
      <c r="D48" s="96"/>
      <c r="E48" s="96"/>
      <c r="F48" s="96"/>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7"/>
      <c r="AL48" s="7"/>
      <c r="AM48" s="7"/>
      <c r="AN48" s="7"/>
      <c r="AO48" s="7"/>
      <c r="AP48" s="7"/>
    </row>
    <row r="49" spans="1:42" ht="12.5" x14ac:dyDescent="0.25">
      <c r="A49" s="4" t="str">
        <f ca="1">IFERROR(__xludf.DUMMYFUNCTION("""COMPUTED_VALUE"""),"Yes")</f>
        <v>Yes</v>
      </c>
      <c r="B49" s="4" t="str">
        <f ca="1">IFERROR(__xludf.DUMMYFUNCTION("""COMPUTED_VALUE"""),"No")</f>
        <v>No</v>
      </c>
      <c r="C49" s="96"/>
      <c r="D49" s="96"/>
      <c r="E49" s="96"/>
      <c r="F49" s="96"/>
      <c r="G49" s="5" t="str">
        <f ca="1">IFERROR(__xludf.DUMMYFUNCTION("""COMPUTED_VALUE"""),"Hazard description")</f>
        <v>Hazard description</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row>
    <row r="50" spans="1:42" ht="12.5" x14ac:dyDescent="0.25">
      <c r="A50" s="4" t="str">
        <f ca="1">IFERROR(__xludf.DUMMYFUNCTION("""COMPUTED_VALUE"""),"Yes")</f>
        <v>Yes</v>
      </c>
      <c r="B50" s="4" t="str">
        <f ca="1">IFERROR(__xludf.DUMMYFUNCTION("""COMPUTED_VALUE"""),"No")</f>
        <v>No</v>
      </c>
      <c r="C50" s="96"/>
      <c r="D50" s="96"/>
      <c r="E50" s="96"/>
      <c r="F50" s="96"/>
      <c r="G50" s="5" t="str">
        <f ca="1">IFERROR(__xludf.DUMMYFUNCTION("""COMPUTED_VALUE"""),"Hazard unit")</f>
        <v>Hazard unit</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row>
    <row r="51" spans="1:42" ht="12.5" x14ac:dyDescent="0.25">
      <c r="A51" s="4" t="str">
        <f ca="1">IFERROR(__xludf.DUMMYFUNCTION("""COMPUTED_VALUE"""),"Yes")</f>
        <v>Yes</v>
      </c>
      <c r="B51" s="4" t="str">
        <f ca="1">IFERROR(__xludf.DUMMYFUNCTION("""COMPUTED_VALUE"""),"No")</f>
        <v>No</v>
      </c>
      <c r="C51" s="96"/>
      <c r="D51" s="96"/>
      <c r="E51" s="96"/>
      <c r="F51" s="96"/>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x14ac:dyDescent="0.25">
      <c r="A52" s="4" t="str">
        <f ca="1">IFERROR(__xludf.DUMMYFUNCTION("""COMPUTED_VALUE"""),"Yes")</f>
        <v>Yes</v>
      </c>
      <c r="B52" s="4" t="str">
        <f ca="1">IFERROR(__xludf.DUMMYFUNCTION("""COMPUTED_VALUE"""),"No")</f>
        <v>No</v>
      </c>
      <c r="C52" s="96"/>
      <c r="D52" s="96"/>
      <c r="E52" s="96"/>
      <c r="F52" s="96"/>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x14ac:dyDescent="0.25">
      <c r="A53" s="4" t="str">
        <f ca="1">IFERROR(__xludf.DUMMYFUNCTION("""COMPUTED_VALUE"""),"Yes")</f>
        <v>Yes</v>
      </c>
      <c r="B53" s="4" t="str">
        <f ca="1">IFERROR(__xludf.DUMMYFUNCTION("""COMPUTED_VALUE"""),"No")</f>
        <v>No</v>
      </c>
      <c r="C53" s="96"/>
      <c r="D53" s="96"/>
      <c r="E53" s="96"/>
      <c r="F53" s="96"/>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x14ac:dyDescent="0.25">
      <c r="A54" s="4" t="str">
        <f ca="1">IFERROR(__xludf.DUMMYFUNCTION("""COMPUTED_VALUE"""),"Yes")</f>
        <v>Yes</v>
      </c>
      <c r="B54" s="4" t="str">
        <f ca="1">IFERROR(__xludf.DUMMYFUNCTION("""COMPUTED_VALUE"""),"No")</f>
        <v>No</v>
      </c>
      <c r="C54" s="96"/>
      <c r="D54" s="96"/>
      <c r="E54" s="96"/>
      <c r="F54" s="96"/>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x14ac:dyDescent="0.25">
      <c r="A55" s="4" t="str">
        <f ca="1">IFERROR(__xludf.DUMMYFUNCTION("""COMPUTED_VALUE"""),"Yes")</f>
        <v>Yes</v>
      </c>
      <c r="B55" s="4" t="str">
        <f ca="1">IFERROR(__xludf.DUMMYFUNCTION("""COMPUTED_VALUE"""),"No")</f>
        <v>No</v>
      </c>
      <c r="C55" s="96"/>
      <c r="D55" s="96"/>
      <c r="E55" s="96"/>
      <c r="F55" s="96"/>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x14ac:dyDescent="0.25">
      <c r="A56" s="4" t="str">
        <f ca="1">IFERROR(__xludf.DUMMYFUNCTION("""COMPUTED_VALUE"""),"Yes")</f>
        <v>Yes</v>
      </c>
      <c r="B56" s="4" t="str">
        <f ca="1">IFERROR(__xludf.DUMMYFUNCTION("""COMPUTED_VALUE"""),"No")</f>
        <v>No</v>
      </c>
      <c r="C56" s="96"/>
      <c r="D56" s="96"/>
      <c r="E56" s="96"/>
      <c r="F56" s="96"/>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x14ac:dyDescent="0.25">
      <c r="A57" s="4" t="str">
        <f ca="1">IFERROR(__xludf.DUMMYFUNCTION("""COMPUTED_VALUE"""),"Yes")</f>
        <v>Yes</v>
      </c>
      <c r="B57" s="4" t="str">
        <f ca="1">IFERROR(__xludf.DUMMYFUNCTION("""COMPUTED_VALUE"""),"No")</f>
        <v>No</v>
      </c>
      <c r="C57" s="96"/>
      <c r="D57" s="96"/>
      <c r="E57" s="96"/>
      <c r="F57" s="96"/>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x14ac:dyDescent="0.25">
      <c r="A58" s="4" t="str">
        <f ca="1">IFERROR(__xludf.DUMMYFUNCTION("""COMPUTED_VALUE"""),"Yes")</f>
        <v>Yes</v>
      </c>
      <c r="B58" s="4" t="str">
        <f ca="1">IFERROR(__xludf.DUMMYFUNCTION("""COMPUTED_VALUE"""),"No")</f>
        <v>No</v>
      </c>
      <c r="C58" s="96"/>
      <c r="D58" s="96"/>
      <c r="E58" s="96"/>
      <c r="F58" s="96"/>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x14ac:dyDescent="0.25">
      <c r="A59" s="4" t="str">
        <f ca="1">IFERROR(__xludf.DUMMYFUNCTION("""COMPUTED_VALUE"""),"Yes")</f>
        <v>Yes</v>
      </c>
      <c r="B59" s="4" t="str">
        <f ca="1">IFERROR(__xludf.DUMMYFUNCTION("""COMPUTED_VALUE"""),"No")</f>
        <v>No</v>
      </c>
      <c r="C59" s="96"/>
      <c r="D59" s="96"/>
      <c r="E59" s="96"/>
      <c r="F59" s="96"/>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x14ac:dyDescent="0.25">
      <c r="A60" s="4" t="str">
        <f ca="1">IFERROR(__xludf.DUMMYFUNCTION("""COMPUTED_VALUE"""),"Yes")</f>
        <v>Yes</v>
      </c>
      <c r="B60" s="4" t="str">
        <f ca="1">IFERROR(__xludf.DUMMYFUNCTION("""COMPUTED_VALUE"""),"No")</f>
        <v>No</v>
      </c>
      <c r="C60" s="96"/>
      <c r="D60" s="96"/>
      <c r="E60" s="96"/>
      <c r="F60" s="96"/>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x14ac:dyDescent="0.25">
      <c r="A61" s="4" t="str">
        <f ca="1">IFERROR(__xludf.DUMMYFUNCTION("""COMPUTED_VALUE"""),"Yes")</f>
        <v>Yes</v>
      </c>
      <c r="B61" s="4" t="str">
        <f ca="1">IFERROR(__xludf.DUMMYFUNCTION("""COMPUTED_VALUE"""),"No")</f>
        <v>No</v>
      </c>
      <c r="C61" s="96"/>
      <c r="D61" s="96"/>
      <c r="E61" s="5" t="str">
        <f ca="1">IFERROR(__xludf.DUMMYFUNCTION("""COMPUTED_VALUE"""),"General comment")</f>
        <v>General comment</v>
      </c>
      <c r="F61" s="97" t="str">
        <f ca="1">IFERROR(__xludf.DUMMYFUNCTION("""COMPUTED_VALUE"""),"0:1")</f>
        <v>0:1</v>
      </c>
      <c r="G61" s="96"/>
      <c r="H61" s="96"/>
      <c r="I61" s="5"/>
      <c r="J61" s="11"/>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x14ac:dyDescent="0.25">
      <c r="A62" s="4" t="str">
        <f ca="1">IFERROR(__xludf.DUMMYFUNCTION("""COMPUTED_VALUE"""),"Yes")</f>
        <v>Yes</v>
      </c>
      <c r="B62" s="4" t="str">
        <f ca="1">IFERROR(__xludf.DUMMYFUNCTION("""COMPUTED_VALUE"""),"No")</f>
        <v>No</v>
      </c>
      <c r="C62" s="96"/>
      <c r="D62" s="96"/>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75"/>
      <c r="J62" s="11"/>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x14ac:dyDescent="0.25">
      <c r="A63" s="4" t="str">
        <f ca="1">IFERROR(__xludf.DUMMYFUNCTION("""COMPUTED_VALUE"""),"Yes")</f>
        <v>Yes</v>
      </c>
      <c r="B63" s="4" t="str">
        <f ca="1">IFERROR(__xludf.DUMMYFUNCTION("""COMPUTED_VALUE"""),"No")</f>
        <v>No</v>
      </c>
      <c r="C63" s="96"/>
      <c r="D63" s="96"/>
      <c r="E63" s="97" t="str">
        <f ca="1">IFERROR(__xludf.DUMMYFUNCTION("""COMPUTED_VALUE"""),"Spatial information")</f>
        <v>Spatial information</v>
      </c>
      <c r="F63" s="97" t="str">
        <f ca="1">IFERROR(__xludf.DUMMYFUNCTION("""COMPUTED_VALUE"""),"0:1")</f>
        <v>0:1</v>
      </c>
      <c r="G63" s="5" t="str">
        <f ca="1">IFERROR(__xludf.DUMMYFUNCTION("""COMPUTED_VALUE"""),"Region")</f>
        <v>Region</v>
      </c>
      <c r="H63" s="5" t="str">
        <f ca="1">IFERROR(__xludf.DUMMYFUNCTION("""COMPUTED_VALUE"""),"0:N")</f>
        <v>0:N</v>
      </c>
      <c r="I63" s="5"/>
      <c r="J63" s="1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x14ac:dyDescent="0.25">
      <c r="A64" s="4" t="str">
        <f ca="1">IFERROR(__xludf.DUMMYFUNCTION("""COMPUTED_VALUE"""),"Yes")</f>
        <v>Yes</v>
      </c>
      <c r="B64" s="4" t="str">
        <f ca="1">IFERROR(__xludf.DUMMYFUNCTION("""COMPUTED_VALUE"""),"No")</f>
        <v>No</v>
      </c>
      <c r="C64" s="96"/>
      <c r="D64" s="96"/>
      <c r="E64" s="96"/>
      <c r="F64" s="96"/>
      <c r="G64" s="5" t="str">
        <f ca="1">IFERROR(__xludf.DUMMYFUNCTION("""COMPUTED_VALUE"""),"Country")</f>
        <v>Country</v>
      </c>
      <c r="H64" s="5" t="str">
        <f ca="1">IFERROR(__xludf.DUMMYFUNCTION("""COMPUTED_VALUE"""),"0:N")</f>
        <v>0:N</v>
      </c>
      <c r="I64" s="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x14ac:dyDescent="0.25">
      <c r="A65" s="4" t="str">
        <f ca="1">IFERROR(__xludf.DUMMYFUNCTION("""COMPUTED_VALUE"""),"Yes")</f>
        <v>Yes</v>
      </c>
      <c r="B65" s="4" t="str">
        <f ca="1">IFERROR(__xludf.DUMMYFUNCTION("""COMPUTED_VALUE"""),"No")</f>
        <v>No</v>
      </c>
      <c r="C65" s="95" t="str">
        <f ca="1">IFERROR(__xludf.DUMMYFUNCTION("""COMPUTED_VALUE"""),"Data_background")</f>
        <v>Data_background</v>
      </c>
      <c r="D65" s="95" t="str">
        <f ca="1">IFERROR(__xludf.DUMMYFUNCTION("""COMPUTED_VALUE"""),"0:1")</f>
        <v>0:1</v>
      </c>
      <c r="E65" s="97" t="str">
        <f ca="1">IFERROR(__xludf.DUMMYFUNCTION("""COMPUTED_VALUE"""),"Study")</f>
        <v>Study</v>
      </c>
      <c r="F65" s="97" t="str">
        <f ca="1">IFERROR(__xludf.DUMMYFUNCTION("""COMPUTED_VALUE"""),"1")</f>
        <v>1</v>
      </c>
      <c r="G65" s="5" t="str">
        <f ca="1">IFERROR(__xludf.DUMMYFUNCTION("""COMPUTED_VALUE"""),"Study Identifier")</f>
        <v>Study Identifier</v>
      </c>
      <c r="H65" s="5" t="str">
        <f ca="1">IFERROR(__xludf.DUMMYFUNCTION("""COMPUTED_VALUE"""),"0:1")</f>
        <v>0:1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x14ac:dyDescent="0.25">
      <c r="A66" s="4" t="str">
        <f ca="1">IFERROR(__xludf.DUMMYFUNCTION("""COMPUTED_VALUE"""),"Yes")</f>
        <v>Yes</v>
      </c>
      <c r="B66" s="4" t="str">
        <f ca="1">IFERROR(__xludf.DUMMYFUNCTION("""COMPUTED_VALUE"""),"No")</f>
        <v>No</v>
      </c>
      <c r="C66" s="96"/>
      <c r="D66" s="96"/>
      <c r="E66" s="96"/>
      <c r="F66" s="96"/>
      <c r="G66" s="5" t="str">
        <f ca="1">IFERROR(__xludf.DUMMYFUNCTION("""COMPUTED_VALUE"""),"Study Title")</f>
        <v>Study Title</v>
      </c>
      <c r="H66" s="5" t="str">
        <f ca="1">IFERROR(__xludf.DUMMYFUNCTION("""COMPUTED_VALUE"""),"1")</f>
        <v>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x14ac:dyDescent="0.25">
      <c r="A67" s="4" t="str">
        <f ca="1">IFERROR(__xludf.DUMMYFUNCTION("""COMPUTED_VALUE"""),"Yes")</f>
        <v>Yes</v>
      </c>
      <c r="B67" s="4" t="str">
        <f ca="1">IFERROR(__xludf.DUMMYFUNCTION("""COMPUTED_VALUE"""),"No")</f>
        <v>No</v>
      </c>
      <c r="C67" s="96"/>
      <c r="D67" s="96"/>
      <c r="E67" s="96"/>
      <c r="F67" s="96"/>
      <c r="G67" s="5" t="str">
        <f ca="1">IFERROR(__xludf.DUMMYFUNCTION("""COMPUTED_VALUE"""),"Study Description")</f>
        <v>Study Description</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x14ac:dyDescent="0.25">
      <c r="A68" s="4" t="str">
        <f ca="1">IFERROR(__xludf.DUMMYFUNCTION("""COMPUTED_VALUE"""),"Yes")</f>
        <v>Yes</v>
      </c>
      <c r="B68" s="4" t="str">
        <f ca="1">IFERROR(__xludf.DUMMYFUNCTION("""COMPUTED_VALUE"""),"No")</f>
        <v>No</v>
      </c>
      <c r="C68" s="96"/>
      <c r="D68" s="96"/>
      <c r="E68" s="96"/>
      <c r="F68" s="96"/>
      <c r="G68" s="5" t="str">
        <f ca="1">IFERROR(__xludf.DUMMYFUNCTION("""COMPUTED_VALUE"""),"Study Design Type")</f>
        <v>Study Design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x14ac:dyDescent="0.25">
      <c r="A69" s="4" t="str">
        <f ca="1">IFERROR(__xludf.DUMMYFUNCTION("""COMPUTED_VALUE"""),"Yes")</f>
        <v>Yes</v>
      </c>
      <c r="B69" s="4" t="str">
        <f ca="1">IFERROR(__xludf.DUMMYFUNCTION("""COMPUTED_VALUE"""),"No")</f>
        <v>No</v>
      </c>
      <c r="C69" s="96"/>
      <c r="D69" s="96"/>
      <c r="E69" s="96"/>
      <c r="F69" s="96"/>
      <c r="G69" s="5" t="str">
        <f ca="1">IFERROR(__xludf.DUMMYFUNCTION("""COMPUTED_VALUE"""),"Study Assay Measurement Type")</f>
        <v>Study Assay Measurement Type</v>
      </c>
      <c r="H69" s="5" t="str">
        <f ca="1">IFERROR(__xludf.DUMMYFUNCTION("""COMPUTED_VALUE"""),"0:1")</f>
        <v>0:1</v>
      </c>
      <c r="I69" s="7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x14ac:dyDescent="0.25">
      <c r="A70" s="4" t="str">
        <f ca="1">IFERROR(__xludf.DUMMYFUNCTION("""COMPUTED_VALUE"""),"Yes")</f>
        <v>Yes</v>
      </c>
      <c r="B70" s="4" t="str">
        <f ca="1">IFERROR(__xludf.DUMMYFUNCTION("""COMPUTED_VALUE"""),"No")</f>
        <v>No</v>
      </c>
      <c r="C70" s="96"/>
      <c r="D70" s="96"/>
      <c r="E70" s="96"/>
      <c r="F70" s="96"/>
      <c r="G70" s="5" t="str">
        <f ca="1">IFERROR(__xludf.DUMMYFUNCTION("""COMPUTED_VALUE"""),"Study Assay Technology Type")</f>
        <v>Study Assay Technology Type</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x14ac:dyDescent="0.25">
      <c r="A71" s="4" t="str">
        <f ca="1">IFERROR(__xludf.DUMMYFUNCTION("""COMPUTED_VALUE"""),"Yes")</f>
        <v>Yes</v>
      </c>
      <c r="B71" s="4" t="str">
        <f ca="1">IFERROR(__xludf.DUMMYFUNCTION("""COMPUTED_VALUE"""),"No")</f>
        <v>No</v>
      </c>
      <c r="C71" s="96"/>
      <c r="D71" s="96"/>
      <c r="E71" s="96"/>
      <c r="F71" s="96"/>
      <c r="G71" s="5" t="str">
        <f ca="1">IFERROR(__xludf.DUMMYFUNCTION("""COMPUTED_VALUE"""),"Study Assay Technology Platform")</f>
        <v>Study Assay Technology Platform</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x14ac:dyDescent="0.25">
      <c r="A72" s="4" t="str">
        <f ca="1">IFERROR(__xludf.DUMMYFUNCTION("""COMPUTED_VALUE"""),"Yes")</f>
        <v>Yes</v>
      </c>
      <c r="B72" s="4" t="str">
        <f ca="1">IFERROR(__xludf.DUMMYFUNCTION("""COMPUTED_VALUE"""),"No")</f>
        <v>No</v>
      </c>
      <c r="C72" s="96"/>
      <c r="D72" s="96"/>
      <c r="E72" s="96"/>
      <c r="F72" s="96"/>
      <c r="G72" s="5" t="str">
        <f ca="1">IFERROR(__xludf.DUMMYFUNCTION("""COMPUTED_VALUE"""),"Accreditation procedure for the assay technology")</f>
        <v>Accreditation procedure for the assay technology</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x14ac:dyDescent="0.25">
      <c r="A73" s="4" t="str">
        <f ca="1">IFERROR(__xludf.DUMMYFUNCTION("""COMPUTED_VALUE"""),"Yes")</f>
        <v>Yes</v>
      </c>
      <c r="B73" s="4" t="str">
        <f ca="1">IFERROR(__xludf.DUMMYFUNCTION("""COMPUTED_VALUE"""),"No")</f>
        <v>No</v>
      </c>
      <c r="C73" s="96"/>
      <c r="D73" s="96"/>
      <c r="E73" s="96"/>
      <c r="F73" s="96"/>
      <c r="G73" s="5" t="str">
        <f ca="1">IFERROR(__xludf.DUMMYFUNCTION("""COMPUTED_VALUE"""),"Study Protocol Name")</f>
        <v>Study Protocol Name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x14ac:dyDescent="0.25">
      <c r="A74" s="4" t="str">
        <f ca="1">IFERROR(__xludf.DUMMYFUNCTION("""COMPUTED_VALUE"""),"Yes")</f>
        <v>Yes</v>
      </c>
      <c r="B74" s="4" t="str">
        <f ca="1">IFERROR(__xludf.DUMMYFUNCTION("""COMPUTED_VALUE"""),"No")</f>
        <v>No</v>
      </c>
      <c r="C74" s="96"/>
      <c r="D74" s="96"/>
      <c r="E74" s="96"/>
      <c r="F74" s="96"/>
      <c r="G74" s="5" t="str">
        <f ca="1">IFERROR(__xludf.DUMMYFUNCTION("""COMPUTED_VALUE"""),"Study Protocol Type")</f>
        <v>Study Protocol Type</v>
      </c>
      <c r="H74" s="5" t="str">
        <f ca="1">IFERROR(__xludf.DUMMYFUNCTION("""COMPUTED_VALUE"""),"0:1")</f>
        <v>0:1</v>
      </c>
      <c r="I74" s="7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x14ac:dyDescent="0.25">
      <c r="A75" s="4" t="str">
        <f ca="1">IFERROR(__xludf.DUMMYFUNCTION("""COMPUTED_VALUE"""),"Yes")</f>
        <v>Yes</v>
      </c>
      <c r="B75" s="4" t="str">
        <f ca="1">IFERROR(__xludf.DUMMYFUNCTION("""COMPUTED_VALUE"""),"No")</f>
        <v>No</v>
      </c>
      <c r="C75" s="96"/>
      <c r="D75" s="96"/>
      <c r="E75" s="96"/>
      <c r="F75" s="96"/>
      <c r="G75" s="5" t="str">
        <f ca="1">IFERROR(__xludf.DUMMYFUNCTION("""COMPUTED_VALUE"""),"Study Protocol Description")</f>
        <v>Study Protocol Description</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x14ac:dyDescent="0.25">
      <c r="A76" s="4" t="str">
        <f ca="1">IFERROR(__xludf.DUMMYFUNCTION("""COMPUTED_VALUE"""),"Yes")</f>
        <v>Yes</v>
      </c>
      <c r="B76" s="4" t="str">
        <f ca="1">IFERROR(__xludf.DUMMYFUNCTION("""COMPUTED_VALUE"""),"No")</f>
        <v>No</v>
      </c>
      <c r="C76" s="96"/>
      <c r="D76" s="96"/>
      <c r="E76" s="96"/>
      <c r="F76" s="96"/>
      <c r="G76" s="5" t="str">
        <f ca="1">IFERROR(__xludf.DUMMYFUNCTION("""COMPUTED_VALUE"""),"Study Protocol URI")</f>
        <v>Study Protocol URI</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x14ac:dyDescent="0.25">
      <c r="A77" s="4" t="str">
        <f ca="1">IFERROR(__xludf.DUMMYFUNCTION("""COMPUTED_VALUE"""),"Yes")</f>
        <v>Yes</v>
      </c>
      <c r="B77" s="4" t="str">
        <f ca="1">IFERROR(__xludf.DUMMYFUNCTION("""COMPUTED_VALUE"""),"No")</f>
        <v>No</v>
      </c>
      <c r="C77" s="96"/>
      <c r="D77" s="96"/>
      <c r="E77" s="96"/>
      <c r="F77" s="96"/>
      <c r="G77" s="5" t="str">
        <f ca="1">IFERROR(__xludf.DUMMYFUNCTION("""COMPUTED_VALUE"""),"Study Protocol Version")</f>
        <v>Study Protocol Version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x14ac:dyDescent="0.25">
      <c r="A78" s="4" t="str">
        <f ca="1">IFERROR(__xludf.DUMMYFUNCTION("""COMPUTED_VALUE"""),"Yes")</f>
        <v>Yes</v>
      </c>
      <c r="B78" s="4" t="str">
        <f ca="1">IFERROR(__xludf.DUMMYFUNCTION("""COMPUTED_VALUE"""),"No")</f>
        <v>No</v>
      </c>
      <c r="C78" s="96"/>
      <c r="D78" s="96"/>
      <c r="E78" s="96"/>
      <c r="F78" s="96"/>
      <c r="G78" s="5" t="str">
        <f ca="1">IFERROR(__xludf.DUMMYFUNCTION("""COMPUTED_VALUE"""),"Study Protocol Parameters Name")</f>
        <v>Study Protocol Parameters Name</v>
      </c>
      <c r="H78" s="5" t="str">
        <f ca="1">IFERROR(__xludf.DUMMYFUNCTION("""COMPUTED_VALUE"""),"0:1")</f>
        <v>0:1</v>
      </c>
      <c r="I78" s="7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x14ac:dyDescent="0.25">
      <c r="A79" s="4" t="str">
        <f ca="1">IFERROR(__xludf.DUMMYFUNCTION("""COMPUTED_VALUE"""),"Yes")</f>
        <v>Yes</v>
      </c>
      <c r="B79" s="4" t="str">
        <f ca="1">IFERROR(__xludf.DUMMYFUNCTION("""COMPUTED_VALUE"""),"No")</f>
        <v>No</v>
      </c>
      <c r="C79" s="96"/>
      <c r="D79" s="96"/>
      <c r="E79" s="96"/>
      <c r="F79" s="96"/>
      <c r="G79" s="5" t="str">
        <f ca="1">IFERROR(__xludf.DUMMYFUNCTION("""COMPUTED_VALUE"""),"Study Protocol Components Name")</f>
        <v>Study Protocol Components Name</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x14ac:dyDescent="0.25">
      <c r="A80" s="4" t="str">
        <f ca="1">IFERROR(__xludf.DUMMYFUNCTION("""COMPUTED_VALUE"""),"Yes")</f>
        <v>Yes</v>
      </c>
      <c r="B80" s="4" t="str">
        <f ca="1">IFERROR(__xludf.DUMMYFUNCTION("""COMPUTED_VALUE"""),"No")</f>
        <v>No</v>
      </c>
      <c r="C80" s="96"/>
      <c r="D80" s="96"/>
      <c r="E80" s="96"/>
      <c r="F80" s="96"/>
      <c r="G80" s="5" t="str">
        <f ca="1">IFERROR(__xludf.DUMMYFUNCTION("""COMPUTED_VALUE"""),"Study Protocol Components Type")</f>
        <v>Study Protocol Components Type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x14ac:dyDescent="0.25">
      <c r="A81" s="4" t="str">
        <f ca="1">IFERROR(__xludf.DUMMYFUNCTION("""COMPUTED_VALUE"""),"Yes")</f>
        <v>Yes</v>
      </c>
      <c r="B81" s="4" t="str">
        <f ca="1">IFERROR(__xludf.DUMMYFUNCTION("""COMPUTED_VALUE"""),"No")</f>
        <v>No</v>
      </c>
      <c r="C81" s="96"/>
      <c r="D81" s="96"/>
      <c r="E81" s="97" t="str">
        <f ca="1">IFERROR(__xludf.DUMMYFUNCTION("""COMPUTED_VALUE"""),"Study Sample")</f>
        <v>Study Sample</v>
      </c>
      <c r="F81" s="97" t="str">
        <f ca="1">IFERROR(__xludf.DUMMYFUNCTION("""COMPUTED_VALUE"""),"0:N")</f>
        <v>0:N</v>
      </c>
      <c r="G81" s="5" t="str">
        <f ca="1">IFERROR(__xludf.DUMMYFUNCTION("""COMPUTED_VALUE"""),"Sample Name (ID)")</f>
        <v>Sample Name (ID)</v>
      </c>
      <c r="H81" s="5" t="str">
        <f ca="1">IFERROR(__xludf.DUMMYFUNCTION("""COMPUTED_VALUE"""),"1")</f>
        <v>1</v>
      </c>
      <c r="I81" s="5"/>
      <c r="J81" s="13"/>
      <c r="K81" s="4"/>
      <c r="L81" s="99" t="str">
        <f ca="1">E81</f>
        <v>Study Sample</v>
      </c>
      <c r="M81" s="96"/>
      <c r="N81" s="96"/>
      <c r="O81" s="96"/>
      <c r="P81" s="96"/>
      <c r="Q81" s="96"/>
      <c r="R81" s="96"/>
      <c r="S81" s="96"/>
      <c r="T81" s="96"/>
      <c r="U81" s="96"/>
      <c r="V81" s="4"/>
      <c r="W81" s="4"/>
      <c r="X81" s="4"/>
      <c r="Y81" s="4"/>
      <c r="Z81" s="4"/>
      <c r="AA81" s="4"/>
      <c r="AB81" s="4"/>
      <c r="AC81" s="4"/>
      <c r="AD81" s="4"/>
      <c r="AE81" s="4"/>
      <c r="AF81" s="4"/>
      <c r="AG81" s="4"/>
      <c r="AH81" s="4"/>
      <c r="AI81" s="4"/>
      <c r="AJ81" s="4"/>
      <c r="AK81" s="4"/>
      <c r="AL81" s="4"/>
      <c r="AM81" s="4"/>
      <c r="AN81" s="4"/>
      <c r="AO81" s="4"/>
      <c r="AP81" s="4"/>
    </row>
    <row r="82" spans="1:42" ht="12.5" x14ac:dyDescent="0.25">
      <c r="A82" s="4" t="str">
        <f ca="1">IFERROR(__xludf.DUMMYFUNCTION("""COMPUTED_VALUE"""),"Yes")</f>
        <v>Yes</v>
      </c>
      <c r="B82" s="4" t="str">
        <f ca="1">IFERROR(__xludf.DUMMYFUNCTION("""COMPUTED_VALUE"""),"No")</f>
        <v>No</v>
      </c>
      <c r="C82" s="96"/>
      <c r="D82" s="96"/>
      <c r="E82" s="96"/>
      <c r="F82" s="96"/>
      <c r="G82" s="5" t="str">
        <f ca="1">IFERROR(__xludf.DUMMYFUNCTION("""COMPUTED_VALUE"""),"Protocol of sample collection")</f>
        <v>Protocol of sample collection</v>
      </c>
      <c r="H82" s="5" t="str">
        <f ca="1">IFERROR(__xludf.DUMMYFUNCTION("""COMPUTED_VALUE"""),"1")</f>
        <v>1</v>
      </c>
      <c r="I82" s="5"/>
      <c r="J82" s="13"/>
      <c r="K82" s="4"/>
      <c r="L82" s="7" t="str">
        <f ca="1">G81</f>
        <v>Sample Name (ID)</v>
      </c>
      <c r="M82" s="7" t="str">
        <f ca="1">G82</f>
        <v>Protocol of sample collection</v>
      </c>
      <c r="N82" s="7" t="str">
        <f ca="1">G83</f>
        <v>Sampling strategy</v>
      </c>
      <c r="O82" s="7" t="str">
        <f ca="1">G84</f>
        <v>Type of sampling program</v>
      </c>
      <c r="P82" s="7" t="str">
        <f ca="1">G85</f>
        <v>Sampling method</v>
      </c>
      <c r="Q82" s="7" t="str">
        <f ca="1">G86</f>
        <v>Sampling plan</v>
      </c>
      <c r="R82" s="7" t="str">
        <f ca="1">G87</f>
        <v>Sampling weight</v>
      </c>
      <c r="S82" s="7" t="str">
        <f ca="1">G88</f>
        <v>Sampling size</v>
      </c>
      <c r="T82" s="7" t="str">
        <f ca="1">G89</f>
        <v>Lot size unit</v>
      </c>
      <c r="U82" s="7" t="str">
        <f ca="1">G90</f>
        <v>Sampling point</v>
      </c>
      <c r="V82" s="4"/>
      <c r="W82" s="4"/>
      <c r="X82" s="4"/>
      <c r="Y82" s="4"/>
      <c r="Z82" s="4"/>
      <c r="AA82" s="4"/>
      <c r="AB82" s="4"/>
      <c r="AC82" s="4"/>
      <c r="AD82" s="4"/>
      <c r="AE82" s="4"/>
      <c r="AF82" s="4"/>
      <c r="AG82" s="4"/>
      <c r="AH82" s="4"/>
      <c r="AI82" s="4"/>
      <c r="AJ82" s="4"/>
      <c r="AK82" s="4"/>
      <c r="AL82" s="4"/>
      <c r="AM82" s="4"/>
      <c r="AN82" s="4"/>
      <c r="AO82" s="4"/>
      <c r="AP82" s="4"/>
    </row>
    <row r="83" spans="1:42" ht="12.5" x14ac:dyDescent="0.25">
      <c r="A83" s="4" t="str">
        <f ca="1">IFERROR(__xludf.DUMMYFUNCTION("""COMPUTED_VALUE"""),"Yes")</f>
        <v>Yes</v>
      </c>
      <c r="B83" s="4" t="str">
        <f ca="1">IFERROR(__xludf.DUMMYFUNCTION("""COMPUTED_VALUE"""),"No")</f>
        <v>No</v>
      </c>
      <c r="C83" s="96"/>
      <c r="D83" s="96"/>
      <c r="E83" s="96"/>
      <c r="F83" s="96"/>
      <c r="G83" s="5" t="str">
        <f ca="1">IFERROR(__xludf.DUMMYFUNCTION("""COMPUTED_VALUE"""),"Sampling strategy")</f>
        <v>Sampling strategy</v>
      </c>
      <c r="H83" s="5" t="str">
        <f ca="1">IFERROR(__xludf.DUMMYFUNCTION("""COMPUTED_VALUE"""),"0:1")</f>
        <v>0:1</v>
      </c>
      <c r="I83" s="5"/>
      <c r="J83" s="13"/>
      <c r="K83" s="4"/>
      <c r="L83" s="4" t="str">
        <f ca="1">H81</f>
        <v>1</v>
      </c>
      <c r="M83" s="4" t="str">
        <f ca="1">H82</f>
        <v>1</v>
      </c>
      <c r="N83" s="4" t="str">
        <f ca="1">H83</f>
        <v>0:1</v>
      </c>
      <c r="O83" s="4" t="str">
        <f ca="1">H84</f>
        <v>0:1</v>
      </c>
      <c r="P83" s="4" t="str">
        <f ca="1">H85</f>
        <v>0:1</v>
      </c>
      <c r="Q83" s="4" t="str">
        <f ca="1">H86</f>
        <v>1</v>
      </c>
      <c r="R83" s="4" t="str">
        <f ca="1">H87</f>
        <v>1</v>
      </c>
      <c r="S83" s="4" t="str">
        <f ca="1">H88</f>
        <v>1</v>
      </c>
      <c r="T83" s="4" t="str">
        <f ca="1">H89</f>
        <v>0:1</v>
      </c>
      <c r="U83" s="4" t="str">
        <f ca="1">H90</f>
        <v>0:1</v>
      </c>
      <c r="V83" s="4"/>
      <c r="W83" s="4"/>
      <c r="X83" s="4"/>
      <c r="Y83" s="4"/>
      <c r="Z83" s="4"/>
      <c r="AA83" s="4"/>
      <c r="AB83" s="4"/>
      <c r="AC83" s="4"/>
      <c r="AD83" s="4"/>
      <c r="AE83" s="4"/>
      <c r="AF83" s="4"/>
      <c r="AG83" s="4"/>
      <c r="AH83" s="4"/>
      <c r="AI83" s="4"/>
      <c r="AJ83" s="4"/>
      <c r="AK83" s="4"/>
      <c r="AL83" s="4"/>
      <c r="AM83" s="4"/>
      <c r="AN83" s="4"/>
      <c r="AO83" s="4"/>
      <c r="AP83" s="4"/>
    </row>
    <row r="84" spans="1:42" ht="12.5" x14ac:dyDescent="0.25">
      <c r="A84" s="4" t="str">
        <f ca="1">IFERROR(__xludf.DUMMYFUNCTION("""COMPUTED_VALUE"""),"Yes")</f>
        <v>Yes</v>
      </c>
      <c r="B84" s="4" t="str">
        <f ca="1">IFERROR(__xludf.DUMMYFUNCTION("""COMPUTED_VALUE"""),"No")</f>
        <v>No</v>
      </c>
      <c r="C84" s="96"/>
      <c r="D84" s="96"/>
      <c r="E84" s="96"/>
      <c r="F84" s="96"/>
      <c r="G84" s="5" t="str">
        <f ca="1">IFERROR(__xludf.DUMMYFUNCTION("""COMPUTED_VALUE"""),"Type of sampling program")</f>
        <v>Type of sampling program</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x14ac:dyDescent="0.25">
      <c r="A85" s="4" t="str">
        <f ca="1">IFERROR(__xludf.DUMMYFUNCTION("""COMPUTED_VALUE"""),"Yes")</f>
        <v>Yes</v>
      </c>
      <c r="B85" s="4" t="str">
        <f ca="1">IFERROR(__xludf.DUMMYFUNCTION("""COMPUTED_VALUE"""),"No")</f>
        <v>No</v>
      </c>
      <c r="C85" s="96"/>
      <c r="D85" s="96"/>
      <c r="E85" s="96"/>
      <c r="F85" s="96"/>
      <c r="G85" s="5" t="str">
        <f ca="1">IFERROR(__xludf.DUMMYFUNCTION("""COMPUTED_VALUE"""),"Sampling method")</f>
        <v>Sampling method</v>
      </c>
      <c r="H85" s="5" t="str">
        <f ca="1">IFERROR(__xludf.DUMMYFUNCTION("""COMPUTED_VALUE"""),"0:1")</f>
        <v>0:1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x14ac:dyDescent="0.25">
      <c r="A86" s="4" t="str">
        <f ca="1">IFERROR(__xludf.DUMMYFUNCTION("""COMPUTED_VALUE"""),"Yes")</f>
        <v>Yes</v>
      </c>
      <c r="B86" s="4" t="str">
        <f ca="1">IFERROR(__xludf.DUMMYFUNCTION("""COMPUTED_VALUE"""),"No")</f>
        <v>No</v>
      </c>
      <c r="C86" s="96"/>
      <c r="D86" s="96"/>
      <c r="E86" s="96"/>
      <c r="F86" s="96"/>
      <c r="G86" s="5" t="str">
        <f ca="1">IFERROR(__xludf.DUMMYFUNCTION("""COMPUTED_VALUE"""),"Sampling plan")</f>
        <v>Sampling plan</v>
      </c>
      <c r="H86" s="5" t="str">
        <f ca="1">IFERROR(__xludf.DUMMYFUNCTION("""COMPUTED_VALUE"""),"1")</f>
        <v>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x14ac:dyDescent="0.25">
      <c r="A87" s="4" t="str">
        <f ca="1">IFERROR(__xludf.DUMMYFUNCTION("""COMPUTED_VALUE"""),"Yes")</f>
        <v>Yes</v>
      </c>
      <c r="B87" s="4" t="str">
        <f ca="1">IFERROR(__xludf.DUMMYFUNCTION("""COMPUTED_VALUE"""),"No")</f>
        <v>No</v>
      </c>
      <c r="C87" s="96"/>
      <c r="D87" s="96"/>
      <c r="E87" s="96"/>
      <c r="F87" s="96"/>
      <c r="G87" s="5" t="str">
        <f ca="1">IFERROR(__xludf.DUMMYFUNCTION("""COMPUTED_VALUE"""),"Sampling weight")</f>
        <v>Sampling weight</v>
      </c>
      <c r="H87" s="5" t="str">
        <f ca="1">IFERROR(__xludf.DUMMYFUNCTION("""COMPUTED_VALUE"""),"1")</f>
        <v>1</v>
      </c>
      <c r="I87" s="5"/>
      <c r="J87" s="13"/>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x14ac:dyDescent="0.25">
      <c r="A88" s="4" t="str">
        <f ca="1">IFERROR(__xludf.DUMMYFUNCTION("""COMPUTED_VALUE"""),"Yes")</f>
        <v>Yes</v>
      </c>
      <c r="B88" s="4" t="str">
        <f ca="1">IFERROR(__xludf.DUMMYFUNCTION("""COMPUTED_VALUE"""),"No")</f>
        <v>No</v>
      </c>
      <c r="C88" s="96"/>
      <c r="D88" s="96"/>
      <c r="E88" s="96"/>
      <c r="F88" s="96"/>
      <c r="G88" s="5" t="str">
        <f ca="1">IFERROR(__xludf.DUMMYFUNCTION("""COMPUTED_VALUE"""),"Sampling size")</f>
        <v>Sampling size</v>
      </c>
      <c r="H88" s="5" t="str">
        <f ca="1">IFERROR(__xludf.DUMMYFUNCTION("""COMPUTED_VALUE"""),"1")</f>
        <v>1</v>
      </c>
      <c r="I88" s="5"/>
      <c r="J88" s="13"/>
      <c r="K88" s="4"/>
      <c r="L88" s="99" t="str">
        <f ca="1">E91</f>
        <v>Laboratory</v>
      </c>
      <c r="M88" s="96"/>
      <c r="N88" s="96"/>
      <c r="O88" s="4"/>
      <c r="P88" s="4"/>
      <c r="Q88" s="4"/>
      <c r="R88" s="4"/>
      <c r="S88" s="4"/>
      <c r="T88" s="4"/>
      <c r="U88" s="4"/>
      <c r="V88" s="4"/>
      <c r="W88" s="4"/>
      <c r="X88" s="4"/>
      <c r="Y88" s="4"/>
      <c r="Z88" s="4"/>
      <c r="AA88" s="4"/>
      <c r="AB88" s="4"/>
    </row>
    <row r="89" spans="1:42" ht="12.5" x14ac:dyDescent="0.25">
      <c r="A89" s="4" t="str">
        <f ca="1">IFERROR(__xludf.DUMMYFUNCTION("""COMPUTED_VALUE"""),"Yes")</f>
        <v>Yes</v>
      </c>
      <c r="B89" s="4" t="str">
        <f ca="1">IFERROR(__xludf.DUMMYFUNCTION("""COMPUTED_VALUE"""),"No")</f>
        <v>No</v>
      </c>
      <c r="C89" s="96"/>
      <c r="D89" s="96"/>
      <c r="E89" s="96"/>
      <c r="F89" s="96"/>
      <c r="G89" s="5" t="str">
        <f ca="1">IFERROR(__xludf.DUMMYFUNCTION("""COMPUTED_VALUE"""),"Lot size unit")</f>
        <v>Lot size unit</v>
      </c>
      <c r="H89" s="5" t="str">
        <f ca="1">IFERROR(__xludf.DUMMYFUNCTION("""COMPUTED_VALUE"""),"0:1")</f>
        <v>0:1</v>
      </c>
      <c r="I89" s="5"/>
      <c r="J89" s="13"/>
      <c r="K89" s="4"/>
      <c r="L89" s="7" t="str">
        <f ca="1">G91</f>
        <v>Laboratory accreditation</v>
      </c>
      <c r="M89" s="7" t="str">
        <f ca="1">G92</f>
        <v>Laboratory Name</v>
      </c>
      <c r="N89" s="7" t="str">
        <f ca="1">G93</f>
        <v>Laboratory country</v>
      </c>
      <c r="O89" s="4"/>
      <c r="P89" s="4"/>
      <c r="Q89" s="4"/>
      <c r="R89" s="4"/>
      <c r="S89" s="4"/>
      <c r="T89" s="4"/>
      <c r="U89" s="4"/>
      <c r="V89" s="4"/>
      <c r="W89" s="4"/>
      <c r="X89" s="4"/>
      <c r="Y89" s="4"/>
      <c r="Z89" s="4"/>
      <c r="AA89" s="4"/>
      <c r="AB89" s="4"/>
    </row>
    <row r="90" spans="1:42" ht="12.5" x14ac:dyDescent="0.25">
      <c r="A90" s="4" t="str">
        <f ca="1">IFERROR(__xludf.DUMMYFUNCTION("""COMPUTED_VALUE"""),"Yes")</f>
        <v>Yes</v>
      </c>
      <c r="B90" s="4" t="str">
        <f ca="1">IFERROR(__xludf.DUMMYFUNCTION("""COMPUTED_VALUE"""),"No")</f>
        <v>No</v>
      </c>
      <c r="C90" s="96"/>
      <c r="D90" s="96"/>
      <c r="E90" s="96"/>
      <c r="F90" s="96"/>
      <c r="G90" s="5" t="str">
        <f ca="1">IFERROR(__xludf.DUMMYFUNCTION("""COMPUTED_VALUE"""),"Sampling point")</f>
        <v>Sampling point</v>
      </c>
      <c r="H90" s="5" t="str">
        <f ca="1">IFERROR(__xludf.DUMMYFUNCTION("""COMPUTED_VALUE"""),"0:1")</f>
        <v>0:1</v>
      </c>
      <c r="I90" s="5"/>
      <c r="J90" s="13"/>
      <c r="K90" s="4"/>
      <c r="L90" s="4" t="str">
        <f ca="1">H91</f>
        <v>1:N</v>
      </c>
      <c r="M90" s="4" t="str">
        <f ca="1">H92</f>
        <v>0:1</v>
      </c>
      <c r="N90" s="4" t="str">
        <f ca="1">H93</f>
        <v>0:1</v>
      </c>
      <c r="O90" s="4"/>
      <c r="P90" s="4"/>
      <c r="Q90" s="4"/>
      <c r="R90" s="4"/>
      <c r="S90" s="4"/>
      <c r="T90" s="4"/>
      <c r="U90" s="4"/>
      <c r="V90" s="4"/>
      <c r="W90" s="4"/>
      <c r="X90" s="4"/>
      <c r="Y90" s="4"/>
      <c r="Z90" s="4"/>
      <c r="AA90" s="4"/>
      <c r="AB90" s="4"/>
    </row>
    <row r="91" spans="1:42" ht="12.5" x14ac:dyDescent="0.25">
      <c r="A91" s="4" t="str">
        <f ca="1">IFERROR(__xludf.DUMMYFUNCTION("""COMPUTED_VALUE"""),"Yes")</f>
        <v>Yes</v>
      </c>
      <c r="B91" s="4" t="str">
        <f ca="1">IFERROR(__xludf.DUMMYFUNCTION("""COMPUTED_VALUE"""),"No")</f>
        <v>No</v>
      </c>
      <c r="C91" s="96"/>
      <c r="D91" s="96"/>
      <c r="E91" s="97" t="str">
        <f ca="1">IFERROR(__xludf.DUMMYFUNCTION("""COMPUTED_VALUE"""),"Laboratory")</f>
        <v>Laboratory</v>
      </c>
      <c r="F91" s="97" t="str">
        <f ca="1">IFERROR(__xludf.DUMMYFUNCTION("""COMPUTED_VALUE"""),"0:N")</f>
        <v>0:N</v>
      </c>
      <c r="G91" s="5" t="str">
        <f ca="1">IFERROR(__xludf.DUMMYFUNCTION("""COMPUTED_VALUE"""),"Laboratory accreditation")</f>
        <v>Laboratory accreditation</v>
      </c>
      <c r="H91" s="5" t="str">
        <f ca="1">IFERROR(__xludf.DUMMYFUNCTION("""COMPUTED_VALUE"""),"1:N")</f>
        <v>1:N</v>
      </c>
      <c r="I91" s="5"/>
      <c r="J91" s="13"/>
      <c r="K91" s="4"/>
      <c r="L91" s="62"/>
      <c r="M91" s="63"/>
      <c r="N91" s="63"/>
      <c r="O91" s="4"/>
      <c r="P91" s="4"/>
      <c r="Q91" s="4"/>
      <c r="R91" s="4"/>
      <c r="S91" s="4"/>
      <c r="T91" s="4"/>
      <c r="U91" s="4"/>
      <c r="V91" s="4"/>
      <c r="W91" s="4"/>
      <c r="X91" s="4"/>
      <c r="Y91" s="4"/>
      <c r="Z91" s="4"/>
      <c r="AA91" s="4"/>
      <c r="AB91" s="4"/>
    </row>
    <row r="92" spans="1:42" ht="12.5" x14ac:dyDescent="0.25">
      <c r="A92" s="4" t="str">
        <f ca="1">IFERROR(__xludf.DUMMYFUNCTION("""COMPUTED_VALUE"""),"Yes")</f>
        <v>Yes</v>
      </c>
      <c r="B92" s="4" t="str">
        <f ca="1">IFERROR(__xludf.DUMMYFUNCTION("""COMPUTED_VALUE"""),"No")</f>
        <v>No</v>
      </c>
      <c r="C92" s="96"/>
      <c r="D92" s="96"/>
      <c r="E92" s="96"/>
      <c r="F92" s="96"/>
      <c r="G92" s="5" t="str">
        <f ca="1">IFERROR(__xludf.DUMMYFUNCTION("""COMPUTED_VALUE"""),"Laboratory Name")</f>
        <v>Laboratory Name</v>
      </c>
      <c r="H92" s="5" t="str">
        <f ca="1">IFERROR(__xludf.DUMMYFUNCTION("""COMPUTED_VALUE"""),"0:1")</f>
        <v>0:1</v>
      </c>
      <c r="I92" s="5"/>
      <c r="J92" s="13"/>
      <c r="K92" s="4"/>
      <c r="L92" s="62"/>
      <c r="M92" s="63"/>
      <c r="N92" s="63"/>
      <c r="O92" s="4"/>
      <c r="P92" s="4"/>
      <c r="Q92" s="4"/>
      <c r="R92" s="4"/>
      <c r="S92" s="4"/>
      <c r="T92" s="4"/>
      <c r="U92" s="4"/>
      <c r="V92" s="4"/>
      <c r="W92" s="4"/>
      <c r="X92" s="4"/>
      <c r="Y92" s="4"/>
      <c r="Z92" s="4"/>
      <c r="AA92" s="4"/>
      <c r="AB92" s="4"/>
    </row>
    <row r="93" spans="1:42" ht="12.5" x14ac:dyDescent="0.25">
      <c r="A93" s="4" t="str">
        <f ca="1">IFERROR(__xludf.DUMMYFUNCTION("""COMPUTED_VALUE"""),"Yes")</f>
        <v>Yes</v>
      </c>
      <c r="B93" s="4" t="str">
        <f ca="1">IFERROR(__xludf.DUMMYFUNCTION("""COMPUTED_VALUE"""),"No")</f>
        <v>No</v>
      </c>
      <c r="C93" s="96"/>
      <c r="D93" s="96"/>
      <c r="E93" s="96"/>
      <c r="F93" s="96"/>
      <c r="G93" s="5" t="str">
        <f ca="1">IFERROR(__xludf.DUMMYFUNCTION("""COMPUTED_VALUE"""),"Laboratory country")</f>
        <v>Laboratory country</v>
      </c>
      <c r="H93" s="5" t="str">
        <f ca="1">IFERROR(__xludf.DUMMYFUNCTION("""COMPUTED_VALUE"""),"0:1")</f>
        <v>0:1</v>
      </c>
      <c r="I93" s="5"/>
      <c r="J93" s="13"/>
      <c r="K93" s="4"/>
      <c r="L93" s="62"/>
      <c r="M93" s="63"/>
      <c r="N93" s="64"/>
      <c r="O93" s="4"/>
      <c r="P93" s="4"/>
      <c r="Q93" s="4"/>
      <c r="R93" s="4"/>
      <c r="S93" s="4"/>
      <c r="T93" s="4"/>
      <c r="U93" s="4"/>
      <c r="V93" s="4"/>
      <c r="W93" s="4"/>
      <c r="X93" s="4"/>
      <c r="Y93" s="4"/>
      <c r="Z93" s="4"/>
      <c r="AA93" s="4"/>
      <c r="AB93" s="4"/>
    </row>
    <row r="94" spans="1:42" ht="12.5" x14ac:dyDescent="0.25">
      <c r="A94" s="4" t="str">
        <f ca="1">IFERROR(__xludf.DUMMYFUNCTION("""COMPUTED_VALUE"""),"Yes")</f>
        <v>Yes</v>
      </c>
      <c r="B94" s="4" t="str">
        <f ca="1">IFERROR(__xludf.DUMMYFUNCTION("""COMPUTED_VALUE"""),"No")</f>
        <v>No</v>
      </c>
      <c r="C94" s="96"/>
      <c r="D94" s="96"/>
      <c r="E94" s="97" t="str">
        <f ca="1">IFERROR(__xludf.DUMMYFUNCTION("""COMPUTED_VALUE"""),"Assay")</f>
        <v>Assay</v>
      </c>
      <c r="F94" s="97" t="str">
        <f ca="1">IFERROR(__xludf.DUMMYFUNCTION("""COMPUTED_VALUE"""),"0:N")</f>
        <v>0:N</v>
      </c>
      <c r="G94" s="5" t="str">
        <f ca="1">IFERROR(__xludf.DUMMYFUNCTION("""COMPUTED_VALUE"""),"Assay Name")</f>
        <v>Assay Name</v>
      </c>
      <c r="H94" s="5" t="str">
        <f ca="1">IFERROR(__xludf.DUMMYFUNCTION("""COMPUTED_VALUE"""),"1")</f>
        <v>1</v>
      </c>
      <c r="I94" s="5"/>
      <c r="J94" s="13"/>
      <c r="K94" s="4"/>
      <c r="L94" s="99" t="str">
        <f ca="1">E94</f>
        <v>Assay</v>
      </c>
      <c r="M94" s="96"/>
      <c r="N94" s="96"/>
      <c r="O94" s="96"/>
      <c r="P94" s="96"/>
      <c r="Q94" s="96"/>
      <c r="R94" s="96"/>
      <c r="S94" s="96"/>
      <c r="T94" s="96"/>
      <c r="U94" s="4"/>
      <c r="V94" s="4"/>
      <c r="W94" s="4"/>
      <c r="X94" s="4"/>
      <c r="Y94" s="4"/>
      <c r="Z94" s="4"/>
      <c r="AA94" s="4"/>
      <c r="AB94" s="4"/>
      <c r="AC94" s="4"/>
      <c r="AD94" s="4"/>
      <c r="AE94" s="4"/>
      <c r="AF94" s="4"/>
      <c r="AG94" s="4"/>
      <c r="AH94" s="4"/>
      <c r="AI94" s="4"/>
      <c r="AJ94" s="4"/>
      <c r="AK94" s="4"/>
      <c r="AL94" s="4"/>
      <c r="AM94" s="4"/>
      <c r="AN94" s="4"/>
      <c r="AO94" s="4"/>
      <c r="AP94" s="4"/>
    </row>
    <row r="95" spans="1:42" ht="12.5" x14ac:dyDescent="0.25">
      <c r="A95" s="4" t="str">
        <f ca="1">IFERROR(__xludf.DUMMYFUNCTION("""COMPUTED_VALUE"""),"Yes")</f>
        <v>Yes</v>
      </c>
      <c r="B95" s="4" t="str">
        <f ca="1">IFERROR(__xludf.DUMMYFUNCTION("""COMPUTED_VALUE"""),"No")</f>
        <v>No</v>
      </c>
      <c r="C95" s="96"/>
      <c r="D95" s="96"/>
      <c r="E95" s="96"/>
      <c r="F95" s="96"/>
      <c r="G95" s="5" t="str">
        <f ca="1">IFERROR(__xludf.DUMMYFUNCTION("""COMPUTED_VALUE"""),"Assay description")</f>
        <v>Assay description</v>
      </c>
      <c r="H95" s="5" t="str">
        <f ca="1">IFERROR(__xludf.DUMMYFUNCTION("""COMPUTED_VALUE"""),"0:1")</f>
        <v>0:1</v>
      </c>
      <c r="I95" s="5"/>
      <c r="J95" s="13"/>
      <c r="K95" s="4"/>
      <c r="L95" s="4" t="str">
        <f ca="1">G94</f>
        <v>Assay Name</v>
      </c>
      <c r="M95" s="4" t="str">
        <f ca="1">G95</f>
        <v>Assay description</v>
      </c>
      <c r="N95" s="4" t="str">
        <f ca="1">G96</f>
        <v>Percentage of moisture</v>
      </c>
      <c r="O95" s="4" t="str">
        <f ca="1">G97</f>
        <v>Percentage of fat</v>
      </c>
      <c r="P95" s="4" t="str">
        <f ca="1">G98</f>
        <v>Limit of detection</v>
      </c>
      <c r="Q95" s="4" t="str">
        <f ca="1">G99</f>
        <v>Limit of quantification</v>
      </c>
      <c r="R95" s="4" t="str">
        <f ca="1">G100</f>
        <v>Left-censored data</v>
      </c>
      <c r="S95" s="4" t="str">
        <f ca="1">G101</f>
        <v>Range of contamination</v>
      </c>
      <c r="T95" s="4" t="str">
        <f ca="1">G102</f>
        <v>Uncertainty value</v>
      </c>
      <c r="U95" s="4"/>
      <c r="V95" s="4"/>
      <c r="W95" s="4"/>
      <c r="X95" s="4"/>
      <c r="Y95" s="4"/>
      <c r="Z95" s="4"/>
      <c r="AA95" s="4"/>
      <c r="AB95" s="4"/>
      <c r="AC95" s="4"/>
      <c r="AD95" s="4"/>
      <c r="AE95" s="4"/>
      <c r="AF95" s="4"/>
      <c r="AG95" s="4"/>
      <c r="AH95" s="4"/>
      <c r="AI95" s="4"/>
      <c r="AJ95" s="4"/>
      <c r="AK95" s="4"/>
      <c r="AL95" s="4"/>
      <c r="AM95" s="4"/>
      <c r="AN95" s="4"/>
      <c r="AO95" s="4"/>
      <c r="AP95" s="4"/>
    </row>
    <row r="96" spans="1:42" ht="12.5" x14ac:dyDescent="0.25">
      <c r="A96" s="4" t="str">
        <f ca="1">IFERROR(__xludf.DUMMYFUNCTION("""COMPUTED_VALUE"""),"Yes")</f>
        <v>Yes</v>
      </c>
      <c r="B96" s="4" t="str">
        <f ca="1">IFERROR(__xludf.DUMMYFUNCTION("""COMPUTED_VALUE"""),"No")</f>
        <v>No</v>
      </c>
      <c r="C96" s="96"/>
      <c r="D96" s="96"/>
      <c r="E96" s="96"/>
      <c r="F96" s="96"/>
      <c r="G96" s="5" t="str">
        <f ca="1">IFERROR(__xludf.DUMMYFUNCTION("""COMPUTED_VALUE"""),"Percentage of moisture")</f>
        <v>Percentage of moisture</v>
      </c>
      <c r="H96" s="5" t="str">
        <f ca="1">IFERROR(__xludf.DUMMYFUNCTION("""COMPUTED_VALUE"""),"0:1")</f>
        <v>0:1</v>
      </c>
      <c r="I96" s="5"/>
      <c r="J96" s="13"/>
      <c r="K96" s="4"/>
      <c r="L96" s="4" t="str">
        <f ca="1">H95</f>
        <v>0:1</v>
      </c>
      <c r="M96" s="4" t="str">
        <f ca="1">H96</f>
        <v>0:1</v>
      </c>
      <c r="N96" s="4" t="str">
        <f ca="1">H97</f>
        <v>0:1</v>
      </c>
      <c r="O96" s="4" t="str">
        <f ca="1">H98</f>
        <v>0:1</v>
      </c>
      <c r="P96" s="4" t="str">
        <f ca="1">H99</f>
        <v>0:1</v>
      </c>
      <c r="Q96" s="4" t="str">
        <f ca="1">H100</f>
        <v>0:1</v>
      </c>
      <c r="R96" s="4" t="str">
        <f ca="1">H101</f>
        <v>0:1</v>
      </c>
      <c r="S96" s="4" t="str">
        <f ca="1">H102</f>
        <v>0:1</v>
      </c>
      <c r="T96" s="4" t="str">
        <f ca="1">H103</f>
        <v>1</v>
      </c>
      <c r="U96" s="4"/>
      <c r="V96" s="4"/>
      <c r="W96" s="4"/>
      <c r="X96" s="4"/>
      <c r="Y96" s="4"/>
      <c r="Z96" s="4"/>
      <c r="AA96" s="4"/>
      <c r="AB96" s="4"/>
      <c r="AC96" s="4"/>
      <c r="AD96" s="4"/>
      <c r="AE96" s="4"/>
      <c r="AF96" s="4"/>
      <c r="AG96" s="4"/>
      <c r="AH96" s="4"/>
      <c r="AI96" s="4"/>
      <c r="AJ96" s="4"/>
      <c r="AK96" s="4"/>
      <c r="AL96" s="4"/>
      <c r="AM96" s="4"/>
      <c r="AN96" s="4"/>
      <c r="AO96" s="4"/>
      <c r="AP96" s="4"/>
    </row>
    <row r="97" spans="1:42" ht="12.5" x14ac:dyDescent="0.25">
      <c r="A97" s="4" t="str">
        <f ca="1">IFERROR(__xludf.DUMMYFUNCTION("""COMPUTED_VALUE"""),"Yes")</f>
        <v>Yes</v>
      </c>
      <c r="B97" s="4" t="str">
        <f ca="1">IFERROR(__xludf.DUMMYFUNCTION("""COMPUTED_VALUE"""),"No")</f>
        <v>No</v>
      </c>
      <c r="C97" s="96"/>
      <c r="D97" s="96"/>
      <c r="E97" s="96"/>
      <c r="F97" s="96"/>
      <c r="G97" s="5" t="str">
        <f ca="1">IFERROR(__xludf.DUMMYFUNCTION("""COMPUTED_VALUE"""),"Percentage of fat")</f>
        <v>Percentage of fat</v>
      </c>
      <c r="H97" s="5" t="str">
        <f ca="1">IFERROR(__xludf.DUMMYFUNCTION("""COMPUTED_VALUE"""),"0:1")</f>
        <v>0:1</v>
      </c>
      <c r="I97" s="5"/>
      <c r="J97" s="13"/>
      <c r="K97" s="4"/>
      <c r="L97" s="10"/>
      <c r="M97" s="10"/>
      <c r="N97" s="10"/>
      <c r="O97" s="10"/>
      <c r="P97" s="10"/>
      <c r="Q97" s="10"/>
      <c r="R97" s="10"/>
      <c r="S97" s="10"/>
      <c r="T97" s="10"/>
      <c r="U97" s="4"/>
      <c r="V97" s="4"/>
      <c r="W97" s="4"/>
      <c r="X97" s="4"/>
      <c r="Y97" s="4"/>
      <c r="Z97" s="4"/>
      <c r="AA97" s="4"/>
      <c r="AB97" s="4"/>
      <c r="AC97" s="4"/>
      <c r="AD97" s="4"/>
      <c r="AE97" s="4"/>
      <c r="AF97" s="4"/>
      <c r="AG97" s="4"/>
      <c r="AH97" s="4"/>
      <c r="AI97" s="4"/>
      <c r="AJ97" s="4"/>
      <c r="AK97" s="4"/>
      <c r="AL97" s="4"/>
      <c r="AM97" s="4"/>
      <c r="AN97" s="4"/>
      <c r="AO97" s="4"/>
      <c r="AP97" s="4"/>
    </row>
    <row r="98" spans="1:42" ht="12.5" x14ac:dyDescent="0.25">
      <c r="A98" s="4" t="str">
        <f ca="1">IFERROR(__xludf.DUMMYFUNCTION("""COMPUTED_VALUE"""),"Yes")</f>
        <v>Yes</v>
      </c>
      <c r="B98" s="4" t="str">
        <f ca="1">IFERROR(__xludf.DUMMYFUNCTION("""COMPUTED_VALUE"""),"No")</f>
        <v>No</v>
      </c>
      <c r="C98" s="96"/>
      <c r="D98" s="96"/>
      <c r="E98" s="96"/>
      <c r="F98" s="96"/>
      <c r="G98" s="5" t="str">
        <f ca="1">IFERROR(__xludf.DUMMYFUNCTION("""COMPUTED_VALUE"""),"Limit of detection")</f>
        <v>Limit of detection</v>
      </c>
      <c r="H98" s="5" t="str">
        <f ca="1">IFERROR(__xludf.DUMMYFUNCTION("""COMPUTED_VALUE"""),"0:1")</f>
        <v>0:1</v>
      </c>
      <c r="I98" s="5"/>
      <c r="J98" s="13"/>
      <c r="K98" s="4"/>
      <c r="L98" s="10"/>
      <c r="M98" s="10"/>
      <c r="N98" s="10"/>
      <c r="O98" s="10"/>
      <c r="P98" s="10"/>
      <c r="Q98" s="10"/>
      <c r="R98" s="10"/>
      <c r="S98" s="10"/>
      <c r="T98" s="10"/>
      <c r="U98" s="4"/>
      <c r="V98" s="4"/>
      <c r="W98" s="4"/>
      <c r="X98" s="4"/>
      <c r="Y98" s="4"/>
      <c r="Z98" s="4"/>
      <c r="AA98" s="4"/>
      <c r="AB98" s="4"/>
      <c r="AC98" s="4"/>
      <c r="AD98" s="4"/>
      <c r="AE98" s="4"/>
      <c r="AF98" s="4"/>
      <c r="AG98" s="4"/>
      <c r="AH98" s="4"/>
      <c r="AI98" s="4"/>
      <c r="AJ98" s="4"/>
      <c r="AK98" s="4"/>
      <c r="AL98" s="4"/>
      <c r="AM98" s="4"/>
      <c r="AN98" s="4"/>
      <c r="AO98" s="4"/>
      <c r="AP98" s="4"/>
    </row>
    <row r="99" spans="1:42" ht="12.5" x14ac:dyDescent="0.25">
      <c r="A99" s="4" t="str">
        <f ca="1">IFERROR(__xludf.DUMMYFUNCTION("""COMPUTED_VALUE"""),"Yes")</f>
        <v>Yes</v>
      </c>
      <c r="B99" s="4" t="str">
        <f ca="1">IFERROR(__xludf.DUMMYFUNCTION("""COMPUTED_VALUE"""),"No")</f>
        <v>No</v>
      </c>
      <c r="C99" s="96"/>
      <c r="D99" s="96"/>
      <c r="E99" s="96"/>
      <c r="F99" s="96"/>
      <c r="G99" s="5" t="str">
        <f ca="1">IFERROR(__xludf.DUMMYFUNCTION("""COMPUTED_VALUE"""),"Limit of quantification")</f>
        <v>Limit of quantification</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x14ac:dyDescent="0.25">
      <c r="A100" s="4" t="str">
        <f ca="1">IFERROR(__xludf.DUMMYFUNCTION("""COMPUTED_VALUE"""),"Yes")</f>
        <v>Yes</v>
      </c>
      <c r="B100" s="4" t="str">
        <f ca="1">IFERROR(__xludf.DUMMYFUNCTION("""COMPUTED_VALUE"""),"No")</f>
        <v>No</v>
      </c>
      <c r="C100" s="96"/>
      <c r="D100" s="96"/>
      <c r="E100" s="96"/>
      <c r="F100" s="96"/>
      <c r="G100" s="5" t="str">
        <f ca="1">IFERROR(__xludf.DUMMYFUNCTION("""COMPUTED_VALUE"""),"Left-censored data")</f>
        <v>Left-censored data</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x14ac:dyDescent="0.25">
      <c r="A101" s="4" t="str">
        <f ca="1">IFERROR(__xludf.DUMMYFUNCTION("""COMPUTED_VALUE"""),"Yes")</f>
        <v>Yes</v>
      </c>
      <c r="B101" s="4" t="str">
        <f ca="1">IFERROR(__xludf.DUMMYFUNCTION("""COMPUTED_VALUE"""),"No")</f>
        <v>No</v>
      </c>
      <c r="C101" s="96"/>
      <c r="D101" s="96"/>
      <c r="E101" s="96"/>
      <c r="F101" s="96"/>
      <c r="G101" s="5" t="str">
        <f ca="1">IFERROR(__xludf.DUMMYFUNCTION("""COMPUTED_VALUE"""),"Range of contamination")</f>
        <v>Range of contamination</v>
      </c>
      <c r="H101" s="5" t="str">
        <f ca="1">IFERROR(__xludf.DUMMYFUNCTION("""COMPUTED_VALUE"""),"0:1")</f>
        <v>0:1</v>
      </c>
      <c r="I101" s="5"/>
      <c r="J101" s="13"/>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x14ac:dyDescent="0.25">
      <c r="A102" s="4" t="str">
        <f ca="1">IFERROR(__xludf.DUMMYFUNCTION("""COMPUTED_VALUE"""),"Yes")</f>
        <v>Yes</v>
      </c>
      <c r="B102" s="4" t="str">
        <f ca="1">IFERROR(__xludf.DUMMYFUNCTION("""COMPUTED_VALUE"""),"No")</f>
        <v>No</v>
      </c>
      <c r="C102" s="96"/>
      <c r="D102" s="96"/>
      <c r="E102" s="96"/>
      <c r="F102" s="96"/>
      <c r="G102" s="5" t="str">
        <f ca="1">IFERROR(__xludf.DUMMYFUNCTION("""COMPUTED_VALUE"""),"Uncertainty value")</f>
        <v>Uncertainty value</v>
      </c>
      <c r="H102" s="5" t="str">
        <f ca="1">IFERROR(__xludf.DUMMYFUNCTION("""COMPUTED_VALUE"""),"0:1")</f>
        <v>0:1</v>
      </c>
      <c r="I102" s="5"/>
      <c r="J102" s="13"/>
      <c r="K102" s="4"/>
      <c r="L102" s="23"/>
      <c r="M102" s="98" t="str">
        <f ca="1">E121</f>
        <v>Quality measures</v>
      </c>
      <c r="N102" s="96"/>
      <c r="O102" s="23"/>
      <c r="P102" s="98" t="str">
        <f ca="1">E123</f>
        <v>Model equation</v>
      </c>
      <c r="Q102" s="96"/>
      <c r="R102" s="96"/>
      <c r="S102" s="96"/>
      <c r="T102" s="96"/>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x14ac:dyDescent="0.25">
      <c r="A103" s="4" t="str">
        <f ca="1">IFERROR(__xludf.DUMMYFUNCTION("""COMPUTED_VALUE"""),"Yes")</f>
        <v>Yes</v>
      </c>
      <c r="B103" s="4" t="str">
        <f ca="1">IFERROR(__xludf.DUMMYFUNCTION("""COMPUTED_VALUE"""),"Yes")</f>
        <v>Yes</v>
      </c>
      <c r="C103" s="95" t="str">
        <f ca="1">IFERROR(__xludf.DUMMYFUNCTION("""COMPUTED_VALUE"""),"Model math / Data definition")</f>
        <v>Model math / Data definition</v>
      </c>
      <c r="D103" s="95" t="str">
        <f ca="1">IFERROR(__xludf.DUMMYFUNCTION("""COMPUTED_VALUE"""),"1")</f>
        <v>1</v>
      </c>
      <c r="E103" s="97" t="str">
        <f ca="1">IFERROR(__xludf.DUMMYFUNCTION("""COMPUTED_VALUE"""),"Parameter / Factor / Input / Output / ""Data column""")</f>
        <v>Parameter / Factor / Input / Output / "Data column"</v>
      </c>
      <c r="F103" s="97" t="str">
        <f ca="1">IFERROR(__xludf.DUMMYFUNCTION("""COMPUTED_VALUE"""),"1:N")</f>
        <v>1:N</v>
      </c>
      <c r="G103" s="5" t="str">
        <f ca="1">IFERROR(__xludf.DUMMYFUNCTION("""COMPUTED_VALUE"""),"Parameter ID")</f>
        <v>Parameter ID</v>
      </c>
      <c r="H103" s="5" t="str">
        <f ca="1">IFERROR(__xludf.DUMMYFUNCTION("""COMPUTED_VALUE"""),"1")</f>
        <v>1</v>
      </c>
      <c r="I103" s="5"/>
      <c r="J103" s="41"/>
      <c r="K103" s="4"/>
      <c r="L103" s="24"/>
      <c r="M103" s="25" t="str">
        <f ca="1">G121</f>
        <v>SSE / MSE / RMSE / Rsquared / AIC / BIC</v>
      </c>
      <c r="N103" s="23" t="str">
        <f ca="1">G122</f>
        <v>Sensitivity analysis</v>
      </c>
      <c r="O103" s="24"/>
      <c r="P103" s="23" t="str">
        <f ca="1">G123</f>
        <v>Model equation name</v>
      </c>
      <c r="Q103" s="23" t="str">
        <f ca="1">G124</f>
        <v>Model equation class/distribution</v>
      </c>
      <c r="R103" s="23" t="str">
        <f ca="1">G128</f>
        <v>Model equation reference</v>
      </c>
      <c r="S103" s="23" t="str">
        <f ca="1">G129</f>
        <v>Model equation / Script</v>
      </c>
      <c r="T103" s="26" t="str">
        <f ca="1">G130</f>
        <v>Hypothesis of the model</v>
      </c>
      <c r="U103" s="23"/>
      <c r="V103" s="23"/>
      <c r="W103" s="23"/>
      <c r="X103" s="23"/>
      <c r="Y103" s="23"/>
      <c r="Z103" s="23"/>
      <c r="AA103" s="23"/>
      <c r="AB103" s="4"/>
      <c r="AC103" s="4"/>
      <c r="AD103" s="4"/>
      <c r="AE103" s="4"/>
      <c r="AF103" s="4"/>
      <c r="AG103" s="4"/>
      <c r="AH103" s="4"/>
      <c r="AI103" s="4"/>
      <c r="AJ103" s="4"/>
      <c r="AK103" s="4"/>
      <c r="AL103" s="4"/>
      <c r="AM103" s="4"/>
      <c r="AN103" s="4"/>
      <c r="AO103" s="4"/>
      <c r="AP103" s="4"/>
    </row>
    <row r="104" spans="1:42" ht="12.5" x14ac:dyDescent="0.25">
      <c r="A104" s="4" t="str">
        <f ca="1">IFERROR(__xludf.DUMMYFUNCTION("""COMPUTED_VALUE"""),"Yes")</f>
        <v>Yes</v>
      </c>
      <c r="B104" s="4" t="str">
        <f ca="1">IFERROR(__xludf.DUMMYFUNCTION("""COMPUTED_VALUE"""),"Yes")</f>
        <v>Yes</v>
      </c>
      <c r="C104" s="96"/>
      <c r="D104" s="96"/>
      <c r="E104" s="96"/>
      <c r="F104" s="96"/>
      <c r="G104" s="5" t="str">
        <f ca="1">IFERROR(__xludf.DUMMYFUNCTION("""COMPUTED_VALUE"""),"Parameter classification")</f>
        <v>Parameter classification</v>
      </c>
      <c r="H104" s="5" t="str">
        <f ca="1">IFERROR(__xludf.DUMMYFUNCTION("""COMPUTED_VALUE"""),"1")</f>
        <v>1</v>
      </c>
      <c r="I104" s="5"/>
      <c r="J104" s="41"/>
      <c r="K104" s="4"/>
      <c r="L104" s="23"/>
      <c r="M104" t="str">
        <f ca="1">H121</f>
        <v>0:N</v>
      </c>
      <c r="N104" t="str">
        <f ca="1">H122</f>
        <v>0:N</v>
      </c>
      <c r="O104" s="23"/>
      <c r="P104" t="str">
        <f ca="1">H122</f>
        <v>0:N</v>
      </c>
      <c r="Q104" t="str">
        <f ca="1">H123</f>
        <v>1</v>
      </c>
      <c r="R104" t="str">
        <f ca="1">H128</f>
        <v>0:N</v>
      </c>
      <c r="S104" t="str">
        <f ca="1">H129</f>
        <v>1</v>
      </c>
      <c r="T104" t="str">
        <f ca="1">H130</f>
        <v>0:N</v>
      </c>
      <c r="U104" s="23"/>
      <c r="V104" s="23"/>
      <c r="W104" s="23"/>
      <c r="X104" s="23"/>
      <c r="Y104" s="23"/>
      <c r="Z104" s="23"/>
      <c r="AA104" s="23"/>
      <c r="AB104" s="4"/>
      <c r="AC104" s="4"/>
      <c r="AD104" s="4"/>
      <c r="AE104" s="4"/>
      <c r="AF104" s="4"/>
      <c r="AG104" s="4"/>
      <c r="AH104" s="4"/>
      <c r="AI104" s="4"/>
      <c r="AJ104" s="4"/>
      <c r="AK104" s="4"/>
      <c r="AL104" s="4"/>
      <c r="AM104" s="4"/>
      <c r="AN104" s="4"/>
      <c r="AO104" s="4"/>
      <c r="AP104" s="4"/>
    </row>
    <row r="105" spans="1:42" ht="12.5" x14ac:dyDescent="0.25">
      <c r="A105" s="4" t="str">
        <f ca="1">IFERROR(__xludf.DUMMYFUNCTION("""COMPUTED_VALUE"""),"Yes")</f>
        <v>Yes</v>
      </c>
      <c r="B105" s="4" t="str">
        <f ca="1">IFERROR(__xludf.DUMMYFUNCTION("""COMPUTED_VALUE"""),"Yes")</f>
        <v>Yes</v>
      </c>
      <c r="C105" s="96"/>
      <c r="D105" s="96"/>
      <c r="E105" s="96"/>
      <c r="F105" s="96"/>
      <c r="G105" s="5" t="str">
        <f ca="1">IFERROR(__xludf.DUMMYFUNCTION("""COMPUTED_VALUE"""),"Parameter name")</f>
        <v>Parameter name</v>
      </c>
      <c r="H105" s="5" t="str">
        <f ca="1">IFERROR(__xludf.DUMMYFUNCTION("""COMPUTED_VALUE"""),"1")</f>
        <v>1</v>
      </c>
      <c r="I105" s="5"/>
      <c r="J105" s="41"/>
      <c r="K105" s="4"/>
      <c r="L105" s="29" t="s">
        <v>17</v>
      </c>
      <c r="M105" s="30"/>
      <c r="N105" s="31"/>
      <c r="O105" s="29"/>
      <c r="P105" s="31"/>
      <c r="Q105" s="12"/>
      <c r="R105" s="31"/>
      <c r="S105" s="31"/>
      <c r="T105" s="31"/>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x14ac:dyDescent="0.25">
      <c r="A106" s="4" t="str">
        <f ca="1">IFERROR(__xludf.DUMMYFUNCTION("""COMPUTED_VALUE"""),"Yes")</f>
        <v>Yes</v>
      </c>
      <c r="B106" s="4" t="str">
        <f ca="1">IFERROR(__xludf.DUMMYFUNCTION("""COMPUTED_VALUE"""),"No")</f>
        <v>No</v>
      </c>
      <c r="C106" s="96"/>
      <c r="D106" s="96"/>
      <c r="E106" s="96"/>
      <c r="F106" s="96"/>
      <c r="G106" s="5" t="str">
        <f ca="1">IFERROR(__xludf.DUMMYFUNCTION("""COMPUTED_VALUE"""),"Parameter description")</f>
        <v>Parameter description</v>
      </c>
      <c r="H106" s="5" t="str">
        <f ca="1">IFERROR(__xludf.DUMMYFUNCTION("""COMPUTED_VALUE"""),"0:1")</f>
        <v>0:1</v>
      </c>
      <c r="I106" s="5"/>
      <c r="J106" s="41"/>
      <c r="K106" s="4"/>
      <c r="L106" s="29" t="s">
        <v>18</v>
      </c>
      <c r="M106" s="32"/>
      <c r="N106" s="31"/>
      <c r="O106" s="29"/>
      <c r="P106" s="31"/>
      <c r="Q106" s="12"/>
      <c r="R106" s="31"/>
      <c r="S106" s="31"/>
      <c r="T106" s="31"/>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x14ac:dyDescent="0.25">
      <c r="A107" s="4" t="str">
        <f ca="1">IFERROR(__xludf.DUMMYFUNCTION("""COMPUTED_VALUE"""),"Yes")</f>
        <v>Yes</v>
      </c>
      <c r="B107" s="4" t="str">
        <f ca="1">IFERROR(__xludf.DUMMYFUNCTION("""COMPUTED_VALUE"""),"Yes")</f>
        <v>Yes</v>
      </c>
      <c r="C107" s="96"/>
      <c r="D107" s="96"/>
      <c r="E107" s="96"/>
      <c r="F107" s="96"/>
      <c r="G107" s="5" t="str">
        <f ca="1">IFERROR(__xludf.DUMMYFUNCTION("""COMPUTED_VALUE"""),"Parameter unit")</f>
        <v>Parameter unit</v>
      </c>
      <c r="H107" s="5" t="str">
        <f ca="1">IFERROR(__xludf.DUMMYFUNCTION("""COMPUTED_VALUE"""),"1")</f>
        <v>1</v>
      </c>
      <c r="I107" s="5"/>
      <c r="J107" s="41"/>
      <c r="K107" s="4"/>
      <c r="L107" s="33" t="s">
        <v>19</v>
      </c>
      <c r="M107" s="31"/>
      <c r="N107" s="31"/>
      <c r="O107" s="29"/>
      <c r="P107" s="31"/>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x14ac:dyDescent="0.25">
      <c r="A108" s="4" t="str">
        <f ca="1">IFERROR(__xludf.DUMMYFUNCTION("""COMPUTED_VALUE"""),"Yes")</f>
        <v>Yes</v>
      </c>
      <c r="B108" s="4" t="str">
        <f ca="1">IFERROR(__xludf.DUMMYFUNCTION("""COMPUTED_VALUE"""),"No")</f>
        <v>No</v>
      </c>
      <c r="C108" s="96"/>
      <c r="D108" s="96"/>
      <c r="E108" s="96"/>
      <c r="F108" s="96"/>
      <c r="G108" s="5" t="str">
        <f ca="1">IFERROR(__xludf.DUMMYFUNCTION("""COMPUTED_VALUE"""),"Parameter unit category")</f>
        <v>Parameter unit category</v>
      </c>
      <c r="H108" s="5" t="str">
        <f ca="1">IFERROR(__xludf.DUMMYFUNCTION("""COMPUTED_VALUE"""),"0:1")</f>
        <v>0:1</v>
      </c>
      <c r="I108" s="5"/>
      <c r="J108" s="41"/>
      <c r="K108" s="4"/>
      <c r="L108" s="29" t="s">
        <v>20</v>
      </c>
      <c r="M108" s="31"/>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x14ac:dyDescent="0.25">
      <c r="A109" s="4" t="str">
        <f ca="1">IFERROR(__xludf.DUMMYFUNCTION("""COMPUTED_VALUE"""),"Yes")</f>
        <v>Yes</v>
      </c>
      <c r="B109" s="4" t="str">
        <f ca="1">IFERROR(__xludf.DUMMYFUNCTION("""COMPUTED_VALUE"""),"Yes")</f>
        <v>Yes</v>
      </c>
      <c r="C109" s="96"/>
      <c r="D109" s="96"/>
      <c r="E109" s="96"/>
      <c r="F109" s="96"/>
      <c r="G109" s="5" t="str">
        <f ca="1">IFERROR(__xludf.DUMMYFUNCTION("""COMPUTED_VALUE"""),"Parameter data type")</f>
        <v>Parameter data type</v>
      </c>
      <c r="H109" s="5" t="str">
        <f ca="1">IFERROR(__xludf.DUMMYFUNCTION("""COMPUTED_VALUE"""),"1")</f>
        <v>1</v>
      </c>
      <c r="I109" s="5"/>
      <c r="J109" s="41"/>
      <c r="K109" s="4"/>
      <c r="L109" s="29" t="s">
        <v>21</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x14ac:dyDescent="0.25">
      <c r="A110" s="4" t="str">
        <f ca="1">IFERROR(__xludf.DUMMYFUNCTION("""COMPUTED_VALUE"""),"Yes")</f>
        <v>Yes</v>
      </c>
      <c r="B110" s="4" t="str">
        <f ca="1">IFERROR(__xludf.DUMMYFUNCTION("""COMPUTED_VALUE"""),"No")</f>
        <v>No</v>
      </c>
      <c r="C110" s="96"/>
      <c r="D110" s="96"/>
      <c r="E110" s="96"/>
      <c r="F110" s="96"/>
      <c r="G110" s="5" t="str">
        <f ca="1">IFERROR(__xludf.DUMMYFUNCTION("""COMPUTED_VALUE"""),"Parameter source")</f>
        <v>Parameter source</v>
      </c>
      <c r="H110" s="5" t="str">
        <f ca="1">IFERROR(__xludf.DUMMYFUNCTION("""COMPUTED_VALUE"""),"0:1")</f>
        <v>0:1</v>
      </c>
      <c r="I110" s="5"/>
      <c r="J110" s="41"/>
      <c r="K110" s="4"/>
      <c r="L110" s="8" t="s">
        <v>22</v>
      </c>
      <c r="M110" s="34"/>
      <c r="N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x14ac:dyDescent="0.25">
      <c r="A111" s="4" t="str">
        <f ca="1">IFERROR(__xludf.DUMMYFUNCTION("""COMPUTED_VALUE"""),"Yes")</f>
        <v>Yes</v>
      </c>
      <c r="B111" s="4" t="str">
        <f ca="1">IFERROR(__xludf.DUMMYFUNCTION("""COMPUTED_VALUE"""),"Yes")</f>
        <v>Yes</v>
      </c>
      <c r="C111" s="96"/>
      <c r="D111" s="96"/>
      <c r="E111" s="96"/>
      <c r="F111" s="96"/>
      <c r="G111" s="5" t="str">
        <f ca="1">IFERROR(__xludf.DUMMYFUNCTION("""COMPUTED_VALUE"""),"Parameter subject")</f>
        <v>Parameter subject</v>
      </c>
      <c r="H111" s="5" t="str">
        <f ca="1">IFERROR(__xludf.DUMMYFUNCTION("""COMPUTED_VALUE"""),"0:1")</f>
        <v>0:1</v>
      </c>
      <c r="I111" s="5"/>
      <c r="J111" s="41"/>
      <c r="K111" s="4"/>
      <c r="L111" s="23"/>
      <c r="M111" s="23"/>
      <c r="N111" s="23"/>
      <c r="O111" s="23"/>
      <c r="P111" s="23"/>
      <c r="Q111" s="23"/>
      <c r="R111" s="23"/>
      <c r="S111" s="23"/>
      <c r="T111" s="23"/>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x14ac:dyDescent="0.25">
      <c r="A112" s="4" t="str">
        <f ca="1">IFERROR(__xludf.DUMMYFUNCTION("""COMPUTED_VALUE"""),"Yes")</f>
        <v>Yes</v>
      </c>
      <c r="B112" s="4" t="str">
        <f ca="1">IFERROR(__xludf.DUMMYFUNCTION("""COMPUTED_VALUE"""),"Yes")</f>
        <v>Yes</v>
      </c>
      <c r="C112" s="96"/>
      <c r="D112" s="96"/>
      <c r="E112" s="96"/>
      <c r="F112" s="96"/>
      <c r="G112" s="5" t="str">
        <f ca="1">IFERROR(__xludf.DUMMYFUNCTION("""COMPUTED_VALUE"""),"Parameter distribution")</f>
        <v>Parameter distribution</v>
      </c>
      <c r="H112" s="5" t="str">
        <f ca="1">IFERROR(__xludf.DUMMYFUNCTION("""COMPUTED_VALUE"""),"0:1")</f>
        <v>0:1</v>
      </c>
      <c r="I112" s="5"/>
      <c r="J112" s="41"/>
      <c r="K112" s="35" t="s">
        <v>23</v>
      </c>
      <c r="L112" s="98" t="str">
        <f ca="1">E103</f>
        <v>Parameter / Factor / Input / Output / "Data column"</v>
      </c>
      <c r="M112" s="96"/>
      <c r="N112" s="96"/>
      <c r="O112" s="96"/>
      <c r="P112" s="96"/>
      <c r="Q112" s="96"/>
      <c r="R112" s="96"/>
      <c r="S112" s="96"/>
      <c r="T112" s="96"/>
      <c r="U112" s="96"/>
      <c r="V112" s="96"/>
      <c r="W112" s="96"/>
      <c r="X112" s="96"/>
      <c r="Y112" s="96"/>
      <c r="Z112" s="96"/>
      <c r="AA112" s="96"/>
      <c r="AB112" s="4"/>
      <c r="AC112" s="4"/>
      <c r="AD112" s="4"/>
      <c r="AE112" s="4"/>
      <c r="AF112" s="4"/>
      <c r="AG112" s="4"/>
      <c r="AH112" s="4"/>
      <c r="AI112" s="4"/>
      <c r="AJ112" s="4"/>
      <c r="AK112" s="4"/>
      <c r="AL112" s="4"/>
      <c r="AM112" s="4"/>
      <c r="AN112" s="4"/>
      <c r="AO112" s="4"/>
      <c r="AP112" s="4"/>
    </row>
    <row r="113" spans="1:41" ht="12.5" x14ac:dyDescent="0.25">
      <c r="A113" s="4" t="str">
        <f ca="1">IFERROR(__xludf.DUMMYFUNCTION("""COMPUTED_VALUE"""),"Yes")</f>
        <v>Yes</v>
      </c>
      <c r="B113" s="4" t="str">
        <f ca="1">IFERROR(__xludf.DUMMYFUNCTION("""COMPUTED_VALUE"""),"Yes")</f>
        <v>Yes</v>
      </c>
      <c r="C113" s="96"/>
      <c r="D113" s="96"/>
      <c r="E113" s="96"/>
      <c r="F113" s="96"/>
      <c r="G113" s="5"/>
      <c r="H113" s="5"/>
      <c r="I113" s="5"/>
      <c r="J113" s="41"/>
      <c r="K113" s="4"/>
      <c r="L113" s="23" t="str">
        <f ca="1">G103</f>
        <v>Parameter ID</v>
      </c>
      <c r="M113" s="23" t="str">
        <f ca="1">G104</f>
        <v>Parameter classification</v>
      </c>
      <c r="N113" s="23" t="str">
        <f ca="1">G105</f>
        <v>Parameter name</v>
      </c>
      <c r="O113" s="23" t="str">
        <f ca="1">G106</f>
        <v>Parameter description</v>
      </c>
      <c r="P113" s="23" t="str">
        <f ca="1">G107</f>
        <v>Parameter unit</v>
      </c>
      <c r="Q113" s="23" t="str">
        <f ca="1">G108</f>
        <v>Parameter unit category</v>
      </c>
      <c r="R113" s="47" t="str">
        <f ca="1">G109</f>
        <v>Parameter data type</v>
      </c>
      <c r="S113" s="23" t="str">
        <f ca="1">G110</f>
        <v>Parameter source</v>
      </c>
      <c r="T113" s="23" t="str">
        <f ca="1">G111</f>
        <v>Parameter subject</v>
      </c>
      <c r="U113" s="23" t="str">
        <f ca="1">G112</f>
        <v>Parameter distribution</v>
      </c>
      <c r="V113" s="23" t="str">
        <f ca="1">G115</f>
        <v>Parameter value</v>
      </c>
      <c r="W113" s="23" t="str">
        <f ca="1">G116</f>
        <v>Parameter Reference</v>
      </c>
      <c r="X113" s="23" t="str">
        <f ca="1">G117</f>
        <v>Parameter variability subject</v>
      </c>
      <c r="Y113" s="23" t="str">
        <f ca="1">G118</f>
        <v>Parameter value max</v>
      </c>
      <c r="Z113" t="str">
        <f ca="1">G119</f>
        <v>Parameter value min</v>
      </c>
      <c r="AA113" s="23" t="str">
        <f ca="1">G120</f>
        <v>Parameter error</v>
      </c>
      <c r="AB113" s="4"/>
      <c r="AC113" s="4"/>
      <c r="AD113" s="4"/>
      <c r="AE113" s="4"/>
      <c r="AF113" s="4"/>
      <c r="AG113" s="4"/>
      <c r="AH113" s="4"/>
      <c r="AI113" s="4"/>
      <c r="AJ113" s="4"/>
      <c r="AK113" s="4"/>
      <c r="AL113" s="4"/>
      <c r="AM113" s="4"/>
      <c r="AN113" s="4"/>
      <c r="AO113" s="4"/>
    </row>
    <row r="114" spans="1:41" ht="12.5" x14ac:dyDescent="0.25">
      <c r="A114" s="4" t="str">
        <f ca="1">IFERROR(__xludf.DUMMYFUNCTION("""COMPUTED_VALUE"""),"Yes")</f>
        <v>Yes</v>
      </c>
      <c r="B114" s="4" t="str">
        <f ca="1">IFERROR(__xludf.DUMMYFUNCTION("""COMPUTED_VALUE"""),"Yes")</f>
        <v>Yes</v>
      </c>
      <c r="C114" s="96"/>
      <c r="D114" s="96"/>
      <c r="E114" s="96"/>
      <c r="F114" s="96"/>
      <c r="G114" s="5"/>
      <c r="H114" s="5"/>
      <c r="I114" s="5"/>
      <c r="J114" s="41"/>
      <c r="K114" s="4"/>
      <c r="L114" s="27" t="str">
        <f ca="1">H103</f>
        <v>1</v>
      </c>
      <c r="M114" s="27" t="str">
        <f ca="1">H104</f>
        <v>1</v>
      </c>
      <c r="N114" s="27" t="str">
        <f ca="1">H105</f>
        <v>1</v>
      </c>
      <c r="O114" s="27" t="str">
        <f ca="1">H106</f>
        <v>0:1</v>
      </c>
      <c r="P114" s="27" t="str">
        <f ca="1">H107</f>
        <v>1</v>
      </c>
      <c r="Q114" s="27" t="str">
        <f ca="1">H108</f>
        <v>0:1</v>
      </c>
      <c r="R114" s="27" t="str">
        <f ca="1">H109</f>
        <v>1</v>
      </c>
      <c r="S114" s="27" t="str">
        <f ca="1">H110</f>
        <v>0:1</v>
      </c>
      <c r="T114" s="27" t="str">
        <f ca="1">H111</f>
        <v>0:1</v>
      </c>
      <c r="U114" s="27" t="str">
        <f ca="1">H112</f>
        <v>0:1</v>
      </c>
      <c r="V114" s="27" t="str">
        <f ca="1">H115</f>
        <v>0:1</v>
      </c>
      <c r="W114" s="27" t="str">
        <f ca="1">H116</f>
        <v>0:1</v>
      </c>
      <c r="X114" s="27" t="str">
        <f ca="1">H117</f>
        <v>0:1</v>
      </c>
      <c r="Y114" s="27" t="str">
        <f ca="1">H118</f>
        <v>0:1</v>
      </c>
      <c r="Z114" t="str">
        <f ca="1">H119</f>
        <v>0:1</v>
      </c>
      <c r="AA114" s="27" t="str">
        <f ca="1">H120</f>
        <v>0:1</v>
      </c>
      <c r="AB114" s="4"/>
      <c r="AC114" s="4"/>
      <c r="AD114" s="4"/>
      <c r="AE114" s="4"/>
      <c r="AF114" s="4"/>
      <c r="AG114" s="4"/>
      <c r="AH114" s="4"/>
      <c r="AI114" s="4"/>
      <c r="AJ114" s="4"/>
      <c r="AK114" s="4"/>
      <c r="AL114" s="4"/>
      <c r="AM114" s="4"/>
      <c r="AN114" s="4"/>
      <c r="AO114" s="4"/>
    </row>
    <row r="115" spans="1:41" ht="12.5" x14ac:dyDescent="0.25">
      <c r="A115" s="4" t="str">
        <f ca="1">IFERROR(__xludf.DUMMYFUNCTION("""COMPUTED_VALUE"""),"Yes")</f>
        <v>Yes</v>
      </c>
      <c r="B115" s="4" t="str">
        <f ca="1">IFERROR(__xludf.DUMMYFUNCTION("""COMPUTED_VALUE"""),"No")</f>
        <v>No</v>
      </c>
      <c r="C115" s="96"/>
      <c r="D115" s="96"/>
      <c r="E115" s="96"/>
      <c r="F115" s="96"/>
      <c r="G115" s="5" t="str">
        <f ca="1">IFERROR(__xludf.DUMMYFUNCTION("""COMPUTED_VALUE"""),"Parameter value")</f>
        <v>Parameter value</v>
      </c>
      <c r="H115" s="5" t="str">
        <f ca="1">IFERROR(__xludf.DUMMYFUNCTION("""COMPUTED_VALUE"""),"0:1")</f>
        <v>0:1</v>
      </c>
      <c r="I115" s="5"/>
      <c r="J115" s="41"/>
      <c r="K115" s="4"/>
      <c r="L115" s="39"/>
      <c r="M115" s="40"/>
      <c r="N115" s="37"/>
      <c r="O115" s="37"/>
      <c r="P115" s="36" t="s">
        <v>41</v>
      </c>
      <c r="Q115" s="13" t="e">
        <f>'Parameter unit'!AB3</f>
        <v>#N/A</v>
      </c>
      <c r="R115" s="37"/>
      <c r="S115" s="37"/>
      <c r="T115" s="37"/>
      <c r="U115" s="37"/>
      <c r="V115" s="37"/>
      <c r="W115" s="37"/>
      <c r="X115" s="37"/>
      <c r="Y115" s="37"/>
      <c r="Z115" s="48"/>
      <c r="AA115" s="37"/>
      <c r="AB115" s="4"/>
      <c r="AC115" s="4"/>
      <c r="AD115" s="4"/>
      <c r="AE115" s="4"/>
      <c r="AF115" s="4"/>
      <c r="AG115" s="4"/>
      <c r="AH115" s="4"/>
      <c r="AI115" s="4"/>
      <c r="AJ115" s="4"/>
      <c r="AK115" s="4"/>
      <c r="AL115" s="4"/>
      <c r="AM115" s="4"/>
      <c r="AN115" s="4"/>
      <c r="AO115" s="4"/>
    </row>
    <row r="116" spans="1:41" ht="12.5" x14ac:dyDescent="0.25">
      <c r="A116" s="4" t="str">
        <f ca="1">IFERROR(__xludf.DUMMYFUNCTION("""COMPUTED_VALUE"""),"Yes")</f>
        <v>Yes</v>
      </c>
      <c r="B116" s="4" t="str">
        <f ca="1">IFERROR(__xludf.DUMMYFUNCTION("""COMPUTED_VALUE"""),"No")</f>
        <v>No</v>
      </c>
      <c r="C116" s="96"/>
      <c r="D116" s="96"/>
      <c r="E116" s="96"/>
      <c r="F116" s="96"/>
      <c r="G116" s="5" t="str">
        <f ca="1">IFERROR(__xludf.DUMMYFUNCTION("""COMPUTED_VALUE"""),"Parameter Reference")</f>
        <v>Parameter Reference</v>
      </c>
      <c r="H116" s="5" t="str">
        <f ca="1">IFERROR(__xludf.DUMMYFUNCTION("""COMPUTED_VALUE"""),"0:1")</f>
        <v>0:1</v>
      </c>
      <c r="I116" s="5"/>
      <c r="J116" s="41"/>
      <c r="K116" s="4"/>
      <c r="L116" s="39"/>
      <c r="M116" s="37"/>
      <c r="N116" s="37"/>
      <c r="O116" s="37"/>
      <c r="P116" s="36" t="s">
        <v>25</v>
      </c>
      <c r="Q116" s="13">
        <f>'Parameter unit'!AB4</f>
        <v>0</v>
      </c>
      <c r="R116" s="37"/>
      <c r="S116" s="37"/>
      <c r="T116" s="37"/>
      <c r="U116" s="37"/>
      <c r="V116" s="37"/>
      <c r="W116" s="37"/>
      <c r="X116" s="37"/>
      <c r="Y116" s="37"/>
      <c r="Z116" s="37"/>
      <c r="AA116" s="37"/>
      <c r="AB116" s="4"/>
      <c r="AC116" s="4"/>
      <c r="AD116" s="4"/>
      <c r="AE116" s="4"/>
      <c r="AF116" s="4"/>
      <c r="AG116" s="4"/>
      <c r="AH116" s="4"/>
      <c r="AI116" s="4"/>
      <c r="AJ116" s="4"/>
      <c r="AK116" s="4"/>
      <c r="AL116" s="4"/>
      <c r="AM116" s="4"/>
      <c r="AN116" s="4"/>
      <c r="AO116" s="4"/>
    </row>
    <row r="117" spans="1:41" ht="12.5" x14ac:dyDescent="0.25">
      <c r="A117" s="4" t="str">
        <f ca="1">IFERROR(__xludf.DUMMYFUNCTION("""COMPUTED_VALUE"""),"Yes")</f>
        <v>Yes</v>
      </c>
      <c r="B117" s="4" t="str">
        <f ca="1">IFERROR(__xludf.DUMMYFUNCTION("""COMPUTED_VALUE"""),"No")</f>
        <v>No</v>
      </c>
      <c r="C117" s="96"/>
      <c r="D117" s="96"/>
      <c r="E117" s="96"/>
      <c r="F117" s="96"/>
      <c r="G117" s="5" t="str">
        <f ca="1">IFERROR(__xludf.DUMMYFUNCTION("""COMPUTED_VALUE"""),"Parameter variability subject")</f>
        <v>Parameter variability subject</v>
      </c>
      <c r="H117" s="5" t="str">
        <f ca="1">IFERROR(__xludf.DUMMYFUNCTION("""COMPUTED_VALUE"""),"0:1")</f>
        <v>0:1</v>
      </c>
      <c r="I117" s="5"/>
      <c r="J117" s="41"/>
      <c r="K117" s="4"/>
      <c r="L117" s="39"/>
      <c r="M117" s="37"/>
      <c r="N117" s="37"/>
      <c r="O117" s="37"/>
      <c r="P117" s="36" t="s">
        <v>25</v>
      </c>
      <c r="Q117" s="13">
        <f>'Parameter unit'!AB5</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1" ht="12.5" x14ac:dyDescent="0.25">
      <c r="A118" s="4" t="str">
        <f ca="1">IFERROR(__xludf.DUMMYFUNCTION("""COMPUTED_VALUE"""),"Yes")</f>
        <v>Yes</v>
      </c>
      <c r="B118" s="4" t="str">
        <f ca="1">IFERROR(__xludf.DUMMYFUNCTION("""COMPUTED_VALUE"""),"No")</f>
        <v>No</v>
      </c>
      <c r="C118" s="96"/>
      <c r="D118" s="96"/>
      <c r="E118" s="96"/>
      <c r="F118" s="96"/>
      <c r="G118" s="5" t="str">
        <f ca="1">IFERROR(__xludf.DUMMYFUNCTION("""COMPUTED_VALUE"""),"Parameter value max")</f>
        <v>Parameter value max</v>
      </c>
      <c r="H118" s="5" t="str">
        <f ca="1">IFERROR(__xludf.DUMMYFUNCTION("""COMPUTED_VALUE"""),"0:1")</f>
        <v>0:1</v>
      </c>
      <c r="I118" s="5"/>
      <c r="J118" s="41"/>
      <c r="K118" s="8"/>
      <c r="L118" s="39"/>
      <c r="M118" s="37"/>
      <c r="N118" s="37"/>
      <c r="O118" s="37"/>
      <c r="P118" s="36" t="s">
        <v>25</v>
      </c>
      <c r="Q118" s="13">
        <f>'Parameter unit'!AB6</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1" ht="12.5" x14ac:dyDescent="0.25">
      <c r="A119" s="4" t="str">
        <f ca="1">IFERROR(__xludf.DUMMYFUNCTION("""COMPUTED_VALUE"""),"Yes")</f>
        <v>Yes</v>
      </c>
      <c r="B119" s="4" t="str">
        <f ca="1">IFERROR(__xludf.DUMMYFUNCTION("""COMPUTED_VALUE"""),"No")</f>
        <v>No</v>
      </c>
      <c r="C119" s="96"/>
      <c r="D119" s="96"/>
      <c r="E119" s="96"/>
      <c r="F119" s="96"/>
      <c r="G119" s="5" t="str">
        <f ca="1">IFERROR(__xludf.DUMMYFUNCTION("""COMPUTED_VALUE"""),"Parameter value min")</f>
        <v>Parameter value min</v>
      </c>
      <c r="H119" s="5" t="str">
        <f ca="1">IFERROR(__xludf.DUMMYFUNCTION("""COMPUTED_VALUE"""),"0:1")</f>
        <v>0:1</v>
      </c>
      <c r="I119" s="5"/>
      <c r="J119" s="41"/>
      <c r="K119" s="8"/>
      <c r="L119" s="39"/>
      <c r="M119" s="37"/>
      <c r="N119" s="37"/>
      <c r="O119" s="37"/>
      <c r="P119" s="36" t="s">
        <v>25</v>
      </c>
      <c r="Q119" s="13">
        <f>'Parameter unit'!AB7</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1" ht="12.5" x14ac:dyDescent="0.25">
      <c r="A120" s="4" t="str">
        <f ca="1">IFERROR(__xludf.DUMMYFUNCTION("""COMPUTED_VALUE"""),"Yes")</f>
        <v>Yes</v>
      </c>
      <c r="B120" s="4" t="str">
        <f ca="1">IFERROR(__xludf.DUMMYFUNCTION("""COMPUTED_VALUE"""),"No")</f>
        <v>No</v>
      </c>
      <c r="C120" s="96"/>
      <c r="D120" s="96"/>
      <c r="E120" s="96"/>
      <c r="F120" s="96"/>
      <c r="G120" s="5" t="str">
        <f ca="1">IFERROR(__xludf.DUMMYFUNCTION("""COMPUTED_VALUE"""),"Parameter error")</f>
        <v>Parameter error</v>
      </c>
      <c r="H120" s="5" t="str">
        <f ca="1">IFERROR(__xludf.DUMMYFUNCTION("""COMPUTED_VALUE"""),"0:1")</f>
        <v>0:1</v>
      </c>
      <c r="I120" s="5"/>
      <c r="J120" s="41"/>
      <c r="K120" s="8"/>
      <c r="L120" s="39"/>
      <c r="M120" s="37"/>
      <c r="N120" s="37"/>
      <c r="O120" s="37"/>
      <c r="P120" s="36" t="s">
        <v>25</v>
      </c>
      <c r="Q120" s="13">
        <f>'Parameter unit'!AB8</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1" ht="12.5" x14ac:dyDescent="0.25">
      <c r="A121" s="4" t="str">
        <f ca="1">IFERROR(__xludf.DUMMYFUNCTION("""COMPUTED_VALUE"""),"Yes")</f>
        <v>Yes</v>
      </c>
      <c r="B121" s="4" t="str">
        <f ca="1">IFERROR(__xludf.DUMMYFUNCTION("""COMPUTED_VALUE"""),"No")</f>
        <v>No</v>
      </c>
      <c r="C121" s="96"/>
      <c r="D121" s="96"/>
      <c r="E121" s="97" t="str">
        <f ca="1">IFERROR(__xludf.DUMMYFUNCTION("""COMPUTED_VALUE"""),"Quality measures")</f>
        <v>Quality measures</v>
      </c>
      <c r="F121" s="97"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5"/>
      <c r="J121" s="41"/>
      <c r="K121" s="8"/>
      <c r="L121" s="39"/>
      <c r="M121" s="37"/>
      <c r="N121" s="37"/>
      <c r="O121" s="37"/>
      <c r="P121" s="36" t="s">
        <v>25</v>
      </c>
      <c r="Q121" s="13">
        <f>'Parameter unit'!AB9</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1" ht="12.5" x14ac:dyDescent="0.25">
      <c r="A122" s="4" t="str">
        <f ca="1">IFERROR(__xludf.DUMMYFUNCTION("""COMPUTED_VALUE"""),"Yes")</f>
        <v>Yes</v>
      </c>
      <c r="B122" s="4" t="str">
        <f ca="1">IFERROR(__xludf.DUMMYFUNCTION("""COMPUTED_VALUE"""),"No")</f>
        <v>No</v>
      </c>
      <c r="C122" s="96"/>
      <c r="D122" s="96"/>
      <c r="E122" s="96"/>
      <c r="F122" s="96"/>
      <c r="G122" s="5" t="str">
        <f ca="1">IFERROR(__xludf.DUMMYFUNCTION("""COMPUTED_VALUE"""),"Sensitivity analysis")</f>
        <v>Sensitivity analysis</v>
      </c>
      <c r="H122" s="5" t="str">
        <f ca="1">IFERROR(__xludf.DUMMYFUNCTION("""COMPUTED_VALUE"""),"0:N")</f>
        <v>0:N</v>
      </c>
      <c r="I122" s="5"/>
      <c r="J122" s="41"/>
      <c r="K122" s="8"/>
      <c r="L122" s="39"/>
      <c r="M122" s="37"/>
      <c r="N122" s="37"/>
      <c r="O122" s="37"/>
      <c r="P122" s="36" t="s">
        <v>25</v>
      </c>
      <c r="Q122" s="13">
        <f>'Parameter unit'!AB10</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1" ht="12.5" x14ac:dyDescent="0.25">
      <c r="A123" s="4" t="str">
        <f ca="1">IFERROR(__xludf.DUMMYFUNCTION("""COMPUTED_VALUE"""),"Yes")</f>
        <v>Yes</v>
      </c>
      <c r="B123" s="4" t="str">
        <f ca="1">IFERROR(__xludf.DUMMYFUNCTION("""COMPUTED_VALUE"""),"No")</f>
        <v>No</v>
      </c>
      <c r="C123" s="96"/>
      <c r="D123" s="96"/>
      <c r="E123" s="97" t="str">
        <f ca="1">IFERROR(__xludf.DUMMYFUNCTION("""COMPUTED_VALUE"""),"Model equation")</f>
        <v>Model equation</v>
      </c>
      <c r="F123" s="97" t="str">
        <f ca="1">IFERROR(__xludf.DUMMYFUNCTION("""COMPUTED_VALUE"""),"0:N")</f>
        <v>0:N</v>
      </c>
      <c r="G123" s="5" t="str">
        <f ca="1">IFERROR(__xludf.DUMMYFUNCTION("""COMPUTED_VALUE"""),"Model equation name")</f>
        <v>Model equation name</v>
      </c>
      <c r="H123" s="5" t="str">
        <f ca="1">IFERROR(__xludf.DUMMYFUNCTION("""COMPUTED_VALUE"""),"1")</f>
        <v>1</v>
      </c>
      <c r="I123" s="5"/>
      <c r="J123" s="41"/>
      <c r="K123" s="8"/>
      <c r="L123" s="39"/>
      <c r="M123" s="37"/>
      <c r="N123" s="37"/>
      <c r="O123" s="37"/>
      <c r="P123" s="36" t="s">
        <v>25</v>
      </c>
      <c r="Q123" s="13">
        <f>'Parameter unit'!AB11</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1" ht="12.5" x14ac:dyDescent="0.25">
      <c r="A124" s="4" t="str">
        <f ca="1">IFERROR(__xludf.DUMMYFUNCTION("""COMPUTED_VALUE"""),"Yes")</f>
        <v>Yes</v>
      </c>
      <c r="B124" s="4" t="str">
        <f ca="1">IFERROR(__xludf.DUMMYFUNCTION("""COMPUTED_VALUE"""),"No")</f>
        <v>No</v>
      </c>
      <c r="C124" s="96"/>
      <c r="D124" s="96"/>
      <c r="E124" s="96"/>
      <c r="F124" s="96"/>
      <c r="G124" s="5" t="str">
        <f ca="1">IFERROR(__xludf.DUMMYFUNCTION("""COMPUTED_VALUE"""),"Model equation class/distribution")</f>
        <v>Model equation class/distribution</v>
      </c>
      <c r="H124" s="5" t="str">
        <f ca="1">IFERROR(__xludf.DUMMYFUNCTION("""COMPUTED_VALUE"""),"0:1")</f>
        <v>0:1</v>
      </c>
      <c r="I124" s="5"/>
      <c r="J124" s="41"/>
      <c r="K124" s="8"/>
      <c r="L124" s="39"/>
      <c r="M124" s="37"/>
      <c r="N124" s="37"/>
      <c r="O124" s="37"/>
      <c r="P124" s="36" t="s">
        <v>25</v>
      </c>
      <c r="Q124" s="13">
        <f>'Parameter unit'!AB12</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1" ht="12.5" x14ac:dyDescent="0.25">
      <c r="A125" s="4" t="str">
        <f ca="1">IFERROR(__xludf.DUMMYFUNCTION("""COMPUTED_VALUE"""),"Yes")</f>
        <v>Yes</v>
      </c>
      <c r="B125" s="4" t="str">
        <f ca="1">IFERROR(__xludf.DUMMYFUNCTION("""COMPUTED_VALUE"""),"No")</f>
        <v>No</v>
      </c>
      <c r="C125" s="96"/>
      <c r="D125" s="96"/>
      <c r="E125" s="96"/>
      <c r="F125" s="96"/>
      <c r="G125" s="5"/>
      <c r="H125" s="5"/>
      <c r="I125" s="5"/>
      <c r="J125" s="41"/>
      <c r="K125" s="4"/>
      <c r="L125" s="39"/>
      <c r="M125" s="37"/>
      <c r="N125" s="37"/>
      <c r="O125" s="37"/>
      <c r="P125" s="36" t="s">
        <v>25</v>
      </c>
      <c r="Q125" s="13">
        <f>'Parameter unit'!AB13</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1" ht="12.5" x14ac:dyDescent="0.25">
      <c r="A126" s="4" t="str">
        <f ca="1">IFERROR(__xludf.DUMMYFUNCTION("""COMPUTED_VALUE"""),"Yes")</f>
        <v>Yes</v>
      </c>
      <c r="B126" s="4" t="str">
        <f ca="1">IFERROR(__xludf.DUMMYFUNCTION("""COMPUTED_VALUE"""),"No")</f>
        <v>No</v>
      </c>
      <c r="C126" s="96"/>
      <c r="D126" s="96"/>
      <c r="E126" s="96"/>
      <c r="F126" s="96"/>
      <c r="G126" s="5"/>
      <c r="H126" s="5"/>
      <c r="I126" s="5"/>
      <c r="J126" s="41"/>
      <c r="K126" s="4"/>
      <c r="L126" s="39"/>
      <c r="M126" s="37"/>
      <c r="N126" s="37"/>
      <c r="O126" s="37"/>
      <c r="P126" s="36" t="s">
        <v>25</v>
      </c>
      <c r="Q126" s="13">
        <f>'Parameter unit'!AB14</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1" ht="12.5" x14ac:dyDescent="0.25">
      <c r="A127" s="4" t="str">
        <f ca="1">IFERROR(__xludf.DUMMYFUNCTION("""COMPUTED_VALUE"""),"Yes")</f>
        <v>Yes</v>
      </c>
      <c r="B127" s="4" t="str">
        <f ca="1">IFERROR(__xludf.DUMMYFUNCTION("""COMPUTED_VALUE"""),"No")</f>
        <v>No</v>
      </c>
      <c r="C127" s="96"/>
      <c r="D127" s="96"/>
      <c r="E127" s="96"/>
      <c r="F127" s="96"/>
      <c r="G127" s="5"/>
      <c r="H127" s="5"/>
      <c r="I127" s="5"/>
      <c r="J127" s="41"/>
      <c r="K127" s="4"/>
      <c r="L127" s="39"/>
      <c r="M127" s="37"/>
      <c r="N127" s="37"/>
      <c r="O127" s="37"/>
      <c r="P127" s="36" t="s">
        <v>25</v>
      </c>
      <c r="Q127" s="13">
        <f>'Parameter unit'!AB15</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1" ht="12.5" x14ac:dyDescent="0.25">
      <c r="A128" s="4" t="str">
        <f ca="1">IFERROR(__xludf.DUMMYFUNCTION("""COMPUTED_VALUE"""),"Yes")</f>
        <v>Yes</v>
      </c>
      <c r="B128" s="4" t="str">
        <f ca="1">IFERROR(__xludf.DUMMYFUNCTION("""COMPUTED_VALUE"""),"No")</f>
        <v>No</v>
      </c>
      <c r="C128" s="96"/>
      <c r="D128" s="96"/>
      <c r="E128" s="96"/>
      <c r="F128" s="96"/>
      <c r="G128" s="5" t="str">
        <f ca="1">IFERROR(__xludf.DUMMYFUNCTION("""COMPUTED_VALUE"""),"Model equation reference")</f>
        <v>Model equation reference</v>
      </c>
      <c r="H128" s="5" t="str">
        <f ca="1">IFERROR(__xludf.DUMMYFUNCTION("""COMPUTED_VALUE"""),"0:N")</f>
        <v>0:N</v>
      </c>
      <c r="I128" s="5"/>
      <c r="J128" s="41"/>
      <c r="K128" s="4"/>
      <c r="L128" s="39"/>
      <c r="M128" s="37"/>
      <c r="N128" s="37"/>
      <c r="O128" s="37"/>
      <c r="P128" s="36" t="s">
        <v>25</v>
      </c>
      <c r="Q128" s="13">
        <f>'Parameter unit'!AB16</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x14ac:dyDescent="0.25">
      <c r="A129" s="4" t="str">
        <f ca="1">IFERROR(__xludf.DUMMYFUNCTION("""COMPUTED_VALUE"""),"Yes")</f>
        <v>Yes</v>
      </c>
      <c r="B129" s="4" t="str">
        <f ca="1">IFERROR(__xludf.DUMMYFUNCTION("""COMPUTED_VALUE"""),"No")</f>
        <v>No</v>
      </c>
      <c r="C129" s="96"/>
      <c r="D129" s="96"/>
      <c r="E129" s="96"/>
      <c r="F129" s="96"/>
      <c r="G129" s="5" t="str">
        <f ca="1">IFERROR(__xludf.DUMMYFUNCTION("""COMPUTED_VALUE"""),"Model equation / Script")</f>
        <v>Model equation / Script</v>
      </c>
      <c r="H129" s="5" t="str">
        <f ca="1">IFERROR(__xludf.DUMMYFUNCTION("""COMPUTED_VALUE"""),"1")</f>
        <v>1</v>
      </c>
      <c r="I129" s="5"/>
      <c r="J129" s="41"/>
      <c r="K129" s="4"/>
      <c r="L129" s="39"/>
      <c r="M129" s="37"/>
      <c r="N129" s="37"/>
      <c r="O129" s="37"/>
      <c r="P129" s="36" t="s">
        <v>25</v>
      </c>
      <c r="Q129" s="13">
        <f>'Parameter unit'!AB17</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x14ac:dyDescent="0.25">
      <c r="A130" s="4" t="str">
        <f ca="1">IFERROR(__xludf.DUMMYFUNCTION("""COMPUTED_VALUE"""),"Yes")</f>
        <v>Yes</v>
      </c>
      <c r="B130" s="4" t="str">
        <f ca="1">IFERROR(__xludf.DUMMYFUNCTION("""COMPUTED_VALUE"""),"No")</f>
        <v>No</v>
      </c>
      <c r="C130" s="96"/>
      <c r="D130" s="96"/>
      <c r="E130" s="96"/>
      <c r="F130" s="96"/>
      <c r="G130" s="5" t="str">
        <f ca="1">IFERROR(__xludf.DUMMYFUNCTION("""COMPUTED_VALUE"""),"Hypothesis of the model")</f>
        <v>Hypothesis of the model</v>
      </c>
      <c r="H130" s="5" t="str">
        <f ca="1">IFERROR(__xludf.DUMMYFUNCTION("""COMPUTED_VALUE"""),"0:N")</f>
        <v>0:N</v>
      </c>
      <c r="I130" s="5"/>
      <c r="J130" s="41"/>
      <c r="K130" s="4"/>
      <c r="L130" s="39"/>
      <c r="M130" s="37"/>
      <c r="N130" s="37"/>
      <c r="O130" s="37"/>
      <c r="P130" s="36" t="s">
        <v>25</v>
      </c>
      <c r="Q130" s="13">
        <f>'Parameter unit'!AB18</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x14ac:dyDescent="0.25">
      <c r="A131" s="4" t="str">
        <f ca="1">IFERROR(__xludf.DUMMYFUNCTION("""COMPUTED_VALUE"""),"Yes")</f>
        <v>Yes</v>
      </c>
      <c r="B131" s="4" t="str">
        <f ca="1">IFERROR(__xludf.DUMMYFUNCTION("""COMPUTED_VALUE"""),"No")</f>
        <v>No</v>
      </c>
      <c r="C131" s="96"/>
      <c r="D131" s="96"/>
      <c r="E131" s="5" t="str">
        <f ca="1">IFERROR(__xludf.DUMMYFUNCTION("""COMPUTED_VALUE"""),"Fitting procedure")</f>
        <v>Fitting procedure</v>
      </c>
      <c r="F131" s="97" t="str">
        <f ca="1">IFERROR(__xludf.DUMMYFUNCTION("""COMPUTED_VALUE"""),"0:1")</f>
        <v>0:1</v>
      </c>
      <c r="G131" s="96"/>
      <c r="H131" s="96"/>
      <c r="I131" s="5"/>
      <c r="J131" s="11"/>
      <c r="K131" s="4"/>
      <c r="L131" s="39"/>
      <c r="M131" s="37"/>
      <c r="N131" s="37"/>
      <c r="O131" s="37"/>
      <c r="P131" s="36" t="s">
        <v>25</v>
      </c>
      <c r="Q131" s="13">
        <f>'Parameter unit'!AB19</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x14ac:dyDescent="0.25">
      <c r="A132" s="4"/>
      <c r="B132" s="4"/>
      <c r="C132" s="4"/>
      <c r="D132" s="4"/>
      <c r="E132" s="4"/>
      <c r="F132" s="4"/>
      <c r="G132" s="4"/>
      <c r="H132" s="4"/>
      <c r="I132" s="4"/>
      <c r="J132" s="4"/>
      <c r="K132" s="4"/>
      <c r="L132" s="39"/>
      <c r="M132" s="37"/>
      <c r="N132" s="37"/>
      <c r="O132" s="37"/>
      <c r="P132" s="36" t="s">
        <v>25</v>
      </c>
      <c r="Q132" s="13">
        <f>'Parameter unit'!AB20</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row>
    <row r="134" spans="1:41" ht="12.5"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row>
    <row r="135" spans="1:41" ht="12.5"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row>
    <row r="136" spans="1:41" ht="12.5"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row>
    <row r="137" spans="1:41" ht="12.5"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row>
  </sheetData>
  <autoFilter ref="B1:B132"/>
  <mergeCells count="59">
    <mergeCell ref="C103:C131"/>
    <mergeCell ref="C36:C64"/>
    <mergeCell ref="C2:C35"/>
    <mergeCell ref="C65:C102"/>
    <mergeCell ref="D65:D102"/>
    <mergeCell ref="D2:D35"/>
    <mergeCell ref="D36:D64"/>
    <mergeCell ref="D103:D131"/>
    <mergeCell ref="P102:T102"/>
    <mergeCell ref="M102:N102"/>
    <mergeCell ref="L112:AA112"/>
    <mergeCell ref="F47:F60"/>
    <mergeCell ref="F94:F102"/>
    <mergeCell ref="E123:E130"/>
    <mergeCell ref="F131:H131"/>
    <mergeCell ref="E121:E122"/>
    <mergeCell ref="E103:E120"/>
    <mergeCell ref="F121:F122"/>
    <mergeCell ref="F103:F120"/>
    <mergeCell ref="F26:H26"/>
    <mergeCell ref="F27:H27"/>
    <mergeCell ref="F25:H25"/>
    <mergeCell ref="F12:H12"/>
    <mergeCell ref="F123:F130"/>
    <mergeCell ref="E36:E46"/>
    <mergeCell ref="E28:E32"/>
    <mergeCell ref="F28:F32"/>
    <mergeCell ref="F36:F46"/>
    <mergeCell ref="F34:H34"/>
    <mergeCell ref="F33:H33"/>
    <mergeCell ref="F35:H35"/>
    <mergeCell ref="W36:AJ36"/>
    <mergeCell ref="L36:V36"/>
    <mergeCell ref="F61:H61"/>
    <mergeCell ref="E65:E80"/>
    <mergeCell ref="L94:T94"/>
    <mergeCell ref="L81:U81"/>
    <mergeCell ref="L88:N88"/>
    <mergeCell ref="F91:F93"/>
    <mergeCell ref="F81:F90"/>
    <mergeCell ref="E81:E90"/>
    <mergeCell ref="E91:E93"/>
    <mergeCell ref="F65:F80"/>
    <mergeCell ref="F63:F64"/>
    <mergeCell ref="E63:E64"/>
    <mergeCell ref="E47:E60"/>
    <mergeCell ref="E94:E102"/>
    <mergeCell ref="F11:H11"/>
    <mergeCell ref="E13:E24"/>
    <mergeCell ref="L1:Z1"/>
    <mergeCell ref="AB1:AP1"/>
    <mergeCell ref="L12:W12"/>
    <mergeCell ref="F7:F8"/>
    <mergeCell ref="F13:F24"/>
    <mergeCell ref="F4:H4"/>
    <mergeCell ref="F10:H10"/>
    <mergeCell ref="F2:H2"/>
    <mergeCell ref="F3:H3"/>
    <mergeCell ref="E7:E8"/>
  </mergeCells>
  <conditionalFormatting sqref="M105">
    <cfRule type="notContainsBlanks" dxfId="14" priority="1">
      <formula>LEN(TRIM(M105))&gt;0</formula>
    </cfRule>
  </conditionalFormatting>
  <conditionalFormatting sqref="V115:V132">
    <cfRule type="expression" dxfId="13" priority="2">
      <formula>IF(AND(M115="Input",R115="File"),V115="")</formula>
    </cfRule>
  </conditionalFormatting>
  <dataValidations count="8">
    <dataValidation type="custom" allowBlank="1" showDropDown="1" sqref="L30">
      <formula1>OR(NOT(ISERROR(DATEVALUE(L30))), AND(ISNUMBER(L30), LEFT(CELL("format", L30))="D"))</formula1>
    </dataValidation>
    <dataValidation type="date" operator="notBetween" allowBlank="1" showDropDown="1" showInputMessage="1" showErrorMessage="1" prompt="YYYY/MM/DD (2011/10/30)" sqref="U39:V48">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05:M108 M110">
      <formula1>-1E+179</formula1>
    </dataValidation>
    <dataValidation type="decimal" operator="lessThanOrEqual" allowBlank="1" showDropDown="1" showErrorMessage="1" sqref="M109">
      <formula1>0</formula1>
    </dataValidation>
    <dataValidation type="custom" allowBlank="1" showDropDown="1" showInputMessage="1" prompt="YY/MM/DD (2011/10/30)" sqref="L25">
      <formula1>OR(NOT(ISERROR(DATEVALUE(L25))), AND(ISNUMBER(L25), LEFT(CELL("format", L25))="D"))</formula1>
    </dataValidation>
  </dataValidations>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J64 N91:N93</xm:sqref>
        </x14:dataValidation>
        <x14:dataValidation type="list" allowBlank="1" showErrorMessage="1">
          <x14:formula1>
            <xm:f>'Parameter classification'!$A$2:$A$50</xm:f>
          </x14:formula1>
          <xm:sqref>M121:M132</xm:sqref>
        </x14:dataValidation>
        <x14:dataValidation type="list" allowBlank="1" showErrorMessage="1">
          <x14:formula1>
            <xm:f>'Fitting procedure'!$A$2:$A$100</xm:f>
          </x14:formula1>
          <xm:sqref>J131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Q105:Q109</xm:sqref>
        </x14:dataValidation>
        <x14:dataValidation type="list" allowBlank="1" showErrorMessage="1">
          <x14:formula1>
            <xm:f>'Product-matrix name'!$A$2:$A$1000</xm:f>
          </x14:formula1>
          <xm:sqref>L39:L48</xm:sqref>
        </x14:dataValidation>
        <x14:dataValidation type="list" allowBlank="1" showErrorMessage="1">
          <x14:formula1>
            <xm:f>'Product treatment'!$A$2:$A$1000</xm:f>
          </x14:formula1>
          <xm:sqref>Q39:Q48</xm:sqref>
        </x14:dataValidation>
        <x14:dataValidation type="list" allowBlank="1" showErrorMessage="1">
          <x14:formula1>
            <xm:f>'Sampling method'!$A$2:$A$31</xm:f>
          </x14:formula1>
          <xm:sqref>P84:P86</xm:sqref>
        </x14:dataValidation>
        <x14:dataValidation type="list" allowBlank="1" showErrorMessage="1">
          <x14:formula1>
            <xm:f>'Accreditation procedure for the'!$A$2:$A$100</xm:f>
          </x14:formula1>
          <xm:sqref>J72</xm:sqref>
        </x14:dataValidation>
        <x14:dataValidation type="list" allowBlank="1" showErrorMessage="1">
          <x14:formula1>
            <xm:f>'type of sampling program'!$A$2:$A$100</xm:f>
          </x14:formula1>
          <xm:sqref>O84:O86</xm:sqref>
        </x14:dataValidation>
        <x14:dataValidation type="list" allowBlank="1" showErrorMessage="1">
          <x14:formula1>
            <xm:f>'Sampling strategy'!$A$2:$A$100</xm:f>
          </x14:formula1>
          <xm:sqref>N84:N86</xm:sqref>
        </x14:dataValidation>
        <x14:dataValidation type="list" allowBlank="1" showErrorMessage="1">
          <x14:formula1>
            <xm:f>Source!$A$2:$A$30</xm:f>
          </x14:formula1>
          <xm:sqref>J3</xm:sqref>
        </x14:dataValidation>
        <x14:dataValidation type="list" allowBlank="1" showErrorMessage="1">
          <x14:formula1>
            <xm:f>'Parameter source'!$A$2:$A$50</xm:f>
          </x14:formula1>
          <xm:sqref>S115:S132</xm:sqref>
        </x14:dataValidation>
        <x14:dataValidation type="list" allowBlank="1" showErrorMessage="1">
          <x14:formula1>
            <xm:f>'Basic Process'!$E$3:$E$50</xm:f>
          </x14:formula1>
          <xm:sqref>J31</xm:sqref>
        </x14:dataValidation>
        <x14:dataValidation type="list" allowBlank="1" showErrorMessage="1">
          <x14:formula1>
            <xm:f>'Parameter unit'!$A:$A</xm:f>
          </x14:formula1>
          <xm:sqref>N39:N48 Z39:Z48 T84:T86</xm:sqref>
        </x14:dataValidation>
        <x14:dataValidation type="list" allowBlank="1" showErrorMessage="1">
          <x14:formula1>
            <xm:f>'Study Assay Technology Type'!$A$2:$A$500</xm:f>
          </x14:formula1>
          <xm:sqref>J70</xm:sqref>
        </x14:dataValidation>
        <x14:dataValidation type="list" allowBlank="1" showErrorMessage="1">
          <x14:formula1>
            <xm:f>Format!$A$2:$A$4</xm:f>
          </x14:formula1>
          <xm:sqref>J12</xm:sqref>
        </x14:dataValidation>
        <x14:dataValidation type="list" allowBlank="1" showErrorMessage="1">
          <x14:formula1>
            <xm:f>'Model Sub-Class'!$E$3:$E$50</xm:f>
          </x14:formula1>
          <xm:sqref>J29</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O39:O48</xm:sqref>
        </x14:dataValidation>
        <x14:dataValidation type="list" allowBlank="1" showErrorMessage="1">
          <x14:formula1>
            <xm:f>Region!$A$2:$A$1800</xm:f>
          </x14:formula1>
          <xm:sqref>J63</xm:sqref>
        </x14:dataValidation>
        <x14:dataValidation type="list" allowBlank="1" showErrorMessage="1">
          <x14:formula1>
            <xm:f>'Sampling point'!$A$2:$A$500</xm:f>
          </x14:formula1>
          <xm:sqref>U84:U86</xm:sqref>
        </x14:dataValidation>
        <x14:dataValidation type="list" allowBlank="1" showErrorMessage="1">
          <x14:formula1>
            <xm:f>'Hazard type'!$A$2:$A$250</xm:f>
          </x14:formula1>
          <xm:sqref>W39:W48</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T39:T48</xm:sqref>
        </x14:dataValidation>
        <x14:dataValidation type="list" allowBlank="1" showErrorMessage="1">
          <x14:formula1>
            <xm:f>'Parameter data type'!$A$2:$A$50</xm:f>
          </x14:formula1>
          <xm:sqref>R115:R119</xm:sqref>
        </x14:dataValidation>
        <x14:dataValidation type="list" allowBlank="1" showErrorMessage="1">
          <x14:formula1>
            <xm:f>'Parameter data type'!$A$2:$A$50</xm:f>
          </x14:formula1>
          <xm:sqref>R121:R132</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R39:R48</xm:sqref>
        </x14:dataValidation>
        <x14:dataValidation type="list" allowBlank="1" showErrorMessage="1">
          <x14:formula1>
            <xm:f>'Hazard ind-sum'!$A$2:$A$18</xm:f>
          </x14:formula1>
          <xm:sqref>AJ39:AJ48</xm:sqref>
        </x14:dataValidation>
        <x14:dataValidation type="list" allowBlank="1" showErrorMessage="1">
          <x14:formula1>
            <xm:f>'Parameter unit'!$A$2:$A$800</xm:f>
          </x14:formula1>
          <xm:sqref>P115:P132</xm:sqref>
        </x14:dataValidation>
        <x14:dataValidation type="list" allowBlank="1" showErrorMessage="1">
          <x14:formula1>
            <xm:f>'Laboratory accreditation'!$A$2:$A$200</xm:f>
          </x14:formula1>
          <xm:sqref>L91:L93</xm:sqref>
        </x14:dataValidation>
        <x14:dataValidation type="list" allowBlank="1" showErrorMessage="1">
          <x14:formula1>
            <xm:f>'Parameter classification'!$A$2:$A$50</xm:f>
          </x14:formula1>
          <xm:sqref>M115:M119</xm:sqref>
        </x14:dataValidation>
        <x14:dataValidation type="list" allowBlank="1" showErrorMessage="1">
          <x14:formula1>
            <xm:f>'Parameter subject'!$A$2:$A$500</xm:f>
          </x14:formula1>
          <xm:sqref>T115:T132</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P39:P48</xm:sqref>
        </x14:dataValidation>
        <x14:dataValidation type="list" allowBlank="1" showErrorMessage="1">
          <x14:formula1>
            <xm:f>'Area of origin'!$A$2:$A$3000</xm:f>
          </x14:formula1>
          <xm:sqref>S39:S48</xm:sqref>
        </x14:dataValidation>
        <x14:dataValidation type="list" allowBlank="1" showErrorMessage="1">
          <x14:formula1>
            <xm:f>'Parameter data type'!$A$2:$A$50</xm:f>
          </x14:formula1>
          <xm:sqref>R120</xm:sqref>
        </x14:dataValidation>
        <x14:dataValidation type="list" allowBlank="1" showErrorMessage="1">
          <x14:formula1>
            <xm:f>'Parameter distribution'!$A$2:$A$800</xm:f>
          </x14:formula1>
          <xm:sqref>U115:U132</xm:sqref>
        </x14:dataValidation>
        <x14:dataValidation type="list" allowBlank="1" showErrorMessage="1">
          <x14:formula1>
            <xm:f>'Parameter classification'!$A$2:$A$50</xm:f>
          </x14:formula1>
          <xm:sqref>M120</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41"/>
  <sheetViews>
    <sheetView workbookViewId="0"/>
  </sheetViews>
  <sheetFormatPr defaultColWidth="14.453125" defaultRowHeight="15.75" customHeight="1" x14ac:dyDescent="0.25"/>
  <cols>
    <col min="3" max="3" width="6.1796875" customWidth="1"/>
    <col min="4" max="4" width="5.453125" customWidth="1"/>
    <col min="6" max="6" width="6" customWidth="1"/>
    <col min="7" max="7" width="29.1796875" customWidth="1"/>
    <col min="8" max="8" width="6.1796875" customWidth="1"/>
    <col min="9" max="9" width="33.1796875" hidden="1" customWidth="1"/>
    <col min="10" max="10" width="44.453125" customWidth="1"/>
  </cols>
  <sheetData>
    <row r="1" spans="1:42" ht="15.75" customHeight="1" x14ac:dyDescent="0.3">
      <c r="A1" s="42" t="str">
        <f ca="1">IFERROR(__xludf.DUMMYFUNCTION("QUERY(IMPORTRANGE(""https://docs.google.com/spreadsheets/d/1R5ofJAIqAywN97cnBY9R9kqj10AvQOs3Gq472n6iDyc/edit#gid=811823962"",""Toxicological reference value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7" t="str">
        <f ca="1">E6</f>
        <v>Creator</v>
      </c>
      <c r="M1" s="96"/>
      <c r="N1" s="96"/>
      <c r="O1" s="96"/>
      <c r="P1" s="96"/>
      <c r="Q1" s="96"/>
      <c r="R1" s="96"/>
      <c r="S1" s="96"/>
      <c r="T1" s="96"/>
      <c r="U1" s="96"/>
      <c r="V1" s="96"/>
      <c r="W1" s="96"/>
      <c r="X1" s="96"/>
      <c r="Y1" s="96"/>
      <c r="Z1" s="96"/>
      <c r="AA1" s="4"/>
      <c r="AB1" s="97" t="str">
        <f ca="1">E5</f>
        <v>Author</v>
      </c>
      <c r="AC1" s="96"/>
      <c r="AD1" s="96"/>
      <c r="AE1" s="96"/>
      <c r="AF1" s="96"/>
      <c r="AG1" s="96"/>
      <c r="AH1" s="96"/>
      <c r="AI1" s="96"/>
      <c r="AJ1" s="96"/>
      <c r="AK1" s="96"/>
      <c r="AL1" s="96"/>
      <c r="AM1" s="96"/>
      <c r="AN1" s="96"/>
      <c r="AO1" s="96"/>
      <c r="AP1" s="96"/>
    </row>
    <row r="2" spans="1:42" ht="12.5" x14ac:dyDescent="0.25">
      <c r="A2" s="4" t="str">
        <f ca="1">IFERROR(__xludf.DUMMYFUNCTION("""COMPUTED_VALUE"""),"Yes")</f>
        <v>Yes</v>
      </c>
      <c r="B2" s="4" t="str">
        <f ca="1">IFERROR(__xludf.DUMMYFUNCTION("""COMPUTED_VALUE"""),"Yes")</f>
        <v>Yes</v>
      </c>
      <c r="C2" s="95" t="str">
        <f ca="1">IFERROR(__xludf.DUMMYFUNCTION("""COMPUTED_VALUE"""),"General information")</f>
        <v>General information</v>
      </c>
      <c r="D2" s="95" t="str">
        <f ca="1">IFERROR(__xludf.DUMMYFUNCTION("""COMPUTED_VALUE"""),"1")</f>
        <v>1</v>
      </c>
      <c r="E2" s="5" t="str">
        <f ca="1">IFERROR(__xludf.DUMMYFUNCTION("""COMPUTED_VALUE"""),"Model name")</f>
        <v>Model name</v>
      </c>
      <c r="F2" s="97" t="str">
        <f ca="1">IFERROR(__xludf.DUMMYFUNCTION("""COMPUTED_VALUE"""),"1")</f>
        <v>1</v>
      </c>
      <c r="G2" s="96"/>
      <c r="H2" s="96"/>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x14ac:dyDescent="0.25">
      <c r="A3" s="4" t="str">
        <f ca="1">IFERROR(__xludf.DUMMYFUNCTION("""COMPUTED_VALUE"""),"Yes")</f>
        <v>Yes</v>
      </c>
      <c r="B3" s="4" t="str">
        <f ca="1">IFERROR(__xludf.DUMMYFUNCTION("""COMPUTED_VALUE"""),"Yes")</f>
        <v>Yes</v>
      </c>
      <c r="C3" s="96"/>
      <c r="D3" s="96"/>
      <c r="E3" s="5" t="str">
        <f ca="1">IFERROR(__xludf.DUMMYFUNCTION("""COMPUTED_VALUE"""),"Source")</f>
        <v>Source</v>
      </c>
      <c r="F3" s="97" t="str">
        <f ca="1">IFERROR(__xludf.DUMMYFUNCTION("""COMPUTED_VALUE"""),"0:1")</f>
        <v>0:1</v>
      </c>
      <c r="G3" s="96"/>
      <c r="H3" s="96"/>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x14ac:dyDescent="0.25">
      <c r="A4" s="4" t="str">
        <f ca="1">IFERROR(__xludf.DUMMYFUNCTION("""COMPUTED_VALUE"""),"Yes")</f>
        <v>Yes</v>
      </c>
      <c r="B4" s="4" t="str">
        <f ca="1">IFERROR(__xludf.DUMMYFUNCTION("""COMPUTED_VALUE"""),"Yes")</f>
        <v>Yes</v>
      </c>
      <c r="C4" s="96"/>
      <c r="D4" s="96"/>
      <c r="E4" s="5" t="str">
        <f ca="1">IFERROR(__xludf.DUMMYFUNCTION("""COMPUTED_VALUE"""),"Identifier")</f>
        <v>Identifier</v>
      </c>
      <c r="F4" s="97" t="str">
        <f ca="1">IFERROR(__xludf.DUMMYFUNCTION("""COMPUTED_VALUE"""),"1")</f>
        <v>1</v>
      </c>
      <c r="G4" s="96"/>
      <c r="H4" s="96"/>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x14ac:dyDescent="0.25">
      <c r="A5" s="4" t="str">
        <f ca="1">IFERROR(__xludf.DUMMYFUNCTION("""COMPUTED_VALUE"""),"Yes")</f>
        <v>Yes</v>
      </c>
      <c r="B5" s="4" t="str">
        <f ca="1">IFERROR(__xludf.DUMMYFUNCTION("""COMPUTED_VALUE"""),"No")</f>
        <v>No</v>
      </c>
      <c r="C5" s="96"/>
      <c r="D5" s="9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5"/>
      <c r="U5" s="11"/>
      <c r="V5" s="11"/>
      <c r="W5" s="11"/>
      <c r="X5" s="11"/>
      <c r="Y5" s="11"/>
      <c r="Z5" s="11"/>
      <c r="AA5" s="4"/>
      <c r="AB5" s="11"/>
      <c r="AC5" s="11"/>
      <c r="AD5" s="11"/>
      <c r="AE5" s="11"/>
      <c r="AF5" s="11"/>
      <c r="AG5" s="11"/>
      <c r="AH5" s="11"/>
      <c r="AI5" s="11"/>
      <c r="AJ5" s="10"/>
      <c r="AK5" s="11"/>
      <c r="AL5" s="11"/>
      <c r="AM5" s="11"/>
      <c r="AN5" s="11"/>
      <c r="AO5" s="11"/>
      <c r="AP5" s="11"/>
    </row>
    <row r="6" spans="1:42" ht="12.5" x14ac:dyDescent="0.25">
      <c r="A6" s="4" t="str">
        <f ca="1">IFERROR(__xludf.DUMMYFUNCTION("""COMPUTED_VALUE"""),"Yes")</f>
        <v>Yes</v>
      </c>
      <c r="B6" s="4" t="str">
        <f ca="1">IFERROR(__xludf.DUMMYFUNCTION("""COMPUTED_VALUE"""),"Yes")</f>
        <v>Yes</v>
      </c>
      <c r="C6" s="96"/>
      <c r="D6" s="96"/>
      <c r="E6" s="97"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5"/>
      <c r="U6" s="11"/>
      <c r="V6" s="11"/>
      <c r="W6" s="11"/>
      <c r="X6" s="11"/>
      <c r="Y6" s="11"/>
      <c r="Z6" s="11"/>
      <c r="AA6" s="4"/>
      <c r="AB6" s="11"/>
      <c r="AC6" s="11"/>
      <c r="AD6" s="11"/>
      <c r="AE6" s="11"/>
      <c r="AF6" s="11"/>
      <c r="AG6" s="11"/>
      <c r="AH6" s="11"/>
      <c r="AI6" s="11"/>
      <c r="AJ6" s="10"/>
      <c r="AK6" s="11"/>
      <c r="AL6" s="11"/>
      <c r="AM6" s="11"/>
      <c r="AN6" s="11"/>
      <c r="AO6" s="11"/>
      <c r="AP6" s="11"/>
    </row>
    <row r="7" spans="1:42" ht="12.5" x14ac:dyDescent="0.25">
      <c r="A7" s="4" t="str">
        <f ca="1">IFERROR(__xludf.DUMMYFUNCTION("""COMPUTED_VALUE"""),"Yes")</f>
        <v>Yes</v>
      </c>
      <c r="B7" s="4" t="str">
        <f ca="1">IFERROR(__xludf.DUMMYFUNCTION("""COMPUTED_VALUE"""),"Yes")</f>
        <v>Yes</v>
      </c>
      <c r="C7" s="96"/>
      <c r="D7" s="96"/>
      <c r="E7" s="96"/>
      <c r="F7" s="97"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x14ac:dyDescent="0.25">
      <c r="A8" s="4" t="str">
        <f ca="1">IFERROR(__xludf.DUMMYFUNCTION("""COMPUTED_VALUE"""),"Yes")</f>
        <v>Yes</v>
      </c>
      <c r="B8" s="4" t="str">
        <f ca="1">IFERROR(__xludf.DUMMYFUNCTION("""COMPUTED_VALUE"""),"No")</f>
        <v>No</v>
      </c>
      <c r="C8" s="96"/>
      <c r="D8" s="96"/>
      <c r="E8" s="5"/>
      <c r="F8" s="96"/>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x14ac:dyDescent="0.25">
      <c r="A9" s="4" t="str">
        <f ca="1">IFERROR(__xludf.DUMMYFUNCTION("""COMPUTED_VALUE"""),"Yes")</f>
        <v>Yes</v>
      </c>
      <c r="B9" s="4" t="str">
        <f ca="1">IFERROR(__xludf.DUMMYFUNCTION("""COMPUTED_VALUE"""),"Yes")</f>
        <v>Yes</v>
      </c>
      <c r="C9" s="96"/>
      <c r="D9" s="9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x14ac:dyDescent="0.25">
      <c r="A10" s="4" t="str">
        <f ca="1">IFERROR(__xludf.DUMMYFUNCTION("""COMPUTED_VALUE"""),"Yes")</f>
        <v>Yes</v>
      </c>
      <c r="B10" s="4" t="str">
        <f ca="1">IFERROR(__xludf.DUMMYFUNCTION("""COMPUTED_VALUE"""),"No")</f>
        <v>No</v>
      </c>
      <c r="C10" s="96"/>
      <c r="D10" s="96"/>
      <c r="E10" s="5" t="str">
        <f ca="1">IFERROR(__xludf.DUMMYFUNCTION("""COMPUTED_VALUE"""),"Availability")</f>
        <v>Availability</v>
      </c>
      <c r="F10" s="97" t="str">
        <f ca="1">IFERROR(__xludf.DUMMYFUNCTION("""COMPUTED_VALUE"""),"0:1")</f>
        <v>0:1</v>
      </c>
      <c r="G10" s="96"/>
      <c r="H10" s="96"/>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x14ac:dyDescent="0.25">
      <c r="A11" s="4" t="str">
        <f ca="1">IFERROR(__xludf.DUMMYFUNCTION("""COMPUTED_VALUE"""),"Yes")</f>
        <v>Yes</v>
      </c>
      <c r="B11" s="4" t="str">
        <f ca="1">IFERROR(__xludf.DUMMYFUNCTION("""COMPUTED_VALUE"""),"No")</f>
        <v>No</v>
      </c>
      <c r="C11" s="96"/>
      <c r="D11" s="96"/>
      <c r="E11" s="5" t="str">
        <f ca="1">IFERROR(__xludf.DUMMYFUNCTION("""COMPUTED_VALUE"""),"URL")</f>
        <v>URL</v>
      </c>
      <c r="F11" s="97" t="str">
        <f ca="1">IFERROR(__xludf.DUMMYFUNCTION("""COMPUTED_VALUE"""),"0:1")</f>
        <v>0:1</v>
      </c>
      <c r="G11" s="96"/>
      <c r="H11" s="96"/>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x14ac:dyDescent="0.25">
      <c r="A12" s="4" t="str">
        <f ca="1">IFERROR(__xludf.DUMMYFUNCTION("""COMPUTED_VALUE"""),"Yes")</f>
        <v>Yes</v>
      </c>
      <c r="B12" s="4" t="str">
        <f ca="1">IFERROR(__xludf.DUMMYFUNCTION("""COMPUTED_VALUE"""),"No")</f>
        <v>No</v>
      </c>
      <c r="C12" s="96"/>
      <c r="D12" s="96"/>
      <c r="E12" s="5" t="str">
        <f ca="1">IFERROR(__xludf.DUMMYFUNCTION("""COMPUTED_VALUE"""),"Format")</f>
        <v>Format</v>
      </c>
      <c r="F12" s="97" t="str">
        <f ca="1">IFERROR(__xludf.DUMMYFUNCTION("""COMPUTED_VALUE"""),"0:1")</f>
        <v>0:1</v>
      </c>
      <c r="G12" s="96"/>
      <c r="H12" s="96"/>
      <c r="I12" s="5"/>
      <c r="J12" s="10"/>
      <c r="K12" s="4"/>
      <c r="L12" s="99" t="str">
        <f ca="1">E13</f>
        <v>References</v>
      </c>
      <c r="M12" s="96"/>
      <c r="N12" s="96"/>
      <c r="O12" s="96"/>
      <c r="P12" s="96"/>
      <c r="Q12" s="96"/>
      <c r="R12" s="96"/>
      <c r="S12" s="96"/>
      <c r="T12" s="96"/>
      <c r="U12" s="96"/>
      <c r="V12" s="96"/>
      <c r="W12" s="96"/>
      <c r="X12" s="4"/>
      <c r="Y12" s="4"/>
      <c r="Z12" s="4"/>
      <c r="AA12" s="4"/>
      <c r="AB12" s="4"/>
      <c r="AC12" s="4"/>
      <c r="AD12" s="4"/>
      <c r="AE12" s="4"/>
      <c r="AF12" s="4"/>
      <c r="AG12" s="4"/>
      <c r="AH12" s="4"/>
      <c r="AI12" s="4"/>
      <c r="AJ12" s="4"/>
      <c r="AK12" s="4"/>
      <c r="AL12" s="4"/>
      <c r="AM12" s="4"/>
      <c r="AN12" s="4"/>
      <c r="AO12" s="4"/>
      <c r="AP12" s="4"/>
    </row>
    <row r="13" spans="1:42" ht="14" x14ac:dyDescent="0.3">
      <c r="A13" s="4" t="str">
        <f ca="1">IFERROR(__xludf.DUMMYFUNCTION("""COMPUTED_VALUE"""),"Yes")</f>
        <v>Yes</v>
      </c>
      <c r="B13" s="4" t="str">
        <f ca="1">IFERROR(__xludf.DUMMYFUNCTION("""COMPUTED_VALUE"""),"Yes")</f>
        <v>Yes</v>
      </c>
      <c r="C13" s="96"/>
      <c r="D13" s="96"/>
      <c r="E13" s="97" t="str">
        <f ca="1">IFERROR(__xludf.DUMMYFUNCTION("""COMPUTED_VALUE"""),"References")</f>
        <v>References</v>
      </c>
      <c r="F13" s="97"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x14ac:dyDescent="0.25">
      <c r="A14" s="4" t="str">
        <f ca="1">IFERROR(__xludf.DUMMYFUNCTION("""COMPUTED_VALUE"""),"Yes")</f>
        <v>Yes</v>
      </c>
      <c r="B14" s="4" t="str">
        <f ca="1">IFERROR(__xludf.DUMMYFUNCTION("""COMPUTED_VALUE"""),"Yes")</f>
        <v>Yes</v>
      </c>
      <c r="C14" s="96"/>
      <c r="D14" s="96"/>
      <c r="E14" s="96"/>
      <c r="F14" s="96"/>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x14ac:dyDescent="0.25">
      <c r="A15" s="4" t="str">
        <f ca="1">IFERROR(__xludf.DUMMYFUNCTION("""COMPUTED_VALUE"""),"Yes")</f>
        <v>Yes</v>
      </c>
      <c r="B15" s="4" t="str">
        <f ca="1">IFERROR(__xludf.DUMMYFUNCTION("""COMPUTED_VALUE"""),"No")</f>
        <v>No</v>
      </c>
      <c r="C15" s="96"/>
      <c r="D15" s="96"/>
      <c r="E15" s="96"/>
      <c r="F15" s="96"/>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x14ac:dyDescent="0.25">
      <c r="A16" s="4" t="str">
        <f ca="1">IFERROR(__xludf.DUMMYFUNCTION("""COMPUTED_VALUE"""),"Yes")</f>
        <v>Yes</v>
      </c>
      <c r="B16" s="4" t="str">
        <f ca="1">IFERROR(__xludf.DUMMYFUNCTION("""COMPUTED_VALUE"""),"No")</f>
        <v>No</v>
      </c>
      <c r="C16" s="96"/>
      <c r="D16" s="96"/>
      <c r="E16" s="96"/>
      <c r="F16" s="96"/>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x14ac:dyDescent="0.25">
      <c r="A17" s="4" t="str">
        <f ca="1">IFERROR(__xludf.DUMMYFUNCTION("""COMPUTED_VALUE"""),"Yes")</f>
        <v>Yes</v>
      </c>
      <c r="B17" s="4" t="str">
        <f ca="1">IFERROR(__xludf.DUMMYFUNCTION("""COMPUTED_VALUE"""),"Yes")</f>
        <v>Yes</v>
      </c>
      <c r="C17" s="96"/>
      <c r="D17" s="96"/>
      <c r="E17" s="96"/>
      <c r="F17" s="96"/>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x14ac:dyDescent="0.25">
      <c r="A18" s="4" t="str">
        <f ca="1">IFERROR(__xludf.DUMMYFUNCTION("""COMPUTED_VALUE"""),"Yes")</f>
        <v>Yes</v>
      </c>
      <c r="B18" s="4" t="str">
        <f ca="1">IFERROR(__xludf.DUMMYFUNCTION("""COMPUTED_VALUE"""),"No")</f>
        <v>No</v>
      </c>
      <c r="C18" s="96"/>
      <c r="D18" s="96"/>
      <c r="E18" s="96"/>
      <c r="F18" s="96"/>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x14ac:dyDescent="0.25">
      <c r="A19" s="4" t="str">
        <f ca="1">IFERROR(__xludf.DUMMYFUNCTION("""COMPUTED_VALUE"""),"Yes")</f>
        <v>Yes</v>
      </c>
      <c r="B19" s="4" t="str">
        <f ca="1">IFERROR(__xludf.DUMMYFUNCTION("""COMPUTED_VALUE"""),"Yes")</f>
        <v>Yes</v>
      </c>
      <c r="C19" s="96"/>
      <c r="D19" s="96"/>
      <c r="E19" s="96"/>
      <c r="F19" s="96"/>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x14ac:dyDescent="0.25">
      <c r="A20" s="4" t="str">
        <f ca="1">IFERROR(__xludf.DUMMYFUNCTION("""COMPUTED_VALUE"""),"Yes")</f>
        <v>Yes</v>
      </c>
      <c r="B20" s="4" t="str">
        <f ca="1">IFERROR(__xludf.DUMMYFUNCTION("""COMPUTED_VALUE"""),"No")</f>
        <v>No</v>
      </c>
      <c r="C20" s="96"/>
      <c r="D20" s="96"/>
      <c r="E20" s="96"/>
      <c r="F20" s="96"/>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x14ac:dyDescent="0.25">
      <c r="A21" s="4" t="str">
        <f ca="1">IFERROR(__xludf.DUMMYFUNCTION("""COMPUTED_VALUE"""),"Yes")</f>
        <v>Yes</v>
      </c>
      <c r="B21" s="4" t="str">
        <f ca="1">IFERROR(__xludf.DUMMYFUNCTION("""COMPUTED_VALUE"""),"No")</f>
        <v>No</v>
      </c>
      <c r="C21" s="96"/>
      <c r="D21" s="96"/>
      <c r="E21" s="96"/>
      <c r="F21" s="96"/>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x14ac:dyDescent="0.25">
      <c r="A22" s="4" t="str">
        <f ca="1">IFERROR(__xludf.DUMMYFUNCTION("""COMPUTED_VALUE"""),"Yes")</f>
        <v>Yes</v>
      </c>
      <c r="B22" s="4" t="str">
        <f ca="1">IFERROR(__xludf.DUMMYFUNCTION("""COMPUTED_VALUE"""),"No")</f>
        <v>No</v>
      </c>
      <c r="C22" s="96"/>
      <c r="D22" s="96"/>
      <c r="E22" s="96"/>
      <c r="F22" s="96"/>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x14ac:dyDescent="0.3">
      <c r="A23" s="4" t="str">
        <f ca="1">IFERROR(__xludf.DUMMYFUNCTION("""COMPUTED_VALUE"""),"Yes")</f>
        <v>Yes</v>
      </c>
      <c r="B23" s="4" t="str">
        <f ca="1">IFERROR(__xludf.DUMMYFUNCTION("""COMPUTED_VALUE"""),"No")</f>
        <v>No</v>
      </c>
      <c r="C23" s="96"/>
      <c r="D23" s="96"/>
      <c r="E23" s="96"/>
      <c r="F23" s="96"/>
      <c r="G23" s="5" t="str">
        <f ca="1">IFERROR(__xludf.DUMMYFUNCTION("""COMPUTED_VALUE"""),"Publication website")</f>
        <v>Publication website</v>
      </c>
      <c r="H23" s="5" t="str">
        <f ca="1">IFERROR(__xludf.DUMMYFUNCTION("""COMPUTED_VALUE"""),"0:1")</f>
        <v>0:1</v>
      </c>
      <c r="I23" s="5"/>
      <c r="J23" s="41"/>
      <c r="K23" s="4"/>
      <c r="L23" s="16"/>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x14ac:dyDescent="0.25">
      <c r="A24" s="4" t="str">
        <f ca="1">IFERROR(__xludf.DUMMYFUNCTION("""COMPUTED_VALUE"""),"Yes")</f>
        <v>Yes</v>
      </c>
      <c r="B24" s="4" t="str">
        <f ca="1">IFERROR(__xludf.DUMMYFUNCTION("""COMPUTED_VALUE"""),"No")</f>
        <v>No</v>
      </c>
      <c r="C24" s="96"/>
      <c r="D24" s="96"/>
      <c r="E24" s="96"/>
      <c r="F24" s="96"/>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x14ac:dyDescent="0.25">
      <c r="A25" s="4" t="str">
        <f ca="1">IFERROR(__xludf.DUMMYFUNCTION("""COMPUTED_VALUE"""),"Yes")</f>
        <v>Yes</v>
      </c>
      <c r="B25" s="4" t="str">
        <f ca="1">IFERROR(__xludf.DUMMYFUNCTION("""COMPUTED_VALUE"""),"No")</f>
        <v>No</v>
      </c>
      <c r="C25" s="96"/>
      <c r="D25" s="96"/>
      <c r="E25" s="5" t="str">
        <f ca="1">IFERROR(__xludf.DUMMYFUNCTION("""COMPUTED_VALUE"""),"Language")</f>
        <v>Language</v>
      </c>
      <c r="F25" s="97" t="str">
        <f ca="1">IFERROR(__xludf.DUMMYFUNCTION("""COMPUTED_VALUE"""),"0:1")</f>
        <v>0:1</v>
      </c>
      <c r="G25" s="96"/>
      <c r="H25" s="96"/>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x14ac:dyDescent="0.25">
      <c r="A26" s="4" t="str">
        <f ca="1">IFERROR(__xludf.DUMMYFUNCTION("""COMPUTED_VALUE"""),"Yes")</f>
        <v>Yes</v>
      </c>
      <c r="B26" s="4" t="str">
        <f ca="1">IFERROR(__xludf.DUMMYFUNCTION("""COMPUTED_VALUE"""),"No")</f>
        <v>No</v>
      </c>
      <c r="C26" s="96"/>
      <c r="D26" s="96"/>
      <c r="E26" s="5" t="str">
        <f ca="1">IFERROR(__xludf.DUMMYFUNCTION("""COMPUTED_VALUE"""),"Software")</f>
        <v>Software</v>
      </c>
      <c r="F26" s="97" t="str">
        <f ca="1">IFERROR(__xludf.DUMMYFUNCTION("""COMPUTED_VALUE"""),"0:1")</f>
        <v>0:1</v>
      </c>
      <c r="G26" s="96"/>
      <c r="H26" s="96"/>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x14ac:dyDescent="0.25">
      <c r="A27" s="4" t="str">
        <f ca="1">IFERROR(__xludf.DUMMYFUNCTION("""COMPUTED_VALUE"""),"Yes")</f>
        <v>Yes</v>
      </c>
      <c r="B27" s="4" t="str">
        <f ca="1">IFERROR(__xludf.DUMMYFUNCTION("""COMPUTED_VALUE"""),"Yes")</f>
        <v>Yes</v>
      </c>
      <c r="C27" s="96"/>
      <c r="D27" s="96"/>
      <c r="E27" s="5" t="str">
        <f ca="1">IFERROR(__xludf.DUMMYFUNCTION("""COMPUTED_VALUE"""),"Language written in")</f>
        <v>Language written in</v>
      </c>
      <c r="F27" s="97" t="str">
        <f ca="1">IFERROR(__xludf.DUMMYFUNCTION("""COMPUTED_VALUE"""),"1")</f>
        <v>1</v>
      </c>
      <c r="G27" s="96"/>
      <c r="H27" s="96"/>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x14ac:dyDescent="0.25">
      <c r="A28" s="4" t="str">
        <f ca="1">IFERROR(__xludf.DUMMYFUNCTION("""COMPUTED_VALUE"""),"Yes")</f>
        <v>Yes</v>
      </c>
      <c r="B28" s="4" t="str">
        <f ca="1">IFERROR(__xludf.DUMMYFUNCTION("""COMPUTED_VALUE"""),"No")</f>
        <v>No</v>
      </c>
      <c r="C28" s="96"/>
      <c r="D28" s="96"/>
      <c r="E28" s="97" t="str">
        <f ca="1">IFERROR(__xludf.DUMMYFUNCTION("""COMPUTED_VALUE"""),"Model category")</f>
        <v>Model category</v>
      </c>
      <c r="F28" s="97"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x14ac:dyDescent="0.25">
      <c r="A29" s="4" t="str">
        <f ca="1">IFERROR(__xludf.DUMMYFUNCTION("""COMPUTED_VALUE"""),"Yes")</f>
        <v>Yes</v>
      </c>
      <c r="B29" s="4" t="str">
        <f ca="1">IFERROR(__xludf.DUMMYFUNCTION("""COMPUTED_VALUE"""),"No")</f>
        <v>No</v>
      </c>
      <c r="C29" s="96"/>
      <c r="D29" s="96"/>
      <c r="E29" s="96"/>
      <c r="F29" s="96"/>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x14ac:dyDescent="0.25">
      <c r="A30" s="4" t="str">
        <f ca="1">IFERROR(__xludf.DUMMYFUNCTION("""COMPUTED_VALUE"""),"Yes")</f>
        <v>Yes</v>
      </c>
      <c r="B30" s="4" t="str">
        <f ca="1">IFERROR(__xludf.DUMMYFUNCTION("""COMPUTED_VALUE"""),"No")</f>
        <v>No</v>
      </c>
      <c r="C30" s="96"/>
      <c r="D30" s="96"/>
      <c r="E30" s="96"/>
      <c r="F30" s="96"/>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x14ac:dyDescent="0.25">
      <c r="A31" s="4" t="str">
        <f ca="1">IFERROR(__xludf.DUMMYFUNCTION("""COMPUTED_VALUE"""),"Yes")</f>
        <v>Yes</v>
      </c>
      <c r="B31" s="4" t="str">
        <f ca="1">IFERROR(__xludf.DUMMYFUNCTION("""COMPUTED_VALUE"""),"No")</f>
        <v>No</v>
      </c>
      <c r="C31" s="96"/>
      <c r="D31" s="96"/>
      <c r="E31" s="96"/>
      <c r="F31" s="96"/>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x14ac:dyDescent="0.25">
      <c r="A32" s="4" t="str">
        <f ca="1">IFERROR(__xludf.DUMMYFUNCTION("""COMPUTED_VALUE"""),"Yes")</f>
        <v>Yes</v>
      </c>
      <c r="B32" s="4" t="str">
        <f ca="1">IFERROR(__xludf.DUMMYFUNCTION("""COMPUTED_VALUE"""),"No")</f>
        <v>No</v>
      </c>
      <c r="C32" s="96"/>
      <c r="D32" s="96"/>
      <c r="E32" s="96"/>
      <c r="F32" s="96"/>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x14ac:dyDescent="0.25">
      <c r="A33" s="4" t="str">
        <f ca="1">IFERROR(__xludf.DUMMYFUNCTION("""COMPUTED_VALUE"""),"Yes")</f>
        <v>Yes</v>
      </c>
      <c r="B33" s="4" t="str">
        <f ca="1">IFERROR(__xludf.DUMMYFUNCTION("""COMPUTED_VALUE"""),"No")</f>
        <v>No</v>
      </c>
      <c r="C33" s="96"/>
      <c r="D33" s="96"/>
      <c r="E33" s="5" t="str">
        <f ca="1">IFERROR(__xludf.DUMMYFUNCTION("""COMPUTED_VALUE"""),"Status")</f>
        <v>Status</v>
      </c>
      <c r="F33" s="97" t="str">
        <f ca="1">IFERROR(__xludf.DUMMYFUNCTION("""COMPUTED_VALUE"""),"0:1")</f>
        <v>0:1</v>
      </c>
      <c r="G33" s="96"/>
      <c r="H33" s="96"/>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x14ac:dyDescent="0.25">
      <c r="A34" s="4" t="str">
        <f ca="1">IFERROR(__xludf.DUMMYFUNCTION("""COMPUTED_VALUE"""),"Yes")</f>
        <v>Yes</v>
      </c>
      <c r="B34" s="4" t="str">
        <f ca="1">IFERROR(__xludf.DUMMYFUNCTION("""COMPUTED_VALUE"""),"No")</f>
        <v>No</v>
      </c>
      <c r="C34" s="96"/>
      <c r="D34" s="96"/>
      <c r="E34" s="5" t="str">
        <f ca="1">IFERROR(__xludf.DUMMYFUNCTION("""COMPUTED_VALUE"""),"Objective")</f>
        <v>Objective</v>
      </c>
      <c r="F34" s="97" t="str">
        <f ca="1">IFERROR(__xludf.DUMMYFUNCTION("""COMPUTED_VALUE"""),"0:1")</f>
        <v>0:1</v>
      </c>
      <c r="G34" s="96"/>
      <c r="H34" s="96"/>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x14ac:dyDescent="0.25">
      <c r="A35" s="4" t="str">
        <f ca="1">IFERROR(__xludf.DUMMYFUNCTION("""COMPUTED_VALUE"""),"Yes")</f>
        <v>Yes</v>
      </c>
      <c r="B35" s="4" t="str">
        <f ca="1">IFERROR(__xludf.DUMMYFUNCTION("""COMPUTED_VALUE"""),"No")</f>
        <v>No</v>
      </c>
      <c r="C35" s="96"/>
      <c r="D35" s="96"/>
      <c r="E35" s="5" t="str">
        <f ca="1">IFERROR(__xludf.DUMMYFUNCTION("""COMPUTED_VALUE"""),"Description")</f>
        <v>Description</v>
      </c>
      <c r="F35" s="97" t="str">
        <f ca="1">IFERROR(__xludf.DUMMYFUNCTION("""COMPUTED_VALUE"""),"0:1")</f>
        <v>0:1</v>
      </c>
      <c r="G35" s="96"/>
      <c r="H35" s="96"/>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x14ac:dyDescent="0.25">
      <c r="A36" s="4" t="str">
        <f ca="1">IFERROR(__xludf.DUMMYFUNCTION("""COMPUTED_VALUE"""),"Yes")</f>
        <v>Yes</v>
      </c>
      <c r="B36" s="4" t="str">
        <f ca="1">IFERROR(__xludf.DUMMYFUNCTION("""COMPUTED_VALUE"""),"Yes")</f>
        <v>Yes</v>
      </c>
      <c r="C36" s="95" t="str">
        <f ca="1">IFERROR(__xludf.DUMMYFUNCTION("""COMPUTED_VALUE"""),"Scope")</f>
        <v>Scope</v>
      </c>
      <c r="D36" s="95" t="str">
        <f ca="1">IFERROR(__xludf.DUMMYFUNCTION("""COMPUTED_VALUE"""),"1")</f>
        <v>1</v>
      </c>
      <c r="E36" s="97" t="str">
        <f ca="1">IFERROR(__xludf.DUMMYFUNCTION("""COMPUTED_VALUE"""),"Hazard")</f>
        <v>Hazard</v>
      </c>
      <c r="F36" s="97" t="str">
        <f ca="1">IFERROR(__xludf.DUMMYFUNCTION("""COMPUTED_VALUE"""),"1:N")</f>
        <v>1:N</v>
      </c>
      <c r="G36" s="5" t="str">
        <f ca="1">IFERROR(__xludf.DUMMYFUNCTION("""COMPUTED_VALUE"""),"Hazard type")</f>
        <v>Hazard type</v>
      </c>
      <c r="H36" s="5" t="str">
        <f ca="1">IFERROR(__xludf.DUMMYFUNCTION("""COMPUTED_VALUE"""),"0:1")</f>
        <v>0:1</v>
      </c>
      <c r="I36" s="5"/>
      <c r="J36" s="13"/>
      <c r="K36" s="4"/>
      <c r="L36" s="99" t="str">
        <f ca="1">E36</f>
        <v>Hazard</v>
      </c>
      <c r="M36" s="96"/>
      <c r="N36" s="96"/>
      <c r="O36" s="96"/>
      <c r="P36" s="96"/>
      <c r="Q36" s="96"/>
      <c r="R36" s="96"/>
      <c r="S36" s="96"/>
      <c r="T36" s="96"/>
      <c r="U36" s="96"/>
      <c r="V36" s="96"/>
      <c r="W36" s="96"/>
      <c r="X36" s="96"/>
      <c r="Y36" s="96"/>
      <c r="Z36" s="99" t="str">
        <f ca="1">E50</f>
        <v>Population Group</v>
      </c>
      <c r="AA36" s="96"/>
      <c r="AB36" s="96"/>
      <c r="AC36" s="96"/>
      <c r="AD36" s="96"/>
      <c r="AE36" s="96"/>
      <c r="AF36" s="96"/>
      <c r="AG36" s="96"/>
      <c r="AH36" s="96"/>
      <c r="AI36" s="96"/>
      <c r="AJ36" s="96"/>
      <c r="AK36" s="96"/>
      <c r="AL36" s="96"/>
      <c r="AM36" s="4"/>
      <c r="AN36" s="4"/>
      <c r="AO36" s="4"/>
      <c r="AP36" s="4"/>
    </row>
    <row r="37" spans="1:42" ht="12.5" x14ac:dyDescent="0.25">
      <c r="A37" s="4" t="str">
        <f ca="1">IFERROR(__xludf.DUMMYFUNCTION("""COMPUTED_VALUE"""),"Yes")</f>
        <v>Yes</v>
      </c>
      <c r="B37" s="4" t="str">
        <f ca="1">IFERROR(__xludf.DUMMYFUNCTION("""COMPUTED_VALUE"""),"Yes")</f>
        <v>Yes</v>
      </c>
      <c r="C37" s="96"/>
      <c r="D37" s="96"/>
      <c r="E37" s="96"/>
      <c r="F37" s="96"/>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7"/>
      <c r="AN37" s="7"/>
      <c r="AO37" s="7"/>
      <c r="AP37" s="7"/>
    </row>
    <row r="38" spans="1:42" ht="12.5" x14ac:dyDescent="0.25">
      <c r="A38" s="4" t="str">
        <f ca="1">IFERROR(__xludf.DUMMYFUNCTION("""COMPUTED_VALUE"""),"Yes")</f>
        <v>Yes</v>
      </c>
      <c r="B38" s="4" t="str">
        <f ca="1">IFERROR(__xludf.DUMMYFUNCTION("""COMPUTED_VALUE"""),"Yes")</f>
        <v>Yes</v>
      </c>
      <c r="C38" s="96"/>
      <c r="D38" s="96"/>
      <c r="E38" s="96"/>
      <c r="F38" s="96"/>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x14ac:dyDescent="0.25">
      <c r="A39" s="4" t="str">
        <f ca="1">IFERROR(__xludf.DUMMYFUNCTION("""COMPUTED_VALUE"""),"Yes")</f>
        <v>Yes</v>
      </c>
      <c r="B39" s="4" t="str">
        <f ca="1">IFERROR(__xludf.DUMMYFUNCTION("""COMPUTED_VALUE"""),"No")</f>
        <v>No</v>
      </c>
      <c r="C39" s="96"/>
      <c r="D39" s="96"/>
      <c r="E39" s="96"/>
      <c r="F39" s="96"/>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x14ac:dyDescent="0.25">
      <c r="A40" s="4" t="str">
        <f ca="1">IFERROR(__xludf.DUMMYFUNCTION("""COMPUTED_VALUE"""),"Yes")</f>
        <v>Yes</v>
      </c>
      <c r="B40" s="4" t="str">
        <f ca="1">IFERROR(__xludf.DUMMYFUNCTION("""COMPUTED_VALUE"""),"No")</f>
        <v>No</v>
      </c>
      <c r="C40" s="96"/>
      <c r="D40" s="96"/>
      <c r="E40" s="96"/>
      <c r="F40" s="96"/>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x14ac:dyDescent="0.25">
      <c r="A41" s="4" t="str">
        <f ca="1">IFERROR(__xludf.DUMMYFUNCTION("""COMPUTED_VALUE"""),"Yes")</f>
        <v>Yes</v>
      </c>
      <c r="B41" s="4" t="str">
        <f ca="1">IFERROR(__xludf.DUMMYFUNCTION("""COMPUTED_VALUE"""),"No")</f>
        <v>No</v>
      </c>
      <c r="C41" s="96"/>
      <c r="D41" s="96"/>
      <c r="E41" s="96"/>
      <c r="F41" s="96"/>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x14ac:dyDescent="0.25">
      <c r="A42" s="4" t="str">
        <f ca="1">IFERROR(__xludf.DUMMYFUNCTION("""COMPUTED_VALUE"""),"Yes")</f>
        <v>Yes</v>
      </c>
      <c r="B42" s="4" t="str">
        <f ca="1">IFERROR(__xludf.DUMMYFUNCTION("""COMPUTED_VALUE"""),"No")</f>
        <v>No</v>
      </c>
      <c r="C42" s="96"/>
      <c r="D42" s="96"/>
      <c r="E42" s="96"/>
      <c r="F42" s="96"/>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x14ac:dyDescent="0.25">
      <c r="A43" s="4" t="str">
        <f ca="1">IFERROR(__xludf.DUMMYFUNCTION("""COMPUTED_VALUE"""),"Yes")</f>
        <v>Yes</v>
      </c>
      <c r="B43" s="4" t="str">
        <f ca="1">IFERROR(__xludf.DUMMYFUNCTION("""COMPUTED_VALUE"""),"No")</f>
        <v>No</v>
      </c>
      <c r="C43" s="96"/>
      <c r="D43" s="96"/>
      <c r="E43" s="96"/>
      <c r="F43" s="96"/>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x14ac:dyDescent="0.25">
      <c r="A44" s="4" t="str">
        <f ca="1">IFERROR(__xludf.DUMMYFUNCTION("""COMPUTED_VALUE"""),"Yes")</f>
        <v>Yes</v>
      </c>
      <c r="B44" s="4" t="str">
        <f ca="1">IFERROR(__xludf.DUMMYFUNCTION("""COMPUTED_VALUE"""),"No")</f>
        <v>No</v>
      </c>
      <c r="C44" s="96"/>
      <c r="D44" s="96"/>
      <c r="E44" s="96"/>
      <c r="F44" s="96"/>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x14ac:dyDescent="0.25">
      <c r="A45" s="4" t="str">
        <f ca="1">IFERROR(__xludf.DUMMYFUNCTION("""COMPUTED_VALUE"""),"Yes")</f>
        <v>Yes</v>
      </c>
      <c r="B45" s="4" t="str">
        <f ca="1">IFERROR(__xludf.DUMMYFUNCTION("""COMPUTED_VALUE"""),"No")</f>
        <v>No</v>
      </c>
      <c r="C45" s="96"/>
      <c r="D45" s="96"/>
      <c r="E45" s="96"/>
      <c r="F45" s="96"/>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x14ac:dyDescent="0.25">
      <c r="A46" s="4" t="str">
        <f ca="1">IFERROR(__xludf.DUMMYFUNCTION("""COMPUTED_VALUE"""),"Yes")</f>
        <v>Yes</v>
      </c>
      <c r="B46" s="4" t="str">
        <f ca="1">IFERROR(__xludf.DUMMYFUNCTION("""COMPUTED_VALUE"""),"No")</f>
        <v>No</v>
      </c>
      <c r="C46" s="96"/>
      <c r="D46" s="96"/>
      <c r="E46" s="96"/>
      <c r="F46" s="96"/>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x14ac:dyDescent="0.25">
      <c r="A47" s="4" t="str">
        <f ca="1">IFERROR(__xludf.DUMMYFUNCTION("""COMPUTED_VALUE"""),"Yes")</f>
        <v>Yes</v>
      </c>
      <c r="B47" s="4" t="str">
        <f ca="1">IFERROR(__xludf.DUMMYFUNCTION("""COMPUTED_VALUE"""),"No")</f>
        <v>No</v>
      </c>
      <c r="C47" s="96"/>
      <c r="D47" s="96"/>
      <c r="E47" s="96"/>
      <c r="F47" s="96"/>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x14ac:dyDescent="0.25">
      <c r="A48" s="4" t="str">
        <f ca="1">IFERROR(__xludf.DUMMYFUNCTION("""COMPUTED_VALUE"""),"Yes")</f>
        <v>Yes</v>
      </c>
      <c r="B48" s="4" t="str">
        <f ca="1">IFERROR(__xludf.DUMMYFUNCTION("""COMPUTED_VALUE"""),"No")</f>
        <v>No</v>
      </c>
      <c r="C48" s="96"/>
      <c r="D48" s="96"/>
      <c r="E48" s="96"/>
      <c r="F48" s="96"/>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x14ac:dyDescent="0.25">
      <c r="A49" s="4" t="str">
        <f ca="1">IFERROR(__xludf.DUMMYFUNCTION("""COMPUTED_VALUE"""),"Yes")</f>
        <v>Yes</v>
      </c>
      <c r="B49" s="4" t="str">
        <f ca="1">IFERROR(__xludf.DUMMYFUNCTION("""COMPUTED_VALUE"""),"No")</f>
        <v>No</v>
      </c>
      <c r="C49" s="96"/>
      <c r="D49" s="96"/>
      <c r="E49" s="96"/>
      <c r="F49" s="96"/>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x14ac:dyDescent="0.25">
      <c r="A50" s="4" t="str">
        <f ca="1">IFERROR(__xludf.DUMMYFUNCTION("""COMPUTED_VALUE"""),"Yes")</f>
        <v>Yes</v>
      </c>
      <c r="B50" s="4" t="str">
        <f ca="1">IFERROR(__xludf.DUMMYFUNCTION("""COMPUTED_VALUE"""),"Yes")</f>
        <v>Yes</v>
      </c>
      <c r="C50" s="96"/>
      <c r="D50" s="96"/>
      <c r="E50" s="97" t="str">
        <f ca="1">IFERROR(__xludf.DUMMYFUNCTION("""COMPUTED_VALUE"""),"Population Group")</f>
        <v>Population Group</v>
      </c>
      <c r="F50" s="97" t="str">
        <f ca="1">IFERROR(__xludf.DUMMYFUNCTION("""COMPUTED_VALUE"""),"0:N")</f>
        <v>0:N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x14ac:dyDescent="0.25">
      <c r="A51" s="4" t="str">
        <f ca="1">IFERROR(__xludf.DUMMYFUNCTION("""COMPUTED_VALUE"""),"Yes")</f>
        <v>Yes</v>
      </c>
      <c r="B51" s="4" t="str">
        <f ca="1">IFERROR(__xludf.DUMMYFUNCTION("""COMPUTED_VALUE"""),"No")</f>
        <v>No</v>
      </c>
      <c r="C51" s="96"/>
      <c r="D51" s="96"/>
      <c r="E51" s="96"/>
      <c r="F51" s="96"/>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x14ac:dyDescent="0.25">
      <c r="A52" s="4" t="str">
        <f ca="1">IFERROR(__xludf.DUMMYFUNCTION("""COMPUTED_VALUE"""),"Yes")</f>
        <v>Yes</v>
      </c>
      <c r="B52" s="4" t="str">
        <f ca="1">IFERROR(__xludf.DUMMYFUNCTION("""COMPUTED_VALUE"""),"No")</f>
        <v>No</v>
      </c>
      <c r="C52" s="96"/>
      <c r="D52" s="96"/>
      <c r="E52" s="96"/>
      <c r="F52" s="96"/>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x14ac:dyDescent="0.25">
      <c r="A53" s="4" t="str">
        <f ca="1">IFERROR(__xludf.DUMMYFUNCTION("""COMPUTED_VALUE"""),"Yes")</f>
        <v>Yes</v>
      </c>
      <c r="B53" s="4" t="str">
        <f ca="1">IFERROR(__xludf.DUMMYFUNCTION("""COMPUTED_VALUE"""),"No")</f>
        <v>No</v>
      </c>
      <c r="C53" s="96"/>
      <c r="D53" s="96"/>
      <c r="E53" s="96"/>
      <c r="F53" s="96"/>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x14ac:dyDescent="0.25">
      <c r="A54" s="4" t="str">
        <f ca="1">IFERROR(__xludf.DUMMYFUNCTION("""COMPUTED_VALUE"""),"Yes")</f>
        <v>Yes</v>
      </c>
      <c r="B54" s="4" t="str">
        <f ca="1">IFERROR(__xludf.DUMMYFUNCTION("""COMPUTED_VALUE"""),"No")</f>
        <v>No</v>
      </c>
      <c r="C54" s="96"/>
      <c r="D54" s="96"/>
      <c r="E54" s="96"/>
      <c r="F54" s="96"/>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x14ac:dyDescent="0.25">
      <c r="A55" s="4" t="str">
        <f ca="1">IFERROR(__xludf.DUMMYFUNCTION("""COMPUTED_VALUE"""),"Yes")</f>
        <v>Yes</v>
      </c>
      <c r="B55" s="4" t="str">
        <f ca="1">IFERROR(__xludf.DUMMYFUNCTION("""COMPUTED_VALUE"""),"No")</f>
        <v>No</v>
      </c>
      <c r="C55" s="96"/>
      <c r="D55" s="96"/>
      <c r="E55" s="96"/>
      <c r="F55" s="96"/>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x14ac:dyDescent="0.25">
      <c r="A56" s="4" t="str">
        <f ca="1">IFERROR(__xludf.DUMMYFUNCTION("""COMPUTED_VALUE"""),"Yes")</f>
        <v>Yes</v>
      </c>
      <c r="B56" s="4" t="str">
        <f ca="1">IFERROR(__xludf.DUMMYFUNCTION("""COMPUTED_VALUE"""),"No")</f>
        <v>No</v>
      </c>
      <c r="C56" s="96"/>
      <c r="D56" s="96"/>
      <c r="E56" s="96"/>
      <c r="F56" s="96"/>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x14ac:dyDescent="0.25">
      <c r="A57" s="4" t="str">
        <f ca="1">IFERROR(__xludf.DUMMYFUNCTION("""COMPUTED_VALUE"""),"Yes")</f>
        <v>Yes</v>
      </c>
      <c r="B57" s="4" t="str">
        <f ca="1">IFERROR(__xludf.DUMMYFUNCTION("""COMPUTED_VALUE"""),"No")</f>
        <v>No</v>
      </c>
      <c r="C57" s="96"/>
      <c r="D57" s="96"/>
      <c r="E57" s="96"/>
      <c r="F57" s="96"/>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x14ac:dyDescent="0.25">
      <c r="A58" s="4" t="str">
        <f ca="1">IFERROR(__xludf.DUMMYFUNCTION("""COMPUTED_VALUE"""),"Yes")</f>
        <v>Yes</v>
      </c>
      <c r="B58" s="4" t="str">
        <f ca="1">IFERROR(__xludf.DUMMYFUNCTION("""COMPUTED_VALUE"""),"No")</f>
        <v>No</v>
      </c>
      <c r="C58" s="96"/>
      <c r="D58" s="96"/>
      <c r="E58" s="96"/>
      <c r="F58" s="96"/>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x14ac:dyDescent="0.25">
      <c r="A59" s="4" t="str">
        <f ca="1">IFERROR(__xludf.DUMMYFUNCTION("""COMPUTED_VALUE"""),"Yes")</f>
        <v>Yes</v>
      </c>
      <c r="B59" s="4" t="str">
        <f ca="1">IFERROR(__xludf.DUMMYFUNCTION("""COMPUTED_VALUE"""),"No")</f>
        <v>No</v>
      </c>
      <c r="C59" s="96"/>
      <c r="D59" s="96"/>
      <c r="E59" s="96"/>
      <c r="F59" s="96"/>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x14ac:dyDescent="0.25">
      <c r="A60" s="4" t="str">
        <f ca="1">IFERROR(__xludf.DUMMYFUNCTION("""COMPUTED_VALUE"""),"Yes")</f>
        <v>Yes</v>
      </c>
      <c r="B60" s="4" t="str">
        <f ca="1">IFERROR(__xludf.DUMMYFUNCTION("""COMPUTED_VALUE"""),"No")</f>
        <v>No</v>
      </c>
      <c r="C60" s="96"/>
      <c r="D60" s="96"/>
      <c r="E60" s="96"/>
      <c r="F60" s="96"/>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x14ac:dyDescent="0.25">
      <c r="A61" s="4" t="str">
        <f ca="1">IFERROR(__xludf.DUMMYFUNCTION("""COMPUTED_VALUE"""),"Yes")</f>
        <v>Yes</v>
      </c>
      <c r="B61" s="4" t="str">
        <f ca="1">IFERROR(__xludf.DUMMYFUNCTION("""COMPUTED_VALUE"""),"No")</f>
        <v>No</v>
      </c>
      <c r="C61" s="96"/>
      <c r="D61" s="96"/>
      <c r="E61" s="96"/>
      <c r="F61" s="96"/>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x14ac:dyDescent="0.25">
      <c r="A62" s="4" t="str">
        <f ca="1">IFERROR(__xludf.DUMMYFUNCTION("""COMPUTED_VALUE"""),"Yes")</f>
        <v>Yes</v>
      </c>
      <c r="B62" s="4" t="str">
        <f ca="1">IFERROR(__xludf.DUMMYFUNCTION("""COMPUTED_VALUE"""),"No")</f>
        <v>No</v>
      </c>
      <c r="C62" s="96"/>
      <c r="D62" s="96"/>
      <c r="E62" s="96"/>
      <c r="F62" s="96"/>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x14ac:dyDescent="0.25">
      <c r="A63" s="4" t="str">
        <f ca="1">IFERROR(__xludf.DUMMYFUNCTION("""COMPUTED_VALUE"""),"Yes")</f>
        <v>Yes</v>
      </c>
      <c r="B63" s="4" t="str">
        <f ca="1">IFERROR(__xludf.DUMMYFUNCTION("""COMPUTED_VALUE"""),"No")</f>
        <v>No</v>
      </c>
      <c r="C63" s="96"/>
      <c r="D63" s="96"/>
      <c r="E63" s="5" t="str">
        <f ca="1">IFERROR(__xludf.DUMMYFUNCTION("""COMPUTED_VALUE"""),"General comment")</f>
        <v>General comment</v>
      </c>
      <c r="F63" s="97" t="str">
        <f ca="1">IFERROR(__xludf.DUMMYFUNCTION("""COMPUTED_VALUE"""),"0:1")</f>
        <v>0:1</v>
      </c>
      <c r="G63" s="96"/>
      <c r="H63" s="96"/>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x14ac:dyDescent="0.25">
      <c r="A64" s="4" t="str">
        <f ca="1">IFERROR(__xludf.DUMMYFUNCTION("""COMPUTED_VALUE"""),"Yes")</f>
        <v>Yes</v>
      </c>
      <c r="B64" s="4" t="str">
        <f ca="1">IFERROR(__xludf.DUMMYFUNCTION("""COMPUTED_VALUE"""),"No")</f>
        <v>No</v>
      </c>
      <c r="C64" s="96"/>
      <c r="D64" s="96"/>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x14ac:dyDescent="0.25">
      <c r="A65" s="4" t="str">
        <f ca="1">IFERROR(__xludf.DUMMYFUNCTION("""COMPUTED_VALUE"""),"Yes")</f>
        <v>Yes</v>
      </c>
      <c r="B65" s="4" t="str">
        <f ca="1">IFERROR(__xludf.DUMMYFUNCTION("""COMPUTED_VALUE"""),"No")</f>
        <v>No</v>
      </c>
      <c r="C65" s="96"/>
      <c r="D65" s="96"/>
      <c r="E65" s="97" t="str">
        <f ca="1">IFERROR(__xludf.DUMMYFUNCTION("""COMPUTED_VALUE"""),"Spatial information")</f>
        <v>Spatial information</v>
      </c>
      <c r="F65" s="97"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x14ac:dyDescent="0.25">
      <c r="A66" s="4" t="str">
        <f ca="1">IFERROR(__xludf.DUMMYFUNCTION("""COMPUTED_VALUE"""),"Yes")</f>
        <v>Yes</v>
      </c>
      <c r="B66" s="4" t="str">
        <f ca="1">IFERROR(__xludf.DUMMYFUNCTION("""COMPUTED_VALUE"""),"No")</f>
        <v>No</v>
      </c>
      <c r="C66" s="96"/>
      <c r="D66" s="96"/>
      <c r="E66" s="96"/>
      <c r="F66" s="96"/>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x14ac:dyDescent="0.25">
      <c r="A67" s="4" t="str">
        <f ca="1">IFERROR(__xludf.DUMMYFUNCTION("""COMPUTED_VALUE"""),"Yes")</f>
        <v>Yes</v>
      </c>
      <c r="B67" s="4" t="str">
        <f ca="1">IFERROR(__xludf.DUMMYFUNCTION("""COMPUTED_VALUE"""),"No")</f>
        <v>No</v>
      </c>
      <c r="C67" s="95" t="str">
        <f ca="1">IFERROR(__xludf.DUMMYFUNCTION("""COMPUTED_VALUE"""),"Data_background")</f>
        <v>Data_background</v>
      </c>
      <c r="D67" s="95" t="str">
        <f ca="1">IFERROR(__xludf.DUMMYFUNCTION("""COMPUTED_VALUE"""),"0:1")</f>
        <v>0:1</v>
      </c>
      <c r="E67" s="97" t="str">
        <f ca="1">IFERROR(__xludf.DUMMYFUNCTION("""COMPUTED_VALUE"""),"Study")</f>
        <v>Study</v>
      </c>
      <c r="F67" s="97"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x14ac:dyDescent="0.25">
      <c r="A68" s="4" t="str">
        <f ca="1">IFERROR(__xludf.DUMMYFUNCTION("""COMPUTED_VALUE"""),"Yes")</f>
        <v>Yes</v>
      </c>
      <c r="B68" s="4" t="str">
        <f ca="1">IFERROR(__xludf.DUMMYFUNCTION("""COMPUTED_VALUE"""),"No")</f>
        <v>No</v>
      </c>
      <c r="C68" s="96"/>
      <c r="D68" s="96"/>
      <c r="E68" s="96"/>
      <c r="F68" s="96"/>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x14ac:dyDescent="0.25">
      <c r="A69" s="4" t="str">
        <f ca="1">IFERROR(__xludf.DUMMYFUNCTION("""COMPUTED_VALUE"""),"Yes")</f>
        <v>Yes</v>
      </c>
      <c r="B69" s="4" t="str">
        <f ca="1">IFERROR(__xludf.DUMMYFUNCTION("""COMPUTED_VALUE"""),"No")</f>
        <v>No</v>
      </c>
      <c r="C69" s="96"/>
      <c r="D69" s="96"/>
      <c r="E69" s="96"/>
      <c r="F69" s="96"/>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x14ac:dyDescent="0.25">
      <c r="A70" s="4" t="str">
        <f ca="1">IFERROR(__xludf.DUMMYFUNCTION("""COMPUTED_VALUE"""),"Yes")</f>
        <v>Yes</v>
      </c>
      <c r="B70" s="4" t="str">
        <f ca="1">IFERROR(__xludf.DUMMYFUNCTION("""COMPUTED_VALUE"""),"No")</f>
        <v>No</v>
      </c>
      <c r="C70" s="96"/>
      <c r="D70" s="96"/>
      <c r="E70" s="96"/>
      <c r="F70" s="96"/>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x14ac:dyDescent="0.25">
      <c r="A71" s="4" t="str">
        <f ca="1">IFERROR(__xludf.DUMMYFUNCTION("""COMPUTED_VALUE"""),"Yes")</f>
        <v>Yes</v>
      </c>
      <c r="B71" s="4" t="str">
        <f ca="1">IFERROR(__xludf.DUMMYFUNCTION("""COMPUTED_VALUE"""),"No")</f>
        <v>No</v>
      </c>
      <c r="C71" s="96"/>
      <c r="D71" s="96"/>
      <c r="E71" s="96"/>
      <c r="F71" s="96"/>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x14ac:dyDescent="0.25">
      <c r="A72" s="4" t="str">
        <f ca="1">IFERROR(__xludf.DUMMYFUNCTION("""COMPUTED_VALUE"""),"Yes")</f>
        <v>Yes</v>
      </c>
      <c r="B72" s="4" t="str">
        <f ca="1">IFERROR(__xludf.DUMMYFUNCTION("""COMPUTED_VALUE"""),"No")</f>
        <v>No</v>
      </c>
      <c r="C72" s="96"/>
      <c r="D72" s="96"/>
      <c r="E72" s="96"/>
      <c r="F72" s="96"/>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x14ac:dyDescent="0.25">
      <c r="A73" s="4" t="str">
        <f ca="1">IFERROR(__xludf.DUMMYFUNCTION("""COMPUTED_VALUE"""),"Yes")</f>
        <v>Yes</v>
      </c>
      <c r="B73" s="4" t="str">
        <f ca="1">IFERROR(__xludf.DUMMYFUNCTION("""COMPUTED_VALUE"""),"No")</f>
        <v>No</v>
      </c>
      <c r="C73" s="96"/>
      <c r="D73" s="96"/>
      <c r="E73" s="96"/>
      <c r="F73" s="96"/>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x14ac:dyDescent="0.25">
      <c r="A74" s="4" t="str">
        <f ca="1">IFERROR(__xludf.DUMMYFUNCTION("""COMPUTED_VALUE"""),"Yes")</f>
        <v>Yes</v>
      </c>
      <c r="B74" s="4" t="str">
        <f ca="1">IFERROR(__xludf.DUMMYFUNCTION("""COMPUTED_VALUE"""),"No")</f>
        <v>No</v>
      </c>
      <c r="C74" s="96"/>
      <c r="D74" s="96"/>
      <c r="E74" s="96"/>
      <c r="F74" s="96"/>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x14ac:dyDescent="0.25">
      <c r="A75" s="4" t="str">
        <f ca="1">IFERROR(__xludf.DUMMYFUNCTION("""COMPUTED_VALUE"""),"Yes")</f>
        <v>Yes</v>
      </c>
      <c r="B75" s="4" t="str">
        <f ca="1">IFERROR(__xludf.DUMMYFUNCTION("""COMPUTED_VALUE"""),"No")</f>
        <v>No</v>
      </c>
      <c r="C75" s="96"/>
      <c r="D75" s="96"/>
      <c r="E75" s="96"/>
      <c r="F75" s="96"/>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x14ac:dyDescent="0.25">
      <c r="A76" s="4" t="str">
        <f ca="1">IFERROR(__xludf.DUMMYFUNCTION("""COMPUTED_VALUE"""),"Yes")</f>
        <v>Yes</v>
      </c>
      <c r="B76" s="4" t="str">
        <f ca="1">IFERROR(__xludf.DUMMYFUNCTION("""COMPUTED_VALUE"""),"No")</f>
        <v>No</v>
      </c>
      <c r="C76" s="96"/>
      <c r="D76" s="96"/>
      <c r="E76" s="96"/>
      <c r="F76" s="96"/>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x14ac:dyDescent="0.25">
      <c r="A77" s="4" t="str">
        <f ca="1">IFERROR(__xludf.DUMMYFUNCTION("""COMPUTED_VALUE"""),"Yes")</f>
        <v>Yes</v>
      </c>
      <c r="B77" s="4" t="str">
        <f ca="1">IFERROR(__xludf.DUMMYFUNCTION("""COMPUTED_VALUE"""),"No")</f>
        <v>No</v>
      </c>
      <c r="C77" s="96"/>
      <c r="D77" s="96"/>
      <c r="E77" s="96"/>
      <c r="F77" s="96"/>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x14ac:dyDescent="0.25">
      <c r="A78" s="4" t="str">
        <f ca="1">IFERROR(__xludf.DUMMYFUNCTION("""COMPUTED_VALUE"""),"Yes")</f>
        <v>Yes</v>
      </c>
      <c r="B78" s="4" t="str">
        <f ca="1">IFERROR(__xludf.DUMMYFUNCTION("""COMPUTED_VALUE"""),"No")</f>
        <v>No</v>
      </c>
      <c r="C78" s="96"/>
      <c r="D78" s="96"/>
      <c r="E78" s="96"/>
      <c r="F78" s="96"/>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x14ac:dyDescent="0.25">
      <c r="A79" s="4" t="str">
        <f ca="1">IFERROR(__xludf.DUMMYFUNCTION("""COMPUTED_VALUE"""),"Yes")</f>
        <v>Yes</v>
      </c>
      <c r="B79" s="4" t="str">
        <f ca="1">IFERROR(__xludf.DUMMYFUNCTION("""COMPUTED_VALUE"""),"No")</f>
        <v>No</v>
      </c>
      <c r="C79" s="96"/>
      <c r="D79" s="96"/>
      <c r="E79" s="96"/>
      <c r="F79" s="96"/>
      <c r="G79" s="5" t="str">
        <f ca="1">IFERROR(__xludf.DUMMYFUNCTION("""COMPUTED_VALUE"""),"Study Protocol Version")</f>
        <v>Study Protocol Version</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x14ac:dyDescent="0.25">
      <c r="A80" s="4" t="str">
        <f ca="1">IFERROR(__xludf.DUMMYFUNCTION("""COMPUTED_VALUE"""),"Yes")</f>
        <v>Yes</v>
      </c>
      <c r="B80" s="4" t="str">
        <f ca="1">IFERROR(__xludf.DUMMYFUNCTION("""COMPUTED_VALUE"""),"No")</f>
        <v>No</v>
      </c>
      <c r="C80" s="96"/>
      <c r="D80" s="96"/>
      <c r="E80" s="96"/>
      <c r="F80" s="96"/>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x14ac:dyDescent="0.25">
      <c r="A81" s="4" t="str">
        <f ca="1">IFERROR(__xludf.DUMMYFUNCTION("""COMPUTED_VALUE"""),"Yes")</f>
        <v>Yes</v>
      </c>
      <c r="B81" s="4" t="str">
        <f ca="1">IFERROR(__xludf.DUMMYFUNCTION("""COMPUTED_VALUE"""),"No")</f>
        <v>No</v>
      </c>
      <c r="C81" s="96"/>
      <c r="D81" s="96"/>
      <c r="E81" s="96"/>
      <c r="F81" s="96"/>
      <c r="G81" s="5" t="str">
        <f ca="1">IFERROR(__xludf.DUMMYFUNCTION("""COMPUTED_VALUE"""),"Study Protocol Components Name")</f>
        <v>Study Protocol Components Name</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x14ac:dyDescent="0.25">
      <c r="A82" s="4" t="str">
        <f ca="1">IFERROR(__xludf.DUMMYFUNCTION("""COMPUTED_VALUE"""),"Yes")</f>
        <v>Yes</v>
      </c>
      <c r="B82" s="4" t="str">
        <f ca="1">IFERROR(__xludf.DUMMYFUNCTION("""COMPUTED_VALUE"""),"No")</f>
        <v>No</v>
      </c>
      <c r="C82" s="96"/>
      <c r="D82" s="96"/>
      <c r="E82" s="96"/>
      <c r="F82" s="96"/>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x14ac:dyDescent="0.25">
      <c r="A83" s="4" t="str">
        <f ca="1">IFERROR(__xludf.DUMMYFUNCTION("""COMPUTED_VALUE"""),"Yes")</f>
        <v>Yes</v>
      </c>
      <c r="B83" s="4" t="str">
        <f ca="1">IFERROR(__xludf.DUMMYFUNCTION("""COMPUTED_VALUE"""),"No")</f>
        <v>No</v>
      </c>
      <c r="C83" s="96"/>
      <c r="D83" s="96"/>
      <c r="E83" s="97" t="str">
        <f ca="1">IFERROR(__xludf.DUMMYFUNCTION("""COMPUTED_VALUE"""),"Study Sample")</f>
        <v>Study Sample</v>
      </c>
      <c r="F83" s="97" t="str">
        <f ca="1">IFERROR(__xludf.DUMMYFUNCTION("""COMPUTED_VALUE"""),"0:N")</f>
        <v>0:N</v>
      </c>
      <c r="G83" s="5" t="str">
        <f ca="1">IFERROR(__xludf.DUMMYFUNCTION("""COMPUTED_VALUE"""),"Sample Name (ID)")</f>
        <v>Sample Name (ID)</v>
      </c>
      <c r="H83" s="5" t="str">
        <f ca="1">IFERROR(__xludf.DUMMYFUNCTION("""COMPUTED_VALUE"""),"1")</f>
        <v>1</v>
      </c>
      <c r="I83" s="5"/>
      <c r="J83" s="13"/>
      <c r="K83" s="4"/>
      <c r="L83" s="99" t="str">
        <f ca="1">E83</f>
        <v>Study Sample</v>
      </c>
      <c r="M83" s="96"/>
      <c r="N83" s="96"/>
      <c r="O83" s="96"/>
      <c r="P83" s="96"/>
      <c r="Q83" s="96"/>
      <c r="R83" s="96"/>
      <c r="S83" s="96"/>
      <c r="T83" s="96"/>
      <c r="U83" s="96"/>
      <c r="V83" s="4"/>
      <c r="W83" s="4"/>
      <c r="X83" s="4"/>
      <c r="Y83" s="4"/>
      <c r="Z83" s="4"/>
      <c r="AA83" s="4"/>
      <c r="AB83" s="4"/>
      <c r="AC83" s="4"/>
      <c r="AD83" s="4"/>
      <c r="AE83" s="4"/>
      <c r="AF83" s="4"/>
      <c r="AG83" s="4"/>
      <c r="AH83" s="4"/>
      <c r="AI83" s="4"/>
      <c r="AJ83" s="4"/>
      <c r="AK83" s="4"/>
      <c r="AL83" s="4"/>
      <c r="AM83" s="4"/>
      <c r="AN83" s="4"/>
      <c r="AO83" s="4"/>
      <c r="AP83" s="4"/>
    </row>
    <row r="84" spans="1:42" ht="12.5" x14ac:dyDescent="0.25">
      <c r="A84" s="4" t="str">
        <f ca="1">IFERROR(__xludf.DUMMYFUNCTION("""COMPUTED_VALUE"""),"Yes")</f>
        <v>Yes</v>
      </c>
      <c r="B84" s="4" t="str">
        <f ca="1">IFERROR(__xludf.DUMMYFUNCTION("""COMPUTED_VALUE"""),"No")</f>
        <v>No</v>
      </c>
      <c r="C84" s="96"/>
      <c r="D84" s="96"/>
      <c r="E84" s="96"/>
      <c r="F84" s="96"/>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x14ac:dyDescent="0.25">
      <c r="A85" s="4" t="str">
        <f ca="1">IFERROR(__xludf.DUMMYFUNCTION("""COMPUTED_VALUE"""),"Yes")</f>
        <v>Yes</v>
      </c>
      <c r="B85" s="4" t="str">
        <f ca="1">IFERROR(__xludf.DUMMYFUNCTION("""COMPUTED_VALUE"""),"No")</f>
        <v>No</v>
      </c>
      <c r="C85" s="96"/>
      <c r="D85" s="96"/>
      <c r="E85" s="96"/>
      <c r="F85" s="96"/>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x14ac:dyDescent="0.25">
      <c r="A86" s="4" t="str">
        <f ca="1">IFERROR(__xludf.DUMMYFUNCTION("""COMPUTED_VALUE"""),"Yes")</f>
        <v>Yes</v>
      </c>
      <c r="B86" s="4" t="str">
        <f ca="1">IFERROR(__xludf.DUMMYFUNCTION("""COMPUTED_VALUE"""),"No")</f>
        <v>No</v>
      </c>
      <c r="C86" s="96"/>
      <c r="D86" s="96"/>
      <c r="E86" s="96"/>
      <c r="F86" s="96"/>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x14ac:dyDescent="0.25">
      <c r="A87" s="4" t="str">
        <f ca="1">IFERROR(__xludf.DUMMYFUNCTION("""COMPUTED_VALUE"""),"Yes")</f>
        <v>Yes</v>
      </c>
      <c r="B87" s="4" t="str">
        <f ca="1">IFERROR(__xludf.DUMMYFUNCTION("""COMPUTED_VALUE"""),"No")</f>
        <v>No</v>
      </c>
      <c r="C87" s="96"/>
      <c r="D87" s="96"/>
      <c r="E87" s="96"/>
      <c r="F87" s="96"/>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x14ac:dyDescent="0.25">
      <c r="A88" s="4" t="str">
        <f ca="1">IFERROR(__xludf.DUMMYFUNCTION("""COMPUTED_VALUE"""),"Yes")</f>
        <v>Yes</v>
      </c>
      <c r="B88" s="4" t="str">
        <f ca="1">IFERROR(__xludf.DUMMYFUNCTION("""COMPUTED_VALUE"""),"No")</f>
        <v>No</v>
      </c>
      <c r="C88" s="96"/>
      <c r="D88" s="96"/>
      <c r="E88" s="96"/>
      <c r="F88" s="96"/>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x14ac:dyDescent="0.25">
      <c r="A89" s="4" t="str">
        <f ca="1">IFERROR(__xludf.DUMMYFUNCTION("""COMPUTED_VALUE"""),"Yes")</f>
        <v>Yes</v>
      </c>
      <c r="B89" s="4" t="str">
        <f ca="1">IFERROR(__xludf.DUMMYFUNCTION("""COMPUTED_VALUE"""),"No")</f>
        <v>No</v>
      </c>
      <c r="C89" s="96"/>
      <c r="D89" s="96"/>
      <c r="E89" s="96"/>
      <c r="F89" s="96"/>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x14ac:dyDescent="0.25">
      <c r="A90" s="4" t="str">
        <f ca="1">IFERROR(__xludf.DUMMYFUNCTION("""COMPUTED_VALUE"""),"Yes")</f>
        <v>Yes</v>
      </c>
      <c r="B90" s="4" t="str">
        <f ca="1">IFERROR(__xludf.DUMMYFUNCTION("""COMPUTED_VALUE"""),"No")</f>
        <v>No</v>
      </c>
      <c r="C90" s="96"/>
      <c r="D90" s="96"/>
      <c r="E90" s="96"/>
      <c r="F90" s="96"/>
      <c r="G90" s="5" t="str">
        <f ca="1">IFERROR(__xludf.DUMMYFUNCTION("""COMPUTED_VALUE"""),"Sampling size")</f>
        <v>Sampling size</v>
      </c>
      <c r="H90" s="5" t="str">
        <f ca="1">IFERROR(__xludf.DUMMYFUNCTION("""COMPUTED_VALUE"""),"1")</f>
        <v>1</v>
      </c>
      <c r="I90" s="5"/>
      <c r="J90" s="13"/>
      <c r="K90" s="4"/>
      <c r="L90" s="99" t="str">
        <f ca="1">E93</f>
        <v>Laboratory</v>
      </c>
      <c r="M90" s="96"/>
      <c r="N90" s="96"/>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x14ac:dyDescent="0.25">
      <c r="A91" s="4" t="str">
        <f ca="1">IFERROR(__xludf.DUMMYFUNCTION("""COMPUTED_VALUE"""),"Yes")</f>
        <v>Yes</v>
      </c>
      <c r="B91" s="4" t="str">
        <f ca="1">IFERROR(__xludf.DUMMYFUNCTION("""COMPUTED_VALUE"""),"No")</f>
        <v>No</v>
      </c>
      <c r="C91" s="96"/>
      <c r="D91" s="96"/>
      <c r="E91" s="96"/>
      <c r="F91" s="96"/>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x14ac:dyDescent="0.25">
      <c r="A92" s="4" t="str">
        <f ca="1">IFERROR(__xludf.DUMMYFUNCTION("""COMPUTED_VALUE"""),"Yes")</f>
        <v>Yes</v>
      </c>
      <c r="B92" s="4" t="str">
        <f ca="1">IFERROR(__xludf.DUMMYFUNCTION("""COMPUTED_VALUE"""),"No")</f>
        <v>No</v>
      </c>
      <c r="C92" s="96"/>
      <c r="D92" s="96"/>
      <c r="E92" s="96"/>
      <c r="F92" s="96"/>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x14ac:dyDescent="0.25">
      <c r="A93" s="4" t="str">
        <f ca="1">IFERROR(__xludf.DUMMYFUNCTION("""COMPUTED_VALUE"""),"Yes")</f>
        <v>Yes</v>
      </c>
      <c r="B93" s="4" t="str">
        <f ca="1">IFERROR(__xludf.DUMMYFUNCTION("""COMPUTED_VALUE"""),"No")</f>
        <v>No</v>
      </c>
      <c r="C93" s="96"/>
      <c r="D93" s="96"/>
      <c r="E93" s="97" t="str">
        <f ca="1">IFERROR(__xludf.DUMMYFUNCTION("""COMPUTED_VALUE"""),"Laboratory")</f>
        <v>Laboratory</v>
      </c>
      <c r="F93" s="97"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62"/>
      <c r="M93" s="63"/>
      <c r="N93" s="63"/>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x14ac:dyDescent="0.25">
      <c r="A94" s="4" t="str">
        <f ca="1">IFERROR(__xludf.DUMMYFUNCTION("""COMPUTED_VALUE"""),"Yes")</f>
        <v>Yes</v>
      </c>
      <c r="B94" s="4" t="str">
        <f ca="1">IFERROR(__xludf.DUMMYFUNCTION("""COMPUTED_VALUE"""),"No")</f>
        <v>No</v>
      </c>
      <c r="C94" s="96"/>
      <c r="D94" s="96"/>
      <c r="E94" s="96"/>
      <c r="F94" s="96"/>
      <c r="G94" s="5" t="str">
        <f ca="1">IFERROR(__xludf.DUMMYFUNCTION("""COMPUTED_VALUE"""),"Laboratory Name")</f>
        <v>Laboratory Name</v>
      </c>
      <c r="H94" s="5" t="str">
        <f ca="1">IFERROR(__xludf.DUMMYFUNCTION("""COMPUTED_VALUE"""),"0:1")</f>
        <v>0:1</v>
      </c>
      <c r="I94" s="5"/>
      <c r="J94" s="13"/>
      <c r="K94" s="4"/>
      <c r="L94" s="62"/>
      <c r="M94" s="63"/>
      <c r="N94" s="63"/>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x14ac:dyDescent="0.25">
      <c r="A95" s="4" t="str">
        <f ca="1">IFERROR(__xludf.DUMMYFUNCTION("""COMPUTED_VALUE"""),"Yes")</f>
        <v>Yes</v>
      </c>
      <c r="B95" s="4" t="str">
        <f ca="1">IFERROR(__xludf.DUMMYFUNCTION("""COMPUTED_VALUE"""),"No")</f>
        <v>No</v>
      </c>
      <c r="C95" s="96"/>
      <c r="D95" s="96"/>
      <c r="E95" s="96"/>
      <c r="F95" s="96"/>
      <c r="G95" s="5" t="str">
        <f ca="1">IFERROR(__xludf.DUMMYFUNCTION("""COMPUTED_VALUE"""),"Laboratory country")</f>
        <v>Laboratory country</v>
      </c>
      <c r="H95" s="5" t="str">
        <f ca="1">IFERROR(__xludf.DUMMYFUNCTION("""COMPUTED_VALUE"""),"0:1")</f>
        <v>0:1</v>
      </c>
      <c r="I95" s="5"/>
      <c r="J95" s="13"/>
      <c r="K95" s="4"/>
      <c r="L95" s="62"/>
      <c r="M95" s="63"/>
      <c r="N95" s="64"/>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x14ac:dyDescent="0.25">
      <c r="A96" s="4" t="str">
        <f ca="1">IFERROR(__xludf.DUMMYFUNCTION("""COMPUTED_VALUE"""),"Yes")</f>
        <v>Yes</v>
      </c>
      <c r="B96" s="4" t="str">
        <f ca="1">IFERROR(__xludf.DUMMYFUNCTION("""COMPUTED_VALUE"""),"No")</f>
        <v>No</v>
      </c>
      <c r="C96" s="96"/>
      <c r="D96" s="96"/>
      <c r="E96" s="97" t="str">
        <f ca="1">IFERROR(__xludf.DUMMYFUNCTION("""COMPUTED_VALUE"""),"Assay")</f>
        <v>Assay</v>
      </c>
      <c r="F96" s="97" t="str">
        <f ca="1">IFERROR(__xludf.DUMMYFUNCTION("""COMPUTED_VALUE"""),"0:N")</f>
        <v>0:N</v>
      </c>
      <c r="G96" s="5" t="str">
        <f ca="1">IFERROR(__xludf.DUMMYFUNCTION("""COMPUTED_VALUE"""),"Assay Name")</f>
        <v>Assay Name</v>
      </c>
      <c r="H96" s="5" t="str">
        <f ca="1">IFERROR(__xludf.DUMMYFUNCTION("""COMPUTED_VALUE"""),"1")</f>
        <v>1</v>
      </c>
      <c r="I96" s="5"/>
      <c r="J96" s="13"/>
      <c r="K96" s="4"/>
      <c r="L96" s="99" t="str">
        <f ca="1">E96</f>
        <v>Assay</v>
      </c>
      <c r="M96" s="96"/>
      <c r="N96" s="96"/>
      <c r="O96" s="96"/>
      <c r="P96" s="96"/>
      <c r="Q96" s="96"/>
      <c r="R96" s="96"/>
      <c r="S96" s="96"/>
      <c r="T96" s="96"/>
      <c r="U96" s="4"/>
      <c r="V96" s="4"/>
      <c r="W96" s="4"/>
      <c r="X96" s="4"/>
      <c r="Y96" s="4"/>
      <c r="Z96" s="4"/>
      <c r="AA96" s="4"/>
      <c r="AB96" s="4"/>
      <c r="AC96" s="4"/>
      <c r="AD96" s="4"/>
      <c r="AE96" s="4"/>
      <c r="AF96" s="4"/>
      <c r="AG96" s="4"/>
      <c r="AH96" s="4"/>
      <c r="AI96" s="4"/>
      <c r="AJ96" s="4"/>
      <c r="AK96" s="4"/>
      <c r="AL96" s="4"/>
      <c r="AM96" s="4"/>
      <c r="AN96" s="4"/>
      <c r="AO96" s="4"/>
      <c r="AP96" s="4"/>
    </row>
    <row r="97" spans="1:42" ht="12.5" x14ac:dyDescent="0.25">
      <c r="A97" s="4" t="str">
        <f ca="1">IFERROR(__xludf.DUMMYFUNCTION("""COMPUTED_VALUE"""),"Yes")</f>
        <v>Yes</v>
      </c>
      <c r="B97" s="4" t="str">
        <f ca="1">IFERROR(__xludf.DUMMYFUNCTION("""COMPUTED_VALUE"""),"No")</f>
        <v>No</v>
      </c>
      <c r="C97" s="96"/>
      <c r="D97" s="96"/>
      <c r="E97" s="96"/>
      <c r="F97" s="96"/>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x14ac:dyDescent="0.25">
      <c r="A98" s="4" t="str">
        <f ca="1">IFERROR(__xludf.DUMMYFUNCTION("""COMPUTED_VALUE"""),"Yes")</f>
        <v>Yes</v>
      </c>
      <c r="B98" s="4" t="str">
        <f ca="1">IFERROR(__xludf.DUMMYFUNCTION("""COMPUTED_VALUE"""),"No")</f>
        <v>No</v>
      </c>
      <c r="C98" s="96"/>
      <c r="D98" s="96"/>
      <c r="E98" s="96"/>
      <c r="F98" s="96"/>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x14ac:dyDescent="0.25">
      <c r="A99" s="4" t="str">
        <f ca="1">IFERROR(__xludf.DUMMYFUNCTION("""COMPUTED_VALUE"""),"Yes")</f>
        <v>Yes</v>
      </c>
      <c r="B99" s="4" t="str">
        <f ca="1">IFERROR(__xludf.DUMMYFUNCTION("""COMPUTED_VALUE"""),"No")</f>
        <v>No</v>
      </c>
      <c r="C99" s="96"/>
      <c r="D99" s="96"/>
      <c r="E99" s="96"/>
      <c r="F99" s="96"/>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x14ac:dyDescent="0.25">
      <c r="A100" s="4" t="str">
        <f ca="1">IFERROR(__xludf.DUMMYFUNCTION("""COMPUTED_VALUE"""),"Yes")</f>
        <v>Yes</v>
      </c>
      <c r="B100" s="4" t="str">
        <f ca="1">IFERROR(__xludf.DUMMYFUNCTION("""COMPUTED_VALUE"""),"No")</f>
        <v>No</v>
      </c>
      <c r="C100" s="96"/>
      <c r="D100" s="96"/>
      <c r="E100" s="96"/>
      <c r="F100" s="96"/>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x14ac:dyDescent="0.25">
      <c r="A101" s="4" t="str">
        <f ca="1">IFERROR(__xludf.DUMMYFUNCTION("""COMPUTED_VALUE"""),"Yes")</f>
        <v>Yes</v>
      </c>
      <c r="B101" s="4" t="str">
        <f ca="1">IFERROR(__xludf.DUMMYFUNCTION("""COMPUTED_VALUE"""),"No")</f>
        <v>No</v>
      </c>
      <c r="C101" s="96"/>
      <c r="D101" s="96"/>
      <c r="E101" s="96"/>
      <c r="F101" s="96"/>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x14ac:dyDescent="0.25">
      <c r="A102" s="4" t="str">
        <f ca="1">IFERROR(__xludf.DUMMYFUNCTION("""COMPUTED_VALUE"""),"Yes")</f>
        <v>Yes</v>
      </c>
      <c r="B102" s="4" t="str">
        <f ca="1">IFERROR(__xludf.DUMMYFUNCTION("""COMPUTED_VALUE"""),"No")</f>
        <v>No</v>
      </c>
      <c r="C102" s="96"/>
      <c r="D102" s="96"/>
      <c r="E102" s="96"/>
      <c r="F102" s="96"/>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x14ac:dyDescent="0.25">
      <c r="A103" s="4" t="str">
        <f ca="1">IFERROR(__xludf.DUMMYFUNCTION("""COMPUTED_VALUE"""),"Yes")</f>
        <v>Yes</v>
      </c>
      <c r="B103" s="4" t="str">
        <f ca="1">IFERROR(__xludf.DUMMYFUNCTION("""COMPUTED_VALUE"""),"No")</f>
        <v>No</v>
      </c>
      <c r="C103" s="96"/>
      <c r="D103" s="96"/>
      <c r="E103" s="96"/>
      <c r="F103" s="96"/>
      <c r="G103" s="5" t="str">
        <f ca="1">IFERROR(__xludf.DUMMYFUNCTION("""COMPUTED_VALUE"""),"Range of contamination")</f>
        <v>Range of contamination</v>
      </c>
      <c r="H103" s="5" t="str">
        <f ca="1">IFERROR(__xludf.DUMMYFUNCTION("""COMPUTED_VALUE"""),"0:1")</f>
        <v>0:1</v>
      </c>
      <c r="I103" s="5"/>
      <c r="J103" s="13"/>
      <c r="K103" s="4"/>
      <c r="L103" s="23"/>
      <c r="M103" s="23"/>
      <c r="N103" s="23"/>
      <c r="O103" s="23"/>
      <c r="P103" s="23"/>
      <c r="Q103" s="23"/>
      <c r="R103" s="23"/>
      <c r="S103" s="23"/>
      <c r="T103" s="23"/>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x14ac:dyDescent="0.25">
      <c r="A104" s="4" t="str">
        <f ca="1">IFERROR(__xludf.DUMMYFUNCTION("""COMPUTED_VALUE"""),"Yes")</f>
        <v>Yes</v>
      </c>
      <c r="B104" s="4" t="str">
        <f ca="1">IFERROR(__xludf.DUMMYFUNCTION("""COMPUTED_VALUE"""),"No")</f>
        <v>No</v>
      </c>
      <c r="C104" s="96"/>
      <c r="D104" s="96"/>
      <c r="E104" s="96"/>
      <c r="F104" s="96"/>
      <c r="G104" s="5" t="str">
        <f ca="1">IFERROR(__xludf.DUMMYFUNCTION("""COMPUTED_VALUE"""),"Uncertainty value")</f>
        <v>Uncertainty value</v>
      </c>
      <c r="H104" s="5" t="str">
        <f ca="1">IFERROR(__xludf.DUMMYFUNCTION("""COMPUTED_VALUE"""),"0:1")</f>
        <v>0:1</v>
      </c>
      <c r="I104" s="5"/>
      <c r="J104" s="13"/>
      <c r="K104" s="4"/>
      <c r="L104" s="23"/>
      <c r="M104" s="98" t="str">
        <f ca="1">E123</f>
        <v>Quality measures</v>
      </c>
      <c r="N104" s="96"/>
      <c r="O104" s="23"/>
      <c r="P104" s="98" t="str">
        <f ca="1">E125</f>
        <v>Model equation</v>
      </c>
      <c r="Q104" s="96"/>
      <c r="R104" s="96"/>
      <c r="S104" s="96"/>
      <c r="T104" s="96"/>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x14ac:dyDescent="0.25">
      <c r="A105" s="4" t="str">
        <f ca="1">IFERROR(__xludf.DUMMYFUNCTION("""COMPUTED_VALUE"""),"Yes")</f>
        <v>Yes</v>
      </c>
      <c r="B105" s="4" t="str">
        <f ca="1">IFERROR(__xludf.DUMMYFUNCTION("""COMPUTED_VALUE"""),"Yes")</f>
        <v>Yes</v>
      </c>
      <c r="C105" s="95" t="str">
        <f ca="1">IFERROR(__xludf.DUMMYFUNCTION("""COMPUTED_VALUE"""),"Model math / Data definition")</f>
        <v>Model math / Data definition</v>
      </c>
      <c r="D105" s="95" t="str">
        <f ca="1">IFERROR(__xludf.DUMMYFUNCTION("""COMPUTED_VALUE"""),"1")</f>
        <v>1</v>
      </c>
      <c r="E105" s="97" t="str">
        <f ca="1">IFERROR(__xludf.DUMMYFUNCTION("""COMPUTED_VALUE"""),"Parameter / Factor / Input / Output / ""Data column""")</f>
        <v>Parameter / Factor / Input / Output / "Data column"</v>
      </c>
      <c r="F105" s="97"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25" t="str">
        <f ca="1">G123</f>
        <v>SSE / MSE / RMSE / Rsquared / AIC / BIC</v>
      </c>
      <c r="N105" s="23" t="str">
        <f ca="1">G124</f>
        <v>Sensitivity analysis</v>
      </c>
      <c r="O105" s="24"/>
      <c r="P105" s="23" t="str">
        <f ca="1">G125</f>
        <v>Model equation name</v>
      </c>
      <c r="Q105" s="23" t="str">
        <f ca="1">G126</f>
        <v>Model equation class/distribution</v>
      </c>
      <c r="R105" s="23" t="str">
        <f ca="1">G130</f>
        <v>Model equation reference</v>
      </c>
      <c r="S105" s="23" t="str">
        <f ca="1">G131</f>
        <v>Model equation / Script</v>
      </c>
      <c r="T105" s="26" t="str">
        <f ca="1">G132</f>
        <v>Hypothesis of the model</v>
      </c>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x14ac:dyDescent="0.25">
      <c r="A106" s="4" t="str">
        <f ca="1">IFERROR(__xludf.DUMMYFUNCTION("""COMPUTED_VALUE"""),"Yes")</f>
        <v>Yes</v>
      </c>
      <c r="B106" s="4" t="str">
        <f ca="1">IFERROR(__xludf.DUMMYFUNCTION("""COMPUTED_VALUE"""),"Yes")</f>
        <v>Yes</v>
      </c>
      <c r="C106" s="96"/>
      <c r="D106" s="96"/>
      <c r="E106" s="96"/>
      <c r="F106" s="96"/>
      <c r="G106" s="5" t="str">
        <f ca="1">IFERROR(__xludf.DUMMYFUNCTION("""COMPUTED_VALUE"""),"Parameter classification")</f>
        <v>Parameter classification</v>
      </c>
      <c r="H106" s="5" t="str">
        <f ca="1">IFERROR(__xludf.DUMMYFUNCTION("""COMPUTED_VALUE"""),"1")</f>
        <v>1</v>
      </c>
      <c r="I106" s="5"/>
      <c r="J106" s="13"/>
      <c r="K106" s="4"/>
      <c r="L106" s="23"/>
      <c r="M106" t="str">
        <f ca="1">H123</f>
        <v>0:N</v>
      </c>
      <c r="N106" t="str">
        <f ca="1">H124</f>
        <v>0:N</v>
      </c>
      <c r="O106" s="23"/>
      <c r="P106" t="str">
        <f ca="1">H124</f>
        <v>0:N</v>
      </c>
      <c r="Q106" t="str">
        <f ca="1">H125</f>
        <v>1</v>
      </c>
      <c r="R106" t="str">
        <f ca="1">H130</f>
        <v>0:N</v>
      </c>
      <c r="S106" t="str">
        <f ca="1">H131</f>
        <v>1</v>
      </c>
      <c r="T106" t="str">
        <f ca="1">H132</f>
        <v>0:N</v>
      </c>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x14ac:dyDescent="0.25">
      <c r="A107" s="4" t="str">
        <f ca="1">IFERROR(__xludf.DUMMYFUNCTION("""COMPUTED_VALUE"""),"Yes")</f>
        <v>Yes</v>
      </c>
      <c r="B107" s="4" t="str">
        <f ca="1">IFERROR(__xludf.DUMMYFUNCTION("""COMPUTED_VALUE"""),"Yes")</f>
        <v>Yes</v>
      </c>
      <c r="C107" s="96"/>
      <c r="D107" s="96"/>
      <c r="E107" s="96"/>
      <c r="F107" s="96"/>
      <c r="G107" s="5" t="str">
        <f ca="1">IFERROR(__xludf.DUMMYFUNCTION("""COMPUTED_VALUE"""),"Parameter name")</f>
        <v>Parameter name</v>
      </c>
      <c r="H107" s="5" t="str">
        <f ca="1">IFERROR(__xludf.DUMMYFUNCTION("""COMPUTED_VALUE"""),"1")</f>
        <v>1</v>
      </c>
      <c r="I107" s="5"/>
      <c r="J107" s="13"/>
      <c r="K107" s="4"/>
      <c r="L107" s="29" t="s">
        <v>17</v>
      </c>
      <c r="M107" s="30"/>
      <c r="N107" s="31"/>
      <c r="O107" s="29"/>
      <c r="P107" s="46"/>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x14ac:dyDescent="0.25">
      <c r="A108" s="4" t="str">
        <f ca="1">IFERROR(__xludf.DUMMYFUNCTION("""COMPUTED_VALUE"""),"Yes")</f>
        <v>Yes</v>
      </c>
      <c r="B108" s="4" t="str">
        <f ca="1">IFERROR(__xludf.DUMMYFUNCTION("""COMPUTED_VALUE"""),"No")</f>
        <v>No</v>
      </c>
      <c r="C108" s="96"/>
      <c r="D108" s="96"/>
      <c r="E108" s="96"/>
      <c r="F108" s="96"/>
      <c r="G108" s="5" t="str">
        <f ca="1">IFERROR(__xludf.DUMMYFUNCTION("""COMPUTED_VALUE"""),"Parameter description")</f>
        <v>Parameter description</v>
      </c>
      <c r="H108" s="5" t="str">
        <f ca="1">IFERROR(__xludf.DUMMYFUNCTION("""COMPUTED_VALUE"""),"0:1")</f>
        <v>0:1</v>
      </c>
      <c r="I108" s="5"/>
      <c r="J108" s="13"/>
      <c r="K108" s="4"/>
      <c r="L108" s="29" t="s">
        <v>18</v>
      </c>
      <c r="M108" s="32"/>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x14ac:dyDescent="0.25">
      <c r="A109" s="4" t="str">
        <f ca="1">IFERROR(__xludf.DUMMYFUNCTION("""COMPUTED_VALUE"""),"Yes")</f>
        <v>Yes</v>
      </c>
      <c r="B109" s="4" t="str">
        <f ca="1">IFERROR(__xludf.DUMMYFUNCTION("""COMPUTED_VALUE"""),"Yes")</f>
        <v>Yes</v>
      </c>
      <c r="C109" s="96"/>
      <c r="D109" s="96"/>
      <c r="E109" s="96"/>
      <c r="F109" s="96"/>
      <c r="G109" s="5" t="str">
        <f ca="1">IFERROR(__xludf.DUMMYFUNCTION("""COMPUTED_VALUE"""),"Parameter unit")</f>
        <v>Parameter unit</v>
      </c>
      <c r="H109" s="5" t="str">
        <f ca="1">IFERROR(__xludf.DUMMYFUNCTION("""COMPUTED_VALUE"""),"1")</f>
        <v>1</v>
      </c>
      <c r="I109" s="5"/>
      <c r="J109" s="13"/>
      <c r="K109" s="4"/>
      <c r="L109" s="33" t="s">
        <v>19</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x14ac:dyDescent="0.25">
      <c r="A110" s="4" t="str">
        <f ca="1">IFERROR(__xludf.DUMMYFUNCTION("""COMPUTED_VALUE"""),"Yes")</f>
        <v>Yes</v>
      </c>
      <c r="B110" s="4" t="str">
        <f ca="1">IFERROR(__xludf.DUMMYFUNCTION("""COMPUTED_VALUE"""),"No")</f>
        <v>No</v>
      </c>
      <c r="C110" s="96"/>
      <c r="D110" s="96"/>
      <c r="E110" s="96"/>
      <c r="F110" s="96"/>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x14ac:dyDescent="0.25">
      <c r="A111" s="4" t="str">
        <f ca="1">IFERROR(__xludf.DUMMYFUNCTION("""COMPUTED_VALUE"""),"Yes")</f>
        <v>Yes</v>
      </c>
      <c r="B111" s="4" t="str">
        <f ca="1">IFERROR(__xludf.DUMMYFUNCTION("""COMPUTED_VALUE"""),"Yes")</f>
        <v>Yes</v>
      </c>
      <c r="C111" s="96"/>
      <c r="D111" s="96"/>
      <c r="E111" s="96"/>
      <c r="F111" s="96"/>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x14ac:dyDescent="0.25">
      <c r="A112" s="4" t="str">
        <f ca="1">IFERROR(__xludf.DUMMYFUNCTION("""COMPUTED_VALUE"""),"Yes")</f>
        <v>Yes</v>
      </c>
      <c r="B112" s="4" t="str">
        <f ca="1">IFERROR(__xludf.DUMMYFUNCTION("""COMPUTED_VALUE"""),"No")</f>
        <v>No</v>
      </c>
      <c r="C112" s="96"/>
      <c r="D112" s="96"/>
      <c r="E112" s="96"/>
      <c r="F112" s="96"/>
      <c r="G112" s="5" t="str">
        <f ca="1">IFERROR(__xludf.DUMMYFUNCTION("""COMPUTED_VALUE"""),"Parameter source")</f>
        <v>Parameter source</v>
      </c>
      <c r="H112" s="5" t="str">
        <f ca="1">IFERROR(__xludf.DUMMYFUNCTION("""COMPUTED_VALUE"""),"0:1")</f>
        <v>0:1</v>
      </c>
      <c r="I112" s="5"/>
      <c r="J112" s="41"/>
      <c r="K112" s="4"/>
      <c r="L112" s="8" t="s">
        <v>22</v>
      </c>
      <c r="M112" s="34"/>
      <c r="N112" s="31"/>
      <c r="U112" s="23"/>
      <c r="V112" s="23"/>
      <c r="W112" s="23"/>
      <c r="X112" s="23"/>
      <c r="Y112" s="23"/>
      <c r="Z112" s="23"/>
      <c r="AA112" s="23"/>
      <c r="AB112" s="4"/>
      <c r="AC112" s="4"/>
      <c r="AD112" s="4"/>
      <c r="AE112" s="4"/>
      <c r="AF112" s="4"/>
      <c r="AG112" s="4"/>
      <c r="AH112" s="4"/>
      <c r="AI112" s="4"/>
      <c r="AJ112" s="4"/>
      <c r="AK112" s="4"/>
      <c r="AL112" s="4"/>
      <c r="AM112" s="4"/>
      <c r="AN112" s="4"/>
      <c r="AO112" s="4"/>
      <c r="AP112" s="4"/>
    </row>
    <row r="113" spans="1:42" ht="12.5" x14ac:dyDescent="0.25">
      <c r="A113" s="4" t="str">
        <f ca="1">IFERROR(__xludf.DUMMYFUNCTION("""COMPUTED_VALUE"""),"Yes")</f>
        <v>Yes</v>
      </c>
      <c r="B113" s="4" t="str">
        <f ca="1">IFERROR(__xludf.DUMMYFUNCTION("""COMPUTED_VALUE"""),"Yes")</f>
        <v>Yes</v>
      </c>
      <c r="C113" s="96"/>
      <c r="D113" s="96"/>
      <c r="E113" s="96"/>
      <c r="F113" s="96"/>
      <c r="G113" s="5" t="str">
        <f ca="1">IFERROR(__xludf.DUMMYFUNCTION("""COMPUTED_VALUE"""),"Parameter subject")</f>
        <v>Parameter subject</v>
      </c>
      <c r="H113" s="5" t="str">
        <f ca="1">IFERROR(__xludf.DUMMYFUNCTION("""COMPUTED_VALUE"""),"0:1")</f>
        <v>0:1</v>
      </c>
      <c r="I113" s="5"/>
      <c r="J113" s="41"/>
      <c r="K113" s="4"/>
      <c r="L113" s="23"/>
      <c r="M113" s="23"/>
      <c r="N113" s="23"/>
      <c r="O113" s="23"/>
      <c r="P113" s="23"/>
      <c r="Q113" s="23"/>
      <c r="R113" s="23"/>
      <c r="S113" s="23"/>
      <c r="T113" s="23"/>
      <c r="U113" s="23"/>
      <c r="V113" s="23"/>
      <c r="W113" s="23"/>
      <c r="X113" s="23"/>
      <c r="Y113" s="23"/>
      <c r="Z113" s="23"/>
      <c r="AA113" s="23"/>
      <c r="AB113" s="4"/>
      <c r="AC113" s="4"/>
      <c r="AD113" s="4"/>
      <c r="AE113" s="4"/>
      <c r="AF113" s="4"/>
      <c r="AG113" s="4"/>
      <c r="AH113" s="4"/>
      <c r="AI113" s="4"/>
      <c r="AJ113" s="4"/>
      <c r="AK113" s="4"/>
      <c r="AL113" s="4"/>
      <c r="AM113" s="4"/>
      <c r="AN113" s="4"/>
      <c r="AO113" s="4"/>
      <c r="AP113" s="4"/>
    </row>
    <row r="114" spans="1:42" ht="12.5" x14ac:dyDescent="0.25">
      <c r="A114" s="4" t="str">
        <f ca="1">IFERROR(__xludf.DUMMYFUNCTION("""COMPUTED_VALUE"""),"Yes")</f>
        <v>Yes</v>
      </c>
      <c r="B114" s="4" t="str">
        <f ca="1">IFERROR(__xludf.DUMMYFUNCTION("""COMPUTED_VALUE"""),"Yes")</f>
        <v>Yes</v>
      </c>
      <c r="C114" s="96"/>
      <c r="D114" s="96"/>
      <c r="E114" s="96"/>
      <c r="F114" s="96"/>
      <c r="G114" s="5" t="str">
        <f ca="1">IFERROR(__xludf.DUMMYFUNCTION("""COMPUTED_VALUE"""),"Parameter distribution")</f>
        <v>Parameter distribution</v>
      </c>
      <c r="H114" s="5" t="str">
        <f ca="1">IFERROR(__xludf.DUMMYFUNCTION("""COMPUTED_VALUE"""),"0:1")</f>
        <v>0:1</v>
      </c>
      <c r="I114" s="5"/>
      <c r="J114" s="41"/>
      <c r="K114" s="35" t="s">
        <v>23</v>
      </c>
      <c r="L114" s="98" t="str">
        <f ca="1">E105</f>
        <v>Parameter / Factor / Input / Output / "Data column"</v>
      </c>
      <c r="M114" s="96"/>
      <c r="N114" s="96"/>
      <c r="O114" s="96"/>
      <c r="P114" s="96"/>
      <c r="Q114" s="96"/>
      <c r="R114" s="96"/>
      <c r="S114" s="96"/>
      <c r="T114" s="96"/>
      <c r="U114" s="96"/>
      <c r="V114" s="96"/>
      <c r="W114" s="96"/>
      <c r="X114" s="96"/>
      <c r="Y114" s="96"/>
      <c r="Z114" s="96"/>
      <c r="AA114" s="96"/>
      <c r="AB114" s="4"/>
      <c r="AC114" s="4"/>
      <c r="AD114" s="23"/>
      <c r="AE114" s="23"/>
      <c r="AF114" s="23"/>
      <c r="AG114" s="23"/>
      <c r="AH114" s="23"/>
      <c r="AI114" s="23"/>
      <c r="AJ114" s="23"/>
      <c r="AK114" s="23"/>
      <c r="AL114" s="23"/>
      <c r="AM114" s="23"/>
      <c r="AN114" s="23"/>
      <c r="AO114" s="23"/>
      <c r="AP114" s="23"/>
    </row>
    <row r="115" spans="1:42" ht="12.5" x14ac:dyDescent="0.25">
      <c r="A115" s="4" t="str">
        <f ca="1">IFERROR(__xludf.DUMMYFUNCTION("""COMPUTED_VALUE"""),"Yes")</f>
        <v>Yes</v>
      </c>
      <c r="B115" s="4" t="str">
        <f ca="1">IFERROR(__xludf.DUMMYFUNCTION("""COMPUTED_VALUE"""),"Yes")</f>
        <v>Yes</v>
      </c>
      <c r="C115" s="96"/>
      <c r="D115" s="96"/>
      <c r="E115" s="96"/>
      <c r="F115" s="96"/>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s="23" t="str">
        <f ca="1">G121</f>
        <v>Parameter value min</v>
      </c>
      <c r="AA115" s="23" t="str">
        <f ca="1">G122</f>
        <v>Parameter error</v>
      </c>
      <c r="AB115" s="23"/>
      <c r="AC115" s="23"/>
      <c r="AD115" s="23"/>
      <c r="AE115" s="23"/>
      <c r="AF115" s="23"/>
      <c r="AG115" s="23"/>
      <c r="AH115" s="23"/>
      <c r="AI115" s="23"/>
      <c r="AJ115" s="23"/>
      <c r="AK115" s="23"/>
      <c r="AL115" s="23"/>
      <c r="AM115" s="23"/>
      <c r="AN115" s="23"/>
      <c r="AO115" s="23"/>
    </row>
    <row r="116" spans="1:42" ht="12.5" x14ac:dyDescent="0.25">
      <c r="A116" s="4" t="str">
        <f ca="1">IFERROR(__xludf.DUMMYFUNCTION("""COMPUTED_VALUE"""),"Yes")</f>
        <v>Yes</v>
      </c>
      <c r="B116" s="4" t="str">
        <f ca="1">IFERROR(__xludf.DUMMYFUNCTION("""COMPUTED_VALUE"""),"Yes")</f>
        <v>Yes</v>
      </c>
      <c r="C116" s="96"/>
      <c r="D116" s="96"/>
      <c r="E116" s="96"/>
      <c r="F116" s="96"/>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s="27" t="str">
        <f ca="1">H121</f>
        <v>0:1</v>
      </c>
      <c r="AA116" s="27" t="str">
        <f ca="1">H122</f>
        <v>0:1</v>
      </c>
      <c r="AB116" s="23"/>
      <c r="AC116" s="4"/>
      <c r="AD116" s="4"/>
      <c r="AE116" s="4"/>
      <c r="AF116" s="4"/>
      <c r="AG116" s="4"/>
      <c r="AH116" s="4"/>
      <c r="AI116" s="4"/>
      <c r="AJ116" s="4"/>
      <c r="AK116" s="4"/>
      <c r="AL116" s="4"/>
      <c r="AM116" s="4"/>
      <c r="AN116" s="4"/>
      <c r="AO116" s="4"/>
    </row>
    <row r="117" spans="1:42" ht="12.5" x14ac:dyDescent="0.25">
      <c r="A117" s="4" t="str">
        <f ca="1">IFERROR(__xludf.DUMMYFUNCTION("""COMPUTED_VALUE"""),"Yes")</f>
        <v>Yes</v>
      </c>
      <c r="B117" s="4" t="str">
        <f ca="1">IFERROR(__xludf.DUMMYFUNCTION("""COMPUTED_VALUE"""),"No")</f>
        <v>No</v>
      </c>
      <c r="C117" s="96"/>
      <c r="D117" s="96"/>
      <c r="E117" s="96"/>
      <c r="F117" s="96"/>
      <c r="G117" s="5" t="str">
        <f ca="1">IFERROR(__xludf.DUMMYFUNCTION("""COMPUTED_VALUE"""),"Parameter value")</f>
        <v>Parameter value</v>
      </c>
      <c r="H117" s="5" t="str">
        <f ca="1">IFERROR(__xludf.DUMMYFUNCTION("""COMPUTED_VALUE"""),"0:1")</f>
        <v>0:1</v>
      </c>
      <c r="I117" s="5"/>
      <c r="J117" s="41"/>
      <c r="K117" s="4"/>
      <c r="L117" s="39"/>
      <c r="M117" s="40"/>
      <c r="N117" s="37"/>
      <c r="O117" s="37"/>
      <c r="P117" s="76" t="s">
        <v>25</v>
      </c>
      <c r="Q117" s="13">
        <f>'Parameter unit'!W3</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2" ht="12.5" x14ac:dyDescent="0.25">
      <c r="A118" s="4" t="str">
        <f ca="1">IFERROR(__xludf.DUMMYFUNCTION("""COMPUTED_VALUE"""),"Yes")</f>
        <v>Yes</v>
      </c>
      <c r="B118" s="4" t="str">
        <f ca="1">IFERROR(__xludf.DUMMYFUNCTION("""COMPUTED_VALUE"""),"No")</f>
        <v>No</v>
      </c>
      <c r="C118" s="96"/>
      <c r="D118" s="96"/>
      <c r="E118" s="96"/>
      <c r="F118" s="96"/>
      <c r="G118" s="5" t="str">
        <f ca="1">IFERROR(__xludf.DUMMYFUNCTION("""COMPUTED_VALUE"""),"Parameter Reference")</f>
        <v>Parameter Reference</v>
      </c>
      <c r="H118" s="5" t="str">
        <f ca="1">IFERROR(__xludf.DUMMYFUNCTION("""COMPUTED_VALUE"""),"0:1")</f>
        <v>0:1</v>
      </c>
      <c r="I118" s="5"/>
      <c r="J118" s="41"/>
      <c r="K118" s="4"/>
      <c r="L118" s="39"/>
      <c r="M118" s="37"/>
      <c r="N118" s="37"/>
      <c r="O118" s="37"/>
      <c r="P118" s="77" t="s">
        <v>25</v>
      </c>
      <c r="Q118" s="13">
        <f>'Parameter unit'!W4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x14ac:dyDescent="0.25">
      <c r="A119" s="4" t="str">
        <f ca="1">IFERROR(__xludf.DUMMYFUNCTION("""COMPUTED_VALUE"""),"Yes")</f>
        <v>Yes</v>
      </c>
      <c r="B119" s="4" t="str">
        <f ca="1">IFERROR(__xludf.DUMMYFUNCTION("""COMPUTED_VALUE"""),"No")</f>
        <v>No</v>
      </c>
      <c r="C119" s="96"/>
      <c r="D119" s="96"/>
      <c r="E119" s="96"/>
      <c r="F119" s="96"/>
      <c r="G119" s="5" t="str">
        <f ca="1">IFERROR(__xludf.DUMMYFUNCTION("""COMPUTED_VALUE"""),"Parameter variability subject")</f>
        <v>Parameter variability subject</v>
      </c>
      <c r="H119" s="5" t="str">
        <f ca="1">IFERROR(__xludf.DUMMYFUNCTION("""COMPUTED_VALUE"""),"0:1")</f>
        <v>0:1</v>
      </c>
      <c r="I119" s="5"/>
      <c r="J119" s="41"/>
      <c r="K119" s="4"/>
      <c r="L119" s="39"/>
      <c r="M119" s="37"/>
      <c r="N119" s="37"/>
      <c r="O119" s="37"/>
      <c r="P119" s="77" t="s">
        <v>25</v>
      </c>
      <c r="Q119" s="13">
        <f>'Parameter unit'!W5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x14ac:dyDescent="0.25">
      <c r="A120" s="4" t="str">
        <f ca="1">IFERROR(__xludf.DUMMYFUNCTION("""COMPUTED_VALUE"""),"Yes")</f>
        <v>Yes</v>
      </c>
      <c r="B120" s="4" t="str">
        <f ca="1">IFERROR(__xludf.DUMMYFUNCTION("""COMPUTED_VALUE"""),"No")</f>
        <v>No</v>
      </c>
      <c r="C120" s="96"/>
      <c r="D120" s="96"/>
      <c r="E120" s="96"/>
      <c r="F120" s="96"/>
      <c r="G120" s="5" t="str">
        <f ca="1">IFERROR(__xludf.DUMMYFUNCTION("""COMPUTED_VALUE"""),"Parameter value max")</f>
        <v>Parameter value max</v>
      </c>
      <c r="H120" s="5" t="str">
        <f ca="1">IFERROR(__xludf.DUMMYFUNCTION("""COMPUTED_VALUE"""),"0:1")</f>
        <v>0:1</v>
      </c>
      <c r="I120" s="5"/>
      <c r="J120" s="41"/>
      <c r="K120" s="4"/>
      <c r="L120" s="39"/>
      <c r="M120" s="37"/>
      <c r="N120" s="37"/>
      <c r="O120" s="37"/>
      <c r="P120" s="77" t="s">
        <v>25</v>
      </c>
      <c r="Q120" s="13">
        <f>'Parameter unit'!W6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x14ac:dyDescent="0.25">
      <c r="A121" s="4" t="str">
        <f ca="1">IFERROR(__xludf.DUMMYFUNCTION("""COMPUTED_VALUE"""),"Yes")</f>
        <v>Yes</v>
      </c>
      <c r="B121" s="4" t="str">
        <f ca="1">IFERROR(__xludf.DUMMYFUNCTION("""COMPUTED_VALUE"""),"No")</f>
        <v>No</v>
      </c>
      <c r="C121" s="96"/>
      <c r="D121" s="96"/>
      <c r="E121" s="96"/>
      <c r="F121" s="96"/>
      <c r="G121" s="5" t="str">
        <f ca="1">IFERROR(__xludf.DUMMYFUNCTION("""COMPUTED_VALUE"""),"Parameter value min")</f>
        <v>Parameter value min</v>
      </c>
      <c r="H121" s="5" t="str">
        <f ca="1">IFERROR(__xludf.DUMMYFUNCTION("""COMPUTED_VALUE"""),"0:1")</f>
        <v>0:1</v>
      </c>
      <c r="I121" s="5"/>
      <c r="J121" s="41"/>
      <c r="K121" s="4"/>
      <c r="L121" s="39"/>
      <c r="M121" s="37"/>
      <c r="N121" s="37"/>
      <c r="O121" s="37"/>
      <c r="P121" s="77" t="s">
        <v>25</v>
      </c>
      <c r="Q121" s="13">
        <f>'Parameter unit'!W7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x14ac:dyDescent="0.25">
      <c r="A122" s="4" t="str">
        <f ca="1">IFERROR(__xludf.DUMMYFUNCTION("""COMPUTED_VALUE"""),"Yes")</f>
        <v>Yes</v>
      </c>
      <c r="B122" s="4" t="str">
        <f ca="1">IFERROR(__xludf.DUMMYFUNCTION("""COMPUTED_VALUE"""),"No")</f>
        <v>No</v>
      </c>
      <c r="C122" s="96"/>
      <c r="D122" s="96"/>
      <c r="E122" s="96"/>
      <c r="F122" s="96"/>
      <c r="G122" s="5" t="str">
        <f ca="1">IFERROR(__xludf.DUMMYFUNCTION("""COMPUTED_VALUE"""),"Parameter error")</f>
        <v>Parameter error</v>
      </c>
      <c r="H122" s="5" t="str">
        <f ca="1">IFERROR(__xludf.DUMMYFUNCTION("""COMPUTED_VALUE"""),"0:1")</f>
        <v>0:1</v>
      </c>
      <c r="I122" s="5"/>
      <c r="J122" s="41"/>
      <c r="K122" s="4"/>
      <c r="L122" s="39"/>
      <c r="M122" s="37"/>
      <c r="N122" s="37"/>
      <c r="O122" s="37"/>
      <c r="P122" s="77" t="s">
        <v>25</v>
      </c>
      <c r="Q122" s="13">
        <f>'Parameter unit'!W8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x14ac:dyDescent="0.25">
      <c r="A123" s="4" t="str">
        <f ca="1">IFERROR(__xludf.DUMMYFUNCTION("""COMPUTED_VALUE"""),"Yes")</f>
        <v>Yes</v>
      </c>
      <c r="B123" s="4" t="str">
        <f ca="1">IFERROR(__xludf.DUMMYFUNCTION("""COMPUTED_VALUE"""),"No")</f>
        <v>No</v>
      </c>
      <c r="C123" s="96"/>
      <c r="D123" s="96"/>
      <c r="E123" s="97" t="str">
        <f ca="1">IFERROR(__xludf.DUMMYFUNCTION("""COMPUTED_VALUE"""),"Quality measures")</f>
        <v>Quality measures</v>
      </c>
      <c r="F123" s="97"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37"/>
      <c r="N123" s="37"/>
      <c r="O123" s="37"/>
      <c r="P123" s="77" t="s">
        <v>25</v>
      </c>
      <c r="Q123" s="13">
        <f>'Parameter unit'!W9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x14ac:dyDescent="0.25">
      <c r="A124" s="4" t="str">
        <f ca="1">IFERROR(__xludf.DUMMYFUNCTION("""COMPUTED_VALUE"""),"Yes")</f>
        <v>Yes</v>
      </c>
      <c r="B124" s="4" t="str">
        <f ca="1">IFERROR(__xludf.DUMMYFUNCTION("""COMPUTED_VALUE"""),"No")</f>
        <v>No</v>
      </c>
      <c r="C124" s="96"/>
      <c r="D124" s="96"/>
      <c r="E124" s="96"/>
      <c r="F124" s="96"/>
      <c r="G124" s="5" t="str">
        <f ca="1">IFERROR(__xludf.DUMMYFUNCTION("""COMPUTED_VALUE"""),"Sensitivity analysis")</f>
        <v>Sensitivity analysis</v>
      </c>
      <c r="H124" s="5" t="str">
        <f ca="1">IFERROR(__xludf.DUMMYFUNCTION("""COMPUTED_VALUE"""),"0:N")</f>
        <v>0:N</v>
      </c>
      <c r="I124" s="5"/>
      <c r="J124" s="41"/>
      <c r="K124" s="4"/>
      <c r="L124" s="39"/>
      <c r="M124" s="37"/>
      <c r="N124" s="37"/>
      <c r="O124" s="37"/>
      <c r="P124" s="77" t="s">
        <v>25</v>
      </c>
      <c r="Q124" s="13">
        <f>'Parameter unit'!W10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x14ac:dyDescent="0.25">
      <c r="A125" s="4" t="str">
        <f ca="1">IFERROR(__xludf.DUMMYFUNCTION("""COMPUTED_VALUE"""),"Yes")</f>
        <v>Yes</v>
      </c>
      <c r="B125" s="4" t="str">
        <f ca="1">IFERROR(__xludf.DUMMYFUNCTION("""COMPUTED_VALUE"""),"No")</f>
        <v>No</v>
      </c>
      <c r="C125" s="96"/>
      <c r="D125" s="96"/>
      <c r="E125" s="97" t="str">
        <f ca="1">IFERROR(__xludf.DUMMYFUNCTION("""COMPUTED_VALUE"""),"Model equation")</f>
        <v>Model equation</v>
      </c>
      <c r="F125" s="97"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37"/>
      <c r="N125" s="37"/>
      <c r="O125" s="37"/>
      <c r="P125" s="77" t="s">
        <v>25</v>
      </c>
      <c r="Q125" s="13">
        <f>'Parameter unit'!W11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x14ac:dyDescent="0.25">
      <c r="A126" s="4" t="str">
        <f ca="1">IFERROR(__xludf.DUMMYFUNCTION("""COMPUTED_VALUE"""),"Yes")</f>
        <v>Yes</v>
      </c>
      <c r="B126" s="4" t="str">
        <f ca="1">IFERROR(__xludf.DUMMYFUNCTION("""COMPUTED_VALUE"""),"No")</f>
        <v>No</v>
      </c>
      <c r="C126" s="96"/>
      <c r="D126" s="96"/>
      <c r="E126" s="96"/>
      <c r="F126" s="96"/>
      <c r="G126" s="5" t="str">
        <f ca="1">IFERROR(__xludf.DUMMYFUNCTION("""COMPUTED_VALUE"""),"Model equation class/distribution")</f>
        <v>Model equation class/distribution</v>
      </c>
      <c r="H126" s="5" t="str">
        <f ca="1">IFERROR(__xludf.DUMMYFUNCTION("""COMPUTED_VALUE"""),"0:1")</f>
        <v>0:1</v>
      </c>
      <c r="I126" s="5"/>
      <c r="J126" s="41"/>
      <c r="K126" s="4"/>
      <c r="L126" s="39"/>
      <c r="M126" s="37"/>
      <c r="N126" s="37"/>
      <c r="O126" s="37"/>
      <c r="P126" s="77" t="s">
        <v>25</v>
      </c>
      <c r="Q126" s="13">
        <f>'Parameter unit'!W12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x14ac:dyDescent="0.25">
      <c r="A127" s="4" t="str">
        <f ca="1">IFERROR(__xludf.DUMMYFUNCTION("""COMPUTED_VALUE"""),"Yes")</f>
        <v>Yes</v>
      </c>
      <c r="B127" s="4" t="str">
        <f ca="1">IFERROR(__xludf.DUMMYFUNCTION("""COMPUTED_VALUE"""),"No")</f>
        <v>No</v>
      </c>
      <c r="C127" s="96"/>
      <c r="D127" s="96"/>
      <c r="E127" s="96"/>
      <c r="F127" s="96"/>
      <c r="G127" s="5"/>
      <c r="H127" s="5"/>
      <c r="I127" s="5"/>
      <c r="J127" s="41"/>
      <c r="K127" s="4"/>
      <c r="L127" s="39"/>
      <c r="M127" s="37"/>
      <c r="N127" s="37"/>
      <c r="O127" s="37"/>
      <c r="P127" s="77" t="s">
        <v>25</v>
      </c>
      <c r="Q127" s="13">
        <f>'Parameter unit'!W13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x14ac:dyDescent="0.25">
      <c r="A128" s="4" t="str">
        <f ca="1">IFERROR(__xludf.DUMMYFUNCTION("""COMPUTED_VALUE"""),"Yes")</f>
        <v>Yes</v>
      </c>
      <c r="B128" s="4" t="str">
        <f ca="1">IFERROR(__xludf.DUMMYFUNCTION("""COMPUTED_VALUE"""),"No")</f>
        <v>No</v>
      </c>
      <c r="C128" s="96"/>
      <c r="D128" s="96"/>
      <c r="E128" s="96"/>
      <c r="F128" s="96"/>
      <c r="G128" s="5"/>
      <c r="H128" s="5"/>
      <c r="I128" s="5"/>
      <c r="J128" s="41"/>
      <c r="K128" s="4"/>
      <c r="L128" s="39"/>
      <c r="M128" s="37"/>
      <c r="N128" s="37"/>
      <c r="O128" s="37"/>
      <c r="P128" s="77" t="s">
        <v>25</v>
      </c>
      <c r="Q128" s="13">
        <f>'Parameter unit'!W14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x14ac:dyDescent="0.25">
      <c r="A129" s="4" t="str">
        <f ca="1">IFERROR(__xludf.DUMMYFUNCTION("""COMPUTED_VALUE"""),"Yes")</f>
        <v>Yes</v>
      </c>
      <c r="B129" s="4" t="str">
        <f ca="1">IFERROR(__xludf.DUMMYFUNCTION("""COMPUTED_VALUE"""),"No")</f>
        <v>No</v>
      </c>
      <c r="C129" s="96"/>
      <c r="D129" s="96"/>
      <c r="E129" s="96"/>
      <c r="F129" s="96"/>
      <c r="G129" s="5"/>
      <c r="H129" s="5"/>
      <c r="I129" s="5"/>
      <c r="J129" s="41"/>
      <c r="K129" s="4"/>
      <c r="L129" s="39"/>
      <c r="M129" s="37"/>
      <c r="N129" s="37"/>
      <c r="O129" s="37"/>
      <c r="P129" s="77" t="s">
        <v>25</v>
      </c>
      <c r="Q129" s="13">
        <f>'Parameter unit'!W15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x14ac:dyDescent="0.25">
      <c r="A130" s="4" t="str">
        <f ca="1">IFERROR(__xludf.DUMMYFUNCTION("""COMPUTED_VALUE"""),"Yes")</f>
        <v>Yes</v>
      </c>
      <c r="B130" s="4" t="str">
        <f ca="1">IFERROR(__xludf.DUMMYFUNCTION("""COMPUTED_VALUE"""),"No")</f>
        <v>No</v>
      </c>
      <c r="C130" s="96"/>
      <c r="D130" s="96"/>
      <c r="E130" s="96"/>
      <c r="F130" s="96"/>
      <c r="G130" s="5" t="str">
        <f ca="1">IFERROR(__xludf.DUMMYFUNCTION("""COMPUTED_VALUE"""),"Model equation reference")</f>
        <v>Model equation reference</v>
      </c>
      <c r="H130" s="5" t="str">
        <f ca="1">IFERROR(__xludf.DUMMYFUNCTION("""COMPUTED_VALUE"""),"0:N")</f>
        <v>0:N</v>
      </c>
      <c r="I130" s="5"/>
      <c r="J130" s="41"/>
      <c r="K130" s="4"/>
      <c r="L130" s="39"/>
      <c r="M130" s="37"/>
      <c r="N130" s="37"/>
      <c r="O130" s="37"/>
      <c r="P130" s="77" t="s">
        <v>25</v>
      </c>
      <c r="Q130" s="13">
        <f>'Parameter unit'!W16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x14ac:dyDescent="0.25">
      <c r="A131" s="4" t="str">
        <f ca="1">IFERROR(__xludf.DUMMYFUNCTION("""COMPUTED_VALUE"""),"Yes")</f>
        <v>Yes</v>
      </c>
      <c r="B131" s="4" t="str">
        <f ca="1">IFERROR(__xludf.DUMMYFUNCTION("""COMPUTED_VALUE"""),"No")</f>
        <v>No</v>
      </c>
      <c r="C131" s="96"/>
      <c r="D131" s="96"/>
      <c r="E131" s="96"/>
      <c r="F131" s="96"/>
      <c r="G131" s="5" t="str">
        <f ca="1">IFERROR(__xludf.DUMMYFUNCTION("""COMPUTED_VALUE"""),"Model equation / Script")</f>
        <v>Model equation / Script</v>
      </c>
      <c r="H131" s="5" t="str">
        <f ca="1">IFERROR(__xludf.DUMMYFUNCTION("""COMPUTED_VALUE"""),"1")</f>
        <v>1</v>
      </c>
      <c r="I131" s="5"/>
      <c r="J131" s="41"/>
      <c r="K131" s="4"/>
      <c r="L131" s="39"/>
      <c r="M131" s="37"/>
      <c r="N131" s="37"/>
      <c r="O131" s="37"/>
      <c r="P131" s="77" t="s">
        <v>25</v>
      </c>
      <c r="Q131" s="13">
        <f>'Parameter unit'!W17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x14ac:dyDescent="0.25">
      <c r="A132" s="4" t="str">
        <f ca="1">IFERROR(__xludf.DUMMYFUNCTION("""COMPUTED_VALUE"""),"Yes")</f>
        <v>Yes</v>
      </c>
      <c r="B132" s="4" t="str">
        <f ca="1">IFERROR(__xludf.DUMMYFUNCTION("""COMPUTED_VALUE"""),"No")</f>
        <v>No</v>
      </c>
      <c r="C132" s="96"/>
      <c r="D132" s="96"/>
      <c r="E132" s="96"/>
      <c r="F132" s="96"/>
      <c r="G132" s="5" t="str">
        <f ca="1">IFERROR(__xludf.DUMMYFUNCTION("""COMPUTED_VALUE"""),"Hypothesis of the model")</f>
        <v>Hypothesis of the model</v>
      </c>
      <c r="H132" s="5" t="str">
        <f ca="1">IFERROR(__xludf.DUMMYFUNCTION("""COMPUTED_VALUE"""),"0:N")</f>
        <v>0:N</v>
      </c>
      <c r="I132" s="5"/>
      <c r="J132" s="41"/>
      <c r="K132" s="4"/>
      <c r="L132" s="39"/>
      <c r="M132" s="37"/>
      <c r="N132" s="37"/>
      <c r="O132" s="37"/>
      <c r="P132" s="77" t="s">
        <v>25</v>
      </c>
      <c r="Q132" s="13">
        <f>'Parameter unit'!W18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x14ac:dyDescent="0.25">
      <c r="A133" s="4" t="str">
        <f ca="1">IFERROR(__xludf.DUMMYFUNCTION("""COMPUTED_VALUE"""),"Yes")</f>
        <v>Yes</v>
      </c>
      <c r="B133" s="4" t="str">
        <f ca="1">IFERROR(__xludf.DUMMYFUNCTION("""COMPUTED_VALUE"""),"No")</f>
        <v>No</v>
      </c>
      <c r="C133" s="96"/>
      <c r="D133" s="96"/>
      <c r="E133" s="5" t="str">
        <f ca="1">IFERROR(__xludf.DUMMYFUNCTION("""COMPUTED_VALUE"""),"Fitting procedure")</f>
        <v>Fitting procedure</v>
      </c>
      <c r="F133" s="97" t="str">
        <f ca="1">IFERROR(__xludf.DUMMYFUNCTION("""COMPUTED_VALUE"""),"0:1")</f>
        <v>0:1</v>
      </c>
      <c r="G133" s="96"/>
      <c r="H133" s="96"/>
      <c r="I133" s="5"/>
      <c r="J133" s="11"/>
      <c r="K133" s="4"/>
      <c r="L133" s="39"/>
      <c r="M133" s="37"/>
      <c r="N133" s="37"/>
      <c r="O133" s="37"/>
      <c r="P133" s="77" t="s">
        <v>25</v>
      </c>
      <c r="Q133" s="13">
        <f>'Parameter unit'!W19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x14ac:dyDescent="0.25">
      <c r="A134" s="4" t="str">
        <f ca="1">IFERROR(__xludf.DUMMYFUNCTION("""COMPUTED_VALUE"""),"Yes")</f>
        <v>Yes</v>
      </c>
      <c r="B134" s="4" t="str">
        <f ca="1">IFERROR(__xludf.DUMMYFUNCTION("""COMPUTED_VALUE"""),"No")</f>
        <v>No</v>
      </c>
      <c r="C134" s="96"/>
      <c r="D134" s="96"/>
      <c r="E134" s="97" t="str">
        <f ca="1">IFERROR(__xludf.DUMMYFUNCTION("""COMPUTED_VALUE"""),"Exposure")</f>
        <v>Exposure</v>
      </c>
      <c r="F134" s="97"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37"/>
      <c r="N134" s="37"/>
      <c r="O134" s="37"/>
      <c r="P134" s="77" t="s">
        <v>25</v>
      </c>
      <c r="Q134" s="13">
        <f>'Parameter unit'!W20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x14ac:dyDescent="0.25">
      <c r="A135" s="4" t="str">
        <f ca="1">IFERROR(__xludf.DUMMYFUNCTION("""COMPUTED_VALUE"""),"Yes")</f>
        <v>Yes</v>
      </c>
      <c r="B135" s="4" t="str">
        <f ca="1">IFERROR(__xludf.DUMMYFUNCTION("""COMPUTED_VALUE"""),"No")</f>
        <v>No</v>
      </c>
      <c r="C135" s="96"/>
      <c r="D135" s="96"/>
      <c r="E135" s="96"/>
      <c r="F135" s="96"/>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37"/>
      <c r="N135" s="37"/>
      <c r="O135" s="37"/>
      <c r="P135" s="77" t="s">
        <v>25</v>
      </c>
      <c r="Q135" s="13">
        <f>'Parameter unit'!W21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x14ac:dyDescent="0.25">
      <c r="A136" s="4" t="str">
        <f ca="1">IFERROR(__xludf.DUMMYFUNCTION("""COMPUTED_VALUE"""),"Yes")</f>
        <v>Yes</v>
      </c>
      <c r="B136" s="4" t="str">
        <f ca="1">IFERROR(__xludf.DUMMYFUNCTION("""COMPUTED_VALUE"""),"No")</f>
        <v>No</v>
      </c>
      <c r="C136" s="96"/>
      <c r="D136" s="96"/>
      <c r="E136" s="96"/>
      <c r="F136" s="96"/>
      <c r="G136" s="5" t="str">
        <f ca="1">IFERROR(__xludf.DUMMYFUNCTION("""COMPUTED_VALUE"""),"Type of exposure")</f>
        <v>Type of exposure</v>
      </c>
      <c r="H136" s="5" t="str">
        <f ca="1">IFERROR(__xludf.DUMMYFUNCTION("""COMPUTED_VALUE"""),"1")</f>
        <v>1</v>
      </c>
      <c r="I136" s="5"/>
      <c r="J136" s="11"/>
      <c r="K136" s="4"/>
      <c r="L136" s="39"/>
      <c r="M136" s="37"/>
      <c r="N136" s="37"/>
      <c r="O136" s="37"/>
      <c r="P136" s="77" t="s">
        <v>25</v>
      </c>
      <c r="Q136" s="13">
        <f>'Parameter unit'!W22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x14ac:dyDescent="0.25">
      <c r="A137" s="4" t="str">
        <f ca="1">IFERROR(__xludf.DUMMYFUNCTION("""COMPUTED_VALUE"""),"Yes")</f>
        <v>Yes</v>
      </c>
      <c r="B137" s="4" t="str">
        <f ca="1">IFERROR(__xludf.DUMMYFUNCTION("""COMPUTED_VALUE"""),"No")</f>
        <v>No</v>
      </c>
      <c r="C137" s="96"/>
      <c r="D137" s="96"/>
      <c r="E137" s="96"/>
      <c r="F137" s="96"/>
      <c r="G137" s="5" t="str">
        <f ca="1">IFERROR(__xludf.DUMMYFUNCTION("""COMPUTED_VALUE"""),"Scenario")</f>
        <v>Scenario</v>
      </c>
      <c r="H137" s="5" t="str">
        <f ca="1">IFERROR(__xludf.DUMMYFUNCTION("""COMPUTED_VALUE"""),"0:N")</f>
        <v>0:N</v>
      </c>
      <c r="I137" s="5"/>
      <c r="J137" s="11"/>
      <c r="K137" s="4"/>
      <c r="L137" s="23"/>
      <c r="M137" s="23"/>
      <c r="N137" s="23"/>
      <c r="O137" s="23"/>
      <c r="P137" s="23"/>
      <c r="Q137" s="23"/>
      <c r="R137" s="23"/>
      <c r="S137" s="23"/>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x14ac:dyDescent="0.25">
      <c r="A138" s="4" t="str">
        <f ca="1">IFERROR(__xludf.DUMMYFUNCTION("""COMPUTED_VALUE"""),"Yes")</f>
        <v>Yes</v>
      </c>
      <c r="B138" s="4" t="str">
        <f ca="1">IFERROR(__xludf.DUMMYFUNCTION("""COMPUTED_VALUE"""),"No")</f>
        <v>No</v>
      </c>
      <c r="C138" s="96"/>
      <c r="D138" s="96"/>
      <c r="E138" s="96"/>
      <c r="F138" s="96"/>
      <c r="G138" s="5" t="str">
        <f ca="1">IFERROR(__xludf.DUMMYFUNCTION("""COMPUTED_VALUE"""),"Uncertainty estimation")</f>
        <v>Uncertainty estimation</v>
      </c>
      <c r="H138" s="5" t="str">
        <f ca="1">IFERROR(__xludf.DUMMYFUNCTION("""COMPUTED_VALUE"""),"0:1")</f>
        <v>0:1</v>
      </c>
      <c r="I138" s="5"/>
      <c r="J138" s="11"/>
      <c r="K138" s="4"/>
      <c r="L138" s="23"/>
      <c r="M138" s="23"/>
      <c r="N138" s="23"/>
      <c r="O138" s="23"/>
      <c r="P138" s="23"/>
      <c r="Q138" s="23"/>
      <c r="R138" s="23"/>
      <c r="S138" s="23"/>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x14ac:dyDescent="0.25">
      <c r="A139" s="4" t="str">
        <f ca="1">IFERROR(__xludf.DUMMYFUNCTION("""COMPUTED_VALUE"""),"Yes")</f>
        <v>Yes</v>
      </c>
      <c r="B139" s="4" t="str">
        <f ca="1">IFERROR(__xludf.DUMMYFUNCTION("""COMPUTED_VALUE"""),"No")</f>
        <v>No</v>
      </c>
      <c r="C139" s="96"/>
      <c r="D139" s="96"/>
      <c r="E139" s="5" t="str">
        <f ca="1">IFERROR(__xludf.DUMMYFUNCTION("""COMPUTED_VALUE"""),"Events")</f>
        <v>Events</v>
      </c>
      <c r="F139" s="97" t="str">
        <f ca="1">IFERROR(__xludf.DUMMYFUNCTION("""COMPUTED_VALUE"""),"0:N")</f>
        <v>0:N</v>
      </c>
      <c r="G139" s="96"/>
      <c r="H139" s="96"/>
      <c r="I139" s="5"/>
      <c r="J139" s="41"/>
      <c r="K139" s="4"/>
      <c r="L139" s="23"/>
      <c r="M139" s="23"/>
      <c r="N139" s="23"/>
      <c r="O139" s="23"/>
      <c r="P139" s="23"/>
      <c r="Q139" s="23"/>
      <c r="R139" s="23"/>
      <c r="S139" s="23"/>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x14ac:dyDescent="0.25">
      <c r="A140" s="4"/>
      <c r="B140" s="4"/>
      <c r="C140" s="6"/>
      <c r="D140" s="23"/>
      <c r="E140" s="23"/>
      <c r="F140" s="23"/>
      <c r="G140" s="23"/>
      <c r="H140" s="23"/>
      <c r="I140" s="23"/>
      <c r="J140" s="23"/>
      <c r="K140" s="4"/>
      <c r="L140" s="23"/>
      <c r="M140" s="23"/>
      <c r="N140" s="23"/>
      <c r="O140" s="23"/>
      <c r="P140" s="23"/>
      <c r="Q140" s="23"/>
      <c r="R140" s="23"/>
      <c r="S140" s="23"/>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x14ac:dyDescent="0.25">
      <c r="A141" s="4"/>
      <c r="B141" s="4"/>
      <c r="C141" s="6"/>
      <c r="D141" s="23"/>
      <c r="E141" s="23"/>
      <c r="F141" s="23"/>
      <c r="G141" s="23"/>
      <c r="H141" s="23"/>
      <c r="I141" s="23"/>
      <c r="J141" s="23"/>
      <c r="K141" s="4"/>
      <c r="L141" s="23"/>
      <c r="M141" s="23"/>
      <c r="N141" s="23"/>
      <c r="O141" s="23"/>
      <c r="P141" s="23"/>
      <c r="Q141" s="23"/>
      <c r="R141" s="23"/>
      <c r="S141" s="23"/>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x14ac:dyDescent="0.25">
      <c r="A142" s="4"/>
      <c r="B142" s="4"/>
      <c r="C142" s="6"/>
      <c r="D142" s="23"/>
      <c r="E142" s="23"/>
      <c r="F142" s="23"/>
      <c r="G142" s="23"/>
      <c r="H142" s="23"/>
      <c r="I142" s="23"/>
      <c r="J142" s="23"/>
      <c r="K142" s="4"/>
      <c r="L142" s="23"/>
      <c r="M142" s="23"/>
      <c r="N142" s="23"/>
      <c r="O142" s="23"/>
      <c r="P142" s="23"/>
      <c r="Q142" s="23"/>
      <c r="R142" s="23"/>
      <c r="S142" s="23"/>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x14ac:dyDescent="0.25">
      <c r="A143" s="4"/>
      <c r="B143" s="4"/>
      <c r="C143" s="6"/>
      <c r="D143" s="23"/>
      <c r="E143" s="23"/>
      <c r="F143" s="23"/>
      <c r="G143" s="23"/>
      <c r="H143" s="23"/>
      <c r="I143" s="23"/>
      <c r="J143" s="23"/>
      <c r="K143" s="4"/>
      <c r="L143" s="23"/>
      <c r="M143" s="23"/>
      <c r="N143" s="23"/>
      <c r="O143" s="23"/>
      <c r="P143" s="23"/>
      <c r="Q143" s="23"/>
      <c r="R143" s="23"/>
      <c r="S143" s="23"/>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x14ac:dyDescent="0.25">
      <c r="A144" s="4"/>
      <c r="B144" s="4"/>
      <c r="C144" s="6"/>
      <c r="D144" s="23"/>
      <c r="E144" s="23"/>
      <c r="F144" s="23"/>
      <c r="G144" s="23"/>
      <c r="H144" s="23"/>
      <c r="I144" s="23"/>
      <c r="J144" s="23"/>
      <c r="K144" s="4"/>
      <c r="L144" s="23"/>
      <c r="M144" s="23"/>
      <c r="N144" s="23"/>
      <c r="O144" s="23"/>
      <c r="P144" s="23"/>
      <c r="Q144" s="23"/>
      <c r="R144" s="23"/>
      <c r="S144" s="23"/>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x14ac:dyDescent="0.25">
      <c r="A145" s="4"/>
      <c r="B145" s="4"/>
      <c r="C145" s="6"/>
      <c r="D145" s="23"/>
      <c r="E145" s="23"/>
      <c r="F145" s="23"/>
      <c r="G145" s="23"/>
      <c r="H145" s="23"/>
      <c r="I145" s="23"/>
      <c r="J145" s="23"/>
      <c r="K145" s="4"/>
      <c r="L145" s="23"/>
      <c r="M145" s="23"/>
      <c r="N145" s="23"/>
      <c r="O145" s="23"/>
      <c r="P145" s="23"/>
      <c r="Q145" s="23"/>
      <c r="R145" s="23"/>
      <c r="S145" s="23"/>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x14ac:dyDescent="0.25">
      <c r="A146" s="4"/>
      <c r="B146" s="4"/>
      <c r="C146" s="6"/>
      <c r="D146" s="23"/>
      <c r="E146" s="23"/>
      <c r="F146" s="23"/>
      <c r="G146" s="23"/>
      <c r="H146" s="23"/>
      <c r="I146" s="23"/>
      <c r="J146" s="23"/>
      <c r="K146" s="4"/>
      <c r="L146" s="23"/>
      <c r="M146" s="23"/>
      <c r="N146" s="23"/>
      <c r="O146" s="23"/>
      <c r="P146" s="23"/>
      <c r="Q146" s="23"/>
      <c r="R146" s="23"/>
      <c r="S146" s="23"/>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x14ac:dyDescent="0.25">
      <c r="A147" s="4"/>
      <c r="B147" s="4"/>
      <c r="C147" s="6"/>
      <c r="D147" s="23"/>
      <c r="E147" s="23"/>
      <c r="F147" s="23"/>
      <c r="G147" s="23"/>
      <c r="H147" s="23"/>
      <c r="I147" s="23"/>
      <c r="J147" s="23"/>
      <c r="K147" s="4"/>
      <c r="L147" s="23"/>
      <c r="M147" s="23"/>
      <c r="N147" s="23"/>
      <c r="O147" s="23"/>
      <c r="P147" s="23"/>
      <c r="Q147" s="23"/>
      <c r="R147" s="23"/>
      <c r="S147" s="23"/>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x14ac:dyDescent="0.25">
      <c r="A148" s="4"/>
      <c r="B148" s="4"/>
      <c r="C148" s="6"/>
      <c r="D148" s="23"/>
      <c r="E148" s="23"/>
      <c r="F148" s="23"/>
      <c r="G148" s="23"/>
      <c r="H148" s="23"/>
      <c r="I148" s="23"/>
      <c r="J148" s="23"/>
      <c r="K148" s="4"/>
      <c r="L148" s="23"/>
      <c r="M148" s="23"/>
      <c r="N148" s="23"/>
      <c r="O148" s="23"/>
      <c r="P148" s="23"/>
      <c r="Q148" s="23"/>
      <c r="R148" s="23"/>
      <c r="S148" s="23"/>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x14ac:dyDescent="0.25">
      <c r="A149" s="4"/>
      <c r="B149" s="4"/>
      <c r="C149" s="6"/>
      <c r="D149" s="23"/>
      <c r="E149" s="23"/>
      <c r="F149" s="23"/>
      <c r="G149" s="23"/>
      <c r="H149" s="23"/>
      <c r="I149" s="23"/>
      <c r="J149" s="23"/>
      <c r="K149" s="4"/>
      <c r="L149" s="23"/>
      <c r="M149" s="23"/>
      <c r="N149" s="23"/>
      <c r="O149" s="23"/>
      <c r="P149" s="23"/>
      <c r="Q149" s="23"/>
      <c r="R149" s="23"/>
      <c r="S149" s="23"/>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x14ac:dyDescent="0.25">
      <c r="A150" s="4"/>
      <c r="B150" s="4"/>
      <c r="C150" s="6"/>
      <c r="D150" s="23"/>
      <c r="E150" s="23"/>
      <c r="F150" s="23"/>
      <c r="G150" s="23"/>
      <c r="H150" s="23"/>
      <c r="I150" s="23"/>
      <c r="J150" s="23"/>
      <c r="K150" s="4"/>
      <c r="L150" s="23"/>
      <c r="M150" s="23"/>
      <c r="N150" s="23"/>
      <c r="O150" s="23"/>
      <c r="P150" s="23"/>
      <c r="Q150" s="23"/>
      <c r="R150" s="23"/>
      <c r="S150" s="23"/>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x14ac:dyDescent="0.25">
      <c r="A151" s="4"/>
      <c r="B151" s="4"/>
      <c r="C151" s="6"/>
      <c r="D151" s="23"/>
      <c r="E151" s="23"/>
      <c r="F151" s="23"/>
      <c r="G151" s="23"/>
      <c r="H151" s="23"/>
      <c r="I151" s="23"/>
      <c r="J151" s="23"/>
      <c r="K151" s="4"/>
      <c r="L151" s="23"/>
      <c r="M151" s="23"/>
      <c r="N151" s="23"/>
      <c r="O151" s="23"/>
      <c r="P151" s="23"/>
      <c r="Q151" s="23"/>
      <c r="R151" s="23"/>
      <c r="S151" s="23"/>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x14ac:dyDescent="0.25">
      <c r="A152" s="4"/>
      <c r="B152" s="4"/>
      <c r="C152" s="6"/>
      <c r="D152" s="23"/>
      <c r="E152" s="23"/>
      <c r="F152" s="23"/>
      <c r="G152" s="23"/>
      <c r="H152" s="23"/>
      <c r="I152" s="23"/>
      <c r="J152" s="23"/>
      <c r="K152" s="4"/>
      <c r="L152" s="23"/>
      <c r="M152" s="23"/>
      <c r="N152" s="23"/>
      <c r="O152" s="23"/>
      <c r="P152" s="23"/>
      <c r="Q152" s="23"/>
      <c r="R152" s="23"/>
      <c r="S152" s="23"/>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x14ac:dyDescent="0.25">
      <c r="A153" s="4"/>
      <c r="B153" s="4"/>
      <c r="C153" s="6"/>
      <c r="D153" s="23"/>
      <c r="E153" s="23"/>
      <c r="F153" s="23"/>
      <c r="G153" s="23"/>
      <c r="H153" s="23"/>
      <c r="I153" s="23"/>
      <c r="J153" s="23"/>
      <c r="K153" s="4"/>
      <c r="L153" s="23"/>
      <c r="M153" s="23"/>
      <c r="N153" s="23"/>
      <c r="O153" s="23"/>
      <c r="P153" s="23"/>
      <c r="Q153" s="23"/>
      <c r="R153" s="23"/>
      <c r="S153" s="23"/>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x14ac:dyDescent="0.25">
      <c r="A154" s="4"/>
      <c r="B154" s="4"/>
      <c r="C154" s="6"/>
      <c r="D154" s="23"/>
      <c r="E154" s="23"/>
      <c r="F154" s="23"/>
      <c r="G154" s="23"/>
      <c r="H154" s="23"/>
      <c r="I154" s="23"/>
      <c r="J154" s="23"/>
      <c r="K154" s="4"/>
      <c r="L154" s="23"/>
      <c r="M154" s="23"/>
      <c r="N154" s="23"/>
      <c r="O154" s="23"/>
      <c r="P154" s="23"/>
      <c r="Q154" s="23"/>
      <c r="R154" s="23"/>
      <c r="S154" s="23"/>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x14ac:dyDescent="0.25">
      <c r="A155" s="4"/>
      <c r="B155" s="4"/>
      <c r="C155" s="6"/>
      <c r="D155" s="23"/>
      <c r="E155" s="23"/>
      <c r="F155" s="23"/>
      <c r="G155" s="23"/>
      <c r="H155" s="23"/>
      <c r="I155" s="23"/>
      <c r="J155" s="23"/>
      <c r="K155" s="4"/>
      <c r="L155" s="23"/>
      <c r="M155" s="23"/>
      <c r="N155" s="23"/>
      <c r="O155" s="23"/>
      <c r="P155" s="23"/>
      <c r="Q155" s="23"/>
      <c r="R155" s="23"/>
      <c r="S155" s="23"/>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x14ac:dyDescent="0.25">
      <c r="A156" s="4"/>
      <c r="B156" s="4"/>
      <c r="C156" s="6"/>
      <c r="D156" s="23"/>
      <c r="E156" s="23"/>
      <c r="F156" s="23"/>
      <c r="G156" s="23"/>
      <c r="H156" s="23"/>
      <c r="I156" s="23"/>
      <c r="J156" s="23"/>
      <c r="K156" s="4"/>
      <c r="L156" s="23"/>
      <c r="M156" s="23"/>
      <c r="N156" s="23"/>
      <c r="O156" s="23"/>
      <c r="P156" s="23"/>
      <c r="Q156" s="23"/>
      <c r="R156" s="23"/>
      <c r="S156" s="23"/>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x14ac:dyDescent="0.25">
      <c r="A157" s="4"/>
      <c r="B157" s="4"/>
      <c r="C157" s="6"/>
      <c r="D157" s="23"/>
      <c r="E157" s="23"/>
      <c r="F157" s="23"/>
      <c r="G157" s="23"/>
      <c r="H157" s="23"/>
      <c r="I157" s="23"/>
      <c r="J157" s="23"/>
      <c r="K157" s="4"/>
      <c r="L157" s="23"/>
      <c r="M157" s="23"/>
      <c r="N157" s="23"/>
      <c r="O157" s="23"/>
      <c r="P157" s="23"/>
      <c r="Q157" s="23"/>
      <c r="R157" s="23"/>
      <c r="S157" s="23"/>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x14ac:dyDescent="0.25">
      <c r="A158" s="4"/>
      <c r="B158" s="4"/>
      <c r="C158" s="6"/>
      <c r="D158" s="23"/>
      <c r="E158" s="23"/>
      <c r="F158" s="23"/>
      <c r="G158" s="23"/>
      <c r="H158" s="23"/>
      <c r="I158" s="23"/>
      <c r="J158" s="23"/>
      <c r="K158" s="4"/>
      <c r="L158" s="23"/>
      <c r="M158" s="23"/>
      <c r="N158" s="23"/>
      <c r="O158" s="23"/>
      <c r="P158" s="23"/>
      <c r="Q158" s="23"/>
      <c r="R158" s="23"/>
      <c r="S158" s="23"/>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x14ac:dyDescent="0.25">
      <c r="A159" s="4"/>
      <c r="B159" s="4"/>
      <c r="C159" s="6"/>
      <c r="D159" s="23"/>
      <c r="E159" s="23"/>
      <c r="F159" s="23"/>
      <c r="G159" s="23"/>
      <c r="H159" s="23"/>
      <c r="I159" s="23"/>
      <c r="J159" s="23"/>
      <c r="K159" s="4"/>
      <c r="L159" s="23"/>
      <c r="M159" s="23"/>
      <c r="N159" s="23"/>
      <c r="O159" s="23"/>
      <c r="P159" s="23"/>
      <c r="Q159" s="23"/>
      <c r="R159" s="23"/>
      <c r="S159" s="23"/>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x14ac:dyDescent="0.25">
      <c r="A160" s="4"/>
      <c r="B160" s="4"/>
      <c r="C160" s="6"/>
      <c r="D160" s="23"/>
      <c r="E160" s="23"/>
      <c r="F160" s="23"/>
      <c r="G160" s="23"/>
      <c r="H160" s="23"/>
      <c r="I160" s="23"/>
      <c r="J160" s="23"/>
      <c r="K160" s="4"/>
      <c r="L160" s="23"/>
      <c r="M160" s="23"/>
      <c r="N160" s="23"/>
      <c r="O160" s="23"/>
      <c r="P160" s="23"/>
      <c r="Q160" s="23"/>
      <c r="R160" s="23"/>
      <c r="S160" s="23"/>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x14ac:dyDescent="0.25">
      <c r="A161" s="4"/>
      <c r="B161" s="4"/>
      <c r="C161" s="6"/>
      <c r="D161" s="23"/>
      <c r="E161" s="23"/>
      <c r="F161" s="23"/>
      <c r="G161" s="23"/>
      <c r="H161" s="23"/>
      <c r="I161" s="23"/>
      <c r="J161" s="23"/>
      <c r="K161" s="4"/>
      <c r="L161" s="23"/>
      <c r="M161" s="23"/>
      <c r="N161" s="23"/>
      <c r="O161" s="23"/>
      <c r="P161" s="23"/>
      <c r="Q161" s="23"/>
      <c r="R161" s="23"/>
      <c r="S161" s="23"/>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x14ac:dyDescent="0.25">
      <c r="A162" s="4"/>
      <c r="B162" s="4"/>
      <c r="C162" s="6"/>
      <c r="D162" s="23"/>
      <c r="E162" s="23"/>
      <c r="F162" s="23"/>
      <c r="G162" s="23"/>
      <c r="H162" s="23"/>
      <c r="I162" s="23"/>
      <c r="J162" s="23"/>
      <c r="K162" s="4"/>
      <c r="L162" s="23"/>
      <c r="M162" s="23"/>
      <c r="N162" s="23"/>
      <c r="O162" s="23"/>
      <c r="P162" s="23"/>
      <c r="Q162" s="23"/>
      <c r="R162" s="23"/>
      <c r="S162" s="23"/>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x14ac:dyDescent="0.25">
      <c r="A163" s="4"/>
      <c r="B163" s="4"/>
      <c r="C163" s="6"/>
      <c r="D163" s="23"/>
      <c r="E163" s="23"/>
      <c r="F163" s="23"/>
      <c r="G163" s="23"/>
      <c r="H163" s="23"/>
      <c r="I163" s="23"/>
      <c r="J163" s="23"/>
      <c r="K163" s="4"/>
      <c r="L163" s="23"/>
      <c r="M163" s="23"/>
      <c r="N163" s="23"/>
      <c r="O163" s="23"/>
      <c r="P163" s="23"/>
      <c r="Q163" s="23"/>
      <c r="R163" s="23"/>
      <c r="S163" s="23"/>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x14ac:dyDescent="0.25">
      <c r="A164" s="4"/>
      <c r="B164" s="4"/>
      <c r="C164" s="6"/>
      <c r="D164" s="23"/>
      <c r="E164" s="23"/>
      <c r="F164" s="23"/>
      <c r="G164" s="23"/>
      <c r="H164" s="23"/>
      <c r="I164" s="23"/>
      <c r="J164" s="23"/>
      <c r="K164" s="4"/>
      <c r="L164" s="23"/>
      <c r="M164" s="23"/>
      <c r="N164" s="23"/>
      <c r="O164" s="23"/>
      <c r="P164" s="23"/>
      <c r="Q164" s="23"/>
      <c r="R164" s="23"/>
      <c r="S164" s="23"/>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x14ac:dyDescent="0.25">
      <c r="A165" s="4"/>
      <c r="B165" s="4"/>
      <c r="C165" s="6"/>
      <c r="D165" s="23"/>
      <c r="E165" s="23"/>
      <c r="F165" s="23"/>
      <c r="G165" s="23"/>
      <c r="H165" s="23"/>
      <c r="I165" s="23"/>
      <c r="J165" s="23"/>
      <c r="K165" s="4"/>
      <c r="L165" s="23"/>
      <c r="M165" s="23"/>
      <c r="N165" s="23"/>
      <c r="O165" s="23"/>
      <c r="P165" s="23"/>
      <c r="Q165" s="23"/>
      <c r="R165" s="23"/>
      <c r="S165" s="23"/>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x14ac:dyDescent="0.25">
      <c r="A166" s="4"/>
      <c r="B166" s="4"/>
      <c r="C166" s="6"/>
      <c r="D166" s="23"/>
      <c r="E166" s="23"/>
      <c r="F166" s="23"/>
      <c r="G166" s="23"/>
      <c r="H166" s="23"/>
      <c r="I166" s="23"/>
      <c r="J166" s="23"/>
      <c r="K166" s="4"/>
      <c r="L166" s="23"/>
      <c r="M166" s="23"/>
      <c r="N166" s="23"/>
      <c r="O166" s="23"/>
      <c r="P166" s="23"/>
      <c r="Q166" s="23"/>
      <c r="R166" s="23"/>
      <c r="S166" s="23"/>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x14ac:dyDescent="0.25">
      <c r="A167" s="4"/>
      <c r="B167" s="4"/>
      <c r="C167" s="6"/>
      <c r="D167" s="23"/>
      <c r="E167" s="23"/>
      <c r="F167" s="23"/>
      <c r="G167" s="23"/>
      <c r="H167" s="23"/>
      <c r="I167" s="23"/>
      <c r="J167" s="23"/>
      <c r="K167" s="4"/>
      <c r="L167" s="23"/>
      <c r="M167" s="23"/>
      <c r="N167" s="23"/>
      <c r="O167" s="23"/>
      <c r="P167" s="23"/>
      <c r="Q167" s="23"/>
      <c r="R167" s="23"/>
      <c r="S167" s="23"/>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x14ac:dyDescent="0.25">
      <c r="A168" s="4"/>
      <c r="B168" s="4"/>
      <c r="C168" s="6"/>
      <c r="D168" s="23"/>
      <c r="E168" s="23"/>
      <c r="F168" s="23"/>
      <c r="G168" s="23"/>
      <c r="H168" s="23"/>
      <c r="I168" s="23"/>
      <c r="J168" s="23"/>
      <c r="K168" s="4"/>
      <c r="L168" s="23"/>
      <c r="M168" s="23"/>
      <c r="N168" s="23"/>
      <c r="O168" s="23"/>
      <c r="P168" s="23"/>
      <c r="Q168" s="23"/>
      <c r="R168" s="23"/>
      <c r="S168" s="23"/>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x14ac:dyDescent="0.25">
      <c r="A169" s="4"/>
      <c r="B169" s="4"/>
      <c r="C169" s="6"/>
      <c r="D169" s="23"/>
      <c r="E169" s="23"/>
      <c r="F169" s="23"/>
      <c r="G169" s="23"/>
      <c r="H169" s="23"/>
      <c r="I169" s="23"/>
      <c r="J169" s="23"/>
      <c r="K169" s="4"/>
      <c r="L169" s="23"/>
      <c r="M169" s="23"/>
      <c r="N169" s="23"/>
      <c r="O169" s="23"/>
      <c r="P169" s="23"/>
      <c r="Q169" s="23"/>
      <c r="R169" s="23"/>
      <c r="S169" s="23"/>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x14ac:dyDescent="0.25">
      <c r="A170" s="4"/>
      <c r="B170" s="4"/>
      <c r="C170" s="6"/>
      <c r="D170" s="23"/>
      <c r="E170" s="23"/>
      <c r="F170" s="23"/>
      <c r="G170" s="23"/>
      <c r="H170" s="23"/>
      <c r="I170" s="23"/>
      <c r="J170" s="23"/>
      <c r="K170" s="4"/>
      <c r="L170" s="23"/>
      <c r="M170" s="23"/>
      <c r="N170" s="23"/>
      <c r="O170" s="23"/>
      <c r="P170" s="23"/>
      <c r="Q170" s="23"/>
      <c r="R170" s="23"/>
      <c r="S170" s="23"/>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x14ac:dyDescent="0.25">
      <c r="A171" s="4"/>
      <c r="B171" s="4"/>
      <c r="C171" s="6"/>
      <c r="D171" s="23"/>
      <c r="E171" s="23"/>
      <c r="F171" s="23"/>
      <c r="G171" s="23"/>
      <c r="H171" s="23"/>
      <c r="I171" s="23"/>
      <c r="J171" s="23"/>
      <c r="K171" s="4"/>
      <c r="L171" s="23"/>
      <c r="M171" s="23"/>
      <c r="N171" s="23"/>
      <c r="O171" s="23"/>
      <c r="P171" s="23"/>
      <c r="Q171" s="23"/>
      <c r="R171" s="23"/>
      <c r="S171" s="23"/>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x14ac:dyDescent="0.25">
      <c r="A172" s="4"/>
      <c r="B172" s="4"/>
      <c r="C172" s="6"/>
      <c r="D172" s="23"/>
      <c r="E172" s="23"/>
      <c r="F172" s="23"/>
      <c r="G172" s="23"/>
      <c r="H172" s="23"/>
      <c r="I172" s="23"/>
      <c r="J172" s="23"/>
      <c r="K172" s="4"/>
      <c r="L172" s="23"/>
      <c r="M172" s="23"/>
      <c r="N172" s="23"/>
      <c r="O172" s="23"/>
      <c r="P172" s="23"/>
      <c r="Q172" s="23"/>
      <c r="R172" s="23"/>
      <c r="S172" s="23"/>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x14ac:dyDescent="0.25">
      <c r="A173" s="4"/>
      <c r="B173" s="4"/>
      <c r="C173" s="6"/>
      <c r="D173" s="23"/>
      <c r="E173" s="23"/>
      <c r="F173" s="23"/>
      <c r="G173" s="23"/>
      <c r="H173" s="23"/>
      <c r="I173" s="23"/>
      <c r="J173" s="23"/>
      <c r="K173" s="4"/>
      <c r="L173" s="23"/>
      <c r="M173" s="23"/>
      <c r="N173" s="23"/>
      <c r="O173" s="23"/>
      <c r="P173" s="23"/>
      <c r="Q173" s="23"/>
      <c r="R173" s="23"/>
      <c r="S173" s="23"/>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x14ac:dyDescent="0.25">
      <c r="A174" s="4"/>
      <c r="B174" s="4"/>
      <c r="C174" s="6"/>
      <c r="D174" s="23"/>
      <c r="E174" s="23"/>
      <c r="F174" s="23"/>
      <c r="G174" s="23"/>
      <c r="H174" s="23"/>
      <c r="I174" s="23"/>
      <c r="J174" s="23"/>
      <c r="K174" s="4"/>
      <c r="L174" s="23"/>
      <c r="M174" s="23"/>
      <c r="N174" s="23"/>
      <c r="O174" s="23"/>
      <c r="P174" s="23"/>
      <c r="Q174" s="23"/>
      <c r="R174" s="23"/>
      <c r="S174" s="23"/>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x14ac:dyDescent="0.25">
      <c r="A175" s="4"/>
      <c r="B175" s="4"/>
      <c r="C175" s="6"/>
      <c r="D175" s="23"/>
      <c r="E175" s="23"/>
      <c r="F175" s="23"/>
      <c r="G175" s="23"/>
      <c r="H175" s="23"/>
      <c r="I175" s="23"/>
      <c r="J175" s="23"/>
      <c r="K175" s="4"/>
      <c r="L175" s="23"/>
      <c r="M175" s="23"/>
      <c r="N175" s="23"/>
      <c r="O175" s="23"/>
      <c r="P175" s="23"/>
      <c r="Q175" s="23"/>
      <c r="R175" s="23"/>
      <c r="S175" s="23"/>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x14ac:dyDescent="0.25">
      <c r="A176" s="4"/>
      <c r="B176" s="4"/>
      <c r="C176" s="6"/>
      <c r="D176" s="23"/>
      <c r="E176" s="23"/>
      <c r="F176" s="23"/>
      <c r="G176" s="23"/>
      <c r="H176" s="23"/>
      <c r="I176" s="23"/>
      <c r="J176" s="23"/>
      <c r="K176" s="4"/>
      <c r="L176" s="23"/>
      <c r="M176" s="23"/>
      <c r="N176" s="23"/>
      <c r="O176" s="23"/>
      <c r="P176" s="23"/>
      <c r="Q176" s="23"/>
      <c r="R176" s="23"/>
      <c r="S176" s="23"/>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x14ac:dyDescent="0.25">
      <c r="A177" s="4"/>
      <c r="B177" s="4"/>
      <c r="C177" s="6"/>
      <c r="D177" s="23"/>
      <c r="E177" s="23"/>
      <c r="F177" s="23"/>
      <c r="G177" s="23"/>
      <c r="H177" s="23"/>
      <c r="I177" s="23"/>
      <c r="J177" s="23"/>
      <c r="K177" s="4"/>
      <c r="L177" s="23"/>
      <c r="M177" s="23"/>
      <c r="N177" s="23"/>
      <c r="O177" s="23"/>
      <c r="P177" s="23"/>
      <c r="Q177" s="23"/>
      <c r="R177" s="23"/>
      <c r="S177" s="23"/>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x14ac:dyDescent="0.25">
      <c r="A178" s="4"/>
      <c r="B178" s="4"/>
      <c r="C178" s="6"/>
      <c r="D178" s="23"/>
      <c r="E178" s="23"/>
      <c r="F178" s="23"/>
      <c r="G178" s="23"/>
      <c r="H178" s="23"/>
      <c r="I178" s="23"/>
      <c r="J178" s="23"/>
      <c r="K178" s="4"/>
      <c r="L178" s="23"/>
      <c r="M178" s="23"/>
      <c r="N178" s="23"/>
      <c r="O178" s="23"/>
      <c r="P178" s="23"/>
      <c r="Q178" s="23"/>
      <c r="R178" s="23"/>
      <c r="S178" s="23"/>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x14ac:dyDescent="0.25">
      <c r="A179" s="4"/>
      <c r="B179" s="4"/>
      <c r="C179" s="6"/>
      <c r="D179" s="23"/>
      <c r="E179" s="23"/>
      <c r="F179" s="23"/>
      <c r="G179" s="23"/>
      <c r="H179" s="23"/>
      <c r="I179" s="23"/>
      <c r="J179" s="23"/>
      <c r="K179" s="4"/>
      <c r="L179" s="23"/>
      <c r="M179" s="23"/>
      <c r="N179" s="23"/>
      <c r="O179" s="23"/>
      <c r="P179" s="23"/>
      <c r="Q179" s="23"/>
      <c r="R179" s="23"/>
      <c r="S179" s="23"/>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x14ac:dyDescent="0.25">
      <c r="A180" s="4"/>
      <c r="B180" s="4"/>
      <c r="C180" s="6"/>
      <c r="D180" s="23"/>
      <c r="E180" s="23"/>
      <c r="F180" s="23"/>
      <c r="G180" s="23"/>
      <c r="H180" s="23"/>
      <c r="I180" s="23"/>
      <c r="J180" s="23"/>
      <c r="K180" s="4"/>
      <c r="L180" s="23"/>
      <c r="M180" s="23"/>
      <c r="N180" s="23"/>
      <c r="O180" s="23"/>
      <c r="P180" s="23"/>
      <c r="Q180" s="23"/>
      <c r="R180" s="23"/>
      <c r="S180" s="23"/>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x14ac:dyDescent="0.25">
      <c r="A181" s="4"/>
      <c r="B181" s="4"/>
      <c r="C181" s="6"/>
      <c r="D181" s="23"/>
      <c r="E181" s="23"/>
      <c r="F181" s="23"/>
      <c r="G181" s="23"/>
      <c r="H181" s="23"/>
      <c r="I181" s="23"/>
      <c r="J181" s="23"/>
      <c r="K181" s="4"/>
      <c r="L181" s="23"/>
      <c r="M181" s="23"/>
      <c r="N181" s="23"/>
      <c r="O181" s="23"/>
      <c r="P181" s="23"/>
      <c r="Q181" s="23"/>
      <c r="R181" s="23"/>
      <c r="S181" s="23"/>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x14ac:dyDescent="0.25">
      <c r="A182" s="4"/>
      <c r="B182" s="4"/>
      <c r="C182" s="6"/>
      <c r="D182" s="23"/>
      <c r="E182" s="23"/>
      <c r="F182" s="23"/>
      <c r="G182" s="23"/>
      <c r="H182" s="23"/>
      <c r="I182" s="23"/>
      <c r="J182" s="23"/>
      <c r="K182" s="4"/>
      <c r="L182" s="23"/>
      <c r="M182" s="23"/>
      <c r="N182" s="23"/>
      <c r="O182" s="23"/>
      <c r="P182" s="23"/>
      <c r="Q182" s="23"/>
      <c r="R182" s="23"/>
      <c r="S182" s="23"/>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x14ac:dyDescent="0.25">
      <c r="A183" s="4"/>
      <c r="B183" s="4"/>
      <c r="C183" s="6"/>
      <c r="D183" s="23"/>
      <c r="E183" s="23"/>
      <c r="F183" s="23"/>
      <c r="G183" s="23"/>
      <c r="H183" s="23"/>
      <c r="I183" s="23"/>
      <c r="J183" s="23"/>
      <c r="K183" s="4"/>
      <c r="L183" s="23"/>
      <c r="M183" s="23"/>
      <c r="N183" s="23"/>
      <c r="O183" s="23"/>
      <c r="P183" s="23"/>
      <c r="Q183" s="23"/>
      <c r="R183" s="23"/>
      <c r="S183" s="23"/>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x14ac:dyDescent="0.25">
      <c r="A184" s="4"/>
      <c r="B184" s="4"/>
      <c r="C184" s="6"/>
      <c r="D184" s="23"/>
      <c r="E184" s="23"/>
      <c r="F184" s="23"/>
      <c r="G184" s="23"/>
      <c r="H184" s="23"/>
      <c r="I184" s="23"/>
      <c r="J184" s="23"/>
      <c r="K184" s="4"/>
      <c r="L184" s="23"/>
      <c r="M184" s="23"/>
      <c r="N184" s="23"/>
      <c r="O184" s="23"/>
      <c r="P184" s="23"/>
      <c r="Q184" s="23"/>
      <c r="R184" s="23"/>
      <c r="S184" s="23"/>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x14ac:dyDescent="0.25">
      <c r="A185" s="4"/>
      <c r="B185" s="4"/>
      <c r="C185" s="6"/>
      <c r="D185" s="23"/>
      <c r="E185" s="23"/>
      <c r="F185" s="23"/>
      <c r="G185" s="23"/>
      <c r="H185" s="23"/>
      <c r="I185" s="23"/>
      <c r="J185" s="23"/>
      <c r="K185" s="4"/>
      <c r="L185" s="23"/>
      <c r="M185" s="23"/>
      <c r="N185" s="23"/>
      <c r="O185" s="23"/>
      <c r="P185" s="23"/>
      <c r="Q185" s="23"/>
      <c r="R185" s="23"/>
      <c r="S185" s="23"/>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x14ac:dyDescent="0.25">
      <c r="A186" s="4"/>
      <c r="B186" s="4"/>
      <c r="C186" s="6"/>
      <c r="D186" s="23"/>
      <c r="E186" s="23"/>
      <c r="F186" s="23"/>
      <c r="G186" s="23"/>
      <c r="H186" s="23"/>
      <c r="I186" s="23"/>
      <c r="J186" s="23"/>
      <c r="K186" s="4"/>
      <c r="L186" s="23"/>
      <c r="M186" s="23"/>
      <c r="N186" s="23"/>
      <c r="O186" s="23"/>
      <c r="P186" s="23"/>
      <c r="Q186" s="23"/>
      <c r="R186" s="23"/>
      <c r="S186" s="23"/>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x14ac:dyDescent="0.25">
      <c r="A187" s="4"/>
      <c r="B187" s="4"/>
      <c r="C187" s="6"/>
      <c r="D187" s="23"/>
      <c r="E187" s="23"/>
      <c r="F187" s="23"/>
      <c r="G187" s="23"/>
      <c r="H187" s="23"/>
      <c r="I187" s="23"/>
      <c r="J187" s="23"/>
      <c r="K187" s="4"/>
      <c r="L187" s="23"/>
      <c r="M187" s="23"/>
      <c r="N187" s="23"/>
      <c r="O187" s="23"/>
      <c r="P187" s="23"/>
      <c r="Q187" s="23"/>
      <c r="R187" s="23"/>
      <c r="S187" s="23"/>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x14ac:dyDescent="0.25">
      <c r="A188" s="4"/>
      <c r="B188" s="4"/>
      <c r="C188" s="6"/>
      <c r="D188" s="23"/>
      <c r="E188" s="23"/>
      <c r="F188" s="23"/>
      <c r="G188" s="23"/>
      <c r="H188" s="23"/>
      <c r="I188" s="23"/>
      <c r="J188" s="23"/>
      <c r="K188" s="4"/>
      <c r="L188" s="23"/>
      <c r="M188" s="23"/>
      <c r="N188" s="23"/>
      <c r="O188" s="23"/>
      <c r="P188" s="23"/>
      <c r="Q188" s="23"/>
      <c r="R188" s="23"/>
      <c r="S188" s="23"/>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x14ac:dyDescent="0.25">
      <c r="A189" s="4"/>
      <c r="B189" s="4"/>
      <c r="C189" s="6"/>
      <c r="D189" s="23"/>
      <c r="E189" s="23"/>
      <c r="F189" s="23"/>
      <c r="G189" s="23"/>
      <c r="H189" s="23"/>
      <c r="I189" s="23"/>
      <c r="J189" s="23"/>
      <c r="K189" s="4"/>
      <c r="L189" s="23"/>
      <c r="M189" s="23"/>
      <c r="N189" s="23"/>
      <c r="O189" s="23"/>
      <c r="P189" s="23"/>
      <c r="Q189" s="23"/>
      <c r="R189" s="23"/>
      <c r="S189" s="23"/>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x14ac:dyDescent="0.25">
      <c r="A190" s="4"/>
      <c r="B190" s="4"/>
      <c r="C190" s="6"/>
      <c r="D190" s="23"/>
      <c r="E190" s="23"/>
      <c r="F190" s="23"/>
      <c r="G190" s="23"/>
      <c r="H190" s="23"/>
      <c r="I190" s="23"/>
      <c r="J190" s="23"/>
      <c r="K190" s="4"/>
      <c r="L190" s="23"/>
      <c r="M190" s="23"/>
      <c r="N190" s="23"/>
      <c r="O190" s="23"/>
      <c r="P190" s="23"/>
      <c r="Q190" s="23"/>
      <c r="R190" s="23"/>
      <c r="S190" s="23"/>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x14ac:dyDescent="0.25">
      <c r="A191" s="4"/>
      <c r="B191" s="4"/>
      <c r="C191" s="6"/>
      <c r="D191" s="23"/>
      <c r="E191" s="23"/>
      <c r="F191" s="23"/>
      <c r="G191" s="23"/>
      <c r="H191" s="23"/>
      <c r="I191" s="23"/>
      <c r="J191" s="23"/>
      <c r="K191" s="4"/>
      <c r="L191" s="23"/>
      <c r="M191" s="23"/>
      <c r="N191" s="23"/>
      <c r="O191" s="23"/>
      <c r="P191" s="23"/>
      <c r="Q191" s="23"/>
      <c r="R191" s="23"/>
      <c r="S191" s="23"/>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x14ac:dyDescent="0.25">
      <c r="A192" s="4"/>
      <c r="B192" s="4"/>
      <c r="C192" s="6"/>
      <c r="D192" s="23"/>
      <c r="E192" s="23"/>
      <c r="F192" s="23"/>
      <c r="G192" s="23"/>
      <c r="H192" s="23"/>
      <c r="I192" s="23"/>
      <c r="J192" s="23"/>
      <c r="K192" s="4"/>
      <c r="L192" s="23"/>
      <c r="M192" s="23"/>
      <c r="N192" s="23"/>
      <c r="O192" s="23"/>
      <c r="P192" s="23"/>
      <c r="Q192" s="23"/>
      <c r="R192" s="23"/>
      <c r="S192" s="23"/>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x14ac:dyDescent="0.25">
      <c r="A193" s="4"/>
      <c r="B193" s="4"/>
      <c r="C193" s="6"/>
      <c r="D193" s="23"/>
      <c r="E193" s="23"/>
      <c r="F193" s="23"/>
      <c r="G193" s="23"/>
      <c r="H193" s="23"/>
      <c r="I193" s="23"/>
      <c r="J193" s="23"/>
      <c r="K193" s="4"/>
      <c r="L193" s="23"/>
      <c r="M193" s="23"/>
      <c r="N193" s="23"/>
      <c r="O193" s="23"/>
      <c r="P193" s="23"/>
      <c r="Q193" s="23"/>
      <c r="R193" s="23"/>
      <c r="S193" s="23"/>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x14ac:dyDescent="0.25">
      <c r="A194" s="4"/>
      <c r="B194" s="4"/>
      <c r="C194" s="6"/>
      <c r="D194" s="23"/>
      <c r="E194" s="23"/>
      <c r="F194" s="23"/>
      <c r="G194" s="23"/>
      <c r="H194" s="23"/>
      <c r="I194" s="23"/>
      <c r="J194" s="23"/>
      <c r="K194" s="4"/>
      <c r="L194" s="23"/>
      <c r="M194" s="23"/>
      <c r="N194" s="23"/>
      <c r="O194" s="23"/>
      <c r="P194" s="23"/>
      <c r="Q194" s="23"/>
      <c r="R194" s="23"/>
      <c r="S194" s="23"/>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x14ac:dyDescent="0.25">
      <c r="A195" s="4"/>
      <c r="B195" s="4"/>
      <c r="C195" s="6"/>
      <c r="D195" s="23"/>
      <c r="E195" s="23"/>
      <c r="F195" s="23"/>
      <c r="G195" s="23"/>
      <c r="H195" s="23"/>
      <c r="I195" s="23"/>
      <c r="J195" s="23"/>
      <c r="K195" s="4"/>
      <c r="L195" s="23"/>
      <c r="M195" s="23"/>
      <c r="N195" s="23"/>
      <c r="O195" s="23"/>
      <c r="P195" s="23"/>
      <c r="Q195" s="23"/>
      <c r="R195" s="23"/>
      <c r="S195" s="23"/>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x14ac:dyDescent="0.25">
      <c r="A196" s="4"/>
      <c r="B196" s="4"/>
      <c r="C196" s="6"/>
      <c r="D196" s="23"/>
      <c r="E196" s="23"/>
      <c r="F196" s="23"/>
      <c r="G196" s="23"/>
      <c r="H196" s="23"/>
      <c r="I196" s="23"/>
      <c r="J196" s="23"/>
      <c r="K196" s="4"/>
      <c r="L196" s="23"/>
      <c r="M196" s="23"/>
      <c r="N196" s="23"/>
      <c r="O196" s="23"/>
      <c r="P196" s="23"/>
      <c r="Q196" s="23"/>
      <c r="R196" s="23"/>
      <c r="S196" s="23"/>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x14ac:dyDescent="0.25">
      <c r="A197" s="4"/>
      <c r="B197" s="4"/>
      <c r="C197" s="6"/>
      <c r="D197" s="23"/>
      <c r="E197" s="23"/>
      <c r="F197" s="23"/>
      <c r="G197" s="23"/>
      <c r="H197" s="23"/>
      <c r="I197" s="23"/>
      <c r="J197" s="23"/>
      <c r="K197" s="4"/>
      <c r="L197" s="23"/>
      <c r="M197" s="23"/>
      <c r="N197" s="23"/>
      <c r="O197" s="23"/>
      <c r="P197" s="23"/>
      <c r="Q197" s="23"/>
      <c r="R197" s="23"/>
      <c r="S197" s="23"/>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x14ac:dyDescent="0.25">
      <c r="A198" s="4"/>
      <c r="B198" s="4"/>
      <c r="C198" s="6"/>
      <c r="D198" s="23"/>
      <c r="E198" s="23"/>
      <c r="F198" s="23"/>
      <c r="G198" s="23"/>
      <c r="H198" s="23"/>
      <c r="I198" s="23"/>
      <c r="J198" s="23"/>
      <c r="K198" s="4"/>
      <c r="L198" s="23"/>
      <c r="M198" s="23"/>
      <c r="N198" s="23"/>
      <c r="O198" s="23"/>
      <c r="P198" s="23"/>
      <c r="Q198" s="23"/>
      <c r="R198" s="23"/>
      <c r="S198" s="23"/>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x14ac:dyDescent="0.25">
      <c r="A199" s="4"/>
      <c r="B199" s="4"/>
      <c r="C199" s="6"/>
      <c r="D199" s="23"/>
      <c r="E199" s="23"/>
      <c r="F199" s="23"/>
      <c r="G199" s="23"/>
      <c r="H199" s="23"/>
      <c r="I199" s="23"/>
      <c r="J199" s="23"/>
      <c r="K199" s="4"/>
      <c r="L199" s="23"/>
      <c r="M199" s="23"/>
      <c r="N199" s="23"/>
      <c r="O199" s="23"/>
      <c r="P199" s="23"/>
      <c r="Q199" s="23"/>
      <c r="R199" s="23"/>
      <c r="S199" s="23"/>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x14ac:dyDescent="0.25">
      <c r="A200" s="4"/>
      <c r="B200" s="4"/>
      <c r="C200" s="6"/>
      <c r="D200" s="23"/>
      <c r="E200" s="23"/>
      <c r="F200" s="23"/>
      <c r="G200" s="23"/>
      <c r="H200" s="23"/>
      <c r="I200" s="23"/>
      <c r="J200" s="23"/>
      <c r="K200" s="4"/>
      <c r="L200" s="23"/>
      <c r="M200" s="23"/>
      <c r="N200" s="23"/>
      <c r="O200" s="23"/>
      <c r="P200" s="23"/>
      <c r="Q200" s="23"/>
      <c r="R200" s="23"/>
      <c r="S200" s="23"/>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x14ac:dyDescent="0.25">
      <c r="A201" s="4"/>
      <c r="B201" s="4"/>
      <c r="C201" s="6"/>
      <c r="D201" s="23"/>
      <c r="E201" s="23"/>
      <c r="F201" s="23"/>
      <c r="G201" s="23"/>
      <c r="H201" s="23"/>
      <c r="I201" s="23"/>
      <c r="J201" s="23"/>
      <c r="K201" s="4"/>
      <c r="L201" s="23"/>
      <c r="M201" s="23"/>
      <c r="N201" s="23"/>
      <c r="O201" s="23"/>
      <c r="P201" s="23"/>
      <c r="Q201" s="23"/>
      <c r="R201" s="23"/>
      <c r="S201" s="23"/>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x14ac:dyDescent="0.25">
      <c r="A202" s="4"/>
      <c r="B202" s="4"/>
      <c r="C202" s="6"/>
      <c r="D202" s="23"/>
      <c r="E202" s="23"/>
      <c r="F202" s="23"/>
      <c r="G202" s="23"/>
      <c r="H202" s="23"/>
      <c r="I202" s="23"/>
      <c r="J202" s="23"/>
      <c r="K202" s="4"/>
      <c r="L202" s="23"/>
      <c r="M202" s="23"/>
      <c r="N202" s="23"/>
      <c r="O202" s="23"/>
      <c r="P202" s="23"/>
      <c r="Q202" s="23"/>
      <c r="R202" s="23"/>
      <c r="S202" s="23"/>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x14ac:dyDescent="0.25">
      <c r="A203" s="4"/>
      <c r="B203" s="4"/>
      <c r="C203" s="6"/>
      <c r="D203" s="23"/>
      <c r="E203" s="23"/>
      <c r="F203" s="23"/>
      <c r="G203" s="23"/>
      <c r="H203" s="23"/>
      <c r="I203" s="23"/>
      <c r="J203" s="23"/>
      <c r="K203" s="4"/>
      <c r="L203" s="23"/>
      <c r="M203" s="23"/>
      <c r="N203" s="23"/>
      <c r="O203" s="23"/>
      <c r="P203" s="23"/>
      <c r="Q203" s="23"/>
      <c r="R203" s="23"/>
      <c r="S203" s="23"/>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x14ac:dyDescent="0.25">
      <c r="A204" s="4"/>
      <c r="B204" s="4"/>
      <c r="C204" s="6"/>
      <c r="D204" s="23"/>
      <c r="E204" s="23"/>
      <c r="F204" s="23"/>
      <c r="G204" s="23"/>
      <c r="H204" s="23"/>
      <c r="I204" s="23"/>
      <c r="J204" s="23"/>
      <c r="K204" s="4"/>
      <c r="L204" s="23"/>
      <c r="M204" s="23"/>
      <c r="N204" s="23"/>
      <c r="O204" s="23"/>
      <c r="P204" s="23"/>
      <c r="Q204" s="23"/>
      <c r="R204" s="23"/>
      <c r="S204" s="23"/>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x14ac:dyDescent="0.25">
      <c r="A205" s="4"/>
      <c r="B205" s="4"/>
      <c r="C205" s="6"/>
      <c r="D205" s="23"/>
      <c r="E205" s="23"/>
      <c r="F205" s="23"/>
      <c r="G205" s="23"/>
      <c r="H205" s="23"/>
      <c r="I205" s="23"/>
      <c r="J205" s="23"/>
      <c r="K205" s="4"/>
      <c r="L205" s="23"/>
      <c r="M205" s="23"/>
      <c r="N205" s="23"/>
      <c r="O205" s="23"/>
      <c r="P205" s="23"/>
      <c r="Q205" s="23"/>
      <c r="R205" s="23"/>
      <c r="S205" s="23"/>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x14ac:dyDescent="0.25">
      <c r="A206" s="4"/>
      <c r="B206" s="4"/>
      <c r="C206" s="6"/>
      <c r="D206" s="23"/>
      <c r="E206" s="23"/>
      <c r="F206" s="23"/>
      <c r="G206" s="23"/>
      <c r="H206" s="23"/>
      <c r="I206" s="23"/>
      <c r="J206" s="23"/>
      <c r="K206" s="4"/>
      <c r="L206" s="23"/>
      <c r="M206" s="23"/>
      <c r="N206" s="23"/>
      <c r="O206" s="23"/>
      <c r="P206" s="23"/>
      <c r="Q206" s="23"/>
      <c r="R206" s="23"/>
      <c r="S206" s="23"/>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x14ac:dyDescent="0.25">
      <c r="A207" s="4"/>
      <c r="B207" s="4"/>
      <c r="C207" s="6"/>
      <c r="D207" s="23"/>
      <c r="E207" s="23"/>
      <c r="F207" s="23"/>
      <c r="G207" s="23"/>
      <c r="H207" s="23"/>
      <c r="I207" s="23"/>
      <c r="J207" s="23"/>
      <c r="K207" s="4"/>
      <c r="L207" s="23"/>
      <c r="M207" s="23"/>
      <c r="N207" s="23"/>
      <c r="O207" s="23"/>
      <c r="P207" s="23"/>
      <c r="Q207" s="23"/>
      <c r="R207" s="23"/>
      <c r="S207" s="23"/>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x14ac:dyDescent="0.25">
      <c r="A208" s="4"/>
      <c r="B208" s="4"/>
      <c r="C208" s="6"/>
      <c r="D208" s="23"/>
      <c r="E208" s="23"/>
      <c r="F208" s="23"/>
      <c r="G208" s="23"/>
      <c r="H208" s="23"/>
      <c r="I208" s="23"/>
      <c r="J208" s="23"/>
      <c r="K208" s="4"/>
      <c r="L208" s="23"/>
      <c r="M208" s="23"/>
      <c r="N208" s="23"/>
      <c r="O208" s="23"/>
      <c r="P208" s="23"/>
      <c r="Q208" s="23"/>
      <c r="R208" s="23"/>
      <c r="S208" s="23"/>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x14ac:dyDescent="0.25">
      <c r="A209" s="4"/>
      <c r="B209" s="4"/>
      <c r="C209" s="6"/>
      <c r="D209" s="23"/>
      <c r="E209" s="23"/>
      <c r="F209" s="23"/>
      <c r="G209" s="23"/>
      <c r="H209" s="23"/>
      <c r="I209" s="23"/>
      <c r="J209" s="23"/>
      <c r="K209" s="4"/>
      <c r="L209" s="23"/>
      <c r="M209" s="23"/>
      <c r="N209" s="23"/>
      <c r="O209" s="23"/>
      <c r="P209" s="23"/>
      <c r="Q209" s="23"/>
      <c r="R209" s="23"/>
      <c r="S209" s="23"/>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x14ac:dyDescent="0.25">
      <c r="A210" s="4"/>
      <c r="B210" s="4"/>
      <c r="C210" s="6"/>
      <c r="D210" s="23"/>
      <c r="E210" s="23"/>
      <c r="F210" s="23"/>
      <c r="G210" s="23"/>
      <c r="H210" s="23"/>
      <c r="I210" s="23"/>
      <c r="J210" s="23"/>
      <c r="K210" s="4"/>
      <c r="L210" s="23"/>
      <c r="M210" s="23"/>
      <c r="N210" s="23"/>
      <c r="O210" s="23"/>
      <c r="P210" s="23"/>
      <c r="Q210" s="23"/>
      <c r="R210" s="23"/>
      <c r="S210" s="23"/>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x14ac:dyDescent="0.25">
      <c r="A211" s="4"/>
      <c r="B211" s="4"/>
      <c r="C211" s="6"/>
      <c r="D211" s="23"/>
      <c r="E211" s="23"/>
      <c r="F211" s="23"/>
      <c r="G211" s="23"/>
      <c r="H211" s="23"/>
      <c r="I211" s="23"/>
      <c r="J211" s="23"/>
      <c r="K211" s="4"/>
      <c r="L211" s="23"/>
      <c r="M211" s="23"/>
      <c r="N211" s="23"/>
      <c r="O211" s="23"/>
      <c r="P211" s="23"/>
      <c r="Q211" s="23"/>
      <c r="R211" s="23"/>
      <c r="S211" s="23"/>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x14ac:dyDescent="0.25">
      <c r="A212" s="4"/>
      <c r="B212" s="4"/>
      <c r="C212" s="6"/>
      <c r="D212" s="23"/>
      <c r="E212" s="23"/>
      <c r="F212" s="23"/>
      <c r="G212" s="23"/>
      <c r="H212" s="23"/>
      <c r="I212" s="23"/>
      <c r="J212" s="23"/>
      <c r="K212" s="4"/>
      <c r="L212" s="23"/>
      <c r="M212" s="23"/>
      <c r="N212" s="23"/>
      <c r="O212" s="23"/>
      <c r="P212" s="23"/>
      <c r="Q212" s="23"/>
      <c r="R212" s="23"/>
      <c r="S212" s="23"/>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x14ac:dyDescent="0.25">
      <c r="A213" s="4"/>
      <c r="B213" s="4"/>
      <c r="C213" s="6"/>
      <c r="D213" s="23"/>
      <c r="E213" s="23"/>
      <c r="F213" s="23"/>
      <c r="G213" s="23"/>
      <c r="H213" s="23"/>
      <c r="I213" s="23"/>
      <c r="J213" s="23"/>
      <c r="K213" s="4"/>
      <c r="L213" s="23"/>
      <c r="M213" s="23"/>
      <c r="N213" s="23"/>
      <c r="O213" s="23"/>
      <c r="P213" s="23"/>
      <c r="Q213" s="23"/>
      <c r="R213" s="23"/>
      <c r="S213" s="23"/>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x14ac:dyDescent="0.25">
      <c r="A214" s="4"/>
      <c r="B214" s="4"/>
      <c r="C214" s="6"/>
      <c r="D214" s="23"/>
      <c r="E214" s="23"/>
      <c r="F214" s="23"/>
      <c r="G214" s="23"/>
      <c r="H214" s="23"/>
      <c r="I214" s="23"/>
      <c r="J214" s="23"/>
      <c r="K214" s="4"/>
      <c r="L214" s="23"/>
      <c r="M214" s="23"/>
      <c r="N214" s="23"/>
      <c r="O214" s="23"/>
      <c r="P214" s="23"/>
      <c r="Q214" s="23"/>
      <c r="R214" s="23"/>
      <c r="S214" s="23"/>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x14ac:dyDescent="0.25">
      <c r="A215" s="4"/>
      <c r="B215" s="4"/>
      <c r="C215" s="6"/>
      <c r="D215" s="23"/>
      <c r="E215" s="23"/>
      <c r="F215" s="23"/>
      <c r="G215" s="23"/>
      <c r="H215" s="23"/>
      <c r="I215" s="23"/>
      <c r="J215" s="23"/>
      <c r="K215" s="4"/>
      <c r="L215" s="23"/>
      <c r="M215" s="23"/>
      <c r="N215" s="23"/>
      <c r="O215" s="23"/>
      <c r="P215" s="23"/>
      <c r="Q215" s="23"/>
      <c r="R215" s="23"/>
      <c r="S215" s="23"/>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x14ac:dyDescent="0.25">
      <c r="A216" s="4"/>
      <c r="B216" s="4"/>
      <c r="C216" s="6"/>
      <c r="D216" s="23"/>
      <c r="E216" s="23"/>
      <c r="F216" s="23"/>
      <c r="G216" s="23"/>
      <c r="H216" s="23"/>
      <c r="I216" s="23"/>
      <c r="J216" s="23"/>
      <c r="K216" s="4"/>
      <c r="L216" s="23"/>
      <c r="M216" s="23"/>
      <c r="N216" s="23"/>
      <c r="O216" s="23"/>
      <c r="P216" s="23"/>
      <c r="Q216" s="23"/>
      <c r="R216" s="23"/>
      <c r="S216" s="23"/>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x14ac:dyDescent="0.25">
      <c r="A217" s="4"/>
      <c r="B217" s="4"/>
      <c r="C217" s="6"/>
      <c r="D217" s="23"/>
      <c r="E217" s="23"/>
      <c r="F217" s="23"/>
      <c r="G217" s="23"/>
      <c r="H217" s="23"/>
      <c r="I217" s="23"/>
      <c r="J217" s="23"/>
      <c r="K217" s="4"/>
      <c r="L217" s="23"/>
      <c r="M217" s="23"/>
      <c r="N217" s="23"/>
      <c r="O217" s="23"/>
      <c r="P217" s="23"/>
      <c r="Q217" s="23"/>
      <c r="R217" s="23"/>
      <c r="S217" s="23"/>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x14ac:dyDescent="0.25">
      <c r="A218" s="4"/>
      <c r="B218" s="4"/>
      <c r="C218" s="6"/>
      <c r="D218" s="23"/>
      <c r="E218" s="23"/>
      <c r="F218" s="23"/>
      <c r="G218" s="23"/>
      <c r="H218" s="23"/>
      <c r="I218" s="23"/>
      <c r="J218" s="23"/>
      <c r="K218" s="4"/>
      <c r="L218" s="23"/>
      <c r="M218" s="23"/>
      <c r="N218" s="23"/>
      <c r="O218" s="23"/>
      <c r="P218" s="23"/>
      <c r="Q218" s="23"/>
      <c r="R218" s="23"/>
      <c r="S218" s="23"/>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x14ac:dyDescent="0.25">
      <c r="A219" s="4"/>
      <c r="B219" s="4"/>
      <c r="C219" s="6"/>
      <c r="D219" s="23"/>
      <c r="E219" s="23"/>
      <c r="F219" s="23"/>
      <c r="G219" s="23"/>
      <c r="H219" s="23"/>
      <c r="I219" s="23"/>
      <c r="J219" s="23"/>
      <c r="K219" s="4"/>
      <c r="L219" s="23"/>
      <c r="M219" s="23"/>
      <c r="N219" s="23"/>
      <c r="O219" s="23"/>
      <c r="P219" s="23"/>
      <c r="Q219" s="23"/>
      <c r="R219" s="23"/>
      <c r="S219" s="23"/>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x14ac:dyDescent="0.25">
      <c r="A220" s="4"/>
      <c r="B220" s="4"/>
      <c r="C220" s="6"/>
      <c r="D220" s="23"/>
      <c r="E220" s="23"/>
      <c r="F220" s="23"/>
      <c r="G220" s="23"/>
      <c r="H220" s="23"/>
      <c r="I220" s="23"/>
      <c r="J220" s="23"/>
      <c r="K220" s="4"/>
      <c r="L220" s="23"/>
      <c r="M220" s="23"/>
      <c r="N220" s="23"/>
      <c r="O220" s="23"/>
      <c r="P220" s="23"/>
      <c r="Q220" s="23"/>
      <c r="R220" s="23"/>
      <c r="S220" s="23"/>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x14ac:dyDescent="0.25">
      <c r="A221" s="4"/>
      <c r="B221" s="4"/>
      <c r="C221" s="6"/>
      <c r="D221" s="23"/>
      <c r="E221" s="23"/>
      <c r="F221" s="23"/>
      <c r="G221" s="23"/>
      <c r="H221" s="23"/>
      <c r="I221" s="23"/>
      <c r="J221" s="23"/>
      <c r="K221" s="4"/>
      <c r="L221" s="23"/>
      <c r="M221" s="23"/>
      <c r="N221" s="23"/>
      <c r="O221" s="23"/>
      <c r="P221" s="23"/>
      <c r="Q221" s="23"/>
      <c r="R221" s="23"/>
      <c r="S221" s="23"/>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x14ac:dyDescent="0.25">
      <c r="A222" s="4"/>
      <c r="B222" s="4"/>
      <c r="C222" s="6"/>
      <c r="D222" s="23"/>
      <c r="E222" s="23"/>
      <c r="F222" s="23"/>
      <c r="G222" s="23"/>
      <c r="H222" s="23"/>
      <c r="I222" s="23"/>
      <c r="J222" s="23"/>
      <c r="K222" s="4"/>
      <c r="L222" s="23"/>
      <c r="M222" s="23"/>
      <c r="N222" s="23"/>
      <c r="O222" s="23"/>
      <c r="P222" s="23"/>
      <c r="Q222" s="23"/>
      <c r="R222" s="23"/>
      <c r="S222" s="23"/>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x14ac:dyDescent="0.25">
      <c r="A223" s="4"/>
      <c r="B223" s="4"/>
      <c r="C223" s="6"/>
      <c r="D223" s="23"/>
      <c r="E223" s="23"/>
      <c r="F223" s="23"/>
      <c r="G223" s="23"/>
      <c r="H223" s="23"/>
      <c r="I223" s="23"/>
      <c r="J223" s="23"/>
      <c r="K223" s="4"/>
      <c r="L223" s="23"/>
      <c r="M223" s="23"/>
      <c r="N223" s="23"/>
      <c r="O223" s="23"/>
      <c r="P223" s="23"/>
      <c r="Q223" s="23"/>
      <c r="R223" s="23"/>
      <c r="S223" s="23"/>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x14ac:dyDescent="0.25">
      <c r="A224" s="4"/>
      <c r="B224" s="4"/>
      <c r="C224" s="6"/>
      <c r="D224" s="23"/>
      <c r="E224" s="23"/>
      <c r="F224" s="23"/>
      <c r="G224" s="23"/>
      <c r="H224" s="23"/>
      <c r="I224" s="23"/>
      <c r="J224" s="23"/>
      <c r="K224" s="4"/>
      <c r="L224" s="23"/>
      <c r="M224" s="23"/>
      <c r="N224" s="23"/>
      <c r="O224" s="23"/>
      <c r="P224" s="23"/>
      <c r="Q224" s="23"/>
      <c r="R224" s="23"/>
      <c r="S224" s="23"/>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x14ac:dyDescent="0.25">
      <c r="A225" s="4"/>
      <c r="B225" s="4"/>
      <c r="C225" s="6"/>
      <c r="D225" s="23"/>
      <c r="E225" s="23"/>
      <c r="F225" s="23"/>
      <c r="G225" s="23"/>
      <c r="H225" s="23"/>
      <c r="I225" s="23"/>
      <c r="J225" s="23"/>
      <c r="K225" s="4"/>
      <c r="L225" s="23"/>
      <c r="M225" s="23"/>
      <c r="N225" s="23"/>
      <c r="O225" s="23"/>
      <c r="P225" s="23"/>
      <c r="Q225" s="23"/>
      <c r="R225" s="23"/>
      <c r="S225" s="23"/>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x14ac:dyDescent="0.25">
      <c r="A226" s="4"/>
      <c r="B226" s="4"/>
      <c r="C226" s="6"/>
      <c r="D226" s="23"/>
      <c r="E226" s="23"/>
      <c r="F226" s="23"/>
      <c r="G226" s="23"/>
      <c r="H226" s="23"/>
      <c r="I226" s="23"/>
      <c r="J226" s="23"/>
      <c r="K226" s="4"/>
      <c r="L226" s="23"/>
      <c r="M226" s="23"/>
      <c r="N226" s="23"/>
      <c r="O226" s="23"/>
      <c r="P226" s="23"/>
      <c r="Q226" s="23"/>
      <c r="R226" s="23"/>
      <c r="S226" s="23"/>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x14ac:dyDescent="0.25">
      <c r="A227" s="4"/>
      <c r="B227" s="4"/>
      <c r="C227" s="6"/>
      <c r="D227" s="23"/>
      <c r="E227" s="23"/>
      <c r="F227" s="23"/>
      <c r="G227" s="23"/>
      <c r="H227" s="23"/>
      <c r="I227" s="23"/>
      <c r="J227" s="23"/>
      <c r="K227" s="4"/>
      <c r="L227" s="23"/>
      <c r="M227" s="23"/>
      <c r="N227" s="23"/>
      <c r="O227" s="23"/>
      <c r="P227" s="23"/>
      <c r="Q227" s="23"/>
      <c r="R227" s="23"/>
      <c r="S227" s="23"/>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x14ac:dyDescent="0.25">
      <c r="A228" s="4"/>
      <c r="B228" s="4"/>
      <c r="C228" s="6"/>
      <c r="D228" s="23"/>
      <c r="E228" s="23"/>
      <c r="F228" s="23"/>
      <c r="G228" s="23"/>
      <c r="H228" s="23"/>
      <c r="I228" s="23"/>
      <c r="J228" s="23"/>
      <c r="K228" s="4"/>
      <c r="L228" s="23"/>
      <c r="M228" s="23"/>
      <c r="N228" s="23"/>
      <c r="O228" s="23"/>
      <c r="P228" s="23"/>
      <c r="Q228" s="23"/>
      <c r="R228" s="23"/>
      <c r="S228" s="23"/>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x14ac:dyDescent="0.25">
      <c r="A229" s="4"/>
      <c r="B229" s="4"/>
      <c r="C229" s="6"/>
      <c r="D229" s="23"/>
      <c r="E229" s="23"/>
      <c r="F229" s="23"/>
      <c r="G229" s="23"/>
      <c r="H229" s="23"/>
      <c r="I229" s="23"/>
      <c r="J229" s="23"/>
      <c r="K229" s="4"/>
      <c r="L229" s="23"/>
      <c r="M229" s="23"/>
      <c r="N229" s="23"/>
      <c r="O229" s="23"/>
      <c r="P229" s="23"/>
      <c r="Q229" s="23"/>
      <c r="R229" s="23"/>
      <c r="S229" s="23"/>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x14ac:dyDescent="0.25">
      <c r="A230" s="4"/>
      <c r="B230" s="4"/>
      <c r="C230" s="6"/>
      <c r="D230" s="23"/>
      <c r="E230" s="23"/>
      <c r="F230" s="23"/>
      <c r="G230" s="23"/>
      <c r="H230" s="23"/>
      <c r="I230" s="23"/>
      <c r="J230" s="23"/>
      <c r="K230" s="4"/>
      <c r="L230" s="23"/>
      <c r="M230" s="23"/>
      <c r="N230" s="23"/>
      <c r="O230" s="23"/>
      <c r="P230" s="23"/>
      <c r="Q230" s="23"/>
      <c r="R230" s="23"/>
      <c r="S230" s="23"/>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x14ac:dyDescent="0.25">
      <c r="A231" s="4"/>
      <c r="B231" s="4"/>
      <c r="C231" s="6"/>
      <c r="D231" s="23"/>
      <c r="E231" s="23"/>
      <c r="F231" s="23"/>
      <c r="G231" s="23"/>
      <c r="H231" s="23"/>
      <c r="I231" s="23"/>
      <c r="J231" s="23"/>
      <c r="K231" s="4"/>
      <c r="L231" s="23"/>
      <c r="M231" s="23"/>
      <c r="N231" s="23"/>
      <c r="O231" s="23"/>
      <c r="P231" s="23"/>
      <c r="Q231" s="23"/>
      <c r="R231" s="23"/>
      <c r="S231" s="23"/>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x14ac:dyDescent="0.25">
      <c r="A232" s="4"/>
      <c r="B232" s="4"/>
      <c r="C232" s="6"/>
      <c r="D232" s="23"/>
      <c r="E232" s="23"/>
      <c r="F232" s="23"/>
      <c r="G232" s="23"/>
      <c r="H232" s="23"/>
      <c r="I232" s="23"/>
      <c r="J232" s="23"/>
      <c r="K232" s="4"/>
      <c r="L232" s="23"/>
      <c r="M232" s="23"/>
      <c r="N232" s="23"/>
      <c r="O232" s="23"/>
      <c r="P232" s="23"/>
      <c r="Q232" s="23"/>
      <c r="R232" s="23"/>
      <c r="S232" s="23"/>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x14ac:dyDescent="0.25">
      <c r="A233" s="4"/>
      <c r="B233" s="4"/>
      <c r="C233" s="6"/>
      <c r="D233" s="23"/>
      <c r="E233" s="23"/>
      <c r="F233" s="23"/>
      <c r="G233" s="23"/>
      <c r="H233" s="23"/>
      <c r="I233" s="23"/>
      <c r="J233" s="23"/>
      <c r="K233" s="4"/>
      <c r="L233" s="23"/>
      <c r="M233" s="23"/>
      <c r="N233" s="23"/>
      <c r="O233" s="23"/>
      <c r="P233" s="23"/>
      <c r="Q233" s="23"/>
      <c r="R233" s="23"/>
      <c r="S233" s="23"/>
      <c r="T233" s="4"/>
      <c r="U233" s="4"/>
      <c r="V233" s="4"/>
      <c r="W233" s="4"/>
      <c r="X233" s="4"/>
      <c r="Y233" s="4"/>
      <c r="Z233" s="4"/>
      <c r="AA233" s="4"/>
      <c r="AB233" s="4"/>
      <c r="AC233" s="4"/>
      <c r="AD233" s="4"/>
      <c r="AE233" s="4"/>
      <c r="AF233" s="4"/>
      <c r="AG233" s="4"/>
      <c r="AH233" s="4"/>
      <c r="AI233" s="4"/>
      <c r="AJ233" s="4"/>
      <c r="AK233" s="4"/>
      <c r="AL233" s="4"/>
      <c r="AM233" s="4"/>
      <c r="AN233" s="4"/>
      <c r="AO233" s="4"/>
    </row>
    <row r="234" spans="1:41" ht="12.5" x14ac:dyDescent="0.25">
      <c r="A234" s="4"/>
      <c r="B234" s="4"/>
      <c r="C234" s="6"/>
      <c r="D234" s="23"/>
      <c r="E234" s="23"/>
      <c r="F234" s="23"/>
      <c r="G234" s="23"/>
      <c r="H234" s="23"/>
      <c r="I234" s="23"/>
      <c r="J234" s="23"/>
      <c r="K234" s="4"/>
      <c r="L234" s="23"/>
      <c r="M234" s="23"/>
      <c r="N234" s="23"/>
      <c r="O234" s="23"/>
      <c r="P234" s="23"/>
      <c r="Q234" s="23"/>
      <c r="R234" s="23"/>
      <c r="S234" s="23"/>
      <c r="T234" s="4"/>
      <c r="U234" s="4"/>
      <c r="V234" s="4"/>
      <c r="W234" s="4"/>
      <c r="X234" s="4"/>
      <c r="Y234" s="4"/>
      <c r="Z234" s="4"/>
      <c r="AA234" s="4"/>
      <c r="AB234" s="4"/>
      <c r="AC234" s="4"/>
      <c r="AD234" s="4"/>
      <c r="AE234" s="4"/>
      <c r="AF234" s="4"/>
      <c r="AG234" s="4"/>
      <c r="AH234" s="4"/>
      <c r="AI234" s="4"/>
      <c r="AJ234" s="4"/>
      <c r="AK234" s="4"/>
      <c r="AL234" s="4"/>
      <c r="AM234" s="4"/>
      <c r="AN234" s="4"/>
      <c r="AO234" s="4"/>
    </row>
    <row r="235" spans="1:41" ht="12.5" x14ac:dyDescent="0.25">
      <c r="A235" s="4"/>
      <c r="B235" s="4"/>
      <c r="C235" s="6"/>
      <c r="D235" s="23"/>
      <c r="E235" s="23"/>
      <c r="F235" s="23"/>
      <c r="G235" s="23"/>
      <c r="H235" s="23"/>
      <c r="I235" s="23"/>
      <c r="J235" s="23"/>
      <c r="K235" s="4"/>
      <c r="L235" s="23"/>
      <c r="M235" s="23"/>
      <c r="N235" s="23"/>
      <c r="O235" s="23"/>
      <c r="P235" s="23"/>
      <c r="Q235" s="23"/>
      <c r="R235" s="23"/>
      <c r="S235" s="23"/>
      <c r="T235" s="4"/>
      <c r="U235" s="4"/>
      <c r="V235" s="4"/>
      <c r="W235" s="4"/>
      <c r="X235" s="4"/>
      <c r="Y235" s="4"/>
      <c r="Z235" s="4"/>
      <c r="AA235" s="4"/>
      <c r="AB235" s="4"/>
      <c r="AC235" s="4"/>
      <c r="AD235" s="4"/>
      <c r="AE235" s="4"/>
      <c r="AF235" s="4"/>
      <c r="AG235" s="4"/>
      <c r="AH235" s="4"/>
      <c r="AI235" s="4"/>
      <c r="AJ235" s="4"/>
      <c r="AK235" s="4"/>
      <c r="AL235" s="4"/>
      <c r="AM235" s="4"/>
      <c r="AN235" s="4"/>
      <c r="AO235" s="4"/>
    </row>
    <row r="236" spans="1:41" ht="12.5" x14ac:dyDescent="0.25">
      <c r="A236" s="4"/>
      <c r="B236" s="4"/>
      <c r="C236" s="6"/>
      <c r="D236" s="23"/>
      <c r="E236" s="23"/>
      <c r="F236" s="23"/>
      <c r="G236" s="23"/>
      <c r="H236" s="23"/>
      <c r="I236" s="23"/>
      <c r="J236" s="23"/>
      <c r="K236" s="4"/>
      <c r="L236" s="23"/>
      <c r="M236" s="23"/>
      <c r="N236" s="23"/>
      <c r="O236" s="23"/>
      <c r="P236" s="23"/>
      <c r="Q236" s="23"/>
      <c r="R236" s="23"/>
      <c r="S236" s="23"/>
      <c r="T236" s="4"/>
      <c r="U236" s="4"/>
      <c r="V236" s="4"/>
      <c r="W236" s="4"/>
      <c r="X236" s="4"/>
      <c r="Y236" s="4"/>
      <c r="Z236" s="4"/>
      <c r="AA236" s="4"/>
      <c r="AB236" s="4"/>
      <c r="AC236" s="4"/>
      <c r="AD236" s="4"/>
      <c r="AE236" s="4"/>
      <c r="AF236" s="4"/>
      <c r="AG236" s="4"/>
      <c r="AH236" s="4"/>
      <c r="AI236" s="4"/>
      <c r="AJ236" s="4"/>
      <c r="AK236" s="4"/>
      <c r="AL236" s="4"/>
      <c r="AM236" s="4"/>
      <c r="AN236" s="4"/>
      <c r="AO236" s="4"/>
    </row>
    <row r="237" spans="1:41" ht="12.5" x14ac:dyDescent="0.25">
      <c r="A237" s="4"/>
      <c r="B237" s="4"/>
      <c r="C237" s="6"/>
      <c r="D237" s="23"/>
      <c r="E237" s="23"/>
      <c r="F237" s="23"/>
      <c r="G237" s="23"/>
      <c r="H237" s="23"/>
      <c r="I237" s="23"/>
      <c r="J237" s="23"/>
      <c r="K237" s="4"/>
      <c r="L237" s="23"/>
      <c r="M237" s="23"/>
      <c r="N237" s="23"/>
      <c r="O237" s="23"/>
      <c r="P237" s="23"/>
      <c r="Q237" s="23"/>
      <c r="R237" s="23"/>
      <c r="S237" s="23"/>
      <c r="T237" s="4"/>
      <c r="U237" s="4"/>
      <c r="V237" s="4"/>
      <c r="W237" s="4"/>
      <c r="X237" s="4"/>
      <c r="Y237" s="4"/>
      <c r="Z237" s="4"/>
      <c r="AA237" s="4"/>
      <c r="AB237" s="4"/>
      <c r="AC237" s="4"/>
      <c r="AD237" s="4"/>
      <c r="AE237" s="4"/>
      <c r="AF237" s="4"/>
      <c r="AG237" s="4"/>
      <c r="AH237" s="4"/>
      <c r="AI237" s="4"/>
      <c r="AJ237" s="4"/>
      <c r="AK237" s="4"/>
      <c r="AL237" s="4"/>
      <c r="AM237" s="4"/>
      <c r="AN237" s="4"/>
      <c r="AO237" s="4"/>
    </row>
    <row r="238" spans="1:41" ht="12.5" x14ac:dyDescent="0.25">
      <c r="A238" s="4"/>
      <c r="B238" s="4"/>
      <c r="C238" s="6"/>
      <c r="D238" s="23"/>
      <c r="E238" s="23"/>
      <c r="F238" s="23"/>
      <c r="G238" s="23"/>
      <c r="H238" s="23"/>
      <c r="I238" s="23"/>
      <c r="J238" s="23"/>
      <c r="K238" s="4"/>
      <c r="L238" s="23"/>
      <c r="M238" s="23"/>
      <c r="N238" s="23"/>
      <c r="O238" s="23"/>
      <c r="P238" s="23"/>
      <c r="Q238" s="23"/>
      <c r="R238" s="23"/>
      <c r="S238" s="23"/>
      <c r="T238" s="4"/>
      <c r="U238" s="4"/>
      <c r="V238" s="4"/>
      <c r="W238" s="4"/>
      <c r="X238" s="4"/>
      <c r="Y238" s="4"/>
      <c r="Z238" s="4"/>
      <c r="AA238" s="4"/>
      <c r="AB238" s="4"/>
      <c r="AC238" s="4"/>
      <c r="AD238" s="4"/>
      <c r="AE238" s="4"/>
      <c r="AF238" s="4"/>
      <c r="AG238" s="4"/>
      <c r="AH238" s="4"/>
      <c r="AI238" s="4"/>
      <c r="AJ238" s="4"/>
      <c r="AK238" s="4"/>
      <c r="AL238" s="4"/>
      <c r="AM238" s="4"/>
      <c r="AN238" s="4"/>
      <c r="AO238" s="4"/>
    </row>
    <row r="239" spans="1:41" ht="12.5" x14ac:dyDescent="0.25">
      <c r="A239" s="4"/>
      <c r="B239" s="4"/>
      <c r="C239" s="6"/>
      <c r="D239" s="23"/>
      <c r="E239" s="23"/>
      <c r="F239" s="23"/>
      <c r="G239" s="23"/>
      <c r="H239" s="23"/>
      <c r="I239" s="23"/>
      <c r="J239" s="23"/>
      <c r="K239" s="4"/>
      <c r="L239" s="23"/>
      <c r="M239" s="23"/>
      <c r="N239" s="23"/>
      <c r="O239" s="23"/>
      <c r="P239" s="23"/>
      <c r="Q239" s="23"/>
      <c r="R239" s="23"/>
      <c r="S239" s="23"/>
      <c r="T239" s="4"/>
      <c r="U239" s="4"/>
      <c r="V239" s="4"/>
      <c r="W239" s="4"/>
      <c r="X239" s="4"/>
      <c r="Y239" s="4"/>
      <c r="Z239" s="4"/>
      <c r="AA239" s="4"/>
      <c r="AB239" s="4"/>
      <c r="AC239" s="4"/>
      <c r="AD239" s="4"/>
      <c r="AE239" s="4"/>
      <c r="AF239" s="4"/>
      <c r="AG239" s="4"/>
      <c r="AH239" s="4"/>
      <c r="AI239" s="4"/>
      <c r="AJ239" s="4"/>
      <c r="AK239" s="4"/>
      <c r="AL239" s="4"/>
      <c r="AM239" s="4"/>
      <c r="AN239" s="4"/>
      <c r="AO239" s="4"/>
    </row>
    <row r="240" spans="1:41" ht="12.5" x14ac:dyDescent="0.25">
      <c r="A240" s="4"/>
      <c r="B240" s="4"/>
      <c r="C240" s="6"/>
      <c r="D240" s="23"/>
      <c r="E240" s="23"/>
      <c r="F240" s="23"/>
      <c r="G240" s="23"/>
      <c r="H240" s="23"/>
      <c r="I240" s="23"/>
      <c r="J240" s="23"/>
      <c r="K240" s="4"/>
      <c r="L240" s="23"/>
      <c r="M240" s="23"/>
      <c r="N240" s="23"/>
      <c r="O240" s="23"/>
      <c r="P240" s="23"/>
      <c r="Q240" s="23"/>
      <c r="R240" s="23"/>
      <c r="S240" s="23"/>
      <c r="T240" s="4"/>
      <c r="U240" s="4"/>
      <c r="V240" s="4"/>
      <c r="W240" s="4"/>
      <c r="X240" s="4"/>
      <c r="Y240" s="4"/>
      <c r="Z240" s="4"/>
      <c r="AA240" s="4"/>
      <c r="AB240" s="4"/>
      <c r="AC240" s="4"/>
      <c r="AD240" s="4"/>
      <c r="AE240" s="4"/>
      <c r="AF240" s="4"/>
      <c r="AG240" s="4"/>
      <c r="AH240" s="4"/>
      <c r="AI240" s="4"/>
      <c r="AJ240" s="4"/>
      <c r="AK240" s="4"/>
      <c r="AL240" s="4"/>
      <c r="AM240" s="4"/>
      <c r="AN240" s="4"/>
      <c r="AO240" s="4"/>
    </row>
    <row r="241" spans="1:41" ht="12.5" x14ac:dyDescent="0.25">
      <c r="A241" s="4"/>
      <c r="B241" s="4"/>
      <c r="C241" s="6"/>
      <c r="D241" s="23"/>
      <c r="E241" s="23"/>
      <c r="F241" s="23"/>
      <c r="G241" s="23"/>
      <c r="H241" s="23"/>
      <c r="I241" s="23"/>
      <c r="J241" s="23"/>
      <c r="K241" s="4"/>
      <c r="L241" s="23"/>
      <c r="M241" s="23"/>
      <c r="N241" s="23"/>
      <c r="O241" s="23"/>
      <c r="P241" s="23"/>
      <c r="Q241" s="23"/>
      <c r="R241" s="23"/>
      <c r="S241" s="23"/>
      <c r="T241" s="4"/>
      <c r="U241" s="4"/>
      <c r="V241" s="4"/>
      <c r="W241" s="4"/>
      <c r="X241" s="4"/>
      <c r="Y241" s="4"/>
      <c r="Z241" s="4"/>
      <c r="AA241" s="4"/>
      <c r="AB241" s="4"/>
      <c r="AC241" s="4"/>
      <c r="AD241" s="4"/>
      <c r="AE241" s="4"/>
      <c r="AF241" s="4"/>
      <c r="AG241" s="4"/>
      <c r="AH241" s="4"/>
      <c r="AI241" s="4"/>
      <c r="AJ241" s="4"/>
      <c r="AK241" s="4"/>
      <c r="AL241" s="4"/>
      <c r="AM241" s="4"/>
      <c r="AN241" s="4"/>
      <c r="AO241" s="4"/>
    </row>
  </sheetData>
  <autoFilter ref="B1:B139"/>
  <mergeCells count="62">
    <mergeCell ref="L96:T96"/>
    <mergeCell ref="L83:U83"/>
    <mergeCell ref="M104:N104"/>
    <mergeCell ref="P104:T104"/>
    <mergeCell ref="L114:AA114"/>
    <mergeCell ref="C36:C66"/>
    <mergeCell ref="D36:D66"/>
    <mergeCell ref="E13:E24"/>
    <mergeCell ref="D2:D35"/>
    <mergeCell ref="C2:C35"/>
    <mergeCell ref="E28:E32"/>
    <mergeCell ref="E36:E49"/>
    <mergeCell ref="E50:E62"/>
    <mergeCell ref="E65:E66"/>
    <mergeCell ref="E6:E7"/>
    <mergeCell ref="C105:C139"/>
    <mergeCell ref="E125:E132"/>
    <mergeCell ref="E123:E124"/>
    <mergeCell ref="D67:D104"/>
    <mergeCell ref="C67:C104"/>
    <mergeCell ref="E134:E138"/>
    <mergeCell ref="E83:E92"/>
    <mergeCell ref="E105:E122"/>
    <mergeCell ref="E96:E104"/>
    <mergeCell ref="D105:D139"/>
    <mergeCell ref="F96:F104"/>
    <mergeCell ref="F50:F62"/>
    <mergeCell ref="F134:F138"/>
    <mergeCell ref="F139:H139"/>
    <mergeCell ref="F133:H133"/>
    <mergeCell ref="F125:F132"/>
    <mergeCell ref="F105:F122"/>
    <mergeCell ref="F123:F124"/>
    <mergeCell ref="F93:F95"/>
    <mergeCell ref="E93:E95"/>
    <mergeCell ref="E67:E82"/>
    <mergeCell ref="F2:H2"/>
    <mergeCell ref="AB1:AP1"/>
    <mergeCell ref="L1:Z1"/>
    <mergeCell ref="L12:W12"/>
    <mergeCell ref="F83:F92"/>
    <mergeCell ref="F28:F32"/>
    <mergeCell ref="L36:Y36"/>
    <mergeCell ref="Z36:AL36"/>
    <mergeCell ref="L90:N90"/>
    <mergeCell ref="F65:F66"/>
    <mergeCell ref="F67:F82"/>
    <mergeCell ref="F26:H26"/>
    <mergeCell ref="F36:F49"/>
    <mergeCell ref="F4:H4"/>
    <mergeCell ref="F3:H3"/>
    <mergeCell ref="F63:H63"/>
    <mergeCell ref="F7:F8"/>
    <mergeCell ref="F11:H11"/>
    <mergeCell ref="F10:H10"/>
    <mergeCell ref="F35:H35"/>
    <mergeCell ref="F25:H25"/>
    <mergeCell ref="F33:H33"/>
    <mergeCell ref="F13:F24"/>
    <mergeCell ref="F27:H27"/>
    <mergeCell ref="F12:H12"/>
    <mergeCell ref="F34:H34"/>
  </mergeCells>
  <conditionalFormatting sqref="V117:V136">
    <cfRule type="expression" dxfId="12" priority="1">
      <formula>IF(AND(M117="Input",R117="File"),V117="")</formula>
    </cfRule>
  </conditionalFormatting>
  <conditionalFormatting sqref="M107">
    <cfRule type="notContainsBlanks" dxfId="11"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0">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'Parameter classification'!$A$2:$A$50</xm:f>
          </x14:formula1>
          <xm:sqref>M123:M136</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'Basic Process'!$AC$32:$AC$40</xm:f>
          </x14:formula1>
          <xm:sqref>J31</xm:sqref>
        </x14:dataValidation>
        <x14:dataValidation type="list" allowBlank="1" showErrorMessage="1">
          <x14:formula1>
            <xm:f>'type of sampling program'!$A$2:$A$100</xm:f>
          </x14:formula1>
          <xm:sqref>O86:O88</xm:sqref>
        </x14:dataValidation>
        <x14:dataValidation type="list" allowBlank="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'Model Sub-Class'!$AC$3:$AC$505</xm:f>
          </x14:formula1>
          <xm:sqref>J29</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M117:M121</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'Parameter classification'!$A$2:$A$50</xm:f>
          </x14:formula1>
          <xm:sqref>M122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x14ac:dyDescent="0.25"/>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x14ac:dyDescent="0.3">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7" t="str">
        <f ca="1">E6</f>
        <v>Creator</v>
      </c>
      <c r="M1" s="96"/>
      <c r="N1" s="96"/>
      <c r="O1" s="96"/>
      <c r="P1" s="96"/>
      <c r="Q1" s="96"/>
      <c r="R1" s="96"/>
      <c r="S1" s="96"/>
      <c r="T1" s="96"/>
      <c r="U1" s="96"/>
      <c r="V1" s="96"/>
      <c r="W1" s="96"/>
      <c r="X1" s="96"/>
      <c r="Y1" s="96"/>
      <c r="Z1" s="96"/>
      <c r="AA1" s="4"/>
      <c r="AB1" s="97" t="str">
        <f ca="1">E5</f>
        <v>Author</v>
      </c>
      <c r="AC1" s="96"/>
      <c r="AD1" s="96"/>
      <c r="AE1" s="96"/>
      <c r="AF1" s="96"/>
      <c r="AG1" s="96"/>
      <c r="AH1" s="96"/>
      <c r="AI1" s="96"/>
      <c r="AJ1" s="96"/>
      <c r="AK1" s="96"/>
      <c r="AL1" s="96"/>
      <c r="AM1" s="96"/>
      <c r="AN1" s="96"/>
      <c r="AO1" s="96"/>
      <c r="AP1" s="96"/>
      <c r="AQ1" s="4"/>
      <c r="AR1" s="4"/>
      <c r="AS1" s="4"/>
      <c r="AT1" s="4"/>
      <c r="AU1" s="4"/>
      <c r="AV1" s="4"/>
      <c r="AW1" s="4"/>
    </row>
    <row r="2" spans="1:49" ht="12.5" x14ac:dyDescent="0.25">
      <c r="A2" s="4" t="str">
        <f ca="1">IFERROR(__xludf.DUMMYFUNCTION("""COMPUTED_VALUE"""),"Yes")</f>
        <v>Yes</v>
      </c>
      <c r="B2" s="4" t="str">
        <f ca="1">IFERROR(__xludf.DUMMYFUNCTION("""COMPUTED_VALUE"""),"Yes")</f>
        <v>Yes</v>
      </c>
      <c r="C2" s="95" t="str">
        <f ca="1">IFERROR(__xludf.DUMMYFUNCTION("""COMPUTED_VALUE"""),"General information")</f>
        <v>General information</v>
      </c>
      <c r="D2" s="95" t="str">
        <f ca="1">IFERROR(__xludf.DUMMYFUNCTION("""COMPUTED_VALUE"""),"1")</f>
        <v>1</v>
      </c>
      <c r="E2" s="5" t="str">
        <f ca="1">IFERROR(__xludf.DUMMYFUNCTION("""COMPUTED_VALUE"""),"Model name")</f>
        <v>Model name</v>
      </c>
      <c r="F2" s="97" t="str">
        <f ca="1">IFERROR(__xludf.DUMMYFUNCTION("""COMPUTED_VALUE"""),"1")</f>
        <v>1</v>
      </c>
      <c r="G2" s="96"/>
      <c r="H2" s="96"/>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x14ac:dyDescent="0.25">
      <c r="A3" s="4" t="str">
        <f ca="1">IFERROR(__xludf.DUMMYFUNCTION("""COMPUTED_VALUE"""),"Yes")</f>
        <v>Yes</v>
      </c>
      <c r="B3" s="4" t="str">
        <f ca="1">IFERROR(__xludf.DUMMYFUNCTION("""COMPUTED_VALUE"""),"Yes")</f>
        <v>Yes</v>
      </c>
      <c r="C3" s="96"/>
      <c r="D3" s="96"/>
      <c r="E3" s="5" t="str">
        <f ca="1">IFERROR(__xludf.DUMMYFUNCTION("""COMPUTED_VALUE"""),"Source")</f>
        <v>Source</v>
      </c>
      <c r="F3" s="97" t="str">
        <f ca="1">IFERROR(__xludf.DUMMYFUNCTION("""COMPUTED_VALUE"""),"0:1")</f>
        <v>0:1</v>
      </c>
      <c r="G3" s="96"/>
      <c r="H3" s="96"/>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x14ac:dyDescent="0.25">
      <c r="A4" s="4" t="str">
        <f ca="1">IFERROR(__xludf.DUMMYFUNCTION("""COMPUTED_VALUE"""),"Yes")</f>
        <v>Yes</v>
      </c>
      <c r="B4" s="4" t="str">
        <f ca="1">IFERROR(__xludf.DUMMYFUNCTION("""COMPUTED_VALUE"""),"Yes")</f>
        <v>Yes</v>
      </c>
      <c r="C4" s="96"/>
      <c r="D4" s="96"/>
      <c r="E4" s="5" t="str">
        <f ca="1">IFERROR(__xludf.DUMMYFUNCTION("""COMPUTED_VALUE"""),"Identifier")</f>
        <v>Identifier</v>
      </c>
      <c r="F4" s="97" t="str">
        <f ca="1">IFERROR(__xludf.DUMMYFUNCTION("""COMPUTED_VALUE"""),"1")</f>
        <v>1</v>
      </c>
      <c r="G4" s="96"/>
      <c r="H4" s="96"/>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x14ac:dyDescent="0.25">
      <c r="A5" s="4" t="str">
        <f ca="1">IFERROR(__xludf.DUMMYFUNCTION("""COMPUTED_VALUE"""),"Yes")</f>
        <v>Yes</v>
      </c>
      <c r="B5" s="4" t="str">
        <f ca="1">IFERROR(__xludf.DUMMYFUNCTION("""COMPUTED_VALUE"""),"No")</f>
        <v>No</v>
      </c>
      <c r="C5" s="96"/>
      <c r="D5" s="9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x14ac:dyDescent="0.25">
      <c r="A6" s="4" t="str">
        <f ca="1">IFERROR(__xludf.DUMMYFUNCTION("""COMPUTED_VALUE"""),"Yes")</f>
        <v>Yes</v>
      </c>
      <c r="B6" s="4" t="str">
        <f ca="1">IFERROR(__xludf.DUMMYFUNCTION("""COMPUTED_VALUE"""),"Yes")</f>
        <v>Yes</v>
      </c>
      <c r="C6" s="96"/>
      <c r="D6" s="96"/>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x14ac:dyDescent="0.25">
      <c r="A7" s="4" t="str">
        <f ca="1">IFERROR(__xludf.DUMMYFUNCTION("""COMPUTED_VALUE"""),"Yes")</f>
        <v>Yes</v>
      </c>
      <c r="B7" s="4" t="str">
        <f ca="1">IFERROR(__xludf.DUMMYFUNCTION("""COMPUTED_VALUE"""),"Yes")</f>
        <v>Yes</v>
      </c>
      <c r="C7" s="96"/>
      <c r="D7" s="96"/>
      <c r="E7" t="str">
        <f ca="1">IFERROR(__xludf.DUMMYFUNCTION("""COMPUTED_VALUE"""),"Date")</f>
        <v>Date</v>
      </c>
      <c r="F7" s="97"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x14ac:dyDescent="0.25">
      <c r="A8" s="4" t="str">
        <f ca="1">IFERROR(__xludf.DUMMYFUNCTION("""COMPUTED_VALUE"""),"Yes")</f>
        <v>Yes</v>
      </c>
      <c r="B8" s="4" t="str">
        <f ca="1">IFERROR(__xludf.DUMMYFUNCTION("""COMPUTED_VALUE"""),"No")</f>
        <v>No</v>
      </c>
      <c r="C8" s="96"/>
      <c r="D8" s="96"/>
      <c r="E8" s="5"/>
      <c r="F8" s="96"/>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x14ac:dyDescent="0.25">
      <c r="A9" s="4" t="str">
        <f ca="1">IFERROR(__xludf.DUMMYFUNCTION("""COMPUTED_VALUE"""),"Yes")</f>
        <v>Yes</v>
      </c>
      <c r="B9" s="4" t="str">
        <f ca="1">IFERROR(__xludf.DUMMYFUNCTION("""COMPUTED_VALUE"""),"Yes")</f>
        <v>Yes</v>
      </c>
      <c r="C9" s="96"/>
      <c r="D9" s="9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x14ac:dyDescent="0.25">
      <c r="A10" s="4" t="str">
        <f ca="1">IFERROR(__xludf.DUMMYFUNCTION("""COMPUTED_VALUE"""),"Yes")</f>
        <v>Yes</v>
      </c>
      <c r="B10" s="4" t="str">
        <f ca="1">IFERROR(__xludf.DUMMYFUNCTION("""COMPUTED_VALUE"""),"No")</f>
        <v>No</v>
      </c>
      <c r="C10" s="96"/>
      <c r="D10" s="96"/>
      <c r="E10" s="5" t="str">
        <f ca="1">IFERROR(__xludf.DUMMYFUNCTION("""COMPUTED_VALUE"""),"Availability")</f>
        <v>Availability</v>
      </c>
      <c r="F10" s="97" t="str">
        <f ca="1">IFERROR(__xludf.DUMMYFUNCTION("""COMPUTED_VALUE"""),"0:1")</f>
        <v>0:1</v>
      </c>
      <c r="G10" s="96"/>
      <c r="H10" s="96"/>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x14ac:dyDescent="0.25">
      <c r="A11" s="4" t="str">
        <f ca="1">IFERROR(__xludf.DUMMYFUNCTION("""COMPUTED_VALUE"""),"Yes")</f>
        <v>Yes</v>
      </c>
      <c r="B11" s="4" t="str">
        <f ca="1">IFERROR(__xludf.DUMMYFUNCTION("""COMPUTED_VALUE"""),"No")</f>
        <v>No</v>
      </c>
      <c r="C11" s="96"/>
      <c r="D11" s="96"/>
      <c r="E11" s="5" t="str">
        <f ca="1">IFERROR(__xludf.DUMMYFUNCTION("""COMPUTED_VALUE"""),"URL")</f>
        <v>URL</v>
      </c>
      <c r="F11" s="97" t="str">
        <f ca="1">IFERROR(__xludf.DUMMYFUNCTION("""COMPUTED_VALUE"""),"0:1")</f>
        <v>0:1</v>
      </c>
      <c r="G11" s="96"/>
      <c r="H11" s="96"/>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x14ac:dyDescent="0.25">
      <c r="A12" s="4" t="str">
        <f ca="1">IFERROR(__xludf.DUMMYFUNCTION("""COMPUTED_VALUE"""),"Yes")</f>
        <v>Yes</v>
      </c>
      <c r="B12" s="4" t="str">
        <f ca="1">IFERROR(__xludf.DUMMYFUNCTION("""COMPUTED_VALUE"""),"No")</f>
        <v>No</v>
      </c>
      <c r="C12" s="96"/>
      <c r="D12" s="96"/>
      <c r="E12" s="5" t="str">
        <f ca="1">IFERROR(__xludf.DUMMYFUNCTION("""COMPUTED_VALUE"""),"Format")</f>
        <v>Format</v>
      </c>
      <c r="F12" s="97" t="str">
        <f ca="1">IFERROR(__xludf.DUMMYFUNCTION("""COMPUTED_VALUE"""),"0:1")</f>
        <v>0:1</v>
      </c>
      <c r="G12" s="96"/>
      <c r="H12" s="96"/>
      <c r="I12" s="5"/>
      <c r="J12" s="10"/>
      <c r="K12" s="4"/>
      <c r="L12" s="99" t="str">
        <f ca="1">E13</f>
        <v>References</v>
      </c>
      <c r="M12" s="96"/>
      <c r="N12" s="96"/>
      <c r="O12" s="96"/>
      <c r="P12" s="96"/>
      <c r="Q12" s="96"/>
      <c r="R12" s="96"/>
      <c r="S12" s="96"/>
      <c r="T12" s="96"/>
      <c r="U12" s="96"/>
      <c r="V12" s="96"/>
      <c r="W12" s="96"/>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x14ac:dyDescent="0.3">
      <c r="A13" s="4" t="str">
        <f ca="1">IFERROR(__xludf.DUMMYFUNCTION("""COMPUTED_VALUE"""),"Yes")</f>
        <v>Yes</v>
      </c>
      <c r="B13" s="4" t="str">
        <f ca="1">IFERROR(__xludf.DUMMYFUNCTION("""COMPUTED_VALUE"""),"Yes")</f>
        <v>Yes</v>
      </c>
      <c r="C13" s="96"/>
      <c r="D13" s="96"/>
      <c r="E13" s="97" t="str">
        <f ca="1">IFERROR(__xludf.DUMMYFUNCTION("""COMPUTED_VALUE"""),"References")</f>
        <v>References</v>
      </c>
      <c r="F13" s="97"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x14ac:dyDescent="0.25">
      <c r="A14" s="4" t="str">
        <f ca="1">IFERROR(__xludf.DUMMYFUNCTION("""COMPUTED_VALUE"""),"Yes")</f>
        <v>Yes</v>
      </c>
      <c r="B14" s="4" t="str">
        <f ca="1">IFERROR(__xludf.DUMMYFUNCTION("""COMPUTED_VALUE"""),"Yes")</f>
        <v>Yes</v>
      </c>
      <c r="C14" s="96"/>
      <c r="D14" s="96"/>
      <c r="E14" s="96"/>
      <c r="F14" s="96"/>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x14ac:dyDescent="0.25">
      <c r="A15" s="4" t="str">
        <f ca="1">IFERROR(__xludf.DUMMYFUNCTION("""COMPUTED_VALUE"""),"Yes")</f>
        <v>Yes</v>
      </c>
      <c r="B15" s="4" t="str">
        <f ca="1">IFERROR(__xludf.DUMMYFUNCTION("""COMPUTED_VALUE"""),"No")</f>
        <v>No</v>
      </c>
      <c r="C15" s="96"/>
      <c r="D15" s="96"/>
      <c r="E15" s="96"/>
      <c r="F15" s="96"/>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x14ac:dyDescent="0.25">
      <c r="A16" s="4" t="str">
        <f ca="1">IFERROR(__xludf.DUMMYFUNCTION("""COMPUTED_VALUE"""),"Yes")</f>
        <v>Yes</v>
      </c>
      <c r="B16" s="4" t="str">
        <f ca="1">IFERROR(__xludf.DUMMYFUNCTION("""COMPUTED_VALUE"""),"No")</f>
        <v>No</v>
      </c>
      <c r="C16" s="96"/>
      <c r="D16" s="96"/>
      <c r="E16" s="96"/>
      <c r="F16" s="96"/>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x14ac:dyDescent="0.25">
      <c r="A17" s="4" t="str">
        <f ca="1">IFERROR(__xludf.DUMMYFUNCTION("""COMPUTED_VALUE"""),"Yes")</f>
        <v>Yes</v>
      </c>
      <c r="B17" s="4" t="str">
        <f ca="1">IFERROR(__xludf.DUMMYFUNCTION("""COMPUTED_VALUE"""),"Yes")</f>
        <v>Yes</v>
      </c>
      <c r="C17" s="96"/>
      <c r="D17" s="96"/>
      <c r="E17" s="96"/>
      <c r="F17" s="96"/>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x14ac:dyDescent="0.25">
      <c r="A18" s="4" t="str">
        <f ca="1">IFERROR(__xludf.DUMMYFUNCTION("""COMPUTED_VALUE"""),"Yes")</f>
        <v>Yes</v>
      </c>
      <c r="B18" s="4" t="str">
        <f ca="1">IFERROR(__xludf.DUMMYFUNCTION("""COMPUTED_VALUE"""),"No")</f>
        <v>No</v>
      </c>
      <c r="C18" s="96"/>
      <c r="D18" s="96"/>
      <c r="E18" s="96"/>
      <c r="F18" s="96"/>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x14ac:dyDescent="0.25">
      <c r="A19" s="4" t="str">
        <f ca="1">IFERROR(__xludf.DUMMYFUNCTION("""COMPUTED_VALUE"""),"Yes")</f>
        <v>Yes</v>
      </c>
      <c r="B19" s="4" t="str">
        <f ca="1">IFERROR(__xludf.DUMMYFUNCTION("""COMPUTED_VALUE"""),"Yes")</f>
        <v>Yes</v>
      </c>
      <c r="C19" s="96"/>
      <c r="D19" s="96"/>
      <c r="E19" s="96"/>
      <c r="F19" s="96"/>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x14ac:dyDescent="0.25">
      <c r="A20" s="4" t="str">
        <f ca="1">IFERROR(__xludf.DUMMYFUNCTION("""COMPUTED_VALUE"""),"Yes")</f>
        <v>Yes</v>
      </c>
      <c r="B20" s="4" t="str">
        <f ca="1">IFERROR(__xludf.DUMMYFUNCTION("""COMPUTED_VALUE"""),"No")</f>
        <v>No</v>
      </c>
      <c r="C20" s="96"/>
      <c r="D20" s="96"/>
      <c r="E20" s="96"/>
      <c r="F20" s="96"/>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x14ac:dyDescent="0.25">
      <c r="A21" s="4" t="str">
        <f ca="1">IFERROR(__xludf.DUMMYFUNCTION("""COMPUTED_VALUE"""),"Yes")</f>
        <v>Yes</v>
      </c>
      <c r="B21" s="4" t="str">
        <f ca="1">IFERROR(__xludf.DUMMYFUNCTION("""COMPUTED_VALUE"""),"No")</f>
        <v>No</v>
      </c>
      <c r="C21" s="96"/>
      <c r="D21" s="96"/>
      <c r="E21" s="96"/>
      <c r="F21" s="96"/>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x14ac:dyDescent="0.25">
      <c r="A22" s="4" t="str">
        <f ca="1">IFERROR(__xludf.DUMMYFUNCTION("""COMPUTED_VALUE"""),"Yes")</f>
        <v>Yes</v>
      </c>
      <c r="B22" s="4" t="str">
        <f ca="1">IFERROR(__xludf.DUMMYFUNCTION("""COMPUTED_VALUE"""),"No")</f>
        <v>No</v>
      </c>
      <c r="C22" s="96"/>
      <c r="D22" s="96"/>
      <c r="E22" s="96"/>
      <c r="F22" s="96"/>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x14ac:dyDescent="0.25">
      <c r="A23" s="4" t="str">
        <f ca="1">IFERROR(__xludf.DUMMYFUNCTION("""COMPUTED_VALUE"""),"Yes")</f>
        <v>Yes</v>
      </c>
      <c r="B23" s="4" t="str">
        <f ca="1">IFERROR(__xludf.DUMMYFUNCTION("""COMPUTED_VALUE"""),"No")</f>
        <v>No</v>
      </c>
      <c r="C23" s="96"/>
      <c r="D23" s="96"/>
      <c r="E23" s="96"/>
      <c r="F23" s="96"/>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x14ac:dyDescent="0.25">
      <c r="A24" s="4" t="str">
        <f ca="1">IFERROR(__xludf.DUMMYFUNCTION("""COMPUTED_VALUE"""),"Yes")</f>
        <v>Yes</v>
      </c>
      <c r="B24" s="4" t="str">
        <f ca="1">IFERROR(__xludf.DUMMYFUNCTION("""COMPUTED_VALUE"""),"No")</f>
        <v>No</v>
      </c>
      <c r="C24" s="96"/>
      <c r="D24" s="96"/>
      <c r="E24" s="96"/>
      <c r="F24" s="96"/>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x14ac:dyDescent="0.25">
      <c r="A25" s="4" t="str">
        <f ca="1">IFERROR(__xludf.DUMMYFUNCTION("""COMPUTED_VALUE"""),"Yes")</f>
        <v>Yes</v>
      </c>
      <c r="B25" s="4" t="str">
        <f ca="1">IFERROR(__xludf.DUMMYFUNCTION("""COMPUTED_VALUE"""),"No")</f>
        <v>No</v>
      </c>
      <c r="C25" s="96"/>
      <c r="D25" s="96"/>
      <c r="E25" s="5" t="str">
        <f ca="1">IFERROR(__xludf.DUMMYFUNCTION("""COMPUTED_VALUE"""),"Language")</f>
        <v>Language</v>
      </c>
      <c r="F25" s="97" t="str">
        <f ca="1">IFERROR(__xludf.DUMMYFUNCTION("""COMPUTED_VALUE"""),"0:1")</f>
        <v>0:1</v>
      </c>
      <c r="G25" s="96"/>
      <c r="H25" s="96"/>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x14ac:dyDescent="0.25">
      <c r="A26" s="4" t="str">
        <f ca="1">IFERROR(__xludf.DUMMYFUNCTION("""COMPUTED_VALUE"""),"Yes")</f>
        <v>Yes</v>
      </c>
      <c r="B26" s="4" t="str">
        <f ca="1">IFERROR(__xludf.DUMMYFUNCTION("""COMPUTED_VALUE"""),"No")</f>
        <v>No</v>
      </c>
      <c r="C26" s="96"/>
      <c r="D26" s="96"/>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x14ac:dyDescent="0.25">
      <c r="A27" s="4" t="str">
        <f ca="1">IFERROR(__xludf.DUMMYFUNCTION("""COMPUTED_VALUE"""),"Yes")</f>
        <v>Yes</v>
      </c>
      <c r="B27" s="4" t="str">
        <f ca="1">IFERROR(__xludf.DUMMYFUNCTION("""COMPUTED_VALUE"""),"Yes")</f>
        <v>Yes</v>
      </c>
      <c r="C27" s="96"/>
      <c r="D27" s="96"/>
      <c r="E27" s="5" t="str">
        <f ca="1">IFERROR(__xludf.DUMMYFUNCTION("""COMPUTED_VALUE"""),"Language written in")</f>
        <v>Language written in</v>
      </c>
      <c r="F27" s="97" t="str">
        <f ca="1">IFERROR(__xludf.DUMMYFUNCTION("""COMPUTED_VALUE"""),"1")</f>
        <v>1</v>
      </c>
      <c r="G27" s="96"/>
      <c r="H27" s="96"/>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x14ac:dyDescent="0.25">
      <c r="A28" s="4" t="str">
        <f ca="1">IFERROR(__xludf.DUMMYFUNCTION("""COMPUTED_VALUE"""),"Yes")</f>
        <v>Yes</v>
      </c>
      <c r="B28" s="4" t="str">
        <f ca="1">IFERROR(__xludf.DUMMYFUNCTION("""COMPUTED_VALUE"""),"No")</f>
        <v>No</v>
      </c>
      <c r="C28" s="96"/>
      <c r="D28" s="96"/>
      <c r="E28" s="97" t="str">
        <f ca="1">IFERROR(__xludf.DUMMYFUNCTION("""COMPUTED_VALUE"""),"Model category")</f>
        <v>Model category</v>
      </c>
      <c r="F28" s="97"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x14ac:dyDescent="0.25">
      <c r="A29" s="4" t="str">
        <f ca="1">IFERROR(__xludf.DUMMYFUNCTION("""COMPUTED_VALUE"""),"Yes")</f>
        <v>Yes</v>
      </c>
      <c r="B29" s="4" t="str">
        <f ca="1">IFERROR(__xludf.DUMMYFUNCTION("""COMPUTED_VALUE"""),"No")</f>
        <v>No</v>
      </c>
      <c r="C29" s="96"/>
      <c r="D29" s="96"/>
      <c r="E29" s="96"/>
      <c r="F29" s="96"/>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x14ac:dyDescent="0.25">
      <c r="A30" s="4" t="str">
        <f ca="1">IFERROR(__xludf.DUMMYFUNCTION("""COMPUTED_VALUE"""),"Yes")</f>
        <v>Yes</v>
      </c>
      <c r="B30" s="4" t="str">
        <f ca="1">IFERROR(__xludf.DUMMYFUNCTION("""COMPUTED_VALUE"""),"No")</f>
        <v>No</v>
      </c>
      <c r="C30" s="96"/>
      <c r="D30" s="96"/>
      <c r="E30" s="96"/>
      <c r="F30" s="96"/>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x14ac:dyDescent="0.25">
      <c r="A31" s="4" t="str">
        <f ca="1">IFERROR(__xludf.DUMMYFUNCTION("""COMPUTED_VALUE"""),"Yes")</f>
        <v>Yes</v>
      </c>
      <c r="B31" s="4" t="str">
        <f ca="1">IFERROR(__xludf.DUMMYFUNCTION("""COMPUTED_VALUE"""),"No")</f>
        <v>No</v>
      </c>
      <c r="C31" s="96"/>
      <c r="D31" s="96"/>
      <c r="E31" s="96"/>
      <c r="F31" s="96"/>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x14ac:dyDescent="0.25">
      <c r="A32" s="4" t="str">
        <f ca="1">IFERROR(__xludf.DUMMYFUNCTION("""COMPUTED_VALUE"""),"Yes")</f>
        <v>Yes</v>
      </c>
      <c r="B32" s="4" t="str">
        <f ca="1">IFERROR(__xludf.DUMMYFUNCTION("""COMPUTED_VALUE"""),"No")</f>
        <v>No</v>
      </c>
      <c r="C32" s="96"/>
      <c r="D32" s="96"/>
      <c r="E32" s="96"/>
      <c r="F32" s="96"/>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x14ac:dyDescent="0.25">
      <c r="A33" s="4" t="str">
        <f ca="1">IFERROR(__xludf.DUMMYFUNCTION("""COMPUTED_VALUE"""),"Yes")</f>
        <v>Yes</v>
      </c>
      <c r="B33" s="4" t="str">
        <f ca="1">IFERROR(__xludf.DUMMYFUNCTION("""COMPUTED_VALUE"""),"No")</f>
        <v>No</v>
      </c>
      <c r="C33" s="96"/>
      <c r="D33" s="96"/>
      <c r="E33" s="5" t="str">
        <f ca="1">IFERROR(__xludf.DUMMYFUNCTION("""COMPUTED_VALUE"""),"Status")</f>
        <v>Status</v>
      </c>
      <c r="F33" s="97" t="str">
        <f ca="1">IFERROR(__xludf.DUMMYFUNCTION("""COMPUTED_VALUE"""),"0:1")</f>
        <v>0:1</v>
      </c>
      <c r="G33" s="96"/>
      <c r="H33" s="96"/>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x14ac:dyDescent="0.25">
      <c r="A34" s="4" t="str">
        <f ca="1">IFERROR(__xludf.DUMMYFUNCTION("""COMPUTED_VALUE"""),"Yes")</f>
        <v>Yes</v>
      </c>
      <c r="B34" s="4" t="str">
        <f ca="1">IFERROR(__xludf.DUMMYFUNCTION("""COMPUTED_VALUE"""),"No")</f>
        <v>No</v>
      </c>
      <c r="C34" s="96"/>
      <c r="D34" s="96"/>
      <c r="E34" s="5" t="str">
        <f ca="1">IFERROR(__xludf.DUMMYFUNCTION("""COMPUTED_VALUE"""),"Objective")</f>
        <v>Objective</v>
      </c>
      <c r="F34" s="97" t="str">
        <f ca="1">IFERROR(__xludf.DUMMYFUNCTION("""COMPUTED_VALUE"""),"0:1")</f>
        <v>0:1</v>
      </c>
      <c r="G34" s="96"/>
      <c r="H34" s="96"/>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x14ac:dyDescent="0.25">
      <c r="A35" s="4" t="str">
        <f ca="1">IFERROR(__xludf.DUMMYFUNCTION("""COMPUTED_VALUE"""),"Yes")</f>
        <v>Yes</v>
      </c>
      <c r="B35" s="4" t="str">
        <f ca="1">IFERROR(__xludf.DUMMYFUNCTION("""COMPUTED_VALUE"""),"No")</f>
        <v>No</v>
      </c>
      <c r="C35" s="96"/>
      <c r="D35" s="96"/>
      <c r="E35" s="5" t="str">
        <f ca="1">IFERROR(__xludf.DUMMYFUNCTION("""COMPUTED_VALUE"""),"Description")</f>
        <v>Description</v>
      </c>
      <c r="F35" s="97" t="str">
        <f ca="1">IFERROR(__xludf.DUMMYFUNCTION("""COMPUTED_VALUE"""),"0:1")</f>
        <v>0:1</v>
      </c>
      <c r="G35" s="96"/>
      <c r="H35" s="96"/>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x14ac:dyDescent="0.25">
      <c r="A36" s="4" t="str">
        <f ca="1">IFERROR(__xludf.DUMMYFUNCTION("""COMPUTED_VALUE"""),"Yes")</f>
        <v>Yes</v>
      </c>
      <c r="B36" s="4" t="str">
        <f ca="1">IFERROR(__xludf.DUMMYFUNCTION("""COMPUTED_VALUE"""),"Yes")</f>
        <v>Yes</v>
      </c>
      <c r="C36" s="95" t="str">
        <f ca="1">IFERROR(__xludf.DUMMYFUNCTION("""COMPUTED_VALUE"""),"Scope")</f>
        <v>Scope</v>
      </c>
      <c r="D36" s="95" t="str">
        <f ca="1">IFERROR(__xludf.DUMMYFUNCTION("""COMPUTED_VALUE"""),"1")</f>
        <v>1</v>
      </c>
      <c r="E36" s="97" t="str">
        <f ca="1">IFERROR(__xludf.DUMMYFUNCTION("""COMPUTED_VALUE"""),"Product / matrix")</f>
        <v>Product / matrix</v>
      </c>
      <c r="F36" s="97" t="str">
        <f ca="1">IFERROR(__xludf.DUMMYFUNCTION("""COMPUTED_VALUE"""),"1:N")</f>
        <v>1:N</v>
      </c>
      <c r="G36" s="5" t="str">
        <f ca="1">IFERROR(__xludf.DUMMYFUNCTION("""COMPUTED_VALUE"""),"Product/matrix name")</f>
        <v>Product/matrix name</v>
      </c>
      <c r="H36" s="5" t="str">
        <f ca="1">IFERROR(__xludf.DUMMYFUNCTION("""COMPUTED_VALUE"""),"1")</f>
        <v>1</v>
      </c>
      <c r="I36" s="5"/>
      <c r="J36" s="13"/>
      <c r="K36" s="4"/>
      <c r="L36" s="99" t="str">
        <f ca="1">E36</f>
        <v>Product / matrix</v>
      </c>
      <c r="M36" s="96"/>
      <c r="N36" s="96"/>
      <c r="O36" s="96"/>
      <c r="P36" s="96"/>
      <c r="Q36" s="96"/>
      <c r="R36" s="96"/>
      <c r="S36" s="96"/>
      <c r="T36" s="96"/>
      <c r="U36" s="96"/>
      <c r="V36" s="96"/>
      <c r="W36" s="99" t="str">
        <f ca="1">E47</f>
        <v>Hazard</v>
      </c>
      <c r="X36" s="96"/>
      <c r="Y36" s="96"/>
      <c r="Z36" s="96"/>
      <c r="AA36" s="96"/>
      <c r="AB36" s="96"/>
      <c r="AC36" s="96"/>
      <c r="AD36" s="96"/>
      <c r="AE36" s="96"/>
      <c r="AF36" s="96"/>
      <c r="AG36" s="96"/>
      <c r="AH36" s="96"/>
      <c r="AI36" s="96"/>
      <c r="AJ36" s="96"/>
      <c r="AK36" s="99" t="str">
        <f ca="1">E61</f>
        <v>Population Group</v>
      </c>
      <c r="AL36" s="96"/>
      <c r="AM36" s="96"/>
      <c r="AN36" s="96"/>
      <c r="AO36" s="96"/>
      <c r="AP36" s="96"/>
      <c r="AQ36" s="96"/>
      <c r="AR36" s="96"/>
      <c r="AS36" s="96"/>
      <c r="AT36" s="96"/>
      <c r="AU36" s="96"/>
      <c r="AV36" s="96"/>
      <c r="AW36" s="96"/>
    </row>
    <row r="37" spans="1:49" ht="12.5" x14ac:dyDescent="0.25">
      <c r="A37" s="4" t="str">
        <f ca="1">IFERROR(__xludf.DUMMYFUNCTION("""COMPUTED_VALUE"""),"Yes")</f>
        <v>Yes</v>
      </c>
      <c r="B37" s="4" t="str">
        <f ca="1">IFERROR(__xludf.DUMMYFUNCTION("""COMPUTED_VALUE"""),"Yes")</f>
        <v>Yes</v>
      </c>
      <c r="C37" s="96"/>
      <c r="D37" s="96"/>
      <c r="E37" s="96"/>
      <c r="F37" s="96"/>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x14ac:dyDescent="0.25">
      <c r="A38" s="4" t="str">
        <f ca="1">IFERROR(__xludf.DUMMYFUNCTION("""COMPUTED_VALUE"""),"Yes")</f>
        <v>Yes</v>
      </c>
      <c r="B38" s="4" t="str">
        <f ca="1">IFERROR(__xludf.DUMMYFUNCTION("""COMPUTED_VALUE"""),"Yes")</f>
        <v>Yes</v>
      </c>
      <c r="C38" s="96"/>
      <c r="D38" s="96"/>
      <c r="E38" s="96"/>
      <c r="F38" s="96"/>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x14ac:dyDescent="0.25">
      <c r="A39" s="4" t="str">
        <f ca="1">IFERROR(__xludf.DUMMYFUNCTION("""COMPUTED_VALUE"""),"Yes")</f>
        <v>Yes</v>
      </c>
      <c r="B39" s="4" t="str">
        <f ca="1">IFERROR(__xludf.DUMMYFUNCTION("""COMPUTED_VALUE"""),"No")</f>
        <v>No</v>
      </c>
      <c r="C39" s="96"/>
      <c r="D39" s="96"/>
      <c r="E39" s="96"/>
      <c r="F39" s="96"/>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x14ac:dyDescent="0.25">
      <c r="A40" s="4" t="str">
        <f ca="1">IFERROR(__xludf.DUMMYFUNCTION("""COMPUTED_VALUE"""),"Yes")</f>
        <v>Yes</v>
      </c>
      <c r="B40" s="4" t="str">
        <f ca="1">IFERROR(__xludf.DUMMYFUNCTION("""COMPUTED_VALUE"""),"No")</f>
        <v>No</v>
      </c>
      <c r="C40" s="96"/>
      <c r="D40" s="96"/>
      <c r="E40" s="96"/>
      <c r="F40" s="96"/>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x14ac:dyDescent="0.25">
      <c r="A41" s="4" t="str">
        <f ca="1">IFERROR(__xludf.DUMMYFUNCTION("""COMPUTED_VALUE"""),"Yes")</f>
        <v>Yes</v>
      </c>
      <c r="B41" s="4" t="str">
        <f ca="1">IFERROR(__xludf.DUMMYFUNCTION("""COMPUTED_VALUE"""),"No")</f>
        <v>No</v>
      </c>
      <c r="C41" s="96"/>
      <c r="D41" s="96"/>
      <c r="E41" s="96"/>
      <c r="F41" s="96"/>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x14ac:dyDescent="0.25">
      <c r="A42" s="4" t="str">
        <f ca="1">IFERROR(__xludf.DUMMYFUNCTION("""COMPUTED_VALUE"""),"Yes")</f>
        <v>Yes</v>
      </c>
      <c r="B42" s="4" t="str">
        <f ca="1">IFERROR(__xludf.DUMMYFUNCTION("""COMPUTED_VALUE"""),"No")</f>
        <v>No</v>
      </c>
      <c r="C42" s="96"/>
      <c r="D42" s="96"/>
      <c r="E42" s="96"/>
      <c r="F42" s="96"/>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x14ac:dyDescent="0.25">
      <c r="A43" s="4" t="str">
        <f ca="1">IFERROR(__xludf.DUMMYFUNCTION("""COMPUTED_VALUE"""),"Yes")</f>
        <v>Yes</v>
      </c>
      <c r="B43" s="4" t="str">
        <f ca="1">IFERROR(__xludf.DUMMYFUNCTION("""COMPUTED_VALUE"""),"No")</f>
        <v>No</v>
      </c>
      <c r="C43" s="96"/>
      <c r="D43" s="96"/>
      <c r="E43" s="96"/>
      <c r="F43" s="96"/>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x14ac:dyDescent="0.25">
      <c r="A44" s="4" t="str">
        <f ca="1">IFERROR(__xludf.DUMMYFUNCTION("""COMPUTED_VALUE"""),"Yes")</f>
        <v>Yes</v>
      </c>
      <c r="B44" s="4" t="str">
        <f ca="1">IFERROR(__xludf.DUMMYFUNCTION("""COMPUTED_VALUE"""),"No")</f>
        <v>No</v>
      </c>
      <c r="C44" s="96"/>
      <c r="D44" s="96"/>
      <c r="E44" s="96"/>
      <c r="F44" s="96"/>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x14ac:dyDescent="0.25">
      <c r="A45" s="4" t="str">
        <f ca="1">IFERROR(__xludf.DUMMYFUNCTION("""COMPUTED_VALUE"""),"Yes")</f>
        <v>Yes</v>
      </c>
      <c r="B45" s="4" t="str">
        <f ca="1">IFERROR(__xludf.DUMMYFUNCTION("""COMPUTED_VALUE"""),"No")</f>
        <v>No</v>
      </c>
      <c r="C45" s="96"/>
      <c r="D45" s="96"/>
      <c r="E45" s="96"/>
      <c r="F45" s="96"/>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x14ac:dyDescent="0.25">
      <c r="A46" s="4" t="str">
        <f ca="1">IFERROR(__xludf.DUMMYFUNCTION("""COMPUTED_VALUE"""),"Yes")</f>
        <v>Yes</v>
      </c>
      <c r="B46" s="4" t="str">
        <f ca="1">IFERROR(__xludf.DUMMYFUNCTION("""COMPUTED_VALUE"""),"No")</f>
        <v>No</v>
      </c>
      <c r="C46" s="96"/>
      <c r="D46" s="96"/>
      <c r="E46" s="96"/>
      <c r="F46" s="96"/>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x14ac:dyDescent="0.25">
      <c r="A47" s="4" t="str">
        <f ca="1">IFERROR(__xludf.DUMMYFUNCTION("""COMPUTED_VALUE"""),"Yes")</f>
        <v>Yes</v>
      </c>
      <c r="B47" s="4" t="str">
        <f ca="1">IFERROR(__xludf.DUMMYFUNCTION("""COMPUTED_VALUE"""),"No")</f>
        <v>No</v>
      </c>
      <c r="C47" s="96"/>
      <c r="D47" s="96"/>
      <c r="E47" s="97" t="str">
        <f ca="1">IFERROR(__xludf.DUMMYFUNCTION("""COMPUTED_VALUE"""),"Hazard")</f>
        <v>Hazard</v>
      </c>
      <c r="F47" s="97"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x14ac:dyDescent="0.25">
      <c r="A48" s="4" t="str">
        <f ca="1">IFERROR(__xludf.DUMMYFUNCTION("""COMPUTED_VALUE"""),"Yes")</f>
        <v>Yes</v>
      </c>
      <c r="B48" s="4" t="str">
        <f ca="1">IFERROR(__xludf.DUMMYFUNCTION("""COMPUTED_VALUE"""),"Yes")</f>
        <v>Yes</v>
      </c>
      <c r="C48" s="96"/>
      <c r="D48" s="96"/>
      <c r="E48" s="96"/>
      <c r="F48" s="96"/>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x14ac:dyDescent="0.25">
      <c r="A49" s="4" t="str">
        <f ca="1">IFERROR(__xludf.DUMMYFUNCTION("""COMPUTED_VALUE"""),"Yes")</f>
        <v>Yes</v>
      </c>
      <c r="B49" s="4" t="str">
        <f ca="1">IFERROR(__xludf.DUMMYFUNCTION("""COMPUTED_VALUE"""),"No")</f>
        <v>No</v>
      </c>
      <c r="C49" s="96"/>
      <c r="D49" s="96"/>
      <c r="E49" s="96"/>
      <c r="F49" s="96"/>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x14ac:dyDescent="0.25">
      <c r="A50" s="4" t="str">
        <f ca="1">IFERROR(__xludf.DUMMYFUNCTION("""COMPUTED_VALUE"""),"Yes")</f>
        <v>Yes</v>
      </c>
      <c r="B50" s="4" t="str">
        <f ca="1">IFERROR(__xludf.DUMMYFUNCTION("""COMPUTED_VALUE"""),"No")</f>
        <v>No</v>
      </c>
      <c r="C50" s="96"/>
      <c r="D50" s="96"/>
      <c r="E50" s="96"/>
      <c r="F50" s="96"/>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x14ac:dyDescent="0.25">
      <c r="A51" s="4" t="str">
        <f ca="1">IFERROR(__xludf.DUMMYFUNCTION("""COMPUTED_VALUE"""),"Yes")</f>
        <v>Yes</v>
      </c>
      <c r="B51" s="4" t="str">
        <f ca="1">IFERROR(__xludf.DUMMYFUNCTION("""COMPUTED_VALUE"""),"No")</f>
        <v>No</v>
      </c>
      <c r="C51" s="96"/>
      <c r="D51" s="96"/>
      <c r="E51" s="96"/>
      <c r="F51" s="96"/>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x14ac:dyDescent="0.25">
      <c r="A52" s="4" t="str">
        <f ca="1">IFERROR(__xludf.DUMMYFUNCTION("""COMPUTED_VALUE"""),"Yes")</f>
        <v>Yes</v>
      </c>
      <c r="B52" s="4" t="str">
        <f ca="1">IFERROR(__xludf.DUMMYFUNCTION("""COMPUTED_VALUE"""),"No")</f>
        <v>No</v>
      </c>
      <c r="C52" s="96"/>
      <c r="D52" s="96"/>
      <c r="E52" s="96"/>
      <c r="F52" s="96"/>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x14ac:dyDescent="0.25">
      <c r="A53" s="4" t="str">
        <f ca="1">IFERROR(__xludf.DUMMYFUNCTION("""COMPUTED_VALUE"""),"Yes")</f>
        <v>Yes</v>
      </c>
      <c r="B53" s="4" t="str">
        <f ca="1">IFERROR(__xludf.DUMMYFUNCTION("""COMPUTED_VALUE"""),"No")</f>
        <v>No</v>
      </c>
      <c r="C53" s="96"/>
      <c r="D53" s="96"/>
      <c r="E53" s="96"/>
      <c r="F53" s="96"/>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x14ac:dyDescent="0.25">
      <c r="A54" s="4" t="str">
        <f ca="1">IFERROR(__xludf.DUMMYFUNCTION("""COMPUTED_VALUE"""),"Yes")</f>
        <v>Yes</v>
      </c>
      <c r="B54" s="4" t="str">
        <f ca="1">IFERROR(__xludf.DUMMYFUNCTION("""COMPUTED_VALUE"""),"No")</f>
        <v>No</v>
      </c>
      <c r="C54" s="96"/>
      <c r="D54" s="96"/>
      <c r="E54" s="96"/>
      <c r="F54" s="96"/>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x14ac:dyDescent="0.25">
      <c r="A55" s="4" t="str">
        <f ca="1">IFERROR(__xludf.DUMMYFUNCTION("""COMPUTED_VALUE"""),"Yes")</f>
        <v>Yes</v>
      </c>
      <c r="B55" s="4" t="str">
        <f ca="1">IFERROR(__xludf.DUMMYFUNCTION("""COMPUTED_VALUE"""),"No")</f>
        <v>No</v>
      </c>
      <c r="C55" s="96"/>
      <c r="D55" s="96"/>
      <c r="E55" s="96"/>
      <c r="F55" s="96"/>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x14ac:dyDescent="0.25">
      <c r="A56" s="4" t="str">
        <f ca="1">IFERROR(__xludf.DUMMYFUNCTION("""COMPUTED_VALUE"""),"Yes")</f>
        <v>Yes</v>
      </c>
      <c r="B56" s="4" t="str">
        <f ca="1">IFERROR(__xludf.DUMMYFUNCTION("""COMPUTED_VALUE"""),"No")</f>
        <v>No</v>
      </c>
      <c r="C56" s="96"/>
      <c r="D56" s="96"/>
      <c r="E56" s="96"/>
      <c r="F56" s="96"/>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x14ac:dyDescent="0.25">
      <c r="A57" s="4" t="str">
        <f ca="1">IFERROR(__xludf.DUMMYFUNCTION("""COMPUTED_VALUE"""),"Yes")</f>
        <v>Yes</v>
      </c>
      <c r="B57" s="4" t="str">
        <f ca="1">IFERROR(__xludf.DUMMYFUNCTION("""COMPUTED_VALUE"""),"No")</f>
        <v>No</v>
      </c>
      <c r="C57" s="96"/>
      <c r="D57" s="96"/>
      <c r="E57" s="96"/>
      <c r="F57" s="96"/>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x14ac:dyDescent="0.25">
      <c r="A58" s="4" t="str">
        <f ca="1">IFERROR(__xludf.DUMMYFUNCTION("""COMPUTED_VALUE"""),"Yes")</f>
        <v>Yes</v>
      </c>
      <c r="B58" s="4" t="str">
        <f ca="1">IFERROR(__xludf.DUMMYFUNCTION("""COMPUTED_VALUE"""),"No")</f>
        <v>No</v>
      </c>
      <c r="C58" s="96"/>
      <c r="D58" s="96"/>
      <c r="E58" s="96"/>
      <c r="F58" s="96"/>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x14ac:dyDescent="0.25">
      <c r="A59" s="4" t="str">
        <f ca="1">IFERROR(__xludf.DUMMYFUNCTION("""COMPUTED_VALUE"""),"Yes")</f>
        <v>Yes</v>
      </c>
      <c r="B59" s="4" t="str">
        <f ca="1">IFERROR(__xludf.DUMMYFUNCTION("""COMPUTED_VALUE"""),"No")</f>
        <v>No</v>
      </c>
      <c r="C59" s="96"/>
      <c r="D59" s="96"/>
      <c r="E59" s="96"/>
      <c r="F59" s="96"/>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x14ac:dyDescent="0.25">
      <c r="A60" s="4" t="str">
        <f ca="1">IFERROR(__xludf.DUMMYFUNCTION("""COMPUTED_VALUE"""),"Yes")</f>
        <v>Yes</v>
      </c>
      <c r="B60" s="4" t="str">
        <f ca="1">IFERROR(__xludf.DUMMYFUNCTION("""COMPUTED_VALUE"""),"No")</f>
        <v>No</v>
      </c>
      <c r="C60" s="96"/>
      <c r="D60" s="96"/>
      <c r="E60" s="96"/>
      <c r="F60" s="96"/>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x14ac:dyDescent="0.25">
      <c r="A61" s="4" t="str">
        <f ca="1">IFERROR(__xludf.DUMMYFUNCTION("""COMPUTED_VALUE"""),"Yes")</f>
        <v>Yes</v>
      </c>
      <c r="B61" s="4" t="str">
        <f ca="1">IFERROR(__xludf.DUMMYFUNCTION("""COMPUTED_VALUE"""),"Yes")</f>
        <v>Yes</v>
      </c>
      <c r="C61" s="96"/>
      <c r="D61" s="96"/>
      <c r="E61" s="97" t="str">
        <f ca="1">IFERROR(__xludf.DUMMYFUNCTION("""COMPUTED_VALUE"""),"Population Group")</f>
        <v>Population Group</v>
      </c>
      <c r="F61" s="97"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6"/>
      <c r="AT61" s="96"/>
      <c r="AU61" s="96"/>
      <c r="AV61" s="96"/>
      <c r="AW61" s="96"/>
    </row>
    <row r="62" spans="1:49" ht="12.5" x14ac:dyDescent="0.25">
      <c r="A62" s="4" t="str">
        <f ca="1">IFERROR(__xludf.DUMMYFUNCTION("""COMPUTED_VALUE"""),"Yes")</f>
        <v>Yes</v>
      </c>
      <c r="B62" s="4" t="str">
        <f ca="1">IFERROR(__xludf.DUMMYFUNCTION("""COMPUTED_VALUE"""),"No")</f>
        <v>No</v>
      </c>
      <c r="C62" s="96"/>
      <c r="D62" s="96"/>
      <c r="E62" s="96"/>
      <c r="F62" s="96"/>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x14ac:dyDescent="0.25">
      <c r="A63" s="4" t="str">
        <f ca="1">IFERROR(__xludf.DUMMYFUNCTION("""COMPUTED_VALUE"""),"Yes")</f>
        <v>Yes</v>
      </c>
      <c r="B63" s="4" t="str">
        <f ca="1">IFERROR(__xludf.DUMMYFUNCTION("""COMPUTED_VALUE"""),"No")</f>
        <v>No</v>
      </c>
      <c r="C63" s="96"/>
      <c r="D63" s="96"/>
      <c r="E63" s="96"/>
      <c r="F63" s="96"/>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x14ac:dyDescent="0.25">
      <c r="A64" s="4" t="str">
        <f ca="1">IFERROR(__xludf.DUMMYFUNCTION("""COMPUTED_VALUE"""),"Yes")</f>
        <v>Yes</v>
      </c>
      <c r="B64" s="4" t="str">
        <f ca="1">IFERROR(__xludf.DUMMYFUNCTION("""COMPUTED_VALUE"""),"No")</f>
        <v>No</v>
      </c>
      <c r="C64" s="96"/>
      <c r="D64" s="96"/>
      <c r="E64" s="96"/>
      <c r="F64" s="96"/>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x14ac:dyDescent="0.25">
      <c r="A65" s="4" t="str">
        <f ca="1">IFERROR(__xludf.DUMMYFUNCTION("""COMPUTED_VALUE"""),"Yes")</f>
        <v>Yes</v>
      </c>
      <c r="B65" s="4" t="str">
        <f ca="1">IFERROR(__xludf.DUMMYFUNCTION("""COMPUTED_VALUE"""),"No")</f>
        <v>No</v>
      </c>
      <c r="C65" s="96"/>
      <c r="D65" s="96"/>
      <c r="E65" s="96"/>
      <c r="F65" s="96"/>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x14ac:dyDescent="0.25">
      <c r="A66" s="4" t="str">
        <f ca="1">IFERROR(__xludf.DUMMYFUNCTION("""COMPUTED_VALUE"""),"Yes")</f>
        <v>Yes</v>
      </c>
      <c r="B66" s="4" t="str">
        <f ca="1">IFERROR(__xludf.DUMMYFUNCTION("""COMPUTED_VALUE"""),"No")</f>
        <v>No</v>
      </c>
      <c r="C66" s="96"/>
      <c r="D66" s="96"/>
      <c r="E66" s="96"/>
      <c r="F66" s="96"/>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x14ac:dyDescent="0.25">
      <c r="A67" s="4" t="str">
        <f ca="1">IFERROR(__xludf.DUMMYFUNCTION("""COMPUTED_VALUE"""),"Yes")</f>
        <v>Yes</v>
      </c>
      <c r="B67" s="4" t="str">
        <f ca="1">IFERROR(__xludf.DUMMYFUNCTION("""COMPUTED_VALUE"""),"No")</f>
        <v>No</v>
      </c>
      <c r="C67" s="96"/>
      <c r="D67" s="96"/>
      <c r="E67" s="96"/>
      <c r="F67" s="96"/>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x14ac:dyDescent="0.25">
      <c r="A68" s="4" t="str">
        <f ca="1">IFERROR(__xludf.DUMMYFUNCTION("""COMPUTED_VALUE"""),"Yes")</f>
        <v>Yes</v>
      </c>
      <c r="B68" s="4" t="str">
        <f ca="1">IFERROR(__xludf.DUMMYFUNCTION("""COMPUTED_VALUE"""),"No")</f>
        <v>No</v>
      </c>
      <c r="C68" s="96"/>
      <c r="D68" s="96"/>
      <c r="E68" s="96"/>
      <c r="F68" s="96"/>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x14ac:dyDescent="0.25">
      <c r="A69" s="4" t="str">
        <f ca="1">IFERROR(__xludf.DUMMYFUNCTION("""COMPUTED_VALUE"""),"Yes")</f>
        <v>Yes</v>
      </c>
      <c r="B69" s="4" t="str">
        <f ca="1">IFERROR(__xludf.DUMMYFUNCTION("""COMPUTED_VALUE"""),"No")</f>
        <v>No</v>
      </c>
      <c r="C69" s="96"/>
      <c r="D69" s="96"/>
      <c r="E69" s="96"/>
      <c r="F69" s="96"/>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x14ac:dyDescent="0.25">
      <c r="A70" s="4" t="str">
        <f ca="1">IFERROR(__xludf.DUMMYFUNCTION("""COMPUTED_VALUE"""),"Yes")</f>
        <v>Yes</v>
      </c>
      <c r="B70" s="4" t="str">
        <f ca="1">IFERROR(__xludf.DUMMYFUNCTION("""COMPUTED_VALUE"""),"No")</f>
        <v>No</v>
      </c>
      <c r="C70" s="96"/>
      <c r="D70" s="96"/>
      <c r="E70" s="96"/>
      <c r="F70" s="96"/>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x14ac:dyDescent="0.25">
      <c r="A71" s="4" t="str">
        <f ca="1">IFERROR(__xludf.DUMMYFUNCTION("""COMPUTED_VALUE"""),"Yes")</f>
        <v>Yes</v>
      </c>
      <c r="B71" s="4" t="str">
        <f ca="1">IFERROR(__xludf.DUMMYFUNCTION("""COMPUTED_VALUE"""),"No")</f>
        <v>No</v>
      </c>
      <c r="C71" s="96"/>
      <c r="D71" s="96"/>
      <c r="E71" s="96"/>
      <c r="F71" s="96"/>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x14ac:dyDescent="0.25">
      <c r="A72" s="4" t="str">
        <f ca="1">IFERROR(__xludf.DUMMYFUNCTION("""COMPUTED_VALUE"""),"Yes")</f>
        <v>Yes</v>
      </c>
      <c r="B72" s="4" t="str">
        <f ca="1">IFERROR(__xludf.DUMMYFUNCTION("""COMPUTED_VALUE"""),"No")</f>
        <v>No</v>
      </c>
      <c r="C72" s="96"/>
      <c r="D72" s="96"/>
      <c r="E72" s="96"/>
      <c r="F72" s="96"/>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x14ac:dyDescent="0.25">
      <c r="A73" s="4" t="str">
        <f ca="1">IFERROR(__xludf.DUMMYFUNCTION("""COMPUTED_VALUE"""),"Yes")</f>
        <v>Yes</v>
      </c>
      <c r="B73" s="4" t="str">
        <f ca="1">IFERROR(__xludf.DUMMYFUNCTION("""COMPUTED_VALUE"""),"No")</f>
        <v>No</v>
      </c>
      <c r="C73" s="96"/>
      <c r="D73" s="96"/>
      <c r="E73" s="96"/>
      <c r="F73" s="96"/>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x14ac:dyDescent="0.25">
      <c r="A74" s="4" t="str">
        <f ca="1">IFERROR(__xludf.DUMMYFUNCTION("""COMPUTED_VALUE"""),"Yes")</f>
        <v>Yes</v>
      </c>
      <c r="B74" s="4" t="str">
        <f ca="1">IFERROR(__xludf.DUMMYFUNCTION("""COMPUTED_VALUE"""),"No")</f>
        <v>No</v>
      </c>
      <c r="C74" s="96"/>
      <c r="D74" s="96"/>
      <c r="E74" s="5" t="str">
        <f ca="1">IFERROR(__xludf.DUMMYFUNCTION("""COMPUTED_VALUE"""),"General comment")</f>
        <v>General comment</v>
      </c>
      <c r="F74" s="97" t="str">
        <f ca="1">IFERROR(__xludf.DUMMYFUNCTION("""COMPUTED_VALUE"""),"0:1")</f>
        <v>0:1</v>
      </c>
      <c r="G74" s="96"/>
      <c r="H74" s="96"/>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x14ac:dyDescent="0.25">
      <c r="A75" s="4" t="str">
        <f ca="1">IFERROR(__xludf.DUMMYFUNCTION("""COMPUTED_VALUE"""),"Yes")</f>
        <v>Yes</v>
      </c>
      <c r="B75" s="4" t="str">
        <f ca="1">IFERROR(__xludf.DUMMYFUNCTION("""COMPUTED_VALUE"""),"No")</f>
        <v>No</v>
      </c>
      <c r="C75" s="96"/>
      <c r="D75" s="96"/>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x14ac:dyDescent="0.25">
      <c r="A76" s="4" t="str">
        <f ca="1">IFERROR(__xludf.DUMMYFUNCTION("""COMPUTED_VALUE"""),"Yes")</f>
        <v>Yes</v>
      </c>
      <c r="B76" s="4" t="str">
        <f ca="1">IFERROR(__xludf.DUMMYFUNCTION("""COMPUTED_VALUE"""),"No")</f>
        <v>No</v>
      </c>
      <c r="C76" s="96"/>
      <c r="D76" s="96"/>
      <c r="E76" s="97" t="str">
        <f ca="1">IFERROR(__xludf.DUMMYFUNCTION("""COMPUTED_VALUE"""),"Spatial information")</f>
        <v>Spatial information</v>
      </c>
      <c r="F76" s="97"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x14ac:dyDescent="0.25">
      <c r="A77" s="4" t="str">
        <f ca="1">IFERROR(__xludf.DUMMYFUNCTION("""COMPUTED_VALUE"""),"Yes")</f>
        <v>Yes</v>
      </c>
      <c r="B77" s="4" t="str">
        <f ca="1">IFERROR(__xludf.DUMMYFUNCTION("""COMPUTED_VALUE"""),"No")</f>
        <v>No</v>
      </c>
      <c r="C77" s="96"/>
      <c r="D77" s="96"/>
      <c r="E77" s="96"/>
      <c r="F77" s="96"/>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x14ac:dyDescent="0.25">
      <c r="A78" s="4" t="str">
        <f ca="1">IFERROR(__xludf.DUMMYFUNCTION("""COMPUTED_VALUE"""),"Yes")</f>
        <v>Yes</v>
      </c>
      <c r="B78" s="4" t="str">
        <f ca="1">IFERROR(__xludf.DUMMYFUNCTION("""COMPUTED_VALUE"""),"No")</f>
        <v>No</v>
      </c>
      <c r="C78" s="95" t="str">
        <f ca="1">IFERROR(__xludf.DUMMYFUNCTION("""COMPUTED_VALUE"""),"Data_background")</f>
        <v>Data_background</v>
      </c>
      <c r="D78" s="95" t="str">
        <f ca="1">IFERROR(__xludf.DUMMYFUNCTION("""COMPUTED_VALUE"""),"0:1")</f>
        <v>0:1</v>
      </c>
      <c r="E78" s="97" t="str">
        <f ca="1">IFERROR(__xludf.DUMMYFUNCTION("""COMPUTED_VALUE"""),"Study")</f>
        <v>Study</v>
      </c>
      <c r="F78" s="97"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x14ac:dyDescent="0.25">
      <c r="A79" s="4" t="str">
        <f ca="1">IFERROR(__xludf.DUMMYFUNCTION("""COMPUTED_VALUE"""),"Yes")</f>
        <v>Yes</v>
      </c>
      <c r="B79" s="4" t="str">
        <f ca="1">IFERROR(__xludf.DUMMYFUNCTION("""COMPUTED_VALUE"""),"No")</f>
        <v>No</v>
      </c>
      <c r="C79" s="96"/>
      <c r="D79" s="96"/>
      <c r="E79" s="96"/>
      <c r="F79" s="96"/>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x14ac:dyDescent="0.25">
      <c r="A80" s="4" t="str">
        <f ca="1">IFERROR(__xludf.DUMMYFUNCTION("""COMPUTED_VALUE"""),"Yes")</f>
        <v>Yes</v>
      </c>
      <c r="B80" s="4" t="str">
        <f ca="1">IFERROR(__xludf.DUMMYFUNCTION("""COMPUTED_VALUE"""),"No")</f>
        <v>No</v>
      </c>
      <c r="C80" s="96"/>
      <c r="D80" s="96"/>
      <c r="E80" s="96"/>
      <c r="F80" s="96"/>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x14ac:dyDescent="0.25">
      <c r="A81" s="4" t="str">
        <f ca="1">IFERROR(__xludf.DUMMYFUNCTION("""COMPUTED_VALUE"""),"Yes")</f>
        <v>Yes</v>
      </c>
      <c r="B81" s="4" t="str">
        <f ca="1">IFERROR(__xludf.DUMMYFUNCTION("""COMPUTED_VALUE"""),"No")</f>
        <v>No</v>
      </c>
      <c r="C81" s="96"/>
      <c r="D81" s="96"/>
      <c r="E81" s="96"/>
      <c r="F81" s="96"/>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x14ac:dyDescent="0.25">
      <c r="A82" s="4" t="str">
        <f ca="1">IFERROR(__xludf.DUMMYFUNCTION("""COMPUTED_VALUE"""),"Yes")</f>
        <v>Yes</v>
      </c>
      <c r="B82" s="4" t="str">
        <f ca="1">IFERROR(__xludf.DUMMYFUNCTION("""COMPUTED_VALUE"""),"No")</f>
        <v>No</v>
      </c>
      <c r="C82" s="96"/>
      <c r="D82" s="96"/>
      <c r="E82" s="96"/>
      <c r="F82" s="96"/>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x14ac:dyDescent="0.25">
      <c r="A83" s="4" t="str">
        <f ca="1">IFERROR(__xludf.DUMMYFUNCTION("""COMPUTED_VALUE"""),"Yes")</f>
        <v>Yes</v>
      </c>
      <c r="B83" s="4" t="str">
        <f ca="1">IFERROR(__xludf.DUMMYFUNCTION("""COMPUTED_VALUE"""),"No")</f>
        <v>No</v>
      </c>
      <c r="C83" s="96"/>
      <c r="D83" s="96"/>
      <c r="E83" s="96"/>
      <c r="F83" s="96"/>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x14ac:dyDescent="0.25">
      <c r="A84" s="4" t="str">
        <f ca="1">IFERROR(__xludf.DUMMYFUNCTION("""COMPUTED_VALUE"""),"Yes")</f>
        <v>Yes</v>
      </c>
      <c r="B84" s="4" t="str">
        <f ca="1">IFERROR(__xludf.DUMMYFUNCTION("""COMPUTED_VALUE"""),"No")</f>
        <v>No</v>
      </c>
      <c r="C84" s="96"/>
      <c r="D84" s="96"/>
      <c r="E84" s="96"/>
      <c r="F84" s="96"/>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x14ac:dyDescent="0.25">
      <c r="A85" s="4" t="str">
        <f ca="1">IFERROR(__xludf.DUMMYFUNCTION("""COMPUTED_VALUE"""),"Yes")</f>
        <v>Yes</v>
      </c>
      <c r="B85" s="4" t="str">
        <f ca="1">IFERROR(__xludf.DUMMYFUNCTION("""COMPUTED_VALUE"""),"No")</f>
        <v>No</v>
      </c>
      <c r="C85" s="96"/>
      <c r="D85" s="96"/>
      <c r="E85" s="96"/>
      <c r="F85" s="96"/>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x14ac:dyDescent="0.25">
      <c r="A86" s="4" t="str">
        <f ca="1">IFERROR(__xludf.DUMMYFUNCTION("""COMPUTED_VALUE"""),"Yes")</f>
        <v>Yes</v>
      </c>
      <c r="B86" s="4" t="str">
        <f ca="1">IFERROR(__xludf.DUMMYFUNCTION("""COMPUTED_VALUE"""),"No")</f>
        <v>No</v>
      </c>
      <c r="C86" s="96"/>
      <c r="D86" s="96"/>
      <c r="E86" s="96"/>
      <c r="F86" s="96"/>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x14ac:dyDescent="0.25">
      <c r="A87" s="4" t="str">
        <f ca="1">IFERROR(__xludf.DUMMYFUNCTION("""COMPUTED_VALUE"""),"Yes")</f>
        <v>Yes</v>
      </c>
      <c r="B87" s="4" t="str">
        <f ca="1">IFERROR(__xludf.DUMMYFUNCTION("""COMPUTED_VALUE"""),"No")</f>
        <v>No</v>
      </c>
      <c r="C87" s="96"/>
      <c r="D87" s="96"/>
      <c r="E87" s="96"/>
      <c r="F87" s="96"/>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x14ac:dyDescent="0.25">
      <c r="A88" s="4" t="str">
        <f ca="1">IFERROR(__xludf.DUMMYFUNCTION("""COMPUTED_VALUE"""),"Yes")</f>
        <v>Yes</v>
      </c>
      <c r="B88" s="4" t="str">
        <f ca="1">IFERROR(__xludf.DUMMYFUNCTION("""COMPUTED_VALUE"""),"No")</f>
        <v>No</v>
      </c>
      <c r="C88" s="96"/>
      <c r="D88" s="96"/>
      <c r="E88" s="96"/>
      <c r="F88" s="96"/>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x14ac:dyDescent="0.25">
      <c r="A89" s="4" t="str">
        <f ca="1">IFERROR(__xludf.DUMMYFUNCTION("""COMPUTED_VALUE"""),"Yes")</f>
        <v>Yes</v>
      </c>
      <c r="B89" s="4" t="str">
        <f ca="1">IFERROR(__xludf.DUMMYFUNCTION("""COMPUTED_VALUE"""),"No")</f>
        <v>No</v>
      </c>
      <c r="C89" s="96"/>
      <c r="D89" s="96"/>
      <c r="E89" s="96"/>
      <c r="F89" s="96"/>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x14ac:dyDescent="0.25">
      <c r="A90" s="4" t="str">
        <f ca="1">IFERROR(__xludf.DUMMYFUNCTION("""COMPUTED_VALUE"""),"Yes")</f>
        <v>Yes</v>
      </c>
      <c r="B90" s="4" t="str">
        <f ca="1">IFERROR(__xludf.DUMMYFUNCTION("""COMPUTED_VALUE"""),"No")</f>
        <v>No</v>
      </c>
      <c r="C90" s="96"/>
      <c r="D90" s="96"/>
      <c r="E90" s="96"/>
      <c r="F90" s="96"/>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x14ac:dyDescent="0.25">
      <c r="A91" s="4" t="str">
        <f ca="1">IFERROR(__xludf.DUMMYFUNCTION("""COMPUTED_VALUE"""),"Yes")</f>
        <v>Yes</v>
      </c>
      <c r="B91" s="4" t="str">
        <f ca="1">IFERROR(__xludf.DUMMYFUNCTION("""COMPUTED_VALUE"""),"No")</f>
        <v>No</v>
      </c>
      <c r="C91" s="96"/>
      <c r="D91" s="96"/>
      <c r="E91" s="96"/>
      <c r="F91" s="96"/>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x14ac:dyDescent="0.25">
      <c r="A92" s="4" t="str">
        <f ca="1">IFERROR(__xludf.DUMMYFUNCTION("""COMPUTED_VALUE"""),"Yes")</f>
        <v>Yes</v>
      </c>
      <c r="B92" s="4" t="str">
        <f ca="1">IFERROR(__xludf.DUMMYFUNCTION("""COMPUTED_VALUE"""),"No")</f>
        <v>No</v>
      </c>
      <c r="C92" s="96"/>
      <c r="D92" s="96"/>
      <c r="E92" s="96"/>
      <c r="F92" s="96"/>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x14ac:dyDescent="0.25">
      <c r="A93" s="4" t="str">
        <f ca="1">IFERROR(__xludf.DUMMYFUNCTION("""COMPUTED_VALUE"""),"Yes")</f>
        <v>Yes</v>
      </c>
      <c r="B93" s="4" t="str">
        <f ca="1">IFERROR(__xludf.DUMMYFUNCTION("""COMPUTED_VALUE"""),"No")</f>
        <v>No</v>
      </c>
      <c r="C93" s="96"/>
      <c r="D93" s="96"/>
      <c r="E93" s="96"/>
      <c r="F93" s="96"/>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x14ac:dyDescent="0.25">
      <c r="A94" s="4" t="str">
        <f ca="1">IFERROR(__xludf.DUMMYFUNCTION("""COMPUTED_VALUE"""),"Yes")</f>
        <v>Yes</v>
      </c>
      <c r="B94" s="4" t="str">
        <f ca="1">IFERROR(__xludf.DUMMYFUNCTION("""COMPUTED_VALUE"""),"No")</f>
        <v>No</v>
      </c>
      <c r="C94" s="96"/>
      <c r="D94" s="96"/>
      <c r="E94" s="97" t="str">
        <f ca="1">IFERROR(__xludf.DUMMYFUNCTION("""COMPUTED_VALUE"""),"Study Sample")</f>
        <v>Study Sample</v>
      </c>
      <c r="F94" s="97" t="str">
        <f ca="1">IFERROR(__xludf.DUMMYFUNCTION("""COMPUTED_VALUE"""),"0:N")</f>
        <v>0:N</v>
      </c>
      <c r="G94" s="5" t="str">
        <f ca="1">IFERROR(__xludf.DUMMYFUNCTION("""COMPUTED_VALUE"""),"Sample Name (ID)")</f>
        <v>Sample Name (ID)</v>
      </c>
      <c r="H94" s="5" t="str">
        <f ca="1">IFERROR(__xludf.DUMMYFUNCTION("""COMPUTED_VALUE"""),"1")</f>
        <v>1</v>
      </c>
      <c r="I94" s="5"/>
      <c r="J94" s="13"/>
      <c r="K94" s="4"/>
      <c r="L94" s="99" t="str">
        <f ca="1">E94</f>
        <v>Study Sample</v>
      </c>
      <c r="M94" s="96"/>
      <c r="N94" s="96"/>
      <c r="O94" s="96"/>
      <c r="P94" s="96"/>
      <c r="Q94" s="96"/>
      <c r="R94" s="96"/>
      <c r="S94" s="96"/>
      <c r="T94" s="96"/>
      <c r="U94" s="96"/>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x14ac:dyDescent="0.25">
      <c r="A95" s="4" t="str">
        <f ca="1">IFERROR(__xludf.DUMMYFUNCTION("""COMPUTED_VALUE"""),"Yes")</f>
        <v>Yes</v>
      </c>
      <c r="B95" s="4" t="str">
        <f ca="1">IFERROR(__xludf.DUMMYFUNCTION("""COMPUTED_VALUE"""),"No")</f>
        <v>No</v>
      </c>
      <c r="C95" s="96"/>
      <c r="D95" s="96"/>
      <c r="E95" s="96"/>
      <c r="F95" s="96"/>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x14ac:dyDescent="0.25">
      <c r="A96" s="4" t="str">
        <f ca="1">IFERROR(__xludf.DUMMYFUNCTION("""COMPUTED_VALUE"""),"Yes")</f>
        <v>Yes</v>
      </c>
      <c r="B96" s="4" t="str">
        <f ca="1">IFERROR(__xludf.DUMMYFUNCTION("""COMPUTED_VALUE"""),"No")</f>
        <v>No</v>
      </c>
      <c r="C96" s="96"/>
      <c r="D96" s="96"/>
      <c r="E96" s="96"/>
      <c r="F96" s="96"/>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x14ac:dyDescent="0.25">
      <c r="A97" s="4" t="str">
        <f ca="1">IFERROR(__xludf.DUMMYFUNCTION("""COMPUTED_VALUE"""),"Yes")</f>
        <v>Yes</v>
      </c>
      <c r="B97" s="4" t="str">
        <f ca="1">IFERROR(__xludf.DUMMYFUNCTION("""COMPUTED_VALUE"""),"No")</f>
        <v>No</v>
      </c>
      <c r="C97" s="96"/>
      <c r="D97" s="96"/>
      <c r="E97" s="96"/>
      <c r="F97" s="96"/>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x14ac:dyDescent="0.25">
      <c r="A98" s="4" t="str">
        <f ca="1">IFERROR(__xludf.DUMMYFUNCTION("""COMPUTED_VALUE"""),"Yes")</f>
        <v>Yes</v>
      </c>
      <c r="B98" s="4" t="str">
        <f ca="1">IFERROR(__xludf.DUMMYFUNCTION("""COMPUTED_VALUE"""),"No")</f>
        <v>No</v>
      </c>
      <c r="C98" s="96"/>
      <c r="D98" s="96"/>
      <c r="E98" s="96"/>
      <c r="F98" s="96"/>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x14ac:dyDescent="0.25">
      <c r="A99" s="4" t="str">
        <f ca="1">IFERROR(__xludf.DUMMYFUNCTION("""COMPUTED_VALUE"""),"Yes")</f>
        <v>Yes</v>
      </c>
      <c r="B99" s="4" t="str">
        <f ca="1">IFERROR(__xludf.DUMMYFUNCTION("""COMPUTED_VALUE"""),"No")</f>
        <v>No</v>
      </c>
      <c r="C99" s="96"/>
      <c r="D99" s="96"/>
      <c r="E99" s="96"/>
      <c r="F99" s="96"/>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x14ac:dyDescent="0.25">
      <c r="A100" s="4" t="str">
        <f ca="1">IFERROR(__xludf.DUMMYFUNCTION("""COMPUTED_VALUE"""),"Yes")</f>
        <v>Yes</v>
      </c>
      <c r="B100" s="4" t="str">
        <f ca="1">IFERROR(__xludf.DUMMYFUNCTION("""COMPUTED_VALUE"""),"No")</f>
        <v>No</v>
      </c>
      <c r="C100" s="96"/>
      <c r="D100" s="96"/>
      <c r="E100" s="96"/>
      <c r="F100" s="96"/>
      <c r="G100" s="5" t="str">
        <f ca="1">IFERROR(__xludf.DUMMYFUNCTION("""COMPUTED_VALUE"""),"Sampling weight")</f>
        <v>Sampling weight</v>
      </c>
      <c r="H100" s="5" t="str">
        <f ca="1">IFERROR(__xludf.DUMMYFUNCTION("""COMPUTED_VALUE"""),"1")</f>
        <v>1</v>
      </c>
      <c r="I100" s="5"/>
      <c r="J100" s="13"/>
      <c r="K100" s="4"/>
      <c r="L100" s="99" t="str">
        <f ca="1">E104</f>
        <v>Dietary assessment method</v>
      </c>
      <c r="M100" s="96"/>
      <c r="N100" s="96"/>
      <c r="O100" s="96"/>
      <c r="P100" s="96"/>
      <c r="Q100" s="96"/>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x14ac:dyDescent="0.25">
      <c r="A101" s="4" t="str">
        <f ca="1">IFERROR(__xludf.DUMMYFUNCTION("""COMPUTED_VALUE"""),"Yes")</f>
        <v>Yes</v>
      </c>
      <c r="B101" s="4" t="str">
        <f ca="1">IFERROR(__xludf.DUMMYFUNCTION("""COMPUTED_VALUE"""),"No")</f>
        <v>No</v>
      </c>
      <c r="C101" s="96"/>
      <c r="D101" s="96"/>
      <c r="E101" s="96"/>
      <c r="F101" s="96"/>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x14ac:dyDescent="0.25">
      <c r="A102" s="4" t="str">
        <f ca="1">IFERROR(__xludf.DUMMYFUNCTION("""COMPUTED_VALUE"""),"Yes")</f>
        <v>Yes</v>
      </c>
      <c r="B102" s="4" t="str">
        <f ca="1">IFERROR(__xludf.DUMMYFUNCTION("""COMPUTED_VALUE"""),"No")</f>
        <v>No</v>
      </c>
      <c r="C102" s="96"/>
      <c r="D102" s="96"/>
      <c r="E102" s="96"/>
      <c r="F102" s="96"/>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x14ac:dyDescent="0.25">
      <c r="A103" s="4" t="str">
        <f ca="1">IFERROR(__xludf.DUMMYFUNCTION("""COMPUTED_VALUE"""),"Yes")</f>
        <v>Yes</v>
      </c>
      <c r="B103" s="4" t="str">
        <f ca="1">IFERROR(__xludf.DUMMYFUNCTION("""COMPUTED_VALUE"""),"No")</f>
        <v>No</v>
      </c>
      <c r="C103" s="96"/>
      <c r="D103" s="96"/>
      <c r="E103" s="96"/>
      <c r="F103" s="96"/>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x14ac:dyDescent="0.25">
      <c r="A104" s="4" t="str">
        <f ca="1">IFERROR(__xludf.DUMMYFUNCTION("""COMPUTED_VALUE"""),"Yes")</f>
        <v>Yes</v>
      </c>
      <c r="B104" s="4" t="str">
        <f ca="1">IFERROR(__xludf.DUMMYFUNCTION("""COMPUTED_VALUE"""),"No")</f>
        <v>No</v>
      </c>
      <c r="C104" s="96"/>
      <c r="D104" s="96"/>
      <c r="E104" s="97" t="str">
        <f ca="1">IFERROR(__xludf.DUMMYFUNCTION("""COMPUTED_VALUE"""),"Dietary assessment method")</f>
        <v>Dietary assessment method</v>
      </c>
      <c r="F104" s="97"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x14ac:dyDescent="0.25">
      <c r="A105" s="4" t="str">
        <f ca="1">IFERROR(__xludf.DUMMYFUNCTION("""COMPUTED_VALUE"""),"Yes")</f>
        <v>Yes</v>
      </c>
      <c r="B105" s="4" t="str">
        <f ca="1">IFERROR(__xludf.DUMMYFUNCTION("""COMPUTED_VALUE"""),"No")</f>
        <v>No</v>
      </c>
      <c r="C105" s="96"/>
      <c r="D105" s="96"/>
      <c r="E105" s="96"/>
      <c r="F105" s="96"/>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x14ac:dyDescent="0.25">
      <c r="A106" s="4" t="str">
        <f ca="1">IFERROR(__xludf.DUMMYFUNCTION("""COMPUTED_VALUE"""),"Yes")</f>
        <v>Yes</v>
      </c>
      <c r="B106" s="4" t="str">
        <f ca="1">IFERROR(__xludf.DUMMYFUNCTION("""COMPUTED_VALUE"""),"No")</f>
        <v>No</v>
      </c>
      <c r="C106" s="96"/>
      <c r="D106" s="96"/>
      <c r="E106" s="96"/>
      <c r="F106" s="96"/>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x14ac:dyDescent="0.25">
      <c r="A107" s="4" t="str">
        <f ca="1">IFERROR(__xludf.DUMMYFUNCTION("""COMPUTED_VALUE"""),"Yes")</f>
        <v>Yes</v>
      </c>
      <c r="B107" s="4" t="str">
        <f ca="1">IFERROR(__xludf.DUMMYFUNCTION("""COMPUTED_VALUE"""),"No")</f>
        <v>No</v>
      </c>
      <c r="C107" s="96"/>
      <c r="D107" s="96"/>
      <c r="E107" s="96"/>
      <c r="F107" s="96"/>
      <c r="G107" s="5" t="str">
        <f ca="1">IFERROR(__xludf.DUMMYFUNCTION("""COMPUTED_VALUE"""),"Number of food items")</f>
        <v>Number of food items</v>
      </c>
      <c r="H107" s="5" t="str">
        <f ca="1">IFERROR(__xludf.DUMMYFUNCTION("""COMPUTED_VALUE"""),"1:N")</f>
        <v>1:N</v>
      </c>
      <c r="I107" s="5"/>
      <c r="J107" s="13"/>
      <c r="K107" s="4"/>
      <c r="L107" s="99" t="str">
        <f ca="1">E110</f>
        <v>Laboratory</v>
      </c>
      <c r="M107" s="96"/>
      <c r="N107" s="96"/>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x14ac:dyDescent="0.25">
      <c r="A108" s="4" t="str">
        <f ca="1">IFERROR(__xludf.DUMMYFUNCTION("""COMPUTED_VALUE"""),"Yes")</f>
        <v>Yes</v>
      </c>
      <c r="B108" s="4" t="str">
        <f ca="1">IFERROR(__xludf.DUMMYFUNCTION("""COMPUTED_VALUE"""),"No")</f>
        <v>No</v>
      </c>
      <c r="C108" s="96"/>
      <c r="D108" s="96"/>
      <c r="E108" s="96"/>
      <c r="F108" s="96"/>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x14ac:dyDescent="0.25">
      <c r="A109" s="4" t="str">
        <f ca="1">IFERROR(__xludf.DUMMYFUNCTION("""COMPUTED_VALUE"""),"Yes")</f>
        <v>Yes</v>
      </c>
      <c r="B109" s="4" t="str">
        <f ca="1">IFERROR(__xludf.DUMMYFUNCTION("""COMPUTED_VALUE"""),"No")</f>
        <v>No</v>
      </c>
      <c r="C109" s="96"/>
      <c r="D109" s="96"/>
      <c r="E109" s="96"/>
      <c r="F109" s="96"/>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x14ac:dyDescent="0.25">
      <c r="A110" s="4" t="str">
        <f ca="1">IFERROR(__xludf.DUMMYFUNCTION("""COMPUTED_VALUE"""),"Yes")</f>
        <v>Yes</v>
      </c>
      <c r="B110" s="4" t="str">
        <f ca="1">IFERROR(__xludf.DUMMYFUNCTION("""COMPUTED_VALUE"""),"No")</f>
        <v>No</v>
      </c>
      <c r="C110" s="96"/>
      <c r="D110" s="96"/>
      <c r="E110" s="97" t="str">
        <f ca="1">IFERROR(__xludf.DUMMYFUNCTION("""COMPUTED_VALUE"""),"Laboratory")</f>
        <v>Laboratory</v>
      </c>
      <c r="F110" s="97"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x14ac:dyDescent="0.25">
      <c r="A111" s="4" t="str">
        <f ca="1">IFERROR(__xludf.DUMMYFUNCTION("""COMPUTED_VALUE"""),"Yes")</f>
        <v>Yes</v>
      </c>
      <c r="B111" s="4" t="str">
        <f ca="1">IFERROR(__xludf.DUMMYFUNCTION("""COMPUTED_VALUE"""),"No")</f>
        <v>No</v>
      </c>
      <c r="C111" s="96"/>
      <c r="D111" s="96"/>
      <c r="E111" s="96"/>
      <c r="F111" s="96"/>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x14ac:dyDescent="0.25">
      <c r="A112" s="4" t="str">
        <f ca="1">IFERROR(__xludf.DUMMYFUNCTION("""COMPUTED_VALUE"""),"Yes")</f>
        <v>Yes</v>
      </c>
      <c r="B112" s="4" t="str">
        <f ca="1">IFERROR(__xludf.DUMMYFUNCTION("""COMPUTED_VALUE"""),"No")</f>
        <v>No</v>
      </c>
      <c r="C112" s="96"/>
      <c r="D112" s="96"/>
      <c r="E112" s="96"/>
      <c r="F112" s="96"/>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x14ac:dyDescent="0.25">
      <c r="A113" s="4" t="str">
        <f ca="1">IFERROR(__xludf.DUMMYFUNCTION("""COMPUTED_VALUE"""),"Yes")</f>
        <v>Yes</v>
      </c>
      <c r="B113" s="4" t="str">
        <f ca="1">IFERROR(__xludf.DUMMYFUNCTION("""COMPUTED_VALUE"""),"No")</f>
        <v>No</v>
      </c>
      <c r="C113" s="96"/>
      <c r="D113" s="96"/>
      <c r="E113" s="97" t="str">
        <f ca="1">IFERROR(__xludf.DUMMYFUNCTION("""COMPUTED_VALUE"""),"Assay")</f>
        <v>Assay</v>
      </c>
      <c r="F113" s="97" t="str">
        <f ca="1">IFERROR(__xludf.DUMMYFUNCTION("""COMPUTED_VALUE"""),"0:N")</f>
        <v>0:N</v>
      </c>
      <c r="G113" s="5" t="str">
        <f ca="1">IFERROR(__xludf.DUMMYFUNCTION("""COMPUTED_VALUE"""),"Assay Name")</f>
        <v>Assay Name</v>
      </c>
      <c r="H113" s="5" t="str">
        <f ca="1">IFERROR(__xludf.DUMMYFUNCTION("""COMPUTED_VALUE"""),"1")</f>
        <v>1</v>
      </c>
      <c r="I113" s="5"/>
      <c r="J113" s="13"/>
      <c r="K113" s="4"/>
      <c r="L113" s="99" t="str">
        <f ca="1">E113</f>
        <v>Assay</v>
      </c>
      <c r="M113" s="96"/>
      <c r="N113" s="96"/>
      <c r="O113" s="96"/>
      <c r="P113" s="96"/>
      <c r="Q113" s="96"/>
      <c r="R113" s="96"/>
      <c r="S113" s="96"/>
      <c r="T113" s="96"/>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x14ac:dyDescent="0.25">
      <c r="A114" s="4" t="str">
        <f ca="1">IFERROR(__xludf.DUMMYFUNCTION("""COMPUTED_VALUE"""),"Yes")</f>
        <v>Yes</v>
      </c>
      <c r="B114" s="4" t="str">
        <f ca="1">IFERROR(__xludf.DUMMYFUNCTION("""COMPUTED_VALUE"""),"No")</f>
        <v>No</v>
      </c>
      <c r="C114" s="96"/>
      <c r="D114" s="96"/>
      <c r="E114" s="96"/>
      <c r="F114" s="96"/>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x14ac:dyDescent="0.25">
      <c r="A115" s="4" t="str">
        <f ca="1">IFERROR(__xludf.DUMMYFUNCTION("""COMPUTED_VALUE"""),"Yes")</f>
        <v>Yes</v>
      </c>
      <c r="B115" s="4" t="str">
        <f ca="1">IFERROR(__xludf.DUMMYFUNCTION("""COMPUTED_VALUE"""),"No")</f>
        <v>No</v>
      </c>
      <c r="C115" s="96"/>
      <c r="D115" s="96"/>
      <c r="E115" s="96"/>
      <c r="F115" s="96"/>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x14ac:dyDescent="0.25">
      <c r="A116" s="4" t="str">
        <f ca="1">IFERROR(__xludf.DUMMYFUNCTION("""COMPUTED_VALUE"""),"Yes")</f>
        <v>Yes</v>
      </c>
      <c r="B116" s="4" t="str">
        <f ca="1">IFERROR(__xludf.DUMMYFUNCTION("""COMPUTED_VALUE"""),"No")</f>
        <v>No</v>
      </c>
      <c r="C116" s="96"/>
      <c r="D116" s="96"/>
      <c r="E116" s="96"/>
      <c r="F116" s="96"/>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x14ac:dyDescent="0.25">
      <c r="A117" s="4" t="str">
        <f ca="1">IFERROR(__xludf.DUMMYFUNCTION("""COMPUTED_VALUE"""),"Yes")</f>
        <v>Yes</v>
      </c>
      <c r="B117" s="4" t="str">
        <f ca="1">IFERROR(__xludf.DUMMYFUNCTION("""COMPUTED_VALUE"""),"No")</f>
        <v>No</v>
      </c>
      <c r="C117" s="96"/>
      <c r="D117" s="96"/>
      <c r="E117" s="96"/>
      <c r="F117" s="96"/>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x14ac:dyDescent="0.25">
      <c r="A118" s="4" t="str">
        <f ca="1">IFERROR(__xludf.DUMMYFUNCTION("""COMPUTED_VALUE"""),"Yes")</f>
        <v>Yes</v>
      </c>
      <c r="B118" s="4" t="str">
        <f ca="1">IFERROR(__xludf.DUMMYFUNCTION("""COMPUTED_VALUE"""),"No")</f>
        <v>No</v>
      </c>
      <c r="C118" s="96"/>
      <c r="D118" s="96"/>
      <c r="E118" s="96"/>
      <c r="F118" s="96"/>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x14ac:dyDescent="0.25">
      <c r="A119" s="4" t="str">
        <f ca="1">IFERROR(__xludf.DUMMYFUNCTION("""COMPUTED_VALUE"""),"Yes")</f>
        <v>Yes</v>
      </c>
      <c r="B119" s="4" t="str">
        <f ca="1">IFERROR(__xludf.DUMMYFUNCTION("""COMPUTED_VALUE"""),"No")</f>
        <v>No</v>
      </c>
      <c r="C119" s="96"/>
      <c r="D119" s="96"/>
      <c r="E119" s="96"/>
      <c r="F119" s="96"/>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x14ac:dyDescent="0.25">
      <c r="A120" s="4" t="str">
        <f ca="1">IFERROR(__xludf.DUMMYFUNCTION("""COMPUTED_VALUE"""),"Yes")</f>
        <v>Yes</v>
      </c>
      <c r="B120" s="4" t="str">
        <f ca="1">IFERROR(__xludf.DUMMYFUNCTION("""COMPUTED_VALUE"""),"No")</f>
        <v>No</v>
      </c>
      <c r="C120" s="96"/>
      <c r="D120" s="96"/>
      <c r="E120" s="96"/>
      <c r="F120" s="96"/>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x14ac:dyDescent="0.25">
      <c r="A121" s="4" t="str">
        <f ca="1">IFERROR(__xludf.DUMMYFUNCTION("""COMPUTED_VALUE"""),"Yes")</f>
        <v>Yes</v>
      </c>
      <c r="B121" s="4" t="str">
        <f ca="1">IFERROR(__xludf.DUMMYFUNCTION("""COMPUTED_VALUE"""),"No")</f>
        <v>No</v>
      </c>
      <c r="C121" s="96"/>
      <c r="D121" s="96"/>
      <c r="E121" s="96"/>
      <c r="F121" s="96"/>
      <c r="G121" s="5" t="str">
        <f ca="1">IFERROR(__xludf.DUMMYFUNCTION("""COMPUTED_VALUE"""),"Uncertainty value")</f>
        <v>Uncertainty value</v>
      </c>
      <c r="H121" s="5" t="str">
        <f ca="1">IFERROR(__xludf.DUMMYFUNCTION("""COMPUTED_VALUE"""),"0:1")</f>
        <v>0:1</v>
      </c>
      <c r="I121" s="5"/>
      <c r="J121" s="13"/>
      <c r="K121" s="4"/>
      <c r="L121" s="23"/>
      <c r="M121" s="98" t="str">
        <f ca="1">E140</f>
        <v>Quality measures</v>
      </c>
      <c r="N121" s="96"/>
      <c r="O121" s="23"/>
      <c r="P121" s="98" t="str">
        <f ca="1">E142</f>
        <v>Model equation</v>
      </c>
      <c r="Q121" s="96"/>
      <c r="R121" s="96"/>
      <c r="S121" s="96"/>
      <c r="T121" s="96"/>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x14ac:dyDescent="0.25">
      <c r="A122" s="4" t="str">
        <f ca="1">IFERROR(__xludf.DUMMYFUNCTION("""COMPUTED_VALUE"""),"Yes")</f>
        <v>Yes</v>
      </c>
      <c r="B122" s="4" t="str">
        <f ca="1">IFERROR(__xludf.DUMMYFUNCTION("""COMPUTED_VALUE"""),"Yes")</f>
        <v>Yes</v>
      </c>
      <c r="C122" s="95" t="str">
        <f ca="1">IFERROR(__xludf.DUMMYFUNCTION("""COMPUTED_VALUE"""),"Model math / Data definition")</f>
        <v>Model math / Data definition</v>
      </c>
      <c r="D122" s="95" t="str">
        <f ca="1">IFERROR(__xludf.DUMMYFUNCTION("""COMPUTED_VALUE"""),"1")</f>
        <v>1</v>
      </c>
      <c r="E122" s="97" t="str">
        <f ca="1">IFERROR(__xludf.DUMMYFUNCTION("""COMPUTED_VALUE"""),"Parameter / Factor / Input / Output / ""Data column""")</f>
        <v>Parameter / Factor / Input / Output / "Data column"</v>
      </c>
      <c r="F122" s="97"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x14ac:dyDescent="0.25">
      <c r="A123" s="4" t="str">
        <f ca="1">IFERROR(__xludf.DUMMYFUNCTION("""COMPUTED_VALUE"""),"Yes")</f>
        <v>Yes</v>
      </c>
      <c r="B123" s="4" t="str">
        <f ca="1">IFERROR(__xludf.DUMMYFUNCTION("""COMPUTED_VALUE"""),"Yes")</f>
        <v>Yes</v>
      </c>
      <c r="C123" s="96"/>
      <c r="D123" s="96"/>
      <c r="E123" s="96"/>
      <c r="F123" s="96"/>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x14ac:dyDescent="0.25">
      <c r="A124" s="4" t="str">
        <f ca="1">IFERROR(__xludf.DUMMYFUNCTION("""COMPUTED_VALUE"""),"Yes")</f>
        <v>Yes</v>
      </c>
      <c r="B124" s="4" t="str">
        <f ca="1">IFERROR(__xludf.DUMMYFUNCTION("""COMPUTED_VALUE"""),"Yes")</f>
        <v>Yes</v>
      </c>
      <c r="C124" s="96"/>
      <c r="D124" s="96"/>
      <c r="E124" s="96"/>
      <c r="F124" s="96"/>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x14ac:dyDescent="0.25">
      <c r="A125" s="4" t="str">
        <f ca="1">IFERROR(__xludf.DUMMYFUNCTION("""COMPUTED_VALUE"""),"Yes")</f>
        <v>Yes</v>
      </c>
      <c r="B125" s="4" t="str">
        <f ca="1">IFERROR(__xludf.DUMMYFUNCTION("""COMPUTED_VALUE"""),"No")</f>
        <v>No</v>
      </c>
      <c r="C125" s="96"/>
      <c r="D125" s="96"/>
      <c r="E125" s="96"/>
      <c r="F125" s="96"/>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x14ac:dyDescent="0.25">
      <c r="A126" s="4" t="str">
        <f ca="1">IFERROR(__xludf.DUMMYFUNCTION("""COMPUTED_VALUE"""),"Yes")</f>
        <v>Yes</v>
      </c>
      <c r="B126" s="4" t="str">
        <f ca="1">IFERROR(__xludf.DUMMYFUNCTION("""COMPUTED_VALUE"""),"Yes")</f>
        <v>Yes</v>
      </c>
      <c r="C126" s="96"/>
      <c r="D126" s="96"/>
      <c r="E126" s="96"/>
      <c r="F126" s="96"/>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x14ac:dyDescent="0.25">
      <c r="A127" s="4" t="str">
        <f ca="1">IFERROR(__xludf.DUMMYFUNCTION("""COMPUTED_VALUE"""),"Yes")</f>
        <v>Yes</v>
      </c>
      <c r="B127" s="4" t="str">
        <f ca="1">IFERROR(__xludf.DUMMYFUNCTION("""COMPUTED_VALUE"""),"No")</f>
        <v>No</v>
      </c>
      <c r="C127" s="96"/>
      <c r="D127" s="96"/>
      <c r="E127" s="96"/>
      <c r="F127" s="96"/>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x14ac:dyDescent="0.25">
      <c r="A128" s="4" t="str">
        <f ca="1">IFERROR(__xludf.DUMMYFUNCTION("""COMPUTED_VALUE"""),"Yes")</f>
        <v>Yes</v>
      </c>
      <c r="B128" s="4" t="str">
        <f ca="1">IFERROR(__xludf.DUMMYFUNCTION("""COMPUTED_VALUE"""),"Yes")</f>
        <v>Yes</v>
      </c>
      <c r="C128" s="96"/>
      <c r="D128" s="96"/>
      <c r="E128" s="96"/>
      <c r="F128" s="96"/>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x14ac:dyDescent="0.25">
      <c r="A129" s="4" t="str">
        <f ca="1">IFERROR(__xludf.DUMMYFUNCTION("""COMPUTED_VALUE"""),"Yes")</f>
        <v>Yes</v>
      </c>
      <c r="B129" s="4" t="str">
        <f ca="1">IFERROR(__xludf.DUMMYFUNCTION("""COMPUTED_VALUE"""),"No")</f>
        <v>No</v>
      </c>
      <c r="C129" s="96"/>
      <c r="D129" s="96"/>
      <c r="E129" s="96"/>
      <c r="F129" s="96"/>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x14ac:dyDescent="0.25">
      <c r="A130" s="4" t="str">
        <f ca="1">IFERROR(__xludf.DUMMYFUNCTION("""COMPUTED_VALUE"""),"Yes")</f>
        <v>Yes</v>
      </c>
      <c r="B130" s="4" t="str">
        <f ca="1">IFERROR(__xludf.DUMMYFUNCTION("""COMPUTED_VALUE"""),"Yes")</f>
        <v>Yes</v>
      </c>
      <c r="C130" s="96"/>
      <c r="D130" s="96"/>
      <c r="E130" s="96"/>
      <c r="F130" s="96"/>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x14ac:dyDescent="0.25">
      <c r="A131" s="4" t="str">
        <f ca="1">IFERROR(__xludf.DUMMYFUNCTION("""COMPUTED_VALUE"""),"Yes")</f>
        <v>Yes</v>
      </c>
      <c r="B131" s="4" t="str">
        <f ca="1">IFERROR(__xludf.DUMMYFUNCTION("""COMPUTED_VALUE"""),"Yes")</f>
        <v>Yes</v>
      </c>
      <c r="C131" s="96"/>
      <c r="D131" s="96"/>
      <c r="E131" s="96"/>
      <c r="F131" s="96"/>
      <c r="G131" s="5" t="str">
        <f ca="1">IFERROR(__xludf.DUMMYFUNCTION("""COMPUTED_VALUE"""),"Parameter distribution")</f>
        <v>Parameter distribution</v>
      </c>
      <c r="H131" s="5" t="str">
        <f ca="1">IFERROR(__xludf.DUMMYFUNCTION("""COMPUTED_VALUE"""),"0:1")</f>
        <v>0:1</v>
      </c>
      <c r="I131" s="5"/>
      <c r="J131" s="13"/>
      <c r="K131" s="35" t="s">
        <v>23</v>
      </c>
      <c r="L131" s="98" t="str">
        <f ca="1">E122</f>
        <v>Parameter / Factor / Input / Output / "Data column"</v>
      </c>
      <c r="M131" s="96"/>
      <c r="N131" s="96"/>
      <c r="O131" s="96"/>
      <c r="P131" s="96"/>
      <c r="Q131" s="96"/>
      <c r="R131" s="96"/>
      <c r="S131" s="96"/>
      <c r="T131" s="96"/>
      <c r="U131" s="96"/>
      <c r="V131" s="96"/>
      <c r="W131" s="96"/>
      <c r="X131" s="96"/>
      <c r="Y131" s="96"/>
      <c r="Z131" s="96"/>
      <c r="AA131" s="96"/>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x14ac:dyDescent="0.25">
      <c r="A132" s="4" t="str">
        <f ca="1">IFERROR(__xludf.DUMMYFUNCTION("""COMPUTED_VALUE"""),"Yes")</f>
        <v>Yes</v>
      </c>
      <c r="B132" s="4" t="str">
        <f ca="1">IFERROR(__xludf.DUMMYFUNCTION("""COMPUTED_VALUE"""),"Yes")</f>
        <v>Yes</v>
      </c>
      <c r="C132" s="96"/>
      <c r="D132" s="96"/>
      <c r="E132" s="96"/>
      <c r="F132" s="96"/>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x14ac:dyDescent="0.25">
      <c r="A133" s="4" t="str">
        <f ca="1">IFERROR(__xludf.DUMMYFUNCTION("""COMPUTED_VALUE"""),"Yes")</f>
        <v>Yes</v>
      </c>
      <c r="B133" s="4" t="str">
        <f ca="1">IFERROR(__xludf.DUMMYFUNCTION("""COMPUTED_VALUE"""),"Yes")</f>
        <v>Yes</v>
      </c>
      <c r="C133" s="96"/>
      <c r="D133" s="96"/>
      <c r="E133" s="96"/>
      <c r="F133" s="96"/>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x14ac:dyDescent="0.25">
      <c r="A134" s="4" t="str">
        <f ca="1">IFERROR(__xludf.DUMMYFUNCTION("""COMPUTED_VALUE"""),"Yes")</f>
        <v>Yes</v>
      </c>
      <c r="B134" s="4" t="str">
        <f ca="1">IFERROR(__xludf.DUMMYFUNCTION("""COMPUTED_VALUE"""),"No")</f>
        <v>No</v>
      </c>
      <c r="C134" s="96"/>
      <c r="D134" s="96"/>
      <c r="E134" s="96"/>
      <c r="F134" s="96"/>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unit'!Q3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x14ac:dyDescent="0.25">
      <c r="A135" s="4" t="str">
        <f ca="1">IFERROR(__xludf.DUMMYFUNCTION("""COMPUTED_VALUE"""),"Yes")</f>
        <v>Yes</v>
      </c>
      <c r="B135" s="4" t="str">
        <f ca="1">IFERROR(__xludf.DUMMYFUNCTION("""COMPUTED_VALUE"""),"No")</f>
        <v>No</v>
      </c>
      <c r="C135" s="96"/>
      <c r="D135" s="96"/>
      <c r="E135" s="96"/>
      <c r="F135" s="96"/>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unit'!Q4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x14ac:dyDescent="0.25">
      <c r="A136" s="4" t="str">
        <f ca="1">IFERROR(__xludf.DUMMYFUNCTION("""COMPUTED_VALUE"""),"Yes")</f>
        <v>Yes</v>
      </c>
      <c r="B136" s="4" t="str">
        <f ca="1">IFERROR(__xludf.DUMMYFUNCTION("""COMPUTED_VALUE"""),"No")</f>
        <v>No</v>
      </c>
      <c r="C136" s="96"/>
      <c r="D136" s="96"/>
      <c r="E136" s="96"/>
      <c r="F136" s="96"/>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unit'!Q5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x14ac:dyDescent="0.25">
      <c r="A137" s="4" t="str">
        <f ca="1">IFERROR(__xludf.DUMMYFUNCTION("""COMPUTED_VALUE"""),"Yes")</f>
        <v>Yes</v>
      </c>
      <c r="B137" s="4" t="str">
        <f ca="1">IFERROR(__xludf.DUMMYFUNCTION("""COMPUTED_VALUE"""),"No")</f>
        <v>No</v>
      </c>
      <c r="C137" s="96"/>
      <c r="D137" s="96"/>
      <c r="E137" s="96"/>
      <c r="F137" s="96"/>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unit'!Q6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x14ac:dyDescent="0.25">
      <c r="A138" s="4" t="str">
        <f ca="1">IFERROR(__xludf.DUMMYFUNCTION("""COMPUTED_VALUE"""),"Yes")</f>
        <v>Yes</v>
      </c>
      <c r="B138" s="4" t="str">
        <f ca="1">IFERROR(__xludf.DUMMYFUNCTION("""COMPUTED_VALUE"""),"No")</f>
        <v>No</v>
      </c>
      <c r="C138" s="96"/>
      <c r="D138" s="96"/>
      <c r="E138" s="96"/>
      <c r="F138" s="96"/>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unit'!Q7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x14ac:dyDescent="0.25">
      <c r="A139" s="4" t="str">
        <f ca="1">IFERROR(__xludf.DUMMYFUNCTION("""COMPUTED_VALUE"""),"Yes")</f>
        <v>Yes</v>
      </c>
      <c r="B139" s="4" t="str">
        <f ca="1">IFERROR(__xludf.DUMMYFUNCTION("""COMPUTED_VALUE"""),"No")</f>
        <v>No</v>
      </c>
      <c r="C139" s="96"/>
      <c r="D139" s="96"/>
      <c r="E139" s="96"/>
      <c r="F139" s="96"/>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unit'!Q8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x14ac:dyDescent="0.25">
      <c r="A140" s="4" t="str">
        <f ca="1">IFERROR(__xludf.DUMMYFUNCTION("""COMPUTED_VALUE"""),"Yes")</f>
        <v>Yes</v>
      </c>
      <c r="B140" s="4" t="str">
        <f ca="1">IFERROR(__xludf.DUMMYFUNCTION("""COMPUTED_VALUE"""),"No")</f>
        <v>No</v>
      </c>
      <c r="C140" s="96"/>
      <c r="D140" s="96"/>
      <c r="E140" s="97" t="str">
        <f ca="1">IFERROR(__xludf.DUMMYFUNCTION("""COMPUTED_VALUE"""),"Quality measures")</f>
        <v>Quality measures</v>
      </c>
      <c r="F140" s="97"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unit'!Q9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x14ac:dyDescent="0.25">
      <c r="A141" s="4" t="str">
        <f ca="1">IFERROR(__xludf.DUMMYFUNCTION("""COMPUTED_VALUE"""),"Yes")</f>
        <v>Yes</v>
      </c>
      <c r="B141" s="4" t="str">
        <f ca="1">IFERROR(__xludf.DUMMYFUNCTION("""COMPUTED_VALUE"""),"No")</f>
        <v>No</v>
      </c>
      <c r="C141" s="96"/>
      <c r="D141" s="96"/>
      <c r="E141" s="96"/>
      <c r="F141" s="96"/>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unit'!Q10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x14ac:dyDescent="0.25">
      <c r="A142" s="4" t="str">
        <f ca="1">IFERROR(__xludf.DUMMYFUNCTION("""COMPUTED_VALUE"""),"Yes")</f>
        <v>Yes</v>
      </c>
      <c r="B142" s="4" t="str">
        <f ca="1">IFERROR(__xludf.DUMMYFUNCTION("""COMPUTED_VALUE"""),"No")</f>
        <v>No</v>
      </c>
      <c r="C142" s="96"/>
      <c r="D142" s="96"/>
      <c r="E142" s="97" t="str">
        <f ca="1">IFERROR(__xludf.DUMMYFUNCTION("""COMPUTED_VALUE"""),"Model equation")</f>
        <v>Model equation</v>
      </c>
      <c r="F142" s="97"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unit'!Q11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x14ac:dyDescent="0.25">
      <c r="A143" s="4" t="str">
        <f ca="1">IFERROR(__xludf.DUMMYFUNCTION("""COMPUTED_VALUE"""),"Yes")</f>
        <v>Yes</v>
      </c>
      <c r="B143" s="4" t="str">
        <f ca="1">IFERROR(__xludf.DUMMYFUNCTION("""COMPUTED_VALUE"""),"No")</f>
        <v>No</v>
      </c>
      <c r="C143" s="96"/>
      <c r="D143" s="96"/>
      <c r="E143" s="96"/>
      <c r="F143" s="96"/>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unit'!Q12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x14ac:dyDescent="0.25">
      <c r="A144" s="4" t="str">
        <f ca="1">IFERROR(__xludf.DUMMYFUNCTION("""COMPUTED_VALUE"""),"Yes")</f>
        <v>Yes</v>
      </c>
      <c r="B144" s="4" t="str">
        <f ca="1">IFERROR(__xludf.DUMMYFUNCTION("""COMPUTED_VALUE"""),"No")</f>
        <v>No</v>
      </c>
      <c r="C144" s="96"/>
      <c r="D144" s="96"/>
      <c r="E144" s="96"/>
      <c r="F144" s="96"/>
      <c r="G144" s="5"/>
      <c r="H144" s="5"/>
      <c r="I144" s="5"/>
      <c r="J144" s="13"/>
      <c r="K144" s="4"/>
      <c r="L144" s="39"/>
      <c r="M144" s="37"/>
      <c r="N144" s="37"/>
      <c r="O144" s="37"/>
      <c r="P144" s="36" t="s">
        <v>25</v>
      </c>
      <c r="Q144" s="13">
        <f>'Parameter unit'!Q13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x14ac:dyDescent="0.25">
      <c r="A145" s="4" t="str">
        <f ca="1">IFERROR(__xludf.DUMMYFUNCTION("""COMPUTED_VALUE"""),"Yes")</f>
        <v>Yes</v>
      </c>
      <c r="B145" s="4" t="str">
        <f ca="1">IFERROR(__xludf.DUMMYFUNCTION("""COMPUTED_VALUE"""),"No")</f>
        <v>No</v>
      </c>
      <c r="C145" s="96"/>
      <c r="D145" s="96"/>
      <c r="E145" s="96"/>
      <c r="F145" s="96"/>
      <c r="G145" s="5"/>
      <c r="H145" s="5"/>
      <c r="I145" s="5"/>
      <c r="J145" s="13"/>
      <c r="K145" s="4"/>
      <c r="L145" s="39"/>
      <c r="M145" s="37"/>
      <c r="N145" s="37"/>
      <c r="O145" s="37"/>
      <c r="P145" s="36" t="s">
        <v>25</v>
      </c>
      <c r="Q145" s="13">
        <f>'Parameter unit'!Q14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x14ac:dyDescent="0.25">
      <c r="A146" s="4" t="str">
        <f ca="1">IFERROR(__xludf.DUMMYFUNCTION("""COMPUTED_VALUE"""),"Yes")</f>
        <v>Yes</v>
      </c>
      <c r="B146" s="4" t="str">
        <f ca="1">IFERROR(__xludf.DUMMYFUNCTION("""COMPUTED_VALUE"""),"No")</f>
        <v>No</v>
      </c>
      <c r="C146" s="96"/>
      <c r="D146" s="96"/>
      <c r="E146" s="96"/>
      <c r="F146" s="96"/>
      <c r="G146" s="5"/>
      <c r="H146" s="5"/>
      <c r="I146" s="5"/>
      <c r="J146" s="13"/>
      <c r="K146" s="4"/>
      <c r="L146" s="39"/>
      <c r="M146" s="37"/>
      <c r="N146" s="37"/>
      <c r="O146" s="37"/>
      <c r="P146" s="36" t="s">
        <v>25</v>
      </c>
      <c r="Q146" s="13">
        <f>'Parameter unit'!Q15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x14ac:dyDescent="0.25">
      <c r="A147" s="4" t="str">
        <f ca="1">IFERROR(__xludf.DUMMYFUNCTION("""COMPUTED_VALUE"""),"Yes")</f>
        <v>Yes</v>
      </c>
      <c r="B147" s="4" t="str">
        <f ca="1">IFERROR(__xludf.DUMMYFUNCTION("""COMPUTED_VALUE"""),"No")</f>
        <v>No</v>
      </c>
      <c r="C147" s="96"/>
      <c r="D147" s="96"/>
      <c r="E147" s="96"/>
      <c r="F147" s="96"/>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unit'!Q16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x14ac:dyDescent="0.25">
      <c r="A148" s="4" t="str">
        <f ca="1">IFERROR(__xludf.DUMMYFUNCTION("""COMPUTED_VALUE"""),"Yes")</f>
        <v>Yes</v>
      </c>
      <c r="B148" s="4" t="str">
        <f ca="1">IFERROR(__xludf.DUMMYFUNCTION("""COMPUTED_VALUE"""),"No")</f>
        <v>No</v>
      </c>
      <c r="C148" s="96"/>
      <c r="D148" s="96"/>
      <c r="E148" s="96"/>
      <c r="F148" s="96"/>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unit'!Q17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x14ac:dyDescent="0.25">
      <c r="A149" s="4" t="str">
        <f ca="1">IFERROR(__xludf.DUMMYFUNCTION("""COMPUTED_VALUE"""),"Yes")</f>
        <v>Yes</v>
      </c>
      <c r="B149" s="4" t="str">
        <f ca="1">IFERROR(__xludf.DUMMYFUNCTION("""COMPUTED_VALUE"""),"No")</f>
        <v>No</v>
      </c>
      <c r="C149" s="96"/>
      <c r="D149" s="96"/>
      <c r="E149" s="96"/>
      <c r="F149" s="96"/>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unit'!Q18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x14ac:dyDescent="0.25">
      <c r="A150" s="4" t="str">
        <f ca="1">IFERROR(__xludf.DUMMYFUNCTION("""COMPUTED_VALUE"""),"Yes")</f>
        <v>Yes</v>
      </c>
      <c r="B150" s="4" t="str">
        <f ca="1">IFERROR(__xludf.DUMMYFUNCTION("""COMPUTED_VALUE"""),"No")</f>
        <v>No</v>
      </c>
      <c r="C150" s="96"/>
      <c r="D150" s="96"/>
      <c r="E150" s="5" t="str">
        <f ca="1">IFERROR(__xludf.DUMMYFUNCTION("""COMPUTED_VALUE"""),"Fitting procedure")</f>
        <v>Fitting procedure</v>
      </c>
      <c r="F150" s="97" t="str">
        <f ca="1">IFERROR(__xludf.DUMMYFUNCTION("""COMPUTED_VALUE"""),"0:1")</f>
        <v>0:1</v>
      </c>
      <c r="G150" s="96"/>
      <c r="H150" s="96"/>
      <c r="I150" s="5"/>
      <c r="J150" s="10"/>
      <c r="K150" s="4"/>
      <c r="L150" s="39"/>
      <c r="M150" s="37"/>
      <c r="N150" s="37"/>
      <c r="O150" s="37"/>
      <c r="P150" s="36" t="s">
        <v>25</v>
      </c>
      <c r="Q150" s="13">
        <f>'Parameter unit'!Q19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x14ac:dyDescent="0.25">
      <c r="A151" s="4" t="str">
        <f ca="1">IFERROR(__xludf.DUMMYFUNCTION("""COMPUTED_VALUE"""),"Yes")</f>
        <v>Yes</v>
      </c>
      <c r="B151" s="4" t="str">
        <f ca="1">IFERROR(__xludf.DUMMYFUNCTION("""COMPUTED_VALUE"""),"No")</f>
        <v>No</v>
      </c>
      <c r="C151" s="96"/>
      <c r="D151" s="96"/>
      <c r="E151" s="97" t="str">
        <f ca="1">IFERROR(__xludf.DUMMYFUNCTION("""COMPUTED_VALUE"""),"Exposure")</f>
        <v>Exposure</v>
      </c>
      <c r="F151" s="97"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unit'!Q20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x14ac:dyDescent="0.25">
      <c r="A152" s="4" t="str">
        <f ca="1">IFERROR(__xludf.DUMMYFUNCTION("""COMPUTED_VALUE"""),"Yes")</f>
        <v>Yes</v>
      </c>
      <c r="B152" s="4" t="str">
        <f ca="1">IFERROR(__xludf.DUMMYFUNCTION("""COMPUTED_VALUE"""),"No")</f>
        <v>No</v>
      </c>
      <c r="C152" s="96"/>
      <c r="D152" s="96"/>
      <c r="E152" s="96"/>
      <c r="F152" s="96"/>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unit'!Q21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x14ac:dyDescent="0.25">
      <c r="A153" s="4" t="str">
        <f ca="1">IFERROR(__xludf.DUMMYFUNCTION("""COMPUTED_VALUE"""),"Yes")</f>
        <v>Yes</v>
      </c>
      <c r="B153" s="4" t="str">
        <f ca="1">IFERROR(__xludf.DUMMYFUNCTION("""COMPUTED_VALUE"""),"No")</f>
        <v>No</v>
      </c>
      <c r="C153" s="96"/>
      <c r="D153" s="96"/>
      <c r="E153" s="96"/>
      <c r="F153" s="96"/>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unit'!Q22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x14ac:dyDescent="0.25">
      <c r="A154" s="4" t="str">
        <f ca="1">IFERROR(__xludf.DUMMYFUNCTION("""COMPUTED_VALUE"""),"Yes")</f>
        <v>Yes</v>
      </c>
      <c r="B154" s="4" t="str">
        <f ca="1">IFERROR(__xludf.DUMMYFUNCTION("""COMPUTED_VALUE"""),"No")</f>
        <v>No</v>
      </c>
      <c r="C154" s="96"/>
      <c r="D154" s="96"/>
      <c r="E154" s="96"/>
      <c r="F154" s="96"/>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x14ac:dyDescent="0.25">
      <c r="A155" s="4" t="str">
        <f ca="1">IFERROR(__xludf.DUMMYFUNCTION("""COMPUTED_VALUE"""),"Yes")</f>
        <v>Yes</v>
      </c>
      <c r="B155" s="4" t="str">
        <f ca="1">IFERROR(__xludf.DUMMYFUNCTION("""COMPUTED_VALUE"""),"No")</f>
        <v>No</v>
      </c>
      <c r="C155" s="96"/>
      <c r="D155" s="96"/>
      <c r="E155" s="96"/>
      <c r="F155" s="96"/>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x14ac:dyDescent="0.25">
      <c r="A156" s="4" t="str">
        <f ca="1">IFERROR(__xludf.DUMMYFUNCTION("""COMPUTED_VALUE"""),"Yes")</f>
        <v>Yes</v>
      </c>
      <c r="B156" s="4" t="str">
        <f ca="1">IFERROR(__xludf.DUMMYFUNCTION("""COMPUTED_VALUE"""),"No")</f>
        <v>No</v>
      </c>
      <c r="C156" s="96"/>
      <c r="D156" s="96"/>
      <c r="E156" s="5" t="str">
        <f ca="1">IFERROR(__xludf.DUMMYFUNCTION("""COMPUTED_VALUE"""),"Events")</f>
        <v>Events</v>
      </c>
      <c r="F156" s="97" t="str">
        <f ca="1">IFERROR(__xludf.DUMMYFUNCTION("""COMPUTED_VALUE"""),"0:N")</f>
        <v>0:N</v>
      </c>
      <c r="G156" s="96"/>
      <c r="H156" s="96"/>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AK36:AW36"/>
    <mergeCell ref="W36:AJ36"/>
    <mergeCell ref="F11:H11"/>
    <mergeCell ref="F25:H25"/>
    <mergeCell ref="F35:H35"/>
    <mergeCell ref="F13:F24"/>
    <mergeCell ref="F27:H27"/>
    <mergeCell ref="D2:D35"/>
    <mergeCell ref="F74:H74"/>
    <mergeCell ref="E140:E141"/>
    <mergeCell ref="F140:F141"/>
    <mergeCell ref="L36:V36"/>
    <mergeCell ref="E13:E24"/>
    <mergeCell ref="F12:H12"/>
    <mergeCell ref="L12:W12"/>
    <mergeCell ref="E122:E139"/>
    <mergeCell ref="D122:D156"/>
    <mergeCell ref="F142:F149"/>
    <mergeCell ref="F156:H156"/>
    <mergeCell ref="F150:H150"/>
    <mergeCell ref="F151:F155"/>
    <mergeCell ref="E142:E149"/>
    <mergeCell ref="E151:E155"/>
    <mergeCell ref="C122:C156"/>
    <mergeCell ref="C78:C121"/>
    <mergeCell ref="C36:C77"/>
    <mergeCell ref="C2:C35"/>
    <mergeCell ref="L107:N107"/>
    <mergeCell ref="L94:U94"/>
    <mergeCell ref="L100:Q100"/>
    <mergeCell ref="L113:T113"/>
    <mergeCell ref="P121:T121"/>
    <mergeCell ref="M121:N121"/>
    <mergeCell ref="L131:AA131"/>
    <mergeCell ref="F34:H34"/>
    <mergeCell ref="F33:H33"/>
    <mergeCell ref="F3:H3"/>
    <mergeCell ref="F4:H4"/>
    <mergeCell ref="F10:H10"/>
    <mergeCell ref="AB1:AP1"/>
    <mergeCell ref="L1:Z1"/>
    <mergeCell ref="F2:H2"/>
    <mergeCell ref="F7:F8"/>
    <mergeCell ref="F122:F139"/>
    <mergeCell ref="F61:F73"/>
    <mergeCell ref="F28:F32"/>
    <mergeCell ref="F76:F77"/>
    <mergeCell ref="F94:F103"/>
    <mergeCell ref="F78:F93"/>
    <mergeCell ref="F113:F121"/>
    <mergeCell ref="F104:F109"/>
    <mergeCell ref="F110:F112"/>
    <mergeCell ref="E28:E32"/>
    <mergeCell ref="F36:F46"/>
    <mergeCell ref="F47:F60"/>
    <mergeCell ref="E47:E60"/>
    <mergeCell ref="E36:E46"/>
    <mergeCell ref="D78:D121"/>
    <mergeCell ref="D36:D77"/>
    <mergeCell ref="E78:E93"/>
    <mergeCell ref="E94:E103"/>
    <mergeCell ref="E104:E109"/>
    <mergeCell ref="E110:E112"/>
    <mergeCell ref="E61:E73"/>
    <mergeCell ref="E113:E121"/>
    <mergeCell ref="E76:E77"/>
  </mergeCells>
  <conditionalFormatting sqref="V134:V153">
    <cfRule type="expression" dxfId="10" priority="1">
      <formula>IF(AND(M134="Input",R134="File"),V134="")</formula>
    </cfRule>
  </conditionalFormatting>
  <conditionalFormatting sqref="M124">
    <cfRule type="notContainsBlanks" dxfId="9"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x14ac:dyDescent="0.25"/>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x14ac:dyDescent="0.3">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7" t="str">
        <f ca="1">E6</f>
        <v>Creator</v>
      </c>
      <c r="M1" s="96"/>
      <c r="N1" s="96"/>
      <c r="O1" s="96"/>
      <c r="P1" s="96"/>
      <c r="Q1" s="96"/>
      <c r="R1" s="96"/>
      <c r="S1" s="96"/>
      <c r="T1" s="96"/>
      <c r="U1" s="96"/>
      <c r="V1" s="96"/>
      <c r="W1" s="96"/>
      <c r="X1" s="96"/>
      <c r="Y1" s="96"/>
      <c r="Z1" s="96"/>
      <c r="AA1" s="4"/>
      <c r="AB1" s="97" t="str">
        <f ca="1">E5</f>
        <v>Author</v>
      </c>
      <c r="AC1" s="96"/>
      <c r="AD1" s="96"/>
      <c r="AE1" s="96"/>
      <c r="AF1" s="96"/>
      <c r="AG1" s="96"/>
      <c r="AH1" s="96"/>
      <c r="AI1" s="96"/>
      <c r="AJ1" s="96"/>
      <c r="AK1" s="96"/>
      <c r="AL1" s="96"/>
      <c r="AM1" s="96"/>
      <c r="AN1" s="96"/>
      <c r="AO1" s="96"/>
      <c r="AP1" s="96"/>
      <c r="AQ1" s="4"/>
      <c r="AR1" s="4"/>
      <c r="AS1" s="4"/>
      <c r="AT1" s="4"/>
      <c r="AU1" s="4"/>
      <c r="AV1" s="4"/>
      <c r="AW1" s="4"/>
    </row>
    <row r="2" spans="1:49" ht="12.5" x14ac:dyDescent="0.25">
      <c r="A2" s="4" t="str">
        <f ca="1">IFERROR(__xludf.DUMMYFUNCTION("""COMPUTED_VALUE"""),"Yes")</f>
        <v>Yes</v>
      </c>
      <c r="B2" s="4" t="str">
        <f ca="1">IFERROR(__xludf.DUMMYFUNCTION("""COMPUTED_VALUE"""),"Yes")</f>
        <v>Yes</v>
      </c>
      <c r="C2" s="95" t="str">
        <f ca="1">IFERROR(__xludf.DUMMYFUNCTION("""COMPUTED_VALUE"""),"General information")</f>
        <v>General information</v>
      </c>
      <c r="D2" s="95" t="str">
        <f ca="1">IFERROR(__xludf.DUMMYFUNCTION("""COMPUTED_VALUE"""),"1")</f>
        <v>1</v>
      </c>
      <c r="E2" s="5" t="str">
        <f ca="1">IFERROR(__xludf.DUMMYFUNCTION("""COMPUTED_VALUE"""),"Model name")</f>
        <v>Model name</v>
      </c>
      <c r="F2" s="97" t="str">
        <f ca="1">IFERROR(__xludf.DUMMYFUNCTION("""COMPUTED_VALUE"""),"1")</f>
        <v>1</v>
      </c>
      <c r="G2" s="96"/>
      <c r="H2" s="96"/>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x14ac:dyDescent="0.25">
      <c r="A3" s="4" t="str">
        <f ca="1">IFERROR(__xludf.DUMMYFUNCTION("""COMPUTED_VALUE"""),"Yes")</f>
        <v>Yes</v>
      </c>
      <c r="B3" s="4" t="str">
        <f ca="1">IFERROR(__xludf.DUMMYFUNCTION("""COMPUTED_VALUE"""),"Yes")</f>
        <v>Yes</v>
      </c>
      <c r="C3" s="96"/>
      <c r="D3" s="96"/>
      <c r="E3" s="5" t="str">
        <f ca="1">IFERROR(__xludf.DUMMYFUNCTION("""COMPUTED_VALUE"""),"Source")</f>
        <v>Source</v>
      </c>
      <c r="F3" s="97" t="str">
        <f ca="1">IFERROR(__xludf.DUMMYFUNCTION("""COMPUTED_VALUE"""),"0:1")</f>
        <v>0:1</v>
      </c>
      <c r="G3" s="96"/>
      <c r="H3" s="96"/>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x14ac:dyDescent="0.25">
      <c r="A4" s="4" t="str">
        <f ca="1">IFERROR(__xludf.DUMMYFUNCTION("""COMPUTED_VALUE"""),"Yes")</f>
        <v>Yes</v>
      </c>
      <c r="B4" s="4" t="str">
        <f ca="1">IFERROR(__xludf.DUMMYFUNCTION("""COMPUTED_VALUE"""),"Yes")</f>
        <v>Yes</v>
      </c>
      <c r="C4" s="96"/>
      <c r="D4" s="96"/>
      <c r="E4" s="5" t="str">
        <f ca="1">IFERROR(__xludf.DUMMYFUNCTION("""COMPUTED_VALUE"""),"Identifier")</f>
        <v>Identifier</v>
      </c>
      <c r="F4" s="97" t="str">
        <f ca="1">IFERROR(__xludf.DUMMYFUNCTION("""COMPUTED_VALUE"""),"1")</f>
        <v>1</v>
      </c>
      <c r="G4" s="96"/>
      <c r="H4" s="96"/>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x14ac:dyDescent="0.25">
      <c r="A5" s="4" t="str">
        <f ca="1">IFERROR(__xludf.DUMMYFUNCTION("""COMPUTED_VALUE"""),"Yes")</f>
        <v>Yes</v>
      </c>
      <c r="B5" s="4" t="str">
        <f ca="1">IFERROR(__xludf.DUMMYFUNCTION("""COMPUTED_VALUE"""),"No")</f>
        <v>No</v>
      </c>
      <c r="C5" s="96"/>
      <c r="D5" s="9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x14ac:dyDescent="0.25">
      <c r="A6" s="4" t="str">
        <f ca="1">IFERROR(__xludf.DUMMYFUNCTION("""COMPUTED_VALUE"""),"Yes")</f>
        <v>Yes</v>
      </c>
      <c r="B6" s="4" t="str">
        <f ca="1">IFERROR(__xludf.DUMMYFUNCTION("""COMPUTED_VALUE"""),"Yes")</f>
        <v>Yes</v>
      </c>
      <c r="C6" s="96"/>
      <c r="D6" s="96"/>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x14ac:dyDescent="0.25">
      <c r="A7" s="4" t="str">
        <f ca="1">IFERROR(__xludf.DUMMYFUNCTION("""COMPUTED_VALUE"""),"Yes")</f>
        <v>Yes</v>
      </c>
      <c r="B7" s="4" t="str">
        <f ca="1">IFERROR(__xludf.DUMMYFUNCTION("""COMPUTED_VALUE"""),"Yes")</f>
        <v>Yes</v>
      </c>
      <c r="C7" s="96"/>
      <c r="D7" s="96"/>
      <c r="E7" t="str">
        <f ca="1">IFERROR(__xludf.DUMMYFUNCTION("""COMPUTED_VALUE"""),"Date")</f>
        <v>Date</v>
      </c>
      <c r="F7" s="97"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x14ac:dyDescent="0.25">
      <c r="A8" s="4" t="str">
        <f ca="1">IFERROR(__xludf.DUMMYFUNCTION("""COMPUTED_VALUE"""),"Yes")</f>
        <v>Yes</v>
      </c>
      <c r="B8" s="4" t="str">
        <f ca="1">IFERROR(__xludf.DUMMYFUNCTION("""COMPUTED_VALUE"""),"No")</f>
        <v>No</v>
      </c>
      <c r="C8" s="96"/>
      <c r="D8" s="96"/>
      <c r="E8" s="5"/>
      <c r="F8" s="96"/>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x14ac:dyDescent="0.25">
      <c r="A9" s="4" t="str">
        <f ca="1">IFERROR(__xludf.DUMMYFUNCTION("""COMPUTED_VALUE"""),"Yes")</f>
        <v>Yes</v>
      </c>
      <c r="B9" s="4" t="str">
        <f ca="1">IFERROR(__xludf.DUMMYFUNCTION("""COMPUTED_VALUE"""),"Yes")</f>
        <v>Yes</v>
      </c>
      <c r="C9" s="96"/>
      <c r="D9" s="9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x14ac:dyDescent="0.25">
      <c r="A10" s="4" t="str">
        <f ca="1">IFERROR(__xludf.DUMMYFUNCTION("""COMPUTED_VALUE"""),"Yes")</f>
        <v>Yes</v>
      </c>
      <c r="B10" s="4" t="str">
        <f ca="1">IFERROR(__xludf.DUMMYFUNCTION("""COMPUTED_VALUE"""),"No")</f>
        <v>No</v>
      </c>
      <c r="C10" s="96"/>
      <c r="D10" s="96"/>
      <c r="E10" s="5" t="str">
        <f ca="1">IFERROR(__xludf.DUMMYFUNCTION("""COMPUTED_VALUE"""),"Availability")</f>
        <v>Availability</v>
      </c>
      <c r="F10" s="97" t="str">
        <f ca="1">IFERROR(__xludf.DUMMYFUNCTION("""COMPUTED_VALUE"""),"0:1")</f>
        <v>0:1</v>
      </c>
      <c r="G10" s="96"/>
      <c r="H10" s="96"/>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x14ac:dyDescent="0.25">
      <c r="A11" s="4" t="str">
        <f ca="1">IFERROR(__xludf.DUMMYFUNCTION("""COMPUTED_VALUE"""),"Yes")</f>
        <v>Yes</v>
      </c>
      <c r="B11" s="4" t="str">
        <f ca="1">IFERROR(__xludf.DUMMYFUNCTION("""COMPUTED_VALUE"""),"No")</f>
        <v>No</v>
      </c>
      <c r="C11" s="96"/>
      <c r="D11" s="96"/>
      <c r="E11" s="5" t="str">
        <f ca="1">IFERROR(__xludf.DUMMYFUNCTION("""COMPUTED_VALUE"""),"URL")</f>
        <v>URL</v>
      </c>
      <c r="F11" s="97" t="str">
        <f ca="1">IFERROR(__xludf.DUMMYFUNCTION("""COMPUTED_VALUE"""),"0:1")</f>
        <v>0:1</v>
      </c>
      <c r="G11" s="96"/>
      <c r="H11" s="96"/>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x14ac:dyDescent="0.25">
      <c r="A12" s="4" t="str">
        <f ca="1">IFERROR(__xludf.DUMMYFUNCTION("""COMPUTED_VALUE"""),"Yes")</f>
        <v>Yes</v>
      </c>
      <c r="B12" s="4" t="str">
        <f ca="1">IFERROR(__xludf.DUMMYFUNCTION("""COMPUTED_VALUE"""),"No")</f>
        <v>No</v>
      </c>
      <c r="C12" s="96"/>
      <c r="D12" s="96"/>
      <c r="E12" s="5" t="str">
        <f ca="1">IFERROR(__xludf.DUMMYFUNCTION("""COMPUTED_VALUE"""),"Format")</f>
        <v>Format</v>
      </c>
      <c r="F12" s="97" t="str">
        <f ca="1">IFERROR(__xludf.DUMMYFUNCTION("""COMPUTED_VALUE"""),"0:1")</f>
        <v>0:1</v>
      </c>
      <c r="G12" s="96"/>
      <c r="H12" s="96"/>
      <c r="I12" s="5"/>
      <c r="J12" s="10"/>
      <c r="K12" s="4"/>
      <c r="L12" s="99" t="str">
        <f ca="1">E13</f>
        <v>References</v>
      </c>
      <c r="M12" s="96"/>
      <c r="N12" s="96"/>
      <c r="O12" s="96"/>
      <c r="P12" s="96"/>
      <c r="Q12" s="96"/>
      <c r="R12" s="96"/>
      <c r="S12" s="96"/>
      <c r="T12" s="96"/>
      <c r="U12" s="96"/>
      <c r="V12" s="96"/>
      <c r="W12" s="96"/>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x14ac:dyDescent="0.3">
      <c r="A13" s="4" t="str">
        <f ca="1">IFERROR(__xludf.DUMMYFUNCTION("""COMPUTED_VALUE"""),"Yes")</f>
        <v>Yes</v>
      </c>
      <c r="B13" s="4" t="str">
        <f ca="1">IFERROR(__xludf.DUMMYFUNCTION("""COMPUTED_VALUE"""),"Yes")</f>
        <v>Yes</v>
      </c>
      <c r="C13" s="96"/>
      <c r="D13" s="96"/>
      <c r="E13" s="97" t="str">
        <f ca="1">IFERROR(__xludf.DUMMYFUNCTION("""COMPUTED_VALUE"""),"References")</f>
        <v>References</v>
      </c>
      <c r="F13" s="97"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x14ac:dyDescent="0.25">
      <c r="A14" s="4" t="str">
        <f ca="1">IFERROR(__xludf.DUMMYFUNCTION("""COMPUTED_VALUE"""),"Yes")</f>
        <v>Yes</v>
      </c>
      <c r="B14" s="4" t="str">
        <f ca="1">IFERROR(__xludf.DUMMYFUNCTION("""COMPUTED_VALUE"""),"Yes")</f>
        <v>Yes</v>
      </c>
      <c r="C14" s="96"/>
      <c r="D14" s="96"/>
      <c r="E14" s="96"/>
      <c r="F14" s="96"/>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x14ac:dyDescent="0.25">
      <c r="A15" s="4" t="str">
        <f ca="1">IFERROR(__xludf.DUMMYFUNCTION("""COMPUTED_VALUE"""),"Yes")</f>
        <v>Yes</v>
      </c>
      <c r="B15" s="4" t="str">
        <f ca="1">IFERROR(__xludf.DUMMYFUNCTION("""COMPUTED_VALUE"""),"No")</f>
        <v>No</v>
      </c>
      <c r="C15" s="96"/>
      <c r="D15" s="96"/>
      <c r="E15" s="96"/>
      <c r="F15" s="96"/>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x14ac:dyDescent="0.25">
      <c r="A16" s="4" t="str">
        <f ca="1">IFERROR(__xludf.DUMMYFUNCTION("""COMPUTED_VALUE"""),"Yes")</f>
        <v>Yes</v>
      </c>
      <c r="B16" s="4" t="str">
        <f ca="1">IFERROR(__xludf.DUMMYFUNCTION("""COMPUTED_VALUE"""),"No")</f>
        <v>No</v>
      </c>
      <c r="C16" s="96"/>
      <c r="D16" s="96"/>
      <c r="E16" s="96"/>
      <c r="F16" s="96"/>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x14ac:dyDescent="0.25">
      <c r="A17" s="4" t="str">
        <f ca="1">IFERROR(__xludf.DUMMYFUNCTION("""COMPUTED_VALUE"""),"Yes")</f>
        <v>Yes</v>
      </c>
      <c r="B17" s="4" t="str">
        <f ca="1">IFERROR(__xludf.DUMMYFUNCTION("""COMPUTED_VALUE"""),"Yes")</f>
        <v>Yes</v>
      </c>
      <c r="C17" s="96"/>
      <c r="D17" s="96"/>
      <c r="E17" s="96"/>
      <c r="F17" s="96"/>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x14ac:dyDescent="0.25">
      <c r="A18" s="4" t="str">
        <f ca="1">IFERROR(__xludf.DUMMYFUNCTION("""COMPUTED_VALUE"""),"Yes")</f>
        <v>Yes</v>
      </c>
      <c r="B18" s="4" t="str">
        <f ca="1">IFERROR(__xludf.DUMMYFUNCTION("""COMPUTED_VALUE"""),"No")</f>
        <v>No</v>
      </c>
      <c r="C18" s="96"/>
      <c r="D18" s="96"/>
      <c r="E18" s="96"/>
      <c r="F18" s="96"/>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x14ac:dyDescent="0.25">
      <c r="A19" s="4" t="str">
        <f ca="1">IFERROR(__xludf.DUMMYFUNCTION("""COMPUTED_VALUE"""),"Yes")</f>
        <v>Yes</v>
      </c>
      <c r="B19" s="4" t="str">
        <f ca="1">IFERROR(__xludf.DUMMYFUNCTION("""COMPUTED_VALUE"""),"Yes")</f>
        <v>Yes</v>
      </c>
      <c r="C19" s="96"/>
      <c r="D19" s="96"/>
      <c r="E19" s="96"/>
      <c r="F19" s="96"/>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x14ac:dyDescent="0.25">
      <c r="A20" s="4" t="str">
        <f ca="1">IFERROR(__xludf.DUMMYFUNCTION("""COMPUTED_VALUE"""),"Yes")</f>
        <v>Yes</v>
      </c>
      <c r="B20" s="4" t="str">
        <f ca="1">IFERROR(__xludf.DUMMYFUNCTION("""COMPUTED_VALUE"""),"No")</f>
        <v>No</v>
      </c>
      <c r="C20" s="96"/>
      <c r="D20" s="96"/>
      <c r="E20" s="96"/>
      <c r="F20" s="96"/>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x14ac:dyDescent="0.25">
      <c r="A21" s="4" t="str">
        <f ca="1">IFERROR(__xludf.DUMMYFUNCTION("""COMPUTED_VALUE"""),"Yes")</f>
        <v>Yes</v>
      </c>
      <c r="B21" s="4" t="str">
        <f ca="1">IFERROR(__xludf.DUMMYFUNCTION("""COMPUTED_VALUE"""),"No")</f>
        <v>No</v>
      </c>
      <c r="C21" s="96"/>
      <c r="D21" s="96"/>
      <c r="E21" s="96"/>
      <c r="F21" s="96"/>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x14ac:dyDescent="0.25">
      <c r="A22" s="4" t="str">
        <f ca="1">IFERROR(__xludf.DUMMYFUNCTION("""COMPUTED_VALUE"""),"Yes")</f>
        <v>Yes</v>
      </c>
      <c r="B22" s="4" t="str">
        <f ca="1">IFERROR(__xludf.DUMMYFUNCTION("""COMPUTED_VALUE"""),"No")</f>
        <v>No</v>
      </c>
      <c r="C22" s="96"/>
      <c r="D22" s="96"/>
      <c r="E22" s="96"/>
      <c r="F22" s="96"/>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x14ac:dyDescent="0.25">
      <c r="A23" s="4" t="str">
        <f ca="1">IFERROR(__xludf.DUMMYFUNCTION("""COMPUTED_VALUE"""),"Yes")</f>
        <v>Yes</v>
      </c>
      <c r="B23" s="4" t="str">
        <f ca="1">IFERROR(__xludf.DUMMYFUNCTION("""COMPUTED_VALUE"""),"No")</f>
        <v>No</v>
      </c>
      <c r="C23" s="96"/>
      <c r="D23" s="96"/>
      <c r="E23" s="96"/>
      <c r="F23" s="96"/>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x14ac:dyDescent="0.25">
      <c r="A24" s="4" t="str">
        <f ca="1">IFERROR(__xludf.DUMMYFUNCTION("""COMPUTED_VALUE"""),"Yes")</f>
        <v>Yes</v>
      </c>
      <c r="B24" s="4" t="str">
        <f ca="1">IFERROR(__xludf.DUMMYFUNCTION("""COMPUTED_VALUE"""),"No")</f>
        <v>No</v>
      </c>
      <c r="C24" s="96"/>
      <c r="D24" s="96"/>
      <c r="E24" s="96"/>
      <c r="F24" s="96"/>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x14ac:dyDescent="0.25">
      <c r="A25" s="4" t="str">
        <f ca="1">IFERROR(__xludf.DUMMYFUNCTION("""COMPUTED_VALUE"""),"Yes")</f>
        <v>Yes</v>
      </c>
      <c r="B25" s="4" t="str">
        <f ca="1">IFERROR(__xludf.DUMMYFUNCTION("""COMPUTED_VALUE"""),"No")</f>
        <v>No</v>
      </c>
      <c r="C25" s="96"/>
      <c r="D25" s="96"/>
      <c r="E25" s="5" t="str">
        <f ca="1">IFERROR(__xludf.DUMMYFUNCTION("""COMPUTED_VALUE"""),"Language")</f>
        <v>Language</v>
      </c>
      <c r="F25" s="97" t="str">
        <f ca="1">IFERROR(__xludf.DUMMYFUNCTION("""COMPUTED_VALUE"""),"0:1")</f>
        <v>0:1</v>
      </c>
      <c r="G25" s="96"/>
      <c r="H25" s="96"/>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x14ac:dyDescent="0.25">
      <c r="A26" s="4" t="str">
        <f ca="1">IFERROR(__xludf.DUMMYFUNCTION("""COMPUTED_VALUE"""),"Yes")</f>
        <v>Yes</v>
      </c>
      <c r="B26" s="4" t="str">
        <f ca="1">IFERROR(__xludf.DUMMYFUNCTION("""COMPUTED_VALUE"""),"No")</f>
        <v>No</v>
      </c>
      <c r="C26" s="96"/>
      <c r="D26" s="96"/>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x14ac:dyDescent="0.25">
      <c r="A27" s="4" t="str">
        <f ca="1">IFERROR(__xludf.DUMMYFUNCTION("""COMPUTED_VALUE"""),"Yes")</f>
        <v>Yes</v>
      </c>
      <c r="B27" s="4" t="str">
        <f ca="1">IFERROR(__xludf.DUMMYFUNCTION("""COMPUTED_VALUE"""),"Yes")</f>
        <v>Yes</v>
      </c>
      <c r="C27" s="96"/>
      <c r="D27" s="96"/>
      <c r="E27" s="5" t="str">
        <f ca="1">IFERROR(__xludf.DUMMYFUNCTION("""COMPUTED_VALUE"""),"Language written in")</f>
        <v>Language written in</v>
      </c>
      <c r="F27" s="97" t="str">
        <f ca="1">IFERROR(__xludf.DUMMYFUNCTION("""COMPUTED_VALUE"""),"1")</f>
        <v>1</v>
      </c>
      <c r="G27" s="96"/>
      <c r="H27" s="96"/>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x14ac:dyDescent="0.25">
      <c r="A28" s="4" t="str">
        <f ca="1">IFERROR(__xludf.DUMMYFUNCTION("""COMPUTED_VALUE"""),"Yes")</f>
        <v>Yes</v>
      </c>
      <c r="B28" s="4" t="str">
        <f ca="1">IFERROR(__xludf.DUMMYFUNCTION("""COMPUTED_VALUE"""),"No")</f>
        <v>No</v>
      </c>
      <c r="C28" s="96"/>
      <c r="D28" s="96"/>
      <c r="E28" s="97" t="str">
        <f ca="1">IFERROR(__xludf.DUMMYFUNCTION("""COMPUTED_VALUE"""),"Model category")</f>
        <v>Model category</v>
      </c>
      <c r="F28" s="97"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x14ac:dyDescent="0.25">
      <c r="A29" s="4" t="str">
        <f ca="1">IFERROR(__xludf.DUMMYFUNCTION("""COMPUTED_VALUE"""),"Yes")</f>
        <v>Yes</v>
      </c>
      <c r="B29" s="4" t="str">
        <f ca="1">IFERROR(__xludf.DUMMYFUNCTION("""COMPUTED_VALUE"""),"No")</f>
        <v>No</v>
      </c>
      <c r="C29" s="96"/>
      <c r="D29" s="96"/>
      <c r="E29" s="96"/>
      <c r="F29" s="96"/>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x14ac:dyDescent="0.25">
      <c r="A30" s="4" t="str">
        <f ca="1">IFERROR(__xludf.DUMMYFUNCTION("""COMPUTED_VALUE"""),"Yes")</f>
        <v>Yes</v>
      </c>
      <c r="B30" s="4" t="str">
        <f ca="1">IFERROR(__xludf.DUMMYFUNCTION("""COMPUTED_VALUE"""),"No")</f>
        <v>No</v>
      </c>
      <c r="C30" s="96"/>
      <c r="D30" s="96"/>
      <c r="E30" s="96"/>
      <c r="F30" s="96"/>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x14ac:dyDescent="0.25">
      <c r="A31" s="4" t="str">
        <f ca="1">IFERROR(__xludf.DUMMYFUNCTION("""COMPUTED_VALUE"""),"Yes")</f>
        <v>Yes</v>
      </c>
      <c r="B31" s="4" t="str">
        <f ca="1">IFERROR(__xludf.DUMMYFUNCTION("""COMPUTED_VALUE"""),"No")</f>
        <v>No</v>
      </c>
      <c r="C31" s="96"/>
      <c r="D31" s="96"/>
      <c r="E31" s="96"/>
      <c r="F31" s="96"/>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x14ac:dyDescent="0.25">
      <c r="A32" s="4" t="str">
        <f ca="1">IFERROR(__xludf.DUMMYFUNCTION("""COMPUTED_VALUE"""),"Yes")</f>
        <v>Yes</v>
      </c>
      <c r="B32" s="4" t="str">
        <f ca="1">IFERROR(__xludf.DUMMYFUNCTION("""COMPUTED_VALUE"""),"No")</f>
        <v>No</v>
      </c>
      <c r="C32" s="96"/>
      <c r="D32" s="96"/>
      <c r="E32" s="96"/>
      <c r="F32" s="96"/>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x14ac:dyDescent="0.25">
      <c r="A33" s="4" t="str">
        <f ca="1">IFERROR(__xludf.DUMMYFUNCTION("""COMPUTED_VALUE"""),"Yes")</f>
        <v>Yes</v>
      </c>
      <c r="B33" s="4" t="str">
        <f ca="1">IFERROR(__xludf.DUMMYFUNCTION("""COMPUTED_VALUE"""),"No")</f>
        <v>No</v>
      </c>
      <c r="C33" s="96"/>
      <c r="D33" s="96"/>
      <c r="E33" s="5" t="str">
        <f ca="1">IFERROR(__xludf.DUMMYFUNCTION("""COMPUTED_VALUE"""),"Status")</f>
        <v>Status</v>
      </c>
      <c r="F33" s="97" t="str">
        <f ca="1">IFERROR(__xludf.DUMMYFUNCTION("""COMPUTED_VALUE"""),"0:1")</f>
        <v>0:1</v>
      </c>
      <c r="G33" s="96"/>
      <c r="H33" s="96"/>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x14ac:dyDescent="0.25">
      <c r="A34" s="4" t="str">
        <f ca="1">IFERROR(__xludf.DUMMYFUNCTION("""COMPUTED_VALUE"""),"Yes")</f>
        <v>Yes</v>
      </c>
      <c r="B34" s="4" t="str">
        <f ca="1">IFERROR(__xludf.DUMMYFUNCTION("""COMPUTED_VALUE"""),"No")</f>
        <v>No</v>
      </c>
      <c r="C34" s="96"/>
      <c r="D34" s="96"/>
      <c r="E34" s="5" t="str">
        <f ca="1">IFERROR(__xludf.DUMMYFUNCTION("""COMPUTED_VALUE"""),"Objective")</f>
        <v>Objective</v>
      </c>
      <c r="F34" s="97" t="str">
        <f ca="1">IFERROR(__xludf.DUMMYFUNCTION("""COMPUTED_VALUE"""),"0:1")</f>
        <v>0:1</v>
      </c>
      <c r="G34" s="96"/>
      <c r="H34" s="96"/>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x14ac:dyDescent="0.25">
      <c r="A35" s="4" t="str">
        <f ca="1">IFERROR(__xludf.DUMMYFUNCTION("""COMPUTED_VALUE"""),"Yes")</f>
        <v>Yes</v>
      </c>
      <c r="B35" s="4" t="str">
        <f ca="1">IFERROR(__xludf.DUMMYFUNCTION("""COMPUTED_VALUE"""),"No")</f>
        <v>No</v>
      </c>
      <c r="C35" s="96"/>
      <c r="D35" s="96"/>
      <c r="E35" s="5" t="str">
        <f ca="1">IFERROR(__xludf.DUMMYFUNCTION("""COMPUTED_VALUE"""),"Description")</f>
        <v>Description</v>
      </c>
      <c r="F35" s="97" t="str">
        <f ca="1">IFERROR(__xludf.DUMMYFUNCTION("""COMPUTED_VALUE"""),"0:1")</f>
        <v>0:1</v>
      </c>
      <c r="G35" s="96"/>
      <c r="H35" s="96"/>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x14ac:dyDescent="0.25">
      <c r="A36" s="4" t="str">
        <f ca="1">IFERROR(__xludf.DUMMYFUNCTION("""COMPUTED_VALUE"""),"Yes")</f>
        <v>Yes</v>
      </c>
      <c r="B36" s="4" t="str">
        <f ca="1">IFERROR(__xludf.DUMMYFUNCTION("""COMPUTED_VALUE"""),"Yes")</f>
        <v>Yes</v>
      </c>
      <c r="C36" s="95" t="str">
        <f ca="1">IFERROR(__xludf.DUMMYFUNCTION("""COMPUTED_VALUE"""),"Scope")</f>
        <v>Scope</v>
      </c>
      <c r="D36" s="95" t="str">
        <f ca="1">IFERROR(__xludf.DUMMYFUNCTION("""COMPUTED_VALUE"""),"1")</f>
        <v>1</v>
      </c>
      <c r="E36" s="97" t="str">
        <f ca="1">IFERROR(__xludf.DUMMYFUNCTION("""COMPUTED_VALUE"""),"Product / matrix")</f>
        <v>Product / matrix</v>
      </c>
      <c r="F36" s="97" t="str">
        <f ca="1">IFERROR(__xludf.DUMMYFUNCTION("""COMPUTED_VALUE"""),"1:N")</f>
        <v>1:N</v>
      </c>
      <c r="G36" s="5" t="str">
        <f ca="1">IFERROR(__xludf.DUMMYFUNCTION("""COMPUTED_VALUE"""),"Product/matrix name")</f>
        <v>Product/matrix name</v>
      </c>
      <c r="H36" s="5" t="str">
        <f ca="1">IFERROR(__xludf.DUMMYFUNCTION("""COMPUTED_VALUE"""),"1")</f>
        <v>1</v>
      </c>
      <c r="I36" s="5"/>
      <c r="J36" s="13"/>
      <c r="K36" s="4"/>
      <c r="L36" s="99" t="str">
        <f ca="1">E36</f>
        <v>Product / matrix</v>
      </c>
      <c r="M36" s="96"/>
      <c r="N36" s="96"/>
      <c r="O36" s="96"/>
      <c r="P36" s="96"/>
      <c r="Q36" s="96"/>
      <c r="R36" s="96"/>
      <c r="S36" s="96"/>
      <c r="T36" s="96"/>
      <c r="U36" s="96"/>
      <c r="V36" s="96"/>
      <c r="W36" s="99" t="str">
        <f ca="1">E47</f>
        <v>Hazard</v>
      </c>
      <c r="X36" s="96"/>
      <c r="Y36" s="96"/>
      <c r="Z36" s="96"/>
      <c r="AA36" s="96"/>
      <c r="AB36" s="96"/>
      <c r="AC36" s="96"/>
      <c r="AD36" s="96"/>
      <c r="AE36" s="96"/>
      <c r="AF36" s="96"/>
      <c r="AG36" s="96"/>
      <c r="AH36" s="96"/>
      <c r="AI36" s="96"/>
      <c r="AJ36" s="96"/>
      <c r="AK36" s="99" t="str">
        <f ca="1">E61</f>
        <v>Population Group</v>
      </c>
      <c r="AL36" s="96"/>
      <c r="AM36" s="96"/>
      <c r="AN36" s="96"/>
      <c r="AO36" s="96"/>
      <c r="AP36" s="96"/>
      <c r="AQ36" s="96"/>
      <c r="AR36" s="96"/>
      <c r="AS36" s="96"/>
      <c r="AT36" s="96"/>
      <c r="AU36" s="96"/>
      <c r="AV36" s="96"/>
      <c r="AW36" s="96"/>
    </row>
    <row r="37" spans="1:49" ht="12.5" x14ac:dyDescent="0.25">
      <c r="A37" s="4" t="str">
        <f ca="1">IFERROR(__xludf.DUMMYFUNCTION("""COMPUTED_VALUE"""),"Yes")</f>
        <v>Yes</v>
      </c>
      <c r="B37" s="4" t="str">
        <f ca="1">IFERROR(__xludf.DUMMYFUNCTION("""COMPUTED_VALUE"""),"Yes")</f>
        <v>Yes</v>
      </c>
      <c r="C37" s="96"/>
      <c r="D37" s="96"/>
      <c r="E37" s="96"/>
      <c r="F37" s="96"/>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x14ac:dyDescent="0.25">
      <c r="A38" s="4" t="str">
        <f ca="1">IFERROR(__xludf.DUMMYFUNCTION("""COMPUTED_VALUE"""),"Yes")</f>
        <v>Yes</v>
      </c>
      <c r="B38" s="4" t="str">
        <f ca="1">IFERROR(__xludf.DUMMYFUNCTION("""COMPUTED_VALUE"""),"Yes")</f>
        <v>Yes</v>
      </c>
      <c r="C38" s="96"/>
      <c r="D38" s="96"/>
      <c r="E38" s="96"/>
      <c r="F38" s="96"/>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x14ac:dyDescent="0.25">
      <c r="A39" s="4" t="str">
        <f ca="1">IFERROR(__xludf.DUMMYFUNCTION("""COMPUTED_VALUE"""),"Yes")</f>
        <v>Yes</v>
      </c>
      <c r="B39" s="4" t="str">
        <f ca="1">IFERROR(__xludf.DUMMYFUNCTION("""COMPUTED_VALUE"""),"No")</f>
        <v>No</v>
      </c>
      <c r="C39" s="96"/>
      <c r="D39" s="96"/>
      <c r="E39" s="96"/>
      <c r="F39" s="96"/>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x14ac:dyDescent="0.25">
      <c r="A40" s="4" t="str">
        <f ca="1">IFERROR(__xludf.DUMMYFUNCTION("""COMPUTED_VALUE"""),"Yes")</f>
        <v>Yes</v>
      </c>
      <c r="B40" s="4" t="str">
        <f ca="1">IFERROR(__xludf.DUMMYFUNCTION("""COMPUTED_VALUE"""),"No")</f>
        <v>No</v>
      </c>
      <c r="C40" s="96"/>
      <c r="D40" s="96"/>
      <c r="E40" s="96"/>
      <c r="F40" s="96"/>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x14ac:dyDescent="0.25">
      <c r="A41" s="4" t="str">
        <f ca="1">IFERROR(__xludf.DUMMYFUNCTION("""COMPUTED_VALUE"""),"Yes")</f>
        <v>Yes</v>
      </c>
      <c r="B41" s="4" t="str">
        <f ca="1">IFERROR(__xludf.DUMMYFUNCTION("""COMPUTED_VALUE"""),"No")</f>
        <v>No</v>
      </c>
      <c r="C41" s="96"/>
      <c r="D41" s="96"/>
      <c r="E41" s="96"/>
      <c r="F41" s="96"/>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x14ac:dyDescent="0.25">
      <c r="A42" s="4" t="str">
        <f ca="1">IFERROR(__xludf.DUMMYFUNCTION("""COMPUTED_VALUE"""),"Yes")</f>
        <v>Yes</v>
      </c>
      <c r="B42" s="4" t="str">
        <f ca="1">IFERROR(__xludf.DUMMYFUNCTION("""COMPUTED_VALUE"""),"No")</f>
        <v>No</v>
      </c>
      <c r="C42" s="96"/>
      <c r="D42" s="96"/>
      <c r="E42" s="96"/>
      <c r="F42" s="96"/>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x14ac:dyDescent="0.25">
      <c r="A43" s="4" t="str">
        <f ca="1">IFERROR(__xludf.DUMMYFUNCTION("""COMPUTED_VALUE"""),"Yes")</f>
        <v>Yes</v>
      </c>
      <c r="B43" s="4" t="str">
        <f ca="1">IFERROR(__xludf.DUMMYFUNCTION("""COMPUTED_VALUE"""),"No")</f>
        <v>No</v>
      </c>
      <c r="C43" s="96"/>
      <c r="D43" s="96"/>
      <c r="E43" s="96"/>
      <c r="F43" s="96"/>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x14ac:dyDescent="0.25">
      <c r="A44" s="4" t="str">
        <f ca="1">IFERROR(__xludf.DUMMYFUNCTION("""COMPUTED_VALUE"""),"Yes")</f>
        <v>Yes</v>
      </c>
      <c r="B44" s="4" t="str">
        <f ca="1">IFERROR(__xludf.DUMMYFUNCTION("""COMPUTED_VALUE"""),"No")</f>
        <v>No</v>
      </c>
      <c r="C44" s="96"/>
      <c r="D44" s="96"/>
      <c r="E44" s="96"/>
      <c r="F44" s="96"/>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x14ac:dyDescent="0.25">
      <c r="A45" s="4" t="str">
        <f ca="1">IFERROR(__xludf.DUMMYFUNCTION("""COMPUTED_VALUE"""),"Yes")</f>
        <v>Yes</v>
      </c>
      <c r="B45" s="4" t="str">
        <f ca="1">IFERROR(__xludf.DUMMYFUNCTION("""COMPUTED_VALUE"""),"No")</f>
        <v>No</v>
      </c>
      <c r="C45" s="96"/>
      <c r="D45" s="96"/>
      <c r="E45" s="96"/>
      <c r="F45" s="96"/>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x14ac:dyDescent="0.25">
      <c r="A46" s="4" t="str">
        <f ca="1">IFERROR(__xludf.DUMMYFUNCTION("""COMPUTED_VALUE"""),"Yes")</f>
        <v>Yes</v>
      </c>
      <c r="B46" s="4" t="str">
        <f ca="1">IFERROR(__xludf.DUMMYFUNCTION("""COMPUTED_VALUE"""),"No")</f>
        <v>No</v>
      </c>
      <c r="C46" s="96"/>
      <c r="D46" s="96"/>
      <c r="E46" s="96"/>
      <c r="F46" s="96"/>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x14ac:dyDescent="0.25">
      <c r="A47" s="4" t="str">
        <f ca="1">IFERROR(__xludf.DUMMYFUNCTION("""COMPUTED_VALUE"""),"Yes")</f>
        <v>Yes</v>
      </c>
      <c r="B47" s="4" t="str">
        <f ca="1">IFERROR(__xludf.DUMMYFUNCTION("""COMPUTED_VALUE"""),"No")</f>
        <v>No</v>
      </c>
      <c r="C47" s="96"/>
      <c r="D47" s="96"/>
      <c r="E47" s="97" t="str">
        <f ca="1">IFERROR(__xludf.DUMMYFUNCTION("""COMPUTED_VALUE"""),"Hazard")</f>
        <v>Hazard</v>
      </c>
      <c r="F47" s="97"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x14ac:dyDescent="0.25">
      <c r="A48" s="4" t="str">
        <f ca="1">IFERROR(__xludf.DUMMYFUNCTION("""COMPUTED_VALUE"""),"Yes")</f>
        <v>Yes</v>
      </c>
      <c r="B48" s="4" t="str">
        <f ca="1">IFERROR(__xludf.DUMMYFUNCTION("""COMPUTED_VALUE"""),"Yes")</f>
        <v>Yes</v>
      </c>
      <c r="C48" s="96"/>
      <c r="D48" s="96"/>
      <c r="E48" s="96"/>
      <c r="F48" s="96"/>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x14ac:dyDescent="0.25">
      <c r="A49" s="4" t="str">
        <f ca="1">IFERROR(__xludf.DUMMYFUNCTION("""COMPUTED_VALUE"""),"Yes")</f>
        <v>Yes</v>
      </c>
      <c r="B49" s="4" t="str">
        <f ca="1">IFERROR(__xludf.DUMMYFUNCTION("""COMPUTED_VALUE"""),"No")</f>
        <v>No</v>
      </c>
      <c r="C49" s="96"/>
      <c r="D49" s="96"/>
      <c r="E49" s="96"/>
      <c r="F49" s="96"/>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x14ac:dyDescent="0.25">
      <c r="A50" s="4" t="str">
        <f ca="1">IFERROR(__xludf.DUMMYFUNCTION("""COMPUTED_VALUE"""),"Yes")</f>
        <v>Yes</v>
      </c>
      <c r="B50" s="4" t="str">
        <f ca="1">IFERROR(__xludf.DUMMYFUNCTION("""COMPUTED_VALUE"""),"No")</f>
        <v>No</v>
      </c>
      <c r="C50" s="96"/>
      <c r="D50" s="96"/>
      <c r="E50" s="96"/>
      <c r="F50" s="96"/>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x14ac:dyDescent="0.25">
      <c r="A51" s="4" t="str">
        <f ca="1">IFERROR(__xludf.DUMMYFUNCTION("""COMPUTED_VALUE"""),"Yes")</f>
        <v>Yes</v>
      </c>
      <c r="B51" s="4" t="str">
        <f ca="1">IFERROR(__xludf.DUMMYFUNCTION("""COMPUTED_VALUE"""),"No")</f>
        <v>No</v>
      </c>
      <c r="C51" s="96"/>
      <c r="D51" s="96"/>
      <c r="E51" s="96"/>
      <c r="F51" s="96"/>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x14ac:dyDescent="0.25">
      <c r="A52" s="4" t="str">
        <f ca="1">IFERROR(__xludf.DUMMYFUNCTION("""COMPUTED_VALUE"""),"Yes")</f>
        <v>Yes</v>
      </c>
      <c r="B52" s="4" t="str">
        <f ca="1">IFERROR(__xludf.DUMMYFUNCTION("""COMPUTED_VALUE"""),"No")</f>
        <v>No</v>
      </c>
      <c r="C52" s="96"/>
      <c r="D52" s="96"/>
      <c r="E52" s="96"/>
      <c r="F52" s="96"/>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x14ac:dyDescent="0.25">
      <c r="A53" s="4" t="str">
        <f ca="1">IFERROR(__xludf.DUMMYFUNCTION("""COMPUTED_VALUE"""),"Yes")</f>
        <v>Yes</v>
      </c>
      <c r="B53" s="4" t="str">
        <f ca="1">IFERROR(__xludf.DUMMYFUNCTION("""COMPUTED_VALUE"""),"No")</f>
        <v>No</v>
      </c>
      <c r="C53" s="96"/>
      <c r="D53" s="96"/>
      <c r="E53" s="96"/>
      <c r="F53" s="96"/>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x14ac:dyDescent="0.25">
      <c r="A54" s="4" t="str">
        <f ca="1">IFERROR(__xludf.DUMMYFUNCTION("""COMPUTED_VALUE"""),"Yes")</f>
        <v>Yes</v>
      </c>
      <c r="B54" s="4" t="str">
        <f ca="1">IFERROR(__xludf.DUMMYFUNCTION("""COMPUTED_VALUE"""),"No")</f>
        <v>No</v>
      </c>
      <c r="C54" s="96"/>
      <c r="D54" s="96"/>
      <c r="E54" s="96"/>
      <c r="F54" s="96"/>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x14ac:dyDescent="0.25">
      <c r="A55" s="4" t="str">
        <f ca="1">IFERROR(__xludf.DUMMYFUNCTION("""COMPUTED_VALUE"""),"Yes")</f>
        <v>Yes</v>
      </c>
      <c r="B55" s="4" t="str">
        <f ca="1">IFERROR(__xludf.DUMMYFUNCTION("""COMPUTED_VALUE"""),"No")</f>
        <v>No</v>
      </c>
      <c r="C55" s="96"/>
      <c r="D55" s="96"/>
      <c r="E55" s="96"/>
      <c r="F55" s="96"/>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x14ac:dyDescent="0.25">
      <c r="A56" s="4" t="str">
        <f ca="1">IFERROR(__xludf.DUMMYFUNCTION("""COMPUTED_VALUE"""),"Yes")</f>
        <v>Yes</v>
      </c>
      <c r="B56" s="4" t="str">
        <f ca="1">IFERROR(__xludf.DUMMYFUNCTION("""COMPUTED_VALUE"""),"No")</f>
        <v>No</v>
      </c>
      <c r="C56" s="96"/>
      <c r="D56" s="96"/>
      <c r="E56" s="96"/>
      <c r="F56" s="96"/>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x14ac:dyDescent="0.25">
      <c r="A57" s="4" t="str">
        <f ca="1">IFERROR(__xludf.DUMMYFUNCTION("""COMPUTED_VALUE"""),"Yes")</f>
        <v>Yes</v>
      </c>
      <c r="B57" s="4" t="str">
        <f ca="1">IFERROR(__xludf.DUMMYFUNCTION("""COMPUTED_VALUE"""),"No")</f>
        <v>No</v>
      </c>
      <c r="C57" s="96"/>
      <c r="D57" s="96"/>
      <c r="E57" s="96"/>
      <c r="F57" s="96"/>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x14ac:dyDescent="0.25">
      <c r="A58" s="4" t="str">
        <f ca="1">IFERROR(__xludf.DUMMYFUNCTION("""COMPUTED_VALUE"""),"Yes")</f>
        <v>Yes</v>
      </c>
      <c r="B58" s="4" t="str">
        <f ca="1">IFERROR(__xludf.DUMMYFUNCTION("""COMPUTED_VALUE"""),"No")</f>
        <v>No</v>
      </c>
      <c r="C58" s="96"/>
      <c r="D58" s="96"/>
      <c r="E58" s="96"/>
      <c r="F58" s="96"/>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x14ac:dyDescent="0.25">
      <c r="A59" s="4" t="str">
        <f ca="1">IFERROR(__xludf.DUMMYFUNCTION("""COMPUTED_VALUE"""),"Yes")</f>
        <v>Yes</v>
      </c>
      <c r="B59" s="4" t="str">
        <f ca="1">IFERROR(__xludf.DUMMYFUNCTION("""COMPUTED_VALUE"""),"No")</f>
        <v>No</v>
      </c>
      <c r="C59" s="96"/>
      <c r="D59" s="96"/>
      <c r="E59" s="96"/>
      <c r="F59" s="96"/>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x14ac:dyDescent="0.25">
      <c r="A60" s="4" t="str">
        <f ca="1">IFERROR(__xludf.DUMMYFUNCTION("""COMPUTED_VALUE"""),"Yes")</f>
        <v>Yes</v>
      </c>
      <c r="B60" s="4" t="str">
        <f ca="1">IFERROR(__xludf.DUMMYFUNCTION("""COMPUTED_VALUE"""),"No")</f>
        <v>No</v>
      </c>
      <c r="C60" s="96"/>
      <c r="D60" s="96"/>
      <c r="E60" s="96"/>
      <c r="F60" s="96"/>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x14ac:dyDescent="0.25">
      <c r="A61" s="4" t="str">
        <f ca="1">IFERROR(__xludf.DUMMYFUNCTION("""COMPUTED_VALUE"""),"Yes")</f>
        <v>Yes</v>
      </c>
      <c r="B61" s="4" t="str">
        <f ca="1">IFERROR(__xludf.DUMMYFUNCTION("""COMPUTED_VALUE"""),"Yes")</f>
        <v>Yes</v>
      </c>
      <c r="C61" s="96"/>
      <c r="D61" s="96"/>
      <c r="E61" s="97" t="str">
        <f ca="1">IFERROR(__xludf.DUMMYFUNCTION("""COMPUTED_VALUE"""),"Population Group")</f>
        <v>Population Group</v>
      </c>
      <c r="F61" s="97"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6"/>
      <c r="AT61" s="96"/>
      <c r="AU61" s="96"/>
      <c r="AV61" s="96"/>
      <c r="AW61" s="96"/>
    </row>
    <row r="62" spans="1:49" ht="12.5" x14ac:dyDescent="0.25">
      <c r="A62" s="4" t="str">
        <f ca="1">IFERROR(__xludf.DUMMYFUNCTION("""COMPUTED_VALUE"""),"Yes")</f>
        <v>Yes</v>
      </c>
      <c r="B62" s="4" t="str">
        <f ca="1">IFERROR(__xludf.DUMMYFUNCTION("""COMPUTED_VALUE"""),"No")</f>
        <v>No</v>
      </c>
      <c r="C62" s="96"/>
      <c r="D62" s="96"/>
      <c r="E62" s="96"/>
      <c r="F62" s="96"/>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x14ac:dyDescent="0.25">
      <c r="A63" s="4" t="str">
        <f ca="1">IFERROR(__xludf.DUMMYFUNCTION("""COMPUTED_VALUE"""),"Yes")</f>
        <v>Yes</v>
      </c>
      <c r="B63" s="4" t="str">
        <f ca="1">IFERROR(__xludf.DUMMYFUNCTION("""COMPUTED_VALUE"""),"No")</f>
        <v>No</v>
      </c>
      <c r="C63" s="96"/>
      <c r="D63" s="96"/>
      <c r="E63" s="96"/>
      <c r="F63" s="96"/>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x14ac:dyDescent="0.25">
      <c r="A64" s="4" t="str">
        <f ca="1">IFERROR(__xludf.DUMMYFUNCTION("""COMPUTED_VALUE"""),"Yes")</f>
        <v>Yes</v>
      </c>
      <c r="B64" s="4" t="str">
        <f ca="1">IFERROR(__xludf.DUMMYFUNCTION("""COMPUTED_VALUE"""),"No")</f>
        <v>No</v>
      </c>
      <c r="C64" s="96"/>
      <c r="D64" s="96"/>
      <c r="E64" s="96"/>
      <c r="F64" s="96"/>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x14ac:dyDescent="0.25">
      <c r="A65" s="4" t="str">
        <f ca="1">IFERROR(__xludf.DUMMYFUNCTION("""COMPUTED_VALUE"""),"Yes")</f>
        <v>Yes</v>
      </c>
      <c r="B65" s="4" t="str">
        <f ca="1">IFERROR(__xludf.DUMMYFUNCTION("""COMPUTED_VALUE"""),"No")</f>
        <v>No</v>
      </c>
      <c r="C65" s="96"/>
      <c r="D65" s="96"/>
      <c r="E65" s="96"/>
      <c r="F65" s="96"/>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x14ac:dyDescent="0.25">
      <c r="A66" s="4" t="str">
        <f ca="1">IFERROR(__xludf.DUMMYFUNCTION("""COMPUTED_VALUE"""),"Yes")</f>
        <v>Yes</v>
      </c>
      <c r="B66" s="4" t="str">
        <f ca="1">IFERROR(__xludf.DUMMYFUNCTION("""COMPUTED_VALUE"""),"No")</f>
        <v>No</v>
      </c>
      <c r="C66" s="96"/>
      <c r="D66" s="96"/>
      <c r="E66" s="96"/>
      <c r="F66" s="96"/>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x14ac:dyDescent="0.25">
      <c r="A67" s="4" t="str">
        <f ca="1">IFERROR(__xludf.DUMMYFUNCTION("""COMPUTED_VALUE"""),"Yes")</f>
        <v>Yes</v>
      </c>
      <c r="B67" s="4" t="str">
        <f ca="1">IFERROR(__xludf.DUMMYFUNCTION("""COMPUTED_VALUE"""),"No")</f>
        <v>No</v>
      </c>
      <c r="C67" s="96"/>
      <c r="D67" s="96"/>
      <c r="E67" s="96"/>
      <c r="F67" s="96"/>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x14ac:dyDescent="0.25">
      <c r="A68" s="4" t="str">
        <f ca="1">IFERROR(__xludf.DUMMYFUNCTION("""COMPUTED_VALUE"""),"Yes")</f>
        <v>Yes</v>
      </c>
      <c r="B68" s="4" t="str">
        <f ca="1">IFERROR(__xludf.DUMMYFUNCTION("""COMPUTED_VALUE"""),"No")</f>
        <v>No</v>
      </c>
      <c r="C68" s="96"/>
      <c r="D68" s="96"/>
      <c r="E68" s="96"/>
      <c r="F68" s="96"/>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x14ac:dyDescent="0.25">
      <c r="A69" s="4" t="str">
        <f ca="1">IFERROR(__xludf.DUMMYFUNCTION("""COMPUTED_VALUE"""),"Yes")</f>
        <v>Yes</v>
      </c>
      <c r="B69" s="4" t="str">
        <f ca="1">IFERROR(__xludf.DUMMYFUNCTION("""COMPUTED_VALUE"""),"No")</f>
        <v>No</v>
      </c>
      <c r="C69" s="96"/>
      <c r="D69" s="96"/>
      <c r="E69" s="96"/>
      <c r="F69" s="96"/>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x14ac:dyDescent="0.25">
      <c r="A70" s="4" t="str">
        <f ca="1">IFERROR(__xludf.DUMMYFUNCTION("""COMPUTED_VALUE"""),"Yes")</f>
        <v>Yes</v>
      </c>
      <c r="B70" s="4" t="str">
        <f ca="1">IFERROR(__xludf.DUMMYFUNCTION("""COMPUTED_VALUE"""),"No")</f>
        <v>No</v>
      </c>
      <c r="C70" s="96"/>
      <c r="D70" s="96"/>
      <c r="E70" s="96"/>
      <c r="F70" s="96"/>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x14ac:dyDescent="0.25">
      <c r="A71" s="4" t="str">
        <f ca="1">IFERROR(__xludf.DUMMYFUNCTION("""COMPUTED_VALUE"""),"Yes")</f>
        <v>Yes</v>
      </c>
      <c r="B71" s="4" t="str">
        <f ca="1">IFERROR(__xludf.DUMMYFUNCTION("""COMPUTED_VALUE"""),"No")</f>
        <v>No</v>
      </c>
      <c r="C71" s="96"/>
      <c r="D71" s="96"/>
      <c r="E71" s="96"/>
      <c r="F71" s="96"/>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x14ac:dyDescent="0.25">
      <c r="A72" s="4" t="str">
        <f ca="1">IFERROR(__xludf.DUMMYFUNCTION("""COMPUTED_VALUE"""),"Yes")</f>
        <v>Yes</v>
      </c>
      <c r="B72" s="4" t="str">
        <f ca="1">IFERROR(__xludf.DUMMYFUNCTION("""COMPUTED_VALUE"""),"No")</f>
        <v>No</v>
      </c>
      <c r="C72" s="96"/>
      <c r="D72" s="96"/>
      <c r="E72" s="96"/>
      <c r="F72" s="96"/>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x14ac:dyDescent="0.25">
      <c r="A73" s="4" t="str">
        <f ca="1">IFERROR(__xludf.DUMMYFUNCTION("""COMPUTED_VALUE"""),"Yes")</f>
        <v>Yes</v>
      </c>
      <c r="B73" s="4" t="str">
        <f ca="1">IFERROR(__xludf.DUMMYFUNCTION("""COMPUTED_VALUE"""),"No")</f>
        <v>No</v>
      </c>
      <c r="C73" s="96"/>
      <c r="D73" s="96"/>
      <c r="E73" s="96"/>
      <c r="F73" s="96"/>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x14ac:dyDescent="0.25">
      <c r="A74" s="4" t="str">
        <f ca="1">IFERROR(__xludf.DUMMYFUNCTION("""COMPUTED_VALUE"""),"Yes")</f>
        <v>Yes</v>
      </c>
      <c r="B74" s="4" t="str">
        <f ca="1">IFERROR(__xludf.DUMMYFUNCTION("""COMPUTED_VALUE"""),"No")</f>
        <v>No</v>
      </c>
      <c r="C74" s="96"/>
      <c r="D74" s="96"/>
      <c r="E74" s="5" t="str">
        <f ca="1">IFERROR(__xludf.DUMMYFUNCTION("""COMPUTED_VALUE"""),"General comment")</f>
        <v>General comment</v>
      </c>
      <c r="F74" s="97" t="str">
        <f ca="1">IFERROR(__xludf.DUMMYFUNCTION("""COMPUTED_VALUE"""),"0:1")</f>
        <v>0:1</v>
      </c>
      <c r="G74" s="96"/>
      <c r="H74" s="96"/>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x14ac:dyDescent="0.25">
      <c r="A75" s="4" t="str">
        <f ca="1">IFERROR(__xludf.DUMMYFUNCTION("""COMPUTED_VALUE"""),"Yes")</f>
        <v>Yes</v>
      </c>
      <c r="B75" s="4" t="str">
        <f ca="1">IFERROR(__xludf.DUMMYFUNCTION("""COMPUTED_VALUE"""),"No")</f>
        <v>No</v>
      </c>
      <c r="C75" s="96"/>
      <c r="D75" s="96"/>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x14ac:dyDescent="0.25">
      <c r="A76" s="4" t="str">
        <f ca="1">IFERROR(__xludf.DUMMYFUNCTION("""COMPUTED_VALUE"""),"Yes")</f>
        <v>Yes</v>
      </c>
      <c r="B76" s="4" t="str">
        <f ca="1">IFERROR(__xludf.DUMMYFUNCTION("""COMPUTED_VALUE"""),"No")</f>
        <v>No</v>
      </c>
      <c r="C76" s="96"/>
      <c r="D76" s="96"/>
      <c r="E76" s="97" t="str">
        <f ca="1">IFERROR(__xludf.DUMMYFUNCTION("""COMPUTED_VALUE"""),"Spatial information")</f>
        <v>Spatial information</v>
      </c>
      <c r="F76" s="97"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x14ac:dyDescent="0.25">
      <c r="A77" s="4" t="str">
        <f ca="1">IFERROR(__xludf.DUMMYFUNCTION("""COMPUTED_VALUE"""),"Yes")</f>
        <v>Yes</v>
      </c>
      <c r="B77" s="4" t="str">
        <f ca="1">IFERROR(__xludf.DUMMYFUNCTION("""COMPUTED_VALUE"""),"No")</f>
        <v>No</v>
      </c>
      <c r="C77" s="96"/>
      <c r="D77" s="96"/>
      <c r="E77" s="96"/>
      <c r="F77" s="96"/>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x14ac:dyDescent="0.25">
      <c r="A78" s="4" t="str">
        <f ca="1">IFERROR(__xludf.DUMMYFUNCTION("""COMPUTED_VALUE"""),"Yes")</f>
        <v>Yes</v>
      </c>
      <c r="B78" s="4" t="str">
        <f ca="1">IFERROR(__xludf.DUMMYFUNCTION("""COMPUTED_VALUE"""),"No")</f>
        <v>No</v>
      </c>
      <c r="C78" s="95" t="str">
        <f ca="1">IFERROR(__xludf.DUMMYFUNCTION("""COMPUTED_VALUE"""),"Data_background")</f>
        <v>Data_background</v>
      </c>
      <c r="D78" s="95" t="str">
        <f ca="1">IFERROR(__xludf.DUMMYFUNCTION("""COMPUTED_VALUE"""),"0:1")</f>
        <v>0:1</v>
      </c>
      <c r="E78" s="97" t="str">
        <f ca="1">IFERROR(__xludf.DUMMYFUNCTION("""COMPUTED_VALUE"""),"Study")</f>
        <v>Study</v>
      </c>
      <c r="F78" s="97"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x14ac:dyDescent="0.25">
      <c r="A79" s="4" t="str">
        <f ca="1">IFERROR(__xludf.DUMMYFUNCTION("""COMPUTED_VALUE"""),"Yes")</f>
        <v>Yes</v>
      </c>
      <c r="B79" s="4" t="str">
        <f ca="1">IFERROR(__xludf.DUMMYFUNCTION("""COMPUTED_VALUE"""),"No")</f>
        <v>No</v>
      </c>
      <c r="C79" s="96"/>
      <c r="D79" s="96"/>
      <c r="E79" s="96"/>
      <c r="F79" s="96"/>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x14ac:dyDescent="0.25">
      <c r="A80" s="4" t="str">
        <f ca="1">IFERROR(__xludf.DUMMYFUNCTION("""COMPUTED_VALUE"""),"Yes")</f>
        <v>Yes</v>
      </c>
      <c r="B80" s="4" t="str">
        <f ca="1">IFERROR(__xludf.DUMMYFUNCTION("""COMPUTED_VALUE"""),"No")</f>
        <v>No</v>
      </c>
      <c r="C80" s="96"/>
      <c r="D80" s="96"/>
      <c r="E80" s="96"/>
      <c r="F80" s="96"/>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x14ac:dyDescent="0.25">
      <c r="A81" s="4" t="str">
        <f ca="1">IFERROR(__xludf.DUMMYFUNCTION("""COMPUTED_VALUE"""),"Yes")</f>
        <v>Yes</v>
      </c>
      <c r="B81" s="4" t="str">
        <f ca="1">IFERROR(__xludf.DUMMYFUNCTION("""COMPUTED_VALUE"""),"No")</f>
        <v>No</v>
      </c>
      <c r="C81" s="96"/>
      <c r="D81" s="96"/>
      <c r="E81" s="96"/>
      <c r="F81" s="96"/>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x14ac:dyDescent="0.25">
      <c r="A82" s="4" t="str">
        <f ca="1">IFERROR(__xludf.DUMMYFUNCTION("""COMPUTED_VALUE"""),"Yes")</f>
        <v>Yes</v>
      </c>
      <c r="B82" s="4" t="str">
        <f ca="1">IFERROR(__xludf.DUMMYFUNCTION("""COMPUTED_VALUE"""),"No")</f>
        <v>No</v>
      </c>
      <c r="C82" s="96"/>
      <c r="D82" s="96"/>
      <c r="E82" s="96"/>
      <c r="F82" s="96"/>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x14ac:dyDescent="0.25">
      <c r="A83" s="4" t="str">
        <f ca="1">IFERROR(__xludf.DUMMYFUNCTION("""COMPUTED_VALUE"""),"Yes")</f>
        <v>Yes</v>
      </c>
      <c r="B83" s="4" t="str">
        <f ca="1">IFERROR(__xludf.DUMMYFUNCTION("""COMPUTED_VALUE"""),"No")</f>
        <v>No</v>
      </c>
      <c r="C83" s="96"/>
      <c r="D83" s="96"/>
      <c r="E83" s="96"/>
      <c r="F83" s="96"/>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x14ac:dyDescent="0.25">
      <c r="A84" s="4" t="str">
        <f ca="1">IFERROR(__xludf.DUMMYFUNCTION("""COMPUTED_VALUE"""),"Yes")</f>
        <v>Yes</v>
      </c>
      <c r="B84" s="4" t="str">
        <f ca="1">IFERROR(__xludf.DUMMYFUNCTION("""COMPUTED_VALUE"""),"No")</f>
        <v>No</v>
      </c>
      <c r="C84" s="96"/>
      <c r="D84" s="96"/>
      <c r="E84" s="96"/>
      <c r="F84" s="96"/>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x14ac:dyDescent="0.25">
      <c r="A85" s="4" t="str">
        <f ca="1">IFERROR(__xludf.DUMMYFUNCTION("""COMPUTED_VALUE"""),"Yes")</f>
        <v>Yes</v>
      </c>
      <c r="B85" s="4" t="str">
        <f ca="1">IFERROR(__xludf.DUMMYFUNCTION("""COMPUTED_VALUE"""),"No")</f>
        <v>No</v>
      </c>
      <c r="C85" s="96"/>
      <c r="D85" s="96"/>
      <c r="E85" s="96"/>
      <c r="F85" s="96"/>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x14ac:dyDescent="0.25">
      <c r="A86" s="4" t="str">
        <f ca="1">IFERROR(__xludf.DUMMYFUNCTION("""COMPUTED_VALUE"""),"Yes")</f>
        <v>Yes</v>
      </c>
      <c r="B86" s="4" t="str">
        <f ca="1">IFERROR(__xludf.DUMMYFUNCTION("""COMPUTED_VALUE"""),"No")</f>
        <v>No</v>
      </c>
      <c r="C86" s="96"/>
      <c r="D86" s="96"/>
      <c r="E86" s="96"/>
      <c r="F86" s="96"/>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x14ac:dyDescent="0.25">
      <c r="A87" s="4" t="str">
        <f ca="1">IFERROR(__xludf.DUMMYFUNCTION("""COMPUTED_VALUE"""),"Yes")</f>
        <v>Yes</v>
      </c>
      <c r="B87" s="4" t="str">
        <f ca="1">IFERROR(__xludf.DUMMYFUNCTION("""COMPUTED_VALUE"""),"No")</f>
        <v>No</v>
      </c>
      <c r="C87" s="96"/>
      <c r="D87" s="96"/>
      <c r="E87" s="96"/>
      <c r="F87" s="96"/>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x14ac:dyDescent="0.25">
      <c r="A88" s="4" t="str">
        <f ca="1">IFERROR(__xludf.DUMMYFUNCTION("""COMPUTED_VALUE"""),"Yes")</f>
        <v>Yes</v>
      </c>
      <c r="B88" s="4" t="str">
        <f ca="1">IFERROR(__xludf.DUMMYFUNCTION("""COMPUTED_VALUE"""),"No")</f>
        <v>No</v>
      </c>
      <c r="C88" s="96"/>
      <c r="D88" s="96"/>
      <c r="E88" s="96"/>
      <c r="F88" s="96"/>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x14ac:dyDescent="0.25">
      <c r="A89" s="4" t="str">
        <f ca="1">IFERROR(__xludf.DUMMYFUNCTION("""COMPUTED_VALUE"""),"Yes")</f>
        <v>Yes</v>
      </c>
      <c r="B89" s="4" t="str">
        <f ca="1">IFERROR(__xludf.DUMMYFUNCTION("""COMPUTED_VALUE"""),"No")</f>
        <v>No</v>
      </c>
      <c r="C89" s="96"/>
      <c r="D89" s="96"/>
      <c r="E89" s="96"/>
      <c r="F89" s="96"/>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x14ac:dyDescent="0.25">
      <c r="A90" s="4" t="str">
        <f ca="1">IFERROR(__xludf.DUMMYFUNCTION("""COMPUTED_VALUE"""),"Yes")</f>
        <v>Yes</v>
      </c>
      <c r="B90" s="4" t="str">
        <f ca="1">IFERROR(__xludf.DUMMYFUNCTION("""COMPUTED_VALUE"""),"No")</f>
        <v>No</v>
      </c>
      <c r="C90" s="96"/>
      <c r="D90" s="96"/>
      <c r="E90" s="96"/>
      <c r="F90" s="96"/>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x14ac:dyDescent="0.25">
      <c r="A91" s="4" t="str">
        <f ca="1">IFERROR(__xludf.DUMMYFUNCTION("""COMPUTED_VALUE"""),"Yes")</f>
        <v>Yes</v>
      </c>
      <c r="B91" s="4" t="str">
        <f ca="1">IFERROR(__xludf.DUMMYFUNCTION("""COMPUTED_VALUE"""),"No")</f>
        <v>No</v>
      </c>
      <c r="C91" s="96"/>
      <c r="D91" s="96"/>
      <c r="E91" s="96"/>
      <c r="F91" s="96"/>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x14ac:dyDescent="0.25">
      <c r="A92" s="4" t="str">
        <f ca="1">IFERROR(__xludf.DUMMYFUNCTION("""COMPUTED_VALUE"""),"Yes")</f>
        <v>Yes</v>
      </c>
      <c r="B92" s="4" t="str">
        <f ca="1">IFERROR(__xludf.DUMMYFUNCTION("""COMPUTED_VALUE"""),"No")</f>
        <v>No</v>
      </c>
      <c r="C92" s="96"/>
      <c r="D92" s="96"/>
      <c r="E92" s="96"/>
      <c r="F92" s="96"/>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x14ac:dyDescent="0.25">
      <c r="A93" s="4" t="str">
        <f ca="1">IFERROR(__xludf.DUMMYFUNCTION("""COMPUTED_VALUE"""),"Yes")</f>
        <v>Yes</v>
      </c>
      <c r="B93" s="4" t="str">
        <f ca="1">IFERROR(__xludf.DUMMYFUNCTION("""COMPUTED_VALUE"""),"No")</f>
        <v>No</v>
      </c>
      <c r="C93" s="96"/>
      <c r="D93" s="96"/>
      <c r="E93" s="96"/>
      <c r="F93" s="96"/>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x14ac:dyDescent="0.25">
      <c r="A94" s="4" t="str">
        <f ca="1">IFERROR(__xludf.DUMMYFUNCTION("""COMPUTED_VALUE"""),"Yes")</f>
        <v>Yes</v>
      </c>
      <c r="B94" s="4" t="str">
        <f ca="1">IFERROR(__xludf.DUMMYFUNCTION("""COMPUTED_VALUE"""),"No")</f>
        <v>No</v>
      </c>
      <c r="C94" s="96"/>
      <c r="D94" s="96"/>
      <c r="E94" s="97" t="str">
        <f ca="1">IFERROR(__xludf.DUMMYFUNCTION("""COMPUTED_VALUE"""),"Study Sample")</f>
        <v>Study Sample</v>
      </c>
      <c r="F94" s="97" t="str">
        <f ca="1">IFERROR(__xludf.DUMMYFUNCTION("""COMPUTED_VALUE"""),"0:N")</f>
        <v>0:N</v>
      </c>
      <c r="G94" s="5" t="str">
        <f ca="1">IFERROR(__xludf.DUMMYFUNCTION("""COMPUTED_VALUE"""),"Sample Name (ID)")</f>
        <v>Sample Name (ID)</v>
      </c>
      <c r="H94" s="5" t="str">
        <f ca="1">IFERROR(__xludf.DUMMYFUNCTION("""COMPUTED_VALUE"""),"1")</f>
        <v>1</v>
      </c>
      <c r="I94" s="5"/>
      <c r="J94" s="13"/>
      <c r="K94" s="4"/>
      <c r="L94" s="99" t="str">
        <f ca="1">E94</f>
        <v>Study Sample</v>
      </c>
      <c r="M94" s="96"/>
      <c r="N94" s="96"/>
      <c r="O94" s="96"/>
      <c r="P94" s="96"/>
      <c r="Q94" s="96"/>
      <c r="R94" s="96"/>
      <c r="S94" s="96"/>
      <c r="T94" s="96"/>
      <c r="U94" s="96"/>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x14ac:dyDescent="0.25">
      <c r="A95" s="4" t="str">
        <f ca="1">IFERROR(__xludf.DUMMYFUNCTION("""COMPUTED_VALUE"""),"Yes")</f>
        <v>Yes</v>
      </c>
      <c r="B95" s="4" t="str">
        <f ca="1">IFERROR(__xludf.DUMMYFUNCTION("""COMPUTED_VALUE"""),"No")</f>
        <v>No</v>
      </c>
      <c r="C95" s="96"/>
      <c r="D95" s="96"/>
      <c r="E95" s="96"/>
      <c r="F95" s="96"/>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x14ac:dyDescent="0.25">
      <c r="A96" s="4" t="str">
        <f ca="1">IFERROR(__xludf.DUMMYFUNCTION("""COMPUTED_VALUE"""),"Yes")</f>
        <v>Yes</v>
      </c>
      <c r="B96" s="4" t="str">
        <f ca="1">IFERROR(__xludf.DUMMYFUNCTION("""COMPUTED_VALUE"""),"No")</f>
        <v>No</v>
      </c>
      <c r="C96" s="96"/>
      <c r="D96" s="96"/>
      <c r="E96" s="96"/>
      <c r="F96" s="96"/>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x14ac:dyDescent="0.25">
      <c r="A97" s="4" t="str">
        <f ca="1">IFERROR(__xludf.DUMMYFUNCTION("""COMPUTED_VALUE"""),"Yes")</f>
        <v>Yes</v>
      </c>
      <c r="B97" s="4" t="str">
        <f ca="1">IFERROR(__xludf.DUMMYFUNCTION("""COMPUTED_VALUE"""),"No")</f>
        <v>No</v>
      </c>
      <c r="C97" s="96"/>
      <c r="D97" s="96"/>
      <c r="E97" s="96"/>
      <c r="F97" s="96"/>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x14ac:dyDescent="0.25">
      <c r="A98" s="4" t="str">
        <f ca="1">IFERROR(__xludf.DUMMYFUNCTION("""COMPUTED_VALUE"""),"Yes")</f>
        <v>Yes</v>
      </c>
      <c r="B98" s="4" t="str">
        <f ca="1">IFERROR(__xludf.DUMMYFUNCTION("""COMPUTED_VALUE"""),"No")</f>
        <v>No</v>
      </c>
      <c r="C98" s="96"/>
      <c r="D98" s="96"/>
      <c r="E98" s="96"/>
      <c r="F98" s="96"/>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x14ac:dyDescent="0.25">
      <c r="A99" s="4" t="str">
        <f ca="1">IFERROR(__xludf.DUMMYFUNCTION("""COMPUTED_VALUE"""),"Yes")</f>
        <v>Yes</v>
      </c>
      <c r="B99" s="4" t="str">
        <f ca="1">IFERROR(__xludf.DUMMYFUNCTION("""COMPUTED_VALUE"""),"No")</f>
        <v>No</v>
      </c>
      <c r="C99" s="96"/>
      <c r="D99" s="96"/>
      <c r="E99" s="96"/>
      <c r="F99" s="96"/>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x14ac:dyDescent="0.25">
      <c r="A100" s="4" t="str">
        <f ca="1">IFERROR(__xludf.DUMMYFUNCTION("""COMPUTED_VALUE"""),"Yes")</f>
        <v>Yes</v>
      </c>
      <c r="B100" s="4" t="str">
        <f ca="1">IFERROR(__xludf.DUMMYFUNCTION("""COMPUTED_VALUE"""),"No")</f>
        <v>No</v>
      </c>
      <c r="C100" s="96"/>
      <c r="D100" s="96"/>
      <c r="E100" s="96"/>
      <c r="F100" s="96"/>
      <c r="G100" s="5" t="str">
        <f ca="1">IFERROR(__xludf.DUMMYFUNCTION("""COMPUTED_VALUE"""),"Sampling weight")</f>
        <v>Sampling weight</v>
      </c>
      <c r="H100" s="5" t="str">
        <f ca="1">IFERROR(__xludf.DUMMYFUNCTION("""COMPUTED_VALUE"""),"1")</f>
        <v>1</v>
      </c>
      <c r="I100" s="5"/>
      <c r="J100" s="13"/>
      <c r="K100" s="4"/>
      <c r="L100" s="99" t="str">
        <f ca="1">E104</f>
        <v>Dietary assessment method</v>
      </c>
      <c r="M100" s="96"/>
      <c r="N100" s="96"/>
      <c r="O100" s="96"/>
      <c r="P100" s="96"/>
      <c r="Q100" s="96"/>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x14ac:dyDescent="0.25">
      <c r="A101" s="4" t="str">
        <f ca="1">IFERROR(__xludf.DUMMYFUNCTION("""COMPUTED_VALUE"""),"Yes")</f>
        <v>Yes</v>
      </c>
      <c r="B101" s="4" t="str">
        <f ca="1">IFERROR(__xludf.DUMMYFUNCTION("""COMPUTED_VALUE"""),"No")</f>
        <v>No</v>
      </c>
      <c r="C101" s="96"/>
      <c r="D101" s="96"/>
      <c r="E101" s="96"/>
      <c r="F101" s="96"/>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x14ac:dyDescent="0.25">
      <c r="A102" s="4" t="str">
        <f ca="1">IFERROR(__xludf.DUMMYFUNCTION("""COMPUTED_VALUE"""),"Yes")</f>
        <v>Yes</v>
      </c>
      <c r="B102" s="4" t="str">
        <f ca="1">IFERROR(__xludf.DUMMYFUNCTION("""COMPUTED_VALUE"""),"No")</f>
        <v>No</v>
      </c>
      <c r="C102" s="96"/>
      <c r="D102" s="96"/>
      <c r="E102" s="96"/>
      <c r="F102" s="96"/>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x14ac:dyDescent="0.25">
      <c r="A103" s="4" t="str">
        <f ca="1">IFERROR(__xludf.DUMMYFUNCTION("""COMPUTED_VALUE"""),"Yes")</f>
        <v>Yes</v>
      </c>
      <c r="B103" s="4" t="str">
        <f ca="1">IFERROR(__xludf.DUMMYFUNCTION("""COMPUTED_VALUE"""),"No")</f>
        <v>No</v>
      </c>
      <c r="C103" s="96"/>
      <c r="D103" s="96"/>
      <c r="E103" s="96"/>
      <c r="F103" s="96"/>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x14ac:dyDescent="0.25">
      <c r="A104" s="4" t="str">
        <f ca="1">IFERROR(__xludf.DUMMYFUNCTION("""COMPUTED_VALUE"""),"Yes")</f>
        <v>Yes</v>
      </c>
      <c r="B104" s="4" t="str">
        <f ca="1">IFERROR(__xludf.DUMMYFUNCTION("""COMPUTED_VALUE"""),"No")</f>
        <v>No</v>
      </c>
      <c r="C104" s="96"/>
      <c r="D104" s="96"/>
      <c r="E104" s="97" t="str">
        <f ca="1">IFERROR(__xludf.DUMMYFUNCTION("""COMPUTED_VALUE"""),"Dietary assessment method")</f>
        <v>Dietary assessment method</v>
      </c>
      <c r="F104" s="97"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x14ac:dyDescent="0.25">
      <c r="A105" s="4" t="str">
        <f ca="1">IFERROR(__xludf.DUMMYFUNCTION("""COMPUTED_VALUE"""),"Yes")</f>
        <v>Yes</v>
      </c>
      <c r="B105" s="4" t="str">
        <f ca="1">IFERROR(__xludf.DUMMYFUNCTION("""COMPUTED_VALUE"""),"No")</f>
        <v>No</v>
      </c>
      <c r="C105" s="96"/>
      <c r="D105" s="96"/>
      <c r="E105" s="96"/>
      <c r="F105" s="96"/>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x14ac:dyDescent="0.25">
      <c r="A106" s="4" t="str">
        <f ca="1">IFERROR(__xludf.DUMMYFUNCTION("""COMPUTED_VALUE"""),"Yes")</f>
        <v>Yes</v>
      </c>
      <c r="B106" s="4" t="str">
        <f ca="1">IFERROR(__xludf.DUMMYFUNCTION("""COMPUTED_VALUE"""),"No")</f>
        <v>No</v>
      </c>
      <c r="C106" s="96"/>
      <c r="D106" s="96"/>
      <c r="E106" s="96"/>
      <c r="F106" s="96"/>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x14ac:dyDescent="0.25">
      <c r="A107" s="4" t="str">
        <f ca="1">IFERROR(__xludf.DUMMYFUNCTION("""COMPUTED_VALUE"""),"Yes")</f>
        <v>Yes</v>
      </c>
      <c r="B107" s="4" t="str">
        <f ca="1">IFERROR(__xludf.DUMMYFUNCTION("""COMPUTED_VALUE"""),"No")</f>
        <v>No</v>
      </c>
      <c r="C107" s="96"/>
      <c r="D107" s="96"/>
      <c r="E107" s="96"/>
      <c r="F107" s="96"/>
      <c r="G107" s="5" t="str">
        <f ca="1">IFERROR(__xludf.DUMMYFUNCTION("""COMPUTED_VALUE"""),"Number of food items")</f>
        <v>Number of food items</v>
      </c>
      <c r="H107" s="5" t="str">
        <f ca="1">IFERROR(__xludf.DUMMYFUNCTION("""COMPUTED_VALUE"""),"1:N")</f>
        <v>1:N</v>
      </c>
      <c r="I107" s="5"/>
      <c r="J107" s="13"/>
      <c r="K107" s="4"/>
      <c r="L107" s="99" t="str">
        <f ca="1">E110</f>
        <v>Laboratory</v>
      </c>
      <c r="M107" s="96"/>
      <c r="N107" s="96"/>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x14ac:dyDescent="0.25">
      <c r="A108" s="4" t="str">
        <f ca="1">IFERROR(__xludf.DUMMYFUNCTION("""COMPUTED_VALUE"""),"Yes")</f>
        <v>Yes</v>
      </c>
      <c r="B108" s="4" t="str">
        <f ca="1">IFERROR(__xludf.DUMMYFUNCTION("""COMPUTED_VALUE"""),"No")</f>
        <v>No</v>
      </c>
      <c r="C108" s="96"/>
      <c r="D108" s="96"/>
      <c r="E108" s="96"/>
      <c r="F108" s="96"/>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x14ac:dyDescent="0.25">
      <c r="A109" s="4" t="str">
        <f ca="1">IFERROR(__xludf.DUMMYFUNCTION("""COMPUTED_VALUE"""),"Yes")</f>
        <v>Yes</v>
      </c>
      <c r="B109" s="4" t="str">
        <f ca="1">IFERROR(__xludf.DUMMYFUNCTION("""COMPUTED_VALUE"""),"No")</f>
        <v>No</v>
      </c>
      <c r="C109" s="96"/>
      <c r="D109" s="96"/>
      <c r="E109" s="96"/>
      <c r="F109" s="96"/>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x14ac:dyDescent="0.25">
      <c r="A110" s="4" t="str">
        <f ca="1">IFERROR(__xludf.DUMMYFUNCTION("""COMPUTED_VALUE"""),"Yes")</f>
        <v>Yes</v>
      </c>
      <c r="B110" s="4" t="str">
        <f ca="1">IFERROR(__xludf.DUMMYFUNCTION("""COMPUTED_VALUE"""),"No")</f>
        <v>No</v>
      </c>
      <c r="C110" s="96"/>
      <c r="D110" s="96"/>
      <c r="E110" s="97" t="str">
        <f ca="1">IFERROR(__xludf.DUMMYFUNCTION("""COMPUTED_VALUE"""),"Laboratory")</f>
        <v>Laboratory</v>
      </c>
      <c r="F110" s="97"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x14ac:dyDescent="0.25">
      <c r="A111" s="4" t="str">
        <f ca="1">IFERROR(__xludf.DUMMYFUNCTION("""COMPUTED_VALUE"""),"Yes")</f>
        <v>Yes</v>
      </c>
      <c r="B111" s="4" t="str">
        <f ca="1">IFERROR(__xludf.DUMMYFUNCTION("""COMPUTED_VALUE"""),"No")</f>
        <v>No</v>
      </c>
      <c r="C111" s="96"/>
      <c r="D111" s="96"/>
      <c r="E111" s="96"/>
      <c r="F111" s="96"/>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x14ac:dyDescent="0.25">
      <c r="A112" s="4" t="str">
        <f ca="1">IFERROR(__xludf.DUMMYFUNCTION("""COMPUTED_VALUE"""),"Yes")</f>
        <v>Yes</v>
      </c>
      <c r="B112" s="4" t="str">
        <f ca="1">IFERROR(__xludf.DUMMYFUNCTION("""COMPUTED_VALUE"""),"No")</f>
        <v>No</v>
      </c>
      <c r="C112" s="96"/>
      <c r="D112" s="96"/>
      <c r="E112" s="96"/>
      <c r="F112" s="96"/>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x14ac:dyDescent="0.25">
      <c r="A113" s="4" t="str">
        <f ca="1">IFERROR(__xludf.DUMMYFUNCTION("""COMPUTED_VALUE"""),"Yes")</f>
        <v>Yes</v>
      </c>
      <c r="B113" s="4" t="str">
        <f ca="1">IFERROR(__xludf.DUMMYFUNCTION("""COMPUTED_VALUE"""),"No")</f>
        <v>No</v>
      </c>
      <c r="C113" s="96"/>
      <c r="D113" s="96"/>
      <c r="E113" s="97" t="str">
        <f ca="1">IFERROR(__xludf.DUMMYFUNCTION("""COMPUTED_VALUE"""),"Assay")</f>
        <v>Assay</v>
      </c>
      <c r="F113" s="97" t="str">
        <f ca="1">IFERROR(__xludf.DUMMYFUNCTION("""COMPUTED_VALUE"""),"0:N")</f>
        <v>0:N</v>
      </c>
      <c r="G113" s="5" t="str">
        <f ca="1">IFERROR(__xludf.DUMMYFUNCTION("""COMPUTED_VALUE"""),"Assay Name")</f>
        <v>Assay Name</v>
      </c>
      <c r="H113" s="5" t="str">
        <f ca="1">IFERROR(__xludf.DUMMYFUNCTION("""COMPUTED_VALUE"""),"1")</f>
        <v>1</v>
      </c>
      <c r="I113" s="5"/>
      <c r="J113" s="13"/>
      <c r="K113" s="4"/>
      <c r="L113" s="99" t="str">
        <f ca="1">E113</f>
        <v>Assay</v>
      </c>
      <c r="M113" s="96"/>
      <c r="N113" s="96"/>
      <c r="O113" s="96"/>
      <c r="P113" s="96"/>
      <c r="Q113" s="96"/>
      <c r="R113" s="96"/>
      <c r="S113" s="96"/>
      <c r="T113" s="96"/>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x14ac:dyDescent="0.25">
      <c r="A114" s="4" t="str">
        <f ca="1">IFERROR(__xludf.DUMMYFUNCTION("""COMPUTED_VALUE"""),"Yes")</f>
        <v>Yes</v>
      </c>
      <c r="B114" s="4" t="str">
        <f ca="1">IFERROR(__xludf.DUMMYFUNCTION("""COMPUTED_VALUE"""),"No")</f>
        <v>No</v>
      </c>
      <c r="C114" s="96"/>
      <c r="D114" s="96"/>
      <c r="E114" s="96"/>
      <c r="F114" s="96"/>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x14ac:dyDescent="0.25">
      <c r="A115" s="4" t="str">
        <f ca="1">IFERROR(__xludf.DUMMYFUNCTION("""COMPUTED_VALUE"""),"Yes")</f>
        <v>Yes</v>
      </c>
      <c r="B115" s="4" t="str">
        <f ca="1">IFERROR(__xludf.DUMMYFUNCTION("""COMPUTED_VALUE"""),"No")</f>
        <v>No</v>
      </c>
      <c r="C115" s="96"/>
      <c r="D115" s="96"/>
      <c r="E115" s="96"/>
      <c r="F115" s="96"/>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x14ac:dyDescent="0.25">
      <c r="A116" s="4" t="str">
        <f ca="1">IFERROR(__xludf.DUMMYFUNCTION("""COMPUTED_VALUE"""),"Yes")</f>
        <v>Yes</v>
      </c>
      <c r="B116" s="4" t="str">
        <f ca="1">IFERROR(__xludf.DUMMYFUNCTION("""COMPUTED_VALUE"""),"No")</f>
        <v>No</v>
      </c>
      <c r="C116" s="96"/>
      <c r="D116" s="96"/>
      <c r="E116" s="96"/>
      <c r="F116" s="96"/>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x14ac:dyDescent="0.25">
      <c r="A117" s="4" t="str">
        <f ca="1">IFERROR(__xludf.DUMMYFUNCTION("""COMPUTED_VALUE"""),"Yes")</f>
        <v>Yes</v>
      </c>
      <c r="B117" s="4" t="str">
        <f ca="1">IFERROR(__xludf.DUMMYFUNCTION("""COMPUTED_VALUE"""),"No")</f>
        <v>No</v>
      </c>
      <c r="C117" s="96"/>
      <c r="D117" s="96"/>
      <c r="E117" s="96"/>
      <c r="F117" s="96"/>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x14ac:dyDescent="0.25">
      <c r="A118" s="4" t="str">
        <f ca="1">IFERROR(__xludf.DUMMYFUNCTION("""COMPUTED_VALUE"""),"Yes")</f>
        <v>Yes</v>
      </c>
      <c r="B118" s="4" t="str">
        <f ca="1">IFERROR(__xludf.DUMMYFUNCTION("""COMPUTED_VALUE"""),"No")</f>
        <v>No</v>
      </c>
      <c r="C118" s="96"/>
      <c r="D118" s="96"/>
      <c r="E118" s="96"/>
      <c r="F118" s="96"/>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x14ac:dyDescent="0.25">
      <c r="A119" s="4" t="str">
        <f ca="1">IFERROR(__xludf.DUMMYFUNCTION("""COMPUTED_VALUE"""),"Yes")</f>
        <v>Yes</v>
      </c>
      <c r="B119" s="4" t="str">
        <f ca="1">IFERROR(__xludf.DUMMYFUNCTION("""COMPUTED_VALUE"""),"No")</f>
        <v>No</v>
      </c>
      <c r="C119" s="96"/>
      <c r="D119" s="96"/>
      <c r="E119" s="96"/>
      <c r="F119" s="96"/>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x14ac:dyDescent="0.25">
      <c r="A120" s="4" t="str">
        <f ca="1">IFERROR(__xludf.DUMMYFUNCTION("""COMPUTED_VALUE"""),"Yes")</f>
        <v>Yes</v>
      </c>
      <c r="B120" s="4" t="str">
        <f ca="1">IFERROR(__xludf.DUMMYFUNCTION("""COMPUTED_VALUE"""),"No")</f>
        <v>No</v>
      </c>
      <c r="C120" s="96"/>
      <c r="D120" s="96"/>
      <c r="E120" s="96"/>
      <c r="F120" s="96"/>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x14ac:dyDescent="0.25">
      <c r="A121" s="4" t="str">
        <f ca="1">IFERROR(__xludf.DUMMYFUNCTION("""COMPUTED_VALUE"""),"Yes")</f>
        <v>Yes</v>
      </c>
      <c r="B121" s="4" t="str">
        <f ca="1">IFERROR(__xludf.DUMMYFUNCTION("""COMPUTED_VALUE"""),"No")</f>
        <v>No</v>
      </c>
      <c r="C121" s="96"/>
      <c r="D121" s="96"/>
      <c r="E121" s="96"/>
      <c r="F121" s="96"/>
      <c r="G121" s="5" t="str">
        <f ca="1">IFERROR(__xludf.DUMMYFUNCTION("""COMPUTED_VALUE"""),"Uncertainty value")</f>
        <v>Uncertainty value</v>
      </c>
      <c r="H121" s="5" t="str">
        <f ca="1">IFERROR(__xludf.DUMMYFUNCTION("""COMPUTED_VALUE"""),"0:1")</f>
        <v>0:1</v>
      </c>
      <c r="I121" s="5"/>
      <c r="J121" s="13"/>
      <c r="K121" s="4"/>
      <c r="L121" s="23"/>
      <c r="M121" s="98" t="str">
        <f ca="1">E140</f>
        <v>Quality measures</v>
      </c>
      <c r="N121" s="96"/>
      <c r="O121" s="23"/>
      <c r="P121" s="98" t="str">
        <f ca="1">E142</f>
        <v>Model equation</v>
      </c>
      <c r="Q121" s="96"/>
      <c r="R121" s="96"/>
      <c r="S121" s="96"/>
      <c r="T121" s="96"/>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x14ac:dyDescent="0.25">
      <c r="A122" s="4" t="str">
        <f ca="1">IFERROR(__xludf.DUMMYFUNCTION("""COMPUTED_VALUE"""),"Yes")</f>
        <v>Yes</v>
      </c>
      <c r="B122" s="4" t="str">
        <f ca="1">IFERROR(__xludf.DUMMYFUNCTION("""COMPUTED_VALUE"""),"Yes")</f>
        <v>Yes</v>
      </c>
      <c r="C122" s="95" t="str">
        <f ca="1">IFERROR(__xludf.DUMMYFUNCTION("""COMPUTED_VALUE"""),"Model math / Data definition")</f>
        <v>Model math / Data definition</v>
      </c>
      <c r="D122" s="95" t="str">
        <f ca="1">IFERROR(__xludf.DUMMYFUNCTION("""COMPUTED_VALUE"""),"1")</f>
        <v>1</v>
      </c>
      <c r="E122" s="97" t="str">
        <f ca="1">IFERROR(__xludf.DUMMYFUNCTION("""COMPUTED_VALUE"""),"Parameter / Factor / Input / Output / ""Data column""")</f>
        <v>Parameter / Factor / Input / Output / "Data column"</v>
      </c>
      <c r="F122" s="97"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x14ac:dyDescent="0.25">
      <c r="A123" s="4" t="str">
        <f ca="1">IFERROR(__xludf.DUMMYFUNCTION("""COMPUTED_VALUE"""),"Yes")</f>
        <v>Yes</v>
      </c>
      <c r="B123" s="4" t="str">
        <f ca="1">IFERROR(__xludf.DUMMYFUNCTION("""COMPUTED_VALUE"""),"Yes")</f>
        <v>Yes</v>
      </c>
      <c r="C123" s="96"/>
      <c r="D123" s="96"/>
      <c r="E123" s="96"/>
      <c r="F123" s="96"/>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x14ac:dyDescent="0.25">
      <c r="A124" s="4" t="str">
        <f ca="1">IFERROR(__xludf.DUMMYFUNCTION("""COMPUTED_VALUE"""),"Yes")</f>
        <v>Yes</v>
      </c>
      <c r="B124" s="4" t="str">
        <f ca="1">IFERROR(__xludf.DUMMYFUNCTION("""COMPUTED_VALUE"""),"Yes")</f>
        <v>Yes</v>
      </c>
      <c r="C124" s="96"/>
      <c r="D124" s="96"/>
      <c r="E124" s="96"/>
      <c r="F124" s="96"/>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x14ac:dyDescent="0.25">
      <c r="A125" s="4" t="str">
        <f ca="1">IFERROR(__xludf.DUMMYFUNCTION("""COMPUTED_VALUE"""),"Yes")</f>
        <v>Yes</v>
      </c>
      <c r="B125" s="4" t="str">
        <f ca="1">IFERROR(__xludf.DUMMYFUNCTION("""COMPUTED_VALUE"""),"No")</f>
        <v>No</v>
      </c>
      <c r="C125" s="96"/>
      <c r="D125" s="96"/>
      <c r="E125" s="96"/>
      <c r="F125" s="96"/>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x14ac:dyDescent="0.25">
      <c r="A126" s="4" t="str">
        <f ca="1">IFERROR(__xludf.DUMMYFUNCTION("""COMPUTED_VALUE"""),"Yes")</f>
        <v>Yes</v>
      </c>
      <c r="B126" s="4" t="str">
        <f ca="1">IFERROR(__xludf.DUMMYFUNCTION("""COMPUTED_VALUE"""),"Yes")</f>
        <v>Yes</v>
      </c>
      <c r="C126" s="96"/>
      <c r="D126" s="96"/>
      <c r="E126" s="96"/>
      <c r="F126" s="96"/>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x14ac:dyDescent="0.25">
      <c r="A127" s="4" t="str">
        <f ca="1">IFERROR(__xludf.DUMMYFUNCTION("""COMPUTED_VALUE"""),"Yes")</f>
        <v>Yes</v>
      </c>
      <c r="B127" s="4" t="str">
        <f ca="1">IFERROR(__xludf.DUMMYFUNCTION("""COMPUTED_VALUE"""),"No")</f>
        <v>No</v>
      </c>
      <c r="C127" s="96"/>
      <c r="D127" s="96"/>
      <c r="E127" s="96"/>
      <c r="F127" s="96"/>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x14ac:dyDescent="0.25">
      <c r="A128" s="4" t="str">
        <f ca="1">IFERROR(__xludf.DUMMYFUNCTION("""COMPUTED_VALUE"""),"Yes")</f>
        <v>Yes</v>
      </c>
      <c r="B128" s="4" t="str">
        <f ca="1">IFERROR(__xludf.DUMMYFUNCTION("""COMPUTED_VALUE"""),"Yes")</f>
        <v>Yes</v>
      </c>
      <c r="C128" s="96"/>
      <c r="D128" s="96"/>
      <c r="E128" s="96"/>
      <c r="F128" s="96"/>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x14ac:dyDescent="0.25">
      <c r="A129" s="4" t="str">
        <f ca="1">IFERROR(__xludf.DUMMYFUNCTION("""COMPUTED_VALUE"""),"Yes")</f>
        <v>Yes</v>
      </c>
      <c r="B129" s="4" t="str">
        <f ca="1">IFERROR(__xludf.DUMMYFUNCTION("""COMPUTED_VALUE"""),"No")</f>
        <v>No</v>
      </c>
      <c r="C129" s="96"/>
      <c r="D129" s="96"/>
      <c r="E129" s="96"/>
      <c r="F129" s="96"/>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x14ac:dyDescent="0.25">
      <c r="A130" s="4" t="str">
        <f ca="1">IFERROR(__xludf.DUMMYFUNCTION("""COMPUTED_VALUE"""),"Yes")</f>
        <v>Yes</v>
      </c>
      <c r="B130" s="4" t="str">
        <f ca="1">IFERROR(__xludf.DUMMYFUNCTION("""COMPUTED_VALUE"""),"Yes")</f>
        <v>Yes</v>
      </c>
      <c r="C130" s="96"/>
      <c r="D130" s="96"/>
      <c r="E130" s="96"/>
      <c r="F130" s="96"/>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x14ac:dyDescent="0.25">
      <c r="A131" s="4" t="str">
        <f ca="1">IFERROR(__xludf.DUMMYFUNCTION("""COMPUTED_VALUE"""),"Yes")</f>
        <v>Yes</v>
      </c>
      <c r="B131" s="4" t="str">
        <f ca="1">IFERROR(__xludf.DUMMYFUNCTION("""COMPUTED_VALUE"""),"Yes")</f>
        <v>Yes</v>
      </c>
      <c r="C131" s="96"/>
      <c r="D131" s="96"/>
      <c r="E131" s="96"/>
      <c r="F131" s="96"/>
      <c r="G131" s="5" t="str">
        <f ca="1">IFERROR(__xludf.DUMMYFUNCTION("""COMPUTED_VALUE"""),"Parameter distribution")</f>
        <v>Parameter distribution</v>
      </c>
      <c r="H131" s="5" t="str">
        <f ca="1">IFERROR(__xludf.DUMMYFUNCTION("""COMPUTED_VALUE"""),"0:1")</f>
        <v>0:1</v>
      </c>
      <c r="I131" s="5"/>
      <c r="J131" s="13"/>
      <c r="K131" s="35" t="s">
        <v>23</v>
      </c>
      <c r="L131" s="98" t="str">
        <f ca="1">E122</f>
        <v>Parameter / Factor / Input / Output / "Data column"</v>
      </c>
      <c r="M131" s="96"/>
      <c r="N131" s="96"/>
      <c r="O131" s="96"/>
      <c r="P131" s="96"/>
      <c r="Q131" s="96"/>
      <c r="R131" s="96"/>
      <c r="S131" s="96"/>
      <c r="T131" s="96"/>
      <c r="U131" s="96"/>
      <c r="V131" s="96"/>
      <c r="W131" s="96"/>
      <c r="X131" s="96"/>
      <c r="Y131" s="96"/>
      <c r="Z131" s="96"/>
      <c r="AA131" s="96"/>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x14ac:dyDescent="0.25">
      <c r="A132" s="4" t="str">
        <f ca="1">IFERROR(__xludf.DUMMYFUNCTION("""COMPUTED_VALUE"""),"Yes")</f>
        <v>Yes</v>
      </c>
      <c r="B132" s="4" t="str">
        <f ca="1">IFERROR(__xludf.DUMMYFUNCTION("""COMPUTED_VALUE"""),"Yes")</f>
        <v>Yes</v>
      </c>
      <c r="C132" s="96"/>
      <c r="D132" s="96"/>
      <c r="E132" s="96"/>
      <c r="F132" s="96"/>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x14ac:dyDescent="0.25">
      <c r="A133" s="4" t="str">
        <f ca="1">IFERROR(__xludf.DUMMYFUNCTION("""COMPUTED_VALUE"""),"Yes")</f>
        <v>Yes</v>
      </c>
      <c r="B133" s="4" t="str">
        <f ca="1">IFERROR(__xludf.DUMMYFUNCTION("""COMPUTED_VALUE"""),"Yes")</f>
        <v>Yes</v>
      </c>
      <c r="C133" s="96"/>
      <c r="D133" s="96"/>
      <c r="E133" s="96"/>
      <c r="F133" s="96"/>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x14ac:dyDescent="0.25">
      <c r="A134" s="4" t="str">
        <f ca="1">IFERROR(__xludf.DUMMYFUNCTION("""COMPUTED_VALUE"""),"Yes")</f>
        <v>Yes</v>
      </c>
      <c r="B134" s="4" t="str">
        <f ca="1">IFERROR(__xludf.DUMMYFUNCTION("""COMPUTED_VALUE"""),"No")</f>
        <v>No</v>
      </c>
      <c r="C134" s="96"/>
      <c r="D134" s="96"/>
      <c r="E134" s="96"/>
      <c r="F134" s="96"/>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unit'!AI3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x14ac:dyDescent="0.25">
      <c r="A135" s="4" t="str">
        <f ca="1">IFERROR(__xludf.DUMMYFUNCTION("""COMPUTED_VALUE"""),"Yes")</f>
        <v>Yes</v>
      </c>
      <c r="B135" s="4" t="str">
        <f ca="1">IFERROR(__xludf.DUMMYFUNCTION("""COMPUTED_VALUE"""),"No")</f>
        <v>No</v>
      </c>
      <c r="C135" s="96"/>
      <c r="D135" s="96"/>
      <c r="E135" s="96"/>
      <c r="F135" s="96"/>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unit'!AI4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x14ac:dyDescent="0.25">
      <c r="A136" s="4" t="str">
        <f ca="1">IFERROR(__xludf.DUMMYFUNCTION("""COMPUTED_VALUE"""),"Yes")</f>
        <v>Yes</v>
      </c>
      <c r="B136" s="4" t="str">
        <f ca="1">IFERROR(__xludf.DUMMYFUNCTION("""COMPUTED_VALUE"""),"No")</f>
        <v>No</v>
      </c>
      <c r="C136" s="96"/>
      <c r="D136" s="96"/>
      <c r="E136" s="96"/>
      <c r="F136" s="96"/>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unit'!AI5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x14ac:dyDescent="0.25">
      <c r="A137" s="4" t="str">
        <f ca="1">IFERROR(__xludf.DUMMYFUNCTION("""COMPUTED_VALUE"""),"Yes")</f>
        <v>Yes</v>
      </c>
      <c r="B137" s="4" t="str">
        <f ca="1">IFERROR(__xludf.DUMMYFUNCTION("""COMPUTED_VALUE"""),"No")</f>
        <v>No</v>
      </c>
      <c r="C137" s="96"/>
      <c r="D137" s="96"/>
      <c r="E137" s="96"/>
      <c r="F137" s="96"/>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unit'!AI6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x14ac:dyDescent="0.25">
      <c r="A138" s="4" t="str">
        <f ca="1">IFERROR(__xludf.DUMMYFUNCTION("""COMPUTED_VALUE"""),"Yes")</f>
        <v>Yes</v>
      </c>
      <c r="B138" s="4" t="str">
        <f ca="1">IFERROR(__xludf.DUMMYFUNCTION("""COMPUTED_VALUE"""),"No")</f>
        <v>No</v>
      </c>
      <c r="C138" s="96"/>
      <c r="D138" s="96"/>
      <c r="E138" s="96"/>
      <c r="F138" s="96"/>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unit'!AI7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x14ac:dyDescent="0.25">
      <c r="A139" s="4" t="str">
        <f ca="1">IFERROR(__xludf.DUMMYFUNCTION("""COMPUTED_VALUE"""),"Yes")</f>
        <v>Yes</v>
      </c>
      <c r="B139" s="4" t="str">
        <f ca="1">IFERROR(__xludf.DUMMYFUNCTION("""COMPUTED_VALUE"""),"No")</f>
        <v>No</v>
      </c>
      <c r="C139" s="96"/>
      <c r="D139" s="96"/>
      <c r="E139" s="96"/>
      <c r="F139" s="96"/>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unit'!AI8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x14ac:dyDescent="0.25">
      <c r="A140" s="4" t="str">
        <f ca="1">IFERROR(__xludf.DUMMYFUNCTION("""COMPUTED_VALUE"""),"Yes")</f>
        <v>Yes</v>
      </c>
      <c r="B140" s="4" t="str">
        <f ca="1">IFERROR(__xludf.DUMMYFUNCTION("""COMPUTED_VALUE"""),"No")</f>
        <v>No</v>
      </c>
      <c r="C140" s="96"/>
      <c r="D140" s="96"/>
      <c r="E140" s="97" t="str">
        <f ca="1">IFERROR(__xludf.DUMMYFUNCTION("""COMPUTED_VALUE"""),"Quality measures")</f>
        <v>Quality measures</v>
      </c>
      <c r="F140" s="97"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unit'!AI9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x14ac:dyDescent="0.25">
      <c r="A141" s="4" t="str">
        <f ca="1">IFERROR(__xludf.DUMMYFUNCTION("""COMPUTED_VALUE"""),"Yes")</f>
        <v>Yes</v>
      </c>
      <c r="B141" s="4" t="str">
        <f ca="1">IFERROR(__xludf.DUMMYFUNCTION("""COMPUTED_VALUE"""),"No")</f>
        <v>No</v>
      </c>
      <c r="C141" s="96"/>
      <c r="D141" s="96"/>
      <c r="E141" s="96"/>
      <c r="F141" s="96"/>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unit'!AI10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x14ac:dyDescent="0.25">
      <c r="A142" s="4" t="str">
        <f ca="1">IFERROR(__xludf.DUMMYFUNCTION("""COMPUTED_VALUE"""),"Yes")</f>
        <v>Yes</v>
      </c>
      <c r="B142" s="4" t="str">
        <f ca="1">IFERROR(__xludf.DUMMYFUNCTION("""COMPUTED_VALUE"""),"No")</f>
        <v>No</v>
      </c>
      <c r="C142" s="96"/>
      <c r="D142" s="96"/>
      <c r="E142" s="97" t="str">
        <f ca="1">IFERROR(__xludf.DUMMYFUNCTION("""COMPUTED_VALUE"""),"Model equation")</f>
        <v>Model equation</v>
      </c>
      <c r="F142" s="97"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unit'!AI11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x14ac:dyDescent="0.25">
      <c r="A143" s="4" t="str">
        <f ca="1">IFERROR(__xludf.DUMMYFUNCTION("""COMPUTED_VALUE"""),"Yes")</f>
        <v>Yes</v>
      </c>
      <c r="B143" s="4" t="str">
        <f ca="1">IFERROR(__xludf.DUMMYFUNCTION("""COMPUTED_VALUE"""),"No")</f>
        <v>No</v>
      </c>
      <c r="C143" s="96"/>
      <c r="D143" s="96"/>
      <c r="E143" s="96"/>
      <c r="F143" s="96"/>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unit'!AI12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x14ac:dyDescent="0.25">
      <c r="A144" s="4" t="str">
        <f ca="1">IFERROR(__xludf.DUMMYFUNCTION("""COMPUTED_VALUE"""),"Yes")</f>
        <v>Yes</v>
      </c>
      <c r="B144" s="4" t="str">
        <f ca="1">IFERROR(__xludf.DUMMYFUNCTION("""COMPUTED_VALUE"""),"No")</f>
        <v>No</v>
      </c>
      <c r="C144" s="96"/>
      <c r="D144" s="96"/>
      <c r="E144" s="96"/>
      <c r="F144" s="96"/>
      <c r="G144" s="5"/>
      <c r="H144" s="5"/>
      <c r="I144" s="5"/>
      <c r="J144" s="13"/>
      <c r="K144" s="4"/>
      <c r="L144" s="39"/>
      <c r="M144" s="37"/>
      <c r="N144" s="37"/>
      <c r="O144" s="37"/>
      <c r="P144" s="36" t="s">
        <v>25</v>
      </c>
      <c r="Q144" s="13">
        <f>'Parameter unit'!AI13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x14ac:dyDescent="0.25">
      <c r="A145" s="4" t="str">
        <f ca="1">IFERROR(__xludf.DUMMYFUNCTION("""COMPUTED_VALUE"""),"Yes")</f>
        <v>Yes</v>
      </c>
      <c r="B145" s="4" t="str">
        <f ca="1">IFERROR(__xludf.DUMMYFUNCTION("""COMPUTED_VALUE"""),"No")</f>
        <v>No</v>
      </c>
      <c r="C145" s="96"/>
      <c r="D145" s="96"/>
      <c r="E145" s="96"/>
      <c r="F145" s="96"/>
      <c r="G145" s="5"/>
      <c r="H145" s="5"/>
      <c r="I145" s="5"/>
      <c r="J145" s="13"/>
      <c r="K145" s="4"/>
      <c r="L145" s="39"/>
      <c r="M145" s="37"/>
      <c r="N145" s="37"/>
      <c r="O145" s="37"/>
      <c r="P145" s="36" t="s">
        <v>25</v>
      </c>
      <c r="Q145" s="13">
        <f>'Parameter unit'!AI14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x14ac:dyDescent="0.25">
      <c r="A146" s="4" t="str">
        <f ca="1">IFERROR(__xludf.DUMMYFUNCTION("""COMPUTED_VALUE"""),"Yes")</f>
        <v>Yes</v>
      </c>
      <c r="B146" s="4" t="str">
        <f ca="1">IFERROR(__xludf.DUMMYFUNCTION("""COMPUTED_VALUE"""),"No")</f>
        <v>No</v>
      </c>
      <c r="C146" s="96"/>
      <c r="D146" s="96"/>
      <c r="E146" s="96"/>
      <c r="F146" s="96"/>
      <c r="G146" s="5"/>
      <c r="H146" s="5"/>
      <c r="I146" s="5"/>
      <c r="J146" s="13"/>
      <c r="K146" s="4"/>
      <c r="L146" s="39"/>
      <c r="M146" s="37"/>
      <c r="N146" s="37"/>
      <c r="O146" s="37"/>
      <c r="P146" s="36" t="s">
        <v>25</v>
      </c>
      <c r="Q146" s="13">
        <f>'Parameter unit'!AI15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x14ac:dyDescent="0.25">
      <c r="A147" s="4" t="str">
        <f ca="1">IFERROR(__xludf.DUMMYFUNCTION("""COMPUTED_VALUE"""),"Yes")</f>
        <v>Yes</v>
      </c>
      <c r="B147" s="4" t="str">
        <f ca="1">IFERROR(__xludf.DUMMYFUNCTION("""COMPUTED_VALUE"""),"No")</f>
        <v>No</v>
      </c>
      <c r="C147" s="96"/>
      <c r="D147" s="96"/>
      <c r="E147" s="96"/>
      <c r="F147" s="96"/>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unit'!AI16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x14ac:dyDescent="0.25">
      <c r="A148" s="4" t="str">
        <f ca="1">IFERROR(__xludf.DUMMYFUNCTION("""COMPUTED_VALUE"""),"Yes")</f>
        <v>Yes</v>
      </c>
      <c r="B148" s="4" t="str">
        <f ca="1">IFERROR(__xludf.DUMMYFUNCTION("""COMPUTED_VALUE"""),"No")</f>
        <v>No</v>
      </c>
      <c r="C148" s="96"/>
      <c r="D148" s="96"/>
      <c r="E148" s="96"/>
      <c r="F148" s="96"/>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unit'!AI17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x14ac:dyDescent="0.25">
      <c r="A149" s="4" t="str">
        <f ca="1">IFERROR(__xludf.DUMMYFUNCTION("""COMPUTED_VALUE"""),"Yes")</f>
        <v>Yes</v>
      </c>
      <c r="B149" s="4" t="str">
        <f ca="1">IFERROR(__xludf.DUMMYFUNCTION("""COMPUTED_VALUE"""),"No")</f>
        <v>No</v>
      </c>
      <c r="C149" s="96"/>
      <c r="D149" s="96"/>
      <c r="E149" s="96"/>
      <c r="F149" s="96"/>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unit'!AI18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x14ac:dyDescent="0.25">
      <c r="A150" s="4" t="str">
        <f ca="1">IFERROR(__xludf.DUMMYFUNCTION("""COMPUTED_VALUE"""),"Yes")</f>
        <v>Yes</v>
      </c>
      <c r="B150" s="4" t="str">
        <f ca="1">IFERROR(__xludf.DUMMYFUNCTION("""COMPUTED_VALUE"""),"No")</f>
        <v>No</v>
      </c>
      <c r="C150" s="96"/>
      <c r="D150" s="96"/>
      <c r="E150" s="5" t="str">
        <f ca="1">IFERROR(__xludf.DUMMYFUNCTION("""COMPUTED_VALUE"""),"Fitting procedure")</f>
        <v>Fitting procedure</v>
      </c>
      <c r="F150" s="97" t="str">
        <f ca="1">IFERROR(__xludf.DUMMYFUNCTION("""COMPUTED_VALUE"""),"0:1")</f>
        <v>0:1</v>
      </c>
      <c r="G150" s="96"/>
      <c r="H150" s="96"/>
      <c r="I150" s="5"/>
      <c r="J150" s="10"/>
      <c r="K150" s="4"/>
      <c r="L150" s="39"/>
      <c r="M150" s="37"/>
      <c r="N150" s="37"/>
      <c r="O150" s="37"/>
      <c r="P150" s="36" t="s">
        <v>25</v>
      </c>
      <c r="Q150" s="13">
        <f>'Parameter unit'!AI19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x14ac:dyDescent="0.25">
      <c r="A151" s="4" t="str">
        <f ca="1">IFERROR(__xludf.DUMMYFUNCTION("""COMPUTED_VALUE"""),"Yes")</f>
        <v>Yes</v>
      </c>
      <c r="B151" s="4" t="str">
        <f ca="1">IFERROR(__xludf.DUMMYFUNCTION("""COMPUTED_VALUE"""),"No")</f>
        <v>No</v>
      </c>
      <c r="C151" s="96"/>
      <c r="D151" s="96"/>
      <c r="E151" s="97" t="str">
        <f ca="1">IFERROR(__xludf.DUMMYFUNCTION("""COMPUTED_VALUE"""),"Exposure")</f>
        <v>Exposure</v>
      </c>
      <c r="F151" s="97"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unit'!AI20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x14ac:dyDescent="0.25">
      <c r="A152" s="4" t="str">
        <f ca="1">IFERROR(__xludf.DUMMYFUNCTION("""COMPUTED_VALUE"""),"Yes")</f>
        <v>Yes</v>
      </c>
      <c r="B152" s="4" t="str">
        <f ca="1">IFERROR(__xludf.DUMMYFUNCTION("""COMPUTED_VALUE"""),"No")</f>
        <v>No</v>
      </c>
      <c r="C152" s="96"/>
      <c r="D152" s="96"/>
      <c r="E152" s="96"/>
      <c r="F152" s="96"/>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unit'!AI21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x14ac:dyDescent="0.25">
      <c r="A153" s="4" t="str">
        <f ca="1">IFERROR(__xludf.DUMMYFUNCTION("""COMPUTED_VALUE"""),"Yes")</f>
        <v>Yes</v>
      </c>
      <c r="B153" s="4" t="str">
        <f ca="1">IFERROR(__xludf.DUMMYFUNCTION("""COMPUTED_VALUE"""),"No")</f>
        <v>No</v>
      </c>
      <c r="C153" s="96"/>
      <c r="D153" s="96"/>
      <c r="E153" s="96"/>
      <c r="F153" s="96"/>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unit'!AI22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x14ac:dyDescent="0.25">
      <c r="A154" s="4" t="str">
        <f ca="1">IFERROR(__xludf.DUMMYFUNCTION("""COMPUTED_VALUE"""),"Yes")</f>
        <v>Yes</v>
      </c>
      <c r="B154" s="4" t="str">
        <f ca="1">IFERROR(__xludf.DUMMYFUNCTION("""COMPUTED_VALUE"""),"No")</f>
        <v>No</v>
      </c>
      <c r="C154" s="96"/>
      <c r="D154" s="96"/>
      <c r="E154" s="96"/>
      <c r="F154" s="96"/>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x14ac:dyDescent="0.25">
      <c r="A155" s="4" t="str">
        <f ca="1">IFERROR(__xludf.DUMMYFUNCTION("""COMPUTED_VALUE"""),"Yes")</f>
        <v>Yes</v>
      </c>
      <c r="B155" s="4" t="str">
        <f ca="1">IFERROR(__xludf.DUMMYFUNCTION("""COMPUTED_VALUE"""),"No")</f>
        <v>No</v>
      </c>
      <c r="C155" s="96"/>
      <c r="D155" s="96"/>
      <c r="E155" s="96"/>
      <c r="F155" s="96"/>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x14ac:dyDescent="0.25">
      <c r="A156" s="4" t="str">
        <f ca="1">IFERROR(__xludf.DUMMYFUNCTION("""COMPUTED_VALUE"""),"Yes")</f>
        <v>Yes</v>
      </c>
      <c r="B156" s="4" t="str">
        <f ca="1">IFERROR(__xludf.DUMMYFUNCTION("""COMPUTED_VALUE"""),"No")</f>
        <v>No</v>
      </c>
      <c r="C156" s="96"/>
      <c r="D156" s="96"/>
      <c r="E156" s="5" t="str">
        <f ca="1">IFERROR(__xludf.DUMMYFUNCTION("""COMPUTED_VALUE"""),"Events")</f>
        <v>Events</v>
      </c>
      <c r="F156" s="97" t="str">
        <f ca="1">IFERROR(__xludf.DUMMYFUNCTION("""COMPUTED_VALUE"""),"0:N")</f>
        <v>0:N</v>
      </c>
      <c r="G156" s="96"/>
      <c r="H156" s="96"/>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L100:Q100"/>
    <mergeCell ref="L107:N107"/>
    <mergeCell ref="F142:F149"/>
    <mergeCell ref="F140:F141"/>
    <mergeCell ref="M121:N121"/>
    <mergeCell ref="P121:T121"/>
    <mergeCell ref="L131:AA131"/>
    <mergeCell ref="L94:U94"/>
    <mergeCell ref="L113:T113"/>
    <mergeCell ref="F110:F112"/>
    <mergeCell ref="D2:D35"/>
    <mergeCell ref="C2:C35"/>
    <mergeCell ref="L36:V36"/>
    <mergeCell ref="W36:AJ36"/>
    <mergeCell ref="AK36:AW36"/>
    <mergeCell ref="D36:D77"/>
    <mergeCell ref="C36:C77"/>
    <mergeCell ref="E47:E60"/>
    <mergeCell ref="F47:F60"/>
    <mergeCell ref="E61:E73"/>
    <mergeCell ref="F61:F73"/>
    <mergeCell ref="E13:E24"/>
    <mergeCell ref="E36:E46"/>
    <mergeCell ref="F36:F46"/>
    <mergeCell ref="F35:H35"/>
    <mergeCell ref="F27:H27"/>
    <mergeCell ref="AB1:AP1"/>
    <mergeCell ref="L1:Z1"/>
    <mergeCell ref="L12:W12"/>
    <mergeCell ref="F3:H3"/>
    <mergeCell ref="F4:H4"/>
    <mergeCell ref="F2:H2"/>
    <mergeCell ref="F10:H10"/>
    <mergeCell ref="F7:F8"/>
    <mergeCell ref="C122:C156"/>
    <mergeCell ref="E140:E141"/>
    <mergeCell ref="E151:E155"/>
    <mergeCell ref="E142:E149"/>
    <mergeCell ref="F78:F93"/>
    <mergeCell ref="F94:F103"/>
    <mergeCell ref="F156:H156"/>
    <mergeCell ref="F150:H150"/>
    <mergeCell ref="E122:E139"/>
    <mergeCell ref="F122:F139"/>
    <mergeCell ref="D122:D156"/>
    <mergeCell ref="F151:F155"/>
    <mergeCell ref="D78:D121"/>
    <mergeCell ref="C78:C121"/>
    <mergeCell ref="E113:E121"/>
    <mergeCell ref="E110:E112"/>
    <mergeCell ref="F13:F24"/>
    <mergeCell ref="F25:H25"/>
    <mergeCell ref="F11:H11"/>
    <mergeCell ref="F12:H12"/>
    <mergeCell ref="E76:E77"/>
    <mergeCell ref="F74:H74"/>
    <mergeCell ref="F76:F77"/>
    <mergeCell ref="E28:E32"/>
    <mergeCell ref="F28:F32"/>
    <mergeCell ref="F34:H34"/>
    <mergeCell ref="F33:H33"/>
    <mergeCell ref="E94:E103"/>
    <mergeCell ref="E104:E109"/>
    <mergeCell ref="F113:F121"/>
    <mergeCell ref="F104:F109"/>
    <mergeCell ref="E78:E93"/>
  </mergeCells>
  <conditionalFormatting sqref="V134:V153">
    <cfRule type="expression" dxfId="8" priority="1">
      <formula>IF(AND(M134="Input",R134="File"),V134="")</formula>
    </cfRule>
  </conditionalFormatting>
  <conditionalFormatting sqref="M124">
    <cfRule type="notContainsBlanks" dxfId="7"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46"/>
  <sheetViews>
    <sheetView workbookViewId="0"/>
  </sheetViews>
  <sheetFormatPr defaultColWidth="14.453125" defaultRowHeight="15.75" customHeight="1" x14ac:dyDescent="0.25"/>
  <cols>
    <col min="1" max="1" width="20.26953125" customWidth="1"/>
    <col min="2" max="2" width="8.81640625" customWidth="1"/>
    <col min="3" max="3" width="6.1796875" customWidth="1"/>
    <col min="4" max="4" width="6.54296875" customWidth="1"/>
    <col min="6" max="6" width="6" customWidth="1"/>
    <col min="7" max="7" width="38.453125" customWidth="1"/>
    <col min="8" max="8" width="6.1796875" customWidth="1"/>
    <col min="9" max="9" width="33.1796875" hidden="1" customWidth="1"/>
    <col min="10" max="10" width="44.453125" customWidth="1"/>
    <col min="11" max="11" width="22.81640625" customWidth="1"/>
    <col min="27" max="27" width="29.26953125" customWidth="1"/>
  </cols>
  <sheetData>
    <row r="1" spans="1:49" ht="15.75" customHeight="1" x14ac:dyDescent="0.3">
      <c r="A1" s="42" t="str">
        <f ca="1">IFERROR(__xludf.DUMMYFUNCTION("QUERY(IMPORTRANGE(""https://docs.google.com/spreadsheets/d/1R5ofJAIqAywN97cnBY9R9kqj10AvQOs3Gq472n6iDyc/edit#gid=811823962"",""Other Empirical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7" t="str">
        <f ca="1">E6</f>
        <v>Creator</v>
      </c>
      <c r="M1" s="96"/>
      <c r="N1" s="96"/>
      <c r="O1" s="96"/>
      <c r="P1" s="96"/>
      <c r="Q1" s="96"/>
      <c r="R1" s="96"/>
      <c r="S1" s="96"/>
      <c r="T1" s="96"/>
      <c r="U1" s="96"/>
      <c r="V1" s="96"/>
      <c r="W1" s="96"/>
      <c r="X1" s="96"/>
      <c r="Y1" s="96"/>
      <c r="Z1" s="96"/>
      <c r="AA1" s="4"/>
      <c r="AB1" s="97" t="str">
        <f ca="1">E5</f>
        <v>Author</v>
      </c>
      <c r="AC1" s="96"/>
      <c r="AD1" s="96"/>
      <c r="AE1" s="96"/>
      <c r="AF1" s="96"/>
      <c r="AG1" s="96"/>
      <c r="AH1" s="96"/>
      <c r="AI1" s="96"/>
      <c r="AJ1" s="96"/>
      <c r="AK1" s="96"/>
      <c r="AL1" s="96"/>
      <c r="AM1" s="96"/>
      <c r="AN1" s="96"/>
      <c r="AO1" s="96"/>
      <c r="AP1" s="96"/>
      <c r="AQ1" s="4"/>
      <c r="AR1" s="4"/>
      <c r="AS1" s="4"/>
      <c r="AT1" s="4"/>
      <c r="AU1" s="4"/>
      <c r="AV1" s="4"/>
      <c r="AW1" s="4"/>
    </row>
    <row r="2" spans="1:49" ht="12.5" x14ac:dyDescent="0.25">
      <c r="A2" s="4" t="str">
        <f ca="1">IFERROR(__xludf.DUMMYFUNCTION("""COMPUTED_VALUE"""),"Yes")</f>
        <v>Yes</v>
      </c>
      <c r="B2" s="4" t="str">
        <f ca="1">IFERROR(__xludf.DUMMYFUNCTION("""COMPUTED_VALUE"""),"Yes")</f>
        <v>Yes</v>
      </c>
      <c r="C2" s="95" t="str">
        <f ca="1">IFERROR(__xludf.DUMMYFUNCTION("""COMPUTED_VALUE"""),"General information")</f>
        <v>General information</v>
      </c>
      <c r="D2" s="95" t="str">
        <f ca="1">IFERROR(__xludf.DUMMYFUNCTION("""COMPUTED_VALUE"""),"1")</f>
        <v>1</v>
      </c>
      <c r="E2" s="5" t="str">
        <f ca="1">IFERROR(__xludf.DUMMYFUNCTION("""COMPUTED_VALUE"""),"Model name")</f>
        <v>Model name</v>
      </c>
      <c r="F2" s="97" t="str">
        <f ca="1">IFERROR(__xludf.DUMMYFUNCTION("""COMPUTED_VALUE"""),"1")</f>
        <v>1</v>
      </c>
      <c r="G2" s="96"/>
      <c r="H2" s="96"/>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x14ac:dyDescent="0.25">
      <c r="A3" s="4" t="str">
        <f ca="1">IFERROR(__xludf.DUMMYFUNCTION("""COMPUTED_VALUE"""),"Yes")</f>
        <v>Yes</v>
      </c>
      <c r="B3" s="4" t="str">
        <f ca="1">IFERROR(__xludf.DUMMYFUNCTION("""COMPUTED_VALUE"""),"Yes")</f>
        <v>Yes</v>
      </c>
      <c r="C3" s="96"/>
      <c r="D3" s="96"/>
      <c r="E3" s="5" t="str">
        <f ca="1">IFERROR(__xludf.DUMMYFUNCTION("""COMPUTED_VALUE"""),"Source")</f>
        <v>Source</v>
      </c>
      <c r="F3" s="97" t="str">
        <f ca="1">IFERROR(__xludf.DUMMYFUNCTION("""COMPUTED_VALUE"""),"0:1")</f>
        <v>0:1</v>
      </c>
      <c r="G3" s="96"/>
      <c r="H3" s="96"/>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x14ac:dyDescent="0.25">
      <c r="A4" s="4" t="str">
        <f ca="1">IFERROR(__xludf.DUMMYFUNCTION("""COMPUTED_VALUE"""),"Yes")</f>
        <v>Yes</v>
      </c>
      <c r="B4" s="4" t="str">
        <f ca="1">IFERROR(__xludf.DUMMYFUNCTION("""COMPUTED_VALUE"""),"Yes")</f>
        <v>Yes</v>
      </c>
      <c r="C4" s="96"/>
      <c r="D4" s="96"/>
      <c r="E4" s="5" t="str">
        <f ca="1">IFERROR(__xludf.DUMMYFUNCTION("""COMPUTED_VALUE"""),"Identifier")</f>
        <v>Identifier</v>
      </c>
      <c r="F4" s="97" t="str">
        <f ca="1">IFERROR(__xludf.DUMMYFUNCTION("""COMPUTED_VALUE"""),"1")</f>
        <v>1</v>
      </c>
      <c r="G4" s="96"/>
      <c r="H4" s="96"/>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x14ac:dyDescent="0.25">
      <c r="A5" s="4" t="str">
        <f ca="1">IFERROR(__xludf.DUMMYFUNCTION("""COMPUTED_VALUE"""),"Yes")</f>
        <v>Yes</v>
      </c>
      <c r="B5" s="4" t="str">
        <f ca="1">IFERROR(__xludf.DUMMYFUNCTION("""COMPUTED_VALUE"""),"No")</f>
        <v>No</v>
      </c>
      <c r="C5" s="96"/>
      <c r="D5" s="9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x14ac:dyDescent="0.25">
      <c r="A6" s="4" t="str">
        <f ca="1">IFERROR(__xludf.DUMMYFUNCTION("""COMPUTED_VALUE"""),"Yes")</f>
        <v>Yes</v>
      </c>
      <c r="B6" s="4" t="str">
        <f ca="1">IFERROR(__xludf.DUMMYFUNCTION("""COMPUTED_VALUE"""),"Yes")</f>
        <v>Yes</v>
      </c>
      <c r="C6" s="96"/>
      <c r="D6" s="96"/>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x14ac:dyDescent="0.25">
      <c r="A7" s="4" t="str">
        <f ca="1">IFERROR(__xludf.DUMMYFUNCTION("""COMPUTED_VALUE"""),"Yes")</f>
        <v>Yes</v>
      </c>
      <c r="B7" s="4" t="str">
        <f ca="1">IFERROR(__xludf.DUMMYFUNCTION("""COMPUTED_VALUE"""),"Yes")</f>
        <v>Yes</v>
      </c>
      <c r="C7" s="96"/>
      <c r="D7" s="96"/>
      <c r="E7" s="5" t="str">
        <f ca="1">IFERROR(__xludf.DUMMYFUNCTION("""COMPUTED_VALUE"""),"Date")</f>
        <v>Date</v>
      </c>
      <c r="F7" s="97"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x14ac:dyDescent="0.25">
      <c r="A8" s="4" t="str">
        <f ca="1">IFERROR(__xludf.DUMMYFUNCTION("""COMPUTED_VALUE"""),"Yes")</f>
        <v>Yes</v>
      </c>
      <c r="B8" s="4" t="str">
        <f ca="1">IFERROR(__xludf.DUMMYFUNCTION("""COMPUTED_VALUE"""),"No")</f>
        <v>No</v>
      </c>
      <c r="C8" s="96"/>
      <c r="D8" s="96"/>
      <c r="F8" s="96"/>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x14ac:dyDescent="0.25">
      <c r="A9" s="4" t="str">
        <f ca="1">IFERROR(__xludf.DUMMYFUNCTION("""COMPUTED_VALUE"""),"Yes")</f>
        <v>Yes</v>
      </c>
      <c r="B9" s="4" t="str">
        <f ca="1">IFERROR(__xludf.DUMMYFUNCTION("""COMPUTED_VALUE"""),"Yes")</f>
        <v>Yes</v>
      </c>
      <c r="C9" s="96"/>
      <c r="D9" s="9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x14ac:dyDescent="0.25">
      <c r="A10" s="4" t="str">
        <f ca="1">IFERROR(__xludf.DUMMYFUNCTION("""COMPUTED_VALUE"""),"Yes")</f>
        <v>Yes</v>
      </c>
      <c r="B10" s="4" t="str">
        <f ca="1">IFERROR(__xludf.DUMMYFUNCTION("""COMPUTED_VALUE"""),"No")</f>
        <v>No</v>
      </c>
      <c r="C10" s="96"/>
      <c r="D10" s="96"/>
      <c r="E10" s="5" t="str">
        <f ca="1">IFERROR(__xludf.DUMMYFUNCTION("""COMPUTED_VALUE"""),"Availability")</f>
        <v>Availability</v>
      </c>
      <c r="F10" s="97" t="str">
        <f ca="1">IFERROR(__xludf.DUMMYFUNCTION("""COMPUTED_VALUE"""),"0:1")</f>
        <v>0:1</v>
      </c>
      <c r="G10" s="96"/>
      <c r="H10" s="96"/>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x14ac:dyDescent="0.25">
      <c r="A11" s="4" t="str">
        <f ca="1">IFERROR(__xludf.DUMMYFUNCTION("""COMPUTED_VALUE"""),"Yes")</f>
        <v>Yes</v>
      </c>
      <c r="B11" s="4" t="str">
        <f ca="1">IFERROR(__xludf.DUMMYFUNCTION("""COMPUTED_VALUE"""),"No")</f>
        <v>No</v>
      </c>
      <c r="C11" s="96"/>
      <c r="D11" s="96"/>
      <c r="E11" s="5" t="str">
        <f ca="1">IFERROR(__xludf.DUMMYFUNCTION("""COMPUTED_VALUE"""),"URL")</f>
        <v>URL</v>
      </c>
      <c r="F11" s="97" t="str">
        <f ca="1">IFERROR(__xludf.DUMMYFUNCTION("""COMPUTED_VALUE"""),"0:1")</f>
        <v>0:1</v>
      </c>
      <c r="G11" s="96"/>
      <c r="H11" s="96"/>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x14ac:dyDescent="0.25">
      <c r="A12" s="4" t="str">
        <f ca="1">IFERROR(__xludf.DUMMYFUNCTION("""COMPUTED_VALUE"""),"Yes")</f>
        <v>Yes</v>
      </c>
      <c r="B12" s="4" t="str">
        <f ca="1">IFERROR(__xludf.DUMMYFUNCTION("""COMPUTED_VALUE"""),"No")</f>
        <v>No</v>
      </c>
      <c r="C12" s="96"/>
      <c r="D12" s="96"/>
      <c r="E12" s="5" t="str">
        <f ca="1">IFERROR(__xludf.DUMMYFUNCTION("""COMPUTED_VALUE"""),"Format")</f>
        <v>Format</v>
      </c>
      <c r="F12" s="97" t="str">
        <f ca="1">IFERROR(__xludf.DUMMYFUNCTION("""COMPUTED_VALUE"""),"0:1")</f>
        <v>0:1</v>
      </c>
      <c r="G12" s="96"/>
      <c r="H12" s="96"/>
      <c r="I12" s="5"/>
      <c r="J12" s="10"/>
      <c r="K12" s="4"/>
      <c r="L12" s="99" t="str">
        <f ca="1">E13</f>
        <v>References</v>
      </c>
      <c r="M12" s="96"/>
      <c r="N12" s="96"/>
      <c r="O12" s="96"/>
      <c r="P12" s="96"/>
      <c r="Q12" s="96"/>
      <c r="R12" s="96"/>
      <c r="S12" s="96"/>
      <c r="T12" s="96"/>
      <c r="U12" s="96"/>
      <c r="V12" s="96"/>
      <c r="W12" s="96"/>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x14ac:dyDescent="0.3">
      <c r="A13" s="4" t="str">
        <f ca="1">IFERROR(__xludf.DUMMYFUNCTION("""COMPUTED_VALUE"""),"Yes")</f>
        <v>Yes</v>
      </c>
      <c r="B13" s="4" t="str">
        <f ca="1">IFERROR(__xludf.DUMMYFUNCTION("""COMPUTED_VALUE"""),"Yes")</f>
        <v>Yes</v>
      </c>
      <c r="C13" s="96"/>
      <c r="D13" s="96"/>
      <c r="E13" s="97" t="str">
        <f ca="1">IFERROR(__xludf.DUMMYFUNCTION("""COMPUTED_VALUE"""),"References")</f>
        <v>References</v>
      </c>
      <c r="F13" s="97"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x14ac:dyDescent="0.25">
      <c r="A14" s="4" t="str">
        <f ca="1">IFERROR(__xludf.DUMMYFUNCTION("""COMPUTED_VALUE"""),"Yes")</f>
        <v>Yes</v>
      </c>
      <c r="B14" s="4" t="str">
        <f ca="1">IFERROR(__xludf.DUMMYFUNCTION("""COMPUTED_VALUE"""),"Yes")</f>
        <v>Yes</v>
      </c>
      <c r="C14" s="96"/>
      <c r="D14" s="96"/>
      <c r="E14" s="96"/>
      <c r="F14" s="96"/>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x14ac:dyDescent="0.25">
      <c r="A15" s="4" t="str">
        <f ca="1">IFERROR(__xludf.DUMMYFUNCTION("""COMPUTED_VALUE"""),"Yes")</f>
        <v>Yes</v>
      </c>
      <c r="B15" s="4" t="str">
        <f ca="1">IFERROR(__xludf.DUMMYFUNCTION("""COMPUTED_VALUE"""),"No")</f>
        <v>No</v>
      </c>
      <c r="C15" s="96"/>
      <c r="D15" s="96"/>
      <c r="E15" s="96"/>
      <c r="F15" s="96"/>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x14ac:dyDescent="0.25">
      <c r="A16" s="4" t="str">
        <f ca="1">IFERROR(__xludf.DUMMYFUNCTION("""COMPUTED_VALUE"""),"Yes")</f>
        <v>Yes</v>
      </c>
      <c r="B16" s="4" t="str">
        <f ca="1">IFERROR(__xludf.DUMMYFUNCTION("""COMPUTED_VALUE"""),"No")</f>
        <v>No</v>
      </c>
      <c r="C16" s="96"/>
      <c r="D16" s="96"/>
      <c r="E16" s="96"/>
      <c r="F16" s="96"/>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x14ac:dyDescent="0.25">
      <c r="A17" s="4" t="str">
        <f ca="1">IFERROR(__xludf.DUMMYFUNCTION("""COMPUTED_VALUE"""),"Yes")</f>
        <v>Yes</v>
      </c>
      <c r="B17" s="4" t="str">
        <f ca="1">IFERROR(__xludf.DUMMYFUNCTION("""COMPUTED_VALUE"""),"Yes")</f>
        <v>Yes</v>
      </c>
      <c r="C17" s="96"/>
      <c r="D17" s="96"/>
      <c r="E17" s="96"/>
      <c r="F17" s="96"/>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x14ac:dyDescent="0.25">
      <c r="A18" s="4" t="str">
        <f ca="1">IFERROR(__xludf.DUMMYFUNCTION("""COMPUTED_VALUE"""),"Yes")</f>
        <v>Yes</v>
      </c>
      <c r="B18" s="4" t="str">
        <f ca="1">IFERROR(__xludf.DUMMYFUNCTION("""COMPUTED_VALUE"""),"No")</f>
        <v>No</v>
      </c>
      <c r="C18" s="96"/>
      <c r="D18" s="96"/>
      <c r="E18" s="96"/>
      <c r="F18" s="96"/>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x14ac:dyDescent="0.25">
      <c r="A19" s="4" t="str">
        <f ca="1">IFERROR(__xludf.DUMMYFUNCTION("""COMPUTED_VALUE"""),"Yes")</f>
        <v>Yes</v>
      </c>
      <c r="B19" s="4" t="str">
        <f ca="1">IFERROR(__xludf.DUMMYFUNCTION("""COMPUTED_VALUE"""),"Yes")</f>
        <v>Yes</v>
      </c>
      <c r="C19" s="96"/>
      <c r="D19" s="96"/>
      <c r="E19" s="96"/>
      <c r="F19" s="96"/>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x14ac:dyDescent="0.25">
      <c r="A20" s="4" t="str">
        <f ca="1">IFERROR(__xludf.DUMMYFUNCTION("""COMPUTED_VALUE"""),"Yes")</f>
        <v>Yes</v>
      </c>
      <c r="B20" s="4" t="str">
        <f ca="1">IFERROR(__xludf.DUMMYFUNCTION("""COMPUTED_VALUE"""),"No")</f>
        <v>No</v>
      </c>
      <c r="C20" s="96"/>
      <c r="D20" s="96"/>
      <c r="E20" s="96"/>
      <c r="F20" s="96"/>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x14ac:dyDescent="0.25">
      <c r="A21" s="4" t="str">
        <f ca="1">IFERROR(__xludf.DUMMYFUNCTION("""COMPUTED_VALUE"""),"Yes")</f>
        <v>Yes</v>
      </c>
      <c r="B21" s="4" t="str">
        <f ca="1">IFERROR(__xludf.DUMMYFUNCTION("""COMPUTED_VALUE"""),"No")</f>
        <v>No</v>
      </c>
      <c r="C21" s="96"/>
      <c r="D21" s="96"/>
      <c r="E21" s="96"/>
      <c r="F21" s="96"/>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x14ac:dyDescent="0.25">
      <c r="A22" s="4" t="str">
        <f ca="1">IFERROR(__xludf.DUMMYFUNCTION("""COMPUTED_VALUE"""),"Yes")</f>
        <v>Yes</v>
      </c>
      <c r="B22" s="4" t="str">
        <f ca="1">IFERROR(__xludf.DUMMYFUNCTION("""COMPUTED_VALUE"""),"No")</f>
        <v>No</v>
      </c>
      <c r="C22" s="96"/>
      <c r="D22" s="96"/>
      <c r="E22" s="96"/>
      <c r="F22" s="96"/>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4" x14ac:dyDescent="0.3">
      <c r="A23" s="4" t="str">
        <f ca="1">IFERROR(__xludf.DUMMYFUNCTION("""COMPUTED_VALUE"""),"Yes")</f>
        <v>Yes</v>
      </c>
      <c r="B23" s="4" t="str">
        <f ca="1">IFERROR(__xludf.DUMMYFUNCTION("""COMPUTED_VALUE"""),"No")</f>
        <v>No</v>
      </c>
      <c r="C23" s="96"/>
      <c r="D23" s="96"/>
      <c r="E23" s="96"/>
      <c r="F23" s="96"/>
      <c r="G23" s="5" t="str">
        <f ca="1">IFERROR(__xludf.DUMMYFUNCTION("""COMPUTED_VALUE"""),"Publication website")</f>
        <v>Publication website</v>
      </c>
      <c r="H23" s="5" t="str">
        <f ca="1">IFERROR(__xludf.DUMMYFUNCTION("""COMPUTED_VALUE"""),"0:1")</f>
        <v>0:1</v>
      </c>
      <c r="I23" s="5"/>
      <c r="J23" s="41"/>
      <c r="K23" s="4"/>
      <c r="L23" s="17"/>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x14ac:dyDescent="0.25">
      <c r="A24" s="4" t="str">
        <f ca="1">IFERROR(__xludf.DUMMYFUNCTION("""COMPUTED_VALUE"""),"Yes")</f>
        <v>Yes</v>
      </c>
      <c r="B24" s="4" t="str">
        <f ca="1">IFERROR(__xludf.DUMMYFUNCTION("""COMPUTED_VALUE"""),"No")</f>
        <v>No</v>
      </c>
      <c r="C24" s="96"/>
      <c r="D24" s="96"/>
      <c r="E24" s="96"/>
      <c r="F24" s="96"/>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x14ac:dyDescent="0.25">
      <c r="A25" s="4" t="str">
        <f ca="1">IFERROR(__xludf.DUMMYFUNCTION("""COMPUTED_VALUE"""),"Yes")</f>
        <v>Yes</v>
      </c>
      <c r="B25" s="4" t="str">
        <f ca="1">IFERROR(__xludf.DUMMYFUNCTION("""COMPUTED_VALUE"""),"No")</f>
        <v>No</v>
      </c>
      <c r="C25" s="96"/>
      <c r="D25" s="96"/>
      <c r="E25" s="5" t="str">
        <f ca="1">IFERROR(__xludf.DUMMYFUNCTION("""COMPUTED_VALUE"""),"Language")</f>
        <v>Language</v>
      </c>
      <c r="F25" s="97" t="str">
        <f ca="1">IFERROR(__xludf.DUMMYFUNCTION("""COMPUTED_VALUE"""),"0:1")</f>
        <v>0:1</v>
      </c>
      <c r="G25" s="96"/>
      <c r="H25" s="96"/>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x14ac:dyDescent="0.25">
      <c r="A26" s="4" t="str">
        <f ca="1">IFERROR(__xludf.DUMMYFUNCTION("""COMPUTED_VALUE"""),"Yes")</f>
        <v>Yes</v>
      </c>
      <c r="B26" s="4" t="str">
        <f ca="1">IFERROR(__xludf.DUMMYFUNCTION("""COMPUTED_VALUE"""),"No")</f>
        <v>No</v>
      </c>
      <c r="C26" s="96"/>
      <c r="D26" s="96"/>
      <c r="E26" s="5" t="str">
        <f ca="1">IFERROR(__xludf.DUMMYFUNCTION("""COMPUTED_VALUE"""),"Software")</f>
        <v>Software</v>
      </c>
      <c r="F26" s="97" t="str">
        <f ca="1">IFERROR(__xludf.DUMMYFUNCTION("""COMPUTED_VALUE"""),"0:1")</f>
        <v>0:1</v>
      </c>
      <c r="G26" s="96"/>
      <c r="H26" s="96"/>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x14ac:dyDescent="0.25">
      <c r="A27" s="4" t="str">
        <f ca="1">IFERROR(__xludf.DUMMYFUNCTION("""COMPUTED_VALUE"""),"Yes")</f>
        <v>Yes</v>
      </c>
      <c r="B27" s="4" t="str">
        <f ca="1">IFERROR(__xludf.DUMMYFUNCTION("""COMPUTED_VALUE"""),"Yes")</f>
        <v>Yes</v>
      </c>
      <c r="C27" s="96"/>
      <c r="D27" s="96"/>
      <c r="E27" s="5" t="str">
        <f ca="1">IFERROR(__xludf.DUMMYFUNCTION("""COMPUTED_VALUE"""),"Language written in")</f>
        <v>Language written in</v>
      </c>
      <c r="F27" s="97" t="str">
        <f ca="1">IFERROR(__xludf.DUMMYFUNCTION("""COMPUTED_VALUE"""),"1")</f>
        <v>1</v>
      </c>
      <c r="G27" s="96"/>
      <c r="H27" s="96"/>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x14ac:dyDescent="0.25">
      <c r="A28" s="4" t="str">
        <f ca="1">IFERROR(__xludf.DUMMYFUNCTION("""COMPUTED_VALUE"""),"Yes")</f>
        <v>Yes</v>
      </c>
      <c r="B28" s="4" t="str">
        <f ca="1">IFERROR(__xludf.DUMMYFUNCTION("""COMPUTED_VALUE"""),"No")</f>
        <v>No</v>
      </c>
      <c r="C28" s="96"/>
      <c r="D28" s="96"/>
      <c r="E28" s="97" t="str">
        <f ca="1">IFERROR(__xludf.DUMMYFUNCTION("""COMPUTED_VALUE"""),"Model category")</f>
        <v>Model category</v>
      </c>
      <c r="F28" s="97"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x14ac:dyDescent="0.25">
      <c r="A29" s="4" t="str">
        <f ca="1">IFERROR(__xludf.DUMMYFUNCTION("""COMPUTED_VALUE"""),"Yes")</f>
        <v>Yes</v>
      </c>
      <c r="B29" s="4" t="str">
        <f ca="1">IFERROR(__xludf.DUMMYFUNCTION("""COMPUTED_VALUE"""),"No")</f>
        <v>No</v>
      </c>
      <c r="C29" s="96"/>
      <c r="D29" s="96"/>
      <c r="E29" s="96"/>
      <c r="F29" s="96"/>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x14ac:dyDescent="0.25">
      <c r="A30" s="4" t="str">
        <f ca="1">IFERROR(__xludf.DUMMYFUNCTION("""COMPUTED_VALUE"""),"Yes")</f>
        <v>Yes</v>
      </c>
      <c r="B30" s="4" t="str">
        <f ca="1">IFERROR(__xludf.DUMMYFUNCTION("""COMPUTED_VALUE"""),"No")</f>
        <v>No</v>
      </c>
      <c r="C30" s="96"/>
      <c r="D30" s="96"/>
      <c r="E30" s="96"/>
      <c r="F30" s="96"/>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x14ac:dyDescent="0.25">
      <c r="A31" s="4" t="str">
        <f ca="1">IFERROR(__xludf.DUMMYFUNCTION("""COMPUTED_VALUE"""),"Yes")</f>
        <v>Yes</v>
      </c>
      <c r="B31" s="4" t="str">
        <f ca="1">IFERROR(__xludf.DUMMYFUNCTION("""COMPUTED_VALUE"""),"No")</f>
        <v>No</v>
      </c>
      <c r="C31" s="96"/>
      <c r="D31" s="96"/>
      <c r="E31" s="96"/>
      <c r="F31" s="96"/>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x14ac:dyDescent="0.25">
      <c r="A32" s="4" t="str">
        <f ca="1">IFERROR(__xludf.DUMMYFUNCTION("""COMPUTED_VALUE"""),"Yes")</f>
        <v>Yes</v>
      </c>
      <c r="B32" s="4" t="str">
        <f ca="1">IFERROR(__xludf.DUMMYFUNCTION("""COMPUTED_VALUE"""),"No")</f>
        <v>No</v>
      </c>
      <c r="C32" s="96"/>
      <c r="D32" s="96"/>
      <c r="E32" s="96"/>
      <c r="F32" s="96"/>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x14ac:dyDescent="0.25">
      <c r="A33" s="4" t="str">
        <f ca="1">IFERROR(__xludf.DUMMYFUNCTION("""COMPUTED_VALUE"""),"Yes")</f>
        <v>Yes</v>
      </c>
      <c r="B33" s="4" t="str">
        <f ca="1">IFERROR(__xludf.DUMMYFUNCTION("""COMPUTED_VALUE"""),"No")</f>
        <v>No</v>
      </c>
      <c r="C33" s="96"/>
      <c r="D33" s="96"/>
      <c r="E33" s="5" t="str">
        <f ca="1">IFERROR(__xludf.DUMMYFUNCTION("""COMPUTED_VALUE"""),"Status")</f>
        <v>Status</v>
      </c>
      <c r="F33" s="97" t="str">
        <f ca="1">IFERROR(__xludf.DUMMYFUNCTION("""COMPUTED_VALUE"""),"0:1")</f>
        <v>0:1</v>
      </c>
      <c r="G33" s="96"/>
      <c r="H33" s="96"/>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x14ac:dyDescent="0.25">
      <c r="A34" s="4" t="str">
        <f ca="1">IFERROR(__xludf.DUMMYFUNCTION("""COMPUTED_VALUE"""),"Yes")</f>
        <v>Yes</v>
      </c>
      <c r="B34" s="4" t="str">
        <f ca="1">IFERROR(__xludf.DUMMYFUNCTION("""COMPUTED_VALUE"""),"No")</f>
        <v>No</v>
      </c>
      <c r="C34" s="96"/>
      <c r="D34" s="96"/>
      <c r="E34" s="5" t="str">
        <f ca="1">IFERROR(__xludf.DUMMYFUNCTION("""COMPUTED_VALUE"""),"Objective")</f>
        <v>Objective</v>
      </c>
      <c r="F34" s="97" t="str">
        <f ca="1">IFERROR(__xludf.DUMMYFUNCTION("""COMPUTED_VALUE"""),"0:1")</f>
        <v>0:1</v>
      </c>
      <c r="G34" s="96"/>
      <c r="H34" s="96"/>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x14ac:dyDescent="0.25">
      <c r="A35" s="4" t="str">
        <f ca="1">IFERROR(__xludf.DUMMYFUNCTION("""COMPUTED_VALUE"""),"Yes")</f>
        <v>Yes</v>
      </c>
      <c r="B35" s="4" t="str">
        <f ca="1">IFERROR(__xludf.DUMMYFUNCTION("""COMPUTED_VALUE"""),"No")</f>
        <v>No</v>
      </c>
      <c r="C35" s="96"/>
      <c r="D35" s="96"/>
      <c r="E35" s="5" t="str">
        <f ca="1">IFERROR(__xludf.DUMMYFUNCTION("""COMPUTED_VALUE"""),"Description")</f>
        <v>Description</v>
      </c>
      <c r="F35" s="97" t="str">
        <f ca="1">IFERROR(__xludf.DUMMYFUNCTION("""COMPUTED_VALUE"""),"0:1")</f>
        <v>0:1</v>
      </c>
      <c r="G35" s="96"/>
      <c r="H35" s="96"/>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x14ac:dyDescent="0.25">
      <c r="A36" s="4" t="str">
        <f ca="1">IFERROR(__xludf.DUMMYFUNCTION("""COMPUTED_VALUE"""),"Yes")</f>
        <v>Yes</v>
      </c>
      <c r="B36" s="4" t="str">
        <f ca="1">IFERROR(__xludf.DUMMYFUNCTION("""COMPUTED_VALUE"""),"Yes")</f>
        <v>Yes</v>
      </c>
      <c r="C36" s="95" t="str">
        <f ca="1">IFERROR(__xludf.DUMMYFUNCTION("""COMPUTED_VALUE"""),"Scope")</f>
        <v>Scope</v>
      </c>
      <c r="D36" s="95" t="str">
        <f ca="1">IFERROR(__xludf.DUMMYFUNCTION("""COMPUTED_VALUE"""),"1")</f>
        <v>1</v>
      </c>
      <c r="E36" s="97" t="str">
        <f ca="1">IFERROR(__xludf.DUMMYFUNCTION("""COMPUTED_VALUE"""),"Product / matrix")</f>
        <v>Product / matrix</v>
      </c>
      <c r="F36" s="97" t="str">
        <f ca="1">IFERROR(__xludf.DUMMYFUNCTION("""COMPUTED_VALUE"""),"0:N")</f>
        <v>0:N</v>
      </c>
      <c r="G36" s="5" t="str">
        <f ca="1">IFERROR(__xludf.DUMMYFUNCTION("""COMPUTED_VALUE"""),"Product/matrix name")</f>
        <v>Product/matrix name</v>
      </c>
      <c r="H36" s="5" t="str">
        <f ca="1">IFERROR(__xludf.DUMMYFUNCTION("""COMPUTED_VALUE"""),"1")</f>
        <v>1</v>
      </c>
      <c r="I36" s="5"/>
      <c r="J36" s="13"/>
      <c r="K36" s="4"/>
      <c r="L36" s="99" t="str">
        <f ca="1">E36</f>
        <v>Product / matrix</v>
      </c>
      <c r="M36" s="96"/>
      <c r="N36" s="96"/>
      <c r="O36" s="96"/>
      <c r="P36" s="96"/>
      <c r="Q36" s="96"/>
      <c r="R36" s="96"/>
      <c r="S36" s="96"/>
      <c r="T36" s="96"/>
      <c r="U36" s="96"/>
      <c r="V36" s="96"/>
      <c r="W36" s="99" t="str">
        <f ca="1">E47</f>
        <v>Hazard</v>
      </c>
      <c r="X36" s="96"/>
      <c r="Y36" s="96"/>
      <c r="Z36" s="96"/>
      <c r="AA36" s="96"/>
      <c r="AB36" s="96"/>
      <c r="AC36" s="96"/>
      <c r="AD36" s="96"/>
      <c r="AE36" s="96"/>
      <c r="AF36" s="96"/>
      <c r="AG36" s="96"/>
      <c r="AH36" s="96"/>
      <c r="AI36" s="96"/>
      <c r="AJ36" s="96"/>
      <c r="AK36" s="99" t="str">
        <f ca="1">E61</f>
        <v>Population Group</v>
      </c>
      <c r="AL36" s="96"/>
      <c r="AM36" s="96"/>
      <c r="AN36" s="96"/>
      <c r="AO36" s="96"/>
      <c r="AP36" s="96"/>
      <c r="AQ36" s="96"/>
      <c r="AR36" s="96"/>
      <c r="AS36" s="96"/>
      <c r="AT36" s="96"/>
      <c r="AU36" s="96"/>
      <c r="AV36" s="96"/>
      <c r="AW36" s="96"/>
    </row>
    <row r="37" spans="1:49" ht="12.5" x14ac:dyDescent="0.25">
      <c r="A37" s="4" t="str">
        <f ca="1">IFERROR(__xludf.DUMMYFUNCTION("""COMPUTED_VALUE"""),"Yes")</f>
        <v>Yes</v>
      </c>
      <c r="B37" s="4" t="str">
        <f ca="1">IFERROR(__xludf.DUMMYFUNCTION("""COMPUTED_VALUE"""),"Yes")</f>
        <v>Yes</v>
      </c>
      <c r="C37" s="96"/>
      <c r="D37" s="96"/>
      <c r="E37" s="96"/>
      <c r="F37" s="96"/>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x14ac:dyDescent="0.25">
      <c r="A38" s="4" t="str">
        <f ca="1">IFERROR(__xludf.DUMMYFUNCTION("""COMPUTED_VALUE"""),"Yes")</f>
        <v>Yes</v>
      </c>
      <c r="B38" s="4" t="str">
        <f ca="1">IFERROR(__xludf.DUMMYFUNCTION("""COMPUTED_VALUE"""),"Yes")</f>
        <v>Yes</v>
      </c>
      <c r="C38" s="96"/>
      <c r="D38" s="96"/>
      <c r="E38" s="96"/>
      <c r="F38" s="96"/>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x14ac:dyDescent="0.25">
      <c r="A39" s="4" t="str">
        <f ca="1">IFERROR(__xludf.DUMMYFUNCTION("""COMPUTED_VALUE"""),"Yes")</f>
        <v>Yes</v>
      </c>
      <c r="B39" s="4" t="str">
        <f ca="1">IFERROR(__xludf.DUMMYFUNCTION("""COMPUTED_VALUE"""),"No")</f>
        <v>No</v>
      </c>
      <c r="C39" s="96"/>
      <c r="D39" s="96"/>
      <c r="E39" s="96"/>
      <c r="F39" s="96"/>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x14ac:dyDescent="0.25">
      <c r="A40" s="4" t="str">
        <f ca="1">IFERROR(__xludf.DUMMYFUNCTION("""COMPUTED_VALUE"""),"Yes")</f>
        <v>Yes</v>
      </c>
      <c r="B40" s="4" t="str">
        <f ca="1">IFERROR(__xludf.DUMMYFUNCTION("""COMPUTED_VALUE"""),"No")</f>
        <v>No</v>
      </c>
      <c r="C40" s="96"/>
      <c r="D40" s="96"/>
      <c r="E40" s="96"/>
      <c r="F40" s="96"/>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x14ac:dyDescent="0.25">
      <c r="A41" s="4" t="str">
        <f ca="1">IFERROR(__xludf.DUMMYFUNCTION("""COMPUTED_VALUE"""),"Yes")</f>
        <v>Yes</v>
      </c>
      <c r="B41" s="4" t="str">
        <f ca="1">IFERROR(__xludf.DUMMYFUNCTION("""COMPUTED_VALUE"""),"No")</f>
        <v>No</v>
      </c>
      <c r="C41" s="96"/>
      <c r="D41" s="96"/>
      <c r="E41" s="96"/>
      <c r="F41" s="96"/>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x14ac:dyDescent="0.25">
      <c r="A42" s="4" t="str">
        <f ca="1">IFERROR(__xludf.DUMMYFUNCTION("""COMPUTED_VALUE"""),"Yes")</f>
        <v>Yes</v>
      </c>
      <c r="B42" s="4" t="str">
        <f ca="1">IFERROR(__xludf.DUMMYFUNCTION("""COMPUTED_VALUE"""),"No")</f>
        <v>No</v>
      </c>
      <c r="C42" s="96"/>
      <c r="D42" s="96"/>
      <c r="E42" s="96"/>
      <c r="F42" s="96"/>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x14ac:dyDescent="0.25">
      <c r="A43" s="4" t="str">
        <f ca="1">IFERROR(__xludf.DUMMYFUNCTION("""COMPUTED_VALUE"""),"Yes")</f>
        <v>Yes</v>
      </c>
      <c r="B43" s="4" t="str">
        <f ca="1">IFERROR(__xludf.DUMMYFUNCTION("""COMPUTED_VALUE"""),"No")</f>
        <v>No</v>
      </c>
      <c r="C43" s="96"/>
      <c r="D43" s="96"/>
      <c r="E43" s="96"/>
      <c r="F43" s="96"/>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x14ac:dyDescent="0.25">
      <c r="A44" s="4" t="str">
        <f ca="1">IFERROR(__xludf.DUMMYFUNCTION("""COMPUTED_VALUE"""),"Yes")</f>
        <v>Yes</v>
      </c>
      <c r="B44" s="4" t="str">
        <f ca="1">IFERROR(__xludf.DUMMYFUNCTION("""COMPUTED_VALUE"""),"No")</f>
        <v>No</v>
      </c>
      <c r="C44" s="96"/>
      <c r="D44" s="96"/>
      <c r="E44" s="96"/>
      <c r="F44" s="96"/>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x14ac:dyDescent="0.25">
      <c r="A45" s="4" t="str">
        <f ca="1">IFERROR(__xludf.DUMMYFUNCTION("""COMPUTED_VALUE"""),"Yes")</f>
        <v>Yes</v>
      </c>
      <c r="B45" s="4" t="str">
        <f ca="1">IFERROR(__xludf.DUMMYFUNCTION("""COMPUTED_VALUE"""),"No")</f>
        <v>No</v>
      </c>
      <c r="C45" s="96"/>
      <c r="D45" s="96"/>
      <c r="E45" s="96"/>
      <c r="F45" s="96"/>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x14ac:dyDescent="0.25">
      <c r="A46" s="4" t="str">
        <f ca="1">IFERROR(__xludf.DUMMYFUNCTION("""COMPUTED_VALUE"""),"Yes")</f>
        <v>Yes</v>
      </c>
      <c r="B46" s="4" t="str">
        <f ca="1">IFERROR(__xludf.DUMMYFUNCTION("""COMPUTED_VALUE"""),"No")</f>
        <v>No</v>
      </c>
      <c r="C46" s="96"/>
      <c r="D46" s="96"/>
      <c r="E46" s="96"/>
      <c r="F46" s="96"/>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x14ac:dyDescent="0.25">
      <c r="A47" s="4" t="str">
        <f ca="1">IFERROR(__xludf.DUMMYFUNCTION("""COMPUTED_VALUE"""),"Yes")</f>
        <v>Yes</v>
      </c>
      <c r="B47" s="4" t="str">
        <f ca="1">IFERROR(__xludf.DUMMYFUNCTION("""COMPUTED_VALUE"""),"No")</f>
        <v>No</v>
      </c>
      <c r="C47" s="96"/>
      <c r="D47" s="96"/>
      <c r="E47" s="97" t="str">
        <f ca="1">IFERROR(__xludf.DUMMYFUNCTION("""COMPUTED_VALUE"""),"Hazard")</f>
        <v>Hazard</v>
      </c>
      <c r="F47" s="97" t="str">
        <f ca="1">IFERROR(__xludf.DUMMYFUNCTION("""COMPUTED_VALUE"""),"0:N")</f>
        <v>0:N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x14ac:dyDescent="0.25">
      <c r="A48" s="4" t="str">
        <f ca="1">IFERROR(__xludf.DUMMYFUNCTION("""COMPUTED_VALUE"""),"Yes")</f>
        <v>Yes</v>
      </c>
      <c r="B48" s="4" t="str">
        <f ca="1">IFERROR(__xludf.DUMMYFUNCTION("""COMPUTED_VALUE"""),"Yes")</f>
        <v>Yes</v>
      </c>
      <c r="C48" s="96"/>
      <c r="D48" s="96"/>
      <c r="E48" s="96"/>
      <c r="F48" s="96"/>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x14ac:dyDescent="0.25">
      <c r="A49" s="4" t="str">
        <f ca="1">IFERROR(__xludf.DUMMYFUNCTION("""COMPUTED_VALUE"""),"Yes")</f>
        <v>Yes</v>
      </c>
      <c r="B49" s="4" t="str">
        <f ca="1">IFERROR(__xludf.DUMMYFUNCTION("""COMPUTED_VALUE"""),"No")</f>
        <v>No</v>
      </c>
      <c r="C49" s="96"/>
      <c r="D49" s="96"/>
      <c r="E49" s="96"/>
      <c r="F49" s="96"/>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x14ac:dyDescent="0.25">
      <c r="A50" s="4" t="str">
        <f ca="1">IFERROR(__xludf.DUMMYFUNCTION("""COMPUTED_VALUE"""),"Yes")</f>
        <v>Yes</v>
      </c>
      <c r="B50" s="4" t="str">
        <f ca="1">IFERROR(__xludf.DUMMYFUNCTION("""COMPUTED_VALUE"""),"No")</f>
        <v>No</v>
      </c>
      <c r="C50" s="96"/>
      <c r="D50" s="96"/>
      <c r="E50" s="96"/>
      <c r="F50" s="96"/>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x14ac:dyDescent="0.25">
      <c r="A51" s="4" t="str">
        <f ca="1">IFERROR(__xludf.DUMMYFUNCTION("""COMPUTED_VALUE"""),"Yes")</f>
        <v>Yes</v>
      </c>
      <c r="B51" s="4" t="str">
        <f ca="1">IFERROR(__xludf.DUMMYFUNCTION("""COMPUTED_VALUE"""),"No")</f>
        <v>No</v>
      </c>
      <c r="C51" s="96"/>
      <c r="D51" s="96"/>
      <c r="E51" s="96"/>
      <c r="F51" s="96"/>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x14ac:dyDescent="0.25">
      <c r="A52" s="4" t="str">
        <f ca="1">IFERROR(__xludf.DUMMYFUNCTION("""COMPUTED_VALUE"""),"Yes")</f>
        <v>Yes</v>
      </c>
      <c r="B52" s="4" t="str">
        <f ca="1">IFERROR(__xludf.DUMMYFUNCTION("""COMPUTED_VALUE"""),"No")</f>
        <v>No</v>
      </c>
      <c r="C52" s="96"/>
      <c r="D52" s="96"/>
      <c r="E52" s="96"/>
      <c r="F52" s="96"/>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x14ac:dyDescent="0.25">
      <c r="A53" s="4" t="str">
        <f ca="1">IFERROR(__xludf.DUMMYFUNCTION("""COMPUTED_VALUE"""),"Yes")</f>
        <v>Yes</v>
      </c>
      <c r="B53" s="4" t="str">
        <f ca="1">IFERROR(__xludf.DUMMYFUNCTION("""COMPUTED_VALUE"""),"No")</f>
        <v>No</v>
      </c>
      <c r="C53" s="96"/>
      <c r="D53" s="96"/>
      <c r="E53" s="96"/>
      <c r="F53" s="96"/>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x14ac:dyDescent="0.25">
      <c r="A54" s="4" t="str">
        <f ca="1">IFERROR(__xludf.DUMMYFUNCTION("""COMPUTED_VALUE"""),"Yes")</f>
        <v>Yes</v>
      </c>
      <c r="B54" s="4" t="str">
        <f ca="1">IFERROR(__xludf.DUMMYFUNCTION("""COMPUTED_VALUE"""),"No")</f>
        <v>No</v>
      </c>
      <c r="C54" s="96"/>
      <c r="D54" s="96"/>
      <c r="E54" s="96"/>
      <c r="F54" s="96"/>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x14ac:dyDescent="0.25">
      <c r="A55" s="4" t="str">
        <f ca="1">IFERROR(__xludf.DUMMYFUNCTION("""COMPUTED_VALUE"""),"Yes")</f>
        <v>Yes</v>
      </c>
      <c r="B55" s="4" t="str">
        <f ca="1">IFERROR(__xludf.DUMMYFUNCTION("""COMPUTED_VALUE"""),"No")</f>
        <v>No</v>
      </c>
      <c r="C55" s="96"/>
      <c r="D55" s="96"/>
      <c r="E55" s="96"/>
      <c r="F55" s="96"/>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x14ac:dyDescent="0.25">
      <c r="A56" s="4" t="str">
        <f ca="1">IFERROR(__xludf.DUMMYFUNCTION("""COMPUTED_VALUE"""),"Yes")</f>
        <v>Yes</v>
      </c>
      <c r="B56" s="4" t="str">
        <f ca="1">IFERROR(__xludf.DUMMYFUNCTION("""COMPUTED_VALUE"""),"No")</f>
        <v>No</v>
      </c>
      <c r="C56" s="96"/>
      <c r="D56" s="96"/>
      <c r="E56" s="96"/>
      <c r="F56" s="96"/>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x14ac:dyDescent="0.25">
      <c r="A57" s="4" t="str">
        <f ca="1">IFERROR(__xludf.DUMMYFUNCTION("""COMPUTED_VALUE"""),"Yes")</f>
        <v>Yes</v>
      </c>
      <c r="B57" s="4" t="str">
        <f ca="1">IFERROR(__xludf.DUMMYFUNCTION("""COMPUTED_VALUE"""),"No")</f>
        <v>No</v>
      </c>
      <c r="C57" s="96"/>
      <c r="D57" s="96"/>
      <c r="E57" s="96"/>
      <c r="F57" s="96"/>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x14ac:dyDescent="0.25">
      <c r="A58" s="4" t="str">
        <f ca="1">IFERROR(__xludf.DUMMYFUNCTION("""COMPUTED_VALUE"""),"Yes")</f>
        <v>Yes</v>
      </c>
      <c r="B58" s="4" t="str">
        <f ca="1">IFERROR(__xludf.DUMMYFUNCTION("""COMPUTED_VALUE"""),"No")</f>
        <v>No</v>
      </c>
      <c r="C58" s="96"/>
      <c r="D58" s="96"/>
      <c r="E58" s="96"/>
      <c r="F58" s="96"/>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x14ac:dyDescent="0.25">
      <c r="A59" s="4" t="str">
        <f ca="1">IFERROR(__xludf.DUMMYFUNCTION("""COMPUTED_VALUE"""),"Yes")</f>
        <v>Yes</v>
      </c>
      <c r="B59" s="4" t="str">
        <f ca="1">IFERROR(__xludf.DUMMYFUNCTION("""COMPUTED_VALUE"""),"No")</f>
        <v>No</v>
      </c>
      <c r="C59" s="96"/>
      <c r="D59" s="96"/>
      <c r="E59" s="96"/>
      <c r="F59" s="96"/>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x14ac:dyDescent="0.25">
      <c r="A60" s="4" t="str">
        <f ca="1">IFERROR(__xludf.DUMMYFUNCTION("""COMPUTED_VALUE"""),"Yes")</f>
        <v>Yes</v>
      </c>
      <c r="B60" s="4" t="str">
        <f ca="1">IFERROR(__xludf.DUMMYFUNCTION("""COMPUTED_VALUE"""),"No")</f>
        <v>No</v>
      </c>
      <c r="C60" s="96"/>
      <c r="D60" s="96"/>
      <c r="E60" s="96"/>
      <c r="F60" s="96"/>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x14ac:dyDescent="0.25">
      <c r="A61" s="4" t="str">
        <f ca="1">IFERROR(__xludf.DUMMYFUNCTION("""COMPUTED_VALUE"""),"Yes")</f>
        <v>Yes</v>
      </c>
      <c r="B61" s="4" t="str">
        <f ca="1">IFERROR(__xludf.DUMMYFUNCTION("""COMPUTED_VALUE"""),"No")</f>
        <v>No</v>
      </c>
      <c r="C61" s="96"/>
      <c r="D61" s="96"/>
      <c r="E61" s="97" t="str">
        <f ca="1">IFERROR(__xludf.DUMMYFUNCTION("""COMPUTED_VALUE"""),"Population Group")</f>
        <v>Population Group</v>
      </c>
      <c r="F61" s="97" t="str">
        <f ca="1">IFERROR(__xludf.DUMMYFUNCTION("""COMPUTED_VALUE"""),"0:N")</f>
        <v>0:N</v>
      </c>
      <c r="G61" s="5" t="str">
        <f ca="1">IFERROR(__xludf.DUMMYFUNCTION("""COMPUTED_VALUE"""),"Population name")</f>
        <v>Population name</v>
      </c>
      <c r="H61" s="5" t="str">
        <f ca="1">IFERROR(__xludf.DUMMYFUNCTION("""COMPUTED_VALUE"""),"1")</f>
        <v>1</v>
      </c>
      <c r="I61" s="5"/>
      <c r="J61" s="13"/>
      <c r="K61" s="5"/>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x14ac:dyDescent="0.25">
      <c r="A62" s="4" t="str">
        <f ca="1">IFERROR(__xludf.DUMMYFUNCTION("""COMPUTED_VALUE"""),"Yes")</f>
        <v>Yes</v>
      </c>
      <c r="B62" s="4" t="str">
        <f ca="1">IFERROR(__xludf.DUMMYFUNCTION("""COMPUTED_VALUE"""),"No")</f>
        <v>No</v>
      </c>
      <c r="C62" s="96"/>
      <c r="D62" s="96"/>
      <c r="E62" s="96"/>
      <c r="F62" s="96"/>
      <c r="G62" s="5" t="str">
        <f ca="1">IFERROR(__xludf.DUMMYFUNCTION("""COMPUTED_VALUE"""),"Target population")</f>
        <v>Target population</v>
      </c>
      <c r="H62" s="5" t="str">
        <f ca="1">IFERROR(__xludf.DUMMYFUNCTION("""COMPUTED_VALUE"""),"0:1")</f>
        <v>0:1</v>
      </c>
      <c r="I62" s="5"/>
      <c r="J62" s="13"/>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x14ac:dyDescent="0.25">
      <c r="A63" s="4" t="str">
        <f ca="1">IFERROR(__xludf.DUMMYFUNCTION("""COMPUTED_VALUE"""),"Yes")</f>
        <v>Yes</v>
      </c>
      <c r="B63" s="4" t="str">
        <f ca="1">IFERROR(__xludf.DUMMYFUNCTION("""COMPUTED_VALUE"""),"No")</f>
        <v>No</v>
      </c>
      <c r="C63" s="96"/>
      <c r="D63" s="96"/>
      <c r="E63" s="96"/>
      <c r="F63" s="96"/>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x14ac:dyDescent="0.25">
      <c r="A64" s="4" t="str">
        <f ca="1">IFERROR(__xludf.DUMMYFUNCTION("""COMPUTED_VALUE"""),"Yes")</f>
        <v>Yes</v>
      </c>
      <c r="B64" s="4" t="str">
        <f ca="1">IFERROR(__xludf.DUMMYFUNCTION("""COMPUTED_VALUE"""),"No")</f>
        <v>No</v>
      </c>
      <c r="C64" s="96"/>
      <c r="D64" s="96"/>
      <c r="E64" s="96"/>
      <c r="F64" s="96"/>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x14ac:dyDescent="0.25">
      <c r="A65" s="4" t="str">
        <f ca="1">IFERROR(__xludf.DUMMYFUNCTION("""COMPUTED_VALUE"""),"Yes")</f>
        <v>Yes</v>
      </c>
      <c r="B65" s="4" t="str">
        <f ca="1">IFERROR(__xludf.DUMMYFUNCTION("""COMPUTED_VALUE"""),"No")</f>
        <v>No</v>
      </c>
      <c r="C65" s="96"/>
      <c r="D65" s="96"/>
      <c r="E65" s="96"/>
      <c r="F65" s="96"/>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x14ac:dyDescent="0.25">
      <c r="A66" s="4" t="str">
        <f ca="1">IFERROR(__xludf.DUMMYFUNCTION("""COMPUTED_VALUE"""),"Yes")</f>
        <v>Yes</v>
      </c>
      <c r="B66" s="4" t="str">
        <f ca="1">IFERROR(__xludf.DUMMYFUNCTION("""COMPUTED_VALUE"""),"No")</f>
        <v>No</v>
      </c>
      <c r="C66" s="96"/>
      <c r="D66" s="96"/>
      <c r="E66" s="96"/>
      <c r="F66" s="96"/>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x14ac:dyDescent="0.25">
      <c r="A67" s="4" t="str">
        <f ca="1">IFERROR(__xludf.DUMMYFUNCTION("""COMPUTED_VALUE"""),"Yes")</f>
        <v>Yes</v>
      </c>
      <c r="B67" s="4" t="str">
        <f ca="1">IFERROR(__xludf.DUMMYFUNCTION("""COMPUTED_VALUE"""),"No")</f>
        <v>No</v>
      </c>
      <c r="C67" s="96"/>
      <c r="D67" s="96"/>
      <c r="E67" s="96"/>
      <c r="F67" s="96"/>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x14ac:dyDescent="0.25">
      <c r="A68" s="4" t="str">
        <f ca="1">IFERROR(__xludf.DUMMYFUNCTION("""COMPUTED_VALUE"""),"Yes")</f>
        <v>Yes</v>
      </c>
      <c r="B68" s="4" t="str">
        <f ca="1">IFERROR(__xludf.DUMMYFUNCTION("""COMPUTED_VALUE"""),"No")</f>
        <v>No</v>
      </c>
      <c r="C68" s="96"/>
      <c r="D68" s="96"/>
      <c r="E68" s="96"/>
      <c r="F68" s="96"/>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x14ac:dyDescent="0.25">
      <c r="A69" s="4" t="str">
        <f ca="1">IFERROR(__xludf.DUMMYFUNCTION("""COMPUTED_VALUE"""),"Yes")</f>
        <v>Yes</v>
      </c>
      <c r="B69" s="4" t="str">
        <f ca="1">IFERROR(__xludf.DUMMYFUNCTION("""COMPUTED_VALUE"""),"No")</f>
        <v>No</v>
      </c>
      <c r="C69" s="96"/>
      <c r="D69" s="96"/>
      <c r="E69" s="96"/>
      <c r="F69" s="96"/>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x14ac:dyDescent="0.25">
      <c r="A70" s="4" t="str">
        <f ca="1">IFERROR(__xludf.DUMMYFUNCTION("""COMPUTED_VALUE"""),"Yes")</f>
        <v>Yes</v>
      </c>
      <c r="B70" s="4" t="str">
        <f ca="1">IFERROR(__xludf.DUMMYFUNCTION("""COMPUTED_VALUE"""),"No")</f>
        <v>No</v>
      </c>
      <c r="C70" s="96"/>
      <c r="D70" s="96"/>
      <c r="E70" s="96"/>
      <c r="F70" s="96"/>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x14ac:dyDescent="0.25">
      <c r="A71" s="4" t="str">
        <f ca="1">IFERROR(__xludf.DUMMYFUNCTION("""COMPUTED_VALUE"""),"Yes")</f>
        <v>Yes</v>
      </c>
      <c r="B71" s="4" t="str">
        <f ca="1">IFERROR(__xludf.DUMMYFUNCTION("""COMPUTED_VALUE"""),"No")</f>
        <v>No</v>
      </c>
      <c r="C71" s="96"/>
      <c r="D71" s="96"/>
      <c r="E71" s="96"/>
      <c r="F71" s="96"/>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x14ac:dyDescent="0.25">
      <c r="A72" s="4" t="str">
        <f ca="1">IFERROR(__xludf.DUMMYFUNCTION("""COMPUTED_VALUE"""),"Yes")</f>
        <v>Yes</v>
      </c>
      <c r="B72" s="4" t="str">
        <f ca="1">IFERROR(__xludf.DUMMYFUNCTION("""COMPUTED_VALUE"""),"No")</f>
        <v>No</v>
      </c>
      <c r="C72" s="96"/>
      <c r="D72" s="96"/>
      <c r="E72" s="96"/>
      <c r="F72" s="96"/>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x14ac:dyDescent="0.25">
      <c r="A73" s="4" t="str">
        <f ca="1">IFERROR(__xludf.DUMMYFUNCTION("""COMPUTED_VALUE"""),"Yes")</f>
        <v>Yes</v>
      </c>
      <c r="B73" s="4" t="str">
        <f ca="1">IFERROR(__xludf.DUMMYFUNCTION("""COMPUTED_VALUE"""),"No")</f>
        <v>No</v>
      </c>
      <c r="C73" s="96"/>
      <c r="D73" s="96"/>
      <c r="E73" s="96"/>
      <c r="F73" s="96"/>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x14ac:dyDescent="0.25">
      <c r="A74" s="4" t="str">
        <f ca="1">IFERROR(__xludf.DUMMYFUNCTION("""COMPUTED_VALUE"""),"Yes")</f>
        <v>Yes</v>
      </c>
      <c r="B74" s="4" t="str">
        <f ca="1">IFERROR(__xludf.DUMMYFUNCTION("""COMPUTED_VALUE"""),"No")</f>
        <v>No</v>
      </c>
      <c r="C74" s="96"/>
      <c r="D74" s="96"/>
      <c r="E74" s="5" t="str">
        <f ca="1">IFERROR(__xludf.DUMMYFUNCTION("""COMPUTED_VALUE"""),"General comment")</f>
        <v>General comment</v>
      </c>
      <c r="F74" s="97" t="str">
        <f ca="1">IFERROR(__xludf.DUMMYFUNCTION("""COMPUTED_VALUE"""),"0:1")</f>
        <v>0:1</v>
      </c>
      <c r="G74" s="96"/>
      <c r="H74" s="96"/>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x14ac:dyDescent="0.25">
      <c r="A75" s="4" t="str">
        <f ca="1">IFERROR(__xludf.DUMMYFUNCTION("""COMPUTED_VALUE"""),"Yes")</f>
        <v>Yes</v>
      </c>
      <c r="B75" s="4" t="str">
        <f ca="1">IFERROR(__xludf.DUMMYFUNCTION("""COMPUTED_VALUE"""),"No")</f>
        <v>No</v>
      </c>
      <c r="C75" s="96"/>
      <c r="D75" s="96"/>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x14ac:dyDescent="0.25">
      <c r="A76" s="4" t="str">
        <f ca="1">IFERROR(__xludf.DUMMYFUNCTION("""COMPUTED_VALUE"""),"Yes")</f>
        <v>Yes</v>
      </c>
      <c r="B76" s="4" t="str">
        <f ca="1">IFERROR(__xludf.DUMMYFUNCTION("""COMPUTED_VALUE"""),"No")</f>
        <v>No</v>
      </c>
      <c r="C76" s="96"/>
      <c r="D76" s="96"/>
      <c r="E76" s="97" t="str">
        <f ca="1">IFERROR(__xludf.DUMMYFUNCTION("""COMPUTED_VALUE"""),"Spatial information")</f>
        <v>Spatial information</v>
      </c>
      <c r="F76" s="97" t="str">
        <f ca="1">IFERROR(__xludf.DUMMYFUNCTION("""COMPUTED_VALUE"""),"0:1")</f>
        <v>0:1</v>
      </c>
      <c r="G76" s="5" t="str">
        <f ca="1">IFERROR(__xludf.DUMMYFUNCTION("""COMPUTED_VALUE"""),"Region")</f>
        <v>Region</v>
      </c>
      <c r="H76" s="5" t="str">
        <f ca="1">IFERROR(__xludf.DUMMYFUNCTION("""COMPUTED_VALUE"""),"0:N")</f>
        <v>0:N</v>
      </c>
      <c r="I76" s="5"/>
      <c r="J76" s="15"/>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x14ac:dyDescent="0.25">
      <c r="A77" s="4" t="str">
        <f ca="1">IFERROR(__xludf.DUMMYFUNCTION("""COMPUTED_VALUE"""),"Yes")</f>
        <v>Yes</v>
      </c>
      <c r="B77" s="4" t="str">
        <f ca="1">IFERROR(__xludf.DUMMYFUNCTION("""COMPUTED_VALUE"""),"No")</f>
        <v>No</v>
      </c>
      <c r="C77" s="96"/>
      <c r="D77" s="96"/>
      <c r="E77" s="96"/>
      <c r="F77" s="96"/>
      <c r="G77" s="5" t="str">
        <f ca="1">IFERROR(__xludf.DUMMYFUNCTION("""COMPUTED_VALUE"""),"Country")</f>
        <v>Country</v>
      </c>
      <c r="H77" s="5" t="str">
        <f ca="1">IFERROR(__xludf.DUMMYFUNCTION("""COMPUTED_VALUE"""),"0:N")</f>
        <v>0:N</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x14ac:dyDescent="0.25">
      <c r="A78" s="4" t="str">
        <f ca="1">IFERROR(__xludf.DUMMYFUNCTION("""COMPUTED_VALUE"""),"Yes")</f>
        <v>Yes</v>
      </c>
      <c r="B78" s="4" t="str">
        <f ca="1">IFERROR(__xludf.DUMMYFUNCTION("""COMPUTED_VALUE"""),"No")</f>
        <v>No</v>
      </c>
      <c r="C78" s="95" t="str">
        <f ca="1">IFERROR(__xludf.DUMMYFUNCTION("""COMPUTED_VALUE"""),"Data_background")</f>
        <v>Data_background</v>
      </c>
      <c r="D78" s="95" t="str">
        <f ca="1">IFERROR(__xludf.DUMMYFUNCTION("""COMPUTED_VALUE"""),"0:1")</f>
        <v>0:1</v>
      </c>
      <c r="E78" s="97" t="str">
        <f ca="1">IFERROR(__xludf.DUMMYFUNCTION("""COMPUTED_VALUE"""),"Study")</f>
        <v>Study</v>
      </c>
      <c r="F78" s="97" t="str">
        <f ca="1">IFERROR(__xludf.DUMMYFUNCTION("""COMPUTED_VALUE"""),"1")</f>
        <v>1</v>
      </c>
      <c r="G78" s="5" t="str">
        <f ca="1">IFERROR(__xludf.DUMMYFUNCTION("""COMPUTED_VALUE"""),"Study Identifier")</f>
        <v>Study Identifier</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x14ac:dyDescent="0.25">
      <c r="A79" s="4" t="str">
        <f ca="1">IFERROR(__xludf.DUMMYFUNCTION("""COMPUTED_VALUE"""),"Yes")</f>
        <v>Yes</v>
      </c>
      <c r="B79" s="4" t="str">
        <f ca="1">IFERROR(__xludf.DUMMYFUNCTION("""COMPUTED_VALUE"""),"No")</f>
        <v>No</v>
      </c>
      <c r="C79" s="96"/>
      <c r="D79" s="96"/>
      <c r="E79" s="96"/>
      <c r="F79" s="96"/>
      <c r="G79" s="5" t="str">
        <f ca="1">IFERROR(__xludf.DUMMYFUNCTION("""COMPUTED_VALUE"""),"Study Title")</f>
        <v>Study Title</v>
      </c>
      <c r="H79" s="5" t="str">
        <f ca="1">IFERROR(__xludf.DUMMYFUNCTION("""COMPUTED_VALUE"""),"1")</f>
        <v>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x14ac:dyDescent="0.25">
      <c r="A80" s="4" t="str">
        <f ca="1">IFERROR(__xludf.DUMMYFUNCTION("""COMPUTED_VALUE"""),"Yes")</f>
        <v>Yes</v>
      </c>
      <c r="B80" s="4" t="str">
        <f ca="1">IFERROR(__xludf.DUMMYFUNCTION("""COMPUTED_VALUE"""),"No")</f>
        <v>No</v>
      </c>
      <c r="C80" s="96"/>
      <c r="D80" s="96"/>
      <c r="E80" s="96"/>
      <c r="F80" s="96"/>
      <c r="G80" s="5" t="str">
        <f ca="1">IFERROR(__xludf.DUMMYFUNCTION("""COMPUTED_VALUE"""),"Study Description")</f>
        <v>Study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x14ac:dyDescent="0.25">
      <c r="A81" s="4" t="str">
        <f ca="1">IFERROR(__xludf.DUMMYFUNCTION("""COMPUTED_VALUE"""),"Yes")</f>
        <v>Yes</v>
      </c>
      <c r="B81" s="4" t="str">
        <f ca="1">IFERROR(__xludf.DUMMYFUNCTION("""COMPUTED_VALUE"""),"No")</f>
        <v>No</v>
      </c>
      <c r="C81" s="96"/>
      <c r="D81" s="96"/>
      <c r="E81" s="96"/>
      <c r="F81" s="96"/>
      <c r="G81" s="5" t="str">
        <f ca="1">IFERROR(__xludf.DUMMYFUNCTION("""COMPUTED_VALUE"""),"Study Design Type")</f>
        <v>Study Design Type</v>
      </c>
      <c r="H81" s="5" t="str">
        <f ca="1">IFERROR(__xludf.DUMMYFUNCTION("""COMPUTED_VALUE"""),"0:1")</f>
        <v>0:1</v>
      </c>
      <c r="I81" s="7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x14ac:dyDescent="0.25">
      <c r="A82" s="4" t="str">
        <f ca="1">IFERROR(__xludf.DUMMYFUNCTION("""COMPUTED_VALUE"""),"Yes")</f>
        <v>Yes</v>
      </c>
      <c r="B82" s="4" t="str">
        <f ca="1">IFERROR(__xludf.DUMMYFUNCTION("""COMPUTED_VALUE"""),"No")</f>
        <v>No</v>
      </c>
      <c r="C82" s="96"/>
      <c r="D82" s="96"/>
      <c r="E82" s="96"/>
      <c r="F82" s="96"/>
      <c r="G82" s="5" t="str">
        <f ca="1">IFERROR(__xludf.DUMMYFUNCTION("""COMPUTED_VALUE"""),"Study Assay Measurement Type")</f>
        <v>Study Assay Measurement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x14ac:dyDescent="0.25">
      <c r="A83" s="4" t="str">
        <f ca="1">IFERROR(__xludf.DUMMYFUNCTION("""COMPUTED_VALUE"""),"Yes")</f>
        <v>Yes</v>
      </c>
      <c r="B83" s="4" t="str">
        <f ca="1">IFERROR(__xludf.DUMMYFUNCTION("""COMPUTED_VALUE"""),"No")</f>
        <v>No</v>
      </c>
      <c r="C83" s="96"/>
      <c r="D83" s="96"/>
      <c r="E83" s="96"/>
      <c r="F83" s="96"/>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x14ac:dyDescent="0.25">
      <c r="A84" s="4" t="str">
        <f ca="1">IFERROR(__xludf.DUMMYFUNCTION("""COMPUTED_VALUE"""),"Yes")</f>
        <v>Yes</v>
      </c>
      <c r="B84" s="4" t="str">
        <f ca="1">IFERROR(__xludf.DUMMYFUNCTION("""COMPUTED_VALUE"""),"No")</f>
        <v>No</v>
      </c>
      <c r="C84" s="96"/>
      <c r="D84" s="96"/>
      <c r="E84" s="96"/>
      <c r="F84" s="96"/>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x14ac:dyDescent="0.25">
      <c r="A85" s="4" t="str">
        <f ca="1">IFERROR(__xludf.DUMMYFUNCTION("""COMPUTED_VALUE"""),"Yes")</f>
        <v>Yes</v>
      </c>
      <c r="B85" s="4" t="str">
        <f ca="1">IFERROR(__xludf.DUMMYFUNCTION("""COMPUTED_VALUE"""),"No")</f>
        <v>No</v>
      </c>
      <c r="C85" s="96"/>
      <c r="D85" s="96"/>
      <c r="E85" s="96"/>
      <c r="F85" s="96"/>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x14ac:dyDescent="0.25">
      <c r="A86" s="4" t="str">
        <f ca="1">IFERROR(__xludf.DUMMYFUNCTION("""COMPUTED_VALUE"""),"Yes")</f>
        <v>Yes</v>
      </c>
      <c r="B86" s="4" t="str">
        <f ca="1">IFERROR(__xludf.DUMMYFUNCTION("""COMPUTED_VALUE"""),"No")</f>
        <v>No</v>
      </c>
      <c r="C86" s="96"/>
      <c r="D86" s="96"/>
      <c r="E86" s="96"/>
      <c r="F86" s="96"/>
      <c r="G86" s="5" t="str">
        <f ca="1">IFERROR(__xludf.DUMMYFUNCTION("""COMPUTED_VALUE"""),"Study Protocol Name")</f>
        <v>Study Protocol Name</v>
      </c>
      <c r="H86" s="5" t="str">
        <f ca="1">IFERROR(__xludf.DUMMYFUNCTION("""COMPUTED_VALUE"""),"0:1")</f>
        <v>0:1</v>
      </c>
      <c r="I86" s="5"/>
      <c r="J86" s="11"/>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x14ac:dyDescent="0.25">
      <c r="A87" s="4" t="str">
        <f ca="1">IFERROR(__xludf.DUMMYFUNCTION("""COMPUTED_VALUE"""),"Yes")</f>
        <v>Yes</v>
      </c>
      <c r="B87" s="4" t="str">
        <f ca="1">IFERROR(__xludf.DUMMYFUNCTION("""COMPUTED_VALUE"""),"No")</f>
        <v>No</v>
      </c>
      <c r="C87" s="96"/>
      <c r="D87" s="96"/>
      <c r="E87" s="96"/>
      <c r="F87" s="96"/>
      <c r="G87" s="5" t="str">
        <f ca="1">IFERROR(__xludf.DUMMYFUNCTION("""COMPUTED_VALUE"""),"Study Protocol Type")</f>
        <v>Study Protocol Type</v>
      </c>
      <c r="H87" s="5" t="str">
        <f ca="1">IFERROR(__xludf.DUMMYFUNCTION("""COMPUTED_VALUE"""),"0:1")</f>
        <v>0:1</v>
      </c>
      <c r="I87" s="75"/>
      <c r="J87" s="11"/>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x14ac:dyDescent="0.25">
      <c r="A88" s="4" t="str">
        <f ca="1">IFERROR(__xludf.DUMMYFUNCTION("""COMPUTED_VALUE"""),"Yes")</f>
        <v>Yes</v>
      </c>
      <c r="B88" s="4" t="str">
        <f ca="1">IFERROR(__xludf.DUMMYFUNCTION("""COMPUTED_VALUE"""),"No")</f>
        <v>No</v>
      </c>
      <c r="C88" s="96"/>
      <c r="D88" s="96"/>
      <c r="E88" s="96"/>
      <c r="F88" s="96"/>
      <c r="G88" s="5" t="str">
        <f ca="1">IFERROR(__xludf.DUMMYFUNCTION("""COMPUTED_VALUE"""),"Study Protocol Description")</f>
        <v>Study Protocol Description</v>
      </c>
      <c r="H88" s="5" t="str">
        <f ca="1">IFERROR(__xludf.DUMMYFUNCTION("""COMPUTED_VALUE"""),"0:1")</f>
        <v>0:1</v>
      </c>
      <c r="I88" s="5"/>
      <c r="J88" s="11"/>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x14ac:dyDescent="0.25">
      <c r="A89" s="4" t="str">
        <f ca="1">IFERROR(__xludf.DUMMYFUNCTION("""COMPUTED_VALUE"""),"Yes")</f>
        <v>Yes</v>
      </c>
      <c r="B89" s="4" t="str">
        <f ca="1">IFERROR(__xludf.DUMMYFUNCTION("""COMPUTED_VALUE"""),"No")</f>
        <v>No</v>
      </c>
      <c r="C89" s="96"/>
      <c r="D89" s="96"/>
      <c r="E89" s="96"/>
      <c r="F89" s="96"/>
      <c r="G89" s="5" t="str">
        <f ca="1">IFERROR(__xludf.DUMMYFUNCTION("""COMPUTED_VALUE"""),"Study Protocol URI")</f>
        <v>Study Protocol URI</v>
      </c>
      <c r="H89" s="5" t="str">
        <f ca="1">IFERROR(__xludf.DUMMYFUNCTION("""COMPUTED_VALUE"""),"0:1")</f>
        <v>0:1</v>
      </c>
      <c r="I89" s="5"/>
      <c r="J89" s="11"/>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x14ac:dyDescent="0.25">
      <c r="A90" s="4" t="str">
        <f ca="1">IFERROR(__xludf.DUMMYFUNCTION("""COMPUTED_VALUE"""),"Yes")</f>
        <v>Yes</v>
      </c>
      <c r="B90" s="4" t="str">
        <f ca="1">IFERROR(__xludf.DUMMYFUNCTION("""COMPUTED_VALUE"""),"No")</f>
        <v>No</v>
      </c>
      <c r="C90" s="96"/>
      <c r="D90" s="96"/>
      <c r="E90" s="96"/>
      <c r="F90" s="96"/>
      <c r="G90" s="5" t="str">
        <f ca="1">IFERROR(__xludf.DUMMYFUNCTION("""COMPUTED_VALUE"""),"Study Protocol Version")</f>
        <v>Study Protocol Version</v>
      </c>
      <c r="H90" s="5" t="str">
        <f ca="1">IFERROR(__xludf.DUMMYFUNCTION("""COMPUTED_VALUE"""),"0:1")</f>
        <v>0:1</v>
      </c>
      <c r="I90" s="5"/>
      <c r="J90" s="11"/>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x14ac:dyDescent="0.25">
      <c r="A91" s="4" t="str">
        <f ca="1">IFERROR(__xludf.DUMMYFUNCTION("""COMPUTED_VALUE"""),"Yes")</f>
        <v>Yes</v>
      </c>
      <c r="B91" s="4" t="str">
        <f ca="1">IFERROR(__xludf.DUMMYFUNCTION("""COMPUTED_VALUE"""),"No")</f>
        <v>No</v>
      </c>
      <c r="C91" s="96"/>
      <c r="D91" s="96"/>
      <c r="E91" s="96"/>
      <c r="F91" s="96"/>
      <c r="G91" s="5" t="str">
        <f ca="1">IFERROR(__xludf.DUMMYFUNCTION("""COMPUTED_VALUE"""),"Study Protocol Parameters Name")</f>
        <v>Study Protocol Parameters Name</v>
      </c>
      <c r="H91" s="5" t="str">
        <f ca="1">IFERROR(__xludf.DUMMYFUNCTION("""COMPUTED_VALUE"""),"0:1")</f>
        <v>0:1</v>
      </c>
      <c r="I91" s="75"/>
      <c r="J91" s="11"/>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x14ac:dyDescent="0.25">
      <c r="A92" s="4" t="str">
        <f ca="1">IFERROR(__xludf.DUMMYFUNCTION("""COMPUTED_VALUE"""),"Yes")</f>
        <v>Yes</v>
      </c>
      <c r="B92" s="4" t="str">
        <f ca="1">IFERROR(__xludf.DUMMYFUNCTION("""COMPUTED_VALUE"""),"No")</f>
        <v>No</v>
      </c>
      <c r="C92" s="96"/>
      <c r="D92" s="96"/>
      <c r="E92" s="96"/>
      <c r="F92" s="96"/>
      <c r="G92" s="5" t="str">
        <f ca="1">IFERROR(__xludf.DUMMYFUNCTION("""COMPUTED_VALUE"""),"Study Protocol Components Name")</f>
        <v>Study Protocol Components Name</v>
      </c>
      <c r="H92" s="5" t="str">
        <f ca="1">IFERROR(__xludf.DUMMYFUNCTION("""COMPUTED_VALUE"""),"0:1")</f>
        <v>0:1</v>
      </c>
      <c r="I92" s="5"/>
      <c r="J92" s="11"/>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x14ac:dyDescent="0.25">
      <c r="A93" s="4" t="str">
        <f ca="1">IFERROR(__xludf.DUMMYFUNCTION("""COMPUTED_VALUE"""),"Yes")</f>
        <v>Yes</v>
      </c>
      <c r="B93" s="4" t="str">
        <f ca="1">IFERROR(__xludf.DUMMYFUNCTION("""COMPUTED_VALUE"""),"No")</f>
        <v>No</v>
      </c>
      <c r="C93" s="96"/>
      <c r="D93" s="96"/>
      <c r="E93" s="96"/>
      <c r="F93" s="96"/>
      <c r="G93" s="5" t="str">
        <f ca="1">IFERROR(__xludf.DUMMYFUNCTION("""COMPUTED_VALUE"""),"Study Protocol Components Type")</f>
        <v>Study Protocol Components Type</v>
      </c>
      <c r="H93" s="5" t="str">
        <f ca="1">IFERROR(__xludf.DUMMYFUNCTION("""COMPUTED_VALUE"""),"0:1")</f>
        <v>0:1</v>
      </c>
      <c r="I93" s="75"/>
      <c r="J93" s="11"/>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x14ac:dyDescent="0.25">
      <c r="A94" s="4" t="str">
        <f ca="1">IFERROR(__xludf.DUMMYFUNCTION("""COMPUTED_VALUE"""),"Yes")</f>
        <v>Yes</v>
      </c>
      <c r="B94" s="4" t="str">
        <f ca="1">IFERROR(__xludf.DUMMYFUNCTION("""COMPUTED_VALUE"""),"No")</f>
        <v>No</v>
      </c>
      <c r="C94" s="96"/>
      <c r="D94" s="96"/>
      <c r="E94" s="97" t="str">
        <f ca="1">IFERROR(__xludf.DUMMYFUNCTION("""COMPUTED_VALUE"""),"Study Sample")</f>
        <v>Study Sample</v>
      </c>
      <c r="F94" s="97" t="str">
        <f ca="1">IFERROR(__xludf.DUMMYFUNCTION("""COMPUTED_VALUE"""),"0:N")</f>
        <v>0:N</v>
      </c>
      <c r="G94" s="5" t="str">
        <f ca="1">IFERROR(__xludf.DUMMYFUNCTION("""COMPUTED_VALUE"""),"Sample Name (ID)")</f>
        <v>Sample Name (ID)</v>
      </c>
      <c r="H94" s="5" t="str">
        <f ca="1">IFERROR(__xludf.DUMMYFUNCTION("""COMPUTED_VALUE"""),"1")</f>
        <v>1</v>
      </c>
      <c r="I94" s="5"/>
      <c r="J94" s="13"/>
      <c r="K94" s="4"/>
      <c r="L94" s="99" t="str">
        <f ca="1">E94</f>
        <v>Study Sample</v>
      </c>
      <c r="M94" s="96"/>
      <c r="N94" s="96"/>
      <c r="O94" s="96"/>
      <c r="P94" s="96"/>
      <c r="Q94" s="96"/>
      <c r="R94" s="96"/>
      <c r="S94" s="96"/>
      <c r="T94" s="96"/>
      <c r="U94" s="96"/>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x14ac:dyDescent="0.25">
      <c r="A95" s="4" t="str">
        <f ca="1">IFERROR(__xludf.DUMMYFUNCTION("""COMPUTED_VALUE"""),"Yes")</f>
        <v>Yes</v>
      </c>
      <c r="B95" s="4" t="str">
        <f ca="1">IFERROR(__xludf.DUMMYFUNCTION("""COMPUTED_VALUE"""),"No")</f>
        <v>No</v>
      </c>
      <c r="C95" s="96"/>
      <c r="D95" s="96"/>
      <c r="E95" s="96"/>
      <c r="F95" s="96"/>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x14ac:dyDescent="0.25">
      <c r="A96" s="4" t="str">
        <f ca="1">IFERROR(__xludf.DUMMYFUNCTION("""COMPUTED_VALUE"""),"Yes")</f>
        <v>Yes</v>
      </c>
      <c r="B96" s="4" t="str">
        <f ca="1">IFERROR(__xludf.DUMMYFUNCTION("""COMPUTED_VALUE"""),"No")</f>
        <v>No</v>
      </c>
      <c r="C96" s="96"/>
      <c r="D96" s="96"/>
      <c r="E96" s="96"/>
      <c r="F96" s="96"/>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x14ac:dyDescent="0.25">
      <c r="A97" s="4" t="str">
        <f ca="1">IFERROR(__xludf.DUMMYFUNCTION("""COMPUTED_VALUE"""),"Yes")</f>
        <v>Yes</v>
      </c>
      <c r="B97" s="4" t="str">
        <f ca="1">IFERROR(__xludf.DUMMYFUNCTION("""COMPUTED_VALUE"""),"No")</f>
        <v>No</v>
      </c>
      <c r="C97" s="96"/>
      <c r="D97" s="96"/>
      <c r="E97" s="96"/>
      <c r="F97" s="96"/>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x14ac:dyDescent="0.25">
      <c r="A98" s="4" t="str">
        <f ca="1">IFERROR(__xludf.DUMMYFUNCTION("""COMPUTED_VALUE"""),"Yes")</f>
        <v>Yes</v>
      </c>
      <c r="B98" s="4" t="str">
        <f ca="1">IFERROR(__xludf.DUMMYFUNCTION("""COMPUTED_VALUE"""),"No")</f>
        <v>No</v>
      </c>
      <c r="C98" s="96"/>
      <c r="D98" s="96"/>
      <c r="E98" s="96"/>
      <c r="F98" s="96"/>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x14ac:dyDescent="0.25">
      <c r="A99" s="4" t="str">
        <f ca="1">IFERROR(__xludf.DUMMYFUNCTION("""COMPUTED_VALUE"""),"Yes")</f>
        <v>Yes</v>
      </c>
      <c r="B99" s="4" t="str">
        <f ca="1">IFERROR(__xludf.DUMMYFUNCTION("""COMPUTED_VALUE"""),"No")</f>
        <v>No</v>
      </c>
      <c r="C99" s="96"/>
      <c r="D99" s="96"/>
      <c r="E99" s="96"/>
      <c r="F99" s="96"/>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x14ac:dyDescent="0.25">
      <c r="A100" s="4" t="str">
        <f ca="1">IFERROR(__xludf.DUMMYFUNCTION("""COMPUTED_VALUE"""),"Yes")</f>
        <v>Yes</v>
      </c>
      <c r="B100" s="4" t="str">
        <f ca="1">IFERROR(__xludf.DUMMYFUNCTION("""COMPUTED_VALUE"""),"No")</f>
        <v>No</v>
      </c>
      <c r="C100" s="96"/>
      <c r="D100" s="96"/>
      <c r="E100" s="96"/>
      <c r="F100" s="96"/>
      <c r="G100" s="5" t="str">
        <f ca="1">IFERROR(__xludf.DUMMYFUNCTION("""COMPUTED_VALUE"""),"Sampling weight")</f>
        <v>Sampling weight</v>
      </c>
      <c r="H100" s="5" t="str">
        <f ca="1">IFERROR(__xludf.DUMMYFUNCTION("""COMPUTED_VALUE"""),"1")</f>
        <v>1</v>
      </c>
      <c r="I100" s="5"/>
      <c r="J100" s="13"/>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x14ac:dyDescent="0.25">
      <c r="A101" s="4" t="str">
        <f ca="1">IFERROR(__xludf.DUMMYFUNCTION("""COMPUTED_VALUE"""),"Yes")</f>
        <v>Yes</v>
      </c>
      <c r="B101" s="4" t="str">
        <f ca="1">IFERROR(__xludf.DUMMYFUNCTION("""COMPUTED_VALUE"""),"No")</f>
        <v>No</v>
      </c>
      <c r="C101" s="96"/>
      <c r="D101" s="96"/>
      <c r="E101" s="96"/>
      <c r="F101" s="96"/>
      <c r="G101" s="5" t="str">
        <f ca="1">IFERROR(__xludf.DUMMYFUNCTION("""COMPUTED_VALUE"""),"Sampling size")</f>
        <v>Sampling size</v>
      </c>
      <c r="H101" s="5" t="str">
        <f ca="1">IFERROR(__xludf.DUMMYFUNCTION("""COMPUTED_VALUE"""),"1")</f>
        <v>1</v>
      </c>
      <c r="I101" s="5"/>
      <c r="J101" s="13"/>
      <c r="K101" s="4"/>
      <c r="L101" s="99" t="str">
        <f ca="1">E104</f>
        <v>Laboratory</v>
      </c>
      <c r="M101" s="96"/>
      <c r="N101" s="96"/>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x14ac:dyDescent="0.25">
      <c r="A102" s="4" t="str">
        <f ca="1">IFERROR(__xludf.DUMMYFUNCTION("""COMPUTED_VALUE"""),"Yes")</f>
        <v>Yes</v>
      </c>
      <c r="B102" s="4" t="str">
        <f ca="1">IFERROR(__xludf.DUMMYFUNCTION("""COMPUTED_VALUE"""),"No")</f>
        <v>No</v>
      </c>
      <c r="C102" s="96"/>
      <c r="D102" s="96"/>
      <c r="E102" s="96"/>
      <c r="F102" s="96"/>
      <c r="G102" s="5" t="str">
        <f ca="1">IFERROR(__xludf.DUMMYFUNCTION("""COMPUTED_VALUE"""),"Lot size unit")</f>
        <v>Lot size unit</v>
      </c>
      <c r="H102" s="5" t="str">
        <f ca="1">IFERROR(__xludf.DUMMYFUNCTION("""COMPUTED_VALUE"""),"0:1")</f>
        <v>0:1</v>
      </c>
      <c r="I102" s="5"/>
      <c r="J102" s="13"/>
      <c r="K102" s="4"/>
      <c r="L102" s="7" t="str">
        <f ca="1">G104</f>
        <v>Laboratory accreditation</v>
      </c>
      <c r="M102" s="7" t="str">
        <f ca="1">G105</f>
        <v>Laboratory Name</v>
      </c>
      <c r="N102" s="7" t="str">
        <f ca="1">G106</f>
        <v>Laboratory country</v>
      </c>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x14ac:dyDescent="0.25">
      <c r="A103" s="4" t="str">
        <f ca="1">IFERROR(__xludf.DUMMYFUNCTION("""COMPUTED_VALUE"""),"Yes")</f>
        <v>Yes</v>
      </c>
      <c r="B103" s="4" t="str">
        <f ca="1">IFERROR(__xludf.DUMMYFUNCTION("""COMPUTED_VALUE"""),"No")</f>
        <v>No</v>
      </c>
      <c r="C103" s="96"/>
      <c r="D103" s="96"/>
      <c r="E103" s="96"/>
      <c r="F103" s="96"/>
      <c r="G103" s="5" t="str">
        <f ca="1">IFERROR(__xludf.DUMMYFUNCTION("""COMPUTED_VALUE"""),"Sampling point")</f>
        <v>Sampling point</v>
      </c>
      <c r="H103" s="5" t="str">
        <f ca="1">IFERROR(__xludf.DUMMYFUNCTION("""COMPUTED_VALUE"""),"0:1")</f>
        <v>0:1</v>
      </c>
      <c r="I103" s="5"/>
      <c r="J103" s="13"/>
      <c r="K103" s="4"/>
      <c r="L103" s="4" t="str">
        <f ca="1">H104</f>
        <v>1:N</v>
      </c>
      <c r="M103" s="4" t="str">
        <f ca="1">H105</f>
        <v>0:1</v>
      </c>
      <c r="N103" s="4" t="str">
        <f ca="1">H106</f>
        <v>0:1</v>
      </c>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x14ac:dyDescent="0.25">
      <c r="A104" s="4" t="str">
        <f ca="1">IFERROR(__xludf.DUMMYFUNCTION("""COMPUTED_VALUE"""),"Yes")</f>
        <v>Yes</v>
      </c>
      <c r="B104" s="4" t="str">
        <f ca="1">IFERROR(__xludf.DUMMYFUNCTION("""COMPUTED_VALUE"""),"No")</f>
        <v>No</v>
      </c>
      <c r="C104" s="96"/>
      <c r="D104" s="96"/>
      <c r="E104" s="97" t="str">
        <f ca="1">IFERROR(__xludf.DUMMYFUNCTION("""COMPUTED_VALUE"""),"Laboratory")</f>
        <v>Laboratory</v>
      </c>
      <c r="F104" s="97" t="str">
        <f ca="1">IFERROR(__xludf.DUMMYFUNCTION("""COMPUTED_VALUE"""),"0:N")</f>
        <v>0:N</v>
      </c>
      <c r="G104" s="5" t="str">
        <f ca="1">IFERROR(__xludf.DUMMYFUNCTION("""COMPUTED_VALUE"""),"Laboratory accreditation")</f>
        <v>Laboratory accreditation</v>
      </c>
      <c r="H104" s="5" t="str">
        <f ca="1">IFERROR(__xludf.DUMMYFUNCTION("""COMPUTED_VALUE"""),"1:N")</f>
        <v>1:N</v>
      </c>
      <c r="I104" s="5"/>
      <c r="J104" s="13"/>
      <c r="K104" s="4"/>
      <c r="L104" s="65"/>
      <c r="M104" s="63"/>
      <c r="N104" s="63"/>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x14ac:dyDescent="0.25">
      <c r="A105" s="4" t="str">
        <f ca="1">IFERROR(__xludf.DUMMYFUNCTION("""COMPUTED_VALUE"""),"Yes")</f>
        <v>Yes</v>
      </c>
      <c r="B105" s="4" t="str">
        <f ca="1">IFERROR(__xludf.DUMMYFUNCTION("""COMPUTED_VALUE"""),"No")</f>
        <v>No</v>
      </c>
      <c r="C105" s="96"/>
      <c r="D105" s="96"/>
      <c r="E105" s="96"/>
      <c r="F105" s="96"/>
      <c r="G105" s="5" t="str">
        <f ca="1">IFERROR(__xludf.DUMMYFUNCTION("""COMPUTED_VALUE"""),"Laboratory Name")</f>
        <v>Laboratory Name</v>
      </c>
      <c r="H105" s="5" t="str">
        <f ca="1">IFERROR(__xludf.DUMMYFUNCTION("""COMPUTED_VALUE"""),"0:1")</f>
        <v>0:1</v>
      </c>
      <c r="I105" s="5"/>
      <c r="J105" s="13"/>
      <c r="K105" s="4"/>
      <c r="L105" s="66"/>
      <c r="M105" s="67"/>
      <c r="N105" s="67"/>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x14ac:dyDescent="0.25">
      <c r="A106" s="4" t="str">
        <f ca="1">IFERROR(__xludf.DUMMYFUNCTION("""COMPUTED_VALUE"""),"Yes")</f>
        <v>Yes</v>
      </c>
      <c r="B106" s="4" t="str">
        <f ca="1">IFERROR(__xludf.DUMMYFUNCTION("""COMPUTED_VALUE"""),"No")</f>
        <v>No</v>
      </c>
      <c r="C106" s="96"/>
      <c r="D106" s="96"/>
      <c r="E106" s="96"/>
      <c r="F106" s="96"/>
      <c r="G106" s="5" t="str">
        <f ca="1">IFERROR(__xludf.DUMMYFUNCTION("""COMPUTED_VALUE"""),"Laboratory country")</f>
        <v>Laboratory country</v>
      </c>
      <c r="H106" s="5" t="str">
        <f ca="1">IFERROR(__xludf.DUMMYFUNCTION("""COMPUTED_VALUE"""),"0:1")</f>
        <v>0:1</v>
      </c>
      <c r="I106" s="5"/>
      <c r="J106" s="13"/>
      <c r="K106" s="4"/>
      <c r="L106" s="66"/>
      <c r="M106" s="67"/>
      <c r="N106" s="67"/>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x14ac:dyDescent="0.25">
      <c r="A107" s="4" t="str">
        <f ca="1">IFERROR(__xludf.DUMMYFUNCTION("""COMPUTED_VALUE"""),"Yes")</f>
        <v>Yes</v>
      </c>
      <c r="B107" s="4" t="str">
        <f ca="1">IFERROR(__xludf.DUMMYFUNCTION("""COMPUTED_VALUE"""),"No")</f>
        <v>No</v>
      </c>
      <c r="C107" s="96"/>
      <c r="D107" s="96"/>
      <c r="E107" s="97" t="str">
        <f ca="1">IFERROR(__xludf.DUMMYFUNCTION("""COMPUTED_VALUE"""),"Assay")</f>
        <v>Assay</v>
      </c>
      <c r="F107" s="97" t="str">
        <f ca="1">IFERROR(__xludf.DUMMYFUNCTION("""COMPUTED_VALUE"""),"0:N")</f>
        <v>0:N</v>
      </c>
      <c r="G107" s="5" t="str">
        <f ca="1">IFERROR(__xludf.DUMMYFUNCTION("""COMPUTED_VALUE"""),"Assay Name")</f>
        <v>Assay Name</v>
      </c>
      <c r="H107" s="5" t="str">
        <f ca="1">IFERROR(__xludf.DUMMYFUNCTION("""COMPUTED_VALUE"""),"1")</f>
        <v>1</v>
      </c>
      <c r="I107" s="5"/>
      <c r="J107" s="13"/>
      <c r="K107" s="4"/>
      <c r="L107" s="99" t="str">
        <f ca="1">E107</f>
        <v>Assay</v>
      </c>
      <c r="M107" s="96"/>
      <c r="N107" s="96"/>
      <c r="O107" s="96"/>
      <c r="P107" s="96"/>
      <c r="Q107" s="96"/>
      <c r="R107" s="96"/>
      <c r="S107" s="96"/>
      <c r="T107" s="96"/>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x14ac:dyDescent="0.25">
      <c r="A108" s="4" t="str">
        <f ca="1">IFERROR(__xludf.DUMMYFUNCTION("""COMPUTED_VALUE"""),"Yes")</f>
        <v>Yes</v>
      </c>
      <c r="B108" s="4" t="str">
        <f ca="1">IFERROR(__xludf.DUMMYFUNCTION("""COMPUTED_VALUE"""),"No")</f>
        <v>No</v>
      </c>
      <c r="C108" s="96"/>
      <c r="D108" s="96"/>
      <c r="E108" s="96"/>
      <c r="F108" s="96"/>
      <c r="G108" s="5" t="str">
        <f ca="1">IFERROR(__xludf.DUMMYFUNCTION("""COMPUTED_VALUE"""),"Assay description")</f>
        <v>Assay description</v>
      </c>
      <c r="H108" s="5" t="str">
        <f ca="1">IFERROR(__xludf.DUMMYFUNCTION("""COMPUTED_VALUE"""),"0:1")</f>
        <v>0:1</v>
      </c>
      <c r="I108" s="5"/>
      <c r="J108" s="13"/>
      <c r="K108" s="4"/>
      <c r="L108" s="4" t="str">
        <f ca="1">G107</f>
        <v>Assay Name</v>
      </c>
      <c r="M108" s="4" t="str">
        <f ca="1">G108</f>
        <v>Assay description</v>
      </c>
      <c r="N108" s="4" t="str">
        <f ca="1">G109</f>
        <v>Percentage of moisture</v>
      </c>
      <c r="O108" s="4" t="str">
        <f ca="1">G110</f>
        <v>Percentage of fat</v>
      </c>
      <c r="P108" s="4" t="str">
        <f ca="1">G111</f>
        <v>Limit of detection</v>
      </c>
      <c r="Q108" s="4" t="str">
        <f ca="1">G112</f>
        <v>Limit of quantification</v>
      </c>
      <c r="R108" s="4" t="str">
        <f ca="1">G113</f>
        <v>Left-censored data</v>
      </c>
      <c r="S108" s="4" t="str">
        <f ca="1">G114</f>
        <v>Range of contamination</v>
      </c>
      <c r="T108" s="4" t="str">
        <f ca="1">G115</f>
        <v>Uncertainty value</v>
      </c>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x14ac:dyDescent="0.25">
      <c r="A109" s="4" t="str">
        <f ca="1">IFERROR(__xludf.DUMMYFUNCTION("""COMPUTED_VALUE"""),"Yes")</f>
        <v>Yes</v>
      </c>
      <c r="B109" s="4" t="str">
        <f ca="1">IFERROR(__xludf.DUMMYFUNCTION("""COMPUTED_VALUE"""),"No")</f>
        <v>No</v>
      </c>
      <c r="C109" s="96"/>
      <c r="D109" s="96"/>
      <c r="E109" s="96"/>
      <c r="F109" s="96"/>
      <c r="G109" s="5" t="str">
        <f ca="1">IFERROR(__xludf.DUMMYFUNCTION("""COMPUTED_VALUE"""),"Percentage of moisture")</f>
        <v>Percentage of moisture</v>
      </c>
      <c r="H109" s="5" t="str">
        <f ca="1">IFERROR(__xludf.DUMMYFUNCTION("""COMPUTED_VALUE"""),"0:1")</f>
        <v>0:1</v>
      </c>
      <c r="I109" s="5"/>
      <c r="J109" s="13"/>
      <c r="K109" s="4"/>
      <c r="L109" s="4" t="str">
        <f ca="1">H108</f>
        <v>0:1</v>
      </c>
      <c r="M109" s="4" t="str">
        <f ca="1">H109</f>
        <v>0:1</v>
      </c>
      <c r="N109" s="4" t="str">
        <f ca="1">H110</f>
        <v>0:1</v>
      </c>
      <c r="O109" s="4" t="str">
        <f ca="1">H111</f>
        <v>0:1</v>
      </c>
      <c r="P109" s="4" t="str">
        <f ca="1">H112</f>
        <v>0:1</v>
      </c>
      <c r="Q109" s="4" t="str">
        <f ca="1">H113</f>
        <v>0:1</v>
      </c>
      <c r="R109" s="4" t="str">
        <f ca="1">H114</f>
        <v>0:1</v>
      </c>
      <c r="S109" s="4" t="str">
        <f ca="1">H115</f>
        <v>0:1</v>
      </c>
      <c r="T109" s="4" t="str">
        <f ca="1">H116</f>
        <v>1</v>
      </c>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x14ac:dyDescent="0.25">
      <c r="A110" s="4" t="str">
        <f ca="1">IFERROR(__xludf.DUMMYFUNCTION("""COMPUTED_VALUE"""),"Yes")</f>
        <v>Yes</v>
      </c>
      <c r="B110" s="4" t="str">
        <f ca="1">IFERROR(__xludf.DUMMYFUNCTION("""COMPUTED_VALUE"""),"No")</f>
        <v>No</v>
      </c>
      <c r="C110" s="96"/>
      <c r="D110" s="96"/>
      <c r="E110" s="96"/>
      <c r="F110" s="96"/>
      <c r="G110" s="5" t="str">
        <f ca="1">IFERROR(__xludf.DUMMYFUNCTION("""COMPUTED_VALUE"""),"Percentage of fat")</f>
        <v>Percentage of fat</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x14ac:dyDescent="0.25">
      <c r="A111" s="4" t="str">
        <f ca="1">IFERROR(__xludf.DUMMYFUNCTION("""COMPUTED_VALUE"""),"Yes")</f>
        <v>Yes</v>
      </c>
      <c r="B111" s="4" t="str">
        <f ca="1">IFERROR(__xludf.DUMMYFUNCTION("""COMPUTED_VALUE"""),"No")</f>
        <v>No</v>
      </c>
      <c r="C111" s="96"/>
      <c r="D111" s="96"/>
      <c r="E111" s="96"/>
      <c r="F111" s="96"/>
      <c r="G111" s="5" t="str">
        <f ca="1">IFERROR(__xludf.DUMMYFUNCTION("""COMPUTED_VALUE"""),"Limit of detection")</f>
        <v>Limit of detection</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x14ac:dyDescent="0.25">
      <c r="A112" s="4" t="str">
        <f ca="1">IFERROR(__xludf.DUMMYFUNCTION("""COMPUTED_VALUE"""),"Yes")</f>
        <v>Yes</v>
      </c>
      <c r="B112" s="4" t="str">
        <f ca="1">IFERROR(__xludf.DUMMYFUNCTION("""COMPUTED_VALUE"""),"No")</f>
        <v>No</v>
      </c>
      <c r="C112" s="96"/>
      <c r="D112" s="96"/>
      <c r="E112" s="96"/>
      <c r="F112" s="96"/>
      <c r="G112" s="5" t="str">
        <f ca="1">IFERROR(__xludf.DUMMYFUNCTION("""COMPUTED_VALUE"""),"Limit of quantification")</f>
        <v>Limit of quantification</v>
      </c>
      <c r="H112" s="5" t="str">
        <f ca="1">IFERROR(__xludf.DUMMYFUNCTION("""COMPUTED_VALUE"""),"0:1")</f>
        <v>0:1</v>
      </c>
      <c r="I112" s="5"/>
      <c r="J112" s="13"/>
      <c r="K112" s="4"/>
      <c r="L112" s="10"/>
      <c r="M112" s="10"/>
      <c r="N112" s="10"/>
      <c r="O112" s="10"/>
      <c r="P112" s="10"/>
      <c r="Q112" s="10"/>
      <c r="R112" s="10"/>
      <c r="S112" s="10"/>
      <c r="T112" s="10"/>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x14ac:dyDescent="0.25">
      <c r="A113" s="4" t="str">
        <f ca="1">IFERROR(__xludf.DUMMYFUNCTION("""COMPUTED_VALUE"""),"Yes")</f>
        <v>Yes</v>
      </c>
      <c r="B113" s="4" t="str">
        <f ca="1">IFERROR(__xludf.DUMMYFUNCTION("""COMPUTED_VALUE"""),"No")</f>
        <v>No</v>
      </c>
      <c r="C113" s="96"/>
      <c r="D113" s="96"/>
      <c r="E113" s="96"/>
      <c r="F113" s="96"/>
      <c r="G113" s="5" t="str">
        <f ca="1">IFERROR(__xludf.DUMMYFUNCTION("""COMPUTED_VALUE"""),"Left-censored data")</f>
        <v>Left-censored data</v>
      </c>
      <c r="H113" s="5" t="str">
        <f ca="1">IFERROR(__xludf.DUMMYFUNCTION("""COMPUTED_VALUE"""),"0:1")</f>
        <v>0:1</v>
      </c>
      <c r="I113" s="5"/>
      <c r="J113" s="13"/>
      <c r="K113" s="4"/>
      <c r="L113" s="10"/>
      <c r="M113" s="10"/>
      <c r="N113" s="10"/>
      <c r="O113" s="10"/>
      <c r="P113" s="10"/>
      <c r="Q113" s="10"/>
      <c r="R113" s="10"/>
      <c r="S113" s="10"/>
      <c r="T113" s="10"/>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x14ac:dyDescent="0.25">
      <c r="A114" s="4" t="str">
        <f ca="1">IFERROR(__xludf.DUMMYFUNCTION("""COMPUTED_VALUE"""),"Yes")</f>
        <v>Yes</v>
      </c>
      <c r="B114" s="4" t="str">
        <f ca="1">IFERROR(__xludf.DUMMYFUNCTION("""COMPUTED_VALUE"""),"No")</f>
        <v>No</v>
      </c>
      <c r="C114" s="96"/>
      <c r="D114" s="96"/>
      <c r="E114" s="96"/>
      <c r="F114" s="96"/>
      <c r="G114" s="5" t="str">
        <f ca="1">IFERROR(__xludf.DUMMYFUNCTION("""COMPUTED_VALUE"""),"Range of contamination")</f>
        <v>Range of contamination</v>
      </c>
      <c r="H114" s="5" t="str">
        <f ca="1">IFERROR(__xludf.DUMMYFUNCTION("""COMPUTED_VALUE"""),"0:1")</f>
        <v>0:1</v>
      </c>
      <c r="I114" s="5"/>
      <c r="J114" s="13"/>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x14ac:dyDescent="0.25">
      <c r="A115" s="4" t="str">
        <f ca="1">IFERROR(__xludf.DUMMYFUNCTION("""COMPUTED_VALUE"""),"Yes")</f>
        <v>Yes</v>
      </c>
      <c r="B115" s="4" t="str">
        <f ca="1">IFERROR(__xludf.DUMMYFUNCTION("""COMPUTED_VALUE"""),"No")</f>
        <v>No</v>
      </c>
      <c r="C115" s="96"/>
      <c r="D115" s="96"/>
      <c r="E115" s="96"/>
      <c r="F115" s="96"/>
      <c r="G115" s="5" t="str">
        <f ca="1">IFERROR(__xludf.DUMMYFUNCTION("""COMPUTED_VALUE"""),"Uncertainty value")</f>
        <v>Uncertainty value</v>
      </c>
      <c r="H115" s="5" t="str">
        <f ca="1">IFERROR(__xludf.DUMMYFUNCTION("""COMPUTED_VALUE"""),"0:1")</f>
        <v>0:1</v>
      </c>
      <c r="I115" s="5"/>
      <c r="J115" s="13"/>
      <c r="K115" s="4"/>
      <c r="L115" s="23"/>
      <c r="M115" s="98" t="str">
        <f ca="1">E134</f>
        <v>Quality measures</v>
      </c>
      <c r="N115" s="96"/>
      <c r="O115" s="23"/>
      <c r="P115" s="98" t="str">
        <f ca="1">E136</f>
        <v>Model equation</v>
      </c>
      <c r="Q115" s="96"/>
      <c r="R115" s="96"/>
      <c r="S115" s="96"/>
      <c r="T115" s="96"/>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x14ac:dyDescent="0.25">
      <c r="A116" s="4" t="str">
        <f ca="1">IFERROR(__xludf.DUMMYFUNCTION("""COMPUTED_VALUE"""),"Yes")</f>
        <v>Yes</v>
      </c>
      <c r="B116" s="4" t="str">
        <f ca="1">IFERROR(__xludf.DUMMYFUNCTION("""COMPUTED_VALUE"""),"Yes")</f>
        <v>Yes</v>
      </c>
      <c r="C116" s="95" t="str">
        <f ca="1">IFERROR(__xludf.DUMMYFUNCTION("""COMPUTED_VALUE"""),"Model math / Data definition")</f>
        <v>Model math / Data definition</v>
      </c>
      <c r="D116" s="95" t="str">
        <f ca="1">IFERROR(__xludf.DUMMYFUNCTION("""COMPUTED_VALUE"""),"1")</f>
        <v>1</v>
      </c>
      <c r="E116" s="97" t="str">
        <f ca="1">IFERROR(__xludf.DUMMYFUNCTION("""COMPUTED_VALUE"""),"Parameter / Factor / Input / Output / ""Data column""")</f>
        <v>Parameter / Factor / Input / Output / "Data column"</v>
      </c>
      <c r="F116" s="97" t="str">
        <f ca="1">IFERROR(__xludf.DUMMYFUNCTION("""COMPUTED_VALUE"""),"1:N")</f>
        <v>1:N</v>
      </c>
      <c r="G116" s="5" t="str">
        <f ca="1">IFERROR(__xludf.DUMMYFUNCTION("""COMPUTED_VALUE"""),"Parameter ID")</f>
        <v>Parameter ID</v>
      </c>
      <c r="H116" s="5" t="str">
        <f ca="1">IFERROR(__xludf.DUMMYFUNCTION("""COMPUTED_VALUE"""),"1")</f>
        <v>1</v>
      </c>
      <c r="I116" s="5"/>
      <c r="J116" s="13"/>
      <c r="K116" s="4"/>
      <c r="L116" s="24"/>
      <c r="M116" s="68" t="str">
        <f ca="1">G134</f>
        <v>SSE / MSE / RMSE / Rsquared / AIC / BIC</v>
      </c>
      <c r="N116" s="26" t="str">
        <f ca="1">G135</f>
        <v>Sensitivity analysis</v>
      </c>
      <c r="O116" s="69"/>
      <c r="P116" s="25" t="str">
        <f ca="1">G136</f>
        <v>Model equation name</v>
      </c>
      <c r="Q116" s="23" t="str">
        <f ca="1">G137</f>
        <v>Model equation class/distribution</v>
      </c>
      <c r="R116" s="23" t="str">
        <f ca="1">G141</f>
        <v>Model equation reference</v>
      </c>
      <c r="S116" s="23" t="str">
        <f ca="1">G142</f>
        <v>Model equation / Script</v>
      </c>
      <c r="T116" s="69" t="str">
        <f ca="1">G143</f>
        <v>Hypothesis of the model</v>
      </c>
      <c r="U116" s="23"/>
      <c r="V116" s="23"/>
      <c r="W116" s="23"/>
      <c r="X116" s="23"/>
      <c r="Y116" s="23"/>
      <c r="Z116" s="23"/>
      <c r="AA116" s="23"/>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x14ac:dyDescent="0.25">
      <c r="A117" s="4" t="str">
        <f ca="1">IFERROR(__xludf.DUMMYFUNCTION("""COMPUTED_VALUE"""),"Yes")</f>
        <v>Yes</v>
      </c>
      <c r="B117" s="4" t="str">
        <f ca="1">IFERROR(__xludf.DUMMYFUNCTION("""COMPUTED_VALUE"""),"Yes")</f>
        <v>Yes</v>
      </c>
      <c r="C117" s="96"/>
      <c r="D117" s="96"/>
      <c r="E117" s="96"/>
      <c r="F117" s="96"/>
      <c r="G117" s="5" t="str">
        <f ca="1">IFERROR(__xludf.DUMMYFUNCTION("""COMPUTED_VALUE"""),"Parameter classification")</f>
        <v>Parameter classification</v>
      </c>
      <c r="H117" s="5" t="str">
        <f ca="1">IFERROR(__xludf.DUMMYFUNCTION("""COMPUTED_VALUE"""),"1")</f>
        <v>1</v>
      </c>
      <c r="I117" s="5"/>
      <c r="J117" s="13"/>
      <c r="K117" s="4"/>
      <c r="L117" s="23"/>
      <c r="M117" s="52" t="str">
        <f ca="1">H134</f>
        <v>0:N</v>
      </c>
      <c r="N117" s="52" t="str">
        <f ca="1">H135</f>
        <v>0:N</v>
      </c>
      <c r="O117" s="23"/>
      <c r="P117" s="52" t="str">
        <f ca="1">H135</f>
        <v>0:N</v>
      </c>
      <c r="Q117" s="70" t="str">
        <f ca="1">H136</f>
        <v>1</v>
      </c>
      <c r="R117" s="52" t="str">
        <f ca="1">H141</f>
        <v>0:N</v>
      </c>
      <c r="S117" s="52" t="str">
        <f ca="1">H142</f>
        <v>1</v>
      </c>
      <c r="T117" s="52" t="str">
        <f ca="1">H143</f>
        <v>0:N</v>
      </c>
      <c r="U117" s="23"/>
      <c r="V117" s="23"/>
      <c r="W117" s="23"/>
      <c r="X117" s="23"/>
      <c r="Y117" s="23"/>
      <c r="Z117" s="23"/>
      <c r="AA117" s="23"/>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x14ac:dyDescent="0.25">
      <c r="A118" s="4" t="str">
        <f ca="1">IFERROR(__xludf.DUMMYFUNCTION("""COMPUTED_VALUE"""),"Yes")</f>
        <v>Yes</v>
      </c>
      <c r="B118" s="4" t="str">
        <f ca="1">IFERROR(__xludf.DUMMYFUNCTION("""COMPUTED_VALUE"""),"Yes")</f>
        <v>Yes</v>
      </c>
      <c r="C118" s="96"/>
      <c r="D118" s="96"/>
      <c r="E118" s="96"/>
      <c r="F118" s="96"/>
      <c r="G118" s="5" t="str">
        <f ca="1">IFERROR(__xludf.DUMMYFUNCTION("""COMPUTED_VALUE"""),"Parameter name")</f>
        <v>Parameter name</v>
      </c>
      <c r="H118" s="5" t="str">
        <f ca="1">IFERROR(__xludf.DUMMYFUNCTION("""COMPUTED_VALUE"""),"1")</f>
        <v>1</v>
      </c>
      <c r="I118" s="5"/>
      <c r="J118" s="13"/>
      <c r="K118" s="4"/>
      <c r="L118" s="29" t="s">
        <v>17</v>
      </c>
      <c r="M118" s="30"/>
      <c r="N118" s="31"/>
      <c r="O118" s="29"/>
      <c r="P118" s="46"/>
      <c r="Q118" s="12"/>
      <c r="R118" s="31"/>
      <c r="S118" s="31"/>
      <c r="T118" s="31"/>
      <c r="U118" s="23"/>
      <c r="V118" s="23"/>
      <c r="W118" s="23"/>
      <c r="X118" s="23"/>
      <c r="Y118" s="23"/>
      <c r="Z118" s="23"/>
      <c r="AA118" s="23"/>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x14ac:dyDescent="0.25">
      <c r="A119" s="4" t="str">
        <f ca="1">IFERROR(__xludf.DUMMYFUNCTION("""COMPUTED_VALUE"""),"Yes")</f>
        <v>Yes</v>
      </c>
      <c r="B119" s="4" t="str">
        <f ca="1">IFERROR(__xludf.DUMMYFUNCTION("""COMPUTED_VALUE"""),"No")</f>
        <v>No</v>
      </c>
      <c r="C119" s="96"/>
      <c r="D119" s="96"/>
      <c r="E119" s="96"/>
      <c r="F119" s="96"/>
      <c r="G119" s="5" t="str">
        <f ca="1">IFERROR(__xludf.DUMMYFUNCTION("""COMPUTED_VALUE"""),"Parameter description")</f>
        <v>Parameter description</v>
      </c>
      <c r="H119" s="5" t="str">
        <f ca="1">IFERROR(__xludf.DUMMYFUNCTION("""COMPUTED_VALUE"""),"0:1")</f>
        <v>0:1</v>
      </c>
      <c r="I119" s="5"/>
      <c r="J119" s="13"/>
      <c r="K119" s="4"/>
      <c r="L119" s="29" t="s">
        <v>18</v>
      </c>
      <c r="M119" s="32"/>
      <c r="N119" s="31"/>
      <c r="O119" s="29"/>
      <c r="P119" s="31"/>
      <c r="Q119" s="12"/>
      <c r="R119" s="31"/>
      <c r="S119" s="31"/>
      <c r="T119" s="31"/>
      <c r="U119" s="23"/>
      <c r="V119" s="23"/>
      <c r="W119" s="23"/>
      <c r="X119" s="23"/>
      <c r="Y119" s="23"/>
      <c r="Z119" s="23"/>
      <c r="AA119" s="23"/>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x14ac:dyDescent="0.25">
      <c r="A120" s="4" t="str">
        <f ca="1">IFERROR(__xludf.DUMMYFUNCTION("""COMPUTED_VALUE"""),"Yes")</f>
        <v>Yes</v>
      </c>
      <c r="B120" s="4" t="str">
        <f ca="1">IFERROR(__xludf.DUMMYFUNCTION("""COMPUTED_VALUE"""),"Yes")</f>
        <v>Yes</v>
      </c>
      <c r="C120" s="96"/>
      <c r="D120" s="96"/>
      <c r="E120" s="96"/>
      <c r="F120" s="96"/>
      <c r="G120" s="5" t="str">
        <f ca="1">IFERROR(__xludf.DUMMYFUNCTION("""COMPUTED_VALUE"""),"Parameter unit")</f>
        <v>Parameter unit</v>
      </c>
      <c r="H120" s="5" t="str">
        <f ca="1">IFERROR(__xludf.DUMMYFUNCTION("""COMPUTED_VALUE"""),"1")</f>
        <v>1</v>
      </c>
      <c r="I120" s="5"/>
      <c r="J120" s="13"/>
      <c r="K120" s="4"/>
      <c r="L120" s="33" t="s">
        <v>19</v>
      </c>
      <c r="M120" s="31"/>
      <c r="N120" s="31"/>
      <c r="O120" s="29"/>
      <c r="P120" s="31"/>
      <c r="Q120" s="12"/>
      <c r="R120" s="31"/>
      <c r="S120" s="31"/>
      <c r="T120" s="31"/>
      <c r="U120" s="23"/>
      <c r="V120" s="23"/>
      <c r="W120" s="23"/>
      <c r="X120" s="23"/>
      <c r="Y120" s="23"/>
      <c r="Z120" s="23"/>
      <c r="AA120" s="23"/>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x14ac:dyDescent="0.25">
      <c r="A121" s="4" t="str">
        <f ca="1">IFERROR(__xludf.DUMMYFUNCTION("""COMPUTED_VALUE"""),"Yes")</f>
        <v>Yes</v>
      </c>
      <c r="B121" s="4" t="str">
        <f ca="1">IFERROR(__xludf.DUMMYFUNCTION("""COMPUTED_VALUE"""),"No")</f>
        <v>No</v>
      </c>
      <c r="C121" s="96"/>
      <c r="D121" s="96"/>
      <c r="E121" s="96"/>
      <c r="F121" s="96"/>
      <c r="G121" s="5" t="str">
        <f ca="1">IFERROR(__xludf.DUMMYFUNCTION("""COMPUTED_VALUE"""),"Parameter unit category")</f>
        <v>Parameter unit category</v>
      </c>
      <c r="H121" s="5" t="str">
        <f ca="1">IFERROR(__xludf.DUMMYFUNCTION("""COMPUTED_VALUE"""),"0:1")</f>
        <v>0:1</v>
      </c>
      <c r="I121" s="5"/>
      <c r="J121" s="13"/>
      <c r="K121" s="4"/>
      <c r="L121" s="29" t="s">
        <v>20</v>
      </c>
      <c r="M121" s="31"/>
      <c r="N121" s="31"/>
      <c r="O121" s="29"/>
      <c r="P121" s="31"/>
      <c r="Q121" s="12"/>
      <c r="R121" s="31"/>
      <c r="S121" s="31"/>
      <c r="T121" s="31"/>
      <c r="U121" s="23"/>
      <c r="V121" s="23"/>
      <c r="W121" s="23"/>
      <c r="X121" s="23"/>
      <c r="Y121" s="23"/>
      <c r="Z121" s="23"/>
      <c r="AA121" s="23"/>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x14ac:dyDescent="0.25">
      <c r="A122" s="4" t="str">
        <f ca="1">IFERROR(__xludf.DUMMYFUNCTION("""COMPUTED_VALUE"""),"Yes")</f>
        <v>Yes</v>
      </c>
      <c r="B122" s="4" t="str">
        <f ca="1">IFERROR(__xludf.DUMMYFUNCTION("""COMPUTED_VALUE"""),"Yes")</f>
        <v>Yes</v>
      </c>
      <c r="C122" s="96"/>
      <c r="D122" s="96"/>
      <c r="E122" s="96"/>
      <c r="F122" s="96"/>
      <c r="G122" s="5" t="str">
        <f ca="1">IFERROR(__xludf.DUMMYFUNCTION("""COMPUTED_VALUE"""),"Parameter data type")</f>
        <v>Parameter data type</v>
      </c>
      <c r="H122" s="5" t="str">
        <f ca="1">IFERROR(__xludf.DUMMYFUNCTION("""COMPUTED_VALUE"""),"1")</f>
        <v>1</v>
      </c>
      <c r="I122" s="5"/>
      <c r="J122" s="13"/>
      <c r="K122" s="4"/>
      <c r="L122" s="29" t="s">
        <v>21</v>
      </c>
      <c r="M122" s="31"/>
      <c r="N122" s="31"/>
      <c r="O122" s="29"/>
      <c r="P122" s="31"/>
      <c r="Q122" s="12"/>
      <c r="R122" s="31"/>
      <c r="S122" s="31"/>
      <c r="T122" s="31"/>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x14ac:dyDescent="0.25">
      <c r="A123" s="4" t="str">
        <f ca="1">IFERROR(__xludf.DUMMYFUNCTION("""COMPUTED_VALUE"""),"Yes")</f>
        <v>Yes</v>
      </c>
      <c r="B123" s="4" t="str">
        <f ca="1">IFERROR(__xludf.DUMMYFUNCTION("""COMPUTED_VALUE"""),"No")</f>
        <v>No</v>
      </c>
      <c r="C123" s="96"/>
      <c r="D123" s="96"/>
      <c r="E123" s="96"/>
      <c r="F123" s="96"/>
      <c r="G123" s="5" t="str">
        <f ca="1">IFERROR(__xludf.DUMMYFUNCTION("""COMPUTED_VALUE"""),"Parameter source")</f>
        <v>Parameter source</v>
      </c>
      <c r="H123" s="5" t="str">
        <f ca="1">IFERROR(__xludf.DUMMYFUNCTION("""COMPUTED_VALUE"""),"0:1")</f>
        <v>0:1</v>
      </c>
      <c r="I123" s="5"/>
      <c r="J123" s="13"/>
      <c r="K123" s="4"/>
      <c r="L123" s="8" t="s">
        <v>22</v>
      </c>
      <c r="M123" s="34"/>
      <c r="N123" s="31"/>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x14ac:dyDescent="0.25">
      <c r="A124" s="4" t="str">
        <f ca="1">IFERROR(__xludf.DUMMYFUNCTION("""COMPUTED_VALUE"""),"Yes")</f>
        <v>Yes</v>
      </c>
      <c r="B124" s="4" t="str">
        <f ca="1">IFERROR(__xludf.DUMMYFUNCTION("""COMPUTED_VALUE"""),"Yes")</f>
        <v>Yes</v>
      </c>
      <c r="C124" s="96"/>
      <c r="D124" s="96"/>
      <c r="E124" s="96"/>
      <c r="F124" s="96"/>
      <c r="G124" s="5" t="str">
        <f ca="1">IFERROR(__xludf.DUMMYFUNCTION("""COMPUTED_VALUE"""),"Parameter subject")</f>
        <v>Parameter subject</v>
      </c>
      <c r="H124" s="5" t="str">
        <f ca="1">IFERROR(__xludf.DUMMYFUNCTION("""COMPUTED_VALUE"""),"0:1")</f>
        <v>0:1</v>
      </c>
      <c r="I124" s="5"/>
      <c r="J124" s="13"/>
      <c r="K124" s="4"/>
      <c r="L124" s="23"/>
      <c r="M124" s="23"/>
      <c r="N124" s="23"/>
      <c r="O124" s="23"/>
      <c r="P124" s="23"/>
      <c r="Q124" s="23"/>
      <c r="R124" s="23"/>
      <c r="S124" s="23"/>
      <c r="T124" s="23"/>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x14ac:dyDescent="0.25">
      <c r="A125" s="4" t="str">
        <f ca="1">IFERROR(__xludf.DUMMYFUNCTION("""COMPUTED_VALUE"""),"Yes")</f>
        <v>Yes</v>
      </c>
      <c r="B125" s="4" t="str">
        <f ca="1">IFERROR(__xludf.DUMMYFUNCTION("""COMPUTED_VALUE"""),"Yes")</f>
        <v>Yes</v>
      </c>
      <c r="C125" s="96"/>
      <c r="D125" s="96"/>
      <c r="E125" s="96"/>
      <c r="F125" s="96"/>
      <c r="G125" s="5" t="str">
        <f ca="1">IFERROR(__xludf.DUMMYFUNCTION("""COMPUTED_VALUE"""),"Parameter distribution")</f>
        <v>Parameter distribution</v>
      </c>
      <c r="H125" s="5" t="str">
        <f ca="1">IFERROR(__xludf.DUMMYFUNCTION("""COMPUTED_VALUE"""),"0:1")</f>
        <v>0:1</v>
      </c>
      <c r="I125" s="5"/>
      <c r="J125" s="41"/>
      <c r="K125" s="35" t="s">
        <v>23</v>
      </c>
      <c r="L125" s="98" t="str">
        <f ca="1">E116</f>
        <v>Parameter / Factor / Input / Output / "Data column"</v>
      </c>
      <c r="M125" s="96"/>
      <c r="N125" s="96"/>
      <c r="O125" s="96"/>
      <c r="P125" s="96"/>
      <c r="Q125" s="96"/>
      <c r="R125" s="96"/>
      <c r="S125" s="96"/>
      <c r="T125" s="96"/>
      <c r="U125" s="96"/>
      <c r="V125" s="96"/>
      <c r="W125" s="96"/>
      <c r="X125" s="96"/>
      <c r="Y125" s="96"/>
      <c r="Z125" s="96"/>
      <c r="AA125" s="96"/>
      <c r="AB125" s="4"/>
      <c r="AC125" s="4"/>
      <c r="AD125" s="23"/>
      <c r="AE125" s="23"/>
      <c r="AF125" s="23"/>
      <c r="AG125" s="23"/>
      <c r="AH125" s="23"/>
      <c r="AI125" s="23"/>
      <c r="AJ125" s="23"/>
      <c r="AK125" s="23"/>
      <c r="AL125" s="23"/>
      <c r="AM125" s="23"/>
      <c r="AN125" s="23"/>
      <c r="AO125" s="23"/>
      <c r="AP125" s="23"/>
      <c r="AQ125" s="23"/>
      <c r="AR125" s="23"/>
      <c r="AS125" s="23"/>
      <c r="AT125" s="23"/>
      <c r="AU125" s="23"/>
      <c r="AV125" s="23"/>
      <c r="AW125" s="23"/>
    </row>
    <row r="126" spans="1:49" ht="12.5" x14ac:dyDescent="0.25">
      <c r="A126" s="4" t="str">
        <f ca="1">IFERROR(__xludf.DUMMYFUNCTION("""COMPUTED_VALUE"""),"Yes")</f>
        <v>Yes</v>
      </c>
      <c r="B126" s="4" t="str">
        <f ca="1">IFERROR(__xludf.DUMMYFUNCTION("""COMPUTED_VALUE"""),"Yes")</f>
        <v>Yes</v>
      </c>
      <c r="C126" s="96"/>
      <c r="D126" s="96"/>
      <c r="E126" s="96"/>
      <c r="F126" s="96"/>
      <c r="G126" s="5"/>
      <c r="H126" s="5"/>
      <c r="I126" s="5"/>
      <c r="J126" s="41"/>
      <c r="K126" s="4"/>
      <c r="L126" s="23" t="str">
        <f ca="1">G116</f>
        <v>Parameter ID</v>
      </c>
      <c r="M126" s="23" t="str">
        <f ca="1">G117</f>
        <v>Parameter classification</v>
      </c>
      <c r="N126" s="23" t="str">
        <f ca="1">G118</f>
        <v>Parameter name</v>
      </c>
      <c r="O126" s="23" t="str">
        <f ca="1">G119</f>
        <v>Parameter description</v>
      </c>
      <c r="P126" s="23" t="str">
        <f ca="1">G120</f>
        <v>Parameter unit</v>
      </c>
      <c r="Q126" s="23" t="str">
        <f ca="1">G121</f>
        <v>Parameter unit category</v>
      </c>
      <c r="R126" s="47" t="str">
        <f ca="1">G122</f>
        <v>Parameter data type</v>
      </c>
      <c r="S126" s="23" t="str">
        <f ca="1">G123</f>
        <v>Parameter source</v>
      </c>
      <c r="T126" s="23" t="str">
        <f ca="1">G124</f>
        <v>Parameter subject</v>
      </c>
      <c r="U126" s="23" t="str">
        <f ca="1">G125</f>
        <v>Parameter distribution</v>
      </c>
      <c r="V126" s="23" t="str">
        <f ca="1">G128</f>
        <v>Parameter value</v>
      </c>
      <c r="W126" s="23" t="str">
        <f ca="1">G129</f>
        <v>Parameter Reference</v>
      </c>
      <c r="X126" s="23" t="str">
        <f ca="1">G130</f>
        <v>Parameter variability subject</v>
      </c>
      <c r="Y126" s="23" t="str">
        <f ca="1">G131</f>
        <v>Parameter value max</v>
      </c>
      <c r="Z126" t="str">
        <f ca="1">G132</f>
        <v>Parameter value min</v>
      </c>
      <c r="AA126" s="23" t="str">
        <f ca="1">G133</f>
        <v>Parameter error</v>
      </c>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9" ht="12.5" x14ac:dyDescent="0.25">
      <c r="A127" s="4" t="str">
        <f ca="1">IFERROR(__xludf.DUMMYFUNCTION("""COMPUTED_VALUE"""),"Yes")</f>
        <v>Yes</v>
      </c>
      <c r="B127" s="4" t="str">
        <f ca="1">IFERROR(__xludf.DUMMYFUNCTION("""COMPUTED_VALUE"""),"Yes")</f>
        <v>Yes</v>
      </c>
      <c r="C127" s="96"/>
      <c r="D127" s="96"/>
      <c r="E127" s="96"/>
      <c r="F127" s="96"/>
      <c r="G127" s="5"/>
      <c r="H127" s="5"/>
      <c r="I127" s="5"/>
      <c r="J127" s="41"/>
      <c r="K127" s="4"/>
      <c r="L127" s="27" t="str">
        <f ca="1">H116</f>
        <v>1</v>
      </c>
      <c r="M127" s="27" t="str">
        <f ca="1">H117</f>
        <v>1</v>
      </c>
      <c r="N127" s="27" t="str">
        <f ca="1">H118</f>
        <v>1</v>
      </c>
      <c r="O127" s="27" t="str">
        <f ca="1">H119</f>
        <v>0:1</v>
      </c>
      <c r="P127" s="27" t="str">
        <f ca="1">H120</f>
        <v>1</v>
      </c>
      <c r="Q127" s="27" t="str">
        <f ca="1">H121</f>
        <v>0:1</v>
      </c>
      <c r="R127" s="27" t="str">
        <f ca="1">H122</f>
        <v>1</v>
      </c>
      <c r="S127" s="27" t="str">
        <f ca="1">H123</f>
        <v>0:1</v>
      </c>
      <c r="T127" s="27" t="str">
        <f ca="1">H124</f>
        <v>0:1</v>
      </c>
      <c r="U127" s="27" t="str">
        <f ca="1">H125</f>
        <v>0:1</v>
      </c>
      <c r="V127" s="27" t="str">
        <f ca="1">H128</f>
        <v>0:1</v>
      </c>
      <c r="W127" s="27" t="str">
        <f ca="1">H129</f>
        <v>0:1</v>
      </c>
      <c r="X127" s="27" t="str">
        <f ca="1">H130</f>
        <v>0:1</v>
      </c>
      <c r="Y127" s="27" t="str">
        <f ca="1">H131</f>
        <v>0:1</v>
      </c>
      <c r="Z127" t="str">
        <f ca="1">H132</f>
        <v>0:1</v>
      </c>
      <c r="AA127" s="27" t="str">
        <f ca="1">H133</f>
        <v>0:1</v>
      </c>
      <c r="AC127" s="4"/>
      <c r="AD127" s="4"/>
      <c r="AE127" s="4"/>
      <c r="AF127" s="4"/>
      <c r="AG127" s="4"/>
      <c r="AH127" s="4"/>
      <c r="AI127" s="4"/>
      <c r="AJ127" s="4"/>
      <c r="AK127" s="4"/>
      <c r="AL127" s="4"/>
      <c r="AM127" s="4"/>
      <c r="AN127" s="4"/>
      <c r="AO127" s="4"/>
      <c r="AP127" s="4"/>
      <c r="AQ127" s="4"/>
      <c r="AR127" s="4"/>
      <c r="AS127" s="4"/>
      <c r="AT127" s="4"/>
      <c r="AU127" s="4"/>
      <c r="AV127" s="4"/>
    </row>
    <row r="128" spans="1:49" ht="12.5" x14ac:dyDescent="0.25">
      <c r="A128" s="4" t="str">
        <f ca="1">IFERROR(__xludf.DUMMYFUNCTION("""COMPUTED_VALUE"""),"Yes")</f>
        <v>Yes</v>
      </c>
      <c r="B128" s="4" t="str">
        <f ca="1">IFERROR(__xludf.DUMMYFUNCTION("""COMPUTED_VALUE"""),"No")</f>
        <v>No</v>
      </c>
      <c r="C128" s="96"/>
      <c r="D128" s="96"/>
      <c r="E128" s="96"/>
      <c r="F128" s="96"/>
      <c r="G128" s="5" t="str">
        <f ca="1">IFERROR(__xludf.DUMMYFUNCTION("""COMPUTED_VALUE"""),"Parameter value")</f>
        <v>Parameter value</v>
      </c>
      <c r="H128" s="5" t="str">
        <f ca="1">IFERROR(__xludf.DUMMYFUNCTION("""COMPUTED_VALUE"""),"0:1")</f>
        <v>0:1</v>
      </c>
      <c r="I128" s="5"/>
      <c r="J128" s="41"/>
      <c r="K128" s="4"/>
      <c r="L128" s="39"/>
      <c r="M128" s="40"/>
      <c r="N128" s="37"/>
      <c r="O128" s="37"/>
      <c r="P128" s="36" t="s">
        <v>25</v>
      </c>
      <c r="Q128" s="13">
        <f>'Parameter unit'!Z3</f>
        <v>0</v>
      </c>
      <c r="R128" s="37"/>
      <c r="S128" s="37"/>
      <c r="T128" s="37"/>
      <c r="U128" s="37"/>
      <c r="V128" s="37"/>
      <c r="W128" s="37"/>
      <c r="X128" s="37"/>
      <c r="Y128" s="37"/>
      <c r="Z128" s="48"/>
      <c r="AA128" s="37"/>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x14ac:dyDescent="0.25">
      <c r="A129" s="4" t="str">
        <f ca="1">IFERROR(__xludf.DUMMYFUNCTION("""COMPUTED_VALUE"""),"Yes")</f>
        <v>Yes</v>
      </c>
      <c r="B129" s="4" t="str">
        <f ca="1">IFERROR(__xludf.DUMMYFUNCTION("""COMPUTED_VALUE"""),"No")</f>
        <v>No</v>
      </c>
      <c r="C129" s="96"/>
      <c r="D129" s="96"/>
      <c r="E129" s="96"/>
      <c r="F129" s="96"/>
      <c r="G129" s="5" t="str">
        <f ca="1">IFERROR(__xludf.DUMMYFUNCTION("""COMPUTED_VALUE"""),"Parameter Reference")</f>
        <v>Parameter Reference</v>
      </c>
      <c r="H129" s="5" t="str">
        <f ca="1">IFERROR(__xludf.DUMMYFUNCTION("""COMPUTED_VALUE"""),"0:1")</f>
        <v>0:1</v>
      </c>
      <c r="I129" s="5"/>
      <c r="J129" s="41"/>
      <c r="K129" s="4"/>
      <c r="L129" s="39"/>
      <c r="M129" s="37"/>
      <c r="N129" s="37"/>
      <c r="O129" s="37"/>
      <c r="P129" s="36" t="s">
        <v>25</v>
      </c>
      <c r="Q129" s="13">
        <f>'Parameter unit'!Z4</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x14ac:dyDescent="0.25">
      <c r="A130" s="4" t="str">
        <f ca="1">IFERROR(__xludf.DUMMYFUNCTION("""COMPUTED_VALUE"""),"Yes")</f>
        <v>Yes</v>
      </c>
      <c r="B130" s="4" t="str">
        <f ca="1">IFERROR(__xludf.DUMMYFUNCTION("""COMPUTED_VALUE"""),"No")</f>
        <v>No</v>
      </c>
      <c r="C130" s="96"/>
      <c r="D130" s="96"/>
      <c r="E130" s="96"/>
      <c r="F130" s="96"/>
      <c r="G130" s="5" t="str">
        <f ca="1">IFERROR(__xludf.DUMMYFUNCTION("""COMPUTED_VALUE"""),"Parameter variability subject")</f>
        <v>Parameter variability subject</v>
      </c>
      <c r="H130" s="5" t="str">
        <f ca="1">IFERROR(__xludf.DUMMYFUNCTION("""COMPUTED_VALUE"""),"0:1")</f>
        <v>0:1</v>
      </c>
      <c r="I130" s="5"/>
      <c r="J130" s="41"/>
      <c r="K130" s="4"/>
      <c r="L130" s="39"/>
      <c r="M130" s="37"/>
      <c r="N130" s="37"/>
      <c r="O130" s="37"/>
      <c r="P130" s="36" t="s">
        <v>25</v>
      </c>
      <c r="Q130" s="13">
        <f>'Parameter unit'!Z5</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x14ac:dyDescent="0.25">
      <c r="A131" s="4" t="str">
        <f ca="1">IFERROR(__xludf.DUMMYFUNCTION("""COMPUTED_VALUE"""),"Yes")</f>
        <v>Yes</v>
      </c>
      <c r="B131" s="4" t="str">
        <f ca="1">IFERROR(__xludf.DUMMYFUNCTION("""COMPUTED_VALUE"""),"No")</f>
        <v>No</v>
      </c>
      <c r="C131" s="96"/>
      <c r="D131" s="96"/>
      <c r="E131" s="96"/>
      <c r="F131" s="96"/>
      <c r="G131" s="5" t="str">
        <f ca="1">IFERROR(__xludf.DUMMYFUNCTION("""COMPUTED_VALUE"""),"Parameter value max")</f>
        <v>Parameter value max</v>
      </c>
      <c r="H131" s="5" t="str">
        <f ca="1">IFERROR(__xludf.DUMMYFUNCTION("""COMPUTED_VALUE"""),"0:1")</f>
        <v>0:1</v>
      </c>
      <c r="I131" s="5"/>
      <c r="J131" s="41"/>
      <c r="K131" s="4"/>
      <c r="L131" s="39"/>
      <c r="M131" s="37"/>
      <c r="N131" s="37"/>
      <c r="O131" s="37"/>
      <c r="P131" s="36" t="s">
        <v>25</v>
      </c>
      <c r="Q131" s="13">
        <f>'Parameter unit'!Z6</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x14ac:dyDescent="0.25">
      <c r="A132" s="4" t="str">
        <f ca="1">IFERROR(__xludf.DUMMYFUNCTION("""COMPUTED_VALUE"""),"Yes")</f>
        <v>Yes</v>
      </c>
      <c r="B132" s="4" t="str">
        <f ca="1">IFERROR(__xludf.DUMMYFUNCTION("""COMPUTED_VALUE"""),"No")</f>
        <v>No</v>
      </c>
      <c r="C132" s="96"/>
      <c r="D132" s="96"/>
      <c r="E132" s="96"/>
      <c r="F132" s="96"/>
      <c r="G132" s="5" t="str">
        <f ca="1">IFERROR(__xludf.DUMMYFUNCTION("""COMPUTED_VALUE"""),"Parameter value min")</f>
        <v>Parameter value min</v>
      </c>
      <c r="H132" s="5" t="str">
        <f ca="1">IFERROR(__xludf.DUMMYFUNCTION("""COMPUTED_VALUE"""),"0:1")</f>
        <v>0:1</v>
      </c>
      <c r="I132" s="5"/>
      <c r="J132" s="41"/>
      <c r="K132" s="4"/>
      <c r="L132" s="39"/>
      <c r="M132" s="37"/>
      <c r="N132" s="37"/>
      <c r="O132" s="37"/>
      <c r="P132" s="36" t="s">
        <v>25</v>
      </c>
      <c r="Q132" s="13">
        <f>'Parameter unit'!Z7</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c r="AP132" s="4"/>
      <c r="AQ132" s="4"/>
      <c r="AR132" s="4"/>
      <c r="AS132" s="4"/>
      <c r="AT132" s="4"/>
      <c r="AU132" s="4"/>
      <c r="AV132" s="4"/>
    </row>
    <row r="133" spans="1:48" ht="12.5" x14ac:dyDescent="0.25">
      <c r="A133" s="4" t="str">
        <f ca="1">IFERROR(__xludf.DUMMYFUNCTION("""COMPUTED_VALUE"""),"Yes")</f>
        <v>Yes</v>
      </c>
      <c r="B133" s="4" t="str">
        <f ca="1">IFERROR(__xludf.DUMMYFUNCTION("""COMPUTED_VALUE"""),"No")</f>
        <v>No</v>
      </c>
      <c r="C133" s="96"/>
      <c r="D133" s="96"/>
      <c r="E133" s="96"/>
      <c r="F133" s="96"/>
      <c r="G133" s="5" t="str">
        <f ca="1">IFERROR(__xludf.DUMMYFUNCTION("""COMPUTED_VALUE"""),"Parameter error")</f>
        <v>Parameter error</v>
      </c>
      <c r="H133" s="5" t="str">
        <f ca="1">IFERROR(__xludf.DUMMYFUNCTION("""COMPUTED_VALUE"""),"0:1")</f>
        <v>0:1</v>
      </c>
      <c r="I133" s="5"/>
      <c r="J133" s="41"/>
      <c r="K133" s="4"/>
      <c r="L133" s="39"/>
      <c r="M133" s="37"/>
      <c r="N133" s="37"/>
      <c r="O133" s="37"/>
      <c r="P133" s="36" t="s">
        <v>25</v>
      </c>
      <c r="Q133" s="13">
        <f>'Parameter unit'!Z8</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c r="AP133" s="4"/>
      <c r="AQ133" s="4"/>
      <c r="AR133" s="4"/>
      <c r="AS133" s="4"/>
      <c r="AT133" s="4"/>
      <c r="AU133" s="4"/>
      <c r="AV133" s="4"/>
    </row>
    <row r="134" spans="1:48" ht="12.5" x14ac:dyDescent="0.25">
      <c r="A134" s="4" t="str">
        <f ca="1">IFERROR(__xludf.DUMMYFUNCTION("""COMPUTED_VALUE"""),"Yes")</f>
        <v>Yes</v>
      </c>
      <c r="B134" s="4" t="str">
        <f ca="1">IFERROR(__xludf.DUMMYFUNCTION("""COMPUTED_VALUE"""),"No")</f>
        <v>No</v>
      </c>
      <c r="C134" s="96"/>
      <c r="D134" s="96"/>
      <c r="E134" s="97" t="str">
        <f ca="1">IFERROR(__xludf.DUMMYFUNCTION("""COMPUTED_VALUE"""),"Quality measures")</f>
        <v>Quality measures</v>
      </c>
      <c r="F134" s="97" t="str">
        <f ca="1">IFERROR(__xludf.DUMMYFUNCTION("""COMPUTED_VALUE"""),"0:N")</f>
        <v>0:N</v>
      </c>
      <c r="G134" s="5" t="str">
        <f ca="1">IFERROR(__xludf.DUMMYFUNCTION("""COMPUTED_VALUE"""),"SSE / MSE / RMSE / Rsquared / AIC / BIC")</f>
        <v>SSE / MSE / RMSE / Rsquared / AIC / BIC</v>
      </c>
      <c r="H134" s="5" t="str">
        <f ca="1">IFERROR(__xludf.DUMMYFUNCTION("""COMPUTED_VALUE"""),"0:N")</f>
        <v>0:N</v>
      </c>
      <c r="I134" s="5"/>
      <c r="J134" s="41"/>
      <c r="K134" s="4"/>
      <c r="L134" s="39"/>
      <c r="M134" s="37"/>
      <c r="N134" s="37"/>
      <c r="O134" s="37"/>
      <c r="P134" s="36" t="s">
        <v>25</v>
      </c>
      <c r="Q134" s="13">
        <f>'Parameter unit'!Z9</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8" ht="12.5" x14ac:dyDescent="0.25">
      <c r="A135" s="4" t="str">
        <f ca="1">IFERROR(__xludf.DUMMYFUNCTION("""COMPUTED_VALUE"""),"Yes")</f>
        <v>Yes</v>
      </c>
      <c r="B135" s="4" t="str">
        <f ca="1">IFERROR(__xludf.DUMMYFUNCTION("""COMPUTED_VALUE"""),"No")</f>
        <v>No</v>
      </c>
      <c r="C135" s="96"/>
      <c r="D135" s="96"/>
      <c r="E135" s="96"/>
      <c r="F135" s="96"/>
      <c r="G135" s="5" t="str">
        <f ca="1">IFERROR(__xludf.DUMMYFUNCTION("""COMPUTED_VALUE"""),"Sensitivity analysis")</f>
        <v>Sensitivity analysis</v>
      </c>
      <c r="H135" s="5" t="str">
        <f ca="1">IFERROR(__xludf.DUMMYFUNCTION("""COMPUTED_VALUE"""),"0:N")</f>
        <v>0:N</v>
      </c>
      <c r="I135" s="5"/>
      <c r="J135" s="41"/>
      <c r="K135" s="4"/>
      <c r="L135" s="39"/>
      <c r="M135" s="37"/>
      <c r="N135" s="37"/>
      <c r="O135" s="37"/>
      <c r="P135" s="36" t="s">
        <v>25</v>
      </c>
      <c r="Q135" s="13">
        <f>'Parameter unit'!Z10</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8" ht="12.5" x14ac:dyDescent="0.25">
      <c r="A136" s="4" t="str">
        <f ca="1">IFERROR(__xludf.DUMMYFUNCTION("""COMPUTED_VALUE"""),"Yes")</f>
        <v>Yes</v>
      </c>
      <c r="B136" s="4" t="str">
        <f ca="1">IFERROR(__xludf.DUMMYFUNCTION("""COMPUTED_VALUE"""),"No")</f>
        <v>No</v>
      </c>
      <c r="C136" s="96"/>
      <c r="D136" s="96"/>
      <c r="E136" s="97" t="str">
        <f ca="1">IFERROR(__xludf.DUMMYFUNCTION("""COMPUTED_VALUE"""),"Model equation")</f>
        <v>Model equation</v>
      </c>
      <c r="F136" s="97" t="str">
        <f ca="1">IFERROR(__xludf.DUMMYFUNCTION("""COMPUTED_VALUE"""),"0:N")</f>
        <v>0:N</v>
      </c>
      <c r="G136" s="5" t="str">
        <f ca="1">IFERROR(__xludf.DUMMYFUNCTION("""COMPUTED_VALUE"""),"Model equation name")</f>
        <v>Model equation name</v>
      </c>
      <c r="H136" s="5" t="str">
        <f ca="1">IFERROR(__xludf.DUMMYFUNCTION("""COMPUTED_VALUE"""),"1")</f>
        <v>1</v>
      </c>
      <c r="I136" s="5"/>
      <c r="J136" s="41"/>
      <c r="K136" s="4"/>
      <c r="L136" s="39"/>
      <c r="M136" s="37"/>
      <c r="N136" s="37"/>
      <c r="O136" s="37"/>
      <c r="P136" s="36" t="s">
        <v>25</v>
      </c>
      <c r="Q136" s="13">
        <f>'Parameter unit'!Z11</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8" ht="12.5" x14ac:dyDescent="0.25">
      <c r="A137" s="4" t="str">
        <f ca="1">IFERROR(__xludf.DUMMYFUNCTION("""COMPUTED_VALUE"""),"Yes")</f>
        <v>Yes</v>
      </c>
      <c r="B137" s="4" t="str">
        <f ca="1">IFERROR(__xludf.DUMMYFUNCTION("""COMPUTED_VALUE"""),"No")</f>
        <v>No</v>
      </c>
      <c r="C137" s="96"/>
      <c r="D137" s="96"/>
      <c r="E137" s="96"/>
      <c r="F137" s="96"/>
      <c r="G137" s="5" t="str">
        <f ca="1">IFERROR(__xludf.DUMMYFUNCTION("""COMPUTED_VALUE"""),"Model equation class/distribution")</f>
        <v>Model equation class/distribution</v>
      </c>
      <c r="H137" s="5" t="str">
        <f ca="1">IFERROR(__xludf.DUMMYFUNCTION("""COMPUTED_VALUE"""),"0:1")</f>
        <v>0:1</v>
      </c>
      <c r="I137" s="5"/>
      <c r="J137" s="41"/>
      <c r="K137" s="4"/>
      <c r="L137" s="39"/>
      <c r="M137" s="37"/>
      <c r="N137" s="37"/>
      <c r="O137" s="37"/>
      <c r="P137" s="36" t="s">
        <v>25</v>
      </c>
      <c r="Q137" s="13">
        <f>'Parameter unit'!Z12</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8" ht="12.5" x14ac:dyDescent="0.25">
      <c r="A138" s="4" t="str">
        <f ca="1">IFERROR(__xludf.DUMMYFUNCTION("""COMPUTED_VALUE"""),"Yes")</f>
        <v>Yes</v>
      </c>
      <c r="B138" s="4" t="str">
        <f ca="1">IFERROR(__xludf.DUMMYFUNCTION("""COMPUTED_VALUE"""),"No")</f>
        <v>No</v>
      </c>
      <c r="C138" s="96"/>
      <c r="D138" s="96"/>
      <c r="E138" s="96"/>
      <c r="F138" s="96"/>
      <c r="G138" s="5"/>
      <c r="H138" s="5"/>
      <c r="I138" s="5"/>
      <c r="J138" s="41"/>
      <c r="K138" s="4"/>
      <c r="L138" s="39"/>
      <c r="M138" s="37"/>
      <c r="N138" s="37"/>
      <c r="O138" s="37"/>
      <c r="P138" s="36" t="s">
        <v>25</v>
      </c>
      <c r="Q138" s="13">
        <f>'Parameter unit'!Z13</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8" ht="12.5" x14ac:dyDescent="0.25">
      <c r="A139" s="4" t="str">
        <f ca="1">IFERROR(__xludf.DUMMYFUNCTION("""COMPUTED_VALUE"""),"Yes")</f>
        <v>Yes</v>
      </c>
      <c r="B139" s="4" t="str">
        <f ca="1">IFERROR(__xludf.DUMMYFUNCTION("""COMPUTED_VALUE"""),"No")</f>
        <v>No</v>
      </c>
      <c r="C139" s="96"/>
      <c r="D139" s="96"/>
      <c r="E139" s="96"/>
      <c r="F139" s="96"/>
      <c r="G139" s="5"/>
      <c r="H139" s="5"/>
      <c r="I139" s="5"/>
      <c r="J139" s="41"/>
      <c r="K139" s="4"/>
      <c r="L139" s="39"/>
      <c r="M139" s="37"/>
      <c r="N139" s="37"/>
      <c r="O139" s="37"/>
      <c r="P139" s="36" t="s">
        <v>25</v>
      </c>
      <c r="Q139" s="13">
        <f>'Parameter unit'!Z14</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8" ht="12.5" x14ac:dyDescent="0.25">
      <c r="A140" s="4" t="str">
        <f ca="1">IFERROR(__xludf.DUMMYFUNCTION("""COMPUTED_VALUE"""),"Yes")</f>
        <v>Yes</v>
      </c>
      <c r="B140" s="4" t="str">
        <f ca="1">IFERROR(__xludf.DUMMYFUNCTION("""COMPUTED_VALUE"""),"No")</f>
        <v>No</v>
      </c>
      <c r="C140" s="96"/>
      <c r="D140" s="96"/>
      <c r="E140" s="96"/>
      <c r="F140" s="96"/>
      <c r="G140" s="5"/>
      <c r="H140" s="5"/>
      <c r="I140" s="5"/>
      <c r="J140" s="41"/>
      <c r="K140" s="4"/>
      <c r="L140" s="39"/>
      <c r="M140" s="37"/>
      <c r="N140" s="37"/>
      <c r="O140" s="37"/>
      <c r="P140" s="36" t="s">
        <v>25</v>
      </c>
      <c r="Q140" s="13">
        <f>'Parameter unit'!Z15</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8" ht="12.5" x14ac:dyDescent="0.25">
      <c r="A141" s="4" t="str">
        <f ca="1">IFERROR(__xludf.DUMMYFUNCTION("""COMPUTED_VALUE"""),"Yes")</f>
        <v>Yes</v>
      </c>
      <c r="B141" s="4" t="str">
        <f ca="1">IFERROR(__xludf.DUMMYFUNCTION("""COMPUTED_VALUE"""),"No")</f>
        <v>No</v>
      </c>
      <c r="C141" s="96"/>
      <c r="D141" s="96"/>
      <c r="E141" s="96"/>
      <c r="F141" s="96"/>
      <c r="G141" s="5" t="str">
        <f ca="1">IFERROR(__xludf.DUMMYFUNCTION("""COMPUTED_VALUE"""),"Model equation reference")</f>
        <v>Model equation reference</v>
      </c>
      <c r="H141" s="5" t="str">
        <f ca="1">IFERROR(__xludf.DUMMYFUNCTION("""COMPUTED_VALUE"""),"0:N")</f>
        <v>0:N</v>
      </c>
      <c r="I141" s="5"/>
      <c r="J141" s="41"/>
      <c r="K141" s="4"/>
      <c r="L141" s="39"/>
      <c r="M141" s="37"/>
      <c r="N141" s="37"/>
      <c r="O141" s="37"/>
      <c r="P141" s="36" t="s">
        <v>25</v>
      </c>
      <c r="Q141" s="13">
        <f>'Parameter unit'!Z16</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8" ht="12.5" x14ac:dyDescent="0.25">
      <c r="A142" s="4" t="str">
        <f ca="1">IFERROR(__xludf.DUMMYFUNCTION("""COMPUTED_VALUE"""),"Yes")</f>
        <v>Yes</v>
      </c>
      <c r="B142" s="4" t="str">
        <f ca="1">IFERROR(__xludf.DUMMYFUNCTION("""COMPUTED_VALUE"""),"No")</f>
        <v>No</v>
      </c>
      <c r="C142" s="96"/>
      <c r="D142" s="96"/>
      <c r="E142" s="96"/>
      <c r="F142" s="96"/>
      <c r="G142" s="5" t="str">
        <f ca="1">IFERROR(__xludf.DUMMYFUNCTION("""COMPUTED_VALUE"""),"Model equation / Script")</f>
        <v>Model equation / Script</v>
      </c>
      <c r="H142" s="5" t="str">
        <f ca="1">IFERROR(__xludf.DUMMYFUNCTION("""COMPUTED_VALUE"""),"1")</f>
        <v>1</v>
      </c>
      <c r="I142" s="5"/>
      <c r="J142" s="41"/>
      <c r="K142" s="4"/>
      <c r="L142" s="39"/>
      <c r="M142" s="37"/>
      <c r="N142" s="37"/>
      <c r="O142" s="37"/>
      <c r="P142" s="36" t="s">
        <v>25</v>
      </c>
      <c r="Q142" s="13">
        <f>'Parameter unit'!Z17</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8" ht="12.5" x14ac:dyDescent="0.25">
      <c r="A143" s="4" t="str">
        <f ca="1">IFERROR(__xludf.DUMMYFUNCTION("""COMPUTED_VALUE"""),"Yes")</f>
        <v>Yes</v>
      </c>
      <c r="B143" s="4" t="str">
        <f ca="1">IFERROR(__xludf.DUMMYFUNCTION("""COMPUTED_VALUE"""),"No")</f>
        <v>No</v>
      </c>
      <c r="C143" s="96"/>
      <c r="D143" s="96"/>
      <c r="E143" s="96"/>
      <c r="F143" s="96"/>
      <c r="G143" s="5" t="str">
        <f ca="1">IFERROR(__xludf.DUMMYFUNCTION("""COMPUTED_VALUE"""),"Hypothesis of the model")</f>
        <v>Hypothesis of the model</v>
      </c>
      <c r="H143" s="5" t="str">
        <f ca="1">IFERROR(__xludf.DUMMYFUNCTION("""COMPUTED_VALUE"""),"0:N")</f>
        <v>0:N</v>
      </c>
      <c r="I143" s="5"/>
      <c r="J143" s="41"/>
      <c r="K143" s="4"/>
      <c r="L143" s="39"/>
      <c r="M143" s="37"/>
      <c r="N143" s="37"/>
      <c r="O143" s="37"/>
      <c r="P143" s="36" t="s">
        <v>25</v>
      </c>
      <c r="Q143" s="13">
        <f>'Parameter unit'!Z18</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8" ht="12.5" x14ac:dyDescent="0.25">
      <c r="A144" s="4" t="str">
        <f ca="1">IFERROR(__xludf.DUMMYFUNCTION("""COMPUTED_VALUE"""),"Yes")</f>
        <v>Yes</v>
      </c>
      <c r="B144" s="4" t="str">
        <f ca="1">IFERROR(__xludf.DUMMYFUNCTION("""COMPUTED_VALUE"""),"No")</f>
        <v>No</v>
      </c>
      <c r="C144" s="96"/>
      <c r="D144" s="96"/>
      <c r="E144" s="5" t="str">
        <f ca="1">IFERROR(__xludf.DUMMYFUNCTION("""COMPUTED_VALUE"""),"Fitting procedure")</f>
        <v>Fitting procedure</v>
      </c>
      <c r="F144" s="97" t="str">
        <f ca="1">IFERROR(__xludf.DUMMYFUNCTION("""COMPUTED_VALUE"""),"0:1")</f>
        <v>0:1</v>
      </c>
      <c r="G144" s="96"/>
      <c r="H144" s="96"/>
      <c r="I144" s="5"/>
      <c r="J144" s="11"/>
      <c r="K144" s="4"/>
      <c r="L144" s="39"/>
      <c r="M144" s="37"/>
      <c r="N144" s="37"/>
      <c r="O144" s="37"/>
      <c r="P144" s="36" t="s">
        <v>25</v>
      </c>
      <c r="Q144" s="13">
        <f>'Parameter unit'!Z19</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x14ac:dyDescent="0.25">
      <c r="A145" s="4"/>
      <c r="B145" s="4"/>
      <c r="C145" s="4"/>
      <c r="D145" s="4"/>
      <c r="E145" s="4"/>
      <c r="F145" s="4"/>
      <c r="G145" s="4"/>
      <c r="H145" s="4"/>
      <c r="I145" s="4"/>
      <c r="J145" s="4"/>
      <c r="K145" s="4"/>
      <c r="L145" s="39"/>
      <c r="M145" s="37"/>
      <c r="N145" s="37"/>
      <c r="O145" s="37"/>
      <c r="P145" s="36" t="s">
        <v>25</v>
      </c>
      <c r="Q145" s="13">
        <f>'Parameter unit'!Z20</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sheetData>
  <autoFilter ref="B1:B145"/>
  <mergeCells count="61">
    <mergeCell ref="E134:E135"/>
    <mergeCell ref="F116:F133"/>
    <mergeCell ref="F134:F135"/>
    <mergeCell ref="E107:E115"/>
    <mergeCell ref="F107:F115"/>
    <mergeCell ref="E104:E106"/>
    <mergeCell ref="F78:F93"/>
    <mergeCell ref="F94:F103"/>
    <mergeCell ref="F104:F106"/>
    <mergeCell ref="E94:E103"/>
    <mergeCell ref="E78:E93"/>
    <mergeCell ref="P115:T115"/>
    <mergeCell ref="F136:F143"/>
    <mergeCell ref="L101:N101"/>
    <mergeCell ref="L107:T107"/>
    <mergeCell ref="F35:H35"/>
    <mergeCell ref="F36:F46"/>
    <mergeCell ref="F61:F73"/>
    <mergeCell ref="F76:F77"/>
    <mergeCell ref="L36:V36"/>
    <mergeCell ref="AK36:AW36"/>
    <mergeCell ref="L1:Z1"/>
    <mergeCell ref="E116:E133"/>
    <mergeCell ref="D116:D144"/>
    <mergeCell ref="C116:C144"/>
    <mergeCell ref="F144:H144"/>
    <mergeCell ref="C78:C115"/>
    <mergeCell ref="D78:D115"/>
    <mergeCell ref="L125:AA125"/>
    <mergeCell ref="F47:F60"/>
    <mergeCell ref="F74:H74"/>
    <mergeCell ref="F34:H34"/>
    <mergeCell ref="M115:N115"/>
    <mergeCell ref="E136:E143"/>
    <mergeCell ref="L94:U94"/>
    <mergeCell ref="E47:E60"/>
    <mergeCell ref="L12:W12"/>
    <mergeCell ref="F12:H12"/>
    <mergeCell ref="AB1:AP1"/>
    <mergeCell ref="F7:F8"/>
    <mergeCell ref="F4:H4"/>
    <mergeCell ref="C2:C35"/>
    <mergeCell ref="D2:D35"/>
    <mergeCell ref="C36:C77"/>
    <mergeCell ref="D36:D77"/>
    <mergeCell ref="F2:H2"/>
    <mergeCell ref="F3:H3"/>
    <mergeCell ref="F11:H11"/>
    <mergeCell ref="F10:H10"/>
    <mergeCell ref="F33:H33"/>
    <mergeCell ref="F25:H25"/>
    <mergeCell ref="F26:H26"/>
    <mergeCell ref="F27:H27"/>
    <mergeCell ref="E36:E46"/>
    <mergeCell ref="E61:E73"/>
    <mergeCell ref="E76:E77"/>
    <mergeCell ref="W36:AJ36"/>
    <mergeCell ref="E13:E24"/>
    <mergeCell ref="F13:F24"/>
    <mergeCell ref="E28:E32"/>
    <mergeCell ref="F28:F32"/>
  </mergeCells>
  <conditionalFormatting sqref="V128:V145">
    <cfRule type="expression" dxfId="6" priority="1">
      <formula>IF(AND(M128="Input",R128="File"),V128="")</formula>
    </cfRule>
  </conditionalFormatting>
  <conditionalFormatting sqref="M118">
    <cfRule type="notContainsBlanks" dxfId="5" priority="2">
      <formula>LEN(TRIM(M118))&gt;0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8:M121 M123">
      <formula1>-1E+179</formula1>
    </dataValidation>
    <dataValidation type="decimal" operator="lessThanOrEqual" allowBlank="1" showDropDown="1" showErrorMessage="1" sqref="M122">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7">
        <x14:dataValidation type="list" allowBlank="1" showErrorMessage="1">
          <x14:formula1>
            <xm:f>Country!$A$2:$A$500</xm:f>
          </x14:formula1>
          <xm:sqref>T4:T9 AJ4:AJ9 AU39:AU50 J77 N104:N106</xm:sqref>
        </x14:dataValidation>
        <x14:dataValidation type="list" allowBlank="1" showErrorMessage="1">
          <x14:formula1>
            <xm:f>'Parameter classification'!$A$2:$A$50</xm:f>
          </x14:formula1>
          <xm:sqref>M134:M145</xm:sqref>
        </x14:dataValidation>
        <x14:dataValidation type="list" allowBlank="1" showErrorMessage="1">
          <x14:formula1>
            <xm:f>'Fitting procedure'!$A$2:$A$100</xm:f>
          </x14:formula1>
          <xm:sqref>J144</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Q118:Q122</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S128:S145</xm:sqref>
        </x14:dataValidation>
        <x14:dataValidation type="list" allowBlank="1" showErrorMessage="1">
          <x14:formula1>
            <xm:f>'Population name'!$A$2:$A$30</xm:f>
          </x14:formula1>
          <xm:sqref>AK39:AK50</xm:sqref>
        </x14:dataValidation>
        <x14:dataValidation type="list" allowBlank="1" showErrorMessage="1">
          <x14:formula1>
            <xm:f>'Parameter unit'!$A:$A</xm:f>
          </x14:formula1>
          <xm:sqref>N39:N50 Z39:Z50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AT39:AT50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W39:W50</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R128:R132</xm:sqref>
        </x14:dataValidation>
        <x14:dataValidation type="list" allowBlank="1" showErrorMessage="1">
          <x14:formula1>
            <xm:f>'Hazard name'!$A$2:$A$11000</xm:f>
          </x14:formula1>
          <xm:sqref>X49:X50</xm:sqref>
        </x14:dataValidation>
        <x14:dataValidation type="list" allowBlank="1" showErrorMessage="1">
          <x14:formula1>
            <xm:f>'Basic Process'!$I$3:$I$40</xm:f>
          </x14:formula1>
          <xm:sqref>J31</xm:sqref>
        </x14:dataValidation>
        <x14:dataValidation type="list" allowBlank="1" showErrorMessage="1">
          <x14:formula1>
            <xm:f>'Parameter data type'!$A$2:$A$50</xm:f>
          </x14:formula1>
          <xm:sqref>R134:R145</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'Hazard ind-sum'!$A$2:$A$18</xm:f>
          </x14:formula1>
          <xm:sqref>AJ39:AJ50</xm:sqref>
        </x14:dataValidation>
        <x14:dataValidation type="list" allowBlank="1" showErrorMessage="1">
          <x14:formula1>
            <xm:f>'Parameter unit'!$A$2:$A$800</xm:f>
          </x14:formula1>
          <xm:sqref>P128:P145</xm:sqref>
        </x14:dataValidation>
        <x14:dataValidation type="list" allowBlank="1" showErrorMessage="1">
          <x14:formula1>
            <xm:f>'Laboratory accreditation'!$A$2:$A$200</xm:f>
          </x14:formula1>
          <xm:sqref>L104:L106</xm:sqref>
        </x14:dataValidation>
        <x14:dataValidation type="list" allowBlank="1" showErrorMessage="1">
          <x14:formula1>
            <xm:f>'Parameter classification'!$A$2:$A$50</xm:f>
          </x14:formula1>
          <xm:sqref>M128:M132</xm:sqref>
        </x14:dataValidation>
        <x14:dataValidation type="list" allowBlank="1" showErrorMessage="1">
          <x14:formula1>
            <xm:f>'Parameter subject'!$A$2:$A$500</xm:f>
          </x14:formula1>
          <xm:sqref>T128:T145</xm:sqref>
        </x14:dataValidation>
        <x14:dataValidation type="list" allowBlank="1" showErrorMessage="1">
          <x14:formula1>
            <xm:f>'Language written in'!$A:$A</xm:f>
          </x14:formula1>
          <xm:sqref>J27</xm:sqref>
        </x14:dataValidation>
        <x14:dataValidation type="list" allowBlank="1" showErrorMessage="1">
          <x14:formula1>
            <xm:f>'Model Sub-Class'!$I$3:$I$50</xm:f>
          </x14:formula1>
          <xm:sqref>J29</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'Parameter data type'!$A$2:$A$50</xm:f>
          </x14:formula1>
          <xm:sqref>R133</xm:sqref>
        </x14:dataValidation>
        <x14:dataValidation type="list" allowBlank="1" showErrorMessage="1">
          <x14:formula1>
            <xm:f>'Parameter distribution'!$A$2:$A$800</xm:f>
          </x14:formula1>
          <xm:sqref>U128:U145</xm:sqref>
        </x14:dataValidation>
        <x14:dataValidation type="list" allowBlank="1" showErrorMessage="1">
          <x14:formula1>
            <xm:f>'Parameter classification'!$A$2:$A$50</xm:f>
          </x14:formula1>
          <xm:sqref>M133</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31"/>
  <sheetViews>
    <sheetView workbookViewId="0"/>
  </sheetViews>
  <sheetFormatPr defaultColWidth="14.453125" defaultRowHeight="15.75" customHeight="1" x14ac:dyDescent="0.25"/>
  <cols>
    <col min="3" max="3" width="6.1796875" customWidth="1"/>
    <col min="6" max="6" width="6" customWidth="1"/>
    <col min="7" max="7" width="29.1796875" customWidth="1"/>
    <col min="8" max="8" width="6.1796875" customWidth="1"/>
    <col min="9" max="9" width="33.1796875" hidden="1" customWidth="1"/>
    <col min="10" max="10" width="44.453125" customWidth="1"/>
    <col min="11" max="11" width="23.54296875" customWidth="1"/>
    <col min="14" max="14" width="37.81640625" customWidth="1"/>
    <col min="15" max="15" width="16.81640625" customWidth="1"/>
  </cols>
  <sheetData>
    <row r="1" spans="1:49" ht="14" x14ac:dyDescent="0.3">
      <c r="A1" s="16" t="str">
        <f ca="1">IFERROR(__xludf.DUMMYFUNCTION("QUERY(IMPORTRANGE(""https://docs.google.com/spreadsheets/d/1R5ofJAIqAywN97cnBY9R9kqj10AvQOs3Gq472n6iDyc/edit#gid=811823962"",""(Data)!A:H""),""select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2"/>
      <c r="L1" s="97" t="str">
        <f ca="1">E6</f>
        <v>Creator</v>
      </c>
      <c r="M1" s="96"/>
      <c r="N1" s="96"/>
      <c r="O1" s="96"/>
      <c r="P1" s="96"/>
      <c r="Q1" s="96"/>
      <c r="R1" s="96"/>
      <c r="S1" s="96"/>
      <c r="T1" s="96"/>
      <c r="U1" s="96"/>
      <c r="V1" s="96"/>
      <c r="W1" s="96"/>
      <c r="X1" s="96"/>
      <c r="Y1" s="96"/>
      <c r="Z1" s="96"/>
      <c r="AA1" s="4"/>
      <c r="AB1" s="97" t="str">
        <f ca="1">E5</f>
        <v>Author</v>
      </c>
      <c r="AC1" s="96"/>
      <c r="AD1" s="96"/>
      <c r="AE1" s="96"/>
      <c r="AF1" s="96"/>
      <c r="AG1" s="96"/>
      <c r="AH1" s="96"/>
      <c r="AI1" s="96"/>
      <c r="AJ1" s="96"/>
      <c r="AK1" s="96"/>
      <c r="AL1" s="96"/>
      <c r="AM1" s="96"/>
      <c r="AN1" s="96"/>
      <c r="AO1" s="96"/>
      <c r="AP1" s="96"/>
      <c r="AQ1" s="4"/>
      <c r="AR1" s="4"/>
      <c r="AS1" s="4"/>
      <c r="AT1" s="4"/>
      <c r="AU1" s="4"/>
      <c r="AV1" s="4"/>
      <c r="AW1" s="4"/>
    </row>
    <row r="2" spans="1:49" ht="12.5" x14ac:dyDescent="0.25">
      <c r="A2" s="4" t="str">
        <f ca="1">IFERROR(__xludf.DUMMYFUNCTION("""COMPUTED_VALUE"""),"Yes")</f>
        <v>Yes</v>
      </c>
      <c r="B2" s="4" t="str">
        <f ca="1">IFERROR(__xludf.DUMMYFUNCTION("""COMPUTED_VALUE"""),"Yes")</f>
        <v>Yes</v>
      </c>
      <c r="C2" s="95" t="str">
        <f ca="1">IFERROR(__xludf.DUMMYFUNCTION("""COMPUTED_VALUE"""),"General information")</f>
        <v>General information</v>
      </c>
      <c r="D2" s="95" t="str">
        <f ca="1">IFERROR(__xludf.DUMMYFUNCTION("""COMPUTED_VALUE"""),"1")</f>
        <v>1</v>
      </c>
      <c r="E2" s="5" t="str">
        <f ca="1">IFERROR(__xludf.DUMMYFUNCTION("""COMPUTED_VALUE"""),"Data name")</f>
        <v>Data name</v>
      </c>
      <c r="F2" s="97" t="str">
        <f ca="1">IFERROR(__xludf.DUMMYFUNCTION("""COMPUTED_VALUE"""),"1")</f>
        <v>1</v>
      </c>
      <c r="G2" s="96"/>
      <c r="H2" s="96"/>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x14ac:dyDescent="0.25">
      <c r="A3" s="4" t="str">
        <f ca="1">IFERROR(__xludf.DUMMYFUNCTION("""COMPUTED_VALUE"""),"Yes")</f>
        <v>Yes</v>
      </c>
      <c r="B3" s="4" t="str">
        <f ca="1">IFERROR(__xludf.DUMMYFUNCTION("""COMPUTED_VALUE"""),"Yes")</f>
        <v>Yes</v>
      </c>
      <c r="C3" s="96"/>
      <c r="D3" s="96"/>
      <c r="E3" s="5" t="str">
        <f ca="1">IFERROR(__xludf.DUMMYFUNCTION("""COMPUTED_VALUE"""),"Source")</f>
        <v>Source</v>
      </c>
      <c r="F3" s="97" t="str">
        <f ca="1">IFERROR(__xludf.DUMMYFUNCTION("""COMPUTED_VALUE"""),"0:1")</f>
        <v>0:1</v>
      </c>
      <c r="G3" s="96"/>
      <c r="H3" s="96"/>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x14ac:dyDescent="0.25">
      <c r="A4" s="4" t="str">
        <f ca="1">IFERROR(__xludf.DUMMYFUNCTION("""COMPUTED_VALUE"""),"Yes")</f>
        <v>Yes</v>
      </c>
      <c r="B4" s="4" t="str">
        <f ca="1">IFERROR(__xludf.DUMMYFUNCTION("""COMPUTED_VALUE"""),"Yes")</f>
        <v>Yes</v>
      </c>
      <c r="C4" s="96"/>
      <c r="D4" s="96"/>
      <c r="E4" s="5" t="str">
        <f ca="1">IFERROR(__xludf.DUMMYFUNCTION("""COMPUTED_VALUE"""),"Identifier")</f>
        <v>Identifier</v>
      </c>
      <c r="F4" s="45" t="str">
        <f ca="1">IFERROR(__xludf.DUMMYFUNCTION("""COMPUTED_VALUE"""),"1")</f>
        <v>1</v>
      </c>
      <c r="G4" s="5"/>
      <c r="H4" s="5"/>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x14ac:dyDescent="0.25">
      <c r="A5" s="4" t="str">
        <f ca="1">IFERROR(__xludf.DUMMYFUNCTION("""COMPUTED_VALUE"""),"Yes")</f>
        <v>Yes</v>
      </c>
      <c r="B5" s="4" t="str">
        <f ca="1">IFERROR(__xludf.DUMMYFUNCTION("""COMPUTED_VALUE"""),"No")</f>
        <v>No</v>
      </c>
      <c r="C5" s="96"/>
      <c r="D5" s="96"/>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x14ac:dyDescent="0.25">
      <c r="A6" s="4" t="str">
        <f ca="1">IFERROR(__xludf.DUMMYFUNCTION("""COMPUTED_VALUE"""),"Yes")</f>
        <v>Yes</v>
      </c>
      <c r="B6" s="4" t="str">
        <f ca="1">IFERROR(__xludf.DUMMYFUNCTION("""COMPUTED_VALUE"""),"Yes")</f>
        <v>Yes</v>
      </c>
      <c r="C6" s="96"/>
      <c r="D6" s="96"/>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x14ac:dyDescent="0.25">
      <c r="A7" s="4" t="str">
        <f ca="1">IFERROR(__xludf.DUMMYFUNCTION("""COMPUTED_VALUE"""),"Yes")</f>
        <v>Yes</v>
      </c>
      <c r="B7" s="4" t="str">
        <f ca="1">IFERROR(__xludf.DUMMYFUNCTION("""COMPUTED_VALUE"""),"Yes")</f>
        <v>Yes</v>
      </c>
      <c r="C7" s="96"/>
      <c r="D7" s="96"/>
      <c r="E7" s="97" t="str">
        <f ca="1">IFERROR(__xludf.DUMMYFUNCTION("""COMPUTED_VALUE"""),"Date")</f>
        <v>Date</v>
      </c>
      <c r="F7" s="97" t="str">
        <f ca="1">IFERROR(__xludf.DUMMYFUNCTION("""COMPUTED_VALUE"""),"1:N")</f>
        <v>1:N</v>
      </c>
      <c r="G7" s="7"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x14ac:dyDescent="0.25">
      <c r="A8" s="4" t="str">
        <f ca="1">IFERROR(__xludf.DUMMYFUNCTION("""COMPUTED_VALUE"""),"Yes")</f>
        <v>Yes</v>
      </c>
      <c r="B8" s="4" t="str">
        <f ca="1">IFERROR(__xludf.DUMMYFUNCTION("""COMPUTED_VALUE"""),"No")</f>
        <v>No</v>
      </c>
      <c r="C8" s="96"/>
      <c r="D8" s="96"/>
      <c r="E8" s="96"/>
      <c r="F8" s="96"/>
      <c r="G8" s="7"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x14ac:dyDescent="0.25">
      <c r="A9" s="4" t="str">
        <f ca="1">IFERROR(__xludf.DUMMYFUNCTION("""COMPUTED_VALUE"""),"Yes")</f>
        <v>Yes</v>
      </c>
      <c r="B9" s="4" t="str">
        <f ca="1">IFERROR(__xludf.DUMMYFUNCTION("""COMPUTED_VALUE"""),"Yes")</f>
        <v>Yes</v>
      </c>
      <c r="C9" s="96"/>
      <c r="D9" s="96"/>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x14ac:dyDescent="0.25">
      <c r="A10" s="4" t="str">
        <f ca="1">IFERROR(__xludf.DUMMYFUNCTION("""COMPUTED_VALUE"""),"Yes")</f>
        <v>Yes</v>
      </c>
      <c r="B10" s="4" t="str">
        <f ca="1">IFERROR(__xludf.DUMMYFUNCTION("""COMPUTED_VALUE"""),"No")</f>
        <v>No</v>
      </c>
      <c r="C10" s="96"/>
      <c r="D10" s="96"/>
      <c r="E10" s="5" t="str">
        <f ca="1">IFERROR(__xludf.DUMMYFUNCTION("""COMPUTED_VALUE"""),"Availability")</f>
        <v>Availability</v>
      </c>
      <c r="F10" s="97" t="str">
        <f ca="1">IFERROR(__xludf.DUMMYFUNCTION("""COMPUTED_VALUE"""),"0:1")</f>
        <v>0:1</v>
      </c>
      <c r="G10" s="96"/>
      <c r="H10" s="96"/>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x14ac:dyDescent="0.25">
      <c r="A11" s="4" t="str">
        <f ca="1">IFERROR(__xludf.DUMMYFUNCTION("""COMPUTED_VALUE"""),"Yes")</f>
        <v>Yes</v>
      </c>
      <c r="B11" s="4" t="str">
        <f ca="1">IFERROR(__xludf.DUMMYFUNCTION("""COMPUTED_VALUE"""),"No")</f>
        <v>No</v>
      </c>
      <c r="C11" s="96"/>
      <c r="D11" s="96"/>
      <c r="E11" s="5" t="str">
        <f ca="1">IFERROR(__xludf.DUMMYFUNCTION("""COMPUTED_VALUE"""),"URL")</f>
        <v>URL</v>
      </c>
      <c r="F11" s="97" t="str">
        <f ca="1">IFERROR(__xludf.DUMMYFUNCTION("""COMPUTED_VALUE"""),"0:1")</f>
        <v>0:1</v>
      </c>
      <c r="G11" s="96"/>
      <c r="H11" s="96"/>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x14ac:dyDescent="0.25">
      <c r="A12" s="4" t="str">
        <f ca="1">IFERROR(__xludf.DUMMYFUNCTION("""COMPUTED_VALUE"""),"Yes")</f>
        <v>Yes</v>
      </c>
      <c r="B12" s="4" t="str">
        <f ca="1">IFERROR(__xludf.DUMMYFUNCTION("""COMPUTED_VALUE"""),"No")</f>
        <v>No</v>
      </c>
      <c r="C12" s="96"/>
      <c r="D12" s="96"/>
      <c r="E12" s="5" t="str">
        <f ca="1">IFERROR(__xludf.DUMMYFUNCTION("""COMPUTED_VALUE"""),"Format")</f>
        <v>Format</v>
      </c>
      <c r="F12" s="97" t="str">
        <f ca="1">IFERROR(__xludf.DUMMYFUNCTION("""COMPUTED_VALUE"""),"0:1")</f>
        <v>0:1</v>
      </c>
      <c r="G12" s="96"/>
      <c r="H12" s="96"/>
      <c r="I12" s="5"/>
      <c r="J12" s="10"/>
      <c r="K12" s="4"/>
      <c r="L12" s="99" t="str">
        <f ca="1">E13</f>
        <v>References</v>
      </c>
      <c r="M12" s="96"/>
      <c r="N12" s="96"/>
      <c r="O12" s="96"/>
      <c r="P12" s="96"/>
      <c r="Q12" s="96"/>
      <c r="R12" s="96"/>
      <c r="S12" s="96"/>
      <c r="T12" s="96"/>
      <c r="U12" s="96"/>
      <c r="V12" s="96"/>
      <c r="W12" s="96"/>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x14ac:dyDescent="0.3">
      <c r="A13" s="4" t="str">
        <f ca="1">IFERROR(__xludf.DUMMYFUNCTION("""COMPUTED_VALUE"""),"Yes")</f>
        <v>Yes</v>
      </c>
      <c r="B13" s="4" t="str">
        <f ca="1">IFERROR(__xludf.DUMMYFUNCTION("""COMPUTED_VALUE"""),"Yes")</f>
        <v>Yes</v>
      </c>
      <c r="C13" s="96"/>
      <c r="D13" s="96"/>
      <c r="E13" s="97" t="str">
        <f ca="1">IFERROR(__xludf.DUMMYFUNCTION("""COMPUTED_VALUE"""),"References")</f>
        <v>References</v>
      </c>
      <c r="F13" s="97" t="str">
        <f ca="1">IFERROR(__xludf.DUMMYFUNCTION("""COMPUTED_VALUE"""),"1:N")</f>
        <v>1:N</v>
      </c>
      <c r="G13" s="7"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x14ac:dyDescent="0.25">
      <c r="A14" s="4" t="str">
        <f ca="1">IFERROR(__xludf.DUMMYFUNCTION("""COMPUTED_VALUE"""),"Yes")</f>
        <v>Yes</v>
      </c>
      <c r="B14" s="4" t="str">
        <f ca="1">IFERROR(__xludf.DUMMYFUNCTION("""COMPUTED_VALUE"""),"Yes")</f>
        <v>Yes</v>
      </c>
      <c r="C14" s="96"/>
      <c r="D14" s="96"/>
      <c r="E14" s="96"/>
      <c r="F14" s="96"/>
      <c r="G14" s="7"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x14ac:dyDescent="0.25">
      <c r="A15" s="4" t="str">
        <f ca="1">IFERROR(__xludf.DUMMYFUNCTION("""COMPUTED_VALUE"""),"Yes")</f>
        <v>Yes</v>
      </c>
      <c r="B15" s="4" t="str">
        <f ca="1">IFERROR(__xludf.DUMMYFUNCTION("""COMPUTED_VALUE"""),"No")</f>
        <v>No</v>
      </c>
      <c r="C15" s="96"/>
      <c r="D15" s="96"/>
      <c r="E15" s="96"/>
      <c r="F15" s="96"/>
      <c r="G15" s="7" t="str">
        <f ca="1">IFERROR(__xludf.DUMMYFUNCTION("""COMPUTED_VALUE"""),"Publication year")</f>
        <v>Publication year</v>
      </c>
      <c r="H15" s="5" t="str">
        <f ca="1">IFERROR(__xludf.DUMMYFUNCTION("""COMPUTED_VALUE"""),"0:1")</f>
        <v>0:1</v>
      </c>
      <c r="I15" s="5"/>
      <c r="J15" s="41"/>
      <c r="K15" s="8"/>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x14ac:dyDescent="0.25">
      <c r="A16" s="4" t="str">
        <f ca="1">IFERROR(__xludf.DUMMYFUNCTION("""COMPUTED_VALUE"""),"Yes")</f>
        <v>Yes</v>
      </c>
      <c r="B16" s="4" t="str">
        <f ca="1">IFERROR(__xludf.DUMMYFUNCTION("""COMPUTED_VALUE"""),"No")</f>
        <v>No</v>
      </c>
      <c r="C16" s="96"/>
      <c r="D16" s="96"/>
      <c r="E16" s="96"/>
      <c r="F16" s="96"/>
      <c r="G16" s="7"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x14ac:dyDescent="0.25">
      <c r="A17" s="4" t="str">
        <f ca="1">IFERROR(__xludf.DUMMYFUNCTION("""COMPUTED_VALUE"""),"Yes")</f>
        <v>Yes</v>
      </c>
      <c r="B17" s="4" t="str">
        <f ca="1">IFERROR(__xludf.DUMMYFUNCTION("""COMPUTED_VALUE"""),"Yes")</f>
        <v>Yes</v>
      </c>
      <c r="C17" s="96"/>
      <c r="D17" s="96"/>
      <c r="E17" s="96"/>
      <c r="F17" s="96"/>
      <c r="G17" s="7"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x14ac:dyDescent="0.25">
      <c r="A18" s="4" t="str">
        <f ca="1">IFERROR(__xludf.DUMMYFUNCTION("""COMPUTED_VALUE"""),"Yes")</f>
        <v>Yes</v>
      </c>
      <c r="B18" s="4" t="str">
        <f ca="1">IFERROR(__xludf.DUMMYFUNCTION("""COMPUTED_VALUE"""),"No")</f>
        <v>No</v>
      </c>
      <c r="C18" s="96"/>
      <c r="D18" s="96"/>
      <c r="E18" s="96"/>
      <c r="F18" s="96"/>
      <c r="G18" s="7"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x14ac:dyDescent="0.25">
      <c r="A19" s="4" t="str">
        <f ca="1">IFERROR(__xludf.DUMMYFUNCTION("""COMPUTED_VALUE"""),"Yes")</f>
        <v>Yes</v>
      </c>
      <c r="B19" s="4" t="str">
        <f ca="1">IFERROR(__xludf.DUMMYFUNCTION("""COMPUTED_VALUE"""),"Yes")</f>
        <v>Yes</v>
      </c>
      <c r="C19" s="96"/>
      <c r="D19" s="96"/>
      <c r="E19" s="96"/>
      <c r="F19" s="96"/>
      <c r="G19" s="7" t="str">
        <f ca="1">IFERROR(__xludf.DUMMYFUNCTION("""COMPUTED_VALUE"""),"Publication Title")</f>
        <v>Publication Title</v>
      </c>
      <c r="H19" s="5" t="str">
        <f ca="1">IFERROR(__xludf.DUMMYFUNCTION("""COMPUTED_VALUE"""),"1")</f>
        <v>1</v>
      </c>
      <c r="I19" s="5"/>
      <c r="J19" s="41"/>
      <c r="K19" s="8"/>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x14ac:dyDescent="0.25">
      <c r="A20" s="4" t="str">
        <f ca="1">IFERROR(__xludf.DUMMYFUNCTION("""COMPUTED_VALUE"""),"Yes")</f>
        <v>Yes</v>
      </c>
      <c r="B20" s="4" t="str">
        <f ca="1">IFERROR(__xludf.DUMMYFUNCTION("""COMPUTED_VALUE"""),"No")</f>
        <v>No</v>
      </c>
      <c r="C20" s="96"/>
      <c r="D20" s="96"/>
      <c r="E20" s="96"/>
      <c r="F20" s="96"/>
      <c r="G20" s="7"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x14ac:dyDescent="0.25">
      <c r="A21" s="4" t="str">
        <f ca="1">IFERROR(__xludf.DUMMYFUNCTION("""COMPUTED_VALUE"""),"Yes")</f>
        <v>Yes</v>
      </c>
      <c r="B21" s="4" t="str">
        <f ca="1">IFERROR(__xludf.DUMMYFUNCTION("""COMPUTED_VALUE"""),"No")</f>
        <v>No</v>
      </c>
      <c r="C21" s="96"/>
      <c r="D21" s="96"/>
      <c r="E21" s="96"/>
      <c r="F21" s="96"/>
      <c r="G21" s="7"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x14ac:dyDescent="0.25">
      <c r="A22" s="4" t="str">
        <f ca="1">IFERROR(__xludf.DUMMYFUNCTION("""COMPUTED_VALUE"""),"Yes")</f>
        <v>Yes</v>
      </c>
      <c r="B22" s="4" t="str">
        <f ca="1">IFERROR(__xludf.DUMMYFUNCTION("""COMPUTED_VALUE"""),"No")</f>
        <v>No</v>
      </c>
      <c r="C22" s="96"/>
      <c r="D22" s="96"/>
      <c r="E22" s="96"/>
      <c r="F22" s="96"/>
      <c r="G22" s="7" t="str">
        <f ca="1">IFERROR(__xludf.DUMMYFUNCTION("""COMPUTED_VALUE"""),"Publication Status")</f>
        <v>Publication Status</v>
      </c>
      <c r="H22" s="5" t="str">
        <f ca="1">IFERROR(__xludf.DUMMYFUNCTION("""COMPUTED_VALUE"""),"0:1")</f>
        <v>0:1</v>
      </c>
      <c r="I22" s="5"/>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x14ac:dyDescent="0.25">
      <c r="A23" s="4" t="str">
        <f ca="1">IFERROR(__xludf.DUMMYFUNCTION("""COMPUTED_VALUE"""),"Yes")</f>
        <v>Yes</v>
      </c>
      <c r="B23" s="4" t="str">
        <f ca="1">IFERROR(__xludf.DUMMYFUNCTION("""COMPUTED_VALUE"""),"No")</f>
        <v>No</v>
      </c>
      <c r="C23" s="96"/>
      <c r="D23" s="96"/>
      <c r="E23" s="96"/>
      <c r="F23" s="96"/>
      <c r="G23" s="7"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x14ac:dyDescent="0.25">
      <c r="A24" s="4" t="str">
        <f ca="1">IFERROR(__xludf.DUMMYFUNCTION("""COMPUTED_VALUE"""),"Yes")</f>
        <v>Yes</v>
      </c>
      <c r="B24" s="4" t="str">
        <f ca="1">IFERROR(__xludf.DUMMYFUNCTION("""COMPUTED_VALUE"""),"No")</f>
        <v>No</v>
      </c>
      <c r="C24" s="96"/>
      <c r="D24" s="96"/>
      <c r="E24" s="96"/>
      <c r="F24" s="96"/>
      <c r="G24" s="7" t="str">
        <f ca="1">IFERROR(__xludf.DUMMYFUNCTION("""COMPUTED_VALUE"""),"Comment")</f>
        <v>Comment</v>
      </c>
      <c r="H24" s="5" t="str">
        <f ca="1">IFERROR(__xludf.DUMMYFUNCTION("""COMPUTED_VALUE"""),"0:1")</f>
        <v>0:1</v>
      </c>
      <c r="I24" s="7"/>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x14ac:dyDescent="0.25">
      <c r="A25" s="4" t="str">
        <f ca="1">IFERROR(__xludf.DUMMYFUNCTION("""COMPUTED_VALUE"""),"Yes")</f>
        <v>Yes</v>
      </c>
      <c r="B25" s="4" t="str">
        <f ca="1">IFERROR(__xludf.DUMMYFUNCTION("""COMPUTED_VALUE"""),"No")</f>
        <v>No</v>
      </c>
      <c r="C25" s="96"/>
      <c r="D25" s="96"/>
      <c r="E25" s="5" t="str">
        <f ca="1">IFERROR(__xludf.DUMMYFUNCTION("""COMPUTED_VALUE"""),"Language")</f>
        <v>Language</v>
      </c>
      <c r="F25" s="97" t="str">
        <f ca="1">IFERROR(__xludf.DUMMYFUNCTION("""COMPUTED_VALUE"""),"0:1")</f>
        <v>0:1</v>
      </c>
      <c r="G25" s="96"/>
      <c r="H25" s="96"/>
      <c r="I25" s="5"/>
      <c r="J25" s="15"/>
      <c r="K25" s="4"/>
      <c r="L25" s="4"/>
      <c r="M25" s="4"/>
      <c r="N25" s="78"/>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x14ac:dyDescent="0.25">
      <c r="A26" s="4" t="str">
        <f ca="1">IFERROR(__xludf.DUMMYFUNCTION("""COMPUTED_VALUE"""),"Yes")</f>
        <v>Yes</v>
      </c>
      <c r="B26" s="4" t="str">
        <f ca="1">IFERROR(__xludf.DUMMYFUNCTION("""COMPUTED_VALUE"""),"No")</f>
        <v>No</v>
      </c>
      <c r="C26" s="96"/>
      <c r="D26" s="96"/>
      <c r="E26" s="5" t="str">
        <f ca="1">IFERROR(__xludf.DUMMYFUNCTION("""COMPUTED_VALUE"""),"Objective")</f>
        <v>Objective</v>
      </c>
      <c r="F26" s="97" t="str">
        <f ca="1">IFERROR(__xludf.DUMMYFUNCTION("""COMPUTED_VALUE"""),"0:1")</f>
        <v>0:1</v>
      </c>
      <c r="G26" s="96"/>
      <c r="H26" s="96"/>
      <c r="I26" s="5"/>
      <c r="J26" s="11"/>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x14ac:dyDescent="0.25">
      <c r="A27" s="4" t="str">
        <f ca="1">IFERROR(__xludf.DUMMYFUNCTION("""COMPUTED_VALUE"""),"Yes")</f>
        <v>Yes</v>
      </c>
      <c r="B27" s="4" t="str">
        <f ca="1">IFERROR(__xludf.DUMMYFUNCTION("""COMPUTED_VALUE"""),"No")</f>
        <v>No</v>
      </c>
      <c r="C27" s="96"/>
      <c r="D27" s="96"/>
      <c r="E27" s="5" t="str">
        <f ca="1">IFERROR(__xludf.DUMMYFUNCTION("""COMPUTED_VALUE"""),"Description")</f>
        <v>Description</v>
      </c>
      <c r="F27" s="97" t="str">
        <f ca="1">IFERROR(__xludf.DUMMYFUNCTION("""COMPUTED_VALUE"""),"0:1")</f>
        <v>0:1</v>
      </c>
      <c r="G27" s="96"/>
      <c r="H27" s="96"/>
      <c r="I27" s="5"/>
      <c r="J27" s="11"/>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x14ac:dyDescent="0.25">
      <c r="A28" s="4" t="str">
        <f ca="1">IFERROR(__xludf.DUMMYFUNCTION("""COMPUTED_VALUE"""),"Yes")</f>
        <v>Yes</v>
      </c>
      <c r="B28" s="4" t="str">
        <f ca="1">IFERROR(__xludf.DUMMYFUNCTION("""COMPUTED_VALUE"""),"Yes")</f>
        <v>Yes</v>
      </c>
      <c r="C28" s="95" t="str">
        <f ca="1">IFERROR(__xludf.DUMMYFUNCTION("""COMPUTED_VALUE"""),"Scope")</f>
        <v>Scope</v>
      </c>
      <c r="D28" s="95" t="str">
        <f ca="1">IFERROR(__xludf.DUMMYFUNCTION("""COMPUTED_VALUE"""),"1")</f>
        <v>1</v>
      </c>
      <c r="E28" s="97" t="str">
        <f ca="1">IFERROR(__xludf.DUMMYFUNCTION("""COMPUTED_VALUE"""),"Product / matrix")</f>
        <v>Product / matrix</v>
      </c>
      <c r="F28" s="97" t="str">
        <f ca="1">IFERROR(__xludf.DUMMYFUNCTION("""COMPUTED_VALUE"""),"0:N")</f>
        <v>0:N</v>
      </c>
      <c r="G28" s="7" t="str">
        <f ca="1">IFERROR(__xludf.DUMMYFUNCTION("""COMPUTED_VALUE"""),"Product/matrix name")</f>
        <v>Product/matrix name</v>
      </c>
      <c r="H28" s="5" t="str">
        <f ca="1">IFERROR(__xludf.DUMMYFUNCTION("""COMPUTED_VALUE"""),"1")</f>
        <v>1</v>
      </c>
      <c r="I28" s="5"/>
      <c r="J28" s="13"/>
      <c r="K28" s="4"/>
      <c r="L28" s="99" t="str">
        <f ca="1">E28</f>
        <v>Product / matrix</v>
      </c>
      <c r="M28" s="96"/>
      <c r="N28" s="96"/>
      <c r="O28" s="96"/>
      <c r="P28" s="96"/>
      <c r="Q28" s="96"/>
      <c r="R28" s="96"/>
      <c r="S28" s="96"/>
      <c r="T28" s="96"/>
      <c r="U28" s="96"/>
      <c r="V28" s="96"/>
      <c r="W28" s="99" t="str">
        <f ca="1">E39</f>
        <v>Hazard</v>
      </c>
      <c r="X28" s="96"/>
      <c r="Y28" s="96"/>
      <c r="Z28" s="96"/>
      <c r="AA28" s="96"/>
      <c r="AB28" s="96"/>
      <c r="AC28" s="96"/>
      <c r="AD28" s="96"/>
      <c r="AE28" s="96"/>
      <c r="AF28" s="96"/>
      <c r="AG28" s="96"/>
      <c r="AH28" s="96"/>
      <c r="AI28" s="96"/>
      <c r="AJ28" s="96"/>
      <c r="AK28" s="99" t="str">
        <f ca="1">E53</f>
        <v>Population Group</v>
      </c>
      <c r="AL28" s="96"/>
      <c r="AM28" s="96"/>
      <c r="AN28" s="96"/>
      <c r="AO28" s="96"/>
      <c r="AP28" s="96"/>
      <c r="AQ28" s="96"/>
      <c r="AR28" s="96"/>
      <c r="AS28" s="96"/>
      <c r="AT28" s="96"/>
      <c r="AU28" s="96"/>
      <c r="AV28" s="96"/>
      <c r="AW28" s="96"/>
    </row>
    <row r="29" spans="1:49" ht="12.5" x14ac:dyDescent="0.25">
      <c r="A29" s="4" t="str">
        <f ca="1">IFERROR(__xludf.DUMMYFUNCTION("""COMPUTED_VALUE"""),"Yes")</f>
        <v>Yes</v>
      </c>
      <c r="B29" s="4" t="str">
        <f ca="1">IFERROR(__xludf.DUMMYFUNCTION("""COMPUTED_VALUE"""),"Yes")</f>
        <v>Yes</v>
      </c>
      <c r="C29" s="96"/>
      <c r="D29" s="96"/>
      <c r="E29" s="96"/>
      <c r="F29" s="96"/>
      <c r="G29" s="7" t="str">
        <f ca="1">IFERROR(__xludf.DUMMYFUNCTION("""COMPUTED_VALUE"""),"Product/matrix description")</f>
        <v>Product/matrix description</v>
      </c>
      <c r="H29" s="5" t="str">
        <f ca="1">IFERROR(__xludf.DUMMYFUNCTION("""COMPUTED_VALUE"""),"0:1")</f>
        <v>0:1</v>
      </c>
      <c r="I29" s="5"/>
      <c r="J29" s="13"/>
      <c r="K29" s="4"/>
      <c r="L29" s="5" t="str">
        <f ca="1">G28</f>
        <v>Product/matrix name</v>
      </c>
      <c r="M29" s="20" t="str">
        <f ca="1">G29</f>
        <v>Product/matrix description</v>
      </c>
      <c r="N29" s="5" t="str">
        <f ca="1">G30</f>
        <v>Product/matrix unit</v>
      </c>
      <c r="O29" s="7" t="str">
        <f ca="1">G31</f>
        <v>Method of production</v>
      </c>
      <c r="P29" s="7" t="str">
        <f ca="1">G32</f>
        <v>Packaging</v>
      </c>
      <c r="Q29" s="7" t="str">
        <f ca="1">G33</f>
        <v>Product treatment</v>
      </c>
      <c r="R29" s="7" t="str">
        <f ca="1">G34</f>
        <v>Country of origin</v>
      </c>
      <c r="S29" s="7" t="str">
        <f ca="1">G35</f>
        <v>Area of origin</v>
      </c>
      <c r="T29" s="7" t="str">
        <f ca="1">G36</f>
        <v>Fisheries area</v>
      </c>
      <c r="U29" s="7" t="str">
        <f ca="1">G37</f>
        <v>Date of production</v>
      </c>
      <c r="V29" s="7" t="str">
        <f ca="1">G38</f>
        <v>Date of expiry</v>
      </c>
      <c r="W29" s="7" t="str">
        <f ca="1">G39</f>
        <v>Hazard type</v>
      </c>
      <c r="X29" s="7" t="str">
        <f ca="1">G40</f>
        <v>Hazard name</v>
      </c>
      <c r="Y29" s="7" t="str">
        <f ca="1">G41</f>
        <v>Hazard description</v>
      </c>
      <c r="Z29" s="5" t="str">
        <f ca="1">G42</f>
        <v>Hazard unit</v>
      </c>
      <c r="AA29" s="5" t="str">
        <f ca="1">G43</f>
        <v>Adverse effect</v>
      </c>
      <c r="AB29" s="5" t="str">
        <f ca="1">G44</f>
        <v>Source of contamination</v>
      </c>
      <c r="AC29" s="5" t="str">
        <f ca="1">G45</f>
        <v>Benchmark Dose (BMD)</v>
      </c>
      <c r="AD29" s="7" t="str">
        <f ca="1">G46</f>
        <v>Maximum Residue Limit (MRL)</v>
      </c>
      <c r="AE29" s="7" t="str">
        <f ca="1">G47</f>
        <v>No Observed Adverse Affect Level (NOAEL)</v>
      </c>
      <c r="AF29" s="7" t="str">
        <f ca="1">G48</f>
        <v>Lowest Observed Adverse Effect Level (LOAEL)</v>
      </c>
      <c r="AG29" s="7" t="str">
        <f ca="1">G49</f>
        <v>Acceptable Operator Exposure Level (AOEL)</v>
      </c>
      <c r="AH29" s="7" t="str">
        <f ca="1">G50</f>
        <v>Acute Reference Dose (ARfD)</v>
      </c>
      <c r="AI29" s="7" t="str">
        <f ca="1">G51</f>
        <v>Acceptable Daily Intake (ADI)</v>
      </c>
      <c r="AJ29" s="7" t="str">
        <f ca="1">G52</f>
        <v>Hazard ind/sum</v>
      </c>
      <c r="AK29" s="7" t="str">
        <f ca="1">G53</f>
        <v>Population name</v>
      </c>
      <c r="AL29" s="7" t="str">
        <f ca="1">G54</f>
        <v>Target population</v>
      </c>
      <c r="AM29" s="7" t="str">
        <f ca="1">G55</f>
        <v>Population Span (years)</v>
      </c>
      <c r="AN29" s="7" t="str">
        <f ca="1">G56</f>
        <v>Population description</v>
      </c>
      <c r="AO29" s="7" t="str">
        <f ca="1">G57</f>
        <v>Population age</v>
      </c>
      <c r="AP29" s="7" t="str">
        <f ca="1">G58</f>
        <v>Population gender</v>
      </c>
      <c r="AQ29" s="7" t="str">
        <f ca="1">G59</f>
        <v>BMI</v>
      </c>
      <c r="AR29" s="7" t="str">
        <f ca="1">G60</f>
        <v>Special diet groups</v>
      </c>
      <c r="AS29" s="7" t="str">
        <f ca="1">G61</f>
        <v>Pattern consumption</v>
      </c>
      <c r="AT29" s="7" t="str">
        <f ca="1">G62</f>
        <v>Region</v>
      </c>
      <c r="AU29" s="7" t="str">
        <f ca="1">G63</f>
        <v>Country</v>
      </c>
      <c r="AV29" s="7" t="str">
        <f ca="1">G64</f>
        <v>Risk and population factors</v>
      </c>
      <c r="AW29" s="7" t="str">
        <f ca="1">G65</f>
        <v>Season</v>
      </c>
    </row>
    <row r="30" spans="1:49" ht="12.5" x14ac:dyDescent="0.25">
      <c r="A30" s="4" t="str">
        <f ca="1">IFERROR(__xludf.DUMMYFUNCTION("""COMPUTED_VALUE"""),"Yes")</f>
        <v>Yes</v>
      </c>
      <c r="B30" s="4" t="str">
        <f ca="1">IFERROR(__xludf.DUMMYFUNCTION("""COMPUTED_VALUE"""),"Yes")</f>
        <v>Yes</v>
      </c>
      <c r="C30" s="96"/>
      <c r="D30" s="96"/>
      <c r="E30" s="96"/>
      <c r="F30" s="96"/>
      <c r="G30" s="7" t="str">
        <f ca="1">IFERROR(__xludf.DUMMYFUNCTION("""COMPUTED_VALUE"""),"Product/matrix unit")</f>
        <v>Product/matrix unit</v>
      </c>
      <c r="H30" s="5" t="str">
        <f ca="1">IFERROR(__xludf.DUMMYFUNCTION("""COMPUTED_VALUE"""),"1")</f>
        <v>1</v>
      </c>
      <c r="I30" s="5"/>
      <c r="J30" s="13"/>
      <c r="K30" s="4"/>
      <c r="L30" s="8" t="str">
        <f ca="1">H28</f>
        <v>1</v>
      </c>
      <c r="M30" s="8" t="str">
        <f ca="1">H29</f>
        <v>0:1</v>
      </c>
      <c r="N30" s="8" t="str">
        <f ca="1">H30</f>
        <v>1</v>
      </c>
      <c r="O30" s="8" t="str">
        <f ca="1">H31</f>
        <v>0:N</v>
      </c>
      <c r="P30" s="8" t="str">
        <f ca="1">H32</f>
        <v>0:N</v>
      </c>
      <c r="Q30" s="8" t="str">
        <f ca="1">H33</f>
        <v>0:N</v>
      </c>
      <c r="R30" s="8" t="str">
        <f ca="1">H34</f>
        <v>0:1</v>
      </c>
      <c r="S30" s="8" t="str">
        <f ca="1">H35</f>
        <v>0:1</v>
      </c>
      <c r="T30" s="8" t="str">
        <f ca="1">H36</f>
        <v>0:1</v>
      </c>
      <c r="U30" s="8" t="str">
        <f ca="1">H37</f>
        <v>0:1</v>
      </c>
      <c r="V30" s="8" t="str">
        <f ca="1">H38</f>
        <v>0:1</v>
      </c>
      <c r="W30" s="8" t="str">
        <f ca="1">H39</f>
        <v>0:1</v>
      </c>
      <c r="X30" s="8" t="str">
        <f ca="1">H40</f>
        <v>1</v>
      </c>
      <c r="Y30" s="8" t="str">
        <f ca="1">H41</f>
        <v>0:1</v>
      </c>
      <c r="Z30" s="8" t="str">
        <f ca="1">H42</f>
        <v>0:1</v>
      </c>
      <c r="AA30" s="8" t="str">
        <f ca="1">H43</f>
        <v>0:1</v>
      </c>
      <c r="AB30" s="8" t="str">
        <f ca="1">H44</f>
        <v>0:1</v>
      </c>
      <c r="AC30" s="8" t="str">
        <f ca="1">H45</f>
        <v>0:1</v>
      </c>
      <c r="AD30" s="8" t="str">
        <f ca="1">H46</f>
        <v>0:1</v>
      </c>
      <c r="AE30" s="8" t="str">
        <f ca="1">H47</f>
        <v>0:1</v>
      </c>
      <c r="AF30" s="8" t="str">
        <f ca="1">H48</f>
        <v>0:1</v>
      </c>
      <c r="AG30" s="8" t="str">
        <f ca="1">H49</f>
        <v>0:1</v>
      </c>
      <c r="AH30" s="8" t="str">
        <f ca="1">H50</f>
        <v>0:1</v>
      </c>
      <c r="AI30" s="8" t="str">
        <f ca="1">H51</f>
        <v>0:1</v>
      </c>
      <c r="AJ30" s="8" t="str">
        <f ca="1">H52</f>
        <v>0:1</v>
      </c>
      <c r="AK30" s="8" t="str">
        <f ca="1">H53</f>
        <v>1</v>
      </c>
      <c r="AL30" s="8" t="str">
        <f ca="1">H54</f>
        <v>0:1</v>
      </c>
      <c r="AM30" s="8" t="str">
        <f ca="1">H55</f>
        <v>0:N</v>
      </c>
      <c r="AN30" s="8" t="str">
        <f ca="1">H56</f>
        <v>0:N</v>
      </c>
      <c r="AO30" s="8" t="str">
        <f ca="1">H57</f>
        <v>0:N</v>
      </c>
      <c r="AP30" s="8" t="str">
        <f ca="1">H58</f>
        <v>0:1</v>
      </c>
      <c r="AQ30" s="8" t="str">
        <f ca="1">H59</f>
        <v>0:N</v>
      </c>
      <c r="AR30" s="8" t="str">
        <f ca="1">H60</f>
        <v>0:N</v>
      </c>
      <c r="AS30" s="8" t="str">
        <f ca="1">H61</f>
        <v>0:N</v>
      </c>
      <c r="AT30" s="8" t="str">
        <f ca="1">H62</f>
        <v>0:N</v>
      </c>
      <c r="AU30" s="8" t="str">
        <f ca="1">H63</f>
        <v>0:N</v>
      </c>
      <c r="AV30" s="8" t="str">
        <f ca="1">H64</f>
        <v>0:N</v>
      </c>
      <c r="AW30" s="8" t="str">
        <f ca="1">H65</f>
        <v>0:N</v>
      </c>
    </row>
    <row r="31" spans="1:49" ht="12.5" x14ac:dyDescent="0.25">
      <c r="A31" s="4" t="str">
        <f ca="1">IFERROR(__xludf.DUMMYFUNCTION("""COMPUTED_VALUE"""),"Yes")</f>
        <v>Yes</v>
      </c>
      <c r="B31" s="4" t="str">
        <f ca="1">IFERROR(__xludf.DUMMYFUNCTION("""COMPUTED_VALUE"""),"No")</f>
        <v>No</v>
      </c>
      <c r="C31" s="96"/>
      <c r="D31" s="96"/>
      <c r="E31" s="96"/>
      <c r="F31" s="96"/>
      <c r="G31" s="7" t="str">
        <f ca="1">IFERROR(__xludf.DUMMYFUNCTION("""COMPUTED_VALUE"""),"Method of production")</f>
        <v>Method of production</v>
      </c>
      <c r="H31" s="5" t="str">
        <f ca="1">IFERROR(__xludf.DUMMYFUNCTION("""COMPUTED_VALUE"""),"0:N")</f>
        <v>0:N</v>
      </c>
      <c r="I31" s="5"/>
      <c r="J31" s="13"/>
      <c r="K31" s="4"/>
      <c r="L31" s="15"/>
      <c r="M31" s="15"/>
      <c r="N31" s="15"/>
      <c r="O31" s="10"/>
      <c r="P31" s="10"/>
      <c r="Q31" s="10"/>
      <c r="R31" s="10"/>
      <c r="S31" s="10"/>
      <c r="T31" s="10"/>
      <c r="U31" s="21"/>
      <c r="V31" s="21"/>
      <c r="W31" s="15"/>
      <c r="X31" s="10"/>
      <c r="Y31" s="15"/>
      <c r="Z31" s="10"/>
      <c r="AA31" s="10"/>
      <c r="AB31" s="10"/>
      <c r="AC31" s="10"/>
      <c r="AD31" s="10"/>
      <c r="AE31" s="10"/>
      <c r="AF31" s="10"/>
      <c r="AG31" s="10"/>
      <c r="AH31" s="10"/>
      <c r="AI31" s="10"/>
      <c r="AJ31" s="15"/>
      <c r="AK31" s="10"/>
      <c r="AL31" s="10"/>
      <c r="AM31" s="10"/>
      <c r="AN31" s="10"/>
      <c r="AO31" s="10"/>
      <c r="AP31" s="10"/>
      <c r="AQ31" s="10"/>
      <c r="AR31" s="10"/>
      <c r="AS31" s="10"/>
      <c r="AT31" s="10"/>
      <c r="AU31" s="10"/>
      <c r="AV31" s="10"/>
      <c r="AW31" s="10"/>
    </row>
    <row r="32" spans="1:49" ht="12.5" x14ac:dyDescent="0.25">
      <c r="A32" s="4" t="str">
        <f ca="1">IFERROR(__xludf.DUMMYFUNCTION("""COMPUTED_VALUE"""),"Yes")</f>
        <v>Yes</v>
      </c>
      <c r="B32" s="4" t="str">
        <f ca="1">IFERROR(__xludf.DUMMYFUNCTION("""COMPUTED_VALUE"""),"No")</f>
        <v>No</v>
      </c>
      <c r="C32" s="96"/>
      <c r="D32" s="96"/>
      <c r="E32" s="96"/>
      <c r="F32" s="96"/>
      <c r="G32" s="7" t="str">
        <f ca="1">IFERROR(__xludf.DUMMYFUNCTION("""COMPUTED_VALUE"""),"Packaging")</f>
        <v>Packaging</v>
      </c>
      <c r="H32" s="5" t="str">
        <f ca="1">IFERROR(__xludf.DUMMYFUNCTION("""COMPUTED_VALUE"""),"0:N")</f>
        <v>0:N</v>
      </c>
      <c r="I32" s="5"/>
      <c r="J32" s="13"/>
      <c r="K32" s="4"/>
      <c r="L32" s="15"/>
      <c r="M32" s="15"/>
      <c r="N32" s="15"/>
      <c r="O32" s="10"/>
      <c r="P32" s="10"/>
      <c r="Q32" s="10"/>
      <c r="R32" s="10"/>
      <c r="S32" s="10"/>
      <c r="T32" s="10"/>
      <c r="U32" s="21"/>
      <c r="V32" s="21"/>
      <c r="W32" s="15"/>
      <c r="X32" s="10"/>
      <c r="Y32" s="15"/>
      <c r="Z32" s="10"/>
      <c r="AA32" s="10"/>
      <c r="AB32" s="10"/>
      <c r="AC32" s="10"/>
      <c r="AD32" s="10"/>
      <c r="AE32" s="10"/>
      <c r="AF32" s="10"/>
      <c r="AG32" s="10"/>
      <c r="AH32" s="10"/>
      <c r="AI32" s="10"/>
      <c r="AJ32" s="15"/>
      <c r="AK32" s="10"/>
      <c r="AL32" s="10"/>
      <c r="AM32" s="10"/>
      <c r="AN32" s="10"/>
      <c r="AO32" s="10"/>
      <c r="AP32" s="10"/>
      <c r="AQ32" s="10"/>
      <c r="AR32" s="10"/>
      <c r="AS32" s="10"/>
      <c r="AT32" s="10"/>
      <c r="AU32" s="10"/>
      <c r="AV32" s="10"/>
      <c r="AW32" s="10"/>
    </row>
    <row r="33" spans="1:49" ht="12.5" x14ac:dyDescent="0.25">
      <c r="A33" s="4" t="str">
        <f ca="1">IFERROR(__xludf.DUMMYFUNCTION("""COMPUTED_VALUE"""),"Yes")</f>
        <v>Yes</v>
      </c>
      <c r="B33" s="4" t="str">
        <f ca="1">IFERROR(__xludf.DUMMYFUNCTION("""COMPUTED_VALUE"""),"No")</f>
        <v>No</v>
      </c>
      <c r="C33" s="96"/>
      <c r="D33" s="96"/>
      <c r="E33" s="96"/>
      <c r="F33" s="96"/>
      <c r="G33" s="7" t="str">
        <f ca="1">IFERROR(__xludf.DUMMYFUNCTION("""COMPUTED_VALUE"""),"Product treatment")</f>
        <v>Product treatment</v>
      </c>
      <c r="H33" s="5" t="str">
        <f ca="1">IFERROR(__xludf.DUMMYFUNCTION("""COMPUTED_VALUE"""),"0:N")</f>
        <v>0:N</v>
      </c>
      <c r="I33" s="75"/>
      <c r="J33" s="13"/>
      <c r="K33" s="4"/>
      <c r="L33" s="15"/>
      <c r="M33" s="15"/>
      <c r="N33" s="15"/>
      <c r="O33" s="10"/>
      <c r="P33" s="10"/>
      <c r="Q33" s="10"/>
      <c r="R33" s="10"/>
      <c r="S33" s="10"/>
      <c r="T33" s="10"/>
      <c r="U33" s="21"/>
      <c r="V33" s="21"/>
      <c r="W33" s="15"/>
      <c r="X33" s="10"/>
      <c r="Y33" s="15"/>
      <c r="Z33" s="10"/>
      <c r="AA33" s="10"/>
      <c r="AB33" s="10"/>
      <c r="AC33" s="10"/>
      <c r="AD33" s="10"/>
      <c r="AE33" s="10"/>
      <c r="AF33" s="10"/>
      <c r="AG33" s="10"/>
      <c r="AH33" s="10"/>
      <c r="AI33" s="10"/>
      <c r="AJ33" s="15"/>
      <c r="AK33" s="10"/>
      <c r="AL33" s="10"/>
      <c r="AM33" s="10"/>
      <c r="AN33" s="10"/>
      <c r="AO33" s="10"/>
      <c r="AP33" s="10"/>
      <c r="AQ33" s="10"/>
      <c r="AR33" s="10"/>
      <c r="AS33" s="10"/>
      <c r="AT33" s="10"/>
      <c r="AU33" s="10"/>
      <c r="AV33" s="10"/>
      <c r="AW33" s="10"/>
    </row>
    <row r="34" spans="1:49" ht="12.5" x14ac:dyDescent="0.25">
      <c r="A34" s="4" t="str">
        <f ca="1">IFERROR(__xludf.DUMMYFUNCTION("""COMPUTED_VALUE"""),"Yes")</f>
        <v>Yes</v>
      </c>
      <c r="B34" s="4" t="str">
        <f ca="1">IFERROR(__xludf.DUMMYFUNCTION("""COMPUTED_VALUE"""),"No")</f>
        <v>No</v>
      </c>
      <c r="C34" s="96"/>
      <c r="D34" s="96"/>
      <c r="E34" s="96"/>
      <c r="F34" s="96"/>
      <c r="G34" s="7" t="str">
        <f ca="1">IFERROR(__xludf.DUMMYFUNCTION("""COMPUTED_VALUE"""),"Country of origin")</f>
        <v>Country of origin</v>
      </c>
      <c r="H34" s="5" t="str">
        <f ca="1">IFERROR(__xludf.DUMMYFUNCTION("""COMPUTED_VALUE"""),"0:1")</f>
        <v>0:1</v>
      </c>
      <c r="I34" s="5"/>
      <c r="J34" s="13"/>
      <c r="K34" s="4"/>
      <c r="L34" s="15"/>
      <c r="M34" s="15"/>
      <c r="N34" s="15"/>
      <c r="O34" s="10"/>
      <c r="P34" s="10"/>
      <c r="Q34" s="10"/>
      <c r="R34" s="10"/>
      <c r="S34" s="10"/>
      <c r="T34" s="10"/>
      <c r="U34" s="21"/>
      <c r="V34" s="21"/>
      <c r="W34" s="15"/>
      <c r="X34" s="10"/>
      <c r="Y34" s="15"/>
      <c r="Z34" s="10"/>
      <c r="AA34" s="10"/>
      <c r="AB34" s="10"/>
      <c r="AC34" s="10"/>
      <c r="AD34" s="10"/>
      <c r="AE34" s="10"/>
      <c r="AF34" s="10"/>
      <c r="AG34" s="10"/>
      <c r="AH34" s="10"/>
      <c r="AI34" s="10"/>
      <c r="AJ34" s="15"/>
      <c r="AK34" s="10"/>
      <c r="AL34" s="10"/>
      <c r="AM34" s="10"/>
      <c r="AN34" s="10"/>
      <c r="AO34" s="10"/>
      <c r="AP34" s="10"/>
      <c r="AQ34" s="10"/>
      <c r="AR34" s="10"/>
      <c r="AS34" s="10"/>
      <c r="AT34" s="10"/>
      <c r="AU34" s="10"/>
      <c r="AV34" s="10"/>
      <c r="AW34" s="10"/>
    </row>
    <row r="35" spans="1:49" ht="12.5" x14ac:dyDescent="0.25">
      <c r="A35" s="4" t="str">
        <f ca="1">IFERROR(__xludf.DUMMYFUNCTION("""COMPUTED_VALUE"""),"Yes")</f>
        <v>Yes</v>
      </c>
      <c r="B35" s="4" t="str">
        <f ca="1">IFERROR(__xludf.DUMMYFUNCTION("""COMPUTED_VALUE"""),"No")</f>
        <v>No</v>
      </c>
      <c r="C35" s="96"/>
      <c r="D35" s="96"/>
      <c r="E35" s="96"/>
      <c r="F35" s="96"/>
      <c r="G35" s="7" t="str">
        <f ca="1">IFERROR(__xludf.DUMMYFUNCTION("""COMPUTED_VALUE"""),"Area of origin")</f>
        <v>Area of origin</v>
      </c>
      <c r="H35" s="5" t="str">
        <f ca="1">IFERROR(__xludf.DUMMYFUNCTION("""COMPUTED_VALUE"""),"0:1")</f>
        <v>0:1</v>
      </c>
      <c r="I35" s="5"/>
      <c r="J35" s="13"/>
      <c r="K35" s="4"/>
      <c r="L35" s="15"/>
      <c r="M35" s="15"/>
      <c r="N35" s="15"/>
      <c r="O35" s="10"/>
      <c r="P35" s="10"/>
      <c r="Q35" s="10"/>
      <c r="R35" s="10"/>
      <c r="S35" s="10"/>
      <c r="T35" s="10"/>
      <c r="U35" s="21"/>
      <c r="V35" s="21"/>
      <c r="W35" s="15"/>
      <c r="X35" s="10"/>
      <c r="Y35" s="15"/>
      <c r="Z35" s="10"/>
      <c r="AA35" s="10"/>
      <c r="AB35" s="10"/>
      <c r="AC35" s="10"/>
      <c r="AD35" s="10"/>
      <c r="AE35" s="10"/>
      <c r="AF35" s="10"/>
      <c r="AG35" s="10"/>
      <c r="AH35" s="10"/>
      <c r="AI35" s="10"/>
      <c r="AJ35" s="15"/>
      <c r="AK35" s="10"/>
      <c r="AL35" s="10"/>
      <c r="AM35" s="10"/>
      <c r="AN35" s="10"/>
      <c r="AO35" s="10"/>
      <c r="AP35" s="10"/>
      <c r="AQ35" s="10"/>
      <c r="AR35" s="10"/>
      <c r="AS35" s="10"/>
      <c r="AT35" s="10"/>
      <c r="AU35" s="10"/>
      <c r="AV35" s="10"/>
      <c r="AW35" s="10"/>
    </row>
    <row r="36" spans="1:49" ht="12.5" x14ac:dyDescent="0.25">
      <c r="A36" s="4" t="str">
        <f ca="1">IFERROR(__xludf.DUMMYFUNCTION("""COMPUTED_VALUE"""),"Yes")</f>
        <v>Yes</v>
      </c>
      <c r="B36" s="4" t="str">
        <f ca="1">IFERROR(__xludf.DUMMYFUNCTION("""COMPUTED_VALUE"""),"No")</f>
        <v>No</v>
      </c>
      <c r="C36" s="96"/>
      <c r="D36" s="96"/>
      <c r="E36" s="96"/>
      <c r="F36" s="96"/>
      <c r="G36" s="7" t="str">
        <f ca="1">IFERROR(__xludf.DUMMYFUNCTION("""COMPUTED_VALUE"""),"Fisheries area")</f>
        <v>Fisheries area</v>
      </c>
      <c r="H36" s="5" t="str">
        <f ca="1">IFERROR(__xludf.DUMMYFUNCTION("""COMPUTED_VALUE"""),"0:1")</f>
        <v>0:1</v>
      </c>
      <c r="I36" s="5"/>
      <c r="J36" s="13"/>
      <c r="K36" s="4"/>
      <c r="L36" s="15"/>
      <c r="M36" s="15"/>
      <c r="N36" s="15"/>
      <c r="O36" s="10"/>
      <c r="P36" s="10"/>
      <c r="Q36" s="10"/>
      <c r="R36" s="10"/>
      <c r="S36" s="10"/>
      <c r="T36" s="10"/>
      <c r="U36" s="21"/>
      <c r="V36" s="21"/>
      <c r="W36" s="15"/>
      <c r="X36" s="10"/>
      <c r="Y36" s="15"/>
      <c r="Z36" s="10"/>
      <c r="AA36" s="10"/>
      <c r="AB36" s="10"/>
      <c r="AC36" s="10"/>
      <c r="AD36" s="10"/>
      <c r="AE36" s="10"/>
      <c r="AF36" s="10"/>
      <c r="AG36" s="10"/>
      <c r="AH36" s="10"/>
      <c r="AI36" s="10"/>
      <c r="AJ36" s="15"/>
      <c r="AK36" s="10"/>
      <c r="AL36" s="10"/>
      <c r="AM36" s="10"/>
      <c r="AN36" s="10"/>
      <c r="AO36" s="10"/>
      <c r="AP36" s="10"/>
      <c r="AQ36" s="10"/>
      <c r="AR36" s="10"/>
      <c r="AS36" s="10"/>
      <c r="AT36" s="10"/>
      <c r="AU36" s="10"/>
      <c r="AV36" s="10"/>
      <c r="AW36" s="10"/>
    </row>
    <row r="37" spans="1:49" ht="12.5" x14ac:dyDescent="0.25">
      <c r="A37" s="4" t="str">
        <f ca="1">IFERROR(__xludf.DUMMYFUNCTION("""COMPUTED_VALUE"""),"Yes")</f>
        <v>Yes</v>
      </c>
      <c r="B37" s="4" t="str">
        <f ca="1">IFERROR(__xludf.DUMMYFUNCTION("""COMPUTED_VALUE"""),"No")</f>
        <v>No</v>
      </c>
      <c r="C37" s="96"/>
      <c r="D37" s="96"/>
      <c r="E37" s="96"/>
      <c r="F37" s="96"/>
      <c r="G37" s="7" t="str">
        <f ca="1">IFERROR(__xludf.DUMMYFUNCTION("""COMPUTED_VALUE"""),"Date of production")</f>
        <v>Date of production</v>
      </c>
      <c r="H37" s="5" t="str">
        <f ca="1">IFERROR(__xludf.DUMMYFUNCTION("""COMPUTED_VALUE"""),"0:1")</f>
        <v>0:1</v>
      </c>
      <c r="I37" s="5"/>
      <c r="J37" s="13"/>
      <c r="K37" s="4"/>
      <c r="L37" s="15"/>
      <c r="M37" s="15"/>
      <c r="N37" s="15"/>
      <c r="O37" s="10"/>
      <c r="P37" s="10"/>
      <c r="Q37" s="10"/>
      <c r="R37" s="10"/>
      <c r="S37" s="10"/>
      <c r="T37" s="10"/>
      <c r="U37" s="21"/>
      <c r="V37" s="21"/>
      <c r="W37" s="15"/>
      <c r="X37" s="10"/>
      <c r="Y37" s="15"/>
      <c r="Z37" s="10"/>
      <c r="AA37" s="10"/>
      <c r="AB37" s="10"/>
      <c r="AC37" s="10"/>
      <c r="AD37" s="10"/>
      <c r="AE37" s="10"/>
      <c r="AF37" s="10"/>
      <c r="AG37" s="10"/>
      <c r="AH37" s="10"/>
      <c r="AI37" s="10"/>
      <c r="AJ37" s="15"/>
      <c r="AK37" s="10"/>
      <c r="AL37" s="10"/>
      <c r="AM37" s="10"/>
      <c r="AN37" s="10"/>
      <c r="AO37" s="10"/>
      <c r="AP37" s="10"/>
      <c r="AQ37" s="10"/>
      <c r="AR37" s="10"/>
      <c r="AS37" s="10"/>
      <c r="AT37" s="10"/>
      <c r="AU37" s="10"/>
      <c r="AV37" s="10"/>
      <c r="AW37" s="10"/>
    </row>
    <row r="38" spans="1:49" ht="12.5" x14ac:dyDescent="0.25">
      <c r="A38" s="4" t="str">
        <f ca="1">IFERROR(__xludf.DUMMYFUNCTION("""COMPUTED_VALUE"""),"Yes")</f>
        <v>Yes</v>
      </c>
      <c r="B38" s="4" t="str">
        <f ca="1">IFERROR(__xludf.DUMMYFUNCTION("""COMPUTED_VALUE"""),"No")</f>
        <v>No</v>
      </c>
      <c r="C38" s="96"/>
      <c r="D38" s="96"/>
      <c r="E38" s="96"/>
      <c r="F38" s="96"/>
      <c r="G38" s="7" t="str">
        <f ca="1">IFERROR(__xludf.DUMMYFUNCTION("""COMPUTED_VALUE"""),"Date of expiry")</f>
        <v>Date of expiry</v>
      </c>
      <c r="H38" s="5" t="str">
        <f ca="1">IFERROR(__xludf.DUMMYFUNCTION("""COMPUTED_VALUE"""),"0:1")</f>
        <v>0:1</v>
      </c>
      <c r="I38" s="5"/>
      <c r="J38" s="13"/>
      <c r="K38" s="4"/>
      <c r="L38" s="15"/>
      <c r="M38" s="15"/>
      <c r="N38" s="15"/>
      <c r="O38" s="10"/>
      <c r="P38" s="10"/>
      <c r="Q38" s="10"/>
      <c r="R38" s="10"/>
      <c r="S38" s="10"/>
      <c r="T38" s="10"/>
      <c r="U38" s="21"/>
      <c r="V38" s="21"/>
      <c r="W38" s="15"/>
      <c r="X38" s="10"/>
      <c r="Y38" s="15"/>
      <c r="Z38" s="10"/>
      <c r="AA38" s="10"/>
      <c r="AB38" s="10"/>
      <c r="AC38" s="10"/>
      <c r="AD38" s="10"/>
      <c r="AE38" s="10"/>
      <c r="AF38" s="10"/>
      <c r="AG38" s="10"/>
      <c r="AH38" s="10"/>
      <c r="AI38" s="10"/>
      <c r="AJ38" s="15"/>
      <c r="AK38" s="10"/>
      <c r="AL38" s="10"/>
      <c r="AM38" s="10"/>
      <c r="AN38" s="10"/>
      <c r="AO38" s="10"/>
      <c r="AP38" s="10"/>
      <c r="AQ38" s="10"/>
      <c r="AR38" s="10"/>
      <c r="AS38" s="10"/>
      <c r="AT38" s="10"/>
      <c r="AU38" s="10"/>
      <c r="AV38" s="10"/>
      <c r="AW38" s="10"/>
    </row>
    <row r="39" spans="1:49" ht="12.5" x14ac:dyDescent="0.25">
      <c r="A39" s="4" t="str">
        <f ca="1">IFERROR(__xludf.DUMMYFUNCTION("""COMPUTED_VALUE"""),"Yes")</f>
        <v>Yes</v>
      </c>
      <c r="B39" s="4" t="str">
        <f ca="1">IFERROR(__xludf.DUMMYFUNCTION("""COMPUTED_VALUE"""),"No")</f>
        <v>No</v>
      </c>
      <c r="C39" s="96"/>
      <c r="D39" s="96"/>
      <c r="E39" s="97" t="str">
        <f ca="1">IFERROR(__xludf.DUMMYFUNCTION("""COMPUTED_VALUE"""),"Hazard")</f>
        <v>Hazard</v>
      </c>
      <c r="F39" s="97" t="str">
        <f ca="1">IFERROR(__xludf.DUMMYFUNCTION("""COMPUTED_VALUE"""),"0:N")</f>
        <v>0:N</v>
      </c>
      <c r="G39" s="7" t="str">
        <f ca="1">IFERROR(__xludf.DUMMYFUNCTION("""COMPUTED_VALUE"""),"Hazard type")</f>
        <v>Hazard type</v>
      </c>
      <c r="H39" s="5" t="str">
        <f ca="1">IFERROR(__xludf.DUMMYFUNCTION("""COMPUTED_VALUE"""),"0:1")</f>
        <v>0:1</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x14ac:dyDescent="0.25">
      <c r="A40" s="4" t="str">
        <f ca="1">IFERROR(__xludf.DUMMYFUNCTION("""COMPUTED_VALUE"""),"Yes")</f>
        <v>Yes</v>
      </c>
      <c r="B40" s="4" t="str">
        <f ca="1">IFERROR(__xludf.DUMMYFUNCTION("""COMPUTED_VALUE"""),"Yes")</f>
        <v>Yes</v>
      </c>
      <c r="C40" s="96"/>
      <c r="D40" s="96"/>
      <c r="E40" s="96"/>
      <c r="F40" s="96"/>
      <c r="G40" s="7" t="str">
        <f ca="1">IFERROR(__xludf.DUMMYFUNCTION("""COMPUTED_VALUE"""),"Hazard name")</f>
        <v>Hazard name</v>
      </c>
      <c r="H40" s="5" t="str">
        <f ca="1">IFERROR(__xludf.DUMMYFUNCTION("""COMPUTED_VALUE"""),"1")</f>
        <v>1</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x14ac:dyDescent="0.25">
      <c r="A41" s="4" t="str">
        <f ca="1">IFERROR(__xludf.DUMMYFUNCTION("""COMPUTED_VALUE"""),"Yes")</f>
        <v>Yes</v>
      </c>
      <c r="B41" s="4" t="str">
        <f ca="1">IFERROR(__xludf.DUMMYFUNCTION("""COMPUTED_VALUE"""),"No")</f>
        <v>No</v>
      </c>
      <c r="C41" s="96"/>
      <c r="D41" s="96"/>
      <c r="E41" s="96"/>
      <c r="F41" s="96"/>
      <c r="G41" s="7" t="str">
        <f ca="1">IFERROR(__xludf.DUMMYFUNCTION("""COMPUTED_VALUE"""),"Hazard description")</f>
        <v>Hazard description</v>
      </c>
      <c r="H41" s="5" t="str">
        <f ca="1">IFERROR(__xludf.DUMMYFUNCTION("""COMPUTED_VALUE"""),"0:1")</f>
        <v>0:1</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x14ac:dyDescent="0.25">
      <c r="A42" s="4" t="str">
        <f ca="1">IFERROR(__xludf.DUMMYFUNCTION("""COMPUTED_VALUE"""),"Yes")</f>
        <v>Yes</v>
      </c>
      <c r="B42" s="4" t="str">
        <f ca="1">IFERROR(__xludf.DUMMYFUNCTION("""COMPUTED_VALUE"""),"No")</f>
        <v>No</v>
      </c>
      <c r="C42" s="96"/>
      <c r="D42" s="96"/>
      <c r="E42" s="96"/>
      <c r="F42" s="96"/>
      <c r="G42" s="5" t="str">
        <f ca="1">IFERROR(__xludf.DUMMYFUNCTION("""COMPUTED_VALUE"""),"Hazard unit")</f>
        <v>Hazard unit</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x14ac:dyDescent="0.25">
      <c r="A43" s="4" t="str">
        <f ca="1">IFERROR(__xludf.DUMMYFUNCTION("""COMPUTED_VALUE"""),"Yes")</f>
        <v>Yes</v>
      </c>
      <c r="B43" s="4" t="str">
        <f ca="1">IFERROR(__xludf.DUMMYFUNCTION("""COMPUTED_VALUE"""),"No")</f>
        <v>No</v>
      </c>
      <c r="C43" s="96"/>
      <c r="D43" s="96"/>
      <c r="E43" s="96"/>
      <c r="F43" s="96"/>
      <c r="G43" s="5" t="str">
        <f ca="1">IFERROR(__xludf.DUMMYFUNCTION("""COMPUTED_VALUE"""),"Adverse effect")</f>
        <v>Adverse effect</v>
      </c>
      <c r="H43" s="5" t="str">
        <f ca="1">IFERROR(__xludf.DUMMYFUNCTION("""COMPUTED_VALUE"""),"0:1")</f>
        <v>0:1</v>
      </c>
      <c r="I43" s="5"/>
      <c r="J43" s="13"/>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row>
    <row r="44" spans="1:49" ht="12.5" x14ac:dyDescent="0.25">
      <c r="A44" s="4" t="str">
        <f ca="1">IFERROR(__xludf.DUMMYFUNCTION("""COMPUTED_VALUE"""),"Yes")</f>
        <v>Yes</v>
      </c>
      <c r="B44" s="4" t="str">
        <f ca="1">IFERROR(__xludf.DUMMYFUNCTION("""COMPUTED_VALUE"""),"No")</f>
        <v>No</v>
      </c>
      <c r="C44" s="96"/>
      <c r="D44" s="96"/>
      <c r="E44" s="96"/>
      <c r="F44" s="96"/>
      <c r="G44" s="5" t="str">
        <f ca="1">IFERROR(__xludf.DUMMYFUNCTION("""COMPUTED_VALUE"""),"Source of contamination")</f>
        <v>Source of contamination</v>
      </c>
      <c r="H44" s="5" t="str">
        <f ca="1">IFERROR(__xludf.DUMMYFUNCTION("""COMPUTED_VALUE"""),"0:1")</f>
        <v>0:1</v>
      </c>
      <c r="I44" s="5"/>
      <c r="J44" s="13"/>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row>
    <row r="45" spans="1:49" ht="12.5" x14ac:dyDescent="0.25">
      <c r="A45" s="4" t="str">
        <f ca="1">IFERROR(__xludf.DUMMYFUNCTION("""COMPUTED_VALUE"""),"Yes")</f>
        <v>Yes</v>
      </c>
      <c r="B45" s="4" t="str">
        <f ca="1">IFERROR(__xludf.DUMMYFUNCTION("""COMPUTED_VALUE"""),"No")</f>
        <v>No</v>
      </c>
      <c r="C45" s="96"/>
      <c r="D45" s="96"/>
      <c r="E45" s="96"/>
      <c r="F45" s="96"/>
      <c r="G45" s="5" t="str">
        <f ca="1">IFERROR(__xludf.DUMMYFUNCTION("""COMPUTED_VALUE"""),"Benchmark Dose (BMD)")</f>
        <v>Benchmark Dose (BMD)</v>
      </c>
      <c r="H45" s="5" t="str">
        <f ca="1">IFERROR(__xludf.DUMMYFUNCTION("""COMPUTED_VALUE"""),"0:1")</f>
        <v>0:1</v>
      </c>
      <c r="I45" s="5"/>
      <c r="J45" s="13"/>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row>
    <row r="46" spans="1:49" ht="12.5" x14ac:dyDescent="0.25">
      <c r="A46" s="4" t="str">
        <f ca="1">IFERROR(__xludf.DUMMYFUNCTION("""COMPUTED_VALUE"""),"Yes")</f>
        <v>Yes</v>
      </c>
      <c r="B46" s="4" t="str">
        <f ca="1">IFERROR(__xludf.DUMMYFUNCTION("""COMPUTED_VALUE"""),"No")</f>
        <v>No</v>
      </c>
      <c r="C46" s="96"/>
      <c r="D46" s="96"/>
      <c r="E46" s="96"/>
      <c r="F46" s="96"/>
      <c r="G46" s="7" t="str">
        <f ca="1">IFERROR(__xludf.DUMMYFUNCTION("""COMPUTED_VALUE"""),"Maximum Residue Limit (MRL)")</f>
        <v>Maximum Residue Limit (MRL)</v>
      </c>
      <c r="H46" s="5" t="str">
        <f ca="1">IFERROR(__xludf.DUMMYFUNCTION("""COMPUTED_VALUE"""),"0:1")</f>
        <v>0:1</v>
      </c>
      <c r="I46" s="5"/>
      <c r="J46" s="13"/>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row>
    <row r="47" spans="1:49" ht="12.5" x14ac:dyDescent="0.25">
      <c r="A47" s="4" t="str">
        <f ca="1">IFERROR(__xludf.DUMMYFUNCTION("""COMPUTED_VALUE"""),"Yes")</f>
        <v>Yes</v>
      </c>
      <c r="B47" s="4" t="str">
        <f ca="1">IFERROR(__xludf.DUMMYFUNCTION("""COMPUTED_VALUE"""),"No")</f>
        <v>No</v>
      </c>
      <c r="C47" s="96"/>
      <c r="D47" s="96"/>
      <c r="E47" s="96"/>
      <c r="F47" s="96"/>
      <c r="G47" s="7" t="str">
        <f ca="1">IFERROR(__xludf.DUMMYFUNCTION("""COMPUTED_VALUE"""),"No Observed Adverse Affect Level (NOAEL)")</f>
        <v>No Observed Adverse Affect Level (NOAEL)</v>
      </c>
      <c r="H47" s="5" t="str">
        <f ca="1">IFERROR(__xludf.DUMMYFUNCTION("""COMPUTED_VALUE"""),"0:1")</f>
        <v>0:1</v>
      </c>
      <c r="I47" s="5"/>
      <c r="J47" s="13"/>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row>
    <row r="48" spans="1:49" ht="12.5" x14ac:dyDescent="0.25">
      <c r="A48" s="4" t="str">
        <f ca="1">IFERROR(__xludf.DUMMYFUNCTION("""COMPUTED_VALUE"""),"Yes")</f>
        <v>Yes</v>
      </c>
      <c r="B48" s="4" t="str">
        <f ca="1">IFERROR(__xludf.DUMMYFUNCTION("""COMPUTED_VALUE"""),"No")</f>
        <v>No</v>
      </c>
      <c r="C48" s="96"/>
      <c r="D48" s="96"/>
      <c r="E48" s="96"/>
      <c r="F48" s="96"/>
      <c r="G48" s="7" t="str">
        <f ca="1">IFERROR(__xludf.DUMMYFUNCTION("""COMPUTED_VALUE"""),"Lowest Observed Adverse Effect Level (LOAEL)")</f>
        <v>Lowest Observed Adverse Effect Level (LOAEL)</v>
      </c>
      <c r="H48" s="5" t="str">
        <f ca="1">IFERROR(__xludf.DUMMYFUNCTION("""COMPUTED_VALUE"""),"0:1")</f>
        <v>0:1</v>
      </c>
      <c r="I48" s="5"/>
      <c r="J48" s="13"/>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row>
    <row r="49" spans="1:49" ht="12.5" x14ac:dyDescent="0.25">
      <c r="A49" s="4" t="str">
        <f ca="1">IFERROR(__xludf.DUMMYFUNCTION("""COMPUTED_VALUE"""),"Yes")</f>
        <v>Yes</v>
      </c>
      <c r="B49" s="4" t="str">
        <f ca="1">IFERROR(__xludf.DUMMYFUNCTION("""COMPUTED_VALUE"""),"No")</f>
        <v>No</v>
      </c>
      <c r="C49" s="96"/>
      <c r="D49" s="96"/>
      <c r="E49" s="96"/>
      <c r="F49" s="96"/>
      <c r="G49" s="7" t="str">
        <f ca="1">IFERROR(__xludf.DUMMYFUNCTION("""COMPUTED_VALUE"""),"Acceptable Operator Exposure Level (AOEL)")</f>
        <v>Acceptable Operator Exposure Level (AOEL)</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row>
    <row r="50" spans="1:49" ht="12.5" x14ac:dyDescent="0.25">
      <c r="A50" s="4" t="str">
        <f ca="1">IFERROR(__xludf.DUMMYFUNCTION("""COMPUTED_VALUE"""),"Yes")</f>
        <v>Yes</v>
      </c>
      <c r="B50" s="4" t="str">
        <f ca="1">IFERROR(__xludf.DUMMYFUNCTION("""COMPUTED_VALUE"""),"No")</f>
        <v>No</v>
      </c>
      <c r="C50" s="96"/>
      <c r="D50" s="96"/>
      <c r="E50" s="96"/>
      <c r="F50" s="96"/>
      <c r="G50" s="7" t="str">
        <f ca="1">IFERROR(__xludf.DUMMYFUNCTION("""COMPUTED_VALUE"""),"Acute Reference Dose (ARfD)")</f>
        <v>Acute Reference Dose (ARfD)</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row>
    <row r="51" spans="1:49" ht="12.5" x14ac:dyDescent="0.25">
      <c r="A51" s="4" t="str">
        <f ca="1">IFERROR(__xludf.DUMMYFUNCTION("""COMPUTED_VALUE"""),"Yes")</f>
        <v>Yes</v>
      </c>
      <c r="B51" s="4" t="str">
        <f ca="1">IFERROR(__xludf.DUMMYFUNCTION("""COMPUTED_VALUE"""),"No")</f>
        <v>No</v>
      </c>
      <c r="C51" s="96"/>
      <c r="D51" s="96"/>
      <c r="E51" s="96"/>
      <c r="F51" s="96"/>
      <c r="G51" s="7" t="str">
        <f ca="1">IFERROR(__xludf.DUMMYFUNCTION("""COMPUTED_VALUE"""),"Acceptable Daily Intake (ADI)")</f>
        <v>Acceptable Daily Intake (ADI)</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x14ac:dyDescent="0.25">
      <c r="A52" s="4" t="str">
        <f ca="1">IFERROR(__xludf.DUMMYFUNCTION("""COMPUTED_VALUE"""),"Yes")</f>
        <v>Yes</v>
      </c>
      <c r="B52" s="4" t="str">
        <f ca="1">IFERROR(__xludf.DUMMYFUNCTION("""COMPUTED_VALUE"""),"No")</f>
        <v>No</v>
      </c>
      <c r="C52" s="96"/>
      <c r="D52" s="96"/>
      <c r="E52" s="96"/>
      <c r="F52" s="96"/>
      <c r="G52" s="7" t="str">
        <f ca="1">IFERROR(__xludf.DUMMYFUNCTION("""COMPUTED_VALUE"""),"Hazard ind/sum")</f>
        <v>Hazard ind/sum</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x14ac:dyDescent="0.25">
      <c r="A53" s="4" t="str">
        <f ca="1">IFERROR(__xludf.DUMMYFUNCTION("""COMPUTED_VALUE"""),"Yes")</f>
        <v>Yes</v>
      </c>
      <c r="B53" s="4" t="str">
        <f ca="1">IFERROR(__xludf.DUMMYFUNCTION("""COMPUTED_VALUE"""),"No")</f>
        <v>No</v>
      </c>
      <c r="C53" s="96"/>
      <c r="D53" s="96"/>
      <c r="E53" s="97" t="str">
        <f ca="1">IFERROR(__xludf.DUMMYFUNCTION("""COMPUTED_VALUE"""),"Population Group")</f>
        <v>Population Group</v>
      </c>
      <c r="F53" s="97" t="str">
        <f ca="1">IFERROR(__xludf.DUMMYFUNCTION("""COMPUTED_VALUE"""),"0:N")</f>
        <v>0:N</v>
      </c>
      <c r="G53" s="7" t="str">
        <f ca="1">IFERROR(__xludf.DUMMYFUNCTION("""COMPUTED_VALUE"""),"Population name")</f>
        <v>Population name</v>
      </c>
      <c r="H53" s="5" t="str">
        <f ca="1">IFERROR(__xludf.DUMMYFUNCTION("""COMPUTED_VALUE"""),"1")</f>
        <v>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x14ac:dyDescent="0.25">
      <c r="A54" s="4" t="str">
        <f ca="1">IFERROR(__xludf.DUMMYFUNCTION("""COMPUTED_VALUE"""),"Yes")</f>
        <v>Yes</v>
      </c>
      <c r="B54" s="4" t="str">
        <f ca="1">IFERROR(__xludf.DUMMYFUNCTION("""COMPUTED_VALUE"""),"No")</f>
        <v>No</v>
      </c>
      <c r="C54" s="96"/>
      <c r="D54" s="96"/>
      <c r="E54" s="96"/>
      <c r="F54" s="96"/>
      <c r="G54" s="7" t="str">
        <f ca="1">IFERROR(__xludf.DUMMYFUNCTION("""COMPUTED_VALUE"""),"Target population")</f>
        <v>Target population</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x14ac:dyDescent="0.25">
      <c r="A55" s="4" t="str">
        <f ca="1">IFERROR(__xludf.DUMMYFUNCTION("""COMPUTED_VALUE"""),"Yes")</f>
        <v>Yes</v>
      </c>
      <c r="B55" s="4" t="str">
        <f ca="1">IFERROR(__xludf.DUMMYFUNCTION("""COMPUTED_VALUE"""),"No")</f>
        <v>No</v>
      </c>
      <c r="C55" s="96"/>
      <c r="D55" s="96"/>
      <c r="E55" s="96"/>
      <c r="F55" s="96"/>
      <c r="G55" s="7" t="str">
        <f ca="1">IFERROR(__xludf.DUMMYFUNCTION("""COMPUTED_VALUE"""),"Population Span (years)")</f>
        <v>Population Span (years)</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x14ac:dyDescent="0.25">
      <c r="A56" s="4" t="str">
        <f ca="1">IFERROR(__xludf.DUMMYFUNCTION("""COMPUTED_VALUE"""),"Yes")</f>
        <v>Yes</v>
      </c>
      <c r="B56" s="4" t="str">
        <f ca="1">IFERROR(__xludf.DUMMYFUNCTION("""COMPUTED_VALUE"""),"No")</f>
        <v>No</v>
      </c>
      <c r="C56" s="96"/>
      <c r="D56" s="96"/>
      <c r="E56" s="96"/>
      <c r="F56" s="96"/>
      <c r="G56" s="7" t="str">
        <f ca="1">IFERROR(__xludf.DUMMYFUNCTION("""COMPUTED_VALUE"""),"Population description")</f>
        <v>Population description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x14ac:dyDescent="0.25">
      <c r="A57" s="4" t="str">
        <f ca="1">IFERROR(__xludf.DUMMYFUNCTION("""COMPUTED_VALUE"""),"Yes")</f>
        <v>Yes</v>
      </c>
      <c r="B57" s="4" t="str">
        <f ca="1">IFERROR(__xludf.DUMMYFUNCTION("""COMPUTED_VALUE"""),"No")</f>
        <v>No</v>
      </c>
      <c r="C57" s="96"/>
      <c r="D57" s="96"/>
      <c r="E57" s="96"/>
      <c r="F57" s="96"/>
      <c r="G57" s="7" t="str">
        <f ca="1">IFERROR(__xludf.DUMMYFUNCTION("""COMPUTED_VALUE"""),"Population age")</f>
        <v>Population age</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x14ac:dyDescent="0.25">
      <c r="A58" s="4" t="str">
        <f ca="1">IFERROR(__xludf.DUMMYFUNCTION("""COMPUTED_VALUE"""),"Yes")</f>
        <v>Yes</v>
      </c>
      <c r="B58" s="4" t="str">
        <f ca="1">IFERROR(__xludf.DUMMYFUNCTION("""COMPUTED_VALUE"""),"No")</f>
        <v>No</v>
      </c>
      <c r="C58" s="96"/>
      <c r="D58" s="96"/>
      <c r="E58" s="96"/>
      <c r="F58" s="96"/>
      <c r="G58" s="7" t="str">
        <f ca="1">IFERROR(__xludf.DUMMYFUNCTION("""COMPUTED_VALUE"""),"Population gender")</f>
        <v>Population gender</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x14ac:dyDescent="0.25">
      <c r="A59" s="4" t="str">
        <f ca="1">IFERROR(__xludf.DUMMYFUNCTION("""COMPUTED_VALUE"""),"Yes")</f>
        <v>Yes</v>
      </c>
      <c r="B59" s="4" t="str">
        <f ca="1">IFERROR(__xludf.DUMMYFUNCTION("""COMPUTED_VALUE"""),"No")</f>
        <v>No</v>
      </c>
      <c r="C59" s="96"/>
      <c r="D59" s="96"/>
      <c r="E59" s="96"/>
      <c r="F59" s="96"/>
      <c r="G59" s="7" t="str">
        <f ca="1">IFERROR(__xludf.DUMMYFUNCTION("""COMPUTED_VALUE"""),"BMI")</f>
        <v>BMI</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x14ac:dyDescent="0.25">
      <c r="A60" s="4" t="str">
        <f ca="1">IFERROR(__xludf.DUMMYFUNCTION("""COMPUTED_VALUE"""),"Yes")</f>
        <v>Yes</v>
      </c>
      <c r="B60" s="4" t="str">
        <f ca="1">IFERROR(__xludf.DUMMYFUNCTION("""COMPUTED_VALUE"""),"No")</f>
        <v>No</v>
      </c>
      <c r="C60" s="96"/>
      <c r="D60" s="96"/>
      <c r="E60" s="96"/>
      <c r="F60" s="96"/>
      <c r="G60" s="7" t="str">
        <f ca="1">IFERROR(__xludf.DUMMYFUNCTION("""COMPUTED_VALUE"""),"Special diet groups")</f>
        <v>Special diet groups</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x14ac:dyDescent="0.25">
      <c r="A61" s="4" t="str">
        <f ca="1">IFERROR(__xludf.DUMMYFUNCTION("""COMPUTED_VALUE"""),"Yes")</f>
        <v>Yes</v>
      </c>
      <c r="B61" s="4" t="str">
        <f ca="1">IFERROR(__xludf.DUMMYFUNCTION("""COMPUTED_VALUE"""),"No")</f>
        <v>No</v>
      </c>
      <c r="C61" s="96"/>
      <c r="D61" s="96"/>
      <c r="E61" s="96"/>
      <c r="F61" s="96"/>
      <c r="G61" s="7" t="str">
        <f ca="1">IFERROR(__xludf.DUMMYFUNCTION("""COMPUTED_VALUE"""),"Pattern consumption")</f>
        <v>Pattern consumption</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x14ac:dyDescent="0.25">
      <c r="A62" s="4" t="str">
        <f ca="1">IFERROR(__xludf.DUMMYFUNCTION("""COMPUTED_VALUE"""),"Yes")</f>
        <v>Yes</v>
      </c>
      <c r="B62" s="4" t="str">
        <f ca="1">IFERROR(__xludf.DUMMYFUNCTION("""COMPUTED_VALUE"""),"No")</f>
        <v>No</v>
      </c>
      <c r="C62" s="96"/>
      <c r="D62" s="96"/>
      <c r="E62" s="96"/>
      <c r="F62" s="96"/>
      <c r="G62" s="7" t="str">
        <f ca="1">IFERROR(__xludf.DUMMYFUNCTION("""COMPUTED_VALUE"""),"Region")</f>
        <v>Region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x14ac:dyDescent="0.25">
      <c r="A63" s="4" t="str">
        <f ca="1">IFERROR(__xludf.DUMMYFUNCTION("""COMPUTED_VALUE"""),"Yes")</f>
        <v>Yes</v>
      </c>
      <c r="B63" s="4" t="str">
        <f ca="1">IFERROR(__xludf.DUMMYFUNCTION("""COMPUTED_VALUE"""),"No")</f>
        <v>No</v>
      </c>
      <c r="C63" s="96"/>
      <c r="D63" s="96"/>
      <c r="E63" s="96"/>
      <c r="F63" s="96"/>
      <c r="G63" s="7" t="str">
        <f ca="1">IFERROR(__xludf.DUMMYFUNCTION("""COMPUTED_VALUE"""),"Country")</f>
        <v>Country</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x14ac:dyDescent="0.25">
      <c r="A64" s="4" t="str">
        <f ca="1">IFERROR(__xludf.DUMMYFUNCTION("""COMPUTED_VALUE"""),"Yes")</f>
        <v>Yes</v>
      </c>
      <c r="B64" s="4" t="str">
        <f ca="1">IFERROR(__xludf.DUMMYFUNCTION("""COMPUTED_VALUE"""),"No")</f>
        <v>No</v>
      </c>
      <c r="C64" s="96"/>
      <c r="D64" s="96"/>
      <c r="E64" s="96"/>
      <c r="F64" s="96"/>
      <c r="G64" s="7" t="str">
        <f ca="1">IFERROR(__xludf.DUMMYFUNCTION("""COMPUTED_VALUE"""),"Risk and population factors")</f>
        <v>Risk and population factors</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x14ac:dyDescent="0.25">
      <c r="A65" s="4" t="str">
        <f ca="1">IFERROR(__xludf.DUMMYFUNCTION("""COMPUTED_VALUE"""),"Yes")</f>
        <v>Yes</v>
      </c>
      <c r="B65" s="4" t="str">
        <f ca="1">IFERROR(__xludf.DUMMYFUNCTION("""COMPUTED_VALUE"""),"No")</f>
        <v>No</v>
      </c>
      <c r="C65" s="96"/>
      <c r="D65" s="96"/>
      <c r="E65" s="96"/>
      <c r="F65" s="96"/>
      <c r="G65" s="7" t="str">
        <f ca="1">IFERROR(__xludf.DUMMYFUNCTION("""COMPUTED_VALUE"""),"Season")</f>
        <v>Season</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x14ac:dyDescent="0.25">
      <c r="A66" s="4" t="str">
        <f ca="1">IFERROR(__xludf.DUMMYFUNCTION("""COMPUTED_VALUE"""),"Yes")</f>
        <v>Yes</v>
      </c>
      <c r="B66" s="4" t="str">
        <f ca="1">IFERROR(__xludf.DUMMYFUNCTION("""COMPUTED_VALUE"""),"No")</f>
        <v>No</v>
      </c>
      <c r="C66" s="96"/>
      <c r="D66" s="96"/>
      <c r="E66" s="5" t="str">
        <f ca="1">IFERROR(__xludf.DUMMYFUNCTION("""COMPUTED_VALUE"""),"General comment")</f>
        <v>General comment</v>
      </c>
      <c r="F66" s="97" t="str">
        <f ca="1">IFERROR(__xludf.DUMMYFUNCTION("""COMPUTED_VALUE"""),"0:1")</f>
        <v>0:1</v>
      </c>
      <c r="G66" s="96"/>
      <c r="H66" s="96"/>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x14ac:dyDescent="0.25">
      <c r="A67" s="4" t="str">
        <f ca="1">IFERROR(__xludf.DUMMYFUNCTION("""COMPUTED_VALUE"""),"Yes")</f>
        <v>Yes</v>
      </c>
      <c r="B67" s="4" t="str">
        <f ca="1">IFERROR(__xludf.DUMMYFUNCTION("""COMPUTED_VALUE"""),"No")</f>
        <v>No</v>
      </c>
      <c r="C67" s="96"/>
      <c r="D67" s="96"/>
      <c r="E67" s="5" t="str">
        <f ca="1">IFERROR(__xludf.DUMMYFUNCTION("""COMPUTED_VALUE"""),"Temporal information")</f>
        <v>Temporal information</v>
      </c>
      <c r="F67" s="5" t="str">
        <f ca="1">IFERROR(__xludf.DUMMYFUNCTION("""COMPUTED_VALUE"""),"0:1")</f>
        <v>0:1</v>
      </c>
      <c r="G67" s="7" t="str">
        <f ca="1">IFERROR(__xludf.DUMMYFUNCTION("""COMPUTED_VALUE"""),"Time")</f>
        <v>Time</v>
      </c>
      <c r="H67" s="5" t="str">
        <f ca="1">IFERROR(__xludf.DUMMYFUNCTION("""COMPUTED_VALUE"""),"1")</f>
        <v>1</v>
      </c>
      <c r="I67" s="5"/>
      <c r="J67" s="10"/>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x14ac:dyDescent="0.25">
      <c r="A68" s="4" t="str">
        <f ca="1">IFERROR(__xludf.DUMMYFUNCTION("""COMPUTED_VALUE"""),"Yes")</f>
        <v>Yes</v>
      </c>
      <c r="B68" s="4" t="str">
        <f ca="1">IFERROR(__xludf.DUMMYFUNCTION("""COMPUTED_VALUE"""),"No")</f>
        <v>No</v>
      </c>
      <c r="C68" s="96"/>
      <c r="D68" s="96"/>
      <c r="E68" s="97" t="str">
        <f ca="1">IFERROR(__xludf.DUMMYFUNCTION("""COMPUTED_VALUE"""),"Spatial information")</f>
        <v>Spatial information</v>
      </c>
      <c r="F68" s="97" t="str">
        <f ca="1">IFERROR(__xludf.DUMMYFUNCTION("""COMPUTED_VALUE"""),"0:1")</f>
        <v>0:1</v>
      </c>
      <c r="G68" s="7" t="str">
        <f ca="1">IFERROR(__xludf.DUMMYFUNCTION("""COMPUTED_VALUE"""),"Region")</f>
        <v>Region</v>
      </c>
      <c r="H68" s="5" t="str">
        <f ca="1">IFERROR(__xludf.DUMMYFUNCTION("""COMPUTED_VALUE"""),"0:N")</f>
        <v>0:N</v>
      </c>
      <c r="I68" s="5"/>
      <c r="J68" s="15"/>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x14ac:dyDescent="0.25">
      <c r="A69" s="4" t="str">
        <f ca="1">IFERROR(__xludf.DUMMYFUNCTION("""COMPUTED_VALUE"""),"Yes")</f>
        <v>Yes</v>
      </c>
      <c r="B69" s="4" t="str">
        <f ca="1">IFERROR(__xludf.DUMMYFUNCTION("""COMPUTED_VALUE"""),"No")</f>
        <v>No</v>
      </c>
      <c r="C69" s="96"/>
      <c r="D69" s="96"/>
      <c r="E69" s="96"/>
      <c r="F69" s="96"/>
      <c r="G69" s="7" t="str">
        <f ca="1">IFERROR(__xludf.DUMMYFUNCTION("""COMPUTED_VALUE"""),"Country")</f>
        <v>Country</v>
      </c>
      <c r="H69" s="5" t="str">
        <f ca="1">IFERROR(__xludf.DUMMYFUNCTION("""COMPUTED_VALUE"""),"0:N")</f>
        <v>0:N</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x14ac:dyDescent="0.25">
      <c r="A70" s="4" t="str">
        <f ca="1">IFERROR(__xludf.DUMMYFUNCTION("""COMPUTED_VALUE"""),"Yes")</f>
        <v>Yes</v>
      </c>
      <c r="B70" s="4" t="str">
        <f ca="1">IFERROR(__xludf.DUMMYFUNCTION("""COMPUTED_VALUE"""),"No")</f>
        <v>No</v>
      </c>
      <c r="C70" s="95" t="str">
        <f ca="1">IFERROR(__xludf.DUMMYFUNCTION("""COMPUTED_VALUE"""),"Data_background")</f>
        <v>Data_background</v>
      </c>
      <c r="D70" s="95" t="str">
        <f ca="1">IFERROR(__xludf.DUMMYFUNCTION("""COMPUTED_VALUE"""),"1")</f>
        <v>1</v>
      </c>
      <c r="E70" s="97" t="str">
        <f ca="1">IFERROR(__xludf.DUMMYFUNCTION("""COMPUTED_VALUE"""),"Study")</f>
        <v>Study</v>
      </c>
      <c r="F70" s="97" t="str">
        <f ca="1">IFERROR(__xludf.DUMMYFUNCTION("""COMPUTED_VALUE"""),"1")</f>
        <v>1</v>
      </c>
      <c r="G70" s="7" t="str">
        <f ca="1">IFERROR(__xludf.DUMMYFUNCTION("""COMPUTED_VALUE"""),"Study Identifier")</f>
        <v>Study Identifier</v>
      </c>
      <c r="H70" s="5" t="str">
        <f ca="1">IFERROR(__xludf.DUMMYFUNCTION("""COMPUTED_VALUE"""),"0:1")</f>
        <v>0:1</v>
      </c>
      <c r="I70" s="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x14ac:dyDescent="0.25">
      <c r="A71" s="4" t="str">
        <f ca="1">IFERROR(__xludf.DUMMYFUNCTION("""COMPUTED_VALUE"""),"Yes")</f>
        <v>Yes</v>
      </c>
      <c r="B71" s="4" t="str">
        <f ca="1">IFERROR(__xludf.DUMMYFUNCTION("""COMPUTED_VALUE"""),"Yes")</f>
        <v>Yes</v>
      </c>
      <c r="C71" s="96"/>
      <c r="D71" s="96"/>
      <c r="E71" s="96"/>
      <c r="F71" s="96"/>
      <c r="G71" s="7" t="str">
        <f ca="1">IFERROR(__xludf.DUMMYFUNCTION("""COMPUTED_VALUE"""),"Study Title")</f>
        <v>Study Title</v>
      </c>
      <c r="H71" s="5" t="str">
        <f ca="1">IFERROR(__xludf.DUMMYFUNCTION("""COMPUTED_VALUE"""),"1")</f>
        <v>1</v>
      </c>
      <c r="I71" s="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x14ac:dyDescent="0.25">
      <c r="A72" s="4" t="str">
        <f ca="1">IFERROR(__xludf.DUMMYFUNCTION("""COMPUTED_VALUE"""),"Yes")</f>
        <v>Yes</v>
      </c>
      <c r="B72" s="4" t="str">
        <f ca="1">IFERROR(__xludf.DUMMYFUNCTION("""COMPUTED_VALUE"""),"No")</f>
        <v>No</v>
      </c>
      <c r="C72" s="96"/>
      <c r="D72" s="96"/>
      <c r="E72" s="96"/>
      <c r="F72" s="96"/>
      <c r="G72" s="7" t="str">
        <f ca="1">IFERROR(__xludf.DUMMYFUNCTION("""COMPUTED_VALUE"""),"Study Description")</f>
        <v>Study Description</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x14ac:dyDescent="0.25">
      <c r="A73" s="4" t="str">
        <f ca="1">IFERROR(__xludf.DUMMYFUNCTION("""COMPUTED_VALUE"""),"Yes")</f>
        <v>Yes</v>
      </c>
      <c r="B73" s="4" t="str">
        <f ca="1">IFERROR(__xludf.DUMMYFUNCTION("""COMPUTED_VALUE"""),"No")</f>
        <v>No</v>
      </c>
      <c r="C73" s="96"/>
      <c r="D73" s="96"/>
      <c r="E73" s="96"/>
      <c r="F73" s="96"/>
      <c r="G73" s="7" t="str">
        <f ca="1">IFERROR(__xludf.DUMMYFUNCTION("""COMPUTED_VALUE"""),"Study Design Type")</f>
        <v>Study Design Type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x14ac:dyDescent="0.25">
      <c r="A74" s="4" t="str">
        <f ca="1">IFERROR(__xludf.DUMMYFUNCTION("""COMPUTED_VALUE"""),"Yes")</f>
        <v>Yes</v>
      </c>
      <c r="B74" s="4" t="str">
        <f ca="1">IFERROR(__xludf.DUMMYFUNCTION("""COMPUTED_VALUE"""),"No")</f>
        <v>No</v>
      </c>
      <c r="C74" s="96"/>
      <c r="D74" s="96"/>
      <c r="E74" s="96"/>
      <c r="F74" s="96"/>
      <c r="G74" s="7" t="str">
        <f ca="1">IFERROR(__xludf.DUMMYFUNCTION("""COMPUTED_VALUE"""),"Study Assay Measurement Type")</f>
        <v>Study Assay Measurement Type</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x14ac:dyDescent="0.25">
      <c r="A75" s="4" t="str">
        <f ca="1">IFERROR(__xludf.DUMMYFUNCTION("""COMPUTED_VALUE"""),"Yes")</f>
        <v>Yes</v>
      </c>
      <c r="B75" s="4" t="str">
        <f ca="1">IFERROR(__xludf.DUMMYFUNCTION("""COMPUTED_VALUE"""),"No")</f>
        <v>No</v>
      </c>
      <c r="C75" s="96"/>
      <c r="D75" s="96"/>
      <c r="E75" s="96"/>
      <c r="F75" s="96"/>
      <c r="G75" s="7" t="str">
        <f ca="1">IFERROR(__xludf.DUMMYFUNCTION("""COMPUTED_VALUE"""),"Study Assay Technology Type")</f>
        <v>Study Assay Technology Type</v>
      </c>
      <c r="H75" s="5" t="str">
        <f ca="1">IFERROR(__xludf.DUMMYFUNCTION("""COMPUTED_VALUE"""),"0:1")</f>
        <v>0:1</v>
      </c>
      <c r="I75" s="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x14ac:dyDescent="0.25">
      <c r="A76" s="4" t="str">
        <f ca="1">IFERROR(__xludf.DUMMYFUNCTION("""COMPUTED_VALUE"""),"Yes")</f>
        <v>Yes</v>
      </c>
      <c r="B76" s="4" t="str">
        <f ca="1">IFERROR(__xludf.DUMMYFUNCTION("""COMPUTED_VALUE"""),"No")</f>
        <v>No</v>
      </c>
      <c r="C76" s="96"/>
      <c r="D76" s="96"/>
      <c r="E76" s="96"/>
      <c r="F76" s="96"/>
      <c r="G76" s="7" t="str">
        <f ca="1">IFERROR(__xludf.DUMMYFUNCTION("""COMPUTED_VALUE"""),"Study Assay Technology Platform")</f>
        <v>Study Assay Technology Platform</v>
      </c>
      <c r="H76" s="5" t="str">
        <f ca="1">IFERROR(__xludf.DUMMYFUNCTION("""COMPUTED_VALUE"""),"0:1")</f>
        <v>0:1</v>
      </c>
      <c r="I76" s="5"/>
      <c r="J76" s="10"/>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x14ac:dyDescent="0.25">
      <c r="A77" s="4" t="str">
        <f ca="1">IFERROR(__xludf.DUMMYFUNCTION("""COMPUTED_VALUE"""),"Yes")</f>
        <v>Yes</v>
      </c>
      <c r="B77" s="4" t="str">
        <f ca="1">IFERROR(__xludf.DUMMYFUNCTION("""COMPUTED_VALUE"""),"No")</f>
        <v>No</v>
      </c>
      <c r="C77" s="96"/>
      <c r="D77" s="96"/>
      <c r="E77" s="96"/>
      <c r="F77" s="96"/>
      <c r="G77" s="7" t="str">
        <f ca="1">IFERROR(__xludf.DUMMYFUNCTION("""COMPUTED_VALUE"""),"Accreditation procedure for the assay technology")</f>
        <v>Accreditation procedure for the assay technology</v>
      </c>
      <c r="H77" s="5" t="str">
        <f ca="1">IFERROR(__xludf.DUMMYFUNCTION("""COMPUTED_VALUE"""),"0:1")</f>
        <v>0:1</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x14ac:dyDescent="0.25">
      <c r="A78" s="4" t="str">
        <f ca="1">IFERROR(__xludf.DUMMYFUNCTION("""COMPUTED_VALUE"""),"Yes")</f>
        <v>Yes</v>
      </c>
      <c r="B78" s="4" t="str">
        <f ca="1">IFERROR(__xludf.DUMMYFUNCTION("""COMPUTED_VALUE"""),"No")</f>
        <v>No</v>
      </c>
      <c r="C78" s="96"/>
      <c r="D78" s="96"/>
      <c r="E78" s="96"/>
      <c r="F78" s="96"/>
      <c r="G78" s="7" t="str">
        <f ca="1">IFERROR(__xludf.DUMMYFUNCTION("""COMPUTED_VALUE"""),"Study Protocol Name")</f>
        <v>Study Protocol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x14ac:dyDescent="0.25">
      <c r="A79" s="4" t="str">
        <f ca="1">IFERROR(__xludf.DUMMYFUNCTION("""COMPUTED_VALUE"""),"Yes")</f>
        <v>Yes</v>
      </c>
      <c r="B79" s="4" t="str">
        <f ca="1">IFERROR(__xludf.DUMMYFUNCTION("""COMPUTED_VALUE"""),"No")</f>
        <v>No</v>
      </c>
      <c r="C79" s="96"/>
      <c r="D79" s="96"/>
      <c r="E79" s="96"/>
      <c r="F79" s="96"/>
      <c r="G79" s="7" t="str">
        <f ca="1">IFERROR(__xludf.DUMMYFUNCTION("""COMPUTED_VALUE"""),"Study Protocol Type")</f>
        <v>Study Protocol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x14ac:dyDescent="0.25">
      <c r="A80" s="4" t="str">
        <f ca="1">IFERROR(__xludf.DUMMYFUNCTION("""COMPUTED_VALUE"""),"Yes")</f>
        <v>Yes</v>
      </c>
      <c r="B80" s="4" t="str">
        <f ca="1">IFERROR(__xludf.DUMMYFUNCTION("""COMPUTED_VALUE"""),"No")</f>
        <v>No</v>
      </c>
      <c r="C80" s="96"/>
      <c r="D80" s="96"/>
      <c r="E80" s="96"/>
      <c r="F80" s="96"/>
      <c r="G80" s="7" t="str">
        <f ca="1">IFERROR(__xludf.DUMMYFUNCTION("""COMPUTED_VALUE"""),"Study Protocol Description")</f>
        <v>Study Protocol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x14ac:dyDescent="0.25">
      <c r="A81" s="4" t="str">
        <f ca="1">IFERROR(__xludf.DUMMYFUNCTION("""COMPUTED_VALUE"""),"Yes")</f>
        <v>Yes</v>
      </c>
      <c r="B81" s="4" t="str">
        <f ca="1">IFERROR(__xludf.DUMMYFUNCTION("""COMPUTED_VALUE"""),"No")</f>
        <v>No</v>
      </c>
      <c r="C81" s="96"/>
      <c r="D81" s="96"/>
      <c r="E81" s="96"/>
      <c r="F81" s="96"/>
      <c r="G81" s="7" t="str">
        <f ca="1">IFERROR(__xludf.DUMMYFUNCTION("""COMPUTED_VALUE"""),"Study Protocol URI")</f>
        <v>Study Protocol URI</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x14ac:dyDescent="0.25">
      <c r="A82" s="4" t="str">
        <f ca="1">IFERROR(__xludf.DUMMYFUNCTION("""COMPUTED_VALUE"""),"Yes")</f>
        <v>Yes</v>
      </c>
      <c r="B82" s="4" t="str">
        <f ca="1">IFERROR(__xludf.DUMMYFUNCTION("""COMPUTED_VALUE"""),"No")</f>
        <v>No</v>
      </c>
      <c r="C82" s="96"/>
      <c r="D82" s="96"/>
      <c r="E82" s="96"/>
      <c r="F82" s="96"/>
      <c r="G82" s="7" t="str">
        <f ca="1">IFERROR(__xludf.DUMMYFUNCTION("""COMPUTED_VALUE"""),"Study Protocol Version")</f>
        <v>Study Protocol Version</v>
      </c>
      <c r="H82" s="5" t="str">
        <f ca="1">IFERROR(__xludf.DUMMYFUNCTION("""COMPUTED_VALUE"""),"0:1")</f>
        <v>0:1</v>
      </c>
      <c r="I82" s="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x14ac:dyDescent="0.25">
      <c r="A83" s="4" t="str">
        <f ca="1">IFERROR(__xludf.DUMMYFUNCTION("""COMPUTED_VALUE"""),"Yes")</f>
        <v>Yes</v>
      </c>
      <c r="B83" s="4" t="str">
        <f ca="1">IFERROR(__xludf.DUMMYFUNCTION("""COMPUTED_VALUE"""),"No")</f>
        <v>No</v>
      </c>
      <c r="C83" s="96"/>
      <c r="D83" s="96"/>
      <c r="E83" s="96"/>
      <c r="F83" s="96"/>
      <c r="G83" s="7" t="str">
        <f ca="1">IFERROR(__xludf.DUMMYFUNCTION("""COMPUTED_VALUE"""),"Study Protocol Parameters Name")</f>
        <v>Study Protocol Parameters Name</v>
      </c>
      <c r="H83" s="5" t="str">
        <f ca="1">IFERROR(__xludf.DUMMYFUNCTION("""COMPUTED_VALUE"""),"0:1")</f>
        <v>0:1</v>
      </c>
      <c r="I83" s="5"/>
      <c r="J83" s="11"/>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x14ac:dyDescent="0.25">
      <c r="A84" s="4" t="str">
        <f ca="1">IFERROR(__xludf.DUMMYFUNCTION("""COMPUTED_VALUE"""),"Yes")</f>
        <v>Yes</v>
      </c>
      <c r="B84" s="4" t="str">
        <f ca="1">IFERROR(__xludf.DUMMYFUNCTION("""COMPUTED_VALUE"""),"No")</f>
        <v>No</v>
      </c>
      <c r="C84" s="96"/>
      <c r="D84" s="96"/>
      <c r="E84" s="96"/>
      <c r="F84" s="96"/>
      <c r="G84" s="7" t="str">
        <f ca="1">IFERROR(__xludf.DUMMYFUNCTION("""COMPUTED_VALUE"""),"Study Protocol Components Name")</f>
        <v>Study Protocol Components Name</v>
      </c>
      <c r="H84" s="5" t="str">
        <f ca="1">IFERROR(__xludf.DUMMYFUNCTION("""COMPUTED_VALUE"""),"0:1")</f>
        <v>0:1</v>
      </c>
      <c r="I84" s="5"/>
      <c r="J84" s="11"/>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x14ac:dyDescent="0.25">
      <c r="A85" s="4" t="str">
        <f ca="1">IFERROR(__xludf.DUMMYFUNCTION("""COMPUTED_VALUE"""),"Yes")</f>
        <v>Yes</v>
      </c>
      <c r="B85" s="4" t="str">
        <f ca="1">IFERROR(__xludf.DUMMYFUNCTION("""COMPUTED_VALUE"""),"No")</f>
        <v>No</v>
      </c>
      <c r="C85" s="96"/>
      <c r="D85" s="96"/>
      <c r="E85" s="96"/>
      <c r="F85" s="96"/>
      <c r="G85" s="7" t="str">
        <f ca="1">IFERROR(__xludf.DUMMYFUNCTION("""COMPUTED_VALUE"""),"Study Protocol Components Type")</f>
        <v>Study Protocol Components Type</v>
      </c>
      <c r="H85" s="5" t="str">
        <f ca="1">IFERROR(__xludf.DUMMYFUNCTION("""COMPUTED_VALUE"""),"0:1")</f>
        <v>0:1</v>
      </c>
      <c r="I85" s="75"/>
      <c r="J85" s="11"/>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x14ac:dyDescent="0.25">
      <c r="A86" s="4" t="str">
        <f ca="1">IFERROR(__xludf.DUMMYFUNCTION("""COMPUTED_VALUE"""),"Yes")</f>
        <v>Yes</v>
      </c>
      <c r="B86" s="4" t="str">
        <f ca="1">IFERROR(__xludf.DUMMYFUNCTION("""COMPUTED_VALUE"""),"No")</f>
        <v>No</v>
      </c>
      <c r="C86" s="96"/>
      <c r="D86" s="96"/>
      <c r="E86" s="97" t="str">
        <f ca="1">IFERROR(__xludf.DUMMYFUNCTION("""COMPUTED_VALUE"""),"Study Sample")</f>
        <v>Study Sample</v>
      </c>
      <c r="F86" s="97" t="str">
        <f ca="1">IFERROR(__xludf.DUMMYFUNCTION("""COMPUTED_VALUE"""),"0:N")</f>
        <v>0:N</v>
      </c>
      <c r="G86" s="7" t="str">
        <f ca="1">IFERROR(__xludf.DUMMYFUNCTION("""COMPUTED_VALUE"""),"Sample Name (ID)")</f>
        <v>Sample Name (ID)</v>
      </c>
      <c r="H86" s="5" t="str">
        <f ca="1">IFERROR(__xludf.DUMMYFUNCTION("""COMPUTED_VALUE"""),"1")</f>
        <v>1</v>
      </c>
      <c r="I86" s="75"/>
      <c r="J86" s="13"/>
      <c r="K86" s="4"/>
      <c r="L86" s="99" t="str">
        <f ca="1">E86</f>
        <v>Study Sample</v>
      </c>
      <c r="M86" s="96"/>
      <c r="N86" s="96"/>
      <c r="O86" s="96"/>
      <c r="P86" s="96"/>
      <c r="Q86" s="96"/>
      <c r="R86" s="96"/>
      <c r="S86" s="96"/>
      <c r="T86" s="96"/>
      <c r="U86" s="96"/>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x14ac:dyDescent="0.25">
      <c r="A87" s="4" t="str">
        <f ca="1">IFERROR(__xludf.DUMMYFUNCTION("""COMPUTED_VALUE"""),"Yes")</f>
        <v>Yes</v>
      </c>
      <c r="B87" s="4" t="str">
        <f ca="1">IFERROR(__xludf.DUMMYFUNCTION("""COMPUTED_VALUE"""),"No")</f>
        <v>No</v>
      </c>
      <c r="C87" s="96"/>
      <c r="D87" s="96"/>
      <c r="E87" s="96"/>
      <c r="F87" s="96"/>
      <c r="G87" s="7" t="str">
        <f ca="1">IFERROR(__xludf.DUMMYFUNCTION("""COMPUTED_VALUE"""),"Protocol of sample collection")</f>
        <v>Protocol of sample collection</v>
      </c>
      <c r="H87" s="5" t="str">
        <f ca="1">IFERROR(__xludf.DUMMYFUNCTION("""COMPUTED_VALUE"""),"1")</f>
        <v>1</v>
      </c>
      <c r="I87" s="5"/>
      <c r="J87" s="13"/>
      <c r="K87" s="4"/>
      <c r="L87" s="7" t="str">
        <f ca="1">G86</f>
        <v>Sample Name (ID)</v>
      </c>
      <c r="M87" s="7" t="str">
        <f ca="1">G87</f>
        <v>Protocol of sample collection</v>
      </c>
      <c r="N87" s="7" t="str">
        <f ca="1">G88</f>
        <v>Sampling strategy</v>
      </c>
      <c r="O87" s="7" t="str">
        <f ca="1">G89</f>
        <v>Type of sampling program</v>
      </c>
      <c r="P87" s="7" t="str">
        <f ca="1">G90</f>
        <v>Sampling method</v>
      </c>
      <c r="Q87" s="7" t="str">
        <f ca="1">G91</f>
        <v>Sampling plan</v>
      </c>
      <c r="R87" s="7" t="str">
        <f ca="1">G92</f>
        <v>Sampling weight</v>
      </c>
      <c r="S87" s="7" t="str">
        <f ca="1">G93</f>
        <v>Sampling size</v>
      </c>
      <c r="T87" s="7" t="str">
        <f ca="1">G94</f>
        <v>Lot size unit</v>
      </c>
      <c r="U87" s="7" t="str">
        <f ca="1">G95</f>
        <v>Sampling point</v>
      </c>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x14ac:dyDescent="0.25">
      <c r="A88" s="4" t="str">
        <f ca="1">IFERROR(__xludf.DUMMYFUNCTION("""COMPUTED_VALUE"""),"Yes")</f>
        <v>Yes</v>
      </c>
      <c r="B88" s="4" t="str">
        <f ca="1">IFERROR(__xludf.DUMMYFUNCTION("""COMPUTED_VALUE"""),"No")</f>
        <v>No</v>
      </c>
      <c r="C88" s="96"/>
      <c r="D88" s="96"/>
      <c r="E88" s="96"/>
      <c r="F88" s="96"/>
      <c r="G88" s="7" t="str">
        <f ca="1">IFERROR(__xludf.DUMMYFUNCTION("""COMPUTED_VALUE"""),"Sampling strategy")</f>
        <v>Sampling strategy</v>
      </c>
      <c r="H88" s="5" t="str">
        <f ca="1">IFERROR(__xludf.DUMMYFUNCTION("""COMPUTED_VALUE"""),"0:1")</f>
        <v>0:1</v>
      </c>
      <c r="I88" s="5"/>
      <c r="J88" s="13"/>
      <c r="K88" s="4"/>
      <c r="L88" s="4" t="str">
        <f ca="1">H86</f>
        <v>1</v>
      </c>
      <c r="M88" s="4" t="str">
        <f ca="1">H87</f>
        <v>1</v>
      </c>
      <c r="N88" s="4" t="str">
        <f ca="1">H88</f>
        <v>0:1</v>
      </c>
      <c r="O88" s="4" t="str">
        <f ca="1">H89</f>
        <v>0:1</v>
      </c>
      <c r="P88" s="4" t="str">
        <f ca="1">H90</f>
        <v>0:1</v>
      </c>
      <c r="Q88" s="4" t="str">
        <f ca="1">H91</f>
        <v>1</v>
      </c>
      <c r="R88" s="4" t="str">
        <f ca="1">H92</f>
        <v>1</v>
      </c>
      <c r="S88" s="4" t="str">
        <f ca="1">H93</f>
        <v>1</v>
      </c>
      <c r="T88" s="4" t="str">
        <f ca="1">H94</f>
        <v>0:1</v>
      </c>
      <c r="U88" s="4" t="str">
        <f ca="1">H95</f>
        <v>0:1</v>
      </c>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x14ac:dyDescent="0.25">
      <c r="A89" s="4" t="str">
        <f ca="1">IFERROR(__xludf.DUMMYFUNCTION("""COMPUTED_VALUE"""),"Yes")</f>
        <v>Yes</v>
      </c>
      <c r="B89" s="4" t="str">
        <f ca="1">IFERROR(__xludf.DUMMYFUNCTION("""COMPUTED_VALUE"""),"No")</f>
        <v>No</v>
      </c>
      <c r="C89" s="96"/>
      <c r="D89" s="96"/>
      <c r="E89" s="96"/>
      <c r="F89" s="96"/>
      <c r="G89" s="7" t="str">
        <f ca="1">IFERROR(__xludf.DUMMYFUNCTION("""COMPUTED_VALUE"""),"Type of sampling program")</f>
        <v>Type of sampling program</v>
      </c>
      <c r="H89" s="5" t="str">
        <f ca="1">IFERROR(__xludf.DUMMYFUNCTION("""COMPUTED_VALUE"""),"0:1")</f>
        <v>0:1</v>
      </c>
      <c r="I89" s="5"/>
      <c r="J89" s="13"/>
      <c r="K89" s="4"/>
      <c r="L89" s="10"/>
      <c r="M89" s="10"/>
      <c r="N89" s="10"/>
      <c r="O89" s="10"/>
      <c r="P89" s="10"/>
      <c r="Q89" s="10"/>
      <c r="R89" s="10"/>
      <c r="S89" s="10"/>
      <c r="T89" s="15"/>
      <c r="U89" s="10"/>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x14ac:dyDescent="0.25">
      <c r="A90" s="4" t="str">
        <f ca="1">IFERROR(__xludf.DUMMYFUNCTION("""COMPUTED_VALUE"""),"Yes")</f>
        <v>Yes</v>
      </c>
      <c r="B90" s="4" t="str">
        <f ca="1">IFERROR(__xludf.DUMMYFUNCTION("""COMPUTED_VALUE"""),"No")</f>
        <v>No</v>
      </c>
      <c r="C90" s="96"/>
      <c r="D90" s="96"/>
      <c r="E90" s="96"/>
      <c r="F90" s="96"/>
      <c r="G90" s="7" t="str">
        <f ca="1">IFERROR(__xludf.DUMMYFUNCTION("""COMPUTED_VALUE"""),"Sampling method")</f>
        <v>Sampling method</v>
      </c>
      <c r="H90" s="5" t="str">
        <f ca="1">IFERROR(__xludf.DUMMYFUNCTION("""COMPUTED_VALUE"""),"0:1")</f>
        <v>0:1</v>
      </c>
      <c r="I90" s="5"/>
      <c r="J90" s="13"/>
      <c r="K90" s="4"/>
      <c r="L90" s="10"/>
      <c r="M90" s="10"/>
      <c r="N90" s="10"/>
      <c r="O90" s="10"/>
      <c r="P90" s="10"/>
      <c r="Q90" s="10"/>
      <c r="R90" s="10"/>
      <c r="S90" s="10"/>
      <c r="T90" s="15"/>
      <c r="U90" s="10"/>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x14ac:dyDescent="0.25">
      <c r="A91" s="4" t="str">
        <f ca="1">IFERROR(__xludf.DUMMYFUNCTION("""COMPUTED_VALUE"""),"Yes")</f>
        <v>Yes</v>
      </c>
      <c r="B91" s="4" t="str">
        <f ca="1">IFERROR(__xludf.DUMMYFUNCTION("""COMPUTED_VALUE"""),"No")</f>
        <v>No</v>
      </c>
      <c r="C91" s="96"/>
      <c r="D91" s="96"/>
      <c r="E91" s="96"/>
      <c r="F91" s="96"/>
      <c r="G91" s="7" t="str">
        <f ca="1">IFERROR(__xludf.DUMMYFUNCTION("""COMPUTED_VALUE"""),"Sampling plan")</f>
        <v>Sampling plan</v>
      </c>
      <c r="H91" s="5" t="str">
        <f ca="1">IFERROR(__xludf.DUMMYFUNCTION("""COMPUTED_VALUE"""),"1")</f>
        <v>1</v>
      </c>
      <c r="I91" s="75"/>
      <c r="J91" s="13"/>
      <c r="K91" s="4"/>
      <c r="L91" s="10"/>
      <c r="M91" s="10"/>
      <c r="N91" s="10"/>
      <c r="O91" s="10"/>
      <c r="P91" s="10"/>
      <c r="Q91" s="10"/>
      <c r="R91" s="10"/>
      <c r="S91" s="10"/>
      <c r="T91" s="15"/>
      <c r="U91" s="10"/>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x14ac:dyDescent="0.25">
      <c r="A92" s="4" t="str">
        <f ca="1">IFERROR(__xludf.DUMMYFUNCTION("""COMPUTED_VALUE"""),"Yes")</f>
        <v>Yes</v>
      </c>
      <c r="B92" s="4" t="str">
        <f ca="1">IFERROR(__xludf.DUMMYFUNCTION("""COMPUTED_VALUE"""),"No")</f>
        <v>No</v>
      </c>
      <c r="C92" s="96"/>
      <c r="D92" s="96"/>
      <c r="E92" s="96"/>
      <c r="F92" s="96"/>
      <c r="G92" s="7" t="str">
        <f ca="1">IFERROR(__xludf.DUMMYFUNCTION("""COMPUTED_VALUE"""),"Sampling weight")</f>
        <v>Sampling weight</v>
      </c>
      <c r="H92" s="5" t="str">
        <f ca="1">IFERROR(__xludf.DUMMYFUNCTION("""COMPUTED_VALUE"""),"1")</f>
        <v>1</v>
      </c>
      <c r="I92" s="5"/>
      <c r="J92" s="13"/>
      <c r="K92" s="4"/>
      <c r="L92" s="99" t="str">
        <f ca="1">E96</f>
        <v>Dietary assessment method</v>
      </c>
      <c r="M92" s="96"/>
      <c r="N92" s="96"/>
      <c r="O92" s="96"/>
      <c r="P92" s="96"/>
      <c r="Q92" s="96"/>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x14ac:dyDescent="0.25">
      <c r="A93" s="4" t="str">
        <f ca="1">IFERROR(__xludf.DUMMYFUNCTION("""COMPUTED_VALUE"""),"Yes")</f>
        <v>Yes</v>
      </c>
      <c r="B93" s="4" t="str">
        <f ca="1">IFERROR(__xludf.DUMMYFUNCTION("""COMPUTED_VALUE"""),"No")</f>
        <v>No</v>
      </c>
      <c r="C93" s="96"/>
      <c r="D93" s="96"/>
      <c r="E93" s="96"/>
      <c r="F93" s="96"/>
      <c r="G93" s="7" t="str">
        <f ca="1">IFERROR(__xludf.DUMMYFUNCTION("""COMPUTED_VALUE"""),"Sampling size")</f>
        <v>Sampling size</v>
      </c>
      <c r="H93" s="5" t="str">
        <f ca="1">IFERROR(__xludf.DUMMYFUNCTION("""COMPUTED_VALUE"""),"1")</f>
        <v>1</v>
      </c>
      <c r="I93" s="5"/>
      <c r="J93" s="13"/>
      <c r="K93" s="4"/>
      <c r="L93" s="7" t="str">
        <f ca="1">G96</f>
        <v>Methodological tool to collect data</v>
      </c>
      <c r="M93" s="7" t="str">
        <f ca="1">G97</f>
        <v>Number of non-consecutive one-day</v>
      </c>
      <c r="N93" s="7" t="str">
        <f ca="1">G98</f>
        <v>Dietary software tool</v>
      </c>
      <c r="O93" s="7" t="str">
        <f ca="1">G99</f>
        <v>Number of food items</v>
      </c>
      <c r="P93" s="7" t="str">
        <f ca="1">G100</f>
        <v>Type of records</v>
      </c>
      <c r="Q93" s="7" t="str">
        <f ca="1">G101</f>
        <v>Food descriptors</v>
      </c>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x14ac:dyDescent="0.25">
      <c r="A94" s="4" t="str">
        <f ca="1">IFERROR(__xludf.DUMMYFUNCTION("""COMPUTED_VALUE"""),"Yes")</f>
        <v>Yes</v>
      </c>
      <c r="B94" s="4" t="str">
        <f ca="1">IFERROR(__xludf.DUMMYFUNCTION("""COMPUTED_VALUE"""),"No")</f>
        <v>No</v>
      </c>
      <c r="C94" s="96"/>
      <c r="D94" s="96"/>
      <c r="E94" s="96"/>
      <c r="F94" s="96"/>
      <c r="G94" s="7" t="str">
        <f ca="1">IFERROR(__xludf.DUMMYFUNCTION("""COMPUTED_VALUE"""),"Lot size unit")</f>
        <v>Lot size unit</v>
      </c>
      <c r="H94" s="5" t="str">
        <f ca="1">IFERROR(__xludf.DUMMYFUNCTION("""COMPUTED_VALUE"""),"0:1")</f>
        <v>0:1</v>
      </c>
      <c r="I94" s="5"/>
      <c r="J94" s="13"/>
      <c r="K94" s="4"/>
      <c r="L94" s="4" t="str">
        <f ca="1">H96</f>
        <v>1</v>
      </c>
      <c r="M94" s="4" t="str">
        <f ca="1">H97</f>
        <v>1</v>
      </c>
      <c r="N94" s="4" t="str">
        <f ca="1">H98</f>
        <v>0:1</v>
      </c>
      <c r="O94" s="4" t="str">
        <f ca="1">H99</f>
        <v>1:N</v>
      </c>
      <c r="P94" s="4" t="str">
        <f ca="1">H100</f>
        <v>1:N</v>
      </c>
      <c r="Q94" s="4" t="str">
        <f ca="1">H101</f>
        <v>1:N</v>
      </c>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x14ac:dyDescent="0.25">
      <c r="A95" s="4" t="str">
        <f ca="1">IFERROR(__xludf.DUMMYFUNCTION("""COMPUTED_VALUE"""),"Yes")</f>
        <v>Yes</v>
      </c>
      <c r="B95" s="4" t="str">
        <f ca="1">IFERROR(__xludf.DUMMYFUNCTION("""COMPUTED_VALUE"""),"No")</f>
        <v>No</v>
      </c>
      <c r="C95" s="96"/>
      <c r="D95" s="96"/>
      <c r="E95" s="96"/>
      <c r="F95" s="96"/>
      <c r="G95" s="7" t="str">
        <f ca="1">IFERROR(__xludf.DUMMYFUNCTION("""COMPUTED_VALUE"""),"Sampling point")</f>
        <v>Sampling point</v>
      </c>
      <c r="H95" s="5" t="str">
        <f ca="1">IFERROR(__xludf.DUMMYFUNCTION("""COMPUTED_VALUE"""),"0:1")</f>
        <v>0:1</v>
      </c>
      <c r="I95" s="75"/>
      <c r="J95" s="13"/>
      <c r="K95" s="4"/>
      <c r="L95" s="10"/>
      <c r="M95" s="10"/>
      <c r="N95" s="10"/>
      <c r="O95" s="10"/>
      <c r="P95" s="10"/>
      <c r="Q95" s="10"/>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x14ac:dyDescent="0.25">
      <c r="A96" s="4" t="str">
        <f ca="1">IFERROR(__xludf.DUMMYFUNCTION("""COMPUTED_VALUE"""),"Yes")</f>
        <v>Yes</v>
      </c>
      <c r="B96" s="4" t="str">
        <f ca="1">IFERROR(__xludf.DUMMYFUNCTION("""COMPUTED_VALUE"""),"No")</f>
        <v>No</v>
      </c>
      <c r="C96" s="96"/>
      <c r="D96" s="96"/>
      <c r="E96" s="97" t="str">
        <f ca="1">IFERROR(__xludf.DUMMYFUNCTION("""COMPUTED_VALUE"""),"Dietary assessment method")</f>
        <v>Dietary assessment method</v>
      </c>
      <c r="F96" s="97" t="str">
        <f ca="1">IFERROR(__xludf.DUMMYFUNCTION("""COMPUTED_VALUE"""),"0:N")</f>
        <v>0:N</v>
      </c>
      <c r="G96" s="7" t="str">
        <f ca="1">IFERROR(__xludf.DUMMYFUNCTION("""COMPUTED_VALUE"""),"Methodological tool to collect data")</f>
        <v>Methodological tool to collect data</v>
      </c>
      <c r="H96" s="5" t="str">
        <f ca="1">IFERROR(__xludf.DUMMYFUNCTION("""COMPUTED_VALUE"""),"1")</f>
        <v>1</v>
      </c>
      <c r="I96" s="5"/>
      <c r="J96" s="13"/>
      <c r="K96" s="4"/>
      <c r="L96" s="10"/>
      <c r="M96" s="10"/>
      <c r="N96" s="10"/>
      <c r="O96" s="10"/>
      <c r="P96" s="10"/>
      <c r="Q96" s="1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x14ac:dyDescent="0.25">
      <c r="A97" s="4" t="str">
        <f ca="1">IFERROR(__xludf.DUMMYFUNCTION("""COMPUTED_VALUE"""),"Yes")</f>
        <v>Yes</v>
      </c>
      <c r="B97" s="4" t="str">
        <f ca="1">IFERROR(__xludf.DUMMYFUNCTION("""COMPUTED_VALUE"""),"No")</f>
        <v>No</v>
      </c>
      <c r="C97" s="96"/>
      <c r="D97" s="96"/>
      <c r="E97" s="96"/>
      <c r="F97" s="96"/>
      <c r="G97" s="7" t="str">
        <f ca="1">IFERROR(__xludf.DUMMYFUNCTION("""COMPUTED_VALUE"""),"Number of non-consecutive one-day")</f>
        <v>Number of non-consecutive one-day</v>
      </c>
      <c r="H97" s="5" t="str">
        <f ca="1">IFERROR(__xludf.DUMMYFUNCTION("""COMPUTED_VALUE"""),"1")</f>
        <v>1</v>
      </c>
      <c r="I97" s="75"/>
      <c r="J97" s="13"/>
      <c r="K97" s="4"/>
      <c r="L97" s="10"/>
      <c r="M97" s="10"/>
      <c r="N97" s="10"/>
      <c r="O97" s="10"/>
      <c r="P97" s="10"/>
      <c r="Q97" s="10"/>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x14ac:dyDescent="0.25">
      <c r="A98" s="4" t="str">
        <f ca="1">IFERROR(__xludf.DUMMYFUNCTION("""COMPUTED_VALUE"""),"Yes")</f>
        <v>Yes</v>
      </c>
      <c r="B98" s="4" t="str">
        <f ca="1">IFERROR(__xludf.DUMMYFUNCTION("""COMPUTED_VALUE"""),"No")</f>
        <v>No</v>
      </c>
      <c r="C98" s="96"/>
      <c r="D98" s="96"/>
      <c r="E98" s="96"/>
      <c r="F98" s="96"/>
      <c r="G98" s="7" t="str">
        <f ca="1">IFERROR(__xludf.DUMMYFUNCTION("""COMPUTED_VALUE"""),"Dietary software tool")</f>
        <v>Dietary software tool</v>
      </c>
      <c r="H98" s="5" t="str">
        <f ca="1">IFERROR(__xludf.DUMMYFUNCTION("""COMPUTED_VALUE"""),"0:1")</f>
        <v>0:1</v>
      </c>
      <c r="I98" s="5"/>
      <c r="J98" s="13"/>
      <c r="K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x14ac:dyDescent="0.25">
      <c r="A99" s="4" t="str">
        <f ca="1">IFERROR(__xludf.DUMMYFUNCTION("""COMPUTED_VALUE"""),"Yes")</f>
        <v>Yes</v>
      </c>
      <c r="B99" s="4" t="str">
        <f ca="1">IFERROR(__xludf.DUMMYFUNCTION("""COMPUTED_VALUE"""),"No")</f>
        <v>No</v>
      </c>
      <c r="C99" s="96"/>
      <c r="D99" s="96"/>
      <c r="E99" s="96"/>
      <c r="F99" s="96"/>
      <c r="G99" s="7" t="str">
        <f ca="1">IFERROR(__xludf.DUMMYFUNCTION("""COMPUTED_VALUE"""),"Number of food items")</f>
        <v>Number of food items</v>
      </c>
      <c r="H99" s="5" t="str">
        <f ca="1">IFERROR(__xludf.DUMMYFUNCTION("""COMPUTED_VALUE"""),"1:N")</f>
        <v>1:N</v>
      </c>
      <c r="I99" s="5"/>
      <c r="J99" s="13"/>
      <c r="K99" s="4"/>
      <c r="L99" s="99" t="str">
        <f ca="1">E102</f>
        <v>Laboratory</v>
      </c>
      <c r="M99" s="96"/>
      <c r="N99" s="96"/>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x14ac:dyDescent="0.25">
      <c r="A100" s="4" t="str">
        <f ca="1">IFERROR(__xludf.DUMMYFUNCTION("""COMPUTED_VALUE"""),"Yes")</f>
        <v>Yes</v>
      </c>
      <c r="B100" s="4" t="str">
        <f ca="1">IFERROR(__xludf.DUMMYFUNCTION("""COMPUTED_VALUE"""),"No")</f>
        <v>No</v>
      </c>
      <c r="C100" s="96"/>
      <c r="D100" s="96"/>
      <c r="E100" s="96"/>
      <c r="F100" s="96"/>
      <c r="G100" s="7" t="str">
        <f ca="1">IFERROR(__xludf.DUMMYFUNCTION("""COMPUTED_VALUE"""),"Type of records")</f>
        <v>Type of records</v>
      </c>
      <c r="H100" s="5" t="str">
        <f ca="1">IFERROR(__xludf.DUMMYFUNCTION("""COMPUTED_VALUE"""),"1:N")</f>
        <v>1:N</v>
      </c>
      <c r="I100" s="5"/>
      <c r="J100" s="13"/>
      <c r="K100" s="4"/>
      <c r="L100" s="7" t="str">
        <f ca="1">G102</f>
        <v>Laboratory accreditation</v>
      </c>
      <c r="M100" s="7" t="str">
        <f ca="1">G103</f>
        <v>Laboratory Name</v>
      </c>
      <c r="N100" s="7" t="str">
        <f ca="1">G104</f>
        <v>Laboratory country</v>
      </c>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x14ac:dyDescent="0.25">
      <c r="A101" s="4" t="str">
        <f ca="1">IFERROR(__xludf.DUMMYFUNCTION("""COMPUTED_VALUE"""),"Yes")</f>
        <v>Yes</v>
      </c>
      <c r="B101" s="4" t="str">
        <f ca="1">IFERROR(__xludf.DUMMYFUNCTION("""COMPUTED_VALUE"""),"No")</f>
        <v>No</v>
      </c>
      <c r="C101" s="96"/>
      <c r="D101" s="96"/>
      <c r="E101" s="96"/>
      <c r="F101" s="96"/>
      <c r="G101" s="7" t="str">
        <f ca="1">IFERROR(__xludf.DUMMYFUNCTION("""COMPUTED_VALUE"""),"Food descriptors")</f>
        <v>Food descriptors</v>
      </c>
      <c r="H101" s="5" t="str">
        <f ca="1">IFERROR(__xludf.DUMMYFUNCTION("""COMPUTED_VALUE"""),"1:N")</f>
        <v>1:N</v>
      </c>
      <c r="I101" s="5"/>
      <c r="J101" s="13"/>
      <c r="K101" s="4"/>
      <c r="L101" s="4" t="str">
        <f ca="1">H102</f>
        <v>1:N</v>
      </c>
      <c r="M101" s="4" t="str">
        <f ca="1">H103</f>
        <v>0:1</v>
      </c>
      <c r="N101" s="4" t="str">
        <f ca="1">H104</f>
        <v>0:1</v>
      </c>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x14ac:dyDescent="0.25">
      <c r="A102" s="4" t="str">
        <f ca="1">IFERROR(__xludf.DUMMYFUNCTION("""COMPUTED_VALUE"""),"Yes")</f>
        <v>Yes</v>
      </c>
      <c r="B102" s="4" t="str">
        <f ca="1">IFERROR(__xludf.DUMMYFUNCTION("""COMPUTED_VALUE"""),"No")</f>
        <v>No</v>
      </c>
      <c r="C102" s="96"/>
      <c r="D102" s="96"/>
      <c r="E102" s="97" t="str">
        <f ca="1">IFERROR(__xludf.DUMMYFUNCTION("""COMPUTED_VALUE"""),"Laboratory")</f>
        <v>Laboratory</v>
      </c>
      <c r="F102" s="97" t="str">
        <f ca="1">IFERROR(__xludf.DUMMYFUNCTION("""COMPUTED_VALUE"""),"0:N")</f>
        <v>0:N</v>
      </c>
      <c r="G102" s="7" t="str">
        <f ca="1">IFERROR(__xludf.DUMMYFUNCTION("""COMPUTED_VALUE"""),"Laboratory accreditation")</f>
        <v>Laboratory accreditation</v>
      </c>
      <c r="H102" s="5" t="str">
        <f ca="1">IFERROR(__xludf.DUMMYFUNCTION("""COMPUTED_VALUE"""),"1:N")</f>
        <v>1:N</v>
      </c>
      <c r="I102" s="5"/>
      <c r="J102" s="13"/>
      <c r="K102" s="4"/>
      <c r="L102" s="10"/>
      <c r="M102" s="10"/>
      <c r="N102" s="10"/>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x14ac:dyDescent="0.25">
      <c r="A103" s="4" t="str">
        <f ca="1">IFERROR(__xludf.DUMMYFUNCTION("""COMPUTED_VALUE"""),"Yes")</f>
        <v>Yes</v>
      </c>
      <c r="B103" s="4" t="str">
        <f ca="1">IFERROR(__xludf.DUMMYFUNCTION("""COMPUTED_VALUE"""),"No")</f>
        <v>No</v>
      </c>
      <c r="C103" s="96"/>
      <c r="D103" s="96"/>
      <c r="E103" s="96"/>
      <c r="F103" s="96"/>
      <c r="G103" s="7" t="str">
        <f ca="1">IFERROR(__xludf.DUMMYFUNCTION("""COMPUTED_VALUE"""),"Laboratory Name")</f>
        <v>Laboratory Name</v>
      </c>
      <c r="H103" s="5" t="str">
        <f ca="1">IFERROR(__xludf.DUMMYFUNCTION("""COMPUTED_VALUE"""),"0:1")</f>
        <v>0:1</v>
      </c>
      <c r="I103" s="5"/>
      <c r="J103" s="13"/>
      <c r="K103" s="4"/>
      <c r="L103" s="10"/>
      <c r="M103" s="10"/>
      <c r="N103" s="10"/>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x14ac:dyDescent="0.25">
      <c r="A104" s="4" t="str">
        <f ca="1">IFERROR(__xludf.DUMMYFUNCTION("""COMPUTED_VALUE"""),"Yes")</f>
        <v>Yes</v>
      </c>
      <c r="B104" s="4" t="str">
        <f ca="1">IFERROR(__xludf.DUMMYFUNCTION("""COMPUTED_VALUE"""),"No")</f>
        <v>No</v>
      </c>
      <c r="C104" s="96"/>
      <c r="D104" s="96"/>
      <c r="E104" s="96"/>
      <c r="F104" s="96"/>
      <c r="G104" s="7" t="str">
        <f ca="1">IFERROR(__xludf.DUMMYFUNCTION("""COMPUTED_VALUE"""),"Laboratory country")</f>
        <v>Laboratory country</v>
      </c>
      <c r="H104" s="5" t="str">
        <f ca="1">IFERROR(__xludf.DUMMYFUNCTION("""COMPUTED_VALUE"""),"0:1")</f>
        <v>0:1</v>
      </c>
      <c r="I104" s="5"/>
      <c r="J104" s="13"/>
      <c r="K104" s="4"/>
      <c r="L104" s="10"/>
      <c r="M104" s="10"/>
      <c r="N104" s="10"/>
      <c r="R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x14ac:dyDescent="0.25">
      <c r="A105" s="4" t="str">
        <f ca="1">IFERROR(__xludf.DUMMYFUNCTION("""COMPUTED_VALUE"""),"Yes")</f>
        <v>Yes</v>
      </c>
      <c r="B105" s="4" t="str">
        <f ca="1">IFERROR(__xludf.DUMMYFUNCTION("""COMPUTED_VALUE"""),"No")</f>
        <v>No</v>
      </c>
      <c r="C105" s="96"/>
      <c r="D105" s="96"/>
      <c r="E105" s="97" t="str">
        <f ca="1">IFERROR(__xludf.DUMMYFUNCTION("""COMPUTED_VALUE"""),"Assay")</f>
        <v>Assay</v>
      </c>
      <c r="F105" s="97" t="str">
        <f ca="1">IFERROR(__xludf.DUMMYFUNCTION("""COMPUTED_VALUE"""),"0:N")</f>
        <v>0:N</v>
      </c>
      <c r="G105" s="7" t="str">
        <f ca="1">IFERROR(__xludf.DUMMYFUNCTION("""COMPUTED_VALUE"""),"Assay Name")</f>
        <v>Assay Name</v>
      </c>
      <c r="H105" s="5" t="str">
        <f ca="1">IFERROR(__xludf.DUMMYFUNCTION("""COMPUTED_VALUE"""),"1")</f>
        <v>1</v>
      </c>
      <c r="I105" s="5"/>
      <c r="J105" s="13"/>
      <c r="K105" s="4"/>
      <c r="L105" s="99" t="str">
        <f ca="1">E105</f>
        <v>Assay</v>
      </c>
      <c r="M105" s="96"/>
      <c r="N105" s="96"/>
      <c r="O105" s="96"/>
      <c r="P105" s="96"/>
      <c r="Q105" s="96"/>
      <c r="R105" s="96"/>
      <c r="S105" s="96"/>
      <c r="T105" s="96"/>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x14ac:dyDescent="0.25">
      <c r="A106" s="4" t="str">
        <f ca="1">IFERROR(__xludf.DUMMYFUNCTION("""COMPUTED_VALUE"""),"Yes")</f>
        <v>Yes</v>
      </c>
      <c r="B106" s="4" t="str">
        <f ca="1">IFERROR(__xludf.DUMMYFUNCTION("""COMPUTED_VALUE"""),"No")</f>
        <v>No</v>
      </c>
      <c r="C106" s="96"/>
      <c r="D106" s="96"/>
      <c r="E106" s="96"/>
      <c r="F106" s="96"/>
      <c r="G106" s="7" t="str">
        <f ca="1">IFERROR(__xludf.DUMMYFUNCTION("""COMPUTED_VALUE"""),"Assay description")</f>
        <v>Assay description</v>
      </c>
      <c r="H106" s="5" t="str">
        <f ca="1">IFERROR(__xludf.DUMMYFUNCTION("""COMPUTED_VALUE"""),"0:1")</f>
        <v>0:1</v>
      </c>
      <c r="I106" s="5"/>
      <c r="J106" s="13"/>
      <c r="K106" s="4"/>
      <c r="L106" s="4" t="str">
        <f ca="1">G105</f>
        <v>Assay Name</v>
      </c>
      <c r="M106" s="4" t="str">
        <f ca="1">G106</f>
        <v>Assay description</v>
      </c>
      <c r="N106" s="4" t="str">
        <f ca="1">G107</f>
        <v>Percentage of moisture</v>
      </c>
      <c r="O106" s="4" t="str">
        <f ca="1">G108</f>
        <v>Percentage of fat</v>
      </c>
      <c r="P106" s="4" t="str">
        <f ca="1">G109</f>
        <v>Limit of detection</v>
      </c>
      <c r="Q106" s="4" t="str">
        <f ca="1">G110</f>
        <v>Limit of quantification</v>
      </c>
      <c r="R106" s="4" t="str">
        <f ca="1">G111</f>
        <v>Left-censored data</v>
      </c>
      <c r="S106" s="4" t="str">
        <f ca="1">G112</f>
        <v>Range of contamination</v>
      </c>
      <c r="T106" s="4" t="str">
        <f ca="1">G113</f>
        <v>Uncertainty value</v>
      </c>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x14ac:dyDescent="0.25">
      <c r="A107" s="4" t="str">
        <f ca="1">IFERROR(__xludf.DUMMYFUNCTION("""COMPUTED_VALUE"""),"Yes")</f>
        <v>Yes</v>
      </c>
      <c r="B107" s="4" t="str">
        <f ca="1">IFERROR(__xludf.DUMMYFUNCTION("""COMPUTED_VALUE"""),"No")</f>
        <v>No</v>
      </c>
      <c r="C107" s="96"/>
      <c r="D107" s="96"/>
      <c r="E107" s="96"/>
      <c r="F107" s="96"/>
      <c r="G107" s="7" t="str">
        <f ca="1">IFERROR(__xludf.DUMMYFUNCTION("""COMPUTED_VALUE"""),"Percentage of moisture")</f>
        <v>Percentage of moisture</v>
      </c>
      <c r="H107" s="5" t="str">
        <f ca="1">IFERROR(__xludf.DUMMYFUNCTION("""COMPUTED_VALUE"""),"0:1")</f>
        <v>0:1</v>
      </c>
      <c r="I107" s="5"/>
      <c r="J107" s="13"/>
      <c r="K107" s="4"/>
      <c r="L107" s="4" t="str">
        <f ca="1">H106</f>
        <v>0:1</v>
      </c>
      <c r="M107" s="4" t="str">
        <f ca="1">H107</f>
        <v>0:1</v>
      </c>
      <c r="N107" s="4" t="str">
        <f ca="1">H108</f>
        <v>0:1</v>
      </c>
      <c r="O107" s="4" t="str">
        <f ca="1">H109</f>
        <v>0:1</v>
      </c>
      <c r="P107" s="4" t="str">
        <f ca="1">H110</f>
        <v>0:1</v>
      </c>
      <c r="Q107" s="4" t="str">
        <f ca="1">H111</f>
        <v>0:1</v>
      </c>
      <c r="R107" s="4" t="str">
        <f ca="1">H112</f>
        <v>0:1</v>
      </c>
      <c r="S107" s="4" t="str">
        <f ca="1">H113</f>
        <v>0:1</v>
      </c>
      <c r="T107" s="4" t="str">
        <f ca="1">H114</f>
        <v>1</v>
      </c>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x14ac:dyDescent="0.25">
      <c r="A108" s="4" t="str">
        <f ca="1">IFERROR(__xludf.DUMMYFUNCTION("""COMPUTED_VALUE"""),"Yes")</f>
        <v>Yes</v>
      </c>
      <c r="B108" s="4" t="str">
        <f ca="1">IFERROR(__xludf.DUMMYFUNCTION("""COMPUTED_VALUE"""),"No")</f>
        <v>No</v>
      </c>
      <c r="C108" s="96"/>
      <c r="D108" s="96"/>
      <c r="E108" s="96"/>
      <c r="F108" s="96"/>
      <c r="G108" s="7" t="str">
        <f ca="1">IFERROR(__xludf.DUMMYFUNCTION("""COMPUTED_VALUE"""),"Percentage of fat")</f>
        <v>Percentage of fat</v>
      </c>
      <c r="H108" s="5" t="str">
        <f ca="1">IFERROR(__xludf.DUMMYFUNCTION("""COMPUTED_VALUE"""),"0:1")</f>
        <v>0:1</v>
      </c>
      <c r="I108" s="5"/>
      <c r="J108" s="13"/>
      <c r="K108" s="4"/>
      <c r="L108" s="10"/>
      <c r="M108" s="10"/>
      <c r="N108" s="10"/>
      <c r="O108" s="10"/>
      <c r="P108" s="10"/>
      <c r="Q108" s="10"/>
      <c r="R108" s="10"/>
      <c r="S108" s="10"/>
      <c r="T108" s="10"/>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x14ac:dyDescent="0.25">
      <c r="A109" s="4" t="str">
        <f ca="1">IFERROR(__xludf.DUMMYFUNCTION("""COMPUTED_VALUE"""),"Yes")</f>
        <v>Yes</v>
      </c>
      <c r="B109" s="4" t="str">
        <f ca="1">IFERROR(__xludf.DUMMYFUNCTION("""COMPUTED_VALUE"""),"No")</f>
        <v>No</v>
      </c>
      <c r="C109" s="96"/>
      <c r="D109" s="96"/>
      <c r="E109" s="96"/>
      <c r="F109" s="96"/>
      <c r="G109" s="7" t="str">
        <f ca="1">IFERROR(__xludf.DUMMYFUNCTION("""COMPUTED_VALUE"""),"Limit of detection")</f>
        <v>Limit of detection</v>
      </c>
      <c r="H109" s="5" t="str">
        <f ca="1">IFERROR(__xludf.DUMMYFUNCTION("""COMPUTED_VALUE"""),"0:1")</f>
        <v>0:1</v>
      </c>
      <c r="I109" s="5"/>
      <c r="J109" s="13"/>
      <c r="K109" s="4"/>
      <c r="L109" s="10"/>
      <c r="M109" s="10"/>
      <c r="N109" s="10"/>
      <c r="O109" s="10"/>
      <c r="P109" s="10"/>
      <c r="Q109" s="10"/>
      <c r="R109" s="10"/>
      <c r="S109" s="10"/>
      <c r="T109" s="10"/>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x14ac:dyDescent="0.25">
      <c r="A110" s="4" t="str">
        <f ca="1">IFERROR(__xludf.DUMMYFUNCTION("""COMPUTED_VALUE"""),"Yes")</f>
        <v>Yes</v>
      </c>
      <c r="B110" s="4" t="str">
        <f ca="1">IFERROR(__xludf.DUMMYFUNCTION("""COMPUTED_VALUE"""),"No")</f>
        <v>No</v>
      </c>
      <c r="C110" s="96"/>
      <c r="D110" s="96"/>
      <c r="E110" s="96"/>
      <c r="F110" s="96"/>
      <c r="G110" s="7" t="str">
        <f ca="1">IFERROR(__xludf.DUMMYFUNCTION("""COMPUTED_VALUE"""),"Limit of quantification")</f>
        <v>Limit of quantification</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x14ac:dyDescent="0.25">
      <c r="A111" s="4" t="str">
        <f ca="1">IFERROR(__xludf.DUMMYFUNCTION("""COMPUTED_VALUE"""),"Yes")</f>
        <v>Yes</v>
      </c>
      <c r="B111" s="4" t="str">
        <f ca="1">IFERROR(__xludf.DUMMYFUNCTION("""COMPUTED_VALUE"""),"No")</f>
        <v>No</v>
      </c>
      <c r="C111" s="96"/>
      <c r="D111" s="96"/>
      <c r="E111" s="96"/>
      <c r="F111" s="96"/>
      <c r="G111" s="7" t="str">
        <f ca="1">IFERROR(__xludf.DUMMYFUNCTION("""COMPUTED_VALUE"""),"Left-censored data")</f>
        <v>Left-censored data</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x14ac:dyDescent="0.25">
      <c r="A112" s="4" t="str">
        <f ca="1">IFERROR(__xludf.DUMMYFUNCTION("""COMPUTED_VALUE"""),"Yes")</f>
        <v>Yes</v>
      </c>
      <c r="B112" s="4" t="str">
        <f ca="1">IFERROR(__xludf.DUMMYFUNCTION("""COMPUTED_VALUE"""),"No")</f>
        <v>No</v>
      </c>
      <c r="C112" s="96"/>
      <c r="D112" s="96"/>
      <c r="E112" s="96"/>
      <c r="F112" s="96"/>
      <c r="G112" s="7" t="str">
        <f ca="1">IFERROR(__xludf.DUMMYFUNCTION("""COMPUTED_VALUE"""),"Range of contamination")</f>
        <v>Range of contamination</v>
      </c>
      <c r="H112" s="5" t="str">
        <f ca="1">IFERROR(__xludf.DUMMYFUNCTION("""COMPUTED_VALUE"""),"0:1")</f>
        <v>0:1</v>
      </c>
      <c r="I112" s="5"/>
      <c r="J112" s="13"/>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5" customHeight="1" x14ac:dyDescent="0.25">
      <c r="A113" s="4" t="str">
        <f ca="1">IFERROR(__xludf.DUMMYFUNCTION("""COMPUTED_VALUE"""),"Yes")</f>
        <v>Yes</v>
      </c>
      <c r="B113" s="4" t="str">
        <f ca="1">IFERROR(__xludf.DUMMYFUNCTION("""COMPUTED_VALUE"""),"No")</f>
        <v>No</v>
      </c>
      <c r="C113" s="96"/>
      <c r="D113" s="96"/>
      <c r="E113" s="96"/>
      <c r="F113" s="96"/>
      <c r="G113" s="7" t="str">
        <f ca="1">IFERROR(__xludf.DUMMYFUNCTION("""COMPUTED_VALUE"""),"Uncertainty value")</f>
        <v>Uncertainty value</v>
      </c>
      <c r="H113" s="5" t="str">
        <f ca="1">IFERROR(__xludf.DUMMYFUNCTION("""COMPUTED_VALUE"""),"0:1")</f>
        <v>0:1</v>
      </c>
      <c r="I113" s="5"/>
      <c r="J113" s="13"/>
      <c r="K113" s="4"/>
      <c r="L113" s="98" t="str">
        <f ca="1">E114</f>
        <v>Parameter / Factor / Input / Output / "Data column"</v>
      </c>
      <c r="M113" s="96"/>
      <c r="N113" s="96"/>
      <c r="O113" s="96"/>
      <c r="P113" s="96"/>
      <c r="Q113" s="96"/>
      <c r="R113" s="96"/>
      <c r="S113" s="96"/>
      <c r="T113" s="96"/>
      <c r="U113" s="96"/>
      <c r="V113" s="96"/>
      <c r="W113" s="96"/>
      <c r="X113" s="96"/>
      <c r="Y113" s="96"/>
      <c r="Z113" s="96"/>
      <c r="AA113" s="96"/>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x14ac:dyDescent="0.25">
      <c r="A114" s="4" t="str">
        <f ca="1">IFERROR(__xludf.DUMMYFUNCTION("""COMPUTED_VALUE"""),"Yes")</f>
        <v>Yes</v>
      </c>
      <c r="B114" s="4" t="str">
        <f ca="1">IFERROR(__xludf.DUMMYFUNCTION("""COMPUTED_VALUE"""),"Yes")</f>
        <v>Yes</v>
      </c>
      <c r="C114" s="95" t="str">
        <f ca="1">IFERROR(__xludf.DUMMYFUNCTION("""COMPUTED_VALUE"""),"Model math / Data definition")</f>
        <v>Model math / Data definition</v>
      </c>
      <c r="D114" s="97" t="str">
        <f ca="1">IFERROR(__xludf.DUMMYFUNCTION("""COMPUTED_VALUE"""),"1")</f>
        <v>1</v>
      </c>
      <c r="E114" s="97" t="str">
        <f ca="1">IFERROR(__xludf.DUMMYFUNCTION("""COMPUTED_VALUE"""),"Parameter / Factor / Input / Output / ""Data column""")</f>
        <v>Parameter / Factor / Input / Output / "Data column"</v>
      </c>
      <c r="F114" s="97" t="str">
        <f ca="1">IFERROR(__xludf.DUMMYFUNCTION("""COMPUTED_VALUE"""),"1:N")</f>
        <v>1:N</v>
      </c>
      <c r="G114" s="5" t="str">
        <f ca="1">IFERROR(__xludf.DUMMYFUNCTION("""COMPUTED_VALUE"""),"Parameter ID")</f>
        <v>Parameter ID</v>
      </c>
      <c r="H114" s="5" t="str">
        <f ca="1">IFERROR(__xludf.DUMMYFUNCTION("""COMPUTED_VALUE"""),"1")</f>
        <v>1</v>
      </c>
      <c r="I114" s="5"/>
      <c r="J114" s="13"/>
      <c r="K114" s="35" t="s">
        <v>23</v>
      </c>
      <c r="L114" s="23" t="str">
        <f ca="1">G114</f>
        <v>Parameter ID</v>
      </c>
      <c r="M114" s="23" t="str">
        <f ca="1">G115</f>
        <v>Parameter classification</v>
      </c>
      <c r="N114" s="23" t="str">
        <f ca="1">G116</f>
        <v>Parameter name</v>
      </c>
      <c r="O114" s="23" t="str">
        <f ca="1">G117</f>
        <v>Parameter description</v>
      </c>
      <c r="P114" s="23" t="str">
        <f ca="1">G118</f>
        <v>Parameter unit</v>
      </c>
      <c r="Q114" s="23" t="str">
        <f ca="1">G119</f>
        <v>Parameter unit category</v>
      </c>
      <c r="R114" s="47" t="str">
        <f ca="1">G120</f>
        <v>Parameter data type</v>
      </c>
      <c r="S114" s="23" t="str">
        <f ca="1">G121</f>
        <v>Parameter source</v>
      </c>
      <c r="T114" s="23" t="str">
        <f ca="1">G122</f>
        <v>Parameter subject</v>
      </c>
      <c r="U114" s="23" t="str">
        <f ca="1">G123</f>
        <v>Parameter distribution</v>
      </c>
      <c r="V114" s="23" t="str">
        <f ca="1">G126</f>
        <v>Parameter value</v>
      </c>
      <c r="W114" s="23" t="str">
        <f ca="1">G127</f>
        <v>Parameter Reference</v>
      </c>
      <c r="X114" s="23" t="str">
        <f ca="1">G128</f>
        <v>Parameter variability subject</v>
      </c>
      <c r="Y114" s="23" t="str">
        <f ca="1">G129</f>
        <v>Parameter value max</v>
      </c>
      <c r="Z114" t="str">
        <f ca="1">G130</f>
        <v>Parameter value min</v>
      </c>
      <c r="AA114" s="23" t="str">
        <f ca="1">G131</f>
        <v>Parameter error</v>
      </c>
      <c r="AB114" s="4"/>
      <c r="AC114" s="4"/>
      <c r="AD114" s="4"/>
      <c r="AE114" s="4"/>
      <c r="AF114" s="4"/>
      <c r="AG114" s="4"/>
      <c r="AH114" s="4"/>
      <c r="AI114" s="4"/>
      <c r="AJ114" s="4"/>
      <c r="AK114" s="4"/>
      <c r="AL114" s="4"/>
      <c r="AM114" s="4"/>
      <c r="AN114" s="4"/>
      <c r="AO114" s="4"/>
      <c r="AP114" s="4"/>
      <c r="AQ114" s="4"/>
      <c r="AR114" s="4"/>
      <c r="AS114" s="4"/>
      <c r="AT114" s="4"/>
      <c r="AU114" s="4"/>
      <c r="AV114" s="4"/>
    </row>
    <row r="115" spans="1:49" ht="12.5" x14ac:dyDescent="0.25">
      <c r="A115" s="4" t="str">
        <f ca="1">IFERROR(__xludf.DUMMYFUNCTION("""COMPUTED_VALUE"""),"Yes")</f>
        <v>Yes</v>
      </c>
      <c r="B115" s="4" t="str">
        <f ca="1">IFERROR(__xludf.DUMMYFUNCTION("""COMPUTED_VALUE"""),"Yes")</f>
        <v>Yes</v>
      </c>
      <c r="C115" s="96"/>
      <c r="D115" s="96"/>
      <c r="E115" s="96"/>
      <c r="F115" s="96"/>
      <c r="G115" s="5" t="str">
        <f ca="1">IFERROR(__xludf.DUMMYFUNCTION("""COMPUTED_VALUE"""),"Parameter classification")</f>
        <v>Parameter classification</v>
      </c>
      <c r="H115" s="5" t="str">
        <f ca="1">IFERROR(__xludf.DUMMYFUNCTION("""COMPUTED_VALUE"""),"1")</f>
        <v>1</v>
      </c>
      <c r="I115" s="5"/>
      <c r="J115" s="13"/>
      <c r="K115" s="4"/>
      <c r="L115" s="27" t="str">
        <f ca="1">H114</f>
        <v>1</v>
      </c>
      <c r="M115" s="27" t="str">
        <f ca="1">H115</f>
        <v>1</v>
      </c>
      <c r="N115" s="27" t="str">
        <f ca="1">H116</f>
        <v>1</v>
      </c>
      <c r="O115" s="27" t="str">
        <f ca="1">H117</f>
        <v>0:1</v>
      </c>
      <c r="P115" s="27" t="str">
        <f ca="1">H118</f>
        <v>1</v>
      </c>
      <c r="Q115" s="27" t="str">
        <f ca="1">H119</f>
        <v>0:1</v>
      </c>
      <c r="R115" s="27" t="str">
        <f ca="1">H120</f>
        <v>1</v>
      </c>
      <c r="S115" s="27" t="str">
        <f ca="1">H121</f>
        <v>0:1</v>
      </c>
      <c r="T115" s="27" t="str">
        <f ca="1">H122</f>
        <v>0:1</v>
      </c>
      <c r="U115" s="27" t="str">
        <f ca="1">H123</f>
        <v>0:1</v>
      </c>
      <c r="V115" s="27" t="str">
        <f ca="1">H126</f>
        <v>0:1</v>
      </c>
      <c r="W115" s="27" t="str">
        <f ca="1">H127</f>
        <v>0:1</v>
      </c>
      <c r="X115" s="27" t="str">
        <f ca="1">H128</f>
        <v>0:1</v>
      </c>
      <c r="Y115" s="27" t="str">
        <f ca="1">H129</f>
        <v>0:1</v>
      </c>
      <c r="Z115" t="str">
        <f ca="1">H130</f>
        <v>0:1</v>
      </c>
      <c r="AA115" s="27" t="str">
        <f ca="1">H131</f>
        <v>0:1</v>
      </c>
      <c r="AB115" s="4"/>
      <c r="AC115" s="4"/>
      <c r="AD115" s="4"/>
      <c r="AE115" s="4"/>
      <c r="AF115" s="4"/>
      <c r="AG115" s="4"/>
      <c r="AH115" s="4"/>
      <c r="AI115" s="4"/>
      <c r="AJ115" s="4"/>
      <c r="AK115" s="4"/>
      <c r="AL115" s="4"/>
      <c r="AM115" s="4"/>
      <c r="AN115" s="4"/>
      <c r="AO115" s="4"/>
      <c r="AP115" s="4"/>
      <c r="AQ115" s="4"/>
      <c r="AR115" s="4"/>
      <c r="AS115" s="4"/>
      <c r="AT115" s="4"/>
      <c r="AU115" s="4"/>
      <c r="AV115" s="4"/>
    </row>
    <row r="116" spans="1:49" ht="12.5" x14ac:dyDescent="0.25">
      <c r="A116" s="4" t="str">
        <f ca="1">IFERROR(__xludf.DUMMYFUNCTION("""COMPUTED_VALUE"""),"Yes")</f>
        <v>Yes</v>
      </c>
      <c r="B116" s="4" t="str">
        <f ca="1">IFERROR(__xludf.DUMMYFUNCTION("""COMPUTED_VALUE"""),"Yes")</f>
        <v>Yes</v>
      </c>
      <c r="C116" s="96"/>
      <c r="D116" s="96"/>
      <c r="E116" s="96"/>
      <c r="F116" s="96"/>
      <c r="G116" s="5" t="str">
        <f ca="1">IFERROR(__xludf.DUMMYFUNCTION("""COMPUTED_VALUE"""),"Parameter name")</f>
        <v>Parameter name</v>
      </c>
      <c r="H116" s="5" t="str">
        <f ca="1">IFERROR(__xludf.DUMMYFUNCTION("""COMPUTED_VALUE"""),"1")</f>
        <v>1</v>
      </c>
      <c r="I116" s="5"/>
      <c r="J116" s="13"/>
      <c r="K116" s="4"/>
      <c r="L116" s="11"/>
      <c r="M116" s="11"/>
      <c r="N116" s="11"/>
      <c r="O116" s="11"/>
      <c r="P116" s="12" t="s">
        <v>25</v>
      </c>
      <c r="Q116" s="13">
        <f>'Parameter unit'!AF3</f>
        <v>0</v>
      </c>
      <c r="R116" s="11"/>
      <c r="S116" s="37"/>
      <c r="T116" s="37"/>
      <c r="U116" s="37"/>
      <c r="V116" s="37"/>
      <c r="W116" s="11"/>
      <c r="X116" s="11"/>
      <c r="Y116" s="11"/>
      <c r="Z116" s="11"/>
      <c r="AA116" s="11"/>
      <c r="AB116" s="4"/>
      <c r="AC116" s="4"/>
      <c r="AD116" s="4"/>
      <c r="AE116" s="4"/>
      <c r="AF116" s="4"/>
      <c r="AG116" s="4"/>
      <c r="AH116" s="4"/>
      <c r="AI116" s="4"/>
      <c r="AJ116" s="4"/>
      <c r="AK116" s="4"/>
      <c r="AL116" s="4"/>
      <c r="AM116" s="4"/>
      <c r="AN116" s="4"/>
      <c r="AO116" s="4"/>
      <c r="AP116" s="4"/>
      <c r="AQ116" s="4"/>
      <c r="AR116" s="4"/>
      <c r="AS116" s="4"/>
      <c r="AT116" s="4"/>
      <c r="AU116" s="4"/>
      <c r="AV116" s="4"/>
    </row>
    <row r="117" spans="1:49" ht="12.5" x14ac:dyDescent="0.25">
      <c r="A117" s="4" t="str">
        <f ca="1">IFERROR(__xludf.DUMMYFUNCTION("""COMPUTED_VALUE"""),"Yes")</f>
        <v>Yes</v>
      </c>
      <c r="B117" s="4" t="str">
        <f ca="1">IFERROR(__xludf.DUMMYFUNCTION("""COMPUTED_VALUE"""),"No")</f>
        <v>No</v>
      </c>
      <c r="C117" s="96"/>
      <c r="D117" s="96"/>
      <c r="E117" s="96"/>
      <c r="F117" s="96"/>
      <c r="G117" s="5" t="str">
        <f ca="1">IFERROR(__xludf.DUMMYFUNCTION("""COMPUTED_VALUE"""),"Parameter description")</f>
        <v>Parameter description</v>
      </c>
      <c r="H117" s="5" t="str">
        <f ca="1">IFERROR(__xludf.DUMMYFUNCTION("""COMPUTED_VALUE"""),"0:1")</f>
        <v>0:1</v>
      </c>
      <c r="I117" s="5"/>
      <c r="J117" s="13"/>
      <c r="K117" s="4"/>
      <c r="L117" s="11"/>
      <c r="M117" s="11"/>
      <c r="N117" s="11"/>
      <c r="O117" s="11"/>
      <c r="P117" s="12" t="s">
        <v>25</v>
      </c>
      <c r="Q117" s="13">
        <f>'Parameter unit'!AF4</f>
        <v>0</v>
      </c>
      <c r="R117" s="11"/>
      <c r="S117" s="37"/>
      <c r="T117" s="37"/>
      <c r="U117" s="37"/>
      <c r="V117" s="37"/>
      <c r="W117" s="11"/>
      <c r="X117" s="11"/>
      <c r="Y117" s="11"/>
      <c r="Z117" s="11"/>
      <c r="AA117" s="11"/>
      <c r="AB117" s="4"/>
      <c r="AC117" s="4"/>
      <c r="AD117" s="4"/>
      <c r="AE117" s="4"/>
      <c r="AF117" s="4"/>
      <c r="AG117" s="4"/>
      <c r="AH117" s="4"/>
      <c r="AI117" s="4"/>
      <c r="AJ117" s="4"/>
      <c r="AK117" s="4"/>
      <c r="AL117" s="4"/>
      <c r="AM117" s="4"/>
      <c r="AN117" s="4"/>
      <c r="AO117" s="4"/>
      <c r="AP117" s="4"/>
      <c r="AQ117" s="4"/>
      <c r="AR117" s="4"/>
      <c r="AS117" s="4"/>
      <c r="AT117" s="4"/>
      <c r="AU117" s="4"/>
      <c r="AV117" s="4"/>
    </row>
    <row r="118" spans="1:49" ht="12.5" x14ac:dyDescent="0.25">
      <c r="A118" s="4" t="str">
        <f ca="1">IFERROR(__xludf.DUMMYFUNCTION("""COMPUTED_VALUE"""),"Yes")</f>
        <v>Yes</v>
      </c>
      <c r="B118" s="4" t="str">
        <f ca="1">IFERROR(__xludf.DUMMYFUNCTION("""COMPUTED_VALUE"""),"Yes")</f>
        <v>Yes</v>
      </c>
      <c r="C118" s="96"/>
      <c r="D118" s="96"/>
      <c r="E118" s="96"/>
      <c r="F118" s="96"/>
      <c r="G118" s="5" t="str">
        <f ca="1">IFERROR(__xludf.DUMMYFUNCTION("""COMPUTED_VALUE"""),"Parameter unit")</f>
        <v>Parameter unit</v>
      </c>
      <c r="H118" s="5" t="str">
        <f ca="1">IFERROR(__xludf.DUMMYFUNCTION("""COMPUTED_VALUE"""),"1")</f>
        <v>1</v>
      </c>
      <c r="I118" s="5"/>
      <c r="J118" s="13"/>
      <c r="K118" s="4"/>
      <c r="L118" s="11"/>
      <c r="M118" s="11"/>
      <c r="N118" s="11"/>
      <c r="O118" s="11"/>
      <c r="P118" s="12" t="s">
        <v>25</v>
      </c>
      <c r="Q118" s="13">
        <f>'Parameter unit'!AF5</f>
        <v>0</v>
      </c>
      <c r="R118" s="11"/>
      <c r="S118" s="37"/>
      <c r="T118" s="37"/>
      <c r="U118" s="37"/>
      <c r="V118" s="37"/>
      <c r="W118" s="11"/>
      <c r="X118" s="11"/>
      <c r="Y118" s="11"/>
      <c r="Z118" s="11"/>
      <c r="AA118" s="11"/>
      <c r="AB118" s="4"/>
      <c r="AC118" s="4"/>
      <c r="AD118" s="4"/>
      <c r="AE118" s="4"/>
      <c r="AF118" s="4"/>
      <c r="AG118" s="4"/>
      <c r="AH118" s="4"/>
      <c r="AI118" s="4"/>
      <c r="AJ118" s="4"/>
      <c r="AK118" s="4"/>
      <c r="AL118" s="4"/>
      <c r="AM118" s="4"/>
      <c r="AN118" s="4"/>
      <c r="AO118" s="4"/>
      <c r="AP118" s="4"/>
      <c r="AQ118" s="4"/>
      <c r="AR118" s="4"/>
      <c r="AS118" s="4"/>
      <c r="AT118" s="4"/>
      <c r="AU118" s="4"/>
      <c r="AV118" s="4"/>
    </row>
    <row r="119" spans="1:49" ht="12.5" x14ac:dyDescent="0.25">
      <c r="A119" s="4" t="str">
        <f ca="1">IFERROR(__xludf.DUMMYFUNCTION("""COMPUTED_VALUE"""),"Yes")</f>
        <v>Yes</v>
      </c>
      <c r="B119" s="4" t="str">
        <f ca="1">IFERROR(__xludf.DUMMYFUNCTION("""COMPUTED_VALUE"""),"No")</f>
        <v>No</v>
      </c>
      <c r="C119" s="96"/>
      <c r="D119" s="96"/>
      <c r="E119" s="96"/>
      <c r="F119" s="96"/>
      <c r="G119" s="5" t="str">
        <f ca="1">IFERROR(__xludf.DUMMYFUNCTION("""COMPUTED_VALUE"""),"Parameter unit category")</f>
        <v>Parameter unit category</v>
      </c>
      <c r="H119" s="5" t="str">
        <f ca="1">IFERROR(__xludf.DUMMYFUNCTION("""COMPUTED_VALUE"""),"0:1")</f>
        <v>0:1</v>
      </c>
      <c r="I119" s="5"/>
      <c r="J119" s="13"/>
      <c r="K119" s="4"/>
      <c r="L119" s="11"/>
      <c r="M119" s="11"/>
      <c r="N119" s="11"/>
      <c r="O119" s="11"/>
      <c r="P119" s="12" t="s">
        <v>25</v>
      </c>
      <c r="Q119" s="13">
        <f>'Parameter unit'!AF6</f>
        <v>0</v>
      </c>
      <c r="R119" s="11"/>
      <c r="S119" s="37"/>
      <c r="T119" s="37"/>
      <c r="U119" s="37"/>
      <c r="V119" s="37"/>
      <c r="W119" s="11"/>
      <c r="X119" s="11"/>
      <c r="Y119" s="11"/>
      <c r="Z119" s="11"/>
      <c r="AA119" s="11"/>
      <c r="AB119" s="4"/>
      <c r="AC119" s="4"/>
      <c r="AD119" s="4"/>
      <c r="AE119" s="4"/>
      <c r="AF119" s="4"/>
      <c r="AG119" s="4"/>
      <c r="AH119" s="4"/>
      <c r="AI119" s="4"/>
      <c r="AJ119" s="4"/>
      <c r="AK119" s="4"/>
      <c r="AL119" s="4"/>
      <c r="AM119" s="4"/>
      <c r="AN119" s="4"/>
      <c r="AO119" s="4"/>
      <c r="AP119" s="4"/>
      <c r="AQ119" s="4"/>
      <c r="AR119" s="4"/>
      <c r="AS119" s="4"/>
      <c r="AT119" s="4"/>
      <c r="AU119" s="4"/>
      <c r="AV119" s="4"/>
    </row>
    <row r="120" spans="1:49" ht="12.5" x14ac:dyDescent="0.25">
      <c r="A120" s="4" t="str">
        <f ca="1">IFERROR(__xludf.DUMMYFUNCTION("""COMPUTED_VALUE"""),"Yes")</f>
        <v>Yes</v>
      </c>
      <c r="B120" s="4" t="str">
        <f ca="1">IFERROR(__xludf.DUMMYFUNCTION("""COMPUTED_VALUE"""),"Yes")</f>
        <v>Yes</v>
      </c>
      <c r="C120" s="96"/>
      <c r="D120" s="96"/>
      <c r="E120" s="96"/>
      <c r="F120" s="96"/>
      <c r="G120" s="5" t="str">
        <f ca="1">IFERROR(__xludf.DUMMYFUNCTION("""COMPUTED_VALUE"""),"Parameter data type")</f>
        <v>Parameter data type</v>
      </c>
      <c r="H120" s="5" t="str">
        <f ca="1">IFERROR(__xludf.DUMMYFUNCTION("""COMPUTED_VALUE"""),"1")</f>
        <v>1</v>
      </c>
      <c r="I120" s="5"/>
      <c r="J120" s="13"/>
      <c r="K120" s="4"/>
      <c r="L120" s="11"/>
      <c r="M120" s="11"/>
      <c r="N120" s="11"/>
      <c r="O120" s="11"/>
      <c r="P120" s="12" t="s">
        <v>25</v>
      </c>
      <c r="Q120" s="13">
        <f>'Parameter unit'!AF7</f>
        <v>0</v>
      </c>
      <c r="R120" s="11"/>
      <c r="S120" s="37"/>
      <c r="T120" s="37"/>
      <c r="U120" s="37"/>
      <c r="V120" s="37"/>
      <c r="W120" s="11"/>
      <c r="X120" s="11"/>
      <c r="Y120" s="11"/>
      <c r="Z120" s="11"/>
      <c r="AA120" s="11"/>
      <c r="AB120" s="4"/>
      <c r="AC120" s="4"/>
      <c r="AD120" s="4"/>
      <c r="AE120" s="4"/>
      <c r="AF120" s="4"/>
      <c r="AG120" s="4"/>
      <c r="AH120" s="4"/>
      <c r="AI120" s="4"/>
      <c r="AJ120" s="4"/>
      <c r="AK120" s="4"/>
      <c r="AL120" s="4"/>
      <c r="AM120" s="4"/>
      <c r="AN120" s="4"/>
      <c r="AO120" s="4"/>
      <c r="AP120" s="4"/>
      <c r="AQ120" s="4"/>
      <c r="AR120" s="4"/>
      <c r="AS120" s="4"/>
      <c r="AT120" s="4"/>
      <c r="AU120" s="4"/>
      <c r="AV120" s="4"/>
    </row>
    <row r="121" spans="1:49" ht="12.5" x14ac:dyDescent="0.25">
      <c r="A121" s="4" t="str">
        <f ca="1">IFERROR(__xludf.DUMMYFUNCTION("""COMPUTED_VALUE"""),"Yes")</f>
        <v>Yes</v>
      </c>
      <c r="B121" s="4" t="str">
        <f ca="1">IFERROR(__xludf.DUMMYFUNCTION("""COMPUTED_VALUE"""),"No")</f>
        <v>No</v>
      </c>
      <c r="C121" s="96"/>
      <c r="D121" s="96"/>
      <c r="E121" s="96"/>
      <c r="F121" s="96"/>
      <c r="G121" s="5" t="str">
        <f ca="1">IFERROR(__xludf.DUMMYFUNCTION("""COMPUTED_VALUE"""),"Parameter source")</f>
        <v>Parameter source</v>
      </c>
      <c r="H121" s="5" t="str">
        <f ca="1">IFERROR(__xludf.DUMMYFUNCTION("""COMPUTED_VALUE"""),"0:1")</f>
        <v>0:1</v>
      </c>
      <c r="I121" s="5"/>
      <c r="J121" s="13"/>
      <c r="K121" s="4"/>
      <c r="L121" s="11"/>
      <c r="M121" s="11"/>
      <c r="N121" s="11"/>
      <c r="O121" s="11"/>
      <c r="P121" s="12" t="s">
        <v>25</v>
      </c>
      <c r="Q121" s="13">
        <f>'Parameter unit'!AF8</f>
        <v>0</v>
      </c>
      <c r="R121" s="11"/>
      <c r="S121" s="37"/>
      <c r="T121" s="37"/>
      <c r="U121" s="37"/>
      <c r="V121" s="37"/>
      <c r="W121" s="11"/>
      <c r="X121" s="11"/>
      <c r="Y121" s="11"/>
      <c r="Z121" s="11"/>
      <c r="AA121" s="11"/>
      <c r="AB121" s="4"/>
      <c r="AC121" s="4"/>
      <c r="AD121" s="4"/>
      <c r="AE121" s="4"/>
      <c r="AF121" s="4"/>
      <c r="AG121" s="4"/>
      <c r="AH121" s="4"/>
      <c r="AI121" s="4"/>
      <c r="AJ121" s="4"/>
      <c r="AK121" s="4"/>
      <c r="AL121" s="4"/>
      <c r="AM121" s="4"/>
      <c r="AN121" s="4"/>
      <c r="AO121" s="4"/>
      <c r="AP121" s="4"/>
      <c r="AQ121" s="4"/>
      <c r="AR121" s="4"/>
      <c r="AS121" s="4"/>
      <c r="AT121" s="4"/>
      <c r="AU121" s="4"/>
      <c r="AV121" s="4"/>
    </row>
    <row r="122" spans="1:49" ht="12.5" x14ac:dyDescent="0.25">
      <c r="A122" s="4" t="str">
        <f ca="1">IFERROR(__xludf.DUMMYFUNCTION("""COMPUTED_VALUE"""),"Yes")</f>
        <v>Yes</v>
      </c>
      <c r="B122" s="4" t="str">
        <f ca="1">IFERROR(__xludf.DUMMYFUNCTION("""COMPUTED_VALUE"""),"No")</f>
        <v>No</v>
      </c>
      <c r="C122" s="96"/>
      <c r="D122" s="96"/>
      <c r="E122" s="96"/>
      <c r="F122" s="96"/>
      <c r="G122" s="5" t="str">
        <f ca="1">IFERROR(__xludf.DUMMYFUNCTION("""COMPUTED_VALUE"""),"Parameter subject")</f>
        <v>Parameter subject</v>
      </c>
      <c r="H122" s="5" t="str">
        <f ca="1">IFERROR(__xludf.DUMMYFUNCTION("""COMPUTED_VALUE"""),"0:1")</f>
        <v>0:1</v>
      </c>
      <c r="I122" s="5"/>
      <c r="J122" s="13"/>
      <c r="K122" s="4"/>
      <c r="L122" s="11"/>
      <c r="M122" s="11"/>
      <c r="N122" s="11"/>
      <c r="O122" s="11"/>
      <c r="P122" s="12" t="s">
        <v>25</v>
      </c>
      <c r="Q122" s="13">
        <f>'Parameter unit'!AF9</f>
        <v>0</v>
      </c>
      <c r="R122" s="11"/>
      <c r="S122" s="37"/>
      <c r="T122" s="37"/>
      <c r="U122" s="37"/>
      <c r="V122" s="37"/>
      <c r="W122" s="11"/>
      <c r="X122" s="11"/>
      <c r="Y122" s="11"/>
      <c r="Z122" s="11"/>
      <c r="AA122" s="11"/>
      <c r="AB122" s="4"/>
      <c r="AC122" s="4"/>
      <c r="AD122" s="4"/>
      <c r="AE122" s="4"/>
      <c r="AF122" s="4"/>
      <c r="AG122" s="4"/>
      <c r="AH122" s="4"/>
      <c r="AI122" s="4"/>
      <c r="AJ122" s="4"/>
      <c r="AK122" s="4"/>
      <c r="AL122" s="4"/>
      <c r="AM122" s="4"/>
      <c r="AN122" s="4"/>
      <c r="AO122" s="4"/>
      <c r="AP122" s="4"/>
      <c r="AQ122" s="4"/>
      <c r="AR122" s="4"/>
      <c r="AS122" s="4"/>
      <c r="AT122" s="4"/>
      <c r="AU122" s="4"/>
      <c r="AV122" s="4"/>
    </row>
    <row r="123" spans="1:49" ht="12.5" x14ac:dyDescent="0.25">
      <c r="A123" s="4" t="str">
        <f ca="1">IFERROR(__xludf.DUMMYFUNCTION("""COMPUTED_VALUE"""),"Yes")</f>
        <v>Yes</v>
      </c>
      <c r="B123" s="4" t="str">
        <f ca="1">IFERROR(__xludf.DUMMYFUNCTION("""COMPUTED_VALUE"""),"No")</f>
        <v>No</v>
      </c>
      <c r="C123" s="96"/>
      <c r="D123" s="96"/>
      <c r="E123" s="96"/>
      <c r="F123" s="96"/>
      <c r="G123" s="5" t="str">
        <f ca="1">IFERROR(__xludf.DUMMYFUNCTION("""COMPUTED_VALUE"""),"Parameter distribution")</f>
        <v>Parameter distribution</v>
      </c>
      <c r="H123" s="5" t="str">
        <f ca="1">IFERROR(__xludf.DUMMYFUNCTION("""COMPUTED_VALUE"""),"0:1")</f>
        <v>0:1</v>
      </c>
      <c r="I123" s="5"/>
      <c r="J123" s="13"/>
      <c r="K123" s="4"/>
      <c r="L123" s="11"/>
      <c r="M123" s="11"/>
      <c r="N123" s="11"/>
      <c r="O123" s="11"/>
      <c r="P123" s="12" t="s">
        <v>25</v>
      </c>
      <c r="Q123" s="13">
        <f>'Parameter unit'!AF10</f>
        <v>0</v>
      </c>
      <c r="R123" s="11"/>
      <c r="S123" s="37"/>
      <c r="T123" s="37"/>
      <c r="U123" s="37"/>
      <c r="V123" s="37"/>
      <c r="W123" s="11"/>
      <c r="X123" s="11"/>
      <c r="Y123" s="11"/>
      <c r="Z123" s="11"/>
      <c r="AA123" s="11"/>
      <c r="AB123" s="4"/>
      <c r="AC123" s="4"/>
      <c r="AD123" s="4"/>
      <c r="AE123" s="4"/>
      <c r="AF123" s="4"/>
      <c r="AG123" s="4"/>
      <c r="AH123" s="4"/>
      <c r="AI123" s="4"/>
      <c r="AJ123" s="4"/>
      <c r="AK123" s="4"/>
      <c r="AL123" s="4"/>
      <c r="AM123" s="4"/>
      <c r="AN123" s="4"/>
      <c r="AO123" s="4"/>
      <c r="AP123" s="4"/>
      <c r="AQ123" s="4"/>
      <c r="AR123" s="4"/>
      <c r="AS123" s="4"/>
      <c r="AT123" s="4"/>
      <c r="AU123" s="4"/>
      <c r="AV123" s="4"/>
    </row>
    <row r="124" spans="1:49" ht="12.5" x14ac:dyDescent="0.25">
      <c r="A124" s="4" t="str">
        <f ca="1">IFERROR(__xludf.DUMMYFUNCTION("""COMPUTED_VALUE"""),"Yes")</f>
        <v>Yes</v>
      </c>
      <c r="B124" s="4" t="str">
        <f ca="1">IFERROR(__xludf.DUMMYFUNCTION("""COMPUTED_VALUE"""),"No")</f>
        <v>No</v>
      </c>
      <c r="C124" s="96"/>
      <c r="D124" s="96"/>
      <c r="E124" s="96"/>
      <c r="F124" s="96"/>
      <c r="G124" s="7"/>
      <c r="H124" s="5"/>
      <c r="I124" s="5"/>
      <c r="J124" s="13"/>
      <c r="K124" s="4"/>
      <c r="L124" s="11"/>
      <c r="M124" s="11"/>
      <c r="N124" s="11"/>
      <c r="O124" s="11"/>
      <c r="P124" s="12" t="s">
        <v>25</v>
      </c>
      <c r="Q124" s="13">
        <f>'Parameter unit'!AF11</f>
        <v>0</v>
      </c>
      <c r="R124" s="11"/>
      <c r="S124" s="37"/>
      <c r="T124" s="37"/>
      <c r="U124" s="37"/>
      <c r="V124" s="37"/>
      <c r="W124" s="11"/>
      <c r="X124" s="11"/>
      <c r="Y124" s="11"/>
      <c r="Z124" s="11"/>
      <c r="AA124" s="11"/>
      <c r="AB124" s="4"/>
      <c r="AC124" s="4"/>
      <c r="AD124" s="4"/>
      <c r="AE124" s="4"/>
      <c r="AF124" s="4"/>
      <c r="AG124" s="4"/>
      <c r="AH124" s="4"/>
      <c r="AI124" s="4"/>
      <c r="AJ124" s="4"/>
      <c r="AK124" s="4"/>
      <c r="AL124" s="4"/>
      <c r="AM124" s="4"/>
      <c r="AN124" s="4"/>
      <c r="AO124" s="4"/>
      <c r="AP124" s="4"/>
      <c r="AQ124" s="4"/>
      <c r="AR124" s="4"/>
      <c r="AS124" s="4"/>
      <c r="AT124" s="4"/>
      <c r="AU124" s="4"/>
      <c r="AV124" s="4"/>
    </row>
    <row r="125" spans="1:49" ht="12.5" x14ac:dyDescent="0.25">
      <c r="A125" s="4" t="str">
        <f ca="1">IFERROR(__xludf.DUMMYFUNCTION("""COMPUTED_VALUE"""),"Yes")</f>
        <v>Yes</v>
      </c>
      <c r="B125" s="4" t="str">
        <f ca="1">IFERROR(__xludf.DUMMYFUNCTION("""COMPUTED_VALUE"""),"No")</f>
        <v>No</v>
      </c>
      <c r="C125" s="96"/>
      <c r="D125" s="96"/>
      <c r="E125" s="96"/>
      <c r="F125" s="96"/>
      <c r="G125" s="7"/>
      <c r="H125" s="5"/>
      <c r="I125" s="5"/>
      <c r="J125" s="13"/>
      <c r="K125" s="4"/>
      <c r="L125" s="11"/>
      <c r="M125" s="11"/>
      <c r="N125" s="11"/>
      <c r="O125" s="11"/>
      <c r="P125" s="12" t="s">
        <v>25</v>
      </c>
      <c r="Q125" s="13">
        <f>'Parameter unit'!AF12</f>
        <v>0</v>
      </c>
      <c r="R125" s="11"/>
      <c r="S125" s="37"/>
      <c r="T125" s="37"/>
      <c r="U125" s="37"/>
      <c r="V125" s="37"/>
      <c r="W125" s="11"/>
      <c r="X125" s="11"/>
      <c r="Y125" s="11"/>
      <c r="Z125" s="11"/>
      <c r="AA125" s="11"/>
      <c r="AB125" s="4"/>
      <c r="AC125" s="4"/>
      <c r="AD125" s="4"/>
      <c r="AE125" s="4"/>
      <c r="AF125" s="4"/>
      <c r="AG125" s="4"/>
      <c r="AH125" s="4"/>
      <c r="AI125" s="4"/>
      <c r="AJ125" s="4"/>
      <c r="AK125" s="4"/>
      <c r="AL125" s="4"/>
      <c r="AM125" s="4"/>
      <c r="AN125" s="4"/>
      <c r="AO125" s="4"/>
      <c r="AP125" s="4"/>
      <c r="AQ125" s="4"/>
      <c r="AR125" s="4"/>
      <c r="AS125" s="4"/>
      <c r="AT125" s="4"/>
      <c r="AU125" s="4"/>
      <c r="AV125" s="4"/>
    </row>
    <row r="126" spans="1:49" ht="12.5" x14ac:dyDescent="0.25">
      <c r="A126" s="4" t="str">
        <f ca="1">IFERROR(__xludf.DUMMYFUNCTION("""COMPUTED_VALUE"""),"Yes")</f>
        <v>Yes</v>
      </c>
      <c r="B126" s="4" t="str">
        <f ca="1">IFERROR(__xludf.DUMMYFUNCTION("""COMPUTED_VALUE"""),"No")</f>
        <v>No</v>
      </c>
      <c r="C126" s="96"/>
      <c r="D126" s="96"/>
      <c r="E126" s="96"/>
      <c r="F126" s="96"/>
      <c r="G126" s="5" t="str">
        <f ca="1">IFERROR(__xludf.DUMMYFUNCTION("""COMPUTED_VALUE"""),"Parameter value")</f>
        <v>Parameter value</v>
      </c>
      <c r="H126" s="5" t="str">
        <f ca="1">IFERROR(__xludf.DUMMYFUNCTION("""COMPUTED_VALUE"""),"0:1")</f>
        <v>0:1</v>
      </c>
      <c r="I126" s="5"/>
      <c r="J126" s="13"/>
      <c r="K126" s="4"/>
      <c r="L126" s="11"/>
      <c r="M126" s="11"/>
      <c r="N126" s="11"/>
      <c r="O126" s="11"/>
      <c r="P126" s="12" t="s">
        <v>25</v>
      </c>
      <c r="Q126" s="13">
        <f>'Parameter unit'!AF13</f>
        <v>0</v>
      </c>
      <c r="R126" s="11"/>
      <c r="S126" s="37"/>
      <c r="T126" s="37"/>
      <c r="U126" s="37"/>
      <c r="V126" s="37"/>
      <c r="W126" s="11"/>
      <c r="X126" s="11"/>
      <c r="Y126" s="11"/>
      <c r="Z126" s="11"/>
      <c r="AA126" s="11"/>
      <c r="AB126" s="4"/>
      <c r="AC126" s="4"/>
      <c r="AD126" s="4"/>
      <c r="AE126" s="4"/>
      <c r="AF126" s="4"/>
      <c r="AG126" s="4"/>
      <c r="AH126" s="4"/>
      <c r="AI126" s="4"/>
      <c r="AJ126" s="4"/>
      <c r="AK126" s="4"/>
      <c r="AL126" s="4"/>
      <c r="AM126" s="4"/>
      <c r="AN126" s="4"/>
      <c r="AO126" s="4"/>
      <c r="AP126" s="4"/>
      <c r="AQ126" s="4"/>
      <c r="AR126" s="4"/>
      <c r="AS126" s="4"/>
      <c r="AT126" s="4"/>
      <c r="AU126" s="4"/>
      <c r="AV126" s="4"/>
    </row>
    <row r="127" spans="1:49" ht="12.5" x14ac:dyDescent="0.25">
      <c r="A127" s="4" t="str">
        <f ca="1">IFERROR(__xludf.DUMMYFUNCTION("""COMPUTED_VALUE"""),"Yes")</f>
        <v>Yes</v>
      </c>
      <c r="B127" s="4" t="str">
        <f ca="1">IFERROR(__xludf.DUMMYFUNCTION("""COMPUTED_VALUE"""),"No")</f>
        <v>No</v>
      </c>
      <c r="C127" s="96"/>
      <c r="D127" s="96"/>
      <c r="E127" s="96"/>
      <c r="F127" s="96"/>
      <c r="G127" s="5" t="str">
        <f ca="1">IFERROR(__xludf.DUMMYFUNCTION("""COMPUTED_VALUE"""),"Parameter Reference")</f>
        <v>Parameter Reference</v>
      </c>
      <c r="H127" s="5" t="str">
        <f ca="1">IFERROR(__xludf.DUMMYFUNCTION("""COMPUTED_VALUE"""),"0:1")</f>
        <v>0:1</v>
      </c>
      <c r="I127" s="5"/>
      <c r="J127" s="13"/>
      <c r="K127" s="4"/>
      <c r="L127" s="11"/>
      <c r="M127" s="11"/>
      <c r="N127" s="11"/>
      <c r="O127" s="11"/>
      <c r="P127" s="12" t="s">
        <v>25</v>
      </c>
      <c r="Q127" s="13">
        <f>'Parameter unit'!AF14</f>
        <v>0</v>
      </c>
      <c r="R127" s="11"/>
      <c r="S127" s="37"/>
      <c r="T127" s="37"/>
      <c r="U127" s="37"/>
      <c r="V127" s="37"/>
      <c r="W127" s="11"/>
      <c r="X127" s="11"/>
      <c r="Y127" s="11"/>
      <c r="Z127" s="11"/>
      <c r="AA127" s="11"/>
      <c r="AB127" s="4"/>
      <c r="AC127" s="4"/>
      <c r="AD127" s="4"/>
      <c r="AE127" s="4"/>
      <c r="AF127" s="4"/>
      <c r="AG127" s="4"/>
      <c r="AH127" s="4"/>
      <c r="AI127" s="4"/>
      <c r="AJ127" s="4"/>
      <c r="AK127" s="4"/>
      <c r="AL127" s="4"/>
      <c r="AM127" s="4"/>
      <c r="AN127" s="4"/>
      <c r="AO127" s="4"/>
      <c r="AP127" s="4"/>
      <c r="AQ127" s="4"/>
      <c r="AR127" s="4"/>
      <c r="AS127" s="4"/>
      <c r="AT127" s="4"/>
      <c r="AU127" s="4"/>
      <c r="AV127" s="4"/>
    </row>
    <row r="128" spans="1:49" ht="12.5" x14ac:dyDescent="0.25">
      <c r="A128" s="4" t="str">
        <f ca="1">IFERROR(__xludf.DUMMYFUNCTION("""COMPUTED_VALUE"""),"Yes")</f>
        <v>Yes</v>
      </c>
      <c r="B128" s="4" t="str">
        <f ca="1">IFERROR(__xludf.DUMMYFUNCTION("""COMPUTED_VALUE"""),"No")</f>
        <v>No</v>
      </c>
      <c r="C128" s="96"/>
      <c r="D128" s="96"/>
      <c r="E128" s="96"/>
      <c r="F128" s="96"/>
      <c r="G128" s="5" t="str">
        <f ca="1">IFERROR(__xludf.DUMMYFUNCTION("""COMPUTED_VALUE"""),"Parameter variability subject")</f>
        <v>Parameter variability subject</v>
      </c>
      <c r="H128" s="5" t="str">
        <f ca="1">IFERROR(__xludf.DUMMYFUNCTION("""COMPUTED_VALUE"""),"0:1")</f>
        <v>0:1</v>
      </c>
      <c r="I128" s="5"/>
      <c r="J128" s="13"/>
      <c r="K128" s="4"/>
      <c r="L128" s="11"/>
      <c r="M128" s="11"/>
      <c r="N128" s="11"/>
      <c r="O128" s="11"/>
      <c r="P128" s="12" t="s">
        <v>25</v>
      </c>
      <c r="Q128" s="13">
        <f>'Parameter unit'!AF15</f>
        <v>0</v>
      </c>
      <c r="R128" s="11"/>
      <c r="S128" s="37"/>
      <c r="T128" s="37"/>
      <c r="U128" s="37"/>
      <c r="V128" s="37"/>
      <c r="W128" s="11"/>
      <c r="X128" s="11"/>
      <c r="Y128" s="11"/>
      <c r="Z128" s="11"/>
      <c r="AA128" s="11"/>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x14ac:dyDescent="0.25">
      <c r="A129" s="4" t="str">
        <f ca="1">IFERROR(__xludf.DUMMYFUNCTION("""COMPUTED_VALUE"""),"Yes")</f>
        <v>Yes</v>
      </c>
      <c r="B129" s="4" t="str">
        <f ca="1">IFERROR(__xludf.DUMMYFUNCTION("""COMPUTED_VALUE"""),"No")</f>
        <v>No</v>
      </c>
      <c r="C129" s="96"/>
      <c r="D129" s="96"/>
      <c r="E129" s="96"/>
      <c r="F129" s="96"/>
      <c r="G129" s="5" t="str">
        <f ca="1">IFERROR(__xludf.DUMMYFUNCTION("""COMPUTED_VALUE"""),"Parameter value max")</f>
        <v>Parameter value max</v>
      </c>
      <c r="H129" s="5" t="str">
        <f ca="1">IFERROR(__xludf.DUMMYFUNCTION("""COMPUTED_VALUE"""),"0:1")</f>
        <v>0:1</v>
      </c>
      <c r="I129" s="5"/>
      <c r="J129" s="13"/>
      <c r="K129" s="4"/>
      <c r="L129" s="11"/>
      <c r="M129" s="11"/>
      <c r="N129" s="11"/>
      <c r="O129" s="11"/>
      <c r="P129" s="12" t="s">
        <v>25</v>
      </c>
      <c r="Q129" s="13">
        <f>'Parameter unit'!AF16</f>
        <v>0</v>
      </c>
      <c r="R129" s="11"/>
      <c r="S129" s="37"/>
      <c r="T129" s="37"/>
      <c r="U129" s="37"/>
      <c r="V129" s="37"/>
      <c r="W129" s="11"/>
      <c r="X129" s="11"/>
      <c r="Y129" s="11"/>
      <c r="Z129" s="11"/>
      <c r="AA129" s="11"/>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x14ac:dyDescent="0.25">
      <c r="A130" s="4" t="str">
        <f ca="1">IFERROR(__xludf.DUMMYFUNCTION("""COMPUTED_VALUE"""),"Yes")</f>
        <v>Yes</v>
      </c>
      <c r="B130" s="4" t="str">
        <f ca="1">IFERROR(__xludf.DUMMYFUNCTION("""COMPUTED_VALUE"""),"No")</f>
        <v>No</v>
      </c>
      <c r="C130" s="96"/>
      <c r="D130" s="96"/>
      <c r="E130" s="96"/>
      <c r="F130" s="96"/>
      <c r="G130" s="5" t="str">
        <f ca="1">IFERROR(__xludf.DUMMYFUNCTION("""COMPUTED_VALUE"""),"Parameter value min")</f>
        <v>Parameter value min</v>
      </c>
      <c r="H130" s="5" t="str">
        <f ca="1">IFERROR(__xludf.DUMMYFUNCTION("""COMPUTED_VALUE"""),"0:1")</f>
        <v>0:1</v>
      </c>
      <c r="I130" s="5"/>
      <c r="J130" s="13"/>
      <c r="K130" s="4"/>
      <c r="L130" s="4"/>
      <c r="M130" s="4"/>
      <c r="N130" s="4"/>
    </row>
    <row r="131" spans="1:48" ht="12.5" x14ac:dyDescent="0.25">
      <c r="A131" s="4" t="str">
        <f ca="1">IFERROR(__xludf.DUMMYFUNCTION("""COMPUTED_VALUE"""),"Yes")</f>
        <v>Yes</v>
      </c>
      <c r="B131" s="4" t="str">
        <f ca="1">IFERROR(__xludf.DUMMYFUNCTION("""COMPUTED_VALUE"""),"No")</f>
        <v>No</v>
      </c>
      <c r="C131" s="96"/>
      <c r="D131" s="96"/>
      <c r="E131" s="96"/>
      <c r="F131" s="96"/>
      <c r="G131" s="5" t="str">
        <f ca="1">IFERROR(__xludf.DUMMYFUNCTION("""COMPUTED_VALUE"""),"Parameter error")</f>
        <v>Parameter error</v>
      </c>
      <c r="H131" s="5" t="str">
        <f ca="1">IFERROR(__xludf.DUMMYFUNCTION("""COMPUTED_VALUE"""),"0:1")</f>
        <v>0:1</v>
      </c>
      <c r="I131" s="5"/>
      <c r="J131" s="13"/>
      <c r="K131" s="4"/>
      <c r="L131" s="4"/>
      <c r="M131" s="4"/>
      <c r="N131" s="4"/>
    </row>
    <row r="132" spans="1:48" ht="12.5" x14ac:dyDescent="0.25">
      <c r="A132" s="4"/>
      <c r="B132" s="4"/>
      <c r="C132" s="79"/>
      <c r="D132" s="5"/>
      <c r="E132" s="5"/>
      <c r="F132" s="5"/>
      <c r="G132" s="5"/>
      <c r="H132" s="5"/>
      <c r="I132" s="5"/>
      <c r="J132" s="5"/>
      <c r="K132" s="4"/>
      <c r="L132" s="4"/>
      <c r="M132" s="4"/>
      <c r="N132" s="4"/>
    </row>
    <row r="133" spans="1:48" ht="12.5" x14ac:dyDescent="0.25">
      <c r="A133" s="4"/>
      <c r="B133" s="4"/>
      <c r="C133" s="79"/>
      <c r="D133" s="5"/>
      <c r="E133" s="5"/>
      <c r="F133" s="5"/>
      <c r="G133" s="5"/>
      <c r="H133" s="5"/>
      <c r="I133" s="5"/>
      <c r="J133" s="5"/>
      <c r="K133" s="4"/>
      <c r="L133" s="4"/>
      <c r="M133" s="4"/>
      <c r="N133" s="4"/>
    </row>
    <row r="134" spans="1:48" ht="12.5" x14ac:dyDescent="0.25">
      <c r="A134" s="4"/>
      <c r="B134" s="4"/>
      <c r="C134" s="79"/>
      <c r="D134" s="5"/>
      <c r="E134" s="5"/>
      <c r="F134" s="5"/>
      <c r="G134" s="5"/>
      <c r="H134" s="5"/>
      <c r="I134" s="5"/>
      <c r="J134" s="5"/>
      <c r="K134" s="4"/>
      <c r="L134" s="4"/>
      <c r="M134" s="4"/>
      <c r="N134" s="4"/>
    </row>
    <row r="135" spans="1:48" ht="12.5" x14ac:dyDescent="0.25">
      <c r="A135" s="4"/>
      <c r="B135" s="4"/>
      <c r="C135" s="79"/>
      <c r="D135" s="5"/>
      <c r="E135" s="5"/>
      <c r="F135" s="5"/>
      <c r="G135" s="5"/>
      <c r="H135" s="5"/>
      <c r="I135" s="5"/>
      <c r="J135" s="5"/>
      <c r="K135" s="4"/>
      <c r="L135" s="4"/>
      <c r="M135" s="4"/>
      <c r="N135" s="4"/>
    </row>
    <row r="136" spans="1:48" ht="12.5" x14ac:dyDescent="0.25">
      <c r="A136" s="4"/>
      <c r="B136" s="4"/>
      <c r="C136" s="79"/>
      <c r="D136" s="5"/>
      <c r="E136" s="5"/>
      <c r="F136" s="5"/>
      <c r="G136" s="5"/>
      <c r="H136" s="5"/>
      <c r="I136" s="5"/>
      <c r="J136" s="5"/>
      <c r="K136" s="4"/>
      <c r="L136" s="4"/>
      <c r="M136" s="4"/>
      <c r="N136" s="4"/>
    </row>
    <row r="137" spans="1:48" ht="12.5" x14ac:dyDescent="0.25">
      <c r="A137" s="4"/>
      <c r="B137" s="4"/>
      <c r="C137" s="79"/>
      <c r="D137" s="5"/>
      <c r="E137" s="5"/>
      <c r="F137" s="5"/>
      <c r="G137" s="5"/>
      <c r="H137" s="5"/>
      <c r="I137" s="5"/>
      <c r="J137" s="5"/>
      <c r="K137" s="4"/>
      <c r="L137" s="4"/>
      <c r="M137" s="4"/>
      <c r="N137" s="4"/>
    </row>
    <row r="138" spans="1:48" ht="12.5" x14ac:dyDescent="0.25">
      <c r="A138" s="4"/>
      <c r="B138" s="4"/>
      <c r="C138" s="79"/>
      <c r="D138" s="5"/>
      <c r="E138" s="5"/>
      <c r="F138" s="5"/>
      <c r="G138" s="5"/>
      <c r="H138" s="5"/>
      <c r="I138" s="5"/>
      <c r="J138" s="5"/>
      <c r="K138" s="4"/>
      <c r="L138" s="4"/>
      <c r="M138" s="4"/>
      <c r="N138" s="4"/>
    </row>
    <row r="139" spans="1:48" ht="12.5" x14ac:dyDescent="0.25">
      <c r="A139" s="4"/>
      <c r="B139" s="4"/>
      <c r="C139" s="79"/>
      <c r="D139" s="5"/>
      <c r="E139" s="5"/>
      <c r="F139" s="5"/>
      <c r="G139" s="5"/>
      <c r="H139" s="5"/>
      <c r="I139" s="5"/>
      <c r="J139" s="5"/>
      <c r="K139" s="4"/>
      <c r="L139" s="4"/>
      <c r="M139" s="4"/>
      <c r="N139" s="4"/>
    </row>
    <row r="140" spans="1:48" ht="12.5" x14ac:dyDescent="0.25">
      <c r="A140" s="4"/>
      <c r="B140" s="4"/>
      <c r="C140" s="79"/>
      <c r="D140" s="5"/>
      <c r="E140" s="5"/>
      <c r="F140" s="5"/>
      <c r="G140" s="5"/>
      <c r="H140" s="5"/>
      <c r="I140" s="5"/>
      <c r="J140" s="5"/>
      <c r="K140" s="4"/>
      <c r="L140" s="4"/>
      <c r="M140" s="4"/>
      <c r="N140" s="4"/>
    </row>
    <row r="141" spans="1:48" ht="12.5" x14ac:dyDescent="0.25">
      <c r="A141" s="4"/>
      <c r="B141" s="4"/>
      <c r="C141" s="79"/>
      <c r="D141" s="5"/>
      <c r="E141" s="5"/>
      <c r="F141" s="5"/>
      <c r="G141" s="5"/>
      <c r="H141" s="5"/>
      <c r="I141" s="5"/>
      <c r="J141" s="5"/>
      <c r="K141" s="4"/>
      <c r="L141" s="4"/>
      <c r="M141" s="4"/>
      <c r="N141" s="4"/>
    </row>
    <row r="142" spans="1:48" ht="12.5" x14ac:dyDescent="0.25">
      <c r="A142" s="4"/>
      <c r="B142" s="4"/>
      <c r="C142" s="79"/>
      <c r="D142" s="5"/>
      <c r="E142" s="5"/>
      <c r="F142" s="5"/>
      <c r="G142" s="5"/>
      <c r="H142" s="5"/>
      <c r="I142" s="5"/>
      <c r="J142" s="5"/>
      <c r="K142" s="4"/>
      <c r="L142" s="4"/>
      <c r="M142" s="4"/>
      <c r="N142" s="4"/>
    </row>
    <row r="143" spans="1:48" ht="12.5" x14ac:dyDescent="0.25">
      <c r="A143" s="4"/>
      <c r="B143" s="4"/>
      <c r="C143" s="79"/>
      <c r="D143" s="5"/>
      <c r="E143" s="5"/>
      <c r="F143" s="5"/>
      <c r="G143" s="5"/>
      <c r="H143" s="5"/>
      <c r="I143" s="5"/>
      <c r="J143" s="5"/>
      <c r="K143" s="4"/>
      <c r="L143" s="4"/>
      <c r="M143" s="4"/>
      <c r="N143" s="4"/>
    </row>
    <row r="144" spans="1:48" ht="12.5" x14ac:dyDescent="0.25">
      <c r="A144" s="4"/>
      <c r="B144" s="4"/>
      <c r="C144" s="79"/>
      <c r="D144" s="5"/>
      <c r="E144" s="5"/>
      <c r="F144" s="5"/>
      <c r="G144" s="5"/>
      <c r="H144" s="5"/>
      <c r="I144" s="5"/>
      <c r="J144" s="5"/>
      <c r="K144" s="4"/>
      <c r="L144" s="4"/>
      <c r="M144" s="4"/>
      <c r="N144" s="4"/>
    </row>
    <row r="145" spans="1:14" ht="12.5" x14ac:dyDescent="0.25">
      <c r="A145" s="4"/>
      <c r="B145" s="4"/>
      <c r="C145" s="79"/>
      <c r="D145" s="5"/>
      <c r="E145" s="5"/>
      <c r="F145" s="5"/>
      <c r="G145" s="5"/>
      <c r="H145" s="5"/>
      <c r="I145" s="5"/>
      <c r="J145" s="5"/>
      <c r="K145" s="4"/>
      <c r="L145" s="4"/>
      <c r="M145" s="4"/>
      <c r="N145" s="4"/>
    </row>
    <row r="146" spans="1:14" ht="12.5" x14ac:dyDescent="0.25">
      <c r="A146" s="4"/>
      <c r="B146" s="4"/>
      <c r="C146" s="79"/>
      <c r="D146" s="5"/>
      <c r="E146" s="5"/>
      <c r="F146" s="5"/>
      <c r="G146" s="5"/>
      <c r="H146" s="5"/>
      <c r="I146" s="5"/>
      <c r="J146" s="5"/>
      <c r="K146" s="4"/>
      <c r="L146" s="4"/>
      <c r="M146" s="4"/>
      <c r="N146" s="4"/>
    </row>
    <row r="147" spans="1:14" ht="12.5" x14ac:dyDescent="0.25">
      <c r="A147" s="4"/>
      <c r="B147" s="4"/>
      <c r="C147" s="79"/>
      <c r="D147" s="5"/>
      <c r="E147" s="5"/>
      <c r="F147" s="5"/>
      <c r="G147" s="5"/>
      <c r="H147" s="5"/>
      <c r="I147" s="5"/>
      <c r="J147" s="5"/>
      <c r="K147" s="4"/>
      <c r="L147" s="4"/>
      <c r="M147" s="4"/>
      <c r="N147" s="4"/>
    </row>
    <row r="148" spans="1:14" ht="12.5" x14ac:dyDescent="0.25">
      <c r="A148" s="4"/>
      <c r="B148" s="4"/>
      <c r="C148" s="79"/>
      <c r="D148" s="5"/>
      <c r="E148" s="5"/>
      <c r="F148" s="5"/>
      <c r="G148" s="5"/>
      <c r="H148" s="5"/>
      <c r="I148" s="5"/>
      <c r="J148" s="5"/>
      <c r="K148" s="4"/>
      <c r="L148" s="4"/>
      <c r="M148" s="4"/>
      <c r="N148" s="4"/>
    </row>
    <row r="149" spans="1:14" ht="12.5" x14ac:dyDescent="0.25">
      <c r="A149" s="4"/>
      <c r="B149" s="4"/>
      <c r="C149" s="79"/>
      <c r="D149" s="5"/>
      <c r="E149" s="5"/>
      <c r="F149" s="5"/>
      <c r="G149" s="5"/>
      <c r="H149" s="5"/>
      <c r="I149" s="5"/>
      <c r="J149" s="5"/>
      <c r="K149" s="4"/>
      <c r="L149" s="4"/>
      <c r="M149" s="4"/>
      <c r="N149" s="4"/>
    </row>
    <row r="150" spans="1:14" ht="12.5" x14ac:dyDescent="0.25">
      <c r="A150" s="4"/>
      <c r="B150" s="4"/>
      <c r="C150" s="79"/>
      <c r="D150" s="5"/>
      <c r="E150" s="5"/>
      <c r="F150" s="5"/>
      <c r="G150" s="5"/>
      <c r="H150" s="5"/>
      <c r="I150" s="5"/>
      <c r="J150" s="5"/>
      <c r="K150" s="4"/>
      <c r="L150" s="4"/>
      <c r="M150" s="4"/>
      <c r="N150" s="4"/>
    </row>
    <row r="151" spans="1:14" ht="12.5" x14ac:dyDescent="0.25">
      <c r="A151" s="4"/>
      <c r="B151" s="4"/>
      <c r="C151" s="79"/>
      <c r="D151" s="5"/>
      <c r="E151" s="5"/>
      <c r="F151" s="5"/>
      <c r="G151" s="5"/>
      <c r="H151" s="5"/>
      <c r="I151" s="5"/>
      <c r="J151" s="5"/>
      <c r="K151" s="4"/>
      <c r="L151" s="4"/>
      <c r="M151" s="4"/>
      <c r="N151" s="4"/>
    </row>
    <row r="152" spans="1:14" ht="12.5" x14ac:dyDescent="0.25">
      <c r="A152" s="4"/>
      <c r="B152" s="4"/>
      <c r="C152" s="79"/>
      <c r="D152" s="5"/>
      <c r="E152" s="5"/>
      <c r="F152" s="5"/>
      <c r="G152" s="5"/>
      <c r="H152" s="5"/>
      <c r="I152" s="5"/>
      <c r="J152" s="5"/>
      <c r="K152" s="4"/>
      <c r="L152" s="4"/>
      <c r="M152" s="4"/>
      <c r="N152" s="4"/>
    </row>
    <row r="153" spans="1:14" ht="12.5" x14ac:dyDescent="0.25">
      <c r="A153" s="4"/>
      <c r="B153" s="4"/>
      <c r="C153" s="79"/>
      <c r="D153" s="5"/>
      <c r="E153" s="5"/>
      <c r="F153" s="5"/>
      <c r="G153" s="5"/>
      <c r="H153" s="5"/>
      <c r="I153" s="5"/>
      <c r="J153" s="5"/>
      <c r="K153" s="4"/>
      <c r="L153" s="4"/>
      <c r="M153" s="4"/>
      <c r="N153" s="4"/>
    </row>
    <row r="154" spans="1:14" ht="12.5" x14ac:dyDescent="0.25">
      <c r="A154" s="4"/>
      <c r="B154" s="4"/>
      <c r="C154" s="79"/>
      <c r="D154" s="5"/>
      <c r="E154" s="5"/>
      <c r="F154" s="5"/>
      <c r="G154" s="5"/>
      <c r="H154" s="5"/>
      <c r="I154" s="5"/>
      <c r="J154" s="5"/>
      <c r="K154" s="4"/>
      <c r="L154" s="4"/>
      <c r="M154" s="4"/>
      <c r="N154" s="4"/>
    </row>
    <row r="155" spans="1:14" ht="12.5" x14ac:dyDescent="0.25">
      <c r="A155" s="4"/>
      <c r="B155" s="4"/>
      <c r="C155" s="79"/>
      <c r="D155" s="5"/>
      <c r="E155" s="5"/>
      <c r="F155" s="5"/>
      <c r="G155" s="5"/>
      <c r="H155" s="5"/>
      <c r="I155" s="5"/>
      <c r="J155" s="5"/>
      <c r="K155" s="4"/>
      <c r="L155" s="4"/>
      <c r="M155" s="4"/>
      <c r="N155" s="4"/>
    </row>
    <row r="156" spans="1:14" ht="12.5" x14ac:dyDescent="0.25">
      <c r="A156" s="4"/>
      <c r="B156" s="4"/>
      <c r="C156" s="79"/>
      <c r="D156" s="5"/>
      <c r="E156" s="5"/>
      <c r="F156" s="5"/>
      <c r="G156" s="5"/>
      <c r="H156" s="5"/>
      <c r="I156" s="5"/>
      <c r="J156" s="5"/>
      <c r="K156" s="4"/>
      <c r="L156" s="4"/>
      <c r="M156" s="4"/>
      <c r="N156" s="4"/>
    </row>
    <row r="157" spans="1:14" ht="12.5" x14ac:dyDescent="0.25">
      <c r="A157" s="4"/>
      <c r="B157" s="4"/>
      <c r="C157" s="79"/>
      <c r="D157" s="5"/>
      <c r="E157" s="5"/>
      <c r="F157" s="5"/>
      <c r="G157" s="5"/>
      <c r="H157" s="5"/>
      <c r="I157" s="5"/>
      <c r="J157" s="5"/>
      <c r="K157" s="4"/>
      <c r="L157" s="4"/>
      <c r="M157" s="4"/>
      <c r="N157" s="4"/>
    </row>
    <row r="158" spans="1:14" ht="12.5" x14ac:dyDescent="0.25">
      <c r="A158" s="4"/>
      <c r="B158" s="4"/>
      <c r="C158" s="79"/>
      <c r="D158" s="5"/>
      <c r="E158" s="5"/>
      <c r="F158" s="5"/>
      <c r="G158" s="5"/>
      <c r="H158" s="5"/>
      <c r="I158" s="5"/>
      <c r="J158" s="5"/>
      <c r="K158" s="4"/>
      <c r="L158" s="4"/>
      <c r="M158" s="4"/>
      <c r="N158" s="4"/>
    </row>
    <row r="159" spans="1:14" ht="12.5" x14ac:dyDescent="0.25">
      <c r="A159" s="4"/>
      <c r="B159" s="4"/>
      <c r="C159" s="79"/>
      <c r="D159" s="5"/>
      <c r="E159" s="5"/>
      <c r="F159" s="5"/>
      <c r="G159" s="5"/>
      <c r="H159" s="5"/>
      <c r="I159" s="5"/>
      <c r="J159" s="5"/>
      <c r="K159" s="4"/>
      <c r="L159" s="4"/>
      <c r="M159" s="4"/>
      <c r="N159" s="4"/>
    </row>
    <row r="160" spans="1:14" ht="12.5" x14ac:dyDescent="0.25">
      <c r="A160" s="4"/>
      <c r="B160" s="4"/>
      <c r="C160" s="79"/>
      <c r="D160" s="5"/>
      <c r="E160" s="5"/>
      <c r="F160" s="5"/>
      <c r="G160" s="5"/>
      <c r="H160" s="5"/>
      <c r="I160" s="5"/>
      <c r="J160" s="5"/>
      <c r="K160" s="4"/>
      <c r="L160" s="4"/>
      <c r="M160" s="4"/>
      <c r="N160" s="4"/>
    </row>
    <row r="161" spans="1:14" ht="12.5" x14ac:dyDescent="0.25">
      <c r="A161" s="4"/>
      <c r="B161" s="4"/>
      <c r="C161" s="79"/>
      <c r="D161" s="5"/>
      <c r="E161" s="5"/>
      <c r="F161" s="5"/>
      <c r="G161" s="5"/>
      <c r="H161" s="5"/>
      <c r="I161" s="5"/>
      <c r="J161" s="5"/>
      <c r="K161" s="4"/>
      <c r="L161" s="4"/>
      <c r="M161" s="4"/>
      <c r="N161" s="4"/>
    </row>
    <row r="162" spans="1:14" ht="12.5" x14ac:dyDescent="0.25">
      <c r="A162" s="4"/>
      <c r="B162" s="4"/>
      <c r="C162" s="79"/>
      <c r="D162" s="5"/>
      <c r="E162" s="5"/>
      <c r="F162" s="5"/>
      <c r="G162" s="5"/>
      <c r="H162" s="5"/>
      <c r="I162" s="5"/>
      <c r="J162" s="5"/>
      <c r="K162" s="4"/>
      <c r="L162" s="4"/>
      <c r="M162" s="4"/>
      <c r="N162" s="4"/>
    </row>
    <row r="163" spans="1:14" ht="12.5" x14ac:dyDescent="0.25">
      <c r="A163" s="4"/>
      <c r="B163" s="4"/>
      <c r="C163" s="79"/>
      <c r="D163" s="5"/>
      <c r="E163" s="5"/>
      <c r="F163" s="5"/>
      <c r="G163" s="5"/>
      <c r="H163" s="5"/>
      <c r="I163" s="5"/>
      <c r="J163" s="5"/>
      <c r="K163" s="4"/>
      <c r="L163" s="4"/>
      <c r="M163" s="4"/>
      <c r="N163" s="4"/>
    </row>
    <row r="164" spans="1:14" ht="12.5" x14ac:dyDescent="0.25">
      <c r="A164" s="4"/>
      <c r="B164" s="4"/>
      <c r="C164" s="79"/>
      <c r="D164" s="5"/>
      <c r="E164" s="5"/>
      <c r="F164" s="5"/>
      <c r="G164" s="5"/>
      <c r="H164" s="5"/>
      <c r="I164" s="5"/>
      <c r="J164" s="5"/>
      <c r="K164" s="4"/>
      <c r="L164" s="4"/>
      <c r="M164" s="4"/>
      <c r="N164" s="4"/>
    </row>
    <row r="165" spans="1:14" ht="12.5" x14ac:dyDescent="0.25">
      <c r="A165" s="4"/>
      <c r="B165" s="4"/>
      <c r="C165" s="79"/>
      <c r="D165" s="5"/>
      <c r="E165" s="5"/>
      <c r="F165" s="5"/>
      <c r="G165" s="5"/>
      <c r="H165" s="5"/>
      <c r="I165" s="5"/>
      <c r="J165" s="5"/>
      <c r="K165" s="4"/>
      <c r="L165" s="4"/>
      <c r="M165" s="4"/>
      <c r="N165" s="4"/>
    </row>
    <row r="166" spans="1:14" ht="12.5" x14ac:dyDescent="0.25">
      <c r="A166" s="4"/>
      <c r="B166" s="4"/>
      <c r="C166" s="79"/>
      <c r="D166" s="5"/>
      <c r="E166" s="5"/>
      <c r="F166" s="5"/>
      <c r="G166" s="5"/>
      <c r="H166" s="5"/>
      <c r="I166" s="5"/>
      <c r="J166" s="5"/>
      <c r="K166" s="4"/>
      <c r="L166" s="4"/>
      <c r="M166" s="4"/>
      <c r="N166" s="4"/>
    </row>
    <row r="167" spans="1:14" ht="12.5" x14ac:dyDescent="0.25">
      <c r="A167" s="4"/>
      <c r="B167" s="4"/>
      <c r="C167" s="79"/>
      <c r="D167" s="5"/>
      <c r="E167" s="5"/>
      <c r="F167" s="5"/>
      <c r="G167" s="5"/>
      <c r="H167" s="5"/>
      <c r="I167" s="5"/>
      <c r="J167" s="5"/>
      <c r="K167" s="4"/>
      <c r="L167" s="4"/>
      <c r="M167" s="4"/>
      <c r="N167" s="4"/>
    </row>
    <row r="168" spans="1:14" ht="12.5" x14ac:dyDescent="0.25">
      <c r="A168" s="4"/>
      <c r="B168" s="4"/>
      <c r="C168" s="79"/>
      <c r="D168" s="5"/>
      <c r="E168" s="5"/>
      <c r="F168" s="5"/>
      <c r="G168" s="5"/>
      <c r="H168" s="5"/>
      <c r="I168" s="5"/>
      <c r="J168" s="5"/>
      <c r="K168" s="4"/>
      <c r="L168" s="4"/>
      <c r="M168" s="4"/>
      <c r="N168" s="4"/>
    </row>
    <row r="169" spans="1:14" ht="12.5" x14ac:dyDescent="0.25">
      <c r="A169" s="4"/>
      <c r="B169" s="4"/>
      <c r="C169" s="79"/>
      <c r="D169" s="5"/>
      <c r="E169" s="5"/>
      <c r="F169" s="5"/>
      <c r="G169" s="5"/>
      <c r="H169" s="5"/>
      <c r="I169" s="5"/>
      <c r="J169" s="5"/>
      <c r="K169" s="4"/>
      <c r="L169" s="4"/>
      <c r="M169" s="4"/>
      <c r="N169" s="4"/>
    </row>
    <row r="170" spans="1:14" ht="12.5" x14ac:dyDescent="0.25">
      <c r="A170" s="4"/>
      <c r="B170" s="4"/>
      <c r="C170" s="79"/>
      <c r="D170" s="5"/>
      <c r="E170" s="5"/>
      <c r="F170" s="5"/>
      <c r="G170" s="5"/>
      <c r="H170" s="5"/>
      <c r="I170" s="5"/>
      <c r="J170" s="5"/>
      <c r="K170" s="4"/>
      <c r="L170" s="4"/>
      <c r="M170" s="4"/>
      <c r="N170" s="4"/>
    </row>
    <row r="171" spans="1:14" ht="12.5" x14ac:dyDescent="0.25">
      <c r="A171" s="4"/>
      <c r="B171" s="4"/>
      <c r="C171" s="79"/>
      <c r="D171" s="5"/>
      <c r="E171" s="5"/>
      <c r="F171" s="5"/>
      <c r="G171" s="5"/>
      <c r="H171" s="5"/>
      <c r="I171" s="5"/>
      <c r="J171" s="5"/>
      <c r="K171" s="4"/>
      <c r="L171" s="4"/>
      <c r="M171" s="4"/>
      <c r="N171" s="4"/>
    </row>
    <row r="172" spans="1:14" ht="12.5" x14ac:dyDescent="0.25">
      <c r="A172" s="4"/>
      <c r="B172" s="4"/>
      <c r="C172" s="79"/>
      <c r="D172" s="5"/>
      <c r="E172" s="5"/>
      <c r="F172" s="5"/>
      <c r="G172" s="5"/>
      <c r="H172" s="5"/>
      <c r="I172" s="5"/>
      <c r="J172" s="5"/>
      <c r="K172" s="4"/>
      <c r="L172" s="4"/>
      <c r="M172" s="4"/>
      <c r="N172" s="4"/>
    </row>
    <row r="173" spans="1:14" ht="12.5" x14ac:dyDescent="0.25">
      <c r="A173" s="4"/>
      <c r="B173" s="4"/>
      <c r="C173" s="79"/>
      <c r="D173" s="5"/>
      <c r="E173" s="5"/>
      <c r="F173" s="5"/>
      <c r="G173" s="5"/>
      <c r="H173" s="5"/>
      <c r="I173" s="5"/>
      <c r="J173" s="5"/>
      <c r="K173" s="4"/>
      <c r="L173" s="4"/>
      <c r="M173" s="4"/>
      <c r="N173" s="4"/>
    </row>
    <row r="174" spans="1:14" ht="12.5" x14ac:dyDescent="0.25">
      <c r="A174" s="4"/>
      <c r="B174" s="4"/>
      <c r="C174" s="79"/>
      <c r="D174" s="5"/>
      <c r="E174" s="5"/>
      <c r="F174" s="5"/>
      <c r="G174" s="5"/>
      <c r="H174" s="5"/>
      <c r="I174" s="5"/>
      <c r="J174" s="5"/>
      <c r="K174" s="4"/>
      <c r="L174" s="4"/>
      <c r="M174" s="4"/>
      <c r="N174" s="4"/>
    </row>
    <row r="175" spans="1:14" ht="12.5" x14ac:dyDescent="0.25">
      <c r="A175" s="4"/>
      <c r="B175" s="4"/>
      <c r="C175" s="79"/>
      <c r="D175" s="5"/>
      <c r="E175" s="5"/>
      <c r="F175" s="5"/>
      <c r="G175" s="5"/>
      <c r="H175" s="5"/>
      <c r="I175" s="5"/>
      <c r="J175" s="5"/>
      <c r="K175" s="4"/>
      <c r="L175" s="4"/>
      <c r="M175" s="4"/>
      <c r="N175" s="4"/>
    </row>
    <row r="176" spans="1:14" ht="12.5" x14ac:dyDescent="0.25">
      <c r="A176" s="4"/>
      <c r="B176" s="4"/>
      <c r="C176" s="79"/>
      <c r="D176" s="5"/>
      <c r="E176" s="5"/>
      <c r="F176" s="5"/>
      <c r="G176" s="5"/>
      <c r="H176" s="5"/>
      <c r="I176" s="5"/>
      <c r="J176" s="5"/>
      <c r="K176" s="4"/>
      <c r="L176" s="4"/>
      <c r="M176" s="4"/>
      <c r="N176" s="4"/>
    </row>
    <row r="177" spans="1:14" ht="12.5" x14ac:dyDescent="0.25">
      <c r="A177" s="4"/>
      <c r="B177" s="4"/>
      <c r="C177" s="79"/>
      <c r="D177" s="5"/>
      <c r="E177" s="5"/>
      <c r="F177" s="5"/>
      <c r="G177" s="5"/>
      <c r="H177" s="5"/>
      <c r="I177" s="5"/>
      <c r="J177" s="5"/>
      <c r="K177" s="4"/>
      <c r="L177" s="4"/>
      <c r="M177" s="4"/>
      <c r="N177" s="4"/>
    </row>
    <row r="178" spans="1:14" ht="12.5" x14ac:dyDescent="0.25">
      <c r="A178" s="4"/>
      <c r="B178" s="4"/>
      <c r="C178" s="79"/>
      <c r="D178" s="5"/>
      <c r="E178" s="5"/>
      <c r="F178" s="5"/>
      <c r="G178" s="5"/>
      <c r="H178" s="5"/>
      <c r="I178" s="5"/>
      <c r="J178" s="5"/>
      <c r="K178" s="4"/>
      <c r="L178" s="4"/>
      <c r="M178" s="4"/>
      <c r="N178" s="4"/>
    </row>
    <row r="179" spans="1:14" ht="12.5" x14ac:dyDescent="0.25">
      <c r="A179" s="4"/>
      <c r="B179" s="4"/>
      <c r="C179" s="79"/>
      <c r="D179" s="5"/>
      <c r="E179" s="5"/>
      <c r="F179" s="5"/>
      <c r="G179" s="5"/>
      <c r="H179" s="5"/>
      <c r="I179" s="5"/>
      <c r="J179" s="5"/>
      <c r="K179" s="4"/>
      <c r="L179" s="4"/>
      <c r="M179" s="4"/>
      <c r="N179" s="4"/>
    </row>
    <row r="180" spans="1:14" ht="12.5" x14ac:dyDescent="0.25">
      <c r="A180" s="4"/>
      <c r="B180" s="4"/>
      <c r="C180" s="79"/>
      <c r="D180" s="5"/>
      <c r="E180" s="5"/>
      <c r="F180" s="5"/>
      <c r="G180" s="5"/>
      <c r="H180" s="5"/>
      <c r="I180" s="5"/>
      <c r="J180" s="5"/>
      <c r="K180" s="4"/>
      <c r="L180" s="4"/>
      <c r="M180" s="4"/>
      <c r="N180" s="4"/>
    </row>
    <row r="181" spans="1:14" ht="12.5" x14ac:dyDescent="0.25">
      <c r="A181" s="4"/>
      <c r="B181" s="4"/>
      <c r="C181" s="79"/>
      <c r="D181" s="5"/>
      <c r="E181" s="5"/>
      <c r="F181" s="5"/>
      <c r="G181" s="5"/>
      <c r="H181" s="5"/>
      <c r="I181" s="5"/>
      <c r="J181" s="5"/>
      <c r="K181" s="4"/>
      <c r="L181" s="4"/>
      <c r="M181" s="4"/>
      <c r="N181" s="4"/>
    </row>
    <row r="182" spans="1:14" ht="12.5" x14ac:dyDescent="0.25">
      <c r="A182" s="4"/>
      <c r="B182" s="4"/>
      <c r="C182" s="79"/>
      <c r="D182" s="5"/>
      <c r="E182" s="5"/>
      <c r="F182" s="5"/>
      <c r="G182" s="5"/>
      <c r="H182" s="5"/>
      <c r="I182" s="5"/>
      <c r="J182" s="5"/>
      <c r="K182" s="4"/>
      <c r="L182" s="4"/>
      <c r="M182" s="4"/>
      <c r="N182" s="4"/>
    </row>
    <row r="183" spans="1:14" ht="12.5" x14ac:dyDescent="0.25">
      <c r="A183" s="4"/>
      <c r="B183" s="4"/>
      <c r="C183" s="79"/>
      <c r="D183" s="5"/>
      <c r="E183" s="5"/>
      <c r="F183" s="5"/>
      <c r="G183" s="5"/>
      <c r="H183" s="5"/>
      <c r="I183" s="5"/>
      <c r="J183" s="5"/>
      <c r="K183" s="4"/>
      <c r="L183" s="4"/>
      <c r="M183" s="4"/>
      <c r="N183" s="4"/>
    </row>
    <row r="184" spans="1:14" ht="12.5" x14ac:dyDescent="0.25">
      <c r="A184" s="4"/>
      <c r="B184" s="4"/>
      <c r="C184" s="79"/>
      <c r="D184" s="5"/>
      <c r="E184" s="5"/>
      <c r="F184" s="5"/>
      <c r="G184" s="5"/>
      <c r="H184" s="5"/>
      <c r="I184" s="5"/>
      <c r="J184" s="5"/>
      <c r="K184" s="4"/>
      <c r="L184" s="4"/>
      <c r="M184" s="4"/>
      <c r="N184" s="4"/>
    </row>
    <row r="185" spans="1:14" ht="12.5" x14ac:dyDescent="0.25">
      <c r="A185" s="4"/>
      <c r="B185" s="4"/>
      <c r="C185" s="79"/>
      <c r="D185" s="5"/>
      <c r="E185" s="5"/>
      <c r="F185" s="5"/>
      <c r="G185" s="5"/>
      <c r="H185" s="5"/>
      <c r="I185" s="5"/>
      <c r="J185" s="5"/>
      <c r="K185" s="4"/>
      <c r="L185" s="4"/>
      <c r="M185" s="4"/>
      <c r="N185" s="4"/>
    </row>
    <row r="186" spans="1:14" ht="12.5" x14ac:dyDescent="0.25">
      <c r="A186" s="4"/>
      <c r="B186" s="4"/>
      <c r="C186" s="79"/>
      <c r="D186" s="5"/>
      <c r="E186" s="5"/>
      <c r="F186" s="5"/>
      <c r="G186" s="5"/>
      <c r="H186" s="5"/>
      <c r="I186" s="5"/>
      <c r="J186" s="5"/>
      <c r="K186" s="4"/>
      <c r="L186" s="4"/>
      <c r="M186" s="4"/>
      <c r="N186" s="4"/>
    </row>
    <row r="187" spans="1:14" ht="12.5" x14ac:dyDescent="0.25">
      <c r="A187" s="4"/>
      <c r="B187" s="4"/>
      <c r="C187" s="79"/>
      <c r="D187" s="5"/>
      <c r="E187" s="5"/>
      <c r="F187" s="5"/>
      <c r="G187" s="5"/>
      <c r="H187" s="5"/>
      <c r="I187" s="5"/>
      <c r="J187" s="5"/>
      <c r="K187" s="4"/>
      <c r="L187" s="4"/>
      <c r="M187" s="4"/>
      <c r="N187" s="4"/>
    </row>
    <row r="188" spans="1:14" ht="12.5" x14ac:dyDescent="0.25">
      <c r="A188" s="4"/>
      <c r="B188" s="4"/>
      <c r="C188" s="79"/>
      <c r="D188" s="5"/>
      <c r="E188" s="5"/>
      <c r="F188" s="5"/>
      <c r="G188" s="5"/>
      <c r="H188" s="5"/>
      <c r="I188" s="5"/>
      <c r="J188" s="5"/>
      <c r="K188" s="4"/>
      <c r="L188" s="4"/>
      <c r="M188" s="4"/>
      <c r="N188" s="4"/>
    </row>
    <row r="189" spans="1:14" ht="12.5" x14ac:dyDescent="0.25">
      <c r="A189" s="4"/>
      <c r="B189" s="4"/>
      <c r="C189" s="79"/>
      <c r="D189" s="5"/>
      <c r="E189" s="5"/>
      <c r="F189" s="5"/>
      <c r="G189" s="5"/>
      <c r="H189" s="5"/>
      <c r="I189" s="5"/>
      <c r="J189" s="5"/>
      <c r="K189" s="4"/>
      <c r="L189" s="4"/>
      <c r="M189" s="4"/>
      <c r="N189" s="4"/>
    </row>
    <row r="190" spans="1:14" ht="12.5" x14ac:dyDescent="0.25">
      <c r="A190" s="4"/>
      <c r="B190" s="4"/>
      <c r="C190" s="79"/>
      <c r="D190" s="5"/>
      <c r="E190" s="5"/>
      <c r="F190" s="5"/>
      <c r="G190" s="5"/>
      <c r="H190" s="5"/>
      <c r="I190" s="5"/>
      <c r="J190" s="5"/>
      <c r="K190" s="4"/>
      <c r="L190" s="4"/>
      <c r="M190" s="4"/>
      <c r="N190" s="4"/>
    </row>
    <row r="191" spans="1:14" ht="12.5" x14ac:dyDescent="0.25">
      <c r="A191" s="4"/>
      <c r="B191" s="4"/>
      <c r="C191" s="79"/>
      <c r="D191" s="5"/>
      <c r="E191" s="5"/>
      <c r="F191" s="5"/>
      <c r="G191" s="5"/>
      <c r="H191" s="5"/>
      <c r="I191" s="5"/>
      <c r="J191" s="5"/>
      <c r="K191" s="4"/>
      <c r="L191" s="4"/>
      <c r="M191" s="4"/>
      <c r="N191" s="4"/>
    </row>
    <row r="192" spans="1:14" ht="12.5" x14ac:dyDescent="0.25">
      <c r="A192" s="4"/>
      <c r="B192" s="4"/>
      <c r="C192" s="79"/>
      <c r="D192" s="5"/>
      <c r="E192" s="5"/>
      <c r="F192" s="5"/>
      <c r="G192" s="5"/>
      <c r="H192" s="5"/>
      <c r="I192" s="5"/>
      <c r="J192" s="5"/>
      <c r="K192" s="4"/>
      <c r="L192" s="4"/>
      <c r="M192" s="4"/>
      <c r="N192" s="4"/>
    </row>
    <row r="193" spans="1:14" ht="12.5" x14ac:dyDescent="0.25">
      <c r="A193" s="4"/>
      <c r="B193" s="4"/>
      <c r="C193" s="79"/>
      <c r="D193" s="5"/>
      <c r="E193" s="5"/>
      <c r="F193" s="5"/>
      <c r="G193" s="5"/>
      <c r="H193" s="5"/>
      <c r="I193" s="5"/>
      <c r="J193" s="5"/>
      <c r="K193" s="4"/>
      <c r="L193" s="4"/>
      <c r="M193" s="4"/>
      <c r="N193" s="4"/>
    </row>
    <row r="194" spans="1:14" ht="12.5" x14ac:dyDescent="0.25">
      <c r="A194" s="4"/>
      <c r="B194" s="4"/>
      <c r="C194" s="79"/>
      <c r="D194" s="5"/>
      <c r="E194" s="5"/>
      <c r="F194" s="5"/>
      <c r="G194" s="5"/>
      <c r="H194" s="5"/>
      <c r="I194" s="5"/>
      <c r="J194" s="5"/>
      <c r="K194" s="4"/>
      <c r="L194" s="4"/>
      <c r="M194" s="4"/>
      <c r="N194" s="4"/>
    </row>
    <row r="195" spans="1:14" ht="12.5" x14ac:dyDescent="0.25">
      <c r="A195" s="4"/>
      <c r="B195" s="4"/>
      <c r="C195" s="79"/>
      <c r="D195" s="5"/>
      <c r="E195" s="5"/>
      <c r="F195" s="5"/>
      <c r="G195" s="5"/>
      <c r="H195" s="5"/>
      <c r="I195" s="5"/>
      <c r="J195" s="5"/>
      <c r="K195" s="4"/>
      <c r="L195" s="4"/>
      <c r="M195" s="4"/>
      <c r="N195" s="4"/>
    </row>
    <row r="196" spans="1:14" ht="12.5" x14ac:dyDescent="0.25">
      <c r="A196" s="4"/>
      <c r="B196" s="4"/>
      <c r="C196" s="79"/>
      <c r="D196" s="5"/>
      <c r="E196" s="5"/>
      <c r="F196" s="5"/>
      <c r="G196" s="5"/>
      <c r="H196" s="5"/>
      <c r="I196" s="5"/>
      <c r="J196" s="5"/>
      <c r="K196" s="4"/>
      <c r="L196" s="4"/>
      <c r="M196" s="4"/>
      <c r="N196" s="4"/>
    </row>
    <row r="197" spans="1:14" ht="12.5" x14ac:dyDescent="0.25">
      <c r="A197" s="4"/>
      <c r="B197" s="4"/>
      <c r="C197" s="79"/>
      <c r="D197" s="5"/>
      <c r="E197" s="5"/>
      <c r="F197" s="5"/>
      <c r="G197" s="5"/>
      <c r="H197" s="5"/>
      <c r="I197" s="5"/>
      <c r="J197" s="5"/>
      <c r="K197" s="4"/>
      <c r="L197" s="4"/>
      <c r="M197" s="4"/>
      <c r="N197" s="4"/>
    </row>
    <row r="198" spans="1:14" ht="12.5" x14ac:dyDescent="0.25">
      <c r="A198" s="4"/>
      <c r="B198" s="4"/>
      <c r="C198" s="79"/>
      <c r="D198" s="5"/>
      <c r="E198" s="5"/>
      <c r="F198" s="5"/>
      <c r="G198" s="5"/>
      <c r="H198" s="5"/>
      <c r="I198" s="5"/>
      <c r="J198" s="5"/>
      <c r="K198" s="4"/>
      <c r="L198" s="4"/>
      <c r="M198" s="4"/>
      <c r="N198" s="4"/>
    </row>
    <row r="199" spans="1:14" ht="12.5" x14ac:dyDescent="0.25">
      <c r="A199" s="4"/>
      <c r="B199" s="4"/>
      <c r="C199" s="79"/>
      <c r="D199" s="5"/>
      <c r="E199" s="5"/>
      <c r="F199" s="5"/>
      <c r="G199" s="5"/>
      <c r="H199" s="5"/>
      <c r="I199" s="5"/>
      <c r="J199" s="5"/>
      <c r="K199" s="4"/>
      <c r="L199" s="4"/>
      <c r="M199" s="4"/>
      <c r="N199" s="4"/>
    </row>
    <row r="200" spans="1:14" ht="12.5" x14ac:dyDescent="0.25">
      <c r="A200" s="4"/>
      <c r="B200" s="4"/>
      <c r="C200" s="79"/>
      <c r="D200" s="5"/>
      <c r="E200" s="5"/>
      <c r="F200" s="5"/>
      <c r="G200" s="5"/>
      <c r="H200" s="5"/>
      <c r="I200" s="5"/>
      <c r="J200" s="5"/>
      <c r="K200" s="4"/>
      <c r="L200" s="4"/>
      <c r="M200" s="4"/>
      <c r="N200" s="4"/>
    </row>
    <row r="201" spans="1:14" ht="12.5" x14ac:dyDescent="0.25">
      <c r="A201" s="4"/>
      <c r="B201" s="4"/>
      <c r="C201" s="79"/>
      <c r="D201" s="5"/>
      <c r="E201" s="5"/>
      <c r="F201" s="5"/>
      <c r="G201" s="5"/>
      <c r="H201" s="5"/>
      <c r="I201" s="5"/>
      <c r="J201" s="5"/>
      <c r="K201" s="4"/>
      <c r="L201" s="4"/>
      <c r="M201" s="4"/>
      <c r="N201" s="4"/>
    </row>
    <row r="202" spans="1:14" ht="12.5" x14ac:dyDescent="0.25">
      <c r="A202" s="4"/>
      <c r="B202" s="4"/>
      <c r="C202" s="79"/>
      <c r="D202" s="5"/>
      <c r="E202" s="5"/>
      <c r="F202" s="5"/>
      <c r="G202" s="5"/>
      <c r="H202" s="5"/>
      <c r="I202" s="5"/>
      <c r="J202" s="5"/>
      <c r="K202" s="4"/>
      <c r="L202" s="4"/>
      <c r="M202" s="4"/>
      <c r="N202" s="4"/>
    </row>
    <row r="203" spans="1:14" ht="12.5" x14ac:dyDescent="0.25">
      <c r="A203" s="4"/>
      <c r="B203" s="4"/>
      <c r="C203" s="79"/>
      <c r="D203" s="5"/>
      <c r="E203" s="5"/>
      <c r="F203" s="5"/>
      <c r="G203" s="5"/>
      <c r="H203" s="5"/>
      <c r="I203" s="5"/>
      <c r="J203" s="5"/>
      <c r="K203" s="4"/>
      <c r="L203" s="4"/>
      <c r="M203" s="4"/>
      <c r="N203" s="4"/>
    </row>
    <row r="204" spans="1:14" ht="12.5" x14ac:dyDescent="0.25">
      <c r="A204" s="4"/>
      <c r="B204" s="4"/>
      <c r="C204" s="79"/>
      <c r="D204" s="5"/>
      <c r="E204" s="5"/>
      <c r="F204" s="5"/>
      <c r="G204" s="5"/>
      <c r="H204" s="5"/>
      <c r="I204" s="5"/>
      <c r="J204" s="5"/>
      <c r="K204" s="4"/>
      <c r="L204" s="4"/>
      <c r="M204" s="4"/>
      <c r="N204" s="4"/>
    </row>
    <row r="205" spans="1:14" ht="12.5" x14ac:dyDescent="0.25">
      <c r="A205" s="4"/>
      <c r="B205" s="4"/>
      <c r="C205" s="79"/>
      <c r="D205" s="5"/>
      <c r="E205" s="5"/>
      <c r="F205" s="5"/>
      <c r="G205" s="5"/>
      <c r="H205" s="5"/>
      <c r="I205" s="5"/>
      <c r="J205" s="5"/>
      <c r="K205" s="4"/>
      <c r="L205" s="4"/>
      <c r="M205" s="4"/>
      <c r="N205" s="4"/>
    </row>
    <row r="206" spans="1:14" ht="12.5" x14ac:dyDescent="0.25">
      <c r="A206" s="4"/>
      <c r="B206" s="4"/>
      <c r="C206" s="79"/>
      <c r="D206" s="5"/>
      <c r="E206" s="5"/>
      <c r="F206" s="5"/>
      <c r="G206" s="5"/>
      <c r="H206" s="5"/>
      <c r="I206" s="5"/>
      <c r="J206" s="5"/>
      <c r="K206" s="4"/>
      <c r="L206" s="4"/>
      <c r="M206" s="4"/>
      <c r="N206" s="4"/>
    </row>
    <row r="207" spans="1:14" ht="12.5" x14ac:dyDescent="0.25">
      <c r="A207" s="4"/>
      <c r="B207" s="4"/>
      <c r="C207" s="79"/>
      <c r="D207" s="5"/>
      <c r="E207" s="5"/>
      <c r="F207" s="5"/>
      <c r="G207" s="5"/>
      <c r="H207" s="5"/>
      <c r="I207" s="5"/>
      <c r="J207" s="5"/>
      <c r="K207" s="4"/>
      <c r="L207" s="4"/>
      <c r="M207" s="4"/>
      <c r="N207" s="4"/>
    </row>
    <row r="208" spans="1:14" ht="12.5" x14ac:dyDescent="0.25">
      <c r="A208" s="4"/>
      <c r="B208" s="4"/>
      <c r="C208" s="79"/>
      <c r="D208" s="5"/>
      <c r="E208" s="5"/>
      <c r="F208" s="5"/>
      <c r="G208" s="5"/>
      <c r="H208" s="5"/>
      <c r="I208" s="5"/>
      <c r="J208" s="5"/>
      <c r="K208" s="4"/>
      <c r="L208" s="4"/>
      <c r="M208" s="4"/>
      <c r="N208" s="4"/>
    </row>
    <row r="209" spans="1:14" ht="12.5" x14ac:dyDescent="0.25">
      <c r="A209" s="4"/>
      <c r="B209" s="4"/>
      <c r="C209" s="79"/>
      <c r="D209" s="5"/>
      <c r="E209" s="5"/>
      <c r="F209" s="5"/>
      <c r="G209" s="5"/>
      <c r="H209" s="5"/>
      <c r="I209" s="5"/>
      <c r="J209" s="5"/>
      <c r="K209" s="4"/>
      <c r="L209" s="4"/>
      <c r="M209" s="4"/>
      <c r="N209" s="4"/>
    </row>
    <row r="210" spans="1:14" ht="12.5" x14ac:dyDescent="0.25">
      <c r="A210" s="4"/>
      <c r="B210" s="4"/>
      <c r="C210" s="79"/>
      <c r="D210" s="5"/>
      <c r="E210" s="5"/>
      <c r="F210" s="5"/>
      <c r="G210" s="5"/>
      <c r="H210" s="5"/>
      <c r="I210" s="5"/>
      <c r="J210" s="5"/>
      <c r="K210" s="4"/>
      <c r="L210" s="4"/>
      <c r="M210" s="4"/>
      <c r="N210" s="4"/>
    </row>
    <row r="211" spans="1:14" ht="12.5" x14ac:dyDescent="0.25">
      <c r="A211" s="4"/>
      <c r="B211" s="4"/>
      <c r="C211" s="79"/>
      <c r="D211" s="5"/>
      <c r="E211" s="5"/>
      <c r="F211" s="5"/>
      <c r="G211" s="5"/>
      <c r="H211" s="5"/>
      <c r="I211" s="5"/>
      <c r="J211" s="5"/>
      <c r="K211" s="4"/>
      <c r="L211" s="4"/>
      <c r="M211" s="4"/>
      <c r="N211" s="4"/>
    </row>
    <row r="212" spans="1:14" ht="12.5" x14ac:dyDescent="0.25">
      <c r="A212" s="4"/>
      <c r="B212" s="4"/>
      <c r="C212" s="79"/>
      <c r="D212" s="5"/>
      <c r="E212" s="5"/>
      <c r="F212" s="5"/>
      <c r="G212" s="5"/>
      <c r="H212" s="5"/>
      <c r="I212" s="5"/>
      <c r="J212" s="5"/>
      <c r="K212" s="4"/>
      <c r="L212" s="4"/>
      <c r="M212" s="4"/>
      <c r="N212" s="4"/>
    </row>
    <row r="213" spans="1:14" ht="12.5" x14ac:dyDescent="0.25">
      <c r="A213" s="4"/>
      <c r="B213" s="4"/>
      <c r="C213" s="79"/>
      <c r="D213" s="5"/>
      <c r="E213" s="5"/>
      <c r="F213" s="5"/>
      <c r="G213" s="5"/>
      <c r="H213" s="5"/>
      <c r="I213" s="5"/>
      <c r="J213" s="5"/>
      <c r="K213" s="4"/>
      <c r="L213" s="4"/>
      <c r="M213" s="4"/>
      <c r="N213" s="4"/>
    </row>
    <row r="214" spans="1:14" ht="12.5" x14ac:dyDescent="0.25">
      <c r="A214" s="4"/>
      <c r="B214" s="4"/>
      <c r="C214" s="79"/>
      <c r="D214" s="5"/>
      <c r="E214" s="5"/>
      <c r="F214" s="5"/>
      <c r="G214" s="5"/>
      <c r="H214" s="5"/>
      <c r="I214" s="5"/>
      <c r="J214" s="5"/>
      <c r="K214" s="4"/>
      <c r="L214" s="4"/>
      <c r="M214" s="4"/>
      <c r="N214" s="4"/>
    </row>
    <row r="215" spans="1:14" ht="12.5" x14ac:dyDescent="0.25">
      <c r="A215" s="4"/>
      <c r="B215" s="4"/>
      <c r="C215" s="79"/>
      <c r="D215" s="5"/>
      <c r="E215" s="5"/>
      <c r="F215" s="5"/>
      <c r="G215" s="5"/>
      <c r="H215" s="5"/>
      <c r="I215" s="5"/>
      <c r="J215" s="5"/>
      <c r="K215" s="4"/>
      <c r="L215" s="4"/>
      <c r="M215" s="4"/>
      <c r="N215" s="4"/>
    </row>
    <row r="216" spans="1:14" ht="12.5" x14ac:dyDescent="0.25">
      <c r="A216" s="4"/>
      <c r="B216" s="4"/>
      <c r="C216" s="79"/>
      <c r="D216" s="5"/>
      <c r="E216" s="5"/>
      <c r="F216" s="5"/>
      <c r="G216" s="5"/>
      <c r="H216" s="5"/>
      <c r="I216" s="5"/>
      <c r="J216" s="5"/>
      <c r="K216" s="4"/>
      <c r="L216" s="4"/>
      <c r="M216" s="4"/>
      <c r="N216" s="4"/>
    </row>
    <row r="217" spans="1:14" ht="12.5" x14ac:dyDescent="0.25">
      <c r="A217" s="4"/>
      <c r="B217" s="4"/>
      <c r="C217" s="79"/>
      <c r="D217" s="5"/>
      <c r="E217" s="5"/>
      <c r="F217" s="5"/>
      <c r="G217" s="5"/>
      <c r="H217" s="5"/>
      <c r="I217" s="5"/>
      <c r="J217" s="5"/>
      <c r="K217" s="4"/>
      <c r="L217" s="4"/>
      <c r="M217" s="4"/>
      <c r="N217" s="4"/>
    </row>
    <row r="218" spans="1:14" ht="12.5" x14ac:dyDescent="0.25">
      <c r="A218" s="4"/>
      <c r="B218" s="4"/>
      <c r="C218" s="79"/>
      <c r="D218" s="5"/>
      <c r="E218" s="5"/>
      <c r="F218" s="5"/>
      <c r="G218" s="5"/>
      <c r="H218" s="5"/>
      <c r="I218" s="5"/>
      <c r="J218" s="5"/>
      <c r="K218" s="4"/>
      <c r="L218" s="4"/>
      <c r="M218" s="4"/>
      <c r="N218" s="4"/>
    </row>
    <row r="219" spans="1:14" ht="12.5" x14ac:dyDescent="0.25">
      <c r="A219" s="4"/>
      <c r="B219" s="4"/>
      <c r="C219" s="79"/>
      <c r="D219" s="5"/>
      <c r="E219" s="5"/>
      <c r="F219" s="5"/>
      <c r="G219" s="5"/>
      <c r="H219" s="5"/>
      <c r="I219" s="5"/>
      <c r="J219" s="5"/>
      <c r="K219" s="4"/>
      <c r="L219" s="4"/>
      <c r="M219" s="4"/>
      <c r="N219" s="4"/>
    </row>
    <row r="220" spans="1:14" ht="12.5" x14ac:dyDescent="0.25">
      <c r="A220" s="4"/>
      <c r="B220" s="4"/>
      <c r="C220" s="79"/>
      <c r="D220" s="5"/>
      <c r="E220" s="5"/>
      <c r="F220" s="5"/>
      <c r="G220" s="5"/>
      <c r="H220" s="5"/>
      <c r="I220" s="5"/>
      <c r="J220" s="5"/>
      <c r="K220" s="4"/>
      <c r="L220" s="4"/>
      <c r="M220" s="4"/>
      <c r="N220" s="4"/>
    </row>
    <row r="221" spans="1:14" ht="12.5" x14ac:dyDescent="0.25">
      <c r="A221" s="4"/>
      <c r="B221" s="4"/>
      <c r="C221" s="79"/>
      <c r="D221" s="5"/>
      <c r="E221" s="5"/>
      <c r="F221" s="5"/>
      <c r="G221" s="5"/>
      <c r="H221" s="5"/>
      <c r="I221" s="5"/>
      <c r="J221" s="5"/>
      <c r="K221" s="4"/>
      <c r="L221" s="4"/>
      <c r="M221" s="4"/>
      <c r="N221" s="4"/>
    </row>
    <row r="222" spans="1:14" ht="12.5" x14ac:dyDescent="0.25">
      <c r="A222" s="4"/>
      <c r="B222" s="4"/>
      <c r="C222" s="79"/>
      <c r="D222" s="5"/>
      <c r="E222" s="5"/>
      <c r="F222" s="5"/>
      <c r="G222" s="5"/>
      <c r="H222" s="5"/>
      <c r="I222" s="5"/>
      <c r="J222" s="5"/>
      <c r="K222" s="4"/>
      <c r="L222" s="4"/>
      <c r="M222" s="4"/>
      <c r="N222" s="4"/>
    </row>
    <row r="223" spans="1:14" ht="12.5" x14ac:dyDescent="0.25">
      <c r="A223" s="4"/>
      <c r="B223" s="4"/>
      <c r="C223" s="79"/>
      <c r="D223" s="5"/>
      <c r="E223" s="5"/>
      <c r="F223" s="5"/>
      <c r="G223" s="5"/>
      <c r="H223" s="5"/>
      <c r="I223" s="5"/>
      <c r="J223" s="5"/>
      <c r="K223" s="4"/>
      <c r="L223" s="4"/>
      <c r="M223" s="4"/>
      <c r="N223" s="4"/>
    </row>
    <row r="224" spans="1:14" ht="12.5" x14ac:dyDescent="0.25">
      <c r="A224" s="4"/>
      <c r="B224" s="4"/>
      <c r="C224" s="79"/>
      <c r="D224" s="5"/>
      <c r="E224" s="5"/>
      <c r="F224" s="5"/>
      <c r="G224" s="5"/>
      <c r="H224" s="5"/>
      <c r="I224" s="5"/>
      <c r="J224" s="5"/>
      <c r="K224" s="4"/>
      <c r="L224" s="4"/>
      <c r="M224" s="4"/>
      <c r="N224" s="4"/>
    </row>
    <row r="225" spans="1:14" ht="12.5" x14ac:dyDescent="0.25">
      <c r="A225" s="4"/>
      <c r="B225" s="4"/>
      <c r="C225" s="79"/>
      <c r="D225" s="5"/>
      <c r="E225" s="5"/>
      <c r="F225" s="5"/>
      <c r="G225" s="5"/>
      <c r="H225" s="5"/>
      <c r="I225" s="5"/>
      <c r="J225" s="5"/>
      <c r="K225" s="4"/>
      <c r="L225" s="4"/>
      <c r="M225" s="4"/>
      <c r="N225" s="4"/>
    </row>
    <row r="226" spans="1:14" ht="12.5" x14ac:dyDescent="0.25">
      <c r="A226" s="4"/>
      <c r="B226" s="4"/>
      <c r="C226" s="79"/>
      <c r="D226" s="5"/>
      <c r="E226" s="5"/>
      <c r="F226" s="5"/>
      <c r="G226" s="5"/>
      <c r="H226" s="5"/>
      <c r="I226" s="5"/>
      <c r="J226" s="5"/>
      <c r="K226" s="4"/>
      <c r="L226" s="4"/>
      <c r="M226" s="4"/>
      <c r="N226" s="4"/>
    </row>
    <row r="227" spans="1:14" ht="12.5" x14ac:dyDescent="0.25">
      <c r="A227" s="4"/>
      <c r="B227" s="4"/>
      <c r="C227" s="79"/>
      <c r="D227" s="5"/>
      <c r="E227" s="5"/>
      <c r="F227" s="5"/>
      <c r="G227" s="5"/>
      <c r="H227" s="5"/>
      <c r="I227" s="5"/>
      <c r="J227" s="5"/>
      <c r="K227" s="4"/>
      <c r="L227" s="4"/>
      <c r="M227" s="4"/>
      <c r="N227" s="4"/>
    </row>
    <row r="228" spans="1:14" ht="12.5" x14ac:dyDescent="0.25">
      <c r="A228" s="4"/>
      <c r="B228" s="4"/>
      <c r="C228" s="79"/>
      <c r="D228" s="5"/>
      <c r="E228" s="5"/>
      <c r="F228" s="5"/>
      <c r="G228" s="5"/>
      <c r="H228" s="5"/>
      <c r="I228" s="5"/>
      <c r="J228" s="5"/>
      <c r="K228" s="4"/>
      <c r="L228" s="4"/>
      <c r="M228" s="4"/>
      <c r="N228" s="4"/>
    </row>
    <row r="229" spans="1:14" ht="12.5" x14ac:dyDescent="0.25">
      <c r="A229" s="4"/>
      <c r="B229" s="4"/>
      <c r="C229" s="79"/>
      <c r="D229" s="5"/>
      <c r="E229" s="5"/>
      <c r="F229" s="5"/>
      <c r="G229" s="5"/>
      <c r="H229" s="5"/>
      <c r="I229" s="5"/>
      <c r="J229" s="5"/>
      <c r="K229" s="4"/>
      <c r="L229" s="4"/>
      <c r="M229" s="4"/>
      <c r="N229" s="4"/>
    </row>
    <row r="230" spans="1:14" ht="12.5" x14ac:dyDescent="0.25">
      <c r="A230" s="4"/>
      <c r="B230" s="4"/>
      <c r="C230" s="79"/>
      <c r="D230" s="5"/>
      <c r="E230" s="5"/>
      <c r="F230" s="5"/>
      <c r="G230" s="5"/>
      <c r="H230" s="5"/>
      <c r="I230" s="5"/>
      <c r="J230" s="5"/>
      <c r="K230" s="4"/>
      <c r="L230" s="4"/>
      <c r="M230" s="4"/>
      <c r="N230" s="4"/>
    </row>
    <row r="231" spans="1:14" ht="12.5" x14ac:dyDescent="0.25">
      <c r="A231" s="4"/>
      <c r="B231" s="4"/>
      <c r="C231" s="79"/>
      <c r="D231" s="5"/>
      <c r="E231" s="5"/>
      <c r="F231" s="5"/>
      <c r="G231" s="5"/>
      <c r="H231" s="5"/>
      <c r="I231" s="5"/>
      <c r="J231" s="5"/>
      <c r="K231" s="4"/>
      <c r="L231" s="4"/>
      <c r="M231" s="4"/>
      <c r="N231" s="4"/>
    </row>
  </sheetData>
  <autoFilter ref="B1:B131"/>
  <mergeCells count="52">
    <mergeCell ref="F114:F131"/>
    <mergeCell ref="F53:F65"/>
    <mergeCell ref="F68:F69"/>
    <mergeCell ref="F12:H12"/>
    <mergeCell ref="F11:H11"/>
    <mergeCell ref="F13:F24"/>
    <mergeCell ref="F25:H25"/>
    <mergeCell ref="F26:H26"/>
    <mergeCell ref="F96:F101"/>
    <mergeCell ref="F66:H66"/>
    <mergeCell ref="F39:F52"/>
    <mergeCell ref="F28:F38"/>
    <mergeCell ref="L105:T105"/>
    <mergeCell ref="L113:AA113"/>
    <mergeCell ref="E105:E113"/>
    <mergeCell ref="F105:F113"/>
    <mergeCell ref="C2:C27"/>
    <mergeCell ref="D2:D27"/>
    <mergeCell ref="F86:F95"/>
    <mergeCell ref="F70:F85"/>
    <mergeCell ref="F7:F8"/>
    <mergeCell ref="F2:H2"/>
    <mergeCell ref="F3:H3"/>
    <mergeCell ref="E13:E24"/>
    <mergeCell ref="E7:E8"/>
    <mergeCell ref="F10:H10"/>
    <mergeCell ref="F27:H27"/>
    <mergeCell ref="F102:F104"/>
    <mergeCell ref="AB1:AP1"/>
    <mergeCell ref="L1:Z1"/>
    <mergeCell ref="L92:Q92"/>
    <mergeCell ref="L99:N99"/>
    <mergeCell ref="L86:U86"/>
    <mergeCell ref="AK28:AW28"/>
    <mergeCell ref="W28:AJ28"/>
    <mergeCell ref="L28:V28"/>
    <mergeCell ref="L12:W12"/>
    <mergeCell ref="C70:C113"/>
    <mergeCell ref="C114:C131"/>
    <mergeCell ref="E53:E65"/>
    <mergeCell ref="E39:E52"/>
    <mergeCell ref="E86:E95"/>
    <mergeCell ref="E96:E101"/>
    <mergeCell ref="D114:D131"/>
    <mergeCell ref="E114:E131"/>
    <mergeCell ref="D70:D113"/>
    <mergeCell ref="D28:D69"/>
    <mergeCell ref="C28:C69"/>
    <mergeCell ref="E68:E69"/>
    <mergeCell ref="E28:E38"/>
    <mergeCell ref="E70:E85"/>
    <mergeCell ref="E102:E104"/>
  </mergeCells>
  <conditionalFormatting sqref="V116:V129">
    <cfRule type="expression" dxfId="4" priority="1">
      <formula>IF(AND(M116="Input",R116="File"),V116="")</formula>
    </cfRule>
  </conditionalFormatting>
  <dataValidations count="4">
    <dataValidation type="date" operator="notBetween" allowBlank="1" showDropDown="1" showInputMessage="1" showErrorMessage="1" prompt="YYYY/MM/DD (2011/10/30)" sqref="U31:V4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6">
        <x14:dataValidation type="list" allowBlank="1" showErrorMessage="1">
          <x14:formula1>
            <xm:f>Country!$A$2:$A$500</xm:f>
          </x14:formula1>
          <xm:sqref>T4:T9 AJ4:AJ9 AU31:AU42 J69 N102:N104</xm:sqref>
        </x14:dataValidation>
        <x14:dataValidation type="list" allowBlank="1" showErrorMessage="1">
          <x14:formula1>
            <xm:f>'Sampling point'!$A$2:$A$500</xm:f>
          </x14:formula1>
          <xm:sqref>U89:U91</xm:sqref>
        </x14:dataValidation>
        <x14:dataValidation type="list" allowBlank="1" showErrorMessage="1">
          <x14:formula1>
            <xm:f>'Hazard type'!$A$2:$A$250</xm:f>
          </x14:formula1>
          <xm:sqref>W31:W42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T31:T42</xm:sqref>
        </x14:dataValidation>
        <x14:dataValidation type="list" allowBlank="1" showErrorMessage="1">
          <x14:formula1>
            <xm:f>'Parameter data type'!$A$2:$A$50</xm:f>
          </x14:formula1>
          <xm:sqref>R116:R129</xm:sqref>
        </x14:dataValidation>
        <x14:dataValidation type="list" allowBlank="1" showErrorMessage="1">
          <x14:formula1>
            <xm:f>'Hazard name'!$A$2:$A$11000</xm:f>
          </x14:formula1>
          <xm:sqref>X31:X42</xm:sqref>
        </x14:dataValidation>
        <x14:dataValidation type="list" allowBlank="1" showErrorMessage="1">
          <x14:formula1>
            <xm:f>'Methodological tool to collect '!$A$2:$A$500</xm:f>
          </x14:formula1>
          <xm:sqref>L95:L97</xm:sqref>
        </x14:dataValidation>
        <x14:dataValidation type="list" allowBlank="1" showErrorMessage="1">
          <x14:formula1>
            <xm:f>'Product-matrix name'!$A$2:$A$1000</xm:f>
          </x14:formula1>
          <xm:sqref>L31:L42</xm:sqref>
        </x14:dataValidation>
        <x14:dataValidation type="list" allowBlank="1" showErrorMessage="1">
          <x14:formula1>
            <xm:f>'Product treatment'!$A$2:$A$1000</xm:f>
          </x14:formula1>
          <xm:sqref>Q31:Q42</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P89:P91</xm:sqref>
        </x14:dataValidation>
        <x14:dataValidation type="list" allowBlank="1" showErrorMessage="1">
          <x14:formula1>
            <xm:f>'Accreditation procedure for the'!$A$2:$A$100</xm:f>
          </x14:formula1>
          <xm:sqref>J77</xm:sqref>
        </x14:dataValidation>
        <x14:dataValidation type="list" allowBlank="1" showErrorMessage="1">
          <x14:formula1>
            <xm:f>Country!$A$2:$A$1000</xm:f>
          </x14:formula1>
          <xm:sqref>R31:R42</xm:sqref>
        </x14:dataValidation>
        <x14:dataValidation type="list" allowBlank="1" showErrorMessage="1">
          <x14:formula1>
            <xm:f>'Hazard ind-sum'!$A$2:$A$18</xm:f>
          </x14:formula1>
          <xm:sqref>AJ31:AJ42</xm:sqref>
        </x14:dataValidation>
        <x14:dataValidation type="list" allowBlank="1" showErrorMessage="1">
          <x14:formula1>
            <xm:f>'type of sampling program'!$A$2:$A$100</xm:f>
          </x14:formula1>
          <xm:sqref>O89:O91</xm:sqref>
        </x14:dataValidation>
        <x14:dataValidation type="list" allowBlank="1" showErrorMessage="1">
          <x14:formula1>
            <xm:f>'Parameter unit'!$A$2:$A$800</xm:f>
          </x14:formula1>
          <xm:sqref>P116:P129</xm:sqref>
        </x14:dataValidation>
        <x14:dataValidation type="list" allowBlank="1" showErrorMessage="1">
          <x14:formula1>
            <xm:f>'Sampling strategy'!$A$2:$A$100</xm:f>
          </x14:formula1>
          <xm:sqref>N89:N91</xm:sqref>
        </x14:dataValidation>
        <x14:dataValidation type="list" allowBlank="1" showErrorMessage="1">
          <x14:formula1>
            <xm:f>'Laboratory accreditation'!$A$2:$A$200</xm:f>
          </x14:formula1>
          <xm:sqref>L102:L104</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M116:M129</xm:sqref>
        </x14:dataValidation>
        <x14:dataValidation type="list" allowBlank="1" showErrorMessage="1">
          <x14:formula1>
            <xm:f>'Parameter source'!$A$2:$A$50</xm:f>
          </x14:formula1>
          <xm:sqref>S116:S129</xm:sqref>
        </x14:dataValidation>
        <x14:dataValidation type="list" allowBlank="1" showErrorMessage="1">
          <x14:formula1>
            <xm:f>'Parameter subject'!$A$2:$A$500</xm:f>
          </x14:formula1>
          <xm:sqref>T116:T129</xm:sqref>
        </x14:dataValidation>
        <x14:dataValidation type="list" allowBlank="1" showErrorMessage="1">
          <x14:formula1>
            <xm:f>'Population name'!$A$2:$A$30</xm:f>
          </x14:formula1>
          <xm:sqref>AK31:AK42</xm:sqref>
        </x14:dataValidation>
        <x14:dataValidation type="list" allowBlank="1" showErrorMessage="1">
          <x14:formula1>
            <xm:f>Packaging!$A$1:$A$1000</xm:f>
          </x14:formula1>
          <xm:sqref>P31:P42</xm:sqref>
        </x14:dataValidation>
        <x14:dataValidation type="list" allowBlank="1" showErrorMessage="1">
          <x14:formula1>
            <xm:f>'Area of origin'!$A$2:$A$3000</xm:f>
          </x14:formula1>
          <xm:sqref>S31:S42</xm:sqref>
        </x14:dataValidation>
        <x14:dataValidation type="list" allowBlank="1" showErrorMessage="1">
          <x14:formula1>
            <xm:f>'Food descriptors'!$A$2</xm:f>
          </x14:formula1>
          <xm:sqref>Q95:Q97</xm:sqref>
        </x14:dataValidation>
        <x14:dataValidation type="list" allowBlank="1" showErrorMessage="1">
          <x14:formula1>
            <xm:f>'Parameter unit'!$A:$A</xm:f>
          </x14:formula1>
          <xm:sqref>N31:N42 Z31:Z42 T89:T91</xm:sqref>
        </x14:dataValidation>
        <x14:dataValidation type="list" allowBlank="1" showErrorMessage="1">
          <x14:formula1>
            <xm:f>'Parameter distribution'!$A$2:$A$800</xm:f>
          </x14:formula1>
          <xm:sqref>U116:U129</xm:sqref>
        </x14:dataValidation>
        <x14:dataValidation type="list" allowBlank="1" showErrorMessage="1">
          <x14:formula1>
            <xm:f>'Study Assay Technology Type'!$A$2:$A$500</xm:f>
          </x14:formula1>
          <xm:sqref>J75</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O31:O42</xm:sqref>
        </x14:dataValidation>
        <x14:dataValidation type="list" allowBlank="1" showErrorMessage="1">
          <x14:formula1>
            <xm:f>Region!$A$2:$A$1800</xm:f>
          </x14:formula1>
          <xm:sqref>AT31:AT42 J68</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39"/>
  <sheetViews>
    <sheetView workbookViewId="0"/>
  </sheetViews>
  <sheetFormatPr defaultColWidth="14.453125" defaultRowHeight="15.75" customHeight="1" x14ac:dyDescent="0.25"/>
  <cols>
    <col min="3" max="3" width="6.1796875" customWidth="1"/>
    <col min="4" max="4" width="5.54296875" customWidth="1"/>
    <col min="6" max="6" width="6" customWidth="1"/>
    <col min="7" max="7" width="29.1796875" customWidth="1"/>
    <col min="8" max="8" width="6.1796875" customWidth="1"/>
    <col min="9" max="9" width="33.1796875" hidden="1" customWidth="1"/>
    <col min="10" max="10" width="44.453125" customWidth="1"/>
    <col min="11" max="11" width="25.1796875" customWidth="1"/>
  </cols>
  <sheetData>
    <row r="1" spans="1:42" ht="15.75" customHeight="1" x14ac:dyDescent="0.3">
      <c r="A1" s="42" t="str">
        <f ca="1">IFERROR(__xludf.DUMMYFUNCTION("QUERY(IMPORTRANGE(""https://docs.google.com/spreadsheets/d/1R5ofJAIqAywN97cnBY9R9kqj10AvQOs3Gq472n6iDyc/edit#gid=811823962"",""Consumption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7" t="str">
        <f ca="1">E6</f>
        <v>Creator</v>
      </c>
      <c r="M1" s="96"/>
      <c r="N1" s="96"/>
      <c r="O1" s="96"/>
      <c r="P1" s="96"/>
      <c r="Q1" s="96"/>
      <c r="R1" s="96"/>
      <c r="S1" s="96"/>
      <c r="T1" s="96"/>
      <c r="U1" s="96"/>
      <c r="V1" s="96"/>
      <c r="W1" s="96"/>
      <c r="X1" s="96"/>
      <c r="Y1" s="96"/>
      <c r="Z1" s="96"/>
      <c r="AA1" s="4"/>
      <c r="AB1" s="97" t="str">
        <f ca="1">E5</f>
        <v>Author</v>
      </c>
      <c r="AC1" s="96"/>
      <c r="AD1" s="96"/>
      <c r="AE1" s="96"/>
      <c r="AF1" s="96"/>
      <c r="AG1" s="96"/>
      <c r="AH1" s="96"/>
      <c r="AI1" s="96"/>
      <c r="AJ1" s="96"/>
      <c r="AK1" s="96"/>
      <c r="AL1" s="96"/>
      <c r="AM1" s="96"/>
      <c r="AN1" s="96"/>
      <c r="AO1" s="96"/>
      <c r="AP1" s="96"/>
    </row>
    <row r="2" spans="1:42" ht="12.5" x14ac:dyDescent="0.25">
      <c r="A2" s="4" t="str">
        <f ca="1">IFERROR(__xludf.DUMMYFUNCTION("""COMPUTED_VALUE"""),"Yes")</f>
        <v>Yes</v>
      </c>
      <c r="B2" s="4" t="str">
        <f ca="1">IFERROR(__xludf.DUMMYFUNCTION("""COMPUTED_VALUE"""),"Yes")</f>
        <v>Yes</v>
      </c>
      <c r="C2" s="95" t="str">
        <f ca="1">IFERROR(__xludf.DUMMYFUNCTION("""COMPUTED_VALUE"""),"General information")</f>
        <v>General information</v>
      </c>
      <c r="D2" s="95" t="str">
        <f ca="1">IFERROR(__xludf.DUMMYFUNCTION("""COMPUTED_VALUE"""),"1")</f>
        <v>1</v>
      </c>
      <c r="E2" s="5" t="str">
        <f ca="1">IFERROR(__xludf.DUMMYFUNCTION("""COMPUTED_VALUE"""),"Model name")</f>
        <v>Model name</v>
      </c>
      <c r="F2" s="97" t="str">
        <f ca="1">IFERROR(__xludf.DUMMYFUNCTION("""COMPUTED_VALUE"""),"1")</f>
        <v>1</v>
      </c>
      <c r="G2" s="96"/>
      <c r="H2" s="96"/>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x14ac:dyDescent="0.25">
      <c r="A3" s="4" t="str">
        <f ca="1">IFERROR(__xludf.DUMMYFUNCTION("""COMPUTED_VALUE"""),"Yes")</f>
        <v>Yes</v>
      </c>
      <c r="B3" s="4" t="str">
        <f ca="1">IFERROR(__xludf.DUMMYFUNCTION("""COMPUTED_VALUE"""),"Yes")</f>
        <v>Yes</v>
      </c>
      <c r="C3" s="96"/>
      <c r="D3" s="96"/>
      <c r="E3" s="5" t="str">
        <f ca="1">IFERROR(__xludf.DUMMYFUNCTION("""COMPUTED_VALUE"""),"Source")</f>
        <v>Source</v>
      </c>
      <c r="F3" s="97" t="str">
        <f ca="1">IFERROR(__xludf.DUMMYFUNCTION("""COMPUTED_VALUE"""),"0:1")</f>
        <v>0:1</v>
      </c>
      <c r="G3" s="96"/>
      <c r="H3" s="96"/>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x14ac:dyDescent="0.25">
      <c r="A4" s="4" t="str">
        <f ca="1">IFERROR(__xludf.DUMMYFUNCTION("""COMPUTED_VALUE"""),"Yes")</f>
        <v>Yes</v>
      </c>
      <c r="B4" s="4" t="str">
        <f ca="1">IFERROR(__xludf.DUMMYFUNCTION("""COMPUTED_VALUE"""),"Yes")</f>
        <v>Yes</v>
      </c>
      <c r="C4" s="96"/>
      <c r="D4" s="96"/>
      <c r="E4" s="5" t="str">
        <f ca="1">IFERROR(__xludf.DUMMYFUNCTION("""COMPUTED_VALUE"""),"Identifier")</f>
        <v>Identifier</v>
      </c>
      <c r="F4" s="97" t="str">
        <f ca="1">IFERROR(__xludf.DUMMYFUNCTION("""COMPUTED_VALUE"""),"1")</f>
        <v>1</v>
      </c>
      <c r="G4" s="96"/>
      <c r="H4" s="96"/>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x14ac:dyDescent="0.25">
      <c r="A5" s="4" t="str">
        <f ca="1">IFERROR(__xludf.DUMMYFUNCTION("""COMPUTED_VALUE"""),"Yes")</f>
        <v>Yes</v>
      </c>
      <c r="B5" s="4" t="str">
        <f ca="1">IFERROR(__xludf.DUMMYFUNCTION("""COMPUTED_VALUE"""),"No")</f>
        <v>No</v>
      </c>
      <c r="C5" s="96"/>
      <c r="D5" s="9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x14ac:dyDescent="0.25">
      <c r="A6" s="4" t="str">
        <f ca="1">IFERROR(__xludf.DUMMYFUNCTION("""COMPUTED_VALUE"""),"Yes")</f>
        <v>Yes</v>
      </c>
      <c r="B6" s="4" t="str">
        <f ca="1">IFERROR(__xludf.DUMMYFUNCTION("""COMPUTED_VALUE"""),"Yes")</f>
        <v>Yes</v>
      </c>
      <c r="C6" s="96"/>
      <c r="D6" s="96"/>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x14ac:dyDescent="0.25">
      <c r="A7" s="4" t="str">
        <f ca="1">IFERROR(__xludf.DUMMYFUNCTION("""COMPUTED_VALUE"""),"Yes")</f>
        <v>Yes</v>
      </c>
      <c r="B7" s="4" t="str">
        <f ca="1">IFERROR(__xludf.DUMMYFUNCTION("""COMPUTED_VALUE"""),"Yes")</f>
        <v>Yes</v>
      </c>
      <c r="C7" s="96"/>
      <c r="D7" s="96"/>
      <c r="E7" s="97" t="str">
        <f ca="1">IFERROR(__xludf.DUMMYFUNCTION("""COMPUTED_VALUE"""),"Date")</f>
        <v>Date</v>
      </c>
      <c r="F7" s="97"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x14ac:dyDescent="0.25">
      <c r="A8" s="4" t="str">
        <f ca="1">IFERROR(__xludf.DUMMYFUNCTION("""COMPUTED_VALUE"""),"Yes")</f>
        <v>Yes</v>
      </c>
      <c r="B8" s="4" t="str">
        <f ca="1">IFERROR(__xludf.DUMMYFUNCTION("""COMPUTED_VALUE"""),"No")</f>
        <v>No</v>
      </c>
      <c r="C8" s="96"/>
      <c r="D8" s="96"/>
      <c r="E8" s="96"/>
      <c r="F8" s="96"/>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x14ac:dyDescent="0.25">
      <c r="A9" s="4" t="str">
        <f ca="1">IFERROR(__xludf.DUMMYFUNCTION("""COMPUTED_VALUE"""),"Yes")</f>
        <v>Yes</v>
      </c>
      <c r="B9" s="4" t="str">
        <f ca="1">IFERROR(__xludf.DUMMYFUNCTION("""COMPUTED_VALUE"""),"Yes")</f>
        <v>Yes</v>
      </c>
      <c r="C9" s="96"/>
      <c r="D9" s="9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x14ac:dyDescent="0.25">
      <c r="A10" s="4" t="str">
        <f ca="1">IFERROR(__xludf.DUMMYFUNCTION("""COMPUTED_VALUE"""),"Yes")</f>
        <v>Yes</v>
      </c>
      <c r="B10" s="4" t="str">
        <f ca="1">IFERROR(__xludf.DUMMYFUNCTION("""COMPUTED_VALUE"""),"No")</f>
        <v>No</v>
      </c>
      <c r="C10" s="96"/>
      <c r="D10" s="96"/>
      <c r="E10" s="5" t="str">
        <f ca="1">IFERROR(__xludf.DUMMYFUNCTION("""COMPUTED_VALUE"""),"Availability")</f>
        <v>Availability</v>
      </c>
      <c r="F10" s="97" t="str">
        <f ca="1">IFERROR(__xludf.DUMMYFUNCTION("""COMPUTED_VALUE"""),"0:1")</f>
        <v>0:1</v>
      </c>
      <c r="G10" s="96"/>
      <c r="H10" s="96"/>
      <c r="I10" s="5"/>
      <c r="J10" s="15"/>
      <c r="K10" s="4"/>
      <c r="L10" s="4"/>
      <c r="M10" s="4"/>
      <c r="N10" s="4"/>
      <c r="O10" s="4"/>
      <c r="P10" s="4"/>
      <c r="Q10" s="4"/>
      <c r="R10" s="4"/>
      <c r="S10" s="8"/>
      <c r="T10" s="4"/>
      <c r="U10" s="4"/>
      <c r="V10" s="4"/>
      <c r="W10" s="4"/>
      <c r="X10" s="4"/>
      <c r="Y10" s="4"/>
      <c r="Z10" s="4"/>
      <c r="AA10" s="4"/>
      <c r="AB10" s="4"/>
      <c r="AC10" s="4"/>
      <c r="AD10" s="4"/>
      <c r="AE10" s="4"/>
      <c r="AF10" s="4"/>
      <c r="AG10" s="4"/>
      <c r="AH10" s="4"/>
      <c r="AI10" s="4"/>
      <c r="AJ10" s="4"/>
      <c r="AK10" s="4"/>
      <c r="AL10" s="4"/>
      <c r="AM10" s="4"/>
      <c r="AN10" s="4"/>
      <c r="AO10" s="4"/>
      <c r="AP10" s="4"/>
    </row>
    <row r="11" spans="1:42" ht="12.5" x14ac:dyDescent="0.25">
      <c r="A11" s="4" t="str">
        <f ca="1">IFERROR(__xludf.DUMMYFUNCTION("""COMPUTED_VALUE"""),"Yes")</f>
        <v>Yes</v>
      </c>
      <c r="B11" s="4" t="str">
        <f ca="1">IFERROR(__xludf.DUMMYFUNCTION("""COMPUTED_VALUE"""),"No")</f>
        <v>No</v>
      </c>
      <c r="C11" s="96"/>
      <c r="D11" s="96"/>
      <c r="E11" s="5" t="str">
        <f ca="1">IFERROR(__xludf.DUMMYFUNCTION("""COMPUTED_VALUE"""),"URL")</f>
        <v>URL</v>
      </c>
      <c r="F11" s="97" t="str">
        <f ca="1">IFERROR(__xludf.DUMMYFUNCTION("""COMPUTED_VALUE"""),"0:1")</f>
        <v>0:1</v>
      </c>
      <c r="G11" s="96"/>
      <c r="H11" s="96"/>
      <c r="I11" s="5"/>
      <c r="J11" s="15"/>
      <c r="K11" s="4"/>
      <c r="L11" s="4"/>
      <c r="M11" s="4"/>
      <c r="N11" s="4"/>
      <c r="O11" s="4"/>
      <c r="P11" s="4"/>
      <c r="Q11" s="4"/>
      <c r="R11" s="4"/>
      <c r="S11" s="8"/>
      <c r="T11" s="4"/>
      <c r="U11" s="4"/>
      <c r="V11" s="4"/>
      <c r="W11" s="4"/>
      <c r="X11" s="4"/>
      <c r="Y11" s="4"/>
      <c r="Z11" s="4"/>
      <c r="AA11" s="4"/>
      <c r="AB11" s="4"/>
      <c r="AC11" s="4"/>
      <c r="AD11" s="4"/>
      <c r="AE11" s="4"/>
      <c r="AF11" s="4"/>
      <c r="AG11" s="4"/>
      <c r="AH11" s="4"/>
      <c r="AI11" s="4"/>
      <c r="AJ11" s="4"/>
      <c r="AK11" s="4"/>
      <c r="AL11" s="4"/>
      <c r="AM11" s="4"/>
      <c r="AN11" s="4"/>
      <c r="AO11" s="4"/>
      <c r="AP11" s="4"/>
    </row>
    <row r="12" spans="1:42" ht="12.5" x14ac:dyDescent="0.25">
      <c r="A12" s="4" t="str">
        <f ca="1">IFERROR(__xludf.DUMMYFUNCTION("""COMPUTED_VALUE"""),"Yes")</f>
        <v>Yes</v>
      </c>
      <c r="B12" s="4" t="str">
        <f ca="1">IFERROR(__xludf.DUMMYFUNCTION("""COMPUTED_VALUE"""),"No")</f>
        <v>No</v>
      </c>
      <c r="C12" s="96"/>
      <c r="D12" s="96"/>
      <c r="E12" s="5" t="str">
        <f ca="1">IFERROR(__xludf.DUMMYFUNCTION("""COMPUTED_VALUE"""),"Format")</f>
        <v>Format</v>
      </c>
      <c r="F12" s="97" t="str">
        <f ca="1">IFERROR(__xludf.DUMMYFUNCTION("""COMPUTED_VALUE"""),"0:1")</f>
        <v>0:1</v>
      </c>
      <c r="G12" s="96"/>
      <c r="H12" s="96"/>
      <c r="I12" s="5"/>
      <c r="J12" s="10"/>
      <c r="K12" s="4"/>
      <c r="L12" s="99" t="str">
        <f ca="1">E13</f>
        <v>References</v>
      </c>
      <c r="M12" s="96"/>
      <c r="N12" s="96"/>
      <c r="O12" s="96"/>
      <c r="P12" s="96"/>
      <c r="Q12" s="96"/>
      <c r="R12" s="96"/>
      <c r="S12" s="96"/>
      <c r="T12" s="96"/>
      <c r="U12" s="96"/>
      <c r="V12" s="96"/>
      <c r="W12" s="96"/>
      <c r="X12" s="4"/>
      <c r="Y12" s="4"/>
      <c r="Z12" s="4"/>
      <c r="AA12" s="4"/>
      <c r="AB12" s="4"/>
      <c r="AC12" s="4"/>
      <c r="AD12" s="4"/>
      <c r="AE12" s="4"/>
      <c r="AF12" s="4"/>
      <c r="AG12" s="4"/>
      <c r="AH12" s="4"/>
      <c r="AI12" s="4"/>
      <c r="AJ12" s="4"/>
      <c r="AK12" s="4"/>
      <c r="AL12" s="4"/>
      <c r="AM12" s="4"/>
      <c r="AN12" s="4"/>
      <c r="AO12" s="4"/>
      <c r="AP12" s="4"/>
    </row>
    <row r="13" spans="1:42" ht="14" x14ac:dyDescent="0.3">
      <c r="A13" s="4" t="str">
        <f ca="1">IFERROR(__xludf.DUMMYFUNCTION("""COMPUTED_VALUE"""),"Yes")</f>
        <v>Yes</v>
      </c>
      <c r="B13" s="4" t="str">
        <f ca="1">IFERROR(__xludf.DUMMYFUNCTION("""COMPUTED_VALUE"""),"Yes")</f>
        <v>Yes</v>
      </c>
      <c r="C13" s="96"/>
      <c r="D13" s="96"/>
      <c r="E13" s="97" t="str">
        <f ca="1">IFERROR(__xludf.DUMMYFUNCTION("""COMPUTED_VALUE"""),"References")</f>
        <v>References</v>
      </c>
      <c r="F13" s="97"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x14ac:dyDescent="0.25">
      <c r="A14" s="4" t="str">
        <f ca="1">IFERROR(__xludf.DUMMYFUNCTION("""COMPUTED_VALUE"""),"Yes")</f>
        <v>Yes</v>
      </c>
      <c r="B14" s="4" t="str">
        <f ca="1">IFERROR(__xludf.DUMMYFUNCTION("""COMPUTED_VALUE"""),"Yes")</f>
        <v>Yes</v>
      </c>
      <c r="C14" s="96"/>
      <c r="D14" s="96"/>
      <c r="E14" s="96"/>
      <c r="F14" s="96"/>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x14ac:dyDescent="0.25">
      <c r="A15" s="4" t="str">
        <f ca="1">IFERROR(__xludf.DUMMYFUNCTION("""COMPUTED_VALUE"""),"Yes")</f>
        <v>Yes</v>
      </c>
      <c r="B15" s="4" t="str">
        <f ca="1">IFERROR(__xludf.DUMMYFUNCTION("""COMPUTED_VALUE"""),"No")</f>
        <v>No</v>
      </c>
      <c r="C15" s="96"/>
      <c r="D15" s="96"/>
      <c r="E15" s="96"/>
      <c r="F15" s="96"/>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x14ac:dyDescent="0.25">
      <c r="A16" s="4" t="str">
        <f ca="1">IFERROR(__xludf.DUMMYFUNCTION("""COMPUTED_VALUE"""),"Yes")</f>
        <v>Yes</v>
      </c>
      <c r="B16" s="4" t="str">
        <f ca="1">IFERROR(__xludf.DUMMYFUNCTION("""COMPUTED_VALUE"""),"No")</f>
        <v>No</v>
      </c>
      <c r="C16" s="96"/>
      <c r="D16" s="96"/>
      <c r="E16" s="96"/>
      <c r="F16" s="96"/>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x14ac:dyDescent="0.25">
      <c r="A17" s="4" t="str">
        <f ca="1">IFERROR(__xludf.DUMMYFUNCTION("""COMPUTED_VALUE"""),"Yes")</f>
        <v>Yes</v>
      </c>
      <c r="B17" s="4" t="str">
        <f ca="1">IFERROR(__xludf.DUMMYFUNCTION("""COMPUTED_VALUE"""),"Yes")</f>
        <v>Yes</v>
      </c>
      <c r="C17" s="96"/>
      <c r="D17" s="96"/>
      <c r="E17" s="96"/>
      <c r="F17" s="96"/>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x14ac:dyDescent="0.25">
      <c r="A18" s="4" t="str">
        <f ca="1">IFERROR(__xludf.DUMMYFUNCTION("""COMPUTED_VALUE"""),"Yes")</f>
        <v>Yes</v>
      </c>
      <c r="B18" s="4" t="str">
        <f ca="1">IFERROR(__xludf.DUMMYFUNCTION("""COMPUTED_VALUE"""),"No")</f>
        <v>No</v>
      </c>
      <c r="C18" s="96"/>
      <c r="D18" s="96"/>
      <c r="E18" s="96"/>
      <c r="F18" s="96"/>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x14ac:dyDescent="0.25">
      <c r="A19" s="4" t="str">
        <f ca="1">IFERROR(__xludf.DUMMYFUNCTION("""COMPUTED_VALUE"""),"Yes")</f>
        <v>Yes</v>
      </c>
      <c r="B19" s="4" t="str">
        <f ca="1">IFERROR(__xludf.DUMMYFUNCTION("""COMPUTED_VALUE"""),"Yes")</f>
        <v>Yes</v>
      </c>
      <c r="C19" s="96"/>
      <c r="D19" s="96"/>
      <c r="E19" s="96"/>
      <c r="F19" s="96"/>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x14ac:dyDescent="0.25">
      <c r="A20" s="4" t="str">
        <f ca="1">IFERROR(__xludf.DUMMYFUNCTION("""COMPUTED_VALUE"""),"Yes")</f>
        <v>Yes</v>
      </c>
      <c r="B20" s="4" t="str">
        <f ca="1">IFERROR(__xludf.DUMMYFUNCTION("""COMPUTED_VALUE"""),"No")</f>
        <v>No</v>
      </c>
      <c r="C20" s="96"/>
      <c r="D20" s="96"/>
      <c r="E20" s="96"/>
      <c r="F20" s="96"/>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x14ac:dyDescent="0.25">
      <c r="A21" s="4" t="str">
        <f ca="1">IFERROR(__xludf.DUMMYFUNCTION("""COMPUTED_VALUE"""),"Yes")</f>
        <v>Yes</v>
      </c>
      <c r="B21" s="4" t="str">
        <f ca="1">IFERROR(__xludf.DUMMYFUNCTION("""COMPUTED_VALUE"""),"No")</f>
        <v>No</v>
      </c>
      <c r="C21" s="96"/>
      <c r="D21" s="96"/>
      <c r="E21" s="96"/>
      <c r="F21" s="96"/>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x14ac:dyDescent="0.25">
      <c r="A22" s="4" t="str">
        <f ca="1">IFERROR(__xludf.DUMMYFUNCTION("""COMPUTED_VALUE"""),"Yes")</f>
        <v>Yes</v>
      </c>
      <c r="B22" s="4" t="str">
        <f ca="1">IFERROR(__xludf.DUMMYFUNCTION("""COMPUTED_VALUE"""),"No")</f>
        <v>No</v>
      </c>
      <c r="C22" s="96"/>
      <c r="D22" s="96"/>
      <c r="E22" s="96"/>
      <c r="F22" s="96"/>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x14ac:dyDescent="0.25">
      <c r="A23" s="4" t="str">
        <f ca="1">IFERROR(__xludf.DUMMYFUNCTION("""COMPUTED_VALUE"""),"Yes")</f>
        <v>Yes</v>
      </c>
      <c r="B23" s="4" t="str">
        <f ca="1">IFERROR(__xludf.DUMMYFUNCTION("""COMPUTED_VALUE"""),"No")</f>
        <v>No</v>
      </c>
      <c r="C23" s="96"/>
      <c r="D23" s="96"/>
      <c r="E23" s="96"/>
      <c r="F23" s="96"/>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x14ac:dyDescent="0.25">
      <c r="A24" s="4" t="str">
        <f ca="1">IFERROR(__xludf.DUMMYFUNCTION("""COMPUTED_VALUE"""),"Yes")</f>
        <v>Yes</v>
      </c>
      <c r="B24" s="4" t="str">
        <f ca="1">IFERROR(__xludf.DUMMYFUNCTION("""COMPUTED_VALUE"""),"No")</f>
        <v>No</v>
      </c>
      <c r="C24" s="96"/>
      <c r="D24" s="96"/>
      <c r="E24" s="96"/>
      <c r="F24" s="96"/>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x14ac:dyDescent="0.25">
      <c r="A25" s="4" t="str">
        <f ca="1">IFERROR(__xludf.DUMMYFUNCTION("""COMPUTED_VALUE"""),"Yes")</f>
        <v>Yes</v>
      </c>
      <c r="B25" s="4" t="str">
        <f ca="1">IFERROR(__xludf.DUMMYFUNCTION("""COMPUTED_VALUE"""),"No")</f>
        <v>No</v>
      </c>
      <c r="C25" s="96"/>
      <c r="D25" s="96"/>
      <c r="E25" s="5" t="str">
        <f ca="1">IFERROR(__xludf.DUMMYFUNCTION("""COMPUTED_VALUE"""),"Language")</f>
        <v>Language</v>
      </c>
      <c r="F25" s="97" t="str">
        <f ca="1">IFERROR(__xludf.DUMMYFUNCTION("""COMPUTED_VALUE"""),"0:1")</f>
        <v>0:1</v>
      </c>
      <c r="G25" s="96"/>
      <c r="H25" s="96"/>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x14ac:dyDescent="0.25">
      <c r="A26" s="4" t="str">
        <f ca="1">IFERROR(__xludf.DUMMYFUNCTION("""COMPUTED_VALUE"""),"Yes")</f>
        <v>Yes</v>
      </c>
      <c r="B26" s="4" t="str">
        <f ca="1">IFERROR(__xludf.DUMMYFUNCTION("""COMPUTED_VALUE"""),"No")</f>
        <v>No</v>
      </c>
      <c r="C26" s="96"/>
      <c r="D26" s="96"/>
      <c r="E26" s="5" t="str">
        <f ca="1">IFERROR(__xludf.DUMMYFUNCTION("""COMPUTED_VALUE"""),"Software")</f>
        <v>Software</v>
      </c>
      <c r="F26" s="97" t="str">
        <f ca="1">IFERROR(__xludf.DUMMYFUNCTION("""COMPUTED_VALUE"""),"0:1")</f>
        <v>0:1</v>
      </c>
      <c r="G26" s="96"/>
      <c r="H26" s="96"/>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x14ac:dyDescent="0.25">
      <c r="A27" s="4" t="str">
        <f ca="1">IFERROR(__xludf.DUMMYFUNCTION("""COMPUTED_VALUE"""),"Yes")</f>
        <v>Yes</v>
      </c>
      <c r="B27" s="4" t="str">
        <f ca="1">IFERROR(__xludf.DUMMYFUNCTION("""COMPUTED_VALUE"""),"Yes")</f>
        <v>Yes</v>
      </c>
      <c r="C27" s="96"/>
      <c r="D27" s="96"/>
      <c r="E27" s="5" t="str">
        <f ca="1">IFERROR(__xludf.DUMMYFUNCTION("""COMPUTED_VALUE"""),"Language written in")</f>
        <v>Language written in</v>
      </c>
      <c r="F27" s="97" t="str">
        <f ca="1">IFERROR(__xludf.DUMMYFUNCTION("""COMPUTED_VALUE"""),"1")</f>
        <v>1</v>
      </c>
      <c r="G27" s="96"/>
      <c r="H27" s="96"/>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x14ac:dyDescent="0.25">
      <c r="A28" s="4" t="str">
        <f ca="1">IFERROR(__xludf.DUMMYFUNCTION("""COMPUTED_VALUE"""),"Yes")</f>
        <v>Yes</v>
      </c>
      <c r="B28" s="4" t="str">
        <f ca="1">IFERROR(__xludf.DUMMYFUNCTION("""COMPUTED_VALUE"""),"No")</f>
        <v>No</v>
      </c>
      <c r="C28" s="96"/>
      <c r="D28" s="96"/>
      <c r="E28" s="97" t="str">
        <f ca="1">IFERROR(__xludf.DUMMYFUNCTION("""COMPUTED_VALUE"""),"Model category")</f>
        <v>Model category</v>
      </c>
      <c r="F28" s="97"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x14ac:dyDescent="0.25">
      <c r="A29" s="4" t="str">
        <f ca="1">IFERROR(__xludf.DUMMYFUNCTION("""COMPUTED_VALUE"""),"Yes")</f>
        <v>Yes</v>
      </c>
      <c r="B29" s="4" t="str">
        <f ca="1">IFERROR(__xludf.DUMMYFUNCTION("""COMPUTED_VALUE"""),"No")</f>
        <v>No</v>
      </c>
      <c r="C29" s="96"/>
      <c r="D29" s="96"/>
      <c r="E29" s="96"/>
      <c r="F29" s="96"/>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x14ac:dyDescent="0.25">
      <c r="A30" s="4" t="str">
        <f ca="1">IFERROR(__xludf.DUMMYFUNCTION("""COMPUTED_VALUE"""),"Yes")</f>
        <v>Yes</v>
      </c>
      <c r="B30" s="4" t="str">
        <f ca="1">IFERROR(__xludf.DUMMYFUNCTION("""COMPUTED_VALUE"""),"No")</f>
        <v>No</v>
      </c>
      <c r="C30" s="96"/>
      <c r="D30" s="96"/>
      <c r="E30" s="96"/>
      <c r="F30" s="96"/>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x14ac:dyDescent="0.25">
      <c r="A31" s="4" t="str">
        <f ca="1">IFERROR(__xludf.DUMMYFUNCTION("""COMPUTED_VALUE"""),"Yes")</f>
        <v>Yes</v>
      </c>
      <c r="B31" s="4" t="str">
        <f ca="1">IFERROR(__xludf.DUMMYFUNCTION("""COMPUTED_VALUE"""),"No")</f>
        <v>No</v>
      </c>
      <c r="C31" s="96"/>
      <c r="D31" s="96"/>
      <c r="E31" s="96"/>
      <c r="F31" s="96"/>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x14ac:dyDescent="0.25">
      <c r="A32" s="4" t="str">
        <f ca="1">IFERROR(__xludf.DUMMYFUNCTION("""COMPUTED_VALUE"""),"Yes")</f>
        <v>Yes</v>
      </c>
      <c r="B32" s="4" t="str">
        <f ca="1">IFERROR(__xludf.DUMMYFUNCTION("""COMPUTED_VALUE"""),"No")</f>
        <v>No</v>
      </c>
      <c r="C32" s="96"/>
      <c r="D32" s="96"/>
      <c r="E32" s="96"/>
      <c r="F32" s="96"/>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x14ac:dyDescent="0.25">
      <c r="A33" s="4" t="str">
        <f ca="1">IFERROR(__xludf.DUMMYFUNCTION("""COMPUTED_VALUE"""),"Yes")</f>
        <v>Yes</v>
      </c>
      <c r="B33" s="4" t="str">
        <f ca="1">IFERROR(__xludf.DUMMYFUNCTION("""COMPUTED_VALUE"""),"No")</f>
        <v>No</v>
      </c>
      <c r="C33" s="96"/>
      <c r="D33" s="96"/>
      <c r="E33" s="5" t="str">
        <f ca="1">IFERROR(__xludf.DUMMYFUNCTION("""COMPUTED_VALUE"""),"Status")</f>
        <v>Status</v>
      </c>
      <c r="F33" s="97" t="str">
        <f ca="1">IFERROR(__xludf.DUMMYFUNCTION("""COMPUTED_VALUE"""),"0:1")</f>
        <v>0:1</v>
      </c>
      <c r="G33" s="96"/>
      <c r="H33" s="96"/>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x14ac:dyDescent="0.25">
      <c r="A34" s="4" t="str">
        <f ca="1">IFERROR(__xludf.DUMMYFUNCTION("""COMPUTED_VALUE"""),"Yes")</f>
        <v>Yes</v>
      </c>
      <c r="B34" s="4" t="str">
        <f ca="1">IFERROR(__xludf.DUMMYFUNCTION("""COMPUTED_VALUE"""),"No")</f>
        <v>No</v>
      </c>
      <c r="C34" s="96"/>
      <c r="D34" s="96"/>
      <c r="E34" s="5" t="str">
        <f ca="1">IFERROR(__xludf.DUMMYFUNCTION("""COMPUTED_VALUE"""),"Objective")</f>
        <v>Objective</v>
      </c>
      <c r="F34" s="97" t="str">
        <f ca="1">IFERROR(__xludf.DUMMYFUNCTION("""COMPUTED_VALUE"""),"0:1")</f>
        <v>0:1</v>
      </c>
      <c r="G34" s="96"/>
      <c r="H34" s="96"/>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x14ac:dyDescent="0.25">
      <c r="A35" s="4" t="str">
        <f ca="1">IFERROR(__xludf.DUMMYFUNCTION("""COMPUTED_VALUE"""),"Yes")</f>
        <v>Yes</v>
      </c>
      <c r="B35" s="4" t="str">
        <f ca="1">IFERROR(__xludf.DUMMYFUNCTION("""COMPUTED_VALUE"""),"No")</f>
        <v>No</v>
      </c>
      <c r="C35" s="96"/>
      <c r="D35" s="96"/>
      <c r="E35" s="5" t="str">
        <f ca="1">IFERROR(__xludf.DUMMYFUNCTION("""COMPUTED_VALUE"""),"Description")</f>
        <v>Description</v>
      </c>
      <c r="F35" s="97" t="str">
        <f ca="1">IFERROR(__xludf.DUMMYFUNCTION("""COMPUTED_VALUE"""),"0:1")</f>
        <v>0:1</v>
      </c>
      <c r="G35" s="96"/>
      <c r="H35" s="96"/>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x14ac:dyDescent="0.25">
      <c r="A36" s="4" t="str">
        <f ca="1">IFERROR(__xludf.DUMMYFUNCTION("""COMPUTED_VALUE"""),"Yes")</f>
        <v>Yes</v>
      </c>
      <c r="B36" s="4" t="str">
        <f ca="1">IFERROR(__xludf.DUMMYFUNCTION("""COMPUTED_VALUE"""),"Yes")</f>
        <v>Yes</v>
      </c>
      <c r="C36" s="95" t="str">
        <f ca="1">IFERROR(__xludf.DUMMYFUNCTION("""COMPUTED_VALUE"""),"Scope")</f>
        <v>Scope</v>
      </c>
      <c r="D36" s="95" t="str">
        <f ca="1">IFERROR(__xludf.DUMMYFUNCTION("""COMPUTED_VALUE"""),"1")</f>
        <v>1</v>
      </c>
      <c r="E36" s="97" t="str">
        <f ca="1">IFERROR(__xludf.DUMMYFUNCTION("""COMPUTED_VALUE"""),"Product / matrix")</f>
        <v>Product / matrix</v>
      </c>
      <c r="F36" s="97" t="str">
        <f ca="1">IFERROR(__xludf.DUMMYFUNCTION("""COMPUTED_VALUE"""),"1:N")</f>
        <v>1:N</v>
      </c>
      <c r="G36" s="5" t="str">
        <f ca="1">IFERROR(__xludf.DUMMYFUNCTION("""COMPUTED_VALUE"""),"Product/matrix name")</f>
        <v>Product/matrix name</v>
      </c>
      <c r="H36" s="5" t="str">
        <f ca="1">IFERROR(__xludf.DUMMYFUNCTION("""COMPUTED_VALUE"""),"1")</f>
        <v>1</v>
      </c>
      <c r="I36" s="5"/>
      <c r="J36" s="13"/>
      <c r="K36" s="4"/>
      <c r="L36" s="99" t="str">
        <f ca="1">E36</f>
        <v>Product / matrix</v>
      </c>
      <c r="M36" s="96"/>
      <c r="N36" s="96"/>
      <c r="O36" s="96"/>
      <c r="P36" s="96"/>
      <c r="Q36" s="96"/>
      <c r="R36" s="96"/>
      <c r="S36" s="96"/>
      <c r="T36" s="96"/>
      <c r="U36" s="96"/>
      <c r="V36" s="96"/>
      <c r="W36" s="99" t="str">
        <f ca="1">E47</f>
        <v>Population Group</v>
      </c>
      <c r="X36" s="96"/>
      <c r="Y36" s="96"/>
      <c r="Z36" s="96"/>
      <c r="AA36" s="96"/>
      <c r="AB36" s="96"/>
      <c r="AC36" s="96"/>
      <c r="AD36" s="96"/>
      <c r="AE36" s="96"/>
      <c r="AF36" s="96"/>
      <c r="AG36" s="96"/>
      <c r="AH36" s="96"/>
      <c r="AI36" s="96"/>
      <c r="AJ36" s="4"/>
      <c r="AK36" s="4"/>
      <c r="AL36" s="4"/>
      <c r="AM36" s="4"/>
      <c r="AN36" s="4"/>
      <c r="AO36" s="4"/>
      <c r="AP36" s="4"/>
    </row>
    <row r="37" spans="1:42" ht="12.5" x14ac:dyDescent="0.25">
      <c r="A37" s="4" t="str">
        <f ca="1">IFERROR(__xludf.DUMMYFUNCTION("""COMPUTED_VALUE"""),"Yes")</f>
        <v>Yes</v>
      </c>
      <c r="B37" s="4" t="str">
        <f ca="1">IFERROR(__xludf.DUMMYFUNCTION("""COMPUTED_VALUE"""),"Yes")</f>
        <v>Yes</v>
      </c>
      <c r="C37" s="96"/>
      <c r="D37" s="96"/>
      <c r="E37" s="96"/>
      <c r="F37" s="96"/>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Population name</v>
      </c>
      <c r="X37" s="7" t="str">
        <f ca="1">G48</f>
        <v>Target population</v>
      </c>
      <c r="Y37" s="7" t="str">
        <f ca="1">G49</f>
        <v>Population Span (years)</v>
      </c>
      <c r="Z37" s="7" t="str">
        <f ca="1">G50</f>
        <v>Population description</v>
      </c>
      <c r="AA37" s="7" t="str">
        <f ca="1">G51</f>
        <v>Population age</v>
      </c>
      <c r="AB37" s="7" t="str">
        <f ca="1">G52</f>
        <v>Population gender</v>
      </c>
      <c r="AC37" s="7" t="str">
        <f ca="1">G53</f>
        <v>BMI</v>
      </c>
      <c r="AD37" s="7" t="str">
        <f ca="1">G54</f>
        <v>Special diet groups</v>
      </c>
      <c r="AE37" s="7" t="str">
        <f ca="1">G55</f>
        <v>Pattern consumption</v>
      </c>
      <c r="AF37" s="7" t="str">
        <f ca="1">G56</f>
        <v>Region</v>
      </c>
      <c r="AG37" s="7" t="str">
        <f ca="1">G57</f>
        <v>Country</v>
      </c>
      <c r="AH37" s="7" t="str">
        <f ca="1">G58</f>
        <v>Risk and population factors</v>
      </c>
      <c r="AI37" s="7" t="str">
        <f ca="1">G59</f>
        <v>Season</v>
      </c>
      <c r="AJ37" s="7"/>
      <c r="AK37" s="7"/>
      <c r="AL37" s="7"/>
      <c r="AM37" s="7"/>
      <c r="AN37" s="7"/>
      <c r="AO37" s="7"/>
      <c r="AP37" s="7"/>
    </row>
    <row r="38" spans="1:42" ht="12.5" x14ac:dyDescent="0.25">
      <c r="A38" s="4" t="str">
        <f ca="1">IFERROR(__xludf.DUMMYFUNCTION("""COMPUTED_VALUE"""),"Yes")</f>
        <v>Yes</v>
      </c>
      <c r="B38" s="4" t="str">
        <f ca="1">IFERROR(__xludf.DUMMYFUNCTION("""COMPUTED_VALUE"""),"Yes")</f>
        <v>Yes</v>
      </c>
      <c r="C38" s="96"/>
      <c r="D38" s="96"/>
      <c r="E38" s="96"/>
      <c r="F38" s="96"/>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1</v>
      </c>
      <c r="X38" s="8" t="str">
        <f ca="1">H48</f>
        <v>0:1</v>
      </c>
      <c r="Y38" s="8" t="str">
        <f ca="1">H49</f>
        <v>0:N</v>
      </c>
      <c r="Z38" s="8" t="str">
        <f ca="1">H50</f>
        <v>0:N</v>
      </c>
      <c r="AA38" s="8" t="str">
        <f ca="1">H51</f>
        <v>0:N</v>
      </c>
      <c r="AB38" s="8" t="str">
        <f ca="1">H52</f>
        <v>0:1</v>
      </c>
      <c r="AC38" s="8" t="str">
        <f ca="1">H53</f>
        <v>0:N</v>
      </c>
      <c r="AD38" s="8" t="str">
        <f ca="1">H54</f>
        <v>0:N</v>
      </c>
      <c r="AE38" s="8" t="str">
        <f ca="1">H55</f>
        <v>0:N</v>
      </c>
      <c r="AF38" s="8" t="str">
        <f ca="1">H56</f>
        <v>0:N</v>
      </c>
      <c r="AG38" s="8" t="str">
        <f ca="1">H57</f>
        <v>0:N</v>
      </c>
      <c r="AH38" s="8" t="str">
        <f ca="1">H58</f>
        <v>0:N</v>
      </c>
      <c r="AI38" s="8" t="str">
        <f ca="1">H59</f>
        <v>0:N</v>
      </c>
      <c r="AJ38" s="8"/>
      <c r="AK38" s="8"/>
      <c r="AL38" s="8"/>
      <c r="AM38" s="8"/>
      <c r="AN38" s="8"/>
      <c r="AO38" s="8"/>
      <c r="AP38" s="8"/>
    </row>
    <row r="39" spans="1:42" ht="12.5" x14ac:dyDescent="0.25">
      <c r="A39" s="4" t="str">
        <f ca="1">IFERROR(__xludf.DUMMYFUNCTION("""COMPUTED_VALUE"""),"Yes")</f>
        <v>Yes</v>
      </c>
      <c r="B39" s="4" t="str">
        <f ca="1">IFERROR(__xludf.DUMMYFUNCTION("""COMPUTED_VALUE"""),"No")</f>
        <v>No</v>
      </c>
      <c r="C39" s="96"/>
      <c r="D39" s="96"/>
      <c r="E39" s="96"/>
      <c r="F39" s="96"/>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0"/>
      <c r="X39" s="10"/>
      <c r="Y39" s="10"/>
      <c r="Z39" s="10"/>
      <c r="AA39" s="10"/>
      <c r="AB39" s="10"/>
      <c r="AC39" s="10"/>
      <c r="AD39" s="10"/>
      <c r="AE39" s="10"/>
      <c r="AF39" s="10"/>
      <c r="AG39" s="10"/>
      <c r="AH39" s="10"/>
      <c r="AI39" s="10"/>
      <c r="AJ39" s="4"/>
      <c r="AK39" s="4"/>
      <c r="AL39" s="4"/>
      <c r="AM39" s="4"/>
      <c r="AN39" s="4"/>
      <c r="AO39" s="4"/>
      <c r="AP39" s="4"/>
    </row>
    <row r="40" spans="1:42" ht="12.5" x14ac:dyDescent="0.25">
      <c r="A40" s="4" t="str">
        <f ca="1">IFERROR(__xludf.DUMMYFUNCTION("""COMPUTED_VALUE"""),"Yes")</f>
        <v>Yes</v>
      </c>
      <c r="B40" s="4" t="str">
        <f ca="1">IFERROR(__xludf.DUMMYFUNCTION("""COMPUTED_VALUE"""),"No")</f>
        <v>No</v>
      </c>
      <c r="C40" s="96"/>
      <c r="D40" s="96"/>
      <c r="E40" s="96"/>
      <c r="F40" s="96"/>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0"/>
      <c r="X40" s="10"/>
      <c r="Y40" s="10"/>
      <c r="Z40" s="10"/>
      <c r="AA40" s="10"/>
      <c r="AB40" s="10"/>
      <c r="AC40" s="10"/>
      <c r="AD40" s="10"/>
      <c r="AE40" s="10"/>
      <c r="AF40" s="10"/>
      <c r="AG40" s="10"/>
      <c r="AH40" s="10"/>
      <c r="AI40" s="10"/>
      <c r="AJ40" s="4"/>
      <c r="AK40" s="4"/>
      <c r="AL40" s="4"/>
      <c r="AM40" s="4"/>
      <c r="AN40" s="4"/>
      <c r="AO40" s="4"/>
      <c r="AP40" s="4"/>
    </row>
    <row r="41" spans="1:42" ht="12.5" x14ac:dyDescent="0.25">
      <c r="A41" s="4" t="str">
        <f ca="1">IFERROR(__xludf.DUMMYFUNCTION("""COMPUTED_VALUE"""),"Yes")</f>
        <v>Yes</v>
      </c>
      <c r="B41" s="4" t="str">
        <f ca="1">IFERROR(__xludf.DUMMYFUNCTION("""COMPUTED_VALUE"""),"No")</f>
        <v>No</v>
      </c>
      <c r="C41" s="96"/>
      <c r="D41" s="96"/>
      <c r="E41" s="96"/>
      <c r="F41" s="96"/>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0"/>
      <c r="X41" s="10"/>
      <c r="Y41" s="10"/>
      <c r="Z41" s="10"/>
      <c r="AA41" s="10"/>
      <c r="AB41" s="10"/>
      <c r="AC41" s="10"/>
      <c r="AD41" s="10"/>
      <c r="AE41" s="10"/>
      <c r="AF41" s="10"/>
      <c r="AG41" s="10"/>
      <c r="AH41" s="10"/>
      <c r="AI41" s="10"/>
      <c r="AJ41" s="4"/>
      <c r="AK41" s="4"/>
      <c r="AL41" s="4"/>
      <c r="AM41" s="4"/>
      <c r="AN41" s="4"/>
      <c r="AO41" s="4"/>
      <c r="AP41" s="4"/>
    </row>
    <row r="42" spans="1:42" ht="12.5" x14ac:dyDescent="0.25">
      <c r="A42" s="4" t="str">
        <f ca="1">IFERROR(__xludf.DUMMYFUNCTION("""COMPUTED_VALUE"""),"Yes")</f>
        <v>Yes</v>
      </c>
      <c r="B42" s="4" t="str">
        <f ca="1">IFERROR(__xludf.DUMMYFUNCTION("""COMPUTED_VALUE"""),"No")</f>
        <v>No</v>
      </c>
      <c r="C42" s="96"/>
      <c r="D42" s="96"/>
      <c r="E42" s="96"/>
      <c r="F42" s="96"/>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0"/>
      <c r="X42" s="10"/>
      <c r="Y42" s="10"/>
      <c r="Z42" s="10"/>
      <c r="AA42" s="10"/>
      <c r="AB42" s="10"/>
      <c r="AC42" s="10"/>
      <c r="AD42" s="10"/>
      <c r="AE42" s="10"/>
      <c r="AF42" s="10"/>
      <c r="AG42" s="10"/>
      <c r="AH42" s="10"/>
      <c r="AI42" s="10"/>
      <c r="AJ42" s="4"/>
      <c r="AK42" s="4"/>
      <c r="AL42" s="4"/>
      <c r="AM42" s="4"/>
      <c r="AN42" s="4"/>
      <c r="AO42" s="4"/>
      <c r="AP42" s="4"/>
    </row>
    <row r="43" spans="1:42" ht="12.5" x14ac:dyDescent="0.25">
      <c r="A43" s="4" t="str">
        <f ca="1">IFERROR(__xludf.DUMMYFUNCTION("""COMPUTED_VALUE"""),"Yes")</f>
        <v>Yes</v>
      </c>
      <c r="B43" s="4" t="str">
        <f ca="1">IFERROR(__xludf.DUMMYFUNCTION("""COMPUTED_VALUE"""),"No")</f>
        <v>No</v>
      </c>
      <c r="C43" s="96"/>
      <c r="D43" s="96"/>
      <c r="E43" s="96"/>
      <c r="F43" s="96"/>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0"/>
      <c r="X43" s="10"/>
      <c r="Y43" s="10"/>
      <c r="Z43" s="10"/>
      <c r="AA43" s="10"/>
      <c r="AB43" s="10"/>
      <c r="AC43" s="10"/>
      <c r="AD43" s="10"/>
      <c r="AE43" s="10"/>
      <c r="AF43" s="10"/>
      <c r="AG43" s="10"/>
      <c r="AH43" s="10"/>
      <c r="AI43" s="10"/>
      <c r="AJ43" s="4"/>
      <c r="AK43" s="4"/>
      <c r="AL43" s="4"/>
      <c r="AM43" s="4"/>
      <c r="AN43" s="4"/>
      <c r="AO43" s="4"/>
      <c r="AP43" s="4"/>
    </row>
    <row r="44" spans="1:42" ht="12.5" x14ac:dyDescent="0.25">
      <c r="A44" s="4" t="str">
        <f ca="1">IFERROR(__xludf.DUMMYFUNCTION("""COMPUTED_VALUE"""),"Yes")</f>
        <v>Yes</v>
      </c>
      <c r="B44" s="4" t="str">
        <f ca="1">IFERROR(__xludf.DUMMYFUNCTION("""COMPUTED_VALUE"""),"No")</f>
        <v>No</v>
      </c>
      <c r="C44" s="96"/>
      <c r="D44" s="96"/>
      <c r="E44" s="96"/>
      <c r="F44" s="96"/>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0"/>
      <c r="X44" s="10"/>
      <c r="Y44" s="10"/>
      <c r="Z44" s="10"/>
      <c r="AA44" s="10"/>
      <c r="AB44" s="10"/>
      <c r="AC44" s="10"/>
      <c r="AD44" s="10"/>
      <c r="AE44" s="10"/>
      <c r="AF44" s="10"/>
      <c r="AG44" s="10"/>
      <c r="AH44" s="10"/>
      <c r="AI44" s="10"/>
      <c r="AJ44" s="4"/>
      <c r="AK44" s="4"/>
      <c r="AL44" s="4"/>
      <c r="AM44" s="4"/>
      <c r="AN44" s="4"/>
      <c r="AO44" s="4"/>
      <c r="AP44" s="4"/>
    </row>
    <row r="45" spans="1:42" ht="12.5" x14ac:dyDescent="0.25">
      <c r="A45" s="4" t="str">
        <f ca="1">IFERROR(__xludf.DUMMYFUNCTION("""COMPUTED_VALUE"""),"Yes")</f>
        <v>Yes</v>
      </c>
      <c r="B45" s="4" t="str">
        <f ca="1">IFERROR(__xludf.DUMMYFUNCTION("""COMPUTED_VALUE"""),"No")</f>
        <v>No</v>
      </c>
      <c r="C45" s="96"/>
      <c r="D45" s="96"/>
      <c r="E45" s="96"/>
      <c r="F45" s="96"/>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0"/>
      <c r="X45" s="10"/>
      <c r="Y45" s="10"/>
      <c r="Z45" s="10"/>
      <c r="AA45" s="10"/>
      <c r="AB45" s="10"/>
      <c r="AC45" s="10"/>
      <c r="AD45" s="10"/>
      <c r="AE45" s="10"/>
      <c r="AF45" s="10"/>
      <c r="AG45" s="10"/>
      <c r="AH45" s="10"/>
      <c r="AI45" s="10"/>
      <c r="AJ45" s="4"/>
      <c r="AK45" s="4"/>
      <c r="AL45" s="4"/>
      <c r="AM45" s="4"/>
      <c r="AN45" s="4"/>
      <c r="AO45" s="4"/>
      <c r="AP45" s="4"/>
    </row>
    <row r="46" spans="1:42" ht="12.5" x14ac:dyDescent="0.25">
      <c r="A46" s="4" t="str">
        <f ca="1">IFERROR(__xludf.DUMMYFUNCTION("""COMPUTED_VALUE"""),"Yes")</f>
        <v>Yes</v>
      </c>
      <c r="B46" s="4" t="str">
        <f ca="1">IFERROR(__xludf.DUMMYFUNCTION("""COMPUTED_VALUE"""),"No")</f>
        <v>No</v>
      </c>
      <c r="C46" s="96"/>
      <c r="D46" s="96"/>
      <c r="E46" s="96"/>
      <c r="F46" s="96"/>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0"/>
      <c r="X46" s="10"/>
      <c r="Y46" s="10"/>
      <c r="Z46" s="10"/>
      <c r="AA46" s="10"/>
      <c r="AB46" s="10"/>
      <c r="AC46" s="10"/>
      <c r="AD46" s="10"/>
      <c r="AE46" s="10"/>
      <c r="AF46" s="10"/>
      <c r="AG46" s="10"/>
      <c r="AH46" s="10"/>
      <c r="AI46" s="10"/>
      <c r="AJ46" s="4"/>
      <c r="AK46" s="4"/>
      <c r="AL46" s="4"/>
      <c r="AM46" s="4"/>
      <c r="AN46" s="4"/>
      <c r="AO46" s="4"/>
      <c r="AP46" s="4"/>
    </row>
    <row r="47" spans="1:42" ht="12.5" x14ac:dyDescent="0.25">
      <c r="A47" s="4" t="str">
        <f ca="1">IFERROR(__xludf.DUMMYFUNCTION("""COMPUTED_VALUE"""),"Yes")</f>
        <v>Yes</v>
      </c>
      <c r="B47" s="4" t="str">
        <f ca="1">IFERROR(__xludf.DUMMYFUNCTION("""COMPUTED_VALUE"""),"Yes")</f>
        <v>Yes</v>
      </c>
      <c r="C47" s="96"/>
      <c r="D47" s="96"/>
      <c r="E47" s="97" t="str">
        <f ca="1">IFERROR(__xludf.DUMMYFUNCTION("""COMPUTED_VALUE"""),"Population Group")</f>
        <v>Population Group</v>
      </c>
      <c r="F47" s="97" t="str">
        <f ca="1">IFERROR(__xludf.DUMMYFUNCTION("""COMPUTED_VALUE"""),"1:N")</f>
        <v>1:N</v>
      </c>
      <c r="G47" s="5" t="str">
        <f ca="1">IFERROR(__xludf.DUMMYFUNCTION("""COMPUTED_VALUE"""),"Population name")</f>
        <v>Population name</v>
      </c>
      <c r="H47" s="5" t="str">
        <f ca="1">IFERROR(__xludf.DUMMYFUNCTION("""COMPUTED_VALUE"""),"1")</f>
        <v>1</v>
      </c>
      <c r="I47" s="5"/>
      <c r="J47" s="13"/>
      <c r="K47" s="4"/>
      <c r="L47" s="15"/>
      <c r="M47" s="15"/>
      <c r="N47" s="15"/>
      <c r="O47" s="10"/>
      <c r="P47" s="10"/>
      <c r="Q47" s="10"/>
      <c r="R47" s="10"/>
      <c r="S47" s="10"/>
      <c r="T47" s="10"/>
      <c r="U47" s="21"/>
      <c r="V47" s="21"/>
      <c r="W47" s="10"/>
      <c r="X47" s="10"/>
      <c r="Y47" s="10"/>
      <c r="Z47" s="10"/>
      <c r="AA47" s="10"/>
      <c r="AB47" s="10"/>
      <c r="AC47" s="10"/>
      <c r="AD47" s="10"/>
      <c r="AE47" s="10"/>
      <c r="AF47" s="10"/>
      <c r="AG47" s="10"/>
      <c r="AH47" s="10"/>
      <c r="AI47" s="10"/>
      <c r="AJ47" s="4"/>
      <c r="AK47" s="4"/>
      <c r="AL47" s="4"/>
      <c r="AM47" s="4"/>
      <c r="AN47" s="4"/>
      <c r="AO47" s="4"/>
      <c r="AP47" s="4"/>
    </row>
    <row r="48" spans="1:42" ht="12.5" x14ac:dyDescent="0.25">
      <c r="A48" s="4" t="str">
        <f ca="1">IFERROR(__xludf.DUMMYFUNCTION("""COMPUTED_VALUE"""),"Yes")</f>
        <v>Yes</v>
      </c>
      <c r="B48" s="4" t="str">
        <f ca="1">IFERROR(__xludf.DUMMYFUNCTION("""COMPUTED_VALUE"""),"No")</f>
        <v>No</v>
      </c>
      <c r="C48" s="96"/>
      <c r="D48" s="96"/>
      <c r="E48" s="96"/>
      <c r="F48" s="96"/>
      <c r="G48" s="5" t="str">
        <f ca="1">IFERROR(__xludf.DUMMYFUNCTION("""COMPUTED_VALUE"""),"Target population")</f>
        <v>Target population</v>
      </c>
      <c r="H48" s="5" t="str">
        <f ca="1">IFERROR(__xludf.DUMMYFUNCTION("""COMPUTED_VALUE"""),"0:1")</f>
        <v>0:1</v>
      </c>
      <c r="I48" s="5"/>
      <c r="J48" s="13"/>
      <c r="K48" s="4"/>
      <c r="L48" s="15"/>
      <c r="M48" s="15"/>
      <c r="N48" s="15"/>
      <c r="O48" s="10"/>
      <c r="P48" s="10"/>
      <c r="Q48" s="10"/>
      <c r="R48" s="10"/>
      <c r="S48" s="10"/>
      <c r="T48" s="10"/>
      <c r="U48" s="21"/>
      <c r="V48" s="21"/>
      <c r="W48" s="10"/>
      <c r="X48" s="10"/>
      <c r="Y48" s="10"/>
      <c r="Z48" s="10"/>
      <c r="AA48" s="10"/>
      <c r="AB48" s="10"/>
      <c r="AC48" s="10"/>
      <c r="AD48" s="10"/>
      <c r="AE48" s="10"/>
      <c r="AF48" s="10"/>
      <c r="AG48" s="10"/>
      <c r="AH48" s="10"/>
      <c r="AI48" s="10"/>
      <c r="AJ48" s="4"/>
      <c r="AK48" s="4"/>
      <c r="AL48" s="4"/>
      <c r="AM48" s="4"/>
      <c r="AN48" s="4"/>
      <c r="AO48" s="4"/>
      <c r="AP48" s="4"/>
    </row>
    <row r="49" spans="1:42" ht="12.5" x14ac:dyDescent="0.25">
      <c r="A49" s="4" t="str">
        <f ca="1">IFERROR(__xludf.DUMMYFUNCTION("""COMPUTED_VALUE"""),"Yes")</f>
        <v>Yes</v>
      </c>
      <c r="B49" s="4" t="str">
        <f ca="1">IFERROR(__xludf.DUMMYFUNCTION("""COMPUTED_VALUE"""),"No")</f>
        <v>No</v>
      </c>
      <c r="C49" s="96"/>
      <c r="D49" s="96"/>
      <c r="E49" s="96"/>
      <c r="F49" s="96"/>
      <c r="G49" s="5" t="str">
        <f ca="1">IFERROR(__xludf.DUMMYFUNCTION("""COMPUTED_VALUE"""),"Population Span (years)")</f>
        <v>Population Span (years)</v>
      </c>
      <c r="H49" s="5" t="str">
        <f ca="1">IFERROR(__xludf.DUMMYFUNCTION("""COMPUTED_VALUE"""),"0:N")</f>
        <v>0:N</v>
      </c>
      <c r="I49" s="5"/>
      <c r="J49" s="13"/>
      <c r="K49" s="4"/>
      <c r="L49" s="15"/>
      <c r="M49" s="15"/>
      <c r="N49" s="15"/>
      <c r="O49" s="10"/>
      <c r="P49" s="10"/>
      <c r="Q49" s="10"/>
      <c r="R49" s="10"/>
      <c r="S49" s="10"/>
      <c r="T49" s="10"/>
      <c r="U49" s="21"/>
      <c r="V49" s="21"/>
      <c r="W49" s="10"/>
      <c r="X49" s="10"/>
      <c r="Y49" s="10"/>
      <c r="Z49" s="10"/>
      <c r="AA49" s="10"/>
      <c r="AB49" s="10"/>
      <c r="AC49" s="10"/>
      <c r="AD49" s="10"/>
      <c r="AE49" s="10"/>
      <c r="AF49" s="10"/>
      <c r="AG49" s="10"/>
      <c r="AH49" s="10"/>
      <c r="AI49" s="10"/>
      <c r="AJ49" s="4"/>
      <c r="AK49" s="4"/>
      <c r="AL49" s="4"/>
      <c r="AM49" s="4"/>
      <c r="AN49" s="4"/>
      <c r="AO49" s="4"/>
      <c r="AP49" s="4"/>
    </row>
    <row r="50" spans="1:42" ht="12.5" x14ac:dyDescent="0.25">
      <c r="A50" s="4" t="str">
        <f ca="1">IFERROR(__xludf.DUMMYFUNCTION("""COMPUTED_VALUE"""),"Yes")</f>
        <v>Yes</v>
      </c>
      <c r="B50" s="4" t="str">
        <f ca="1">IFERROR(__xludf.DUMMYFUNCTION("""COMPUTED_VALUE"""),"No")</f>
        <v>No</v>
      </c>
      <c r="C50" s="96"/>
      <c r="D50" s="96"/>
      <c r="E50" s="96"/>
      <c r="F50" s="96"/>
      <c r="G50" s="5" t="str">
        <f ca="1">IFERROR(__xludf.DUMMYFUNCTION("""COMPUTED_VALUE"""),"Population description")</f>
        <v>Population description</v>
      </c>
      <c r="H50" s="5" t="str">
        <f ca="1">IFERROR(__xludf.DUMMYFUNCTION("""COMPUTED_VALUE"""),"0:N")</f>
        <v>0:N</v>
      </c>
      <c r="I50" s="5"/>
      <c r="J50" s="13"/>
      <c r="K50" s="4"/>
      <c r="L50" s="15"/>
      <c r="M50" s="15"/>
      <c r="N50" s="15"/>
      <c r="O50" s="10"/>
      <c r="P50" s="10"/>
      <c r="Q50" s="10"/>
      <c r="R50" s="10"/>
      <c r="S50" s="10"/>
      <c r="T50" s="10"/>
      <c r="U50" s="21"/>
      <c r="V50" s="21"/>
      <c r="W50" s="10"/>
      <c r="X50" s="10"/>
      <c r="Y50" s="10"/>
      <c r="Z50" s="10"/>
      <c r="AA50" s="10"/>
      <c r="AB50" s="10"/>
      <c r="AC50" s="10"/>
      <c r="AD50" s="10"/>
      <c r="AE50" s="10"/>
      <c r="AF50" s="10"/>
      <c r="AG50" s="10"/>
      <c r="AH50" s="10"/>
      <c r="AI50" s="10"/>
      <c r="AJ50" s="4"/>
      <c r="AK50" s="4"/>
      <c r="AL50" s="4"/>
      <c r="AM50" s="4"/>
      <c r="AN50" s="4"/>
      <c r="AO50" s="4"/>
      <c r="AP50" s="4"/>
    </row>
    <row r="51" spans="1:42" ht="12.5" x14ac:dyDescent="0.25">
      <c r="A51" s="4" t="str">
        <f ca="1">IFERROR(__xludf.DUMMYFUNCTION("""COMPUTED_VALUE"""),"Yes")</f>
        <v>Yes</v>
      </c>
      <c r="B51" s="4" t="str">
        <f ca="1">IFERROR(__xludf.DUMMYFUNCTION("""COMPUTED_VALUE"""),"No")</f>
        <v>No</v>
      </c>
      <c r="C51" s="96"/>
      <c r="D51" s="96"/>
      <c r="E51" s="96"/>
      <c r="F51" s="96"/>
      <c r="G51" s="5" t="str">
        <f ca="1">IFERROR(__xludf.DUMMYFUNCTION("""COMPUTED_VALUE"""),"Population age")</f>
        <v>Population age</v>
      </c>
      <c r="H51" s="5" t="str">
        <f ca="1">IFERROR(__xludf.DUMMYFUNCTION("""COMPUTED_VALUE"""),"0:N")</f>
        <v>0:N</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x14ac:dyDescent="0.25">
      <c r="A52" s="4" t="str">
        <f ca="1">IFERROR(__xludf.DUMMYFUNCTION("""COMPUTED_VALUE"""),"Yes")</f>
        <v>Yes</v>
      </c>
      <c r="B52" s="4" t="str">
        <f ca="1">IFERROR(__xludf.DUMMYFUNCTION("""COMPUTED_VALUE"""),"No")</f>
        <v>No</v>
      </c>
      <c r="C52" s="96"/>
      <c r="D52" s="96"/>
      <c r="E52" s="96"/>
      <c r="F52" s="96"/>
      <c r="G52" s="5" t="str">
        <f ca="1">IFERROR(__xludf.DUMMYFUNCTION("""COMPUTED_VALUE"""),"Population gender")</f>
        <v>Population gender</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x14ac:dyDescent="0.25">
      <c r="A53" s="4" t="str">
        <f ca="1">IFERROR(__xludf.DUMMYFUNCTION("""COMPUTED_VALUE"""),"Yes")</f>
        <v>Yes</v>
      </c>
      <c r="B53" s="4" t="str">
        <f ca="1">IFERROR(__xludf.DUMMYFUNCTION("""COMPUTED_VALUE"""),"No")</f>
        <v>No</v>
      </c>
      <c r="C53" s="96"/>
      <c r="D53" s="96"/>
      <c r="E53" s="96"/>
      <c r="F53" s="96"/>
      <c r="G53" s="5" t="str">
        <f ca="1">IFERROR(__xludf.DUMMYFUNCTION("""COMPUTED_VALUE"""),"BMI")</f>
        <v>BMI</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x14ac:dyDescent="0.25">
      <c r="A54" s="4" t="str">
        <f ca="1">IFERROR(__xludf.DUMMYFUNCTION("""COMPUTED_VALUE"""),"Yes")</f>
        <v>Yes</v>
      </c>
      <c r="B54" s="4" t="str">
        <f ca="1">IFERROR(__xludf.DUMMYFUNCTION("""COMPUTED_VALUE"""),"No")</f>
        <v>No</v>
      </c>
      <c r="C54" s="96"/>
      <c r="D54" s="96"/>
      <c r="E54" s="96"/>
      <c r="F54" s="96"/>
      <c r="G54" s="5" t="str">
        <f ca="1">IFERROR(__xludf.DUMMYFUNCTION("""COMPUTED_VALUE"""),"Special diet groups")</f>
        <v>Special diet groups</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x14ac:dyDescent="0.25">
      <c r="A55" s="4" t="str">
        <f ca="1">IFERROR(__xludf.DUMMYFUNCTION("""COMPUTED_VALUE"""),"Yes")</f>
        <v>Yes</v>
      </c>
      <c r="B55" s="4" t="str">
        <f ca="1">IFERROR(__xludf.DUMMYFUNCTION("""COMPUTED_VALUE"""),"No")</f>
        <v>No</v>
      </c>
      <c r="C55" s="96"/>
      <c r="D55" s="96"/>
      <c r="E55" s="96"/>
      <c r="F55" s="96"/>
      <c r="G55" s="5" t="str">
        <f ca="1">IFERROR(__xludf.DUMMYFUNCTION("""COMPUTED_VALUE"""),"Pattern consumption")</f>
        <v>Pattern consumption</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x14ac:dyDescent="0.25">
      <c r="A56" s="4" t="str">
        <f ca="1">IFERROR(__xludf.DUMMYFUNCTION("""COMPUTED_VALUE"""),"Yes")</f>
        <v>Yes</v>
      </c>
      <c r="B56" s="4" t="str">
        <f ca="1">IFERROR(__xludf.DUMMYFUNCTION("""COMPUTED_VALUE"""),"No")</f>
        <v>No</v>
      </c>
      <c r="C56" s="96"/>
      <c r="D56" s="96"/>
      <c r="E56" s="96"/>
      <c r="F56" s="96"/>
      <c r="G56" s="5" t="str">
        <f ca="1">IFERROR(__xludf.DUMMYFUNCTION("""COMPUTED_VALUE"""),"Region")</f>
        <v>Region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x14ac:dyDescent="0.25">
      <c r="A57" s="4" t="str">
        <f ca="1">IFERROR(__xludf.DUMMYFUNCTION("""COMPUTED_VALUE"""),"Yes")</f>
        <v>Yes</v>
      </c>
      <c r="B57" s="4" t="str">
        <f ca="1">IFERROR(__xludf.DUMMYFUNCTION("""COMPUTED_VALUE"""),"No")</f>
        <v>No</v>
      </c>
      <c r="C57" s="96"/>
      <c r="D57" s="96"/>
      <c r="E57" s="96"/>
      <c r="F57" s="96"/>
      <c r="G57" s="5" t="str">
        <f ca="1">IFERROR(__xludf.DUMMYFUNCTION("""COMPUTED_VALUE"""),"Country")</f>
        <v>Country</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x14ac:dyDescent="0.25">
      <c r="A58" s="4" t="str">
        <f ca="1">IFERROR(__xludf.DUMMYFUNCTION("""COMPUTED_VALUE"""),"Yes")</f>
        <v>Yes</v>
      </c>
      <c r="B58" s="4" t="str">
        <f ca="1">IFERROR(__xludf.DUMMYFUNCTION("""COMPUTED_VALUE"""),"No")</f>
        <v>No</v>
      </c>
      <c r="C58" s="96"/>
      <c r="D58" s="96"/>
      <c r="E58" s="96"/>
      <c r="F58" s="96"/>
      <c r="G58" s="5" t="str">
        <f ca="1">IFERROR(__xludf.DUMMYFUNCTION("""COMPUTED_VALUE"""),"Risk and population factors")</f>
        <v>Risk and population factors</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x14ac:dyDescent="0.25">
      <c r="A59" s="4" t="str">
        <f ca="1">IFERROR(__xludf.DUMMYFUNCTION("""COMPUTED_VALUE"""),"Yes")</f>
        <v>Yes</v>
      </c>
      <c r="B59" s="4" t="str">
        <f ca="1">IFERROR(__xludf.DUMMYFUNCTION("""COMPUTED_VALUE"""),"No")</f>
        <v>No</v>
      </c>
      <c r="C59" s="96"/>
      <c r="D59" s="96"/>
      <c r="E59" s="96"/>
      <c r="F59" s="96"/>
      <c r="G59" s="5" t="str">
        <f ca="1">IFERROR(__xludf.DUMMYFUNCTION("""COMPUTED_VALUE"""),"Season")</f>
        <v>Season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x14ac:dyDescent="0.25">
      <c r="A60" s="4" t="str">
        <f ca="1">IFERROR(__xludf.DUMMYFUNCTION("""COMPUTED_VALUE"""),"Yes")</f>
        <v>Yes</v>
      </c>
      <c r="B60" s="4" t="str">
        <f ca="1">IFERROR(__xludf.DUMMYFUNCTION("""COMPUTED_VALUE"""),"No")</f>
        <v>No</v>
      </c>
      <c r="C60" s="96"/>
      <c r="D60" s="96"/>
      <c r="E60" s="5" t="str">
        <f ca="1">IFERROR(__xludf.DUMMYFUNCTION("""COMPUTED_VALUE"""),"General comment")</f>
        <v>General comment</v>
      </c>
      <c r="F60" s="97" t="str">
        <f ca="1">IFERROR(__xludf.DUMMYFUNCTION("""COMPUTED_VALUE"""),"0:1")</f>
        <v>0:1</v>
      </c>
      <c r="G60" s="96"/>
      <c r="H60" s="96"/>
      <c r="I60" s="5"/>
      <c r="J60" s="10"/>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x14ac:dyDescent="0.25">
      <c r="A61" s="4" t="str">
        <f ca="1">IFERROR(__xludf.DUMMYFUNCTION("""COMPUTED_VALUE"""),"Yes")</f>
        <v>Yes</v>
      </c>
      <c r="B61" s="4" t="str">
        <f ca="1">IFERROR(__xludf.DUMMYFUNCTION("""COMPUTED_VALUE"""),"Yes")</f>
        <v>Yes</v>
      </c>
      <c r="C61" s="96"/>
      <c r="D61" s="96"/>
      <c r="E61" s="5" t="str">
        <f ca="1">IFERROR(__xludf.DUMMYFUNCTION("""COMPUTED_VALUE"""),"Temporal information")</f>
        <v>Temporal information</v>
      </c>
      <c r="F61" s="5" t="str">
        <f ca="1">IFERROR(__xludf.DUMMYFUNCTION("""COMPUTED_VALUE"""),"0:1")</f>
        <v>0:1</v>
      </c>
      <c r="G61" s="5" t="str">
        <f ca="1">IFERROR(__xludf.DUMMYFUNCTION("""COMPUTED_VALUE"""),"Time")</f>
        <v>Time</v>
      </c>
      <c r="H61" s="5" t="str">
        <f ca="1">IFERROR(__xludf.DUMMYFUNCTION("""COMPUTED_VALUE"""),"1")</f>
        <v>1</v>
      </c>
      <c r="I61" s="75"/>
      <c r="J61" s="10"/>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x14ac:dyDescent="0.25">
      <c r="A62" s="4" t="str">
        <f ca="1">IFERROR(__xludf.DUMMYFUNCTION("""COMPUTED_VALUE"""),"Yes")</f>
        <v>Yes</v>
      </c>
      <c r="B62" s="4" t="str">
        <f ca="1">IFERROR(__xludf.DUMMYFUNCTION("""COMPUTED_VALUE"""),"Yes")</f>
        <v>Yes</v>
      </c>
      <c r="C62" s="96"/>
      <c r="D62" s="96"/>
      <c r="E62" s="97" t="str">
        <f ca="1">IFERROR(__xludf.DUMMYFUNCTION("""COMPUTED_VALUE"""),"Spatial information")</f>
        <v>Spatial information</v>
      </c>
      <c r="F62" s="97" t="str">
        <f ca="1">IFERROR(__xludf.DUMMYFUNCTION("""COMPUTED_VALUE"""),"0:1")</f>
        <v>0:1</v>
      </c>
      <c r="G62" s="5" t="str">
        <f ca="1">IFERROR(__xludf.DUMMYFUNCTION("""COMPUTED_VALUE"""),"Region")</f>
        <v>Region</v>
      </c>
      <c r="H62" s="5" t="str">
        <f ca="1">IFERROR(__xludf.DUMMYFUNCTION("""COMPUTED_VALUE"""),"0:N")</f>
        <v>0:N</v>
      </c>
      <c r="I62" s="5"/>
      <c r="J62" s="15"/>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x14ac:dyDescent="0.25">
      <c r="A63" s="4" t="str">
        <f ca="1">IFERROR(__xludf.DUMMYFUNCTION("""COMPUTED_VALUE"""),"Yes")</f>
        <v>Yes</v>
      </c>
      <c r="B63" s="4" t="str">
        <f ca="1">IFERROR(__xludf.DUMMYFUNCTION("""COMPUTED_VALUE"""),"Yes")</f>
        <v>Yes</v>
      </c>
      <c r="C63" s="96"/>
      <c r="D63" s="96"/>
      <c r="E63" s="96"/>
      <c r="F63" s="96"/>
      <c r="G63" s="5" t="str">
        <f ca="1">IFERROR(__xludf.DUMMYFUNCTION("""COMPUTED_VALUE"""),"Country")</f>
        <v>Country</v>
      </c>
      <c r="H63" s="5" t="str">
        <f ca="1">IFERROR(__xludf.DUMMYFUNCTION("""COMPUTED_VALUE"""),"0:N")</f>
        <v>0:N</v>
      </c>
      <c r="I63" s="5"/>
      <c r="J63" s="10"/>
      <c r="K63" s="5"/>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x14ac:dyDescent="0.25">
      <c r="A64" s="4" t="str">
        <f ca="1">IFERROR(__xludf.DUMMYFUNCTION("""COMPUTED_VALUE"""),"Yes")</f>
        <v>Yes</v>
      </c>
      <c r="B64" s="4" t="str">
        <f ca="1">IFERROR(__xludf.DUMMYFUNCTION("""COMPUTED_VALUE"""),"No")</f>
        <v>No</v>
      </c>
      <c r="C64" s="95" t="str">
        <f ca="1">IFERROR(__xludf.DUMMYFUNCTION("""COMPUTED_VALUE"""),"Data_background")</f>
        <v>Data_background</v>
      </c>
      <c r="D64" s="95" t="str">
        <f ca="1">IFERROR(__xludf.DUMMYFUNCTION("""COMPUTED_VALUE"""),"0:1")</f>
        <v>0:1</v>
      </c>
      <c r="E64" s="97" t="str">
        <f ca="1">IFERROR(__xludf.DUMMYFUNCTION("""COMPUTED_VALUE"""),"Study")</f>
        <v>Study</v>
      </c>
      <c r="F64" s="97" t="str">
        <f ca="1">IFERROR(__xludf.DUMMYFUNCTION("""COMPUTED_VALUE"""),"1")</f>
        <v>1</v>
      </c>
      <c r="G64" s="5" t="str">
        <f ca="1">IFERROR(__xludf.DUMMYFUNCTION("""COMPUTED_VALUE"""),"Study Identifier")</f>
        <v>Study Identifier</v>
      </c>
      <c r="H64" s="5" t="str">
        <f ca="1">IFERROR(__xludf.DUMMYFUNCTION("""COMPUTED_VALUE"""),"0:1")</f>
        <v>0:1</v>
      </c>
      <c r="I64" s="5"/>
      <c r="J64" s="11"/>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x14ac:dyDescent="0.25">
      <c r="A65" s="4" t="str">
        <f ca="1">IFERROR(__xludf.DUMMYFUNCTION("""COMPUTED_VALUE"""),"Yes")</f>
        <v>Yes</v>
      </c>
      <c r="B65" s="4" t="str">
        <f ca="1">IFERROR(__xludf.DUMMYFUNCTION("""COMPUTED_VALUE"""),"No")</f>
        <v>No</v>
      </c>
      <c r="C65" s="96"/>
      <c r="D65" s="96"/>
      <c r="E65" s="96"/>
      <c r="F65" s="96"/>
      <c r="G65" s="5" t="str">
        <f ca="1">IFERROR(__xludf.DUMMYFUNCTION("""COMPUTED_VALUE"""),"Study Title")</f>
        <v>Study Title</v>
      </c>
      <c r="H65" s="5" t="str">
        <f ca="1">IFERROR(__xludf.DUMMYFUNCTION("""COMPUTED_VALUE"""),"1")</f>
        <v>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x14ac:dyDescent="0.25">
      <c r="A66" s="4" t="str">
        <f ca="1">IFERROR(__xludf.DUMMYFUNCTION("""COMPUTED_VALUE"""),"Yes")</f>
        <v>Yes</v>
      </c>
      <c r="B66" s="4" t="str">
        <f ca="1">IFERROR(__xludf.DUMMYFUNCTION("""COMPUTED_VALUE"""),"No")</f>
        <v>No</v>
      </c>
      <c r="C66" s="96"/>
      <c r="D66" s="96"/>
      <c r="E66" s="96"/>
      <c r="F66" s="96"/>
      <c r="G66" s="5" t="str">
        <f ca="1">IFERROR(__xludf.DUMMYFUNCTION("""COMPUTED_VALUE"""),"Study Description")</f>
        <v>Study Description</v>
      </c>
      <c r="H66" s="5" t="str">
        <f ca="1">IFERROR(__xludf.DUMMYFUNCTION("""COMPUTED_VALUE"""),"0:1")</f>
        <v>0:1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x14ac:dyDescent="0.25">
      <c r="A67" s="4" t="str">
        <f ca="1">IFERROR(__xludf.DUMMYFUNCTION("""COMPUTED_VALUE"""),"Yes")</f>
        <v>Yes</v>
      </c>
      <c r="B67" s="4" t="str">
        <f ca="1">IFERROR(__xludf.DUMMYFUNCTION("""COMPUTED_VALUE"""),"No")</f>
        <v>No</v>
      </c>
      <c r="C67" s="96"/>
      <c r="D67" s="96"/>
      <c r="E67" s="96"/>
      <c r="F67" s="96"/>
      <c r="G67" s="5" t="str">
        <f ca="1">IFERROR(__xludf.DUMMYFUNCTION("""COMPUTED_VALUE"""),"Study Design Type")</f>
        <v>Study Design Type</v>
      </c>
      <c r="H67" s="5" t="str">
        <f ca="1">IFERROR(__xludf.DUMMYFUNCTION("""COMPUTED_VALUE"""),"0:1")</f>
        <v>0:1</v>
      </c>
      <c r="I67" s="7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x14ac:dyDescent="0.25">
      <c r="A68" s="4" t="str">
        <f ca="1">IFERROR(__xludf.DUMMYFUNCTION("""COMPUTED_VALUE"""),"Yes")</f>
        <v>Yes</v>
      </c>
      <c r="B68" s="4" t="str">
        <f ca="1">IFERROR(__xludf.DUMMYFUNCTION("""COMPUTED_VALUE"""),"No")</f>
        <v>No</v>
      </c>
      <c r="C68" s="96"/>
      <c r="D68" s="96"/>
      <c r="E68" s="96"/>
      <c r="F68" s="96"/>
      <c r="G68" s="5" t="str">
        <f ca="1">IFERROR(__xludf.DUMMYFUNCTION("""COMPUTED_VALUE"""),"Study Assay Measurement Type")</f>
        <v>Study Assay Measurement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x14ac:dyDescent="0.25">
      <c r="A69" s="4" t="str">
        <f ca="1">IFERROR(__xludf.DUMMYFUNCTION("""COMPUTED_VALUE"""),"Yes")</f>
        <v>Yes</v>
      </c>
      <c r="B69" s="4" t="str">
        <f ca="1">IFERROR(__xludf.DUMMYFUNCTION("""COMPUTED_VALUE"""),"No")</f>
        <v>No</v>
      </c>
      <c r="C69" s="96"/>
      <c r="D69" s="96"/>
      <c r="E69" s="96"/>
      <c r="F69" s="96"/>
      <c r="G69" s="5" t="str">
        <f ca="1">IFERROR(__xludf.DUMMYFUNCTION("""COMPUTED_VALUE"""),"Study Assay Technology Type")</f>
        <v>Study Assay Technology Type</v>
      </c>
      <c r="H69" s="5" t="str">
        <f ca="1">IFERROR(__xludf.DUMMYFUNCTION("""COMPUTED_VALUE"""),"0:1")</f>
        <v>0:1</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x14ac:dyDescent="0.25">
      <c r="A70" s="4" t="str">
        <f ca="1">IFERROR(__xludf.DUMMYFUNCTION("""COMPUTED_VALUE"""),"Yes")</f>
        <v>Yes</v>
      </c>
      <c r="B70" s="4" t="str">
        <f ca="1">IFERROR(__xludf.DUMMYFUNCTION("""COMPUTED_VALUE"""),"No")</f>
        <v>No</v>
      </c>
      <c r="C70" s="96"/>
      <c r="D70" s="96"/>
      <c r="E70" s="96"/>
      <c r="F70" s="96"/>
      <c r="G70" s="5" t="str">
        <f ca="1">IFERROR(__xludf.DUMMYFUNCTION("""COMPUTED_VALUE"""),"Study Assay Technology Platform")</f>
        <v>Study Assay Technology Platform</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x14ac:dyDescent="0.25">
      <c r="A71" s="4" t="str">
        <f ca="1">IFERROR(__xludf.DUMMYFUNCTION("""COMPUTED_VALUE"""),"Yes")</f>
        <v>Yes</v>
      </c>
      <c r="B71" s="4" t="str">
        <f ca="1">IFERROR(__xludf.DUMMYFUNCTION("""COMPUTED_VALUE"""),"No")</f>
        <v>No</v>
      </c>
      <c r="C71" s="96"/>
      <c r="D71" s="96"/>
      <c r="E71" s="96"/>
      <c r="F71" s="96"/>
      <c r="G71" s="5" t="str">
        <f ca="1">IFERROR(__xludf.DUMMYFUNCTION("""COMPUTED_VALUE"""),"Accreditation procedure for the assay technology")</f>
        <v>Accreditation procedure for the assay technology</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x14ac:dyDescent="0.25">
      <c r="A72" s="4" t="str">
        <f ca="1">IFERROR(__xludf.DUMMYFUNCTION("""COMPUTED_VALUE"""),"Yes")</f>
        <v>Yes</v>
      </c>
      <c r="B72" s="4" t="str">
        <f ca="1">IFERROR(__xludf.DUMMYFUNCTION("""COMPUTED_VALUE"""),"No")</f>
        <v>No</v>
      </c>
      <c r="C72" s="96"/>
      <c r="D72" s="96"/>
      <c r="E72" s="96"/>
      <c r="F72" s="96"/>
      <c r="G72" s="5" t="str">
        <f ca="1">IFERROR(__xludf.DUMMYFUNCTION("""COMPUTED_VALUE"""),"Study Protocol Name")</f>
        <v>Study Protocol Name</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x14ac:dyDescent="0.25">
      <c r="A73" s="4" t="str">
        <f ca="1">IFERROR(__xludf.DUMMYFUNCTION("""COMPUTED_VALUE"""),"Yes")</f>
        <v>Yes</v>
      </c>
      <c r="B73" s="4" t="str">
        <f ca="1">IFERROR(__xludf.DUMMYFUNCTION("""COMPUTED_VALUE"""),"No")</f>
        <v>No</v>
      </c>
      <c r="C73" s="96"/>
      <c r="D73" s="96"/>
      <c r="E73" s="96"/>
      <c r="F73" s="96"/>
      <c r="G73" s="5" t="str">
        <f ca="1">IFERROR(__xludf.DUMMYFUNCTION("""COMPUTED_VALUE"""),"Study Protocol Type")</f>
        <v>Study Protocol Type</v>
      </c>
      <c r="H73" s="5" t="str">
        <f ca="1">IFERROR(__xludf.DUMMYFUNCTION("""COMPUTED_VALUE"""),"0:1")</f>
        <v>0:1</v>
      </c>
      <c r="I73" s="7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x14ac:dyDescent="0.25">
      <c r="A74" s="4" t="str">
        <f ca="1">IFERROR(__xludf.DUMMYFUNCTION("""COMPUTED_VALUE"""),"Yes")</f>
        <v>Yes</v>
      </c>
      <c r="B74" s="4" t="str">
        <f ca="1">IFERROR(__xludf.DUMMYFUNCTION("""COMPUTED_VALUE"""),"No")</f>
        <v>No</v>
      </c>
      <c r="C74" s="96"/>
      <c r="D74" s="96"/>
      <c r="E74" s="96"/>
      <c r="F74" s="96"/>
      <c r="G74" s="5" t="str">
        <f ca="1">IFERROR(__xludf.DUMMYFUNCTION("""COMPUTED_VALUE"""),"Study Protocol Description")</f>
        <v>Study Protocol Description</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x14ac:dyDescent="0.25">
      <c r="A75" s="4" t="str">
        <f ca="1">IFERROR(__xludf.DUMMYFUNCTION("""COMPUTED_VALUE"""),"Yes")</f>
        <v>Yes</v>
      </c>
      <c r="B75" s="4" t="str">
        <f ca="1">IFERROR(__xludf.DUMMYFUNCTION("""COMPUTED_VALUE"""),"No")</f>
        <v>No</v>
      </c>
      <c r="C75" s="96"/>
      <c r="D75" s="96"/>
      <c r="E75" s="96"/>
      <c r="F75" s="96"/>
      <c r="G75" s="5" t="str">
        <f ca="1">IFERROR(__xludf.DUMMYFUNCTION("""COMPUTED_VALUE"""),"Study Protocol URI")</f>
        <v>Study Protocol URI</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x14ac:dyDescent="0.25">
      <c r="A76" s="4" t="str">
        <f ca="1">IFERROR(__xludf.DUMMYFUNCTION("""COMPUTED_VALUE"""),"Yes")</f>
        <v>Yes</v>
      </c>
      <c r="B76" s="4" t="str">
        <f ca="1">IFERROR(__xludf.DUMMYFUNCTION("""COMPUTED_VALUE"""),"No")</f>
        <v>No</v>
      </c>
      <c r="C76" s="96"/>
      <c r="D76" s="96"/>
      <c r="E76" s="96"/>
      <c r="F76" s="96"/>
      <c r="G76" s="5" t="str">
        <f ca="1">IFERROR(__xludf.DUMMYFUNCTION("""COMPUTED_VALUE"""),"Study Protocol Version")</f>
        <v>Study Protocol Version</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x14ac:dyDescent="0.25">
      <c r="A77" s="4" t="str">
        <f ca="1">IFERROR(__xludf.DUMMYFUNCTION("""COMPUTED_VALUE"""),"Yes")</f>
        <v>Yes</v>
      </c>
      <c r="B77" s="4" t="str">
        <f ca="1">IFERROR(__xludf.DUMMYFUNCTION("""COMPUTED_VALUE"""),"No")</f>
        <v>No</v>
      </c>
      <c r="C77" s="96"/>
      <c r="D77" s="96"/>
      <c r="E77" s="96"/>
      <c r="F77" s="96"/>
      <c r="G77" s="5" t="str">
        <f ca="1">IFERROR(__xludf.DUMMYFUNCTION("""COMPUTED_VALUE"""),"Study Protocol Parameters Name")</f>
        <v>Study Protocol Parameters Name</v>
      </c>
      <c r="H77" s="5" t="str">
        <f ca="1">IFERROR(__xludf.DUMMYFUNCTION("""COMPUTED_VALUE"""),"0:1")</f>
        <v>0:1</v>
      </c>
      <c r="I77" s="7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x14ac:dyDescent="0.25">
      <c r="A78" s="4" t="str">
        <f ca="1">IFERROR(__xludf.DUMMYFUNCTION("""COMPUTED_VALUE"""),"Yes")</f>
        <v>Yes</v>
      </c>
      <c r="B78" s="4" t="str">
        <f ca="1">IFERROR(__xludf.DUMMYFUNCTION("""COMPUTED_VALUE"""),"No")</f>
        <v>No</v>
      </c>
      <c r="C78" s="96"/>
      <c r="D78" s="96"/>
      <c r="E78" s="96"/>
      <c r="F78" s="96"/>
      <c r="G78" s="5" t="str">
        <f ca="1">IFERROR(__xludf.DUMMYFUNCTION("""COMPUTED_VALUE"""),"Study Protocol Components Name")</f>
        <v>Study Protocol Components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x14ac:dyDescent="0.25">
      <c r="A79" s="4" t="str">
        <f ca="1">IFERROR(__xludf.DUMMYFUNCTION("""COMPUTED_VALUE"""),"Yes")</f>
        <v>Yes</v>
      </c>
      <c r="B79" s="4" t="str">
        <f ca="1">IFERROR(__xludf.DUMMYFUNCTION("""COMPUTED_VALUE"""),"No")</f>
        <v>No</v>
      </c>
      <c r="C79" s="96"/>
      <c r="D79" s="96"/>
      <c r="E79" s="96"/>
      <c r="F79" s="96"/>
      <c r="G79" s="5" t="str">
        <f ca="1">IFERROR(__xludf.DUMMYFUNCTION("""COMPUTED_VALUE"""),"Study Protocol Components Type")</f>
        <v>Study Protocol Components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x14ac:dyDescent="0.25">
      <c r="A80" s="4" t="str">
        <f ca="1">IFERROR(__xludf.DUMMYFUNCTION("""COMPUTED_VALUE"""),"Yes")</f>
        <v>Yes</v>
      </c>
      <c r="B80" s="4" t="str">
        <f ca="1">IFERROR(__xludf.DUMMYFUNCTION("""COMPUTED_VALUE"""),"No")</f>
        <v>No</v>
      </c>
      <c r="C80" s="96"/>
      <c r="D80" s="96"/>
      <c r="E80" s="97" t="str">
        <f ca="1">IFERROR(__xludf.DUMMYFUNCTION("""COMPUTED_VALUE"""),"Study Sample")</f>
        <v>Study Sample</v>
      </c>
      <c r="F80" s="97" t="str">
        <f ca="1">IFERROR(__xludf.DUMMYFUNCTION("""COMPUTED_VALUE"""),"0:N")</f>
        <v>0:N</v>
      </c>
      <c r="G80" s="5" t="str">
        <f ca="1">IFERROR(__xludf.DUMMYFUNCTION("""COMPUTED_VALUE"""),"Sample Name (ID)")</f>
        <v>Sample Name (ID)</v>
      </c>
      <c r="H80" s="5" t="str">
        <f ca="1">IFERROR(__xludf.DUMMYFUNCTION("""COMPUTED_VALUE"""),"1")</f>
        <v>1</v>
      </c>
      <c r="I80" s="5"/>
      <c r="J80" s="13"/>
      <c r="K80" s="4"/>
      <c r="L80" s="99" t="str">
        <f ca="1">E80</f>
        <v>Study Sample</v>
      </c>
      <c r="M80" s="96"/>
      <c r="N80" s="96"/>
      <c r="O80" s="96"/>
      <c r="P80" s="96"/>
      <c r="Q80" s="96"/>
      <c r="R80" s="96"/>
      <c r="S80" s="96"/>
      <c r="T80" s="96"/>
      <c r="U80" s="96"/>
      <c r="V80" s="4"/>
      <c r="W80" s="4"/>
      <c r="X80" s="4"/>
      <c r="Y80" s="4"/>
      <c r="Z80" s="4"/>
      <c r="AA80" s="4"/>
      <c r="AB80" s="4"/>
      <c r="AC80" s="4"/>
      <c r="AD80" s="4"/>
      <c r="AE80" s="4"/>
      <c r="AF80" s="4"/>
      <c r="AG80" s="4"/>
      <c r="AH80" s="4"/>
      <c r="AI80" s="4"/>
      <c r="AJ80" s="4"/>
      <c r="AK80" s="4"/>
      <c r="AL80" s="4"/>
      <c r="AM80" s="4"/>
      <c r="AN80" s="4"/>
      <c r="AO80" s="4"/>
      <c r="AP80" s="4"/>
    </row>
    <row r="81" spans="1:42" ht="12.5" x14ac:dyDescent="0.25">
      <c r="A81" s="4" t="str">
        <f ca="1">IFERROR(__xludf.DUMMYFUNCTION("""COMPUTED_VALUE"""),"Yes")</f>
        <v>Yes</v>
      </c>
      <c r="B81" s="4" t="str">
        <f ca="1">IFERROR(__xludf.DUMMYFUNCTION("""COMPUTED_VALUE"""),"No")</f>
        <v>No</v>
      </c>
      <c r="C81" s="96"/>
      <c r="D81" s="96"/>
      <c r="E81" s="96"/>
      <c r="F81" s="96"/>
      <c r="G81" s="5" t="str">
        <f ca="1">IFERROR(__xludf.DUMMYFUNCTION("""COMPUTED_VALUE"""),"Protocol of sample collection")</f>
        <v>Protocol of sample collection</v>
      </c>
      <c r="H81" s="5" t="str">
        <f ca="1">IFERROR(__xludf.DUMMYFUNCTION("""COMPUTED_VALUE"""),"1")</f>
        <v>1</v>
      </c>
      <c r="I81" s="5"/>
      <c r="J81" s="13"/>
      <c r="K81" s="4"/>
      <c r="L81" s="7" t="str">
        <f ca="1">G80</f>
        <v>Sample Name (ID)</v>
      </c>
      <c r="M81" s="7" t="str">
        <f ca="1">G81</f>
        <v>Protocol of sample collection</v>
      </c>
      <c r="N81" s="7" t="str">
        <f ca="1">G82</f>
        <v>Sampling strategy</v>
      </c>
      <c r="O81" s="7" t="str">
        <f ca="1">G83</f>
        <v>Type of sampling program</v>
      </c>
      <c r="P81" s="7" t="str">
        <f ca="1">G84</f>
        <v>Sampling method</v>
      </c>
      <c r="Q81" s="7" t="str">
        <f ca="1">G85</f>
        <v>Sampling plan</v>
      </c>
      <c r="R81" s="7" t="str">
        <f ca="1">G86</f>
        <v>Sampling weight</v>
      </c>
      <c r="S81" s="7" t="str">
        <f ca="1">G87</f>
        <v>Sampling size</v>
      </c>
      <c r="T81" s="7" t="str">
        <f ca="1">G88</f>
        <v>Lot size unit</v>
      </c>
      <c r="U81" s="7" t="str">
        <f ca="1">G89</f>
        <v>Sampling point</v>
      </c>
      <c r="V81" s="4"/>
      <c r="W81" s="4"/>
      <c r="X81" s="4"/>
      <c r="Y81" s="4"/>
      <c r="Z81" s="4"/>
      <c r="AA81" s="4"/>
      <c r="AB81" s="4"/>
      <c r="AC81" s="4"/>
      <c r="AD81" s="4"/>
      <c r="AE81" s="4"/>
      <c r="AF81" s="4"/>
      <c r="AG81" s="4"/>
      <c r="AH81" s="4"/>
      <c r="AI81" s="4"/>
      <c r="AJ81" s="4"/>
      <c r="AK81" s="4"/>
      <c r="AL81" s="4"/>
      <c r="AM81" s="4"/>
      <c r="AN81" s="4"/>
      <c r="AO81" s="4"/>
      <c r="AP81" s="4"/>
    </row>
    <row r="82" spans="1:42" ht="12.5" x14ac:dyDescent="0.25">
      <c r="A82" s="4" t="str">
        <f ca="1">IFERROR(__xludf.DUMMYFUNCTION("""COMPUTED_VALUE"""),"Yes")</f>
        <v>Yes</v>
      </c>
      <c r="B82" s="4" t="str">
        <f ca="1">IFERROR(__xludf.DUMMYFUNCTION("""COMPUTED_VALUE"""),"No")</f>
        <v>No</v>
      </c>
      <c r="C82" s="96"/>
      <c r="D82" s="96"/>
      <c r="E82" s="96"/>
      <c r="F82" s="96"/>
      <c r="G82" s="5" t="str">
        <f ca="1">IFERROR(__xludf.DUMMYFUNCTION("""COMPUTED_VALUE"""),"Sampling strategy")</f>
        <v>Sampling strategy</v>
      </c>
      <c r="H82" s="5" t="str">
        <f ca="1">IFERROR(__xludf.DUMMYFUNCTION("""COMPUTED_VALUE"""),"0:1")</f>
        <v>0:1</v>
      </c>
      <c r="I82" s="5"/>
      <c r="J82" s="13"/>
      <c r="K82" s="4"/>
      <c r="L82" s="4" t="str">
        <f ca="1">H80</f>
        <v>1</v>
      </c>
      <c r="M82" s="4" t="str">
        <f ca="1">H81</f>
        <v>1</v>
      </c>
      <c r="N82" s="4" t="str">
        <f ca="1">H82</f>
        <v>0:1</v>
      </c>
      <c r="O82" s="4" t="str">
        <f ca="1">H83</f>
        <v>0:1</v>
      </c>
      <c r="P82" s="4" t="str">
        <f ca="1">H84</f>
        <v>0:1</v>
      </c>
      <c r="Q82" s="4" t="str">
        <f ca="1">H85</f>
        <v>1</v>
      </c>
      <c r="R82" s="4" t="str">
        <f ca="1">H86</f>
        <v>1</v>
      </c>
      <c r="S82" s="4" t="str">
        <f ca="1">H87</f>
        <v>1</v>
      </c>
      <c r="T82" s="4" t="str">
        <f ca="1">H88</f>
        <v>0:1</v>
      </c>
      <c r="U82" s="4" t="str">
        <f ca="1">H89</f>
        <v>0:1</v>
      </c>
      <c r="V82" s="4"/>
      <c r="W82" s="4"/>
      <c r="X82" s="4"/>
      <c r="Y82" s="4"/>
      <c r="Z82" s="4"/>
      <c r="AA82" s="4"/>
      <c r="AB82" s="4"/>
      <c r="AC82" s="4"/>
      <c r="AD82" s="4"/>
      <c r="AE82" s="4"/>
      <c r="AF82" s="4"/>
      <c r="AG82" s="4"/>
      <c r="AH82" s="4"/>
      <c r="AI82" s="4"/>
      <c r="AJ82" s="4"/>
      <c r="AK82" s="4"/>
      <c r="AL82" s="4"/>
      <c r="AM82" s="4"/>
      <c r="AN82" s="4"/>
      <c r="AO82" s="4"/>
      <c r="AP82" s="4"/>
    </row>
    <row r="83" spans="1:42" ht="12.5" x14ac:dyDescent="0.25">
      <c r="A83" s="4" t="str">
        <f ca="1">IFERROR(__xludf.DUMMYFUNCTION("""COMPUTED_VALUE"""),"Yes")</f>
        <v>Yes</v>
      </c>
      <c r="B83" s="4" t="str">
        <f ca="1">IFERROR(__xludf.DUMMYFUNCTION("""COMPUTED_VALUE"""),"No")</f>
        <v>No</v>
      </c>
      <c r="C83" s="96"/>
      <c r="D83" s="96"/>
      <c r="E83" s="96"/>
      <c r="F83" s="96"/>
      <c r="G83" s="5" t="str">
        <f ca="1">IFERROR(__xludf.DUMMYFUNCTION("""COMPUTED_VALUE"""),"Type of sampling program")</f>
        <v>Type of sampling program</v>
      </c>
      <c r="H83" s="5" t="str">
        <f ca="1">IFERROR(__xludf.DUMMYFUNCTION("""COMPUTED_VALUE"""),"0:1")</f>
        <v>0:1</v>
      </c>
      <c r="I83" s="5"/>
      <c r="J83" s="13"/>
      <c r="K83" s="4"/>
      <c r="L83" s="10"/>
      <c r="M83" s="10"/>
      <c r="N83" s="10"/>
      <c r="O83" s="10"/>
      <c r="P83" s="10"/>
      <c r="Q83" s="10"/>
      <c r="R83" s="10"/>
      <c r="S83" s="10"/>
      <c r="T83" s="15"/>
      <c r="U83" s="10"/>
      <c r="V83" s="4"/>
      <c r="W83" s="4"/>
      <c r="X83" s="4"/>
      <c r="Y83" s="4"/>
      <c r="Z83" s="4"/>
      <c r="AA83" s="4"/>
      <c r="AB83" s="4"/>
      <c r="AC83" s="4"/>
      <c r="AD83" s="4"/>
      <c r="AE83" s="4"/>
      <c r="AF83" s="4"/>
      <c r="AG83" s="4"/>
      <c r="AH83" s="4"/>
      <c r="AI83" s="4"/>
      <c r="AJ83" s="4"/>
      <c r="AK83" s="4"/>
      <c r="AL83" s="4"/>
      <c r="AM83" s="4"/>
      <c r="AN83" s="4"/>
      <c r="AO83" s="4"/>
      <c r="AP83" s="4"/>
    </row>
    <row r="84" spans="1:42" ht="12.5" x14ac:dyDescent="0.25">
      <c r="A84" s="4" t="str">
        <f ca="1">IFERROR(__xludf.DUMMYFUNCTION("""COMPUTED_VALUE"""),"Yes")</f>
        <v>Yes</v>
      </c>
      <c r="B84" s="4" t="str">
        <f ca="1">IFERROR(__xludf.DUMMYFUNCTION("""COMPUTED_VALUE"""),"No")</f>
        <v>No</v>
      </c>
      <c r="C84" s="96"/>
      <c r="D84" s="96"/>
      <c r="E84" s="96"/>
      <c r="F84" s="96"/>
      <c r="G84" s="5" t="str">
        <f ca="1">IFERROR(__xludf.DUMMYFUNCTION("""COMPUTED_VALUE"""),"Sampling method")</f>
        <v>Sampling method</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x14ac:dyDescent="0.25">
      <c r="A85" s="4" t="str">
        <f ca="1">IFERROR(__xludf.DUMMYFUNCTION("""COMPUTED_VALUE"""),"Yes")</f>
        <v>Yes</v>
      </c>
      <c r="B85" s="4" t="str">
        <f ca="1">IFERROR(__xludf.DUMMYFUNCTION("""COMPUTED_VALUE"""),"No")</f>
        <v>No</v>
      </c>
      <c r="C85" s="96"/>
      <c r="D85" s="96"/>
      <c r="E85" s="96"/>
      <c r="F85" s="96"/>
      <c r="G85" s="5" t="str">
        <f ca="1">IFERROR(__xludf.DUMMYFUNCTION("""COMPUTED_VALUE"""),"Sampling plan")</f>
        <v>Sampling plan</v>
      </c>
      <c r="H85" s="5" t="str">
        <f ca="1">IFERROR(__xludf.DUMMYFUNCTION("""COMPUTED_VALUE"""),"1")</f>
        <v>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x14ac:dyDescent="0.25">
      <c r="A86" s="4" t="str">
        <f ca="1">IFERROR(__xludf.DUMMYFUNCTION("""COMPUTED_VALUE"""),"Yes")</f>
        <v>Yes</v>
      </c>
      <c r="B86" s="4" t="str">
        <f ca="1">IFERROR(__xludf.DUMMYFUNCTION("""COMPUTED_VALUE"""),"No")</f>
        <v>No</v>
      </c>
      <c r="C86" s="96"/>
      <c r="D86" s="96"/>
      <c r="E86" s="96"/>
      <c r="F86" s="96"/>
      <c r="G86" s="5" t="str">
        <f ca="1">IFERROR(__xludf.DUMMYFUNCTION("""COMPUTED_VALUE"""),"Sampling weight")</f>
        <v>Sampling weight</v>
      </c>
      <c r="H86" s="5" t="str">
        <f ca="1">IFERROR(__xludf.DUMMYFUNCTION("""COMPUTED_VALUE"""),"1")</f>
        <v>1</v>
      </c>
      <c r="I86" s="5"/>
      <c r="J86" s="13"/>
      <c r="K86" s="4"/>
      <c r="L86" s="99" t="str">
        <f ca="1">E90</f>
        <v>Dietary assessment method</v>
      </c>
      <c r="M86" s="96"/>
      <c r="N86" s="96"/>
      <c r="O86" s="96"/>
      <c r="P86" s="96"/>
      <c r="Q86" s="96"/>
      <c r="R86" s="4"/>
      <c r="S86" s="4"/>
      <c r="T86" s="4"/>
      <c r="U86" s="4"/>
      <c r="V86" s="4"/>
      <c r="W86" s="4"/>
      <c r="X86" s="4"/>
      <c r="Y86" s="4"/>
      <c r="Z86" s="4"/>
      <c r="AA86" s="4"/>
      <c r="AB86" s="4"/>
      <c r="AC86" s="4"/>
      <c r="AD86" s="4"/>
      <c r="AE86" s="4"/>
      <c r="AF86" s="4"/>
      <c r="AG86" s="4"/>
      <c r="AH86" s="4"/>
      <c r="AI86" s="4"/>
      <c r="AJ86" s="4"/>
      <c r="AK86" s="4"/>
      <c r="AL86" s="4"/>
      <c r="AM86" s="4"/>
      <c r="AN86" s="4"/>
      <c r="AO86" s="4"/>
      <c r="AP86" s="4"/>
    </row>
    <row r="87" spans="1:42" ht="12.5" x14ac:dyDescent="0.25">
      <c r="A87" s="4" t="str">
        <f ca="1">IFERROR(__xludf.DUMMYFUNCTION("""COMPUTED_VALUE"""),"Yes")</f>
        <v>Yes</v>
      </c>
      <c r="B87" s="4" t="str">
        <f ca="1">IFERROR(__xludf.DUMMYFUNCTION("""COMPUTED_VALUE"""),"No")</f>
        <v>No</v>
      </c>
      <c r="C87" s="96"/>
      <c r="D87" s="96"/>
      <c r="E87" s="96"/>
      <c r="F87" s="96"/>
      <c r="G87" s="5" t="str">
        <f ca="1">IFERROR(__xludf.DUMMYFUNCTION("""COMPUTED_VALUE"""),"Sampling size")</f>
        <v>Sampling size</v>
      </c>
      <c r="H87" s="5" t="str">
        <f ca="1">IFERROR(__xludf.DUMMYFUNCTION("""COMPUTED_VALUE"""),"1")</f>
        <v>1</v>
      </c>
      <c r="I87" s="5"/>
      <c r="J87" s="13"/>
      <c r="K87" s="4"/>
      <c r="L87" s="7" t="str">
        <f ca="1">G90</f>
        <v>Methodological tool to collect data</v>
      </c>
      <c r="M87" s="7" t="str">
        <f ca="1">G91</f>
        <v>Number of non-consecutive one-day</v>
      </c>
      <c r="N87" s="7" t="str">
        <f ca="1">G92</f>
        <v>Dietary software tool</v>
      </c>
      <c r="O87" s="7" t="str">
        <f ca="1">G93</f>
        <v>Number of food items</v>
      </c>
      <c r="P87" s="7" t="str">
        <f ca="1">G94</f>
        <v>Type of records</v>
      </c>
      <c r="Q87" s="7" t="str">
        <f ca="1">G95</f>
        <v>Food descriptors</v>
      </c>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x14ac:dyDescent="0.25">
      <c r="A88" s="4" t="str">
        <f ca="1">IFERROR(__xludf.DUMMYFUNCTION("""COMPUTED_VALUE"""),"Yes")</f>
        <v>Yes</v>
      </c>
      <c r="B88" s="4" t="str">
        <f ca="1">IFERROR(__xludf.DUMMYFUNCTION("""COMPUTED_VALUE"""),"No")</f>
        <v>No</v>
      </c>
      <c r="C88" s="96"/>
      <c r="D88" s="96"/>
      <c r="E88" s="96"/>
      <c r="F88" s="96"/>
      <c r="G88" s="5" t="str">
        <f ca="1">IFERROR(__xludf.DUMMYFUNCTION("""COMPUTED_VALUE"""),"Lot size unit")</f>
        <v>Lot size unit</v>
      </c>
      <c r="H88" s="5" t="str">
        <f ca="1">IFERROR(__xludf.DUMMYFUNCTION("""COMPUTED_VALUE"""),"0:1")</f>
        <v>0:1</v>
      </c>
      <c r="I88" s="5"/>
      <c r="J88" s="13"/>
      <c r="K88" s="4"/>
      <c r="L88" s="4" t="str">
        <f ca="1">H90</f>
        <v>1</v>
      </c>
      <c r="M88" s="4" t="str">
        <f ca="1">H91</f>
        <v>1</v>
      </c>
      <c r="N88" s="4" t="str">
        <f ca="1">H92</f>
        <v>0:1</v>
      </c>
      <c r="O88" s="4" t="str">
        <f ca="1">H93</f>
        <v>1:N</v>
      </c>
      <c r="P88" s="4" t="str">
        <f ca="1">H94</f>
        <v>1:N</v>
      </c>
      <c r="Q88" s="4" t="str">
        <f ca="1">H95</f>
        <v>1:N</v>
      </c>
      <c r="R88" s="4"/>
      <c r="S88" s="4"/>
      <c r="T88" s="4"/>
      <c r="U88" s="4"/>
      <c r="V88" s="4"/>
      <c r="W88" s="4"/>
      <c r="X88" s="4"/>
      <c r="Y88" s="4"/>
      <c r="Z88" s="4"/>
      <c r="AA88" s="4"/>
      <c r="AB88" s="4"/>
      <c r="AC88" s="4"/>
      <c r="AD88" s="4"/>
      <c r="AE88" s="4"/>
      <c r="AF88" s="4"/>
      <c r="AG88" s="4"/>
      <c r="AH88" s="4"/>
      <c r="AI88" s="4"/>
      <c r="AJ88" s="4"/>
      <c r="AK88" s="4"/>
      <c r="AL88" s="4"/>
      <c r="AM88" s="4"/>
      <c r="AN88" s="4"/>
      <c r="AO88" s="4"/>
      <c r="AP88" s="4"/>
    </row>
    <row r="89" spans="1:42" ht="12.5" x14ac:dyDescent="0.25">
      <c r="A89" s="4" t="str">
        <f ca="1">IFERROR(__xludf.DUMMYFUNCTION("""COMPUTED_VALUE"""),"Yes")</f>
        <v>Yes</v>
      </c>
      <c r="B89" s="4" t="str">
        <f ca="1">IFERROR(__xludf.DUMMYFUNCTION("""COMPUTED_VALUE"""),"No")</f>
        <v>No</v>
      </c>
      <c r="C89" s="96"/>
      <c r="D89" s="96"/>
      <c r="E89" s="96"/>
      <c r="F89" s="96"/>
      <c r="G89" s="5" t="str">
        <f ca="1">IFERROR(__xludf.DUMMYFUNCTION("""COMPUTED_VALUE"""),"Sampling point")</f>
        <v>Sampling point</v>
      </c>
      <c r="H89" s="5" t="str">
        <f ca="1">IFERROR(__xludf.DUMMYFUNCTION("""COMPUTED_VALUE"""),"0:1")</f>
        <v>0:1</v>
      </c>
      <c r="I89" s="5"/>
      <c r="J89" s="13"/>
      <c r="K89" s="4"/>
      <c r="L89" s="10"/>
      <c r="M89" s="10"/>
      <c r="N89" s="10"/>
      <c r="O89" s="10"/>
      <c r="P89" s="10"/>
      <c r="Q89" s="10"/>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x14ac:dyDescent="0.25">
      <c r="A90" s="4" t="str">
        <f ca="1">IFERROR(__xludf.DUMMYFUNCTION("""COMPUTED_VALUE"""),"Yes")</f>
        <v>Yes</v>
      </c>
      <c r="B90" s="4" t="str">
        <f ca="1">IFERROR(__xludf.DUMMYFUNCTION("""COMPUTED_VALUE"""),"No")</f>
        <v>No</v>
      </c>
      <c r="C90" s="96"/>
      <c r="D90" s="96"/>
      <c r="E90" s="97" t="str">
        <f ca="1">IFERROR(__xludf.DUMMYFUNCTION("""COMPUTED_VALUE"""),"Dietary assessment method")</f>
        <v>Dietary assessment method</v>
      </c>
      <c r="F90" s="97" t="str">
        <f ca="1">IFERROR(__xludf.DUMMYFUNCTION("""COMPUTED_VALUE"""),"0:N")</f>
        <v>0:N</v>
      </c>
      <c r="G90" s="5" t="str">
        <f ca="1">IFERROR(__xludf.DUMMYFUNCTION("""COMPUTED_VALUE"""),"Methodological tool to collect data")</f>
        <v>Methodological tool to collect data</v>
      </c>
      <c r="H90" s="5" t="str">
        <f ca="1">IFERROR(__xludf.DUMMYFUNCTION("""COMPUTED_VALUE"""),"1")</f>
        <v>1</v>
      </c>
      <c r="I90" s="5"/>
      <c r="J90" s="13"/>
      <c r="K90" s="4"/>
      <c r="L90" s="10"/>
      <c r="M90" s="10"/>
      <c r="N90" s="10"/>
      <c r="O90" s="10"/>
      <c r="P90" s="10"/>
      <c r="Q90" s="10"/>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x14ac:dyDescent="0.25">
      <c r="A91" s="4" t="str">
        <f ca="1">IFERROR(__xludf.DUMMYFUNCTION("""COMPUTED_VALUE"""),"Yes")</f>
        <v>Yes</v>
      </c>
      <c r="B91" s="4" t="str">
        <f ca="1">IFERROR(__xludf.DUMMYFUNCTION("""COMPUTED_VALUE"""),"No")</f>
        <v>No</v>
      </c>
      <c r="C91" s="96"/>
      <c r="D91" s="96"/>
      <c r="E91" s="96"/>
      <c r="F91" s="96"/>
      <c r="G91" s="5" t="str">
        <f ca="1">IFERROR(__xludf.DUMMYFUNCTION("""COMPUTED_VALUE"""),"Number of non-consecutive one-day")</f>
        <v>Number of non-consecutive one-day</v>
      </c>
      <c r="H91" s="5" t="str">
        <f ca="1">IFERROR(__xludf.DUMMYFUNCTION("""COMPUTED_VALUE"""),"1")</f>
        <v>1</v>
      </c>
      <c r="I91" s="5"/>
      <c r="J91" s="13"/>
      <c r="K91" s="4"/>
      <c r="L91" s="10"/>
      <c r="M91" s="10"/>
      <c r="N91" s="10"/>
      <c r="O91" s="10"/>
      <c r="P91" s="10"/>
      <c r="Q91" s="10"/>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x14ac:dyDescent="0.25">
      <c r="A92" s="4" t="str">
        <f ca="1">IFERROR(__xludf.DUMMYFUNCTION("""COMPUTED_VALUE"""),"Yes")</f>
        <v>Yes</v>
      </c>
      <c r="B92" s="4" t="str">
        <f ca="1">IFERROR(__xludf.DUMMYFUNCTION("""COMPUTED_VALUE"""),"No")</f>
        <v>No</v>
      </c>
      <c r="C92" s="96"/>
      <c r="D92" s="96"/>
      <c r="E92" s="96"/>
      <c r="F92" s="96"/>
      <c r="G92" s="5" t="str">
        <f ca="1">IFERROR(__xludf.DUMMYFUNCTION("""COMPUTED_VALUE"""),"Dietary software tool")</f>
        <v>Dietary software tool</v>
      </c>
      <c r="H92" s="5" t="str">
        <f ca="1">IFERROR(__xludf.DUMMYFUNCTION("""COMPUTED_VALUE"""),"0:1")</f>
        <v>0:1</v>
      </c>
      <c r="I92" s="5"/>
      <c r="J92" s="13"/>
      <c r="K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x14ac:dyDescent="0.25">
      <c r="A93" s="4" t="str">
        <f ca="1">IFERROR(__xludf.DUMMYFUNCTION("""COMPUTED_VALUE"""),"Yes")</f>
        <v>Yes</v>
      </c>
      <c r="B93" s="4" t="str">
        <f ca="1">IFERROR(__xludf.DUMMYFUNCTION("""COMPUTED_VALUE"""),"No")</f>
        <v>No</v>
      </c>
      <c r="C93" s="96"/>
      <c r="D93" s="96"/>
      <c r="E93" s="96"/>
      <c r="F93" s="96"/>
      <c r="G93" s="5" t="str">
        <f ca="1">IFERROR(__xludf.DUMMYFUNCTION("""COMPUTED_VALUE"""),"Number of food items")</f>
        <v>Number of food items</v>
      </c>
      <c r="H93" s="5" t="str">
        <f ca="1">IFERROR(__xludf.DUMMYFUNCTION("""COMPUTED_VALUE"""),"1:N")</f>
        <v>1:N</v>
      </c>
      <c r="I93" s="5"/>
      <c r="J93" s="13"/>
      <c r="K93" s="4"/>
      <c r="L93" s="99" t="str">
        <f ca="1">E96</f>
        <v>Laboratory</v>
      </c>
      <c r="M93" s="96"/>
      <c r="N93" s="96"/>
      <c r="P93" s="5" t="str">
        <f ca="1">E137</f>
        <v>Events</v>
      </c>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x14ac:dyDescent="0.25">
      <c r="A94" s="4" t="str">
        <f ca="1">IFERROR(__xludf.DUMMYFUNCTION("""COMPUTED_VALUE"""),"Yes")</f>
        <v>Yes</v>
      </c>
      <c r="B94" s="4" t="str">
        <f ca="1">IFERROR(__xludf.DUMMYFUNCTION("""COMPUTED_VALUE"""),"No")</f>
        <v>No</v>
      </c>
      <c r="C94" s="96"/>
      <c r="D94" s="96"/>
      <c r="E94" s="96"/>
      <c r="F94" s="96"/>
      <c r="G94" s="5" t="str">
        <f ca="1">IFERROR(__xludf.DUMMYFUNCTION("""COMPUTED_VALUE"""),"Type of records")</f>
        <v>Type of records</v>
      </c>
      <c r="H94" s="5" t="str">
        <f ca="1">IFERROR(__xludf.DUMMYFUNCTION("""COMPUTED_VALUE"""),"1:N")</f>
        <v>1:N</v>
      </c>
      <c r="I94" s="5"/>
      <c r="J94" s="13"/>
      <c r="K94" s="4"/>
      <c r="L94" s="7" t="str">
        <f ca="1">G96</f>
        <v>Laboratory accreditation</v>
      </c>
      <c r="M94" s="7" t="str">
        <f ca="1">G97</f>
        <v>Laboratory Name</v>
      </c>
      <c r="N94" s="7" t="str">
        <f ca="1">G98</f>
        <v>Laboratory country</v>
      </c>
      <c r="P94" s="4" t="str">
        <f ca="1">F137</f>
        <v>0:N</v>
      </c>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x14ac:dyDescent="0.25">
      <c r="A95" s="4" t="str">
        <f ca="1">IFERROR(__xludf.DUMMYFUNCTION("""COMPUTED_VALUE"""),"Yes")</f>
        <v>Yes</v>
      </c>
      <c r="B95" s="4" t="str">
        <f ca="1">IFERROR(__xludf.DUMMYFUNCTION("""COMPUTED_VALUE"""),"No")</f>
        <v>No</v>
      </c>
      <c r="C95" s="96"/>
      <c r="D95" s="96"/>
      <c r="E95" s="96"/>
      <c r="F95" s="96"/>
      <c r="G95" s="5" t="str">
        <f ca="1">IFERROR(__xludf.DUMMYFUNCTION("""COMPUTED_VALUE"""),"Food descriptors")</f>
        <v>Food descriptors</v>
      </c>
      <c r="H95" s="5" t="str">
        <f ca="1">IFERROR(__xludf.DUMMYFUNCTION("""COMPUTED_VALUE"""),"1:N")</f>
        <v>1:N</v>
      </c>
      <c r="I95" s="5"/>
      <c r="J95" s="13"/>
      <c r="K95" s="4"/>
      <c r="L95" s="4" t="str">
        <f ca="1">H96</f>
        <v>1:N</v>
      </c>
      <c r="M95" s="4" t="str">
        <f ca="1">H97</f>
        <v>0:1</v>
      </c>
      <c r="N95" s="4" t="str">
        <f ca="1">H98</f>
        <v>0:1</v>
      </c>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x14ac:dyDescent="0.25">
      <c r="A96" s="4" t="str">
        <f ca="1">IFERROR(__xludf.DUMMYFUNCTION("""COMPUTED_VALUE"""),"Yes")</f>
        <v>Yes</v>
      </c>
      <c r="B96" s="4" t="str">
        <f ca="1">IFERROR(__xludf.DUMMYFUNCTION("""COMPUTED_VALUE"""),"No")</f>
        <v>No</v>
      </c>
      <c r="C96" s="96"/>
      <c r="D96" s="96"/>
      <c r="E96" s="97" t="str">
        <f ca="1">IFERROR(__xludf.DUMMYFUNCTION("""COMPUTED_VALUE"""),"Laboratory")</f>
        <v>Laboratory</v>
      </c>
      <c r="F96" s="97" t="str">
        <f ca="1">IFERROR(__xludf.DUMMYFUNCTION("""COMPUTED_VALUE"""),"0:N")</f>
        <v>0:N</v>
      </c>
      <c r="G96" s="5" t="str">
        <f ca="1">IFERROR(__xludf.DUMMYFUNCTION("""COMPUTED_VALUE"""),"Laboratory accreditation")</f>
        <v>Laboratory accreditation</v>
      </c>
      <c r="H96" s="5" t="str">
        <f ca="1">IFERROR(__xludf.DUMMYFUNCTION("""COMPUTED_VALUE"""),"1:N")</f>
        <v>1:N</v>
      </c>
      <c r="I96" s="5"/>
      <c r="J96" s="13"/>
      <c r="K96" s="4"/>
      <c r="L96" s="10"/>
      <c r="M96" s="10"/>
      <c r="N96" s="10"/>
      <c r="O96" s="4"/>
      <c r="P96" s="11"/>
      <c r="Q96" s="4"/>
      <c r="R96" s="4"/>
      <c r="S96" s="4"/>
      <c r="T96" s="4"/>
      <c r="U96" s="4"/>
      <c r="V96" s="4"/>
      <c r="W96" s="4"/>
      <c r="X96" s="4"/>
      <c r="Y96" s="4"/>
      <c r="Z96" s="4"/>
      <c r="AA96" s="4"/>
      <c r="AB96" s="4"/>
      <c r="AC96" s="4"/>
      <c r="AD96" s="4"/>
      <c r="AE96" s="4"/>
      <c r="AF96" s="4"/>
      <c r="AG96" s="4"/>
      <c r="AH96" s="4"/>
      <c r="AI96" s="4"/>
      <c r="AJ96" s="4"/>
      <c r="AK96" s="4"/>
      <c r="AL96" s="4"/>
      <c r="AM96" s="4"/>
      <c r="AN96" s="4"/>
      <c r="AO96" s="4"/>
      <c r="AP96" s="4"/>
    </row>
    <row r="97" spans="1:42" ht="12.5" x14ac:dyDescent="0.25">
      <c r="A97" s="4" t="str">
        <f ca="1">IFERROR(__xludf.DUMMYFUNCTION("""COMPUTED_VALUE"""),"Yes")</f>
        <v>Yes</v>
      </c>
      <c r="B97" s="4" t="str">
        <f ca="1">IFERROR(__xludf.DUMMYFUNCTION("""COMPUTED_VALUE"""),"No")</f>
        <v>No</v>
      </c>
      <c r="C97" s="96"/>
      <c r="D97" s="96"/>
      <c r="E97" s="96"/>
      <c r="F97" s="96"/>
      <c r="G97" s="5" t="str">
        <f ca="1">IFERROR(__xludf.DUMMYFUNCTION("""COMPUTED_VALUE"""),"Laboratory Name")</f>
        <v>Laboratory Name</v>
      </c>
      <c r="H97" s="5" t="str">
        <f ca="1">IFERROR(__xludf.DUMMYFUNCTION("""COMPUTED_VALUE"""),"0:1")</f>
        <v>0:1</v>
      </c>
      <c r="I97" s="5"/>
      <c r="J97" s="13"/>
      <c r="K97" s="4"/>
      <c r="L97" s="10"/>
      <c r="M97" s="10"/>
      <c r="N97" s="10"/>
      <c r="O97" s="4"/>
      <c r="P97" s="11"/>
      <c r="Q97" s="4"/>
      <c r="R97" s="4"/>
      <c r="S97" s="4"/>
      <c r="T97" s="4"/>
      <c r="U97" s="4"/>
      <c r="V97" s="4"/>
      <c r="W97" s="4"/>
      <c r="X97" s="4"/>
      <c r="Y97" s="4"/>
      <c r="Z97" s="4"/>
      <c r="AA97" s="4"/>
      <c r="AB97" s="4"/>
      <c r="AC97" s="4"/>
      <c r="AD97" s="4"/>
      <c r="AE97" s="4"/>
      <c r="AF97" s="4"/>
      <c r="AG97" s="4"/>
      <c r="AH97" s="4"/>
      <c r="AI97" s="4"/>
      <c r="AJ97" s="4"/>
      <c r="AK97" s="4"/>
      <c r="AL97" s="4"/>
      <c r="AM97" s="4"/>
      <c r="AN97" s="4"/>
      <c r="AO97" s="4"/>
      <c r="AP97" s="4"/>
    </row>
    <row r="98" spans="1:42" ht="12.5" x14ac:dyDescent="0.25">
      <c r="A98" s="4" t="str">
        <f ca="1">IFERROR(__xludf.DUMMYFUNCTION("""COMPUTED_VALUE"""),"Yes")</f>
        <v>Yes</v>
      </c>
      <c r="B98" s="4" t="str">
        <f ca="1">IFERROR(__xludf.DUMMYFUNCTION("""COMPUTED_VALUE"""),"No")</f>
        <v>No</v>
      </c>
      <c r="C98" s="96"/>
      <c r="D98" s="96"/>
      <c r="E98" s="96"/>
      <c r="F98" s="96"/>
      <c r="G98" s="5" t="str">
        <f ca="1">IFERROR(__xludf.DUMMYFUNCTION("""COMPUTED_VALUE"""),"Laboratory country")</f>
        <v>Laboratory country</v>
      </c>
      <c r="H98" s="5" t="str">
        <f ca="1">IFERROR(__xludf.DUMMYFUNCTION("""COMPUTED_VALUE"""),"0:1")</f>
        <v>0:1</v>
      </c>
      <c r="I98" s="5"/>
      <c r="J98" s="13"/>
      <c r="K98" s="4"/>
      <c r="L98" s="10"/>
      <c r="M98" s="10"/>
      <c r="N98" s="10"/>
      <c r="P98" s="11"/>
      <c r="R98" s="4"/>
      <c r="V98" s="4"/>
      <c r="W98" s="4"/>
      <c r="X98" s="4"/>
      <c r="Y98" s="4"/>
      <c r="Z98" s="4"/>
      <c r="AA98" s="4"/>
      <c r="AB98" s="4"/>
      <c r="AC98" s="4"/>
      <c r="AD98" s="4"/>
      <c r="AE98" s="4"/>
      <c r="AF98" s="4"/>
      <c r="AG98" s="4"/>
      <c r="AH98" s="4"/>
      <c r="AI98" s="4"/>
      <c r="AJ98" s="4"/>
      <c r="AK98" s="4"/>
      <c r="AL98" s="4"/>
      <c r="AM98" s="4"/>
      <c r="AN98" s="4"/>
      <c r="AO98" s="4"/>
      <c r="AP98" s="4"/>
    </row>
    <row r="99" spans="1:42" ht="12.5" x14ac:dyDescent="0.25">
      <c r="A99" s="4" t="str">
        <f ca="1">IFERROR(__xludf.DUMMYFUNCTION("""COMPUTED_VALUE"""),"Yes")</f>
        <v>Yes</v>
      </c>
      <c r="B99" s="4" t="str">
        <f ca="1">IFERROR(__xludf.DUMMYFUNCTION("""COMPUTED_VALUE"""),"No")</f>
        <v>No</v>
      </c>
      <c r="C99" s="96"/>
      <c r="D99" s="96"/>
      <c r="E99" s="97" t="str">
        <f ca="1">IFERROR(__xludf.DUMMYFUNCTION("""COMPUTED_VALUE"""),"Assay")</f>
        <v>Assay</v>
      </c>
      <c r="F99" s="97" t="str">
        <f ca="1">IFERROR(__xludf.DUMMYFUNCTION("""COMPUTED_VALUE"""),"0:N")</f>
        <v>0:N</v>
      </c>
      <c r="G99" s="5" t="str">
        <f ca="1">IFERROR(__xludf.DUMMYFUNCTION("""COMPUTED_VALUE"""),"Assay Name")</f>
        <v>Assay Name</v>
      </c>
      <c r="H99" s="5" t="str">
        <f ca="1">IFERROR(__xludf.DUMMYFUNCTION("""COMPUTED_VALUE"""),"1")</f>
        <v>1</v>
      </c>
      <c r="I99" s="5"/>
      <c r="J99" s="13"/>
      <c r="K99" s="4"/>
      <c r="L99" s="99" t="str">
        <f ca="1">E99</f>
        <v>Assay</v>
      </c>
      <c r="M99" s="96"/>
      <c r="N99" s="96"/>
      <c r="O99" s="96"/>
      <c r="P99" s="96"/>
      <c r="Q99" s="96"/>
      <c r="R99" s="96"/>
      <c r="S99" s="96"/>
      <c r="T99" s="96"/>
      <c r="U99" s="4"/>
      <c r="V99" s="4"/>
      <c r="W99" s="4"/>
      <c r="X99" s="4"/>
      <c r="Y99" s="4"/>
      <c r="Z99" s="4"/>
      <c r="AA99" s="4"/>
      <c r="AB99" s="4"/>
      <c r="AC99" s="4"/>
      <c r="AD99" s="4"/>
      <c r="AE99" s="4"/>
      <c r="AF99" s="4"/>
      <c r="AG99" s="4"/>
      <c r="AH99" s="4"/>
      <c r="AI99" s="4"/>
      <c r="AJ99" s="4"/>
      <c r="AK99" s="4"/>
      <c r="AL99" s="4"/>
      <c r="AM99" s="4"/>
      <c r="AN99" s="4"/>
      <c r="AO99" s="4"/>
      <c r="AP99" s="4"/>
    </row>
    <row r="100" spans="1:42" ht="12.5" x14ac:dyDescent="0.25">
      <c r="A100" s="4" t="str">
        <f ca="1">IFERROR(__xludf.DUMMYFUNCTION("""COMPUTED_VALUE"""),"Yes")</f>
        <v>Yes</v>
      </c>
      <c r="B100" s="4" t="str">
        <f ca="1">IFERROR(__xludf.DUMMYFUNCTION("""COMPUTED_VALUE"""),"No")</f>
        <v>No</v>
      </c>
      <c r="C100" s="96"/>
      <c r="D100" s="96"/>
      <c r="E100" s="96"/>
      <c r="F100" s="96"/>
      <c r="G100" s="5" t="str">
        <f ca="1">IFERROR(__xludf.DUMMYFUNCTION("""COMPUTED_VALUE"""),"Assay description")</f>
        <v>Assay description</v>
      </c>
      <c r="H100" s="5" t="str">
        <f ca="1">IFERROR(__xludf.DUMMYFUNCTION("""COMPUTED_VALUE"""),"0:1")</f>
        <v>0:1</v>
      </c>
      <c r="I100" s="5"/>
      <c r="J100" s="13"/>
      <c r="K100" s="4"/>
      <c r="L100" s="4" t="str">
        <f ca="1">G99</f>
        <v>Assay Name</v>
      </c>
      <c r="M100" s="4" t="str">
        <f ca="1">G100</f>
        <v>Assay description</v>
      </c>
      <c r="N100" s="4" t="str">
        <f ca="1">G101</f>
        <v>Percentage of moisture</v>
      </c>
      <c r="O100" s="4" t="str">
        <f ca="1">G102</f>
        <v>Percentage of fat</v>
      </c>
      <c r="P100" s="4" t="str">
        <f ca="1">G103</f>
        <v>Limit of detection</v>
      </c>
      <c r="Q100" s="4" t="str">
        <f ca="1">G104</f>
        <v>Limit of quantification</v>
      </c>
      <c r="R100" s="4" t="str">
        <f ca="1">G105</f>
        <v>Left-censored data</v>
      </c>
      <c r="S100" s="4" t="str">
        <f ca="1">G106</f>
        <v>Range of contamination</v>
      </c>
      <c r="T100" s="4" t="str">
        <f ca="1">G107</f>
        <v>Uncertainty value</v>
      </c>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x14ac:dyDescent="0.25">
      <c r="A101" s="4" t="str">
        <f ca="1">IFERROR(__xludf.DUMMYFUNCTION("""COMPUTED_VALUE"""),"Yes")</f>
        <v>Yes</v>
      </c>
      <c r="B101" s="4" t="str">
        <f ca="1">IFERROR(__xludf.DUMMYFUNCTION("""COMPUTED_VALUE"""),"No")</f>
        <v>No</v>
      </c>
      <c r="C101" s="96"/>
      <c r="D101" s="96"/>
      <c r="E101" s="96"/>
      <c r="F101" s="96"/>
      <c r="G101" s="5" t="str">
        <f ca="1">IFERROR(__xludf.DUMMYFUNCTION("""COMPUTED_VALUE"""),"Percentage of moisture")</f>
        <v>Percentage of moisture</v>
      </c>
      <c r="H101" s="5" t="str">
        <f ca="1">IFERROR(__xludf.DUMMYFUNCTION("""COMPUTED_VALUE"""),"0:1")</f>
        <v>0:1</v>
      </c>
      <c r="I101" s="5"/>
      <c r="J101" s="13"/>
      <c r="K101" s="4"/>
      <c r="L101" s="4" t="str">
        <f ca="1">H100</f>
        <v>0:1</v>
      </c>
      <c r="M101" s="4" t="str">
        <f ca="1">H101</f>
        <v>0:1</v>
      </c>
      <c r="N101" s="4" t="str">
        <f ca="1">H102</f>
        <v>0:1</v>
      </c>
      <c r="O101" s="4" t="str">
        <f ca="1">H103</f>
        <v>0:1</v>
      </c>
      <c r="P101" s="4" t="str">
        <f ca="1">H104</f>
        <v>0:1</v>
      </c>
      <c r="Q101" s="4" t="str">
        <f ca="1">H105</f>
        <v>0:1</v>
      </c>
      <c r="R101" s="4" t="str">
        <f ca="1">H106</f>
        <v>0:1</v>
      </c>
      <c r="S101" s="4" t="str">
        <f ca="1">H107</f>
        <v>0:1</v>
      </c>
      <c r="T101" s="4" t="str">
        <f ca="1">H108</f>
        <v>1</v>
      </c>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x14ac:dyDescent="0.25">
      <c r="A102" s="4" t="str">
        <f ca="1">IFERROR(__xludf.DUMMYFUNCTION("""COMPUTED_VALUE"""),"Yes")</f>
        <v>Yes</v>
      </c>
      <c r="B102" s="4" t="str">
        <f ca="1">IFERROR(__xludf.DUMMYFUNCTION("""COMPUTED_VALUE"""),"No")</f>
        <v>No</v>
      </c>
      <c r="C102" s="96"/>
      <c r="D102" s="96"/>
      <c r="E102" s="96"/>
      <c r="F102" s="96"/>
      <c r="G102" s="5" t="str">
        <f ca="1">IFERROR(__xludf.DUMMYFUNCTION("""COMPUTED_VALUE"""),"Percentage of fat")</f>
        <v>Percentage of fat</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x14ac:dyDescent="0.25">
      <c r="A103" s="4" t="str">
        <f ca="1">IFERROR(__xludf.DUMMYFUNCTION("""COMPUTED_VALUE"""),"Yes")</f>
        <v>Yes</v>
      </c>
      <c r="B103" s="4" t="str">
        <f ca="1">IFERROR(__xludf.DUMMYFUNCTION("""COMPUTED_VALUE"""),"No")</f>
        <v>No</v>
      </c>
      <c r="C103" s="96"/>
      <c r="D103" s="96"/>
      <c r="E103" s="96"/>
      <c r="F103" s="96"/>
      <c r="G103" s="5" t="str">
        <f ca="1">IFERROR(__xludf.DUMMYFUNCTION("""COMPUTED_VALUE"""),"Limit of detection")</f>
        <v>Limit of detection</v>
      </c>
      <c r="H103" s="5" t="str">
        <f ca="1">IFERROR(__xludf.DUMMYFUNCTION("""COMPUTED_VALUE"""),"0:1")</f>
        <v>0:1</v>
      </c>
      <c r="I103" s="5"/>
      <c r="J103" s="13"/>
      <c r="K103" s="4"/>
      <c r="L103" s="10"/>
      <c r="M103" s="10"/>
      <c r="N103" s="10"/>
      <c r="O103" s="10"/>
      <c r="P103" s="10"/>
      <c r="Q103" s="10"/>
      <c r="R103" s="10"/>
      <c r="S103" s="10"/>
      <c r="T103" s="10"/>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x14ac:dyDescent="0.25">
      <c r="A104" s="4" t="str">
        <f ca="1">IFERROR(__xludf.DUMMYFUNCTION("""COMPUTED_VALUE"""),"Yes")</f>
        <v>Yes</v>
      </c>
      <c r="B104" s="4" t="str">
        <f ca="1">IFERROR(__xludf.DUMMYFUNCTION("""COMPUTED_VALUE"""),"No")</f>
        <v>No</v>
      </c>
      <c r="C104" s="96"/>
      <c r="D104" s="96"/>
      <c r="E104" s="96"/>
      <c r="F104" s="96"/>
      <c r="G104" s="5" t="str">
        <f ca="1">IFERROR(__xludf.DUMMYFUNCTION("""COMPUTED_VALUE"""),"Limit of quantification")</f>
        <v>Limit of quantification</v>
      </c>
      <c r="H104" s="5" t="str">
        <f ca="1">IFERROR(__xludf.DUMMYFUNCTION("""COMPUTED_VALUE"""),"0:1")</f>
        <v>0:1</v>
      </c>
      <c r="I104" s="5"/>
      <c r="J104" s="13"/>
      <c r="K104" s="4"/>
      <c r="L104" s="10"/>
      <c r="M104" s="10"/>
      <c r="N104" s="10"/>
      <c r="O104" s="10"/>
      <c r="P104" s="10"/>
      <c r="Q104" s="10"/>
      <c r="R104" s="10"/>
      <c r="S104" s="10"/>
      <c r="T104" s="10"/>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x14ac:dyDescent="0.25">
      <c r="A105" s="4" t="str">
        <f ca="1">IFERROR(__xludf.DUMMYFUNCTION("""COMPUTED_VALUE"""),"Yes")</f>
        <v>Yes</v>
      </c>
      <c r="B105" s="4" t="str">
        <f ca="1">IFERROR(__xludf.DUMMYFUNCTION("""COMPUTED_VALUE"""),"No")</f>
        <v>No</v>
      </c>
      <c r="C105" s="96"/>
      <c r="D105" s="96"/>
      <c r="E105" s="96"/>
      <c r="F105" s="96"/>
      <c r="G105" s="5" t="str">
        <f ca="1">IFERROR(__xludf.DUMMYFUNCTION("""COMPUTED_VALUE"""),"Left-censored data")</f>
        <v>Left-censored data</v>
      </c>
      <c r="H105" s="5" t="str">
        <f ca="1">IFERROR(__xludf.DUMMYFUNCTION("""COMPUTED_VALUE"""),"0:1")</f>
        <v>0:1</v>
      </c>
      <c r="I105" s="5"/>
      <c r="J105" s="13"/>
      <c r="K105" s="4"/>
      <c r="L105" s="10"/>
      <c r="M105" s="10"/>
      <c r="N105" s="10"/>
      <c r="O105" s="10"/>
      <c r="P105" s="10"/>
      <c r="Q105" s="10"/>
      <c r="R105" s="10"/>
      <c r="S105" s="10"/>
      <c r="T105" s="10"/>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x14ac:dyDescent="0.25">
      <c r="A106" s="4" t="str">
        <f ca="1">IFERROR(__xludf.DUMMYFUNCTION("""COMPUTED_VALUE"""),"Yes")</f>
        <v>Yes</v>
      </c>
      <c r="B106" s="4" t="str">
        <f ca="1">IFERROR(__xludf.DUMMYFUNCTION("""COMPUTED_VALUE"""),"No")</f>
        <v>No</v>
      </c>
      <c r="C106" s="96"/>
      <c r="D106" s="96"/>
      <c r="E106" s="96"/>
      <c r="F106" s="96"/>
      <c r="G106" s="5" t="str">
        <f ca="1">IFERROR(__xludf.DUMMYFUNCTION("""COMPUTED_VALUE"""),"Range of contamination")</f>
        <v>Range of contamination</v>
      </c>
      <c r="H106" s="5" t="str">
        <f ca="1">IFERROR(__xludf.DUMMYFUNCTION("""COMPUTED_VALUE"""),"0:1")</f>
        <v>0:1</v>
      </c>
      <c r="I106" s="5"/>
      <c r="J106" s="13"/>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x14ac:dyDescent="0.25">
      <c r="A107" s="4" t="str">
        <f ca="1">IFERROR(__xludf.DUMMYFUNCTION("""COMPUTED_VALUE"""),"Yes")</f>
        <v>Yes</v>
      </c>
      <c r="B107" s="4" t="str">
        <f ca="1">IFERROR(__xludf.DUMMYFUNCTION("""COMPUTED_VALUE"""),"No")</f>
        <v>No</v>
      </c>
      <c r="C107" s="96"/>
      <c r="D107" s="96"/>
      <c r="E107" s="96"/>
      <c r="F107" s="96"/>
      <c r="G107" s="5" t="str">
        <f ca="1">IFERROR(__xludf.DUMMYFUNCTION("""COMPUTED_VALUE"""),"Uncertainty value")</f>
        <v>Uncertainty value</v>
      </c>
      <c r="H107" s="5" t="str">
        <f ca="1">IFERROR(__xludf.DUMMYFUNCTION("""COMPUTED_VALUE"""),"0:1")</f>
        <v>0:1</v>
      </c>
      <c r="I107" s="5"/>
      <c r="J107" s="13"/>
      <c r="K107" s="4"/>
      <c r="L107" s="4"/>
      <c r="M107" s="98" t="str">
        <f ca="1">E126</f>
        <v>Quality measures</v>
      </c>
      <c r="N107" s="96"/>
      <c r="O107" s="23"/>
      <c r="P107" s="98" t="str">
        <f ca="1">E128</f>
        <v>Model equation</v>
      </c>
      <c r="Q107" s="96"/>
      <c r="R107" s="96"/>
      <c r="S107" s="96"/>
      <c r="T107" s="96"/>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x14ac:dyDescent="0.25">
      <c r="A108" s="4" t="str">
        <f ca="1">IFERROR(__xludf.DUMMYFUNCTION("""COMPUTED_VALUE"""),"Yes")</f>
        <v>Yes</v>
      </c>
      <c r="B108" s="4" t="str">
        <f ca="1">IFERROR(__xludf.DUMMYFUNCTION("""COMPUTED_VALUE"""),"Yes")</f>
        <v>Yes</v>
      </c>
      <c r="C108" s="95" t="str">
        <f ca="1">IFERROR(__xludf.DUMMYFUNCTION("""COMPUTED_VALUE"""),"Model math / Data definition")</f>
        <v>Model math / Data definition</v>
      </c>
      <c r="D108" s="95" t="str">
        <f ca="1">IFERROR(__xludf.DUMMYFUNCTION("""COMPUTED_VALUE"""),"1")</f>
        <v>1</v>
      </c>
      <c r="E108" s="97" t="str">
        <f ca="1">IFERROR(__xludf.DUMMYFUNCTION("""COMPUTED_VALUE"""),"Parameter / Factor / Input / Output / ""Data column""")</f>
        <v>Parameter / Factor / Input / Output / "Data column"</v>
      </c>
      <c r="F108" s="97" t="str">
        <f ca="1">IFERROR(__xludf.DUMMYFUNCTION("""COMPUTED_VALUE"""),"1:N")</f>
        <v>1:N</v>
      </c>
      <c r="G108" s="5" t="str">
        <f ca="1">IFERROR(__xludf.DUMMYFUNCTION("""COMPUTED_VALUE"""),"Parameter ID")</f>
        <v>Parameter ID</v>
      </c>
      <c r="H108" s="5" t="str">
        <f ca="1">IFERROR(__xludf.DUMMYFUNCTION("""COMPUTED_VALUE"""),"1")</f>
        <v>1</v>
      </c>
      <c r="I108" s="5"/>
      <c r="J108" s="13"/>
      <c r="K108" s="4"/>
      <c r="L108" s="24"/>
      <c r="M108" s="68" t="str">
        <f ca="1">G126</f>
        <v>SSE / MSE / RMSE / Rsquared / AIC / BIC</v>
      </c>
      <c r="N108" s="26" t="str">
        <f ca="1">G127</f>
        <v>Sensitivity analysis</v>
      </c>
      <c r="O108" s="69"/>
      <c r="P108" s="25" t="str">
        <f ca="1">G128</f>
        <v>Model equation name</v>
      </c>
      <c r="Q108" s="23" t="str">
        <f ca="1">G129</f>
        <v>Model equation class/distribution</v>
      </c>
      <c r="R108" s="23" t="str">
        <f ca="1">G133</f>
        <v>Model equation reference</v>
      </c>
      <c r="S108" s="23" t="str">
        <f ca="1">G134</f>
        <v>Model equation / Script</v>
      </c>
      <c r="T108" s="69" t="str">
        <f ca="1">G135</f>
        <v>Hypothesis of the model</v>
      </c>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x14ac:dyDescent="0.25">
      <c r="A109" s="4" t="str">
        <f ca="1">IFERROR(__xludf.DUMMYFUNCTION("""COMPUTED_VALUE"""),"Yes")</f>
        <v>Yes</v>
      </c>
      <c r="B109" s="4" t="str">
        <f ca="1">IFERROR(__xludf.DUMMYFUNCTION("""COMPUTED_VALUE"""),"Yes")</f>
        <v>Yes</v>
      </c>
      <c r="C109" s="96"/>
      <c r="D109" s="96"/>
      <c r="E109" s="96"/>
      <c r="F109" s="96"/>
      <c r="G109" s="5" t="str">
        <f ca="1">IFERROR(__xludf.DUMMYFUNCTION("""COMPUTED_VALUE"""),"Parameter classification")</f>
        <v>Parameter classification</v>
      </c>
      <c r="H109" s="5" t="str">
        <f ca="1">IFERROR(__xludf.DUMMYFUNCTION("""COMPUTED_VALUE"""),"1")</f>
        <v>1</v>
      </c>
      <c r="I109" s="5"/>
      <c r="J109" s="13"/>
      <c r="K109" s="4"/>
      <c r="L109" s="23"/>
      <c r="M109" s="52" t="str">
        <f ca="1">H126</f>
        <v>0:N</v>
      </c>
      <c r="N109" s="52" t="str">
        <f ca="1">H127</f>
        <v>0:N</v>
      </c>
      <c r="O109" s="23"/>
      <c r="P109" s="52" t="str">
        <f ca="1">H127</f>
        <v>0:N</v>
      </c>
      <c r="Q109" s="70" t="str">
        <f ca="1">H128</f>
        <v>1</v>
      </c>
      <c r="R109" s="52" t="str">
        <f ca="1">H133</f>
        <v>0:N</v>
      </c>
      <c r="S109" s="52" t="str">
        <f ca="1">H134</f>
        <v>1</v>
      </c>
      <c r="T109" s="52" t="str">
        <f ca="1">H135</f>
        <v>0:N</v>
      </c>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x14ac:dyDescent="0.25">
      <c r="A110" s="4" t="str">
        <f ca="1">IFERROR(__xludf.DUMMYFUNCTION("""COMPUTED_VALUE"""),"Yes")</f>
        <v>Yes</v>
      </c>
      <c r="B110" s="4" t="str">
        <f ca="1">IFERROR(__xludf.DUMMYFUNCTION("""COMPUTED_VALUE"""),"Yes")</f>
        <v>Yes</v>
      </c>
      <c r="C110" s="96"/>
      <c r="D110" s="96"/>
      <c r="E110" s="96"/>
      <c r="F110" s="96"/>
      <c r="G110" s="5" t="str">
        <f ca="1">IFERROR(__xludf.DUMMYFUNCTION("""COMPUTED_VALUE"""),"Parameter name")</f>
        <v>Parameter name</v>
      </c>
      <c r="H110" s="5" t="str">
        <f ca="1">IFERROR(__xludf.DUMMYFUNCTION("""COMPUTED_VALUE"""),"1")</f>
        <v>1</v>
      </c>
      <c r="I110" s="5"/>
      <c r="J110" s="13"/>
      <c r="K110" s="4"/>
      <c r="L110" s="29" t="s">
        <v>17</v>
      </c>
      <c r="M110" s="30"/>
      <c r="N110" s="31"/>
      <c r="O110" s="29"/>
      <c r="P110" s="46"/>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x14ac:dyDescent="0.25">
      <c r="A111" s="4" t="str">
        <f ca="1">IFERROR(__xludf.DUMMYFUNCTION("""COMPUTED_VALUE"""),"Yes")</f>
        <v>Yes</v>
      </c>
      <c r="B111" s="4" t="str">
        <f ca="1">IFERROR(__xludf.DUMMYFUNCTION("""COMPUTED_VALUE"""),"No")</f>
        <v>No</v>
      </c>
      <c r="C111" s="96"/>
      <c r="D111" s="96"/>
      <c r="E111" s="96"/>
      <c r="F111" s="96"/>
      <c r="G111" s="5" t="str">
        <f ca="1">IFERROR(__xludf.DUMMYFUNCTION("""COMPUTED_VALUE"""),"Parameter description")</f>
        <v>Parameter description</v>
      </c>
      <c r="H111" s="5" t="str">
        <f ca="1">IFERROR(__xludf.DUMMYFUNCTION("""COMPUTED_VALUE"""),"0:1")</f>
        <v>0:1</v>
      </c>
      <c r="I111" s="5"/>
      <c r="J111" s="13"/>
      <c r="K111" s="4"/>
      <c r="L111" s="29" t="s">
        <v>18</v>
      </c>
      <c r="M111" s="32"/>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x14ac:dyDescent="0.25">
      <c r="A112" s="4" t="str">
        <f ca="1">IFERROR(__xludf.DUMMYFUNCTION("""COMPUTED_VALUE"""),"Yes")</f>
        <v>Yes</v>
      </c>
      <c r="B112" s="4" t="str">
        <f ca="1">IFERROR(__xludf.DUMMYFUNCTION("""COMPUTED_VALUE"""),"Yes")</f>
        <v>Yes</v>
      </c>
      <c r="C112" s="96"/>
      <c r="D112" s="96"/>
      <c r="E112" s="96"/>
      <c r="F112" s="96"/>
      <c r="G112" s="5" t="str">
        <f ca="1">IFERROR(__xludf.DUMMYFUNCTION("""COMPUTED_VALUE"""),"Parameter unit")</f>
        <v>Parameter unit</v>
      </c>
      <c r="H112" s="5" t="str">
        <f ca="1">IFERROR(__xludf.DUMMYFUNCTION("""COMPUTED_VALUE"""),"1")</f>
        <v>1</v>
      </c>
      <c r="I112" s="5"/>
      <c r="J112" s="13"/>
      <c r="K112" s="4"/>
      <c r="L112" s="33" t="s">
        <v>19</v>
      </c>
      <c r="M112" s="31"/>
      <c r="N112" s="31"/>
      <c r="O112" s="29"/>
      <c r="P112" s="31"/>
      <c r="Q112" s="12"/>
      <c r="R112" s="31"/>
      <c r="S112" s="31"/>
      <c r="T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x14ac:dyDescent="0.25">
      <c r="A113" s="4" t="str">
        <f ca="1">IFERROR(__xludf.DUMMYFUNCTION("""COMPUTED_VALUE"""),"Yes")</f>
        <v>Yes</v>
      </c>
      <c r="B113" s="4" t="str">
        <f ca="1">IFERROR(__xludf.DUMMYFUNCTION("""COMPUTED_VALUE"""),"No")</f>
        <v>No</v>
      </c>
      <c r="C113" s="96"/>
      <c r="D113" s="96"/>
      <c r="E113" s="96"/>
      <c r="F113" s="96"/>
      <c r="G113" s="5" t="str">
        <f ca="1">IFERROR(__xludf.DUMMYFUNCTION("""COMPUTED_VALUE"""),"Parameter unit category")</f>
        <v>Parameter unit category</v>
      </c>
      <c r="H113" s="5" t="str">
        <f ca="1">IFERROR(__xludf.DUMMYFUNCTION("""COMPUTED_VALUE"""),"0:1")</f>
        <v>0:1</v>
      </c>
      <c r="I113" s="5"/>
      <c r="J113" s="13"/>
      <c r="K113" s="4"/>
      <c r="L113" s="29" t="s">
        <v>20</v>
      </c>
      <c r="M113" s="31"/>
      <c r="N113" s="31"/>
      <c r="O113" s="29"/>
      <c r="P113" s="31"/>
      <c r="Q113" s="12"/>
      <c r="R113" s="31"/>
      <c r="S113" s="31"/>
      <c r="T113" s="31"/>
      <c r="U113" s="4"/>
      <c r="V113" s="4"/>
      <c r="W113" s="4"/>
      <c r="X113" s="4"/>
      <c r="Y113" s="4"/>
      <c r="Z113" s="4"/>
      <c r="AA113" s="4"/>
      <c r="AB113" s="4"/>
      <c r="AC113" s="4"/>
      <c r="AD113" s="4"/>
      <c r="AE113" s="4"/>
      <c r="AF113" s="4"/>
      <c r="AG113" s="4"/>
      <c r="AH113" s="4"/>
      <c r="AI113" s="4"/>
      <c r="AJ113" s="4"/>
      <c r="AK113" s="4"/>
      <c r="AL113" s="4"/>
      <c r="AM113" s="4"/>
      <c r="AN113" s="4"/>
      <c r="AO113" s="4"/>
      <c r="AP113" s="4"/>
    </row>
    <row r="114" spans="1:42" ht="12.5" x14ac:dyDescent="0.25">
      <c r="A114" s="4" t="str">
        <f ca="1">IFERROR(__xludf.DUMMYFUNCTION("""COMPUTED_VALUE"""),"Yes")</f>
        <v>Yes</v>
      </c>
      <c r="B114" s="4" t="str">
        <f ca="1">IFERROR(__xludf.DUMMYFUNCTION("""COMPUTED_VALUE"""),"Yes")</f>
        <v>Yes</v>
      </c>
      <c r="C114" s="96"/>
      <c r="D114" s="96"/>
      <c r="E114" s="96"/>
      <c r="F114" s="96"/>
      <c r="G114" s="5" t="str">
        <f ca="1">IFERROR(__xludf.DUMMYFUNCTION("""COMPUTED_VALUE"""),"Parameter data type")</f>
        <v>Parameter data type</v>
      </c>
      <c r="H114" s="5" t="str">
        <f ca="1">IFERROR(__xludf.DUMMYFUNCTION("""COMPUTED_VALUE"""),"1")</f>
        <v>1</v>
      </c>
      <c r="I114" s="5"/>
      <c r="J114" s="13"/>
      <c r="K114" s="4"/>
      <c r="L114" s="29" t="s">
        <v>21</v>
      </c>
      <c r="M114" s="31"/>
      <c r="N114" s="31"/>
      <c r="O114" s="29"/>
      <c r="P114" s="31"/>
      <c r="Q114" s="12"/>
      <c r="R114" s="31"/>
      <c r="S114" s="31"/>
      <c r="T114" s="31"/>
      <c r="U114" s="4"/>
      <c r="V114" s="4"/>
      <c r="W114" s="4"/>
      <c r="X114" s="4"/>
      <c r="Y114" s="4"/>
      <c r="Z114" s="4"/>
      <c r="AA114" s="4"/>
      <c r="AB114" s="4"/>
      <c r="AC114" s="4"/>
      <c r="AD114" s="4"/>
      <c r="AE114" s="4"/>
      <c r="AF114" s="4"/>
      <c r="AG114" s="4"/>
      <c r="AH114" s="4"/>
      <c r="AI114" s="4"/>
      <c r="AJ114" s="4"/>
      <c r="AK114" s="4"/>
      <c r="AL114" s="4"/>
      <c r="AM114" s="4"/>
      <c r="AN114" s="4"/>
      <c r="AO114" s="4"/>
      <c r="AP114" s="4"/>
    </row>
    <row r="115" spans="1:42" ht="12.5" x14ac:dyDescent="0.25">
      <c r="A115" s="4" t="str">
        <f ca="1">IFERROR(__xludf.DUMMYFUNCTION("""COMPUTED_VALUE"""),"Yes")</f>
        <v>Yes</v>
      </c>
      <c r="B115" s="4" t="str">
        <f ca="1">IFERROR(__xludf.DUMMYFUNCTION("""COMPUTED_VALUE"""),"No")</f>
        <v>No</v>
      </c>
      <c r="C115" s="96"/>
      <c r="D115" s="96"/>
      <c r="E115" s="96"/>
      <c r="F115" s="96"/>
      <c r="G115" s="5" t="str">
        <f ca="1">IFERROR(__xludf.DUMMYFUNCTION("""COMPUTED_VALUE"""),"Parameter source")</f>
        <v>Parameter source</v>
      </c>
      <c r="H115" s="5" t="str">
        <f ca="1">IFERROR(__xludf.DUMMYFUNCTION("""COMPUTED_VALUE"""),"0:1")</f>
        <v>0:1</v>
      </c>
      <c r="I115" s="5"/>
      <c r="J115" s="13"/>
      <c r="K115" s="4"/>
      <c r="L115" s="8" t="s">
        <v>22</v>
      </c>
      <c r="M115" s="34"/>
      <c r="N115" s="31"/>
      <c r="U115" s="4"/>
      <c r="V115" s="4"/>
      <c r="W115" s="4"/>
      <c r="X115" s="4"/>
      <c r="Y115" s="4"/>
      <c r="Z115" s="4"/>
      <c r="AA115" s="4"/>
      <c r="AB115" s="4"/>
      <c r="AC115" s="4"/>
      <c r="AD115" s="4"/>
      <c r="AE115" s="4"/>
      <c r="AF115" s="4"/>
      <c r="AG115" s="4"/>
      <c r="AH115" s="4"/>
      <c r="AI115" s="4"/>
      <c r="AJ115" s="4"/>
      <c r="AK115" s="4"/>
      <c r="AL115" s="4"/>
      <c r="AM115" s="4"/>
      <c r="AN115" s="4"/>
      <c r="AO115" s="4"/>
      <c r="AP115" s="4"/>
    </row>
    <row r="116" spans="1:42" ht="12.5" x14ac:dyDescent="0.25">
      <c r="A116" s="4" t="str">
        <f ca="1">IFERROR(__xludf.DUMMYFUNCTION("""COMPUTED_VALUE"""),"Yes")</f>
        <v>Yes</v>
      </c>
      <c r="B116" s="4" t="str">
        <f ca="1">IFERROR(__xludf.DUMMYFUNCTION("""COMPUTED_VALUE"""),"Yes")</f>
        <v>Yes</v>
      </c>
      <c r="C116" s="96"/>
      <c r="D116" s="96"/>
      <c r="E116" s="96"/>
      <c r="F116" s="96"/>
      <c r="G116" s="5" t="str">
        <f ca="1">IFERROR(__xludf.DUMMYFUNCTION("""COMPUTED_VALUE"""),"Parameter subject")</f>
        <v>Parameter subject</v>
      </c>
      <c r="H116" s="5" t="str">
        <f ca="1">IFERROR(__xludf.DUMMYFUNCTION("""COMPUTED_VALUE"""),"0:1")</f>
        <v>0:1</v>
      </c>
      <c r="I116" s="5"/>
      <c r="J116" s="13"/>
      <c r="K116" s="4"/>
      <c r="L116" s="8"/>
      <c r="M116" s="8"/>
      <c r="N116" s="8"/>
      <c r="O116" s="8"/>
      <c r="P116" s="8"/>
      <c r="Q116" s="8"/>
      <c r="R116" s="8"/>
      <c r="S116" s="8"/>
      <c r="T116" s="8"/>
      <c r="U116" s="8"/>
      <c r="V116" s="8"/>
      <c r="W116" s="8"/>
      <c r="X116" s="8"/>
      <c r="Y116" s="8"/>
      <c r="Z116" s="8"/>
      <c r="AA116" s="8"/>
      <c r="AB116" s="4"/>
      <c r="AC116" s="4"/>
      <c r="AD116" s="4"/>
      <c r="AE116" s="4"/>
      <c r="AF116" s="4"/>
      <c r="AG116" s="4"/>
      <c r="AH116" s="4"/>
      <c r="AI116" s="4"/>
      <c r="AJ116" s="4"/>
      <c r="AK116" s="4"/>
      <c r="AL116" s="4"/>
      <c r="AM116" s="4"/>
      <c r="AN116" s="4"/>
      <c r="AO116" s="4"/>
      <c r="AP116" s="4"/>
    </row>
    <row r="117" spans="1:42" ht="12.5" x14ac:dyDescent="0.25">
      <c r="A117" s="4" t="str">
        <f ca="1">IFERROR(__xludf.DUMMYFUNCTION("""COMPUTED_VALUE"""),"Yes")</f>
        <v>Yes</v>
      </c>
      <c r="B117" s="4" t="str">
        <f ca="1">IFERROR(__xludf.DUMMYFUNCTION("""COMPUTED_VALUE"""),"Yes")</f>
        <v>Yes</v>
      </c>
      <c r="C117" s="96"/>
      <c r="D117" s="96"/>
      <c r="E117" s="96"/>
      <c r="F117" s="96"/>
      <c r="G117" s="5" t="str">
        <f ca="1">IFERROR(__xludf.DUMMYFUNCTION("""COMPUTED_VALUE"""),"Parameter distribution")</f>
        <v>Parameter distribution</v>
      </c>
      <c r="H117" s="5" t="str">
        <f ca="1">IFERROR(__xludf.DUMMYFUNCTION("""COMPUTED_VALUE"""),"0:1")</f>
        <v>0:1</v>
      </c>
      <c r="I117" s="5"/>
      <c r="J117" s="13"/>
      <c r="K117" s="35" t="s">
        <v>23</v>
      </c>
      <c r="L117" s="98" t="str">
        <f ca="1">E108</f>
        <v>Parameter / Factor / Input / Output / "Data column"</v>
      </c>
      <c r="M117" s="96"/>
      <c r="N117" s="96"/>
      <c r="O117" s="96"/>
      <c r="P117" s="96"/>
      <c r="Q117" s="96"/>
      <c r="R117" s="96"/>
      <c r="S117" s="96"/>
      <c r="T117" s="96"/>
      <c r="U117" s="96"/>
      <c r="V117" s="96"/>
      <c r="W117" s="96"/>
      <c r="X117" s="96"/>
      <c r="Y117" s="96"/>
      <c r="Z117" s="96"/>
      <c r="AA117" s="96"/>
      <c r="AB117" s="4"/>
      <c r="AC117" s="4"/>
      <c r="AD117" s="4"/>
      <c r="AE117" s="23"/>
      <c r="AF117" s="23"/>
      <c r="AG117" s="23"/>
      <c r="AH117" s="23"/>
      <c r="AI117" s="23"/>
      <c r="AJ117" s="23"/>
      <c r="AK117" s="23"/>
      <c r="AL117" s="23"/>
      <c r="AM117" s="23"/>
      <c r="AN117" s="23"/>
      <c r="AO117" s="23"/>
      <c r="AP117" s="23"/>
    </row>
    <row r="118" spans="1:42" ht="12.5" x14ac:dyDescent="0.25">
      <c r="A118" s="4" t="str">
        <f ca="1">IFERROR(__xludf.DUMMYFUNCTION("""COMPUTED_VALUE"""),"Yes")</f>
        <v>Yes</v>
      </c>
      <c r="B118" s="4" t="str">
        <f ca="1">IFERROR(__xludf.DUMMYFUNCTION("""COMPUTED_VALUE"""),"Yes")</f>
        <v>Yes</v>
      </c>
      <c r="C118" s="96"/>
      <c r="D118" s="96"/>
      <c r="E118" s="96"/>
      <c r="F118" s="96"/>
      <c r="G118" s="5"/>
      <c r="H118" s="5"/>
      <c r="I118" s="5"/>
      <c r="J118" s="13"/>
      <c r="K118" s="4"/>
      <c r="L118" s="23" t="str">
        <f ca="1">G108</f>
        <v>Parameter ID</v>
      </c>
      <c r="M118" s="23" t="str">
        <f ca="1">G109</f>
        <v>Parameter classification</v>
      </c>
      <c r="N118" s="23" t="str">
        <f ca="1">G110</f>
        <v>Parameter name</v>
      </c>
      <c r="O118" s="23" t="str">
        <f ca="1">G111</f>
        <v>Parameter description</v>
      </c>
      <c r="P118" s="23" t="str">
        <f ca="1">G112</f>
        <v>Parameter unit</v>
      </c>
      <c r="Q118" s="23" t="str">
        <f ca="1">G113</f>
        <v>Parameter unit category</v>
      </c>
      <c r="R118" s="47" t="str">
        <f ca="1">G114</f>
        <v>Parameter data type</v>
      </c>
      <c r="S118" s="23" t="str">
        <f ca="1">G115</f>
        <v>Parameter source</v>
      </c>
      <c r="T118" s="23" t="str">
        <f ca="1">G116</f>
        <v>Parameter subject</v>
      </c>
      <c r="U118" s="23" t="str">
        <f ca="1">G117</f>
        <v>Parameter distribution</v>
      </c>
      <c r="V118" s="23" t="str">
        <f ca="1">G120</f>
        <v>Parameter value</v>
      </c>
      <c r="W118" s="23" t="str">
        <f ca="1">G121</f>
        <v>Parameter Reference</v>
      </c>
      <c r="X118" s="23" t="str">
        <f ca="1">G122</f>
        <v>Parameter variability subject</v>
      </c>
      <c r="Y118" s="23" t="str">
        <f ca="1">G123</f>
        <v>Parameter value max</v>
      </c>
      <c r="Z118" t="str">
        <f ca="1">G124</f>
        <v>Parameter value min</v>
      </c>
      <c r="AA118" s="23" t="str">
        <f ca="1">G125</f>
        <v>Parameter error</v>
      </c>
      <c r="AB118" s="23"/>
      <c r="AC118" s="23"/>
      <c r="AD118" s="23"/>
      <c r="AE118" s="23"/>
      <c r="AF118" s="23"/>
      <c r="AG118" s="23"/>
      <c r="AH118" s="23"/>
      <c r="AI118" s="23"/>
      <c r="AJ118" s="23"/>
      <c r="AK118" s="23"/>
      <c r="AL118" s="23"/>
      <c r="AM118" s="23"/>
      <c r="AN118" s="23"/>
      <c r="AO118" s="23"/>
    </row>
    <row r="119" spans="1:42" ht="12.5" x14ac:dyDescent="0.25">
      <c r="A119" s="4" t="str">
        <f ca="1">IFERROR(__xludf.DUMMYFUNCTION("""COMPUTED_VALUE"""),"Yes")</f>
        <v>Yes</v>
      </c>
      <c r="B119" s="4" t="str">
        <f ca="1">IFERROR(__xludf.DUMMYFUNCTION("""COMPUTED_VALUE"""),"Yes")</f>
        <v>Yes</v>
      </c>
      <c r="C119" s="96"/>
      <c r="D119" s="96"/>
      <c r="E119" s="96"/>
      <c r="F119" s="96"/>
      <c r="G119" s="5"/>
      <c r="H119" s="5"/>
      <c r="I119" s="5"/>
      <c r="J119" s="13"/>
      <c r="K119" s="4"/>
      <c r="L119" s="27" t="str">
        <f ca="1">H108</f>
        <v>1</v>
      </c>
      <c r="M119" s="27" t="str">
        <f ca="1">H109</f>
        <v>1</v>
      </c>
      <c r="N119" s="27" t="str">
        <f ca="1">H110</f>
        <v>1</v>
      </c>
      <c r="O119" s="27" t="str">
        <f ca="1">H111</f>
        <v>0:1</v>
      </c>
      <c r="P119" s="27" t="str">
        <f ca="1">H112</f>
        <v>1</v>
      </c>
      <c r="Q119" s="27" t="str">
        <f ca="1">H113</f>
        <v>0:1</v>
      </c>
      <c r="R119" s="27" t="str">
        <f ca="1">H114</f>
        <v>1</v>
      </c>
      <c r="S119" s="27" t="str">
        <f ca="1">H115</f>
        <v>0:1</v>
      </c>
      <c r="T119" s="27" t="str">
        <f ca="1">H116</f>
        <v>0:1</v>
      </c>
      <c r="U119" s="27" t="str">
        <f ca="1">H117</f>
        <v>0:1</v>
      </c>
      <c r="V119" s="27" t="str">
        <f ca="1">H120</f>
        <v>0:1</v>
      </c>
      <c r="W119" s="27" t="str">
        <f ca="1">H121</f>
        <v>0:1</v>
      </c>
      <c r="X119" s="27" t="str">
        <f ca="1">H122</f>
        <v>0:1</v>
      </c>
      <c r="Y119" s="27" t="str">
        <f ca="1">H123</f>
        <v>0:1</v>
      </c>
      <c r="Z119" t="str">
        <f ca="1">H124</f>
        <v>0:1</v>
      </c>
      <c r="AA119" s="27" t="str">
        <f ca="1">H125</f>
        <v>0:1</v>
      </c>
      <c r="AB119" s="23"/>
      <c r="AC119" s="23"/>
    </row>
    <row r="120" spans="1:42" ht="12.5" x14ac:dyDescent="0.25">
      <c r="A120" s="4" t="str">
        <f ca="1">IFERROR(__xludf.DUMMYFUNCTION("""COMPUTED_VALUE"""),"Yes")</f>
        <v>Yes</v>
      </c>
      <c r="B120" s="4" t="str">
        <f ca="1">IFERROR(__xludf.DUMMYFUNCTION("""COMPUTED_VALUE"""),"No")</f>
        <v>No</v>
      </c>
      <c r="C120" s="96"/>
      <c r="D120" s="96"/>
      <c r="E120" s="96"/>
      <c r="F120" s="96"/>
      <c r="G120" s="5" t="str">
        <f ca="1">IFERROR(__xludf.DUMMYFUNCTION("""COMPUTED_VALUE"""),"Parameter value")</f>
        <v>Parameter value</v>
      </c>
      <c r="H120" s="5" t="str">
        <f ca="1">IFERROR(__xludf.DUMMYFUNCTION("""COMPUTED_VALUE"""),"0:1")</f>
        <v>0:1</v>
      </c>
      <c r="I120" s="5"/>
      <c r="J120" s="13"/>
      <c r="K120" s="4"/>
      <c r="L120" s="39"/>
      <c r="M120" s="40"/>
      <c r="N120" s="37"/>
      <c r="O120" s="37"/>
      <c r="P120" s="36" t="s">
        <v>25</v>
      </c>
      <c r="Q120" s="13">
        <f>'Parameter unit'!AD3</f>
        <v>0</v>
      </c>
      <c r="R120" s="37"/>
      <c r="S120" s="37"/>
      <c r="T120" s="37"/>
      <c r="U120" s="37"/>
      <c r="V120" s="37"/>
      <c r="W120" s="37"/>
      <c r="X120" s="37"/>
      <c r="Y120" s="37"/>
      <c r="Z120" s="48"/>
      <c r="AA120" s="37"/>
    </row>
    <row r="121" spans="1:42" ht="12.5" x14ac:dyDescent="0.25">
      <c r="A121" s="4" t="str">
        <f ca="1">IFERROR(__xludf.DUMMYFUNCTION("""COMPUTED_VALUE"""),"Yes")</f>
        <v>Yes</v>
      </c>
      <c r="B121" s="4" t="str">
        <f ca="1">IFERROR(__xludf.DUMMYFUNCTION("""COMPUTED_VALUE"""),"No")</f>
        <v>No</v>
      </c>
      <c r="C121" s="96"/>
      <c r="D121" s="96"/>
      <c r="E121" s="96"/>
      <c r="F121" s="96"/>
      <c r="G121" s="5" t="str">
        <f ca="1">IFERROR(__xludf.DUMMYFUNCTION("""COMPUTED_VALUE"""),"Parameter Reference")</f>
        <v>Parameter Reference</v>
      </c>
      <c r="H121" s="5" t="str">
        <f ca="1">IFERROR(__xludf.DUMMYFUNCTION("""COMPUTED_VALUE"""),"0:1")</f>
        <v>0:1</v>
      </c>
      <c r="I121" s="5"/>
      <c r="J121" s="13"/>
      <c r="K121" s="4"/>
      <c r="L121" s="39"/>
      <c r="M121" s="37"/>
      <c r="N121" s="37"/>
      <c r="O121" s="37"/>
      <c r="P121" s="36" t="s">
        <v>25</v>
      </c>
      <c r="Q121" s="13">
        <f>'Parameter unit'!AD4</f>
        <v>0</v>
      </c>
      <c r="R121" s="37"/>
      <c r="S121" s="37"/>
      <c r="T121" s="37"/>
      <c r="U121" s="37"/>
      <c r="V121" s="37"/>
      <c r="W121" s="37"/>
      <c r="X121" s="37"/>
      <c r="Y121" s="37"/>
      <c r="Z121" s="37"/>
      <c r="AA121" s="37"/>
    </row>
    <row r="122" spans="1:42" ht="12.5" x14ac:dyDescent="0.25">
      <c r="A122" s="4" t="str">
        <f ca="1">IFERROR(__xludf.DUMMYFUNCTION("""COMPUTED_VALUE"""),"Yes")</f>
        <v>Yes</v>
      </c>
      <c r="B122" s="4" t="str">
        <f ca="1">IFERROR(__xludf.DUMMYFUNCTION("""COMPUTED_VALUE"""),"No")</f>
        <v>No</v>
      </c>
      <c r="C122" s="96"/>
      <c r="D122" s="96"/>
      <c r="E122" s="96"/>
      <c r="F122" s="96"/>
      <c r="G122" s="5" t="str">
        <f ca="1">IFERROR(__xludf.DUMMYFUNCTION("""COMPUTED_VALUE"""),"Parameter variability subject")</f>
        <v>Parameter variability subject</v>
      </c>
      <c r="H122" s="5" t="str">
        <f ca="1">IFERROR(__xludf.DUMMYFUNCTION("""COMPUTED_VALUE"""),"0:1")</f>
        <v>0:1</v>
      </c>
      <c r="I122" s="5"/>
      <c r="J122" s="13"/>
      <c r="K122" s="4"/>
      <c r="L122" s="39"/>
      <c r="M122" s="37"/>
      <c r="N122" s="37"/>
      <c r="O122" s="37"/>
      <c r="P122" s="36" t="s">
        <v>25</v>
      </c>
      <c r="Q122" s="13">
        <f>'Parameter unit'!AD5</f>
        <v>0</v>
      </c>
      <c r="R122" s="37"/>
      <c r="S122" s="37"/>
      <c r="T122" s="37"/>
      <c r="U122" s="37"/>
      <c r="V122" s="37"/>
      <c r="W122" s="37"/>
      <c r="X122" s="37"/>
      <c r="Y122" s="37"/>
      <c r="Z122" s="37"/>
      <c r="AA122" s="37"/>
    </row>
    <row r="123" spans="1:42" ht="12.5" x14ac:dyDescent="0.25">
      <c r="A123" s="4" t="str">
        <f ca="1">IFERROR(__xludf.DUMMYFUNCTION("""COMPUTED_VALUE"""),"Yes")</f>
        <v>Yes</v>
      </c>
      <c r="B123" s="4" t="str">
        <f ca="1">IFERROR(__xludf.DUMMYFUNCTION("""COMPUTED_VALUE"""),"No")</f>
        <v>No</v>
      </c>
      <c r="C123" s="96"/>
      <c r="D123" s="96"/>
      <c r="E123" s="96"/>
      <c r="F123" s="96"/>
      <c r="G123" s="5" t="str">
        <f ca="1">IFERROR(__xludf.DUMMYFUNCTION("""COMPUTED_VALUE"""),"Parameter value max")</f>
        <v>Parameter value max</v>
      </c>
      <c r="H123" s="5" t="str">
        <f ca="1">IFERROR(__xludf.DUMMYFUNCTION("""COMPUTED_VALUE"""),"0:1")</f>
        <v>0:1</v>
      </c>
      <c r="I123" s="5"/>
      <c r="J123" s="13"/>
      <c r="K123" s="4"/>
      <c r="L123" s="39"/>
      <c r="M123" s="37"/>
      <c r="N123" s="37"/>
      <c r="O123" s="37"/>
      <c r="P123" s="36" t="s">
        <v>25</v>
      </c>
      <c r="Q123" s="13">
        <f>'Parameter unit'!AD6</f>
        <v>0</v>
      </c>
      <c r="R123" s="37"/>
      <c r="S123" s="37"/>
      <c r="T123" s="37"/>
      <c r="U123" s="37"/>
      <c r="V123" s="37"/>
      <c r="W123" s="37"/>
      <c r="X123" s="37"/>
      <c r="Y123" s="37"/>
      <c r="Z123" s="37"/>
      <c r="AA123" s="37"/>
    </row>
    <row r="124" spans="1:42" ht="12.5" x14ac:dyDescent="0.25">
      <c r="A124" s="4" t="str">
        <f ca="1">IFERROR(__xludf.DUMMYFUNCTION("""COMPUTED_VALUE"""),"Yes")</f>
        <v>Yes</v>
      </c>
      <c r="B124" s="4" t="str">
        <f ca="1">IFERROR(__xludf.DUMMYFUNCTION("""COMPUTED_VALUE"""),"No")</f>
        <v>No</v>
      </c>
      <c r="C124" s="96"/>
      <c r="D124" s="96"/>
      <c r="E124" s="96"/>
      <c r="F124" s="96"/>
      <c r="G124" s="5" t="str">
        <f ca="1">IFERROR(__xludf.DUMMYFUNCTION("""COMPUTED_VALUE"""),"Parameter value min")</f>
        <v>Parameter value min</v>
      </c>
      <c r="H124" s="5" t="str">
        <f ca="1">IFERROR(__xludf.DUMMYFUNCTION("""COMPUTED_VALUE"""),"0:1")</f>
        <v>0:1</v>
      </c>
      <c r="I124" s="5"/>
      <c r="J124" s="13"/>
      <c r="K124" s="4"/>
      <c r="L124" s="39"/>
      <c r="M124" s="37"/>
      <c r="N124" s="37"/>
      <c r="O124" s="37"/>
      <c r="P124" s="36" t="s">
        <v>25</v>
      </c>
      <c r="Q124" s="13">
        <f>'Parameter unit'!AD7</f>
        <v>0</v>
      </c>
      <c r="R124" s="37"/>
      <c r="S124" s="37"/>
      <c r="T124" s="37"/>
      <c r="U124" s="37"/>
      <c r="V124" s="37"/>
      <c r="W124" s="37"/>
      <c r="X124" s="37"/>
      <c r="Y124" s="37"/>
      <c r="Z124" s="37"/>
      <c r="AA124" s="37"/>
    </row>
    <row r="125" spans="1:42" ht="12.5" x14ac:dyDescent="0.25">
      <c r="A125" s="4" t="str">
        <f ca="1">IFERROR(__xludf.DUMMYFUNCTION("""COMPUTED_VALUE"""),"Yes")</f>
        <v>Yes</v>
      </c>
      <c r="B125" s="4" t="str">
        <f ca="1">IFERROR(__xludf.DUMMYFUNCTION("""COMPUTED_VALUE"""),"No")</f>
        <v>No</v>
      </c>
      <c r="C125" s="96"/>
      <c r="D125" s="96"/>
      <c r="E125" s="96"/>
      <c r="F125" s="96"/>
      <c r="G125" s="5" t="str">
        <f ca="1">IFERROR(__xludf.DUMMYFUNCTION("""COMPUTED_VALUE"""),"Parameter error")</f>
        <v>Parameter error</v>
      </c>
      <c r="H125" s="5" t="str">
        <f ca="1">IFERROR(__xludf.DUMMYFUNCTION("""COMPUTED_VALUE"""),"0:1")</f>
        <v>0:1</v>
      </c>
      <c r="I125" s="5"/>
      <c r="J125" s="13"/>
      <c r="K125" s="4"/>
      <c r="L125" s="39"/>
      <c r="M125" s="37"/>
      <c r="N125" s="37"/>
      <c r="O125" s="37"/>
      <c r="P125" s="36" t="s">
        <v>25</v>
      </c>
      <c r="Q125" s="13">
        <f>'Parameter unit'!AD8</f>
        <v>0</v>
      </c>
      <c r="R125" s="37"/>
      <c r="S125" s="37"/>
      <c r="T125" s="37"/>
      <c r="U125" s="37"/>
      <c r="V125" s="37"/>
      <c r="W125" s="37"/>
      <c r="X125" s="37"/>
      <c r="Y125" s="37"/>
      <c r="Z125" s="37"/>
      <c r="AA125" s="37"/>
    </row>
    <row r="126" spans="1:42" ht="12.5" x14ac:dyDescent="0.25">
      <c r="A126" s="4" t="str">
        <f ca="1">IFERROR(__xludf.DUMMYFUNCTION("""COMPUTED_VALUE"""),"Yes")</f>
        <v>Yes</v>
      </c>
      <c r="B126" s="4" t="str">
        <f ca="1">IFERROR(__xludf.DUMMYFUNCTION("""COMPUTED_VALUE"""),"No")</f>
        <v>No</v>
      </c>
      <c r="C126" s="96"/>
      <c r="D126" s="96"/>
      <c r="E126" s="97" t="str">
        <f ca="1">IFERROR(__xludf.DUMMYFUNCTION("""COMPUTED_VALUE"""),"Quality measures")</f>
        <v>Quality measures</v>
      </c>
      <c r="F126" s="97" t="str">
        <f ca="1">IFERROR(__xludf.DUMMYFUNCTION("""COMPUTED_VALUE"""),"0:N")</f>
        <v>0:N</v>
      </c>
      <c r="G126" s="5" t="str">
        <f ca="1">IFERROR(__xludf.DUMMYFUNCTION("""COMPUTED_VALUE"""),"SSE / MSE / RMSE / Rsquared / AIC / BIC")</f>
        <v>SSE / MSE / RMSE / Rsquared / AIC / BIC</v>
      </c>
      <c r="H126" s="5" t="str">
        <f ca="1">IFERROR(__xludf.DUMMYFUNCTION("""COMPUTED_VALUE"""),"0:N")</f>
        <v>0:N</v>
      </c>
      <c r="I126" s="5"/>
      <c r="J126" s="13"/>
      <c r="K126" s="4"/>
      <c r="L126" s="39"/>
      <c r="M126" s="37"/>
      <c r="N126" s="37"/>
      <c r="O126" s="37"/>
      <c r="P126" s="36" t="s">
        <v>25</v>
      </c>
      <c r="Q126" s="13">
        <f>'Parameter unit'!AD9</f>
        <v>0</v>
      </c>
      <c r="R126" s="37"/>
      <c r="S126" s="37"/>
      <c r="T126" s="37"/>
      <c r="U126" s="37"/>
      <c r="V126" s="37"/>
      <c r="W126" s="37"/>
      <c r="X126" s="37"/>
      <c r="Y126" s="37"/>
      <c r="Z126" s="37"/>
      <c r="AA126" s="37"/>
    </row>
    <row r="127" spans="1:42" ht="12.5" x14ac:dyDescent="0.25">
      <c r="A127" s="4" t="str">
        <f ca="1">IFERROR(__xludf.DUMMYFUNCTION("""COMPUTED_VALUE"""),"Yes")</f>
        <v>Yes</v>
      </c>
      <c r="B127" s="4" t="str">
        <f ca="1">IFERROR(__xludf.DUMMYFUNCTION("""COMPUTED_VALUE"""),"No")</f>
        <v>No</v>
      </c>
      <c r="C127" s="96"/>
      <c r="D127" s="96"/>
      <c r="E127" s="96"/>
      <c r="F127" s="96"/>
      <c r="G127" s="5" t="str">
        <f ca="1">IFERROR(__xludf.DUMMYFUNCTION("""COMPUTED_VALUE"""),"Sensitivity analysis")</f>
        <v>Sensitivity analysis</v>
      </c>
      <c r="H127" s="5" t="str">
        <f ca="1">IFERROR(__xludf.DUMMYFUNCTION("""COMPUTED_VALUE"""),"0:N")</f>
        <v>0:N</v>
      </c>
      <c r="I127" s="5"/>
      <c r="J127" s="13"/>
      <c r="K127" s="4"/>
      <c r="L127" s="39"/>
      <c r="M127" s="37"/>
      <c r="N127" s="37"/>
      <c r="O127" s="37"/>
      <c r="P127" s="36" t="s">
        <v>25</v>
      </c>
      <c r="Q127" s="13">
        <f>'Parameter unit'!AD10</f>
        <v>0</v>
      </c>
      <c r="R127" s="37"/>
      <c r="S127" s="37"/>
      <c r="T127" s="37"/>
      <c r="U127" s="37"/>
      <c r="V127" s="37"/>
      <c r="W127" s="37"/>
      <c r="X127" s="37"/>
      <c r="Y127" s="37"/>
      <c r="Z127" s="37"/>
      <c r="AA127" s="37"/>
    </row>
    <row r="128" spans="1:42" ht="12.5" x14ac:dyDescent="0.25">
      <c r="A128" s="4" t="str">
        <f ca="1">IFERROR(__xludf.DUMMYFUNCTION("""COMPUTED_VALUE"""),"Yes")</f>
        <v>Yes</v>
      </c>
      <c r="B128" s="4" t="str">
        <f ca="1">IFERROR(__xludf.DUMMYFUNCTION("""COMPUTED_VALUE"""),"No")</f>
        <v>No</v>
      </c>
      <c r="C128" s="96"/>
      <c r="D128" s="96"/>
      <c r="E128" s="97" t="str">
        <f ca="1">IFERROR(__xludf.DUMMYFUNCTION("""COMPUTED_VALUE"""),"Model equation")</f>
        <v>Model equation</v>
      </c>
      <c r="F128" s="97" t="str">
        <f ca="1">IFERROR(__xludf.DUMMYFUNCTION("""COMPUTED_VALUE"""),"0:N")</f>
        <v>0:N</v>
      </c>
      <c r="G128" s="5" t="str">
        <f ca="1">IFERROR(__xludf.DUMMYFUNCTION("""COMPUTED_VALUE"""),"Model equation name")</f>
        <v>Model equation name</v>
      </c>
      <c r="H128" s="5" t="str">
        <f ca="1">IFERROR(__xludf.DUMMYFUNCTION("""COMPUTED_VALUE"""),"1")</f>
        <v>1</v>
      </c>
      <c r="I128" s="5"/>
      <c r="J128" s="41"/>
      <c r="K128" s="4"/>
      <c r="L128" s="39"/>
      <c r="M128" s="37"/>
      <c r="N128" s="37"/>
      <c r="O128" s="37"/>
      <c r="P128" s="36" t="s">
        <v>25</v>
      </c>
      <c r="Q128" s="13">
        <f>'Parameter unit'!AD11</f>
        <v>0</v>
      </c>
      <c r="R128" s="37"/>
      <c r="S128" s="37"/>
      <c r="T128" s="37"/>
      <c r="U128" s="37"/>
      <c r="V128" s="37"/>
      <c r="W128" s="37"/>
      <c r="X128" s="37"/>
      <c r="Y128" s="37"/>
      <c r="Z128" s="37"/>
      <c r="AA128" s="37"/>
    </row>
    <row r="129" spans="1:41" ht="12.5" x14ac:dyDescent="0.25">
      <c r="A129" s="4" t="str">
        <f ca="1">IFERROR(__xludf.DUMMYFUNCTION("""COMPUTED_VALUE"""),"Yes")</f>
        <v>Yes</v>
      </c>
      <c r="B129" s="4" t="str">
        <f ca="1">IFERROR(__xludf.DUMMYFUNCTION("""COMPUTED_VALUE"""),"No")</f>
        <v>No</v>
      </c>
      <c r="C129" s="96"/>
      <c r="D129" s="96"/>
      <c r="E129" s="96"/>
      <c r="F129" s="96"/>
      <c r="G129" s="5" t="str">
        <f ca="1">IFERROR(__xludf.DUMMYFUNCTION("""COMPUTED_VALUE"""),"Model equation class/distribution")</f>
        <v>Model equation class/distribution</v>
      </c>
      <c r="H129" s="5" t="str">
        <f ca="1">IFERROR(__xludf.DUMMYFUNCTION("""COMPUTED_VALUE"""),"0:1")</f>
        <v>0:1</v>
      </c>
      <c r="I129" s="5"/>
      <c r="J129" s="41"/>
      <c r="K129" s="4"/>
      <c r="L129" s="39"/>
      <c r="M129" s="37"/>
      <c r="N129" s="37"/>
      <c r="O129" s="37"/>
      <c r="P129" s="36" t="s">
        <v>25</v>
      </c>
      <c r="Q129" s="13">
        <f>'Parameter unit'!AD12</f>
        <v>0</v>
      </c>
      <c r="R129" s="37"/>
      <c r="S129" s="37"/>
      <c r="T129" s="37"/>
      <c r="U129" s="37"/>
      <c r="V129" s="37"/>
      <c r="W129" s="37"/>
      <c r="X129" s="37"/>
      <c r="Y129" s="37"/>
      <c r="Z129" s="37"/>
      <c r="AA129" s="37"/>
    </row>
    <row r="130" spans="1:41" ht="12.5" x14ac:dyDescent="0.25">
      <c r="A130" s="4" t="str">
        <f ca="1">IFERROR(__xludf.DUMMYFUNCTION("""COMPUTED_VALUE"""),"Yes")</f>
        <v>Yes</v>
      </c>
      <c r="B130" s="4" t="str">
        <f ca="1">IFERROR(__xludf.DUMMYFUNCTION("""COMPUTED_VALUE"""),"No")</f>
        <v>No</v>
      </c>
      <c r="C130" s="96"/>
      <c r="D130" s="96"/>
      <c r="E130" s="96"/>
      <c r="F130" s="96"/>
      <c r="G130" s="5"/>
      <c r="H130" s="5"/>
      <c r="I130" s="5"/>
      <c r="J130" s="41"/>
      <c r="K130" s="4"/>
      <c r="L130" s="39"/>
      <c r="M130" s="37"/>
      <c r="N130" s="37"/>
      <c r="O130" s="37"/>
      <c r="P130" s="36" t="s">
        <v>25</v>
      </c>
      <c r="Q130" s="13">
        <f>'Parameter unit'!AD13</f>
        <v>0</v>
      </c>
      <c r="R130" s="37"/>
      <c r="S130" s="37"/>
      <c r="T130" s="37"/>
      <c r="U130" s="37"/>
      <c r="V130" s="37"/>
      <c r="W130" s="37"/>
      <c r="X130" s="37"/>
      <c r="Y130" s="37"/>
      <c r="Z130" s="37"/>
      <c r="AA130" s="37"/>
    </row>
    <row r="131" spans="1:41" ht="12.5" x14ac:dyDescent="0.25">
      <c r="A131" s="4" t="str">
        <f ca="1">IFERROR(__xludf.DUMMYFUNCTION("""COMPUTED_VALUE"""),"Yes")</f>
        <v>Yes</v>
      </c>
      <c r="B131" s="4" t="str">
        <f ca="1">IFERROR(__xludf.DUMMYFUNCTION("""COMPUTED_VALUE"""),"No")</f>
        <v>No</v>
      </c>
      <c r="C131" s="96"/>
      <c r="D131" s="96"/>
      <c r="E131" s="96"/>
      <c r="F131" s="96"/>
      <c r="G131" s="5"/>
      <c r="H131" s="5"/>
      <c r="I131" s="5"/>
      <c r="J131" s="41"/>
      <c r="K131" s="4"/>
      <c r="L131" s="39"/>
      <c r="M131" s="37"/>
      <c r="N131" s="37"/>
      <c r="O131" s="37"/>
      <c r="P131" s="36" t="s">
        <v>25</v>
      </c>
      <c r="Q131" s="13">
        <f>'Parameter unit'!AD14</f>
        <v>0</v>
      </c>
      <c r="R131" s="37"/>
      <c r="S131" s="37"/>
      <c r="T131" s="37"/>
      <c r="U131" s="37"/>
      <c r="V131" s="37"/>
      <c r="W131" s="37"/>
      <c r="X131" s="37"/>
      <c r="Y131" s="37"/>
      <c r="Z131" s="37"/>
      <c r="AA131" s="37"/>
    </row>
    <row r="132" spans="1:41" ht="12.5" x14ac:dyDescent="0.25">
      <c r="A132" s="4" t="str">
        <f ca="1">IFERROR(__xludf.DUMMYFUNCTION("""COMPUTED_VALUE"""),"Yes")</f>
        <v>Yes</v>
      </c>
      <c r="B132" s="4" t="str">
        <f ca="1">IFERROR(__xludf.DUMMYFUNCTION("""COMPUTED_VALUE"""),"No")</f>
        <v>No</v>
      </c>
      <c r="C132" s="96"/>
      <c r="D132" s="96"/>
      <c r="E132" s="96"/>
      <c r="F132" s="96"/>
      <c r="G132" s="5"/>
      <c r="H132" s="5"/>
      <c r="I132" s="5"/>
      <c r="J132" s="41"/>
      <c r="K132" s="4"/>
      <c r="L132" s="39"/>
      <c r="M132" s="37"/>
      <c r="N132" s="37"/>
      <c r="O132" s="37"/>
      <c r="P132" s="36" t="s">
        <v>25</v>
      </c>
      <c r="Q132" s="13">
        <f>'Parameter unit'!AD15</f>
        <v>0</v>
      </c>
      <c r="R132" s="37"/>
      <c r="S132" s="37"/>
      <c r="T132" s="37"/>
      <c r="U132" s="37"/>
      <c r="V132" s="37"/>
      <c r="W132" s="37"/>
      <c r="X132" s="37"/>
      <c r="Y132" s="37"/>
      <c r="Z132" s="37"/>
      <c r="AA132" s="37"/>
    </row>
    <row r="133" spans="1:41" ht="12.5" x14ac:dyDescent="0.25">
      <c r="A133" s="4" t="str">
        <f ca="1">IFERROR(__xludf.DUMMYFUNCTION("""COMPUTED_VALUE"""),"Yes")</f>
        <v>Yes</v>
      </c>
      <c r="B133" s="4" t="str">
        <f ca="1">IFERROR(__xludf.DUMMYFUNCTION("""COMPUTED_VALUE"""),"No")</f>
        <v>No</v>
      </c>
      <c r="C133" s="96"/>
      <c r="D133" s="96"/>
      <c r="E133" s="96"/>
      <c r="F133" s="96"/>
      <c r="G133" s="5" t="str">
        <f ca="1">IFERROR(__xludf.DUMMYFUNCTION("""COMPUTED_VALUE"""),"Model equation reference")</f>
        <v>Model equation reference</v>
      </c>
      <c r="H133" s="5" t="str">
        <f ca="1">IFERROR(__xludf.DUMMYFUNCTION("""COMPUTED_VALUE"""),"0:N")</f>
        <v>0:N</v>
      </c>
      <c r="I133" s="5"/>
      <c r="J133" s="41"/>
      <c r="K133" s="4"/>
      <c r="L133" s="39"/>
      <c r="M133" s="37"/>
      <c r="N133" s="37"/>
      <c r="O133" s="37"/>
      <c r="P133" s="36" t="s">
        <v>25</v>
      </c>
      <c r="Q133" s="13">
        <f>'Parameter unit'!AD16</f>
        <v>0</v>
      </c>
      <c r="R133" s="37"/>
      <c r="S133" s="37"/>
      <c r="T133" s="37"/>
      <c r="U133" s="37"/>
      <c r="V133" s="37"/>
      <c r="W133" s="37"/>
      <c r="X133" s="37"/>
      <c r="Y133" s="37"/>
      <c r="Z133" s="37"/>
      <c r="AA133" s="37"/>
    </row>
    <row r="134" spans="1:41" ht="12.5" x14ac:dyDescent="0.25">
      <c r="A134" s="4" t="str">
        <f ca="1">IFERROR(__xludf.DUMMYFUNCTION("""COMPUTED_VALUE"""),"Yes")</f>
        <v>Yes</v>
      </c>
      <c r="B134" s="4" t="str">
        <f ca="1">IFERROR(__xludf.DUMMYFUNCTION("""COMPUTED_VALUE"""),"No")</f>
        <v>No</v>
      </c>
      <c r="C134" s="96"/>
      <c r="D134" s="96"/>
      <c r="E134" s="96"/>
      <c r="F134" s="96"/>
      <c r="G134" s="5" t="str">
        <f ca="1">IFERROR(__xludf.DUMMYFUNCTION("""COMPUTED_VALUE"""),"Model equation / Script")</f>
        <v>Model equation / Script</v>
      </c>
      <c r="H134" s="5" t="str">
        <f ca="1">IFERROR(__xludf.DUMMYFUNCTION("""COMPUTED_VALUE"""),"1")</f>
        <v>1</v>
      </c>
      <c r="I134" s="5"/>
      <c r="J134" s="41"/>
      <c r="K134" s="4"/>
      <c r="L134" s="39"/>
      <c r="M134" s="37"/>
      <c r="N134" s="37"/>
      <c r="O134" s="37"/>
      <c r="P134" s="36" t="s">
        <v>25</v>
      </c>
      <c r="Q134" s="13">
        <f>'Parameter unit'!AD17</f>
        <v>0</v>
      </c>
      <c r="R134" s="37"/>
      <c r="S134" s="37"/>
      <c r="T134" s="37"/>
      <c r="U134" s="37"/>
      <c r="V134" s="37"/>
      <c r="W134" s="37"/>
      <c r="X134" s="37"/>
      <c r="Y134" s="37"/>
      <c r="Z134" s="37"/>
      <c r="AA134" s="37"/>
    </row>
    <row r="135" spans="1:41" ht="12.5" x14ac:dyDescent="0.25">
      <c r="A135" s="4" t="str">
        <f ca="1">IFERROR(__xludf.DUMMYFUNCTION("""COMPUTED_VALUE"""),"Yes")</f>
        <v>Yes</v>
      </c>
      <c r="B135" s="4" t="str">
        <f ca="1">IFERROR(__xludf.DUMMYFUNCTION("""COMPUTED_VALUE"""),"No")</f>
        <v>No</v>
      </c>
      <c r="C135" s="96"/>
      <c r="D135" s="96"/>
      <c r="E135" s="96"/>
      <c r="F135" s="96"/>
      <c r="G135" s="5" t="str">
        <f ca="1">IFERROR(__xludf.DUMMYFUNCTION("""COMPUTED_VALUE"""),"Hypothesis of the model")</f>
        <v>Hypothesis of the model</v>
      </c>
      <c r="H135" s="5" t="str">
        <f ca="1">IFERROR(__xludf.DUMMYFUNCTION("""COMPUTED_VALUE"""),"0:N")</f>
        <v>0:N</v>
      </c>
      <c r="I135" s="5"/>
      <c r="J135" s="41"/>
      <c r="K135" s="4"/>
      <c r="L135" s="39"/>
      <c r="M135" s="37"/>
      <c r="N135" s="37"/>
      <c r="O135" s="37"/>
      <c r="P135" s="36" t="s">
        <v>25</v>
      </c>
      <c r="Q135" s="13">
        <f>'Parameter unit'!AD18</f>
        <v>0</v>
      </c>
      <c r="R135" s="37"/>
      <c r="S135" s="37"/>
      <c r="T135" s="37"/>
      <c r="U135" s="37"/>
      <c r="V135" s="37"/>
      <c r="W135" s="37"/>
      <c r="X135" s="37"/>
      <c r="Y135" s="37"/>
      <c r="Z135" s="37"/>
      <c r="AA135" s="37"/>
    </row>
    <row r="136" spans="1:41" ht="12.5" x14ac:dyDescent="0.25">
      <c r="A136" s="4" t="str">
        <f ca="1">IFERROR(__xludf.DUMMYFUNCTION("""COMPUTED_VALUE"""),"Yes")</f>
        <v>Yes</v>
      </c>
      <c r="B136" s="4" t="str">
        <f ca="1">IFERROR(__xludf.DUMMYFUNCTION("""COMPUTED_VALUE"""),"No")</f>
        <v>No</v>
      </c>
      <c r="C136" s="96"/>
      <c r="D136" s="96"/>
      <c r="E136" s="5" t="str">
        <f ca="1">IFERROR(__xludf.DUMMYFUNCTION("""COMPUTED_VALUE"""),"Fitting procedure")</f>
        <v>Fitting procedure</v>
      </c>
      <c r="F136" s="97" t="str">
        <f ca="1">IFERROR(__xludf.DUMMYFUNCTION("""COMPUTED_VALUE"""),"0:1")</f>
        <v>0:1</v>
      </c>
      <c r="G136" s="96"/>
      <c r="H136" s="96"/>
      <c r="I136" s="5"/>
      <c r="J136" s="11"/>
      <c r="K136" s="4"/>
      <c r="L136" s="39"/>
      <c r="M136" s="37"/>
      <c r="N136" s="37"/>
      <c r="O136" s="37"/>
      <c r="P136" s="36" t="s">
        <v>25</v>
      </c>
      <c r="Q136" s="13">
        <f>'Parameter unit'!AD19</f>
        <v>0</v>
      </c>
      <c r="R136" s="37"/>
      <c r="S136" s="37"/>
      <c r="T136" s="37"/>
      <c r="U136" s="37"/>
      <c r="V136" s="37"/>
      <c r="W136" s="37"/>
      <c r="X136" s="37"/>
      <c r="Y136" s="37"/>
      <c r="Z136" s="37"/>
      <c r="AA136" s="37"/>
    </row>
    <row r="137" spans="1:41" ht="12.5" x14ac:dyDescent="0.25">
      <c r="A137" s="4" t="str">
        <f ca="1">IFERROR(__xludf.DUMMYFUNCTION("""COMPUTED_VALUE"""),"Yes")</f>
        <v>Yes</v>
      </c>
      <c r="B137" s="4" t="str">
        <f ca="1">IFERROR(__xludf.DUMMYFUNCTION("""COMPUTED_VALUE"""),"No")</f>
        <v>No</v>
      </c>
      <c r="C137" s="96"/>
      <c r="D137" s="96"/>
      <c r="E137" s="5" t="str">
        <f ca="1">IFERROR(__xludf.DUMMYFUNCTION("""COMPUTED_VALUE"""),"Events")</f>
        <v>Events</v>
      </c>
      <c r="F137" s="97" t="str">
        <f ca="1">IFERROR(__xludf.DUMMYFUNCTION("""COMPUTED_VALUE"""),"0:N")</f>
        <v>0:N</v>
      </c>
      <c r="G137" s="96"/>
      <c r="H137" s="96"/>
      <c r="I137" s="5"/>
      <c r="J137" s="41"/>
      <c r="K137" s="4"/>
      <c r="L137" s="39"/>
      <c r="M137" s="37"/>
      <c r="N137" s="37"/>
      <c r="O137" s="37"/>
      <c r="P137" s="36" t="s">
        <v>25</v>
      </c>
      <c r="Q137" s="13">
        <f>'Parameter unit'!AD20</f>
        <v>0</v>
      </c>
      <c r="R137" s="37"/>
      <c r="S137" s="37"/>
      <c r="T137" s="37"/>
      <c r="U137" s="37"/>
      <c r="V137" s="37"/>
      <c r="W137" s="37"/>
      <c r="X137" s="37"/>
      <c r="Y137" s="37"/>
      <c r="Z137" s="37"/>
      <c r="AA137" s="37"/>
    </row>
    <row r="138" spans="1:41" ht="12.5" x14ac:dyDescent="0.25">
      <c r="A138" s="4"/>
      <c r="B138" s="4"/>
      <c r="C138" s="4"/>
      <c r="D138" s="4"/>
      <c r="E138" s="4"/>
      <c r="F138" s="4"/>
      <c r="G138" s="4"/>
      <c r="H138" s="4"/>
      <c r="I138" s="4"/>
      <c r="J138" s="4"/>
      <c r="K138" s="4"/>
      <c r="L138" s="39"/>
      <c r="M138" s="37"/>
      <c r="N138" s="37"/>
      <c r="O138" s="37"/>
      <c r="P138" s="36" t="s">
        <v>25</v>
      </c>
      <c r="Q138" s="13">
        <f>'Parameter unit'!AD21</f>
        <v>0</v>
      </c>
      <c r="R138" s="37"/>
      <c r="S138" s="37"/>
      <c r="T138" s="37"/>
      <c r="U138" s="37"/>
      <c r="V138" s="37"/>
      <c r="W138" s="37"/>
      <c r="X138" s="37"/>
      <c r="Y138" s="37"/>
      <c r="Z138" s="37"/>
      <c r="AA138" s="37"/>
      <c r="AD138" s="4"/>
      <c r="AE138" s="4"/>
      <c r="AF138" s="4"/>
      <c r="AG138" s="4"/>
      <c r="AH138" s="4"/>
      <c r="AI138" s="4"/>
      <c r="AJ138" s="4"/>
      <c r="AK138" s="4"/>
      <c r="AL138" s="4"/>
      <c r="AM138" s="4"/>
      <c r="AN138" s="4"/>
      <c r="AO138" s="4"/>
    </row>
    <row r="139" spans="1:41" ht="12.5"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sheetData>
  <autoFilter ref="B1:B138"/>
  <mergeCells count="63">
    <mergeCell ref="L12:W12"/>
    <mergeCell ref="E99:E107"/>
    <mergeCell ref="E126:E127"/>
    <mergeCell ref="D64:D107"/>
    <mergeCell ref="C64:C107"/>
    <mergeCell ref="C108:C137"/>
    <mergeCell ref="D108:D137"/>
    <mergeCell ref="E128:E135"/>
    <mergeCell ref="F126:F127"/>
    <mergeCell ref="F62:F63"/>
    <mergeCell ref="E62:E63"/>
    <mergeCell ref="W36:AI36"/>
    <mergeCell ref="L36:V36"/>
    <mergeCell ref="F25:H25"/>
    <mergeCell ref="F26:H26"/>
    <mergeCell ref="F27:H27"/>
    <mergeCell ref="L1:Z1"/>
    <mergeCell ref="AB1:AP1"/>
    <mergeCell ref="F4:H4"/>
    <mergeCell ref="F3:H3"/>
    <mergeCell ref="F2:H2"/>
    <mergeCell ref="C2:C35"/>
    <mergeCell ref="F64:F79"/>
    <mergeCell ref="F60:H60"/>
    <mergeCell ref="E47:E59"/>
    <mergeCell ref="C36:C63"/>
    <mergeCell ref="E64:E79"/>
    <mergeCell ref="F47:F59"/>
    <mergeCell ref="F7:F8"/>
    <mergeCell ref="E7:E8"/>
    <mergeCell ref="F11:H11"/>
    <mergeCell ref="F10:H10"/>
    <mergeCell ref="E13:E24"/>
    <mergeCell ref="F13:F24"/>
    <mergeCell ref="D2:D35"/>
    <mergeCell ref="D36:D63"/>
    <mergeCell ref="F28:F32"/>
    <mergeCell ref="F36:F46"/>
    <mergeCell ref="F33:H33"/>
    <mergeCell ref="F12:H12"/>
    <mergeCell ref="F35:H35"/>
    <mergeCell ref="F34:H34"/>
    <mergeCell ref="E36:E46"/>
    <mergeCell ref="E28:E32"/>
    <mergeCell ref="F136:H136"/>
    <mergeCell ref="F137:H137"/>
    <mergeCell ref="L117:AA117"/>
    <mergeCell ref="E80:E89"/>
    <mergeCell ref="L80:U80"/>
    <mergeCell ref="F128:F135"/>
    <mergeCell ref="F99:F107"/>
    <mergeCell ref="F80:F89"/>
    <mergeCell ref="F90:F95"/>
    <mergeCell ref="L99:T99"/>
    <mergeCell ref="P107:T107"/>
    <mergeCell ref="M107:N107"/>
    <mergeCell ref="E108:E125"/>
    <mergeCell ref="F108:F125"/>
    <mergeCell ref="L86:Q86"/>
    <mergeCell ref="L93:N93"/>
    <mergeCell ref="E96:E98"/>
    <mergeCell ref="E90:E95"/>
    <mergeCell ref="F96:F98"/>
  </mergeCells>
  <conditionalFormatting sqref="V120:V139">
    <cfRule type="expression" dxfId="3" priority="1">
      <formula>IF(AND(M120="Input",R120="File"),V120="")</formula>
    </cfRule>
  </conditionalFormatting>
  <conditionalFormatting sqref="M110">
    <cfRule type="notContainsBlanks" dxfId="2" priority="2">
      <formula>LEN(TRIM(M110))&gt;0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0:M113 M115">
      <formula1>-1E+179</formula1>
    </dataValidation>
    <dataValidation type="decimal" operator="lessThanOrEqual" allowBlank="1" showDropDown="1" showErrorMessage="1" sqref="M114">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AG39:AG50 J63 N96:N98</xm:sqref>
        </x14:dataValidation>
        <x14:dataValidation type="list" allowBlank="1" showErrorMessage="1">
          <x14:formula1>
            <xm:f>'Parameter classification'!$A$2:$A$50</xm:f>
          </x14:formula1>
          <xm:sqref>M126:M138</xm:sqref>
        </x14:dataValidation>
        <x14:dataValidation type="list" allowBlank="1" showErrorMessage="1">
          <x14:formula1>
            <xm:f>'Fitting procedure'!$A$2:$A$100</xm:f>
          </x14:formula1>
          <xm:sqref>J136</xm:sqref>
        </x14:dataValidation>
        <x14:dataValidation type="list" allowBlank="1" showErrorMessage="1">
          <x14:formula1>
            <xm:f>'Methodological tool to collect '!$A$2:$A$500</xm:f>
          </x14:formula1>
          <xm:sqref>L89:L91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Q110:Q114</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P83:P85</xm:sqref>
        </x14:dataValidation>
        <x14:dataValidation type="list" allowBlank="1" showErrorMessage="1">
          <x14:formula1>
            <xm:f>'Accreditation procedure for the'!$A$2:$A$100</xm:f>
          </x14:formula1>
          <xm:sqref>J71</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'Model Sub-Class'!$Q$3:$Q$20</xm:f>
          </x14:formula1>
          <xm:sqref>J29</xm:sqref>
        </x14:dataValidation>
        <x14:dataValidation type="list" allowBlank="1" showErrorMessage="1">
          <x14:formula1>
            <xm:f>Source!$A$2:$A$30</xm:f>
          </x14:formula1>
          <xm:sqref>J3</xm:sqref>
        </x14:dataValidation>
        <x14:dataValidation type="list" allowBlank="1" showErrorMessage="1">
          <x14:formula1>
            <xm:f>'Basic Process'!$Q$3:$Q$40</xm:f>
          </x14:formula1>
          <xm:sqref>J31</xm:sqref>
        </x14:dataValidation>
        <x14:dataValidation type="list" allowBlank="1" showErrorMessage="1">
          <x14:formula1>
            <xm:f>'Parameter source'!$A$2:$A$50</xm:f>
          </x14:formula1>
          <xm:sqref>S120:S138</xm:sqref>
        </x14:dataValidation>
        <x14:dataValidation type="list" allowBlank="1" showErrorMessage="1">
          <x14:formula1>
            <xm:f>'Population name'!$A$2:$A$30</xm:f>
          </x14:formula1>
          <xm:sqref>W39:W50</xm:sqref>
        </x14:dataValidation>
        <x14:dataValidation type="list" allowBlank="1" showErrorMessage="1">
          <x14:formula1>
            <xm:f>'Parameter unit'!$A:$A</xm:f>
          </x14:formula1>
          <xm:sqref>N39:N50 T83:T85</xm:sqref>
        </x14:dataValidation>
        <x14:dataValidation type="list" allowBlank="1" showErrorMessage="1">
          <x14:formula1>
            <xm:f>'Study Assay Technology Type'!$A$2:$A$500</xm:f>
          </x14:formula1>
          <xm:sqref>J69</xm:sqref>
        </x14:dataValidation>
        <x14:dataValidation type="list" allowBlank="1" showErrorMessage="1">
          <x14:formula1>
            <xm:f>Format!$A$2:$A$4</xm:f>
          </x14:formula1>
          <xm:sqref>J12</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AF39:AF50 J62</xm:sqref>
        </x14:dataValidation>
        <x14:dataValidation type="list" allowBlank="1" showErrorMessage="1">
          <x14:formula1>
            <xm:f>'Sampling point'!$A$2:$A$500</xm:f>
          </x14:formula1>
          <xm:sqref>U83:U85</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R120:R124</xm:sqref>
        </x14:dataValidation>
        <x14:dataValidation type="list" allowBlank="1" showErrorMessage="1">
          <x14:formula1>
            <xm:f>'Parameter data type'!$A$2:$A$50</xm:f>
          </x14:formula1>
          <xm:sqref>R126:R138</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'Parameter unit'!$A$2:$A$800</xm:f>
          </x14:formula1>
          <xm:sqref>P120:P138</xm:sqref>
        </x14:dataValidation>
        <x14:dataValidation type="list" allowBlank="1" showErrorMessage="1">
          <x14:formula1>
            <xm:f>'Laboratory accreditation'!$A$2:$A$200</xm:f>
          </x14:formula1>
          <xm:sqref>L96:L98</xm:sqref>
        </x14:dataValidation>
        <x14:dataValidation type="list" allowBlank="1" showErrorMessage="1">
          <x14:formula1>
            <xm:f>'Parameter classification'!$A$2:$A$50</xm:f>
          </x14:formula1>
          <xm:sqref>M120:M124</xm:sqref>
        </x14:dataValidation>
        <x14:dataValidation type="list" allowBlank="1" showErrorMessage="1">
          <x14:formula1>
            <xm:f>'Parameter subject'!$A$2:$A$500</xm:f>
          </x14:formula1>
          <xm:sqref>T120:T138</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'Food descriptors'!$A$2</xm:f>
          </x14:formula1>
          <xm:sqref>Q89:Q91</xm:sqref>
        </x14:dataValidation>
        <x14:dataValidation type="list" allowBlank="1" showErrorMessage="1">
          <x14:formula1>
            <xm:f>'Parameter data type'!$A$2:$A$50</xm:f>
          </x14:formula1>
          <xm:sqref>R125</xm:sqref>
        </x14:dataValidation>
        <x14:dataValidation type="list" allowBlank="1" showErrorMessage="1">
          <x14:formula1>
            <xm:f>'Parameter distribution'!$A$2:$A$800</xm:f>
          </x14:formula1>
          <xm:sqref>U120:U138</xm:sqref>
        </x14:dataValidation>
        <x14:dataValidation type="list" allowBlank="1" showErrorMessage="1">
          <x14:formula1>
            <xm:f>'Parameter classification'!$A$2:$A$50</xm:f>
          </x14:formula1>
          <xm:sqref>M125</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41"/>
  <sheetViews>
    <sheetView workbookViewId="0"/>
  </sheetViews>
  <sheetFormatPr defaultColWidth="14.453125" defaultRowHeight="15.75" customHeight="1" x14ac:dyDescent="0.25"/>
  <cols>
    <col min="1" max="2" width="7.54296875" customWidth="1"/>
    <col min="3" max="3" width="6.1796875" customWidth="1"/>
    <col min="4" max="4" width="6.81640625" customWidth="1"/>
    <col min="6" max="6" width="6" customWidth="1"/>
    <col min="7" max="7" width="29.1796875" customWidth="1"/>
    <col min="8" max="8" width="6.1796875" customWidth="1"/>
    <col min="9" max="9" width="33.1796875" hidden="1" customWidth="1"/>
    <col min="10" max="10" width="44.453125" customWidth="1"/>
    <col min="11" max="11" width="28.54296875" customWidth="1"/>
    <col min="13" max="13" width="25.26953125" customWidth="1"/>
    <col min="14" max="14" width="21.453125" customWidth="1"/>
    <col min="16" max="16" width="18.7265625" customWidth="1"/>
    <col min="17" max="17" width="17.26953125" customWidth="1"/>
    <col min="18" max="18" width="22.453125" customWidth="1"/>
    <col min="19" max="19" width="22.1796875" customWidth="1"/>
    <col min="20" max="20" width="19" customWidth="1"/>
    <col min="21" max="21" width="25.7265625" customWidth="1"/>
    <col min="22" max="22" width="26" customWidth="1"/>
  </cols>
  <sheetData>
    <row r="1" spans="1:42" ht="15.75" customHeight="1" x14ac:dyDescent="0.3">
      <c r="A1" s="17" t="str">
        <f ca="1">IFERROR(__xludf.DUMMYFUNCTION("QUERY(IMPORTRANGE(""https://docs.google.com/spreadsheets/d/1R5ofJAIqAywN97cnBY9R9kqj10AvQOs3Gq472n6iDyc/edit#gid=811823962"",""Health metrics Model!A:H""),""select Col7, Col8, Col1, Col2, Col3, Col4, Col5, Col6  WHERE Col7='Yes'"",1)"),"Should be provided for this model class?")</f>
        <v>Should be provided for this model class?</v>
      </c>
      <c r="B1" s="80"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7" t="str">
        <f ca="1">E6</f>
        <v>Creator</v>
      </c>
      <c r="M1" s="96"/>
      <c r="N1" s="96"/>
      <c r="O1" s="96"/>
      <c r="P1" s="96"/>
      <c r="Q1" s="96"/>
      <c r="R1" s="96"/>
      <c r="S1" s="96"/>
      <c r="T1" s="96"/>
      <c r="U1" s="96"/>
      <c r="V1" s="96"/>
      <c r="W1" s="96"/>
      <c r="X1" s="96"/>
      <c r="Y1" s="96"/>
      <c r="Z1" s="96"/>
      <c r="AA1" s="4"/>
      <c r="AB1" s="97" t="str">
        <f ca="1">E5</f>
        <v>Author</v>
      </c>
      <c r="AC1" s="96"/>
      <c r="AD1" s="96"/>
      <c r="AE1" s="96"/>
      <c r="AF1" s="96"/>
      <c r="AG1" s="96"/>
      <c r="AH1" s="96"/>
      <c r="AI1" s="96"/>
      <c r="AJ1" s="96"/>
      <c r="AK1" s="96"/>
      <c r="AL1" s="96"/>
      <c r="AM1" s="96"/>
      <c r="AN1" s="96"/>
      <c r="AO1" s="96"/>
      <c r="AP1" s="96"/>
    </row>
    <row r="2" spans="1:42" ht="12.5" x14ac:dyDescent="0.25">
      <c r="A2" s="23" t="str">
        <f ca="1">IFERROR(__xludf.DUMMYFUNCTION("""COMPUTED_VALUE"""),"Yes")</f>
        <v>Yes</v>
      </c>
      <c r="B2" s="23" t="str">
        <f ca="1">IFERROR(__xludf.DUMMYFUNCTION("""COMPUTED_VALUE"""),"Yes")</f>
        <v>Yes</v>
      </c>
      <c r="C2" s="95" t="str">
        <f ca="1">IFERROR(__xludf.DUMMYFUNCTION("""COMPUTED_VALUE"""),"General information")</f>
        <v>General information</v>
      </c>
      <c r="D2" s="95" t="str">
        <f ca="1">IFERROR(__xludf.DUMMYFUNCTION("""COMPUTED_VALUE"""),"1")</f>
        <v>1</v>
      </c>
      <c r="E2" s="5" t="str">
        <f ca="1">IFERROR(__xludf.DUMMYFUNCTION("""COMPUTED_VALUE"""),"Model name")</f>
        <v>Model name</v>
      </c>
      <c r="F2" s="97" t="str">
        <f ca="1">IFERROR(__xludf.DUMMYFUNCTION("""COMPUTED_VALUE"""),"1")</f>
        <v>1</v>
      </c>
      <c r="G2" s="96"/>
      <c r="H2" s="96"/>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x14ac:dyDescent="0.25">
      <c r="A3" s="8" t="str">
        <f ca="1">IFERROR(__xludf.DUMMYFUNCTION("""COMPUTED_VALUE"""),"Yes")</f>
        <v>Yes</v>
      </c>
      <c r="B3" s="8" t="str">
        <f ca="1">IFERROR(__xludf.DUMMYFUNCTION("""COMPUTED_VALUE"""),"Yes")</f>
        <v>Yes</v>
      </c>
      <c r="C3" s="96"/>
      <c r="D3" s="96"/>
      <c r="E3" s="5" t="str">
        <f ca="1">IFERROR(__xludf.DUMMYFUNCTION("""COMPUTED_VALUE"""),"Source")</f>
        <v>Source</v>
      </c>
      <c r="F3" s="97" t="str">
        <f ca="1">IFERROR(__xludf.DUMMYFUNCTION("""COMPUTED_VALUE"""),"0:1")</f>
        <v>0:1</v>
      </c>
      <c r="G3" s="96"/>
      <c r="H3" s="96"/>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x14ac:dyDescent="0.25">
      <c r="A4" s="23" t="str">
        <f ca="1">IFERROR(__xludf.DUMMYFUNCTION("""COMPUTED_VALUE"""),"Yes")</f>
        <v>Yes</v>
      </c>
      <c r="B4" s="23" t="str">
        <f ca="1">IFERROR(__xludf.DUMMYFUNCTION("""COMPUTED_VALUE"""),"Yes")</f>
        <v>Yes</v>
      </c>
      <c r="C4" s="96"/>
      <c r="D4" s="96"/>
      <c r="E4" s="5" t="str">
        <f ca="1">IFERROR(__xludf.DUMMYFUNCTION("""COMPUTED_VALUE"""),"Identifier")</f>
        <v>Identifier</v>
      </c>
      <c r="F4" s="97" t="str">
        <f ca="1">IFERROR(__xludf.DUMMYFUNCTION("""COMPUTED_VALUE"""),"1")</f>
        <v>1</v>
      </c>
      <c r="G4" s="96"/>
      <c r="H4" s="96"/>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x14ac:dyDescent="0.25">
      <c r="A5" s="23" t="str">
        <f ca="1">IFERROR(__xludf.DUMMYFUNCTION("""COMPUTED_VALUE"""),"Yes")</f>
        <v>Yes</v>
      </c>
      <c r="B5" s="23" t="str">
        <f ca="1">IFERROR(__xludf.DUMMYFUNCTION("""COMPUTED_VALUE"""),"No")</f>
        <v>No</v>
      </c>
      <c r="C5" s="96"/>
      <c r="D5" s="9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x14ac:dyDescent="0.25">
      <c r="A6" s="23" t="str">
        <f ca="1">IFERROR(__xludf.DUMMYFUNCTION("""COMPUTED_VALUE"""),"Yes")</f>
        <v>Yes</v>
      </c>
      <c r="B6" s="23" t="str">
        <f ca="1">IFERROR(__xludf.DUMMYFUNCTION("""COMPUTED_VALUE"""),"Yes")</f>
        <v>Yes</v>
      </c>
      <c r="C6" s="96"/>
      <c r="D6" s="96"/>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x14ac:dyDescent="0.25">
      <c r="A7" s="23" t="str">
        <f ca="1">IFERROR(__xludf.DUMMYFUNCTION("""COMPUTED_VALUE"""),"Yes")</f>
        <v>Yes</v>
      </c>
      <c r="B7" s="47" t="str">
        <f ca="1">IFERROR(__xludf.DUMMYFUNCTION("""COMPUTED_VALUE"""),"Yes")</f>
        <v>Yes</v>
      </c>
      <c r="C7" s="96"/>
      <c r="D7" s="96"/>
      <c r="E7" s="97" t="str">
        <f ca="1">IFERROR(__xludf.DUMMYFUNCTION("""COMPUTED_VALUE"""),"Date")</f>
        <v>Date</v>
      </c>
      <c r="F7" s="97"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x14ac:dyDescent="0.25">
      <c r="A8" s="8" t="str">
        <f ca="1">IFERROR(__xludf.DUMMYFUNCTION("""COMPUTED_VALUE"""),"Yes")</f>
        <v>Yes</v>
      </c>
      <c r="B8" s="8" t="str">
        <f ca="1">IFERROR(__xludf.DUMMYFUNCTION("""COMPUTED_VALUE"""),"No")</f>
        <v>No</v>
      </c>
      <c r="C8" s="96"/>
      <c r="D8" s="96"/>
      <c r="E8" s="96"/>
      <c r="F8" s="96"/>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x14ac:dyDescent="0.25">
      <c r="A9" s="23" t="str">
        <f ca="1">IFERROR(__xludf.DUMMYFUNCTION("""COMPUTED_VALUE"""),"Yes")</f>
        <v>Yes</v>
      </c>
      <c r="B9" s="23" t="str">
        <f ca="1">IFERROR(__xludf.DUMMYFUNCTION("""COMPUTED_VALUE"""),"Yes")</f>
        <v>Yes</v>
      </c>
      <c r="C9" s="96"/>
      <c r="D9" s="9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x14ac:dyDescent="0.25">
      <c r="A10" s="23" t="str">
        <f ca="1">IFERROR(__xludf.DUMMYFUNCTION("""COMPUTED_VALUE"""),"Yes")</f>
        <v>Yes</v>
      </c>
      <c r="B10" s="47" t="str">
        <f ca="1">IFERROR(__xludf.DUMMYFUNCTION("""COMPUTED_VALUE"""),"No")</f>
        <v>No</v>
      </c>
      <c r="C10" s="96"/>
      <c r="D10" s="96"/>
      <c r="E10" s="5" t="str">
        <f ca="1">IFERROR(__xludf.DUMMYFUNCTION("""COMPUTED_VALUE"""),"Availability")</f>
        <v>Availability</v>
      </c>
      <c r="F10" s="97" t="str">
        <f ca="1">IFERROR(__xludf.DUMMYFUNCTION("""COMPUTED_VALUE"""),"0:1")</f>
        <v>0:1</v>
      </c>
      <c r="G10" s="96"/>
      <c r="H10" s="96"/>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x14ac:dyDescent="0.25">
      <c r="A11" s="8" t="str">
        <f ca="1">IFERROR(__xludf.DUMMYFUNCTION("""COMPUTED_VALUE"""),"Yes")</f>
        <v>Yes</v>
      </c>
      <c r="B11" s="8" t="str">
        <f ca="1">IFERROR(__xludf.DUMMYFUNCTION("""COMPUTED_VALUE"""),"No")</f>
        <v>No</v>
      </c>
      <c r="C11" s="96"/>
      <c r="D11" s="96"/>
      <c r="E11" s="5" t="str">
        <f ca="1">IFERROR(__xludf.DUMMYFUNCTION("""COMPUTED_VALUE"""),"URL")</f>
        <v>URL</v>
      </c>
      <c r="F11" s="97" t="str">
        <f ca="1">IFERROR(__xludf.DUMMYFUNCTION("""COMPUTED_VALUE"""),"0:1")</f>
        <v>0:1</v>
      </c>
      <c r="G11" s="96"/>
      <c r="H11" s="96"/>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x14ac:dyDescent="0.25">
      <c r="A12" s="8" t="str">
        <f ca="1">IFERROR(__xludf.DUMMYFUNCTION("""COMPUTED_VALUE"""),"Yes")</f>
        <v>Yes</v>
      </c>
      <c r="B12" s="8" t="str">
        <f ca="1">IFERROR(__xludf.DUMMYFUNCTION("""COMPUTED_VALUE"""),"No")</f>
        <v>No</v>
      </c>
      <c r="C12" s="96"/>
      <c r="D12" s="96"/>
      <c r="E12" s="5" t="str">
        <f ca="1">IFERROR(__xludf.DUMMYFUNCTION("""COMPUTED_VALUE"""),"Format")</f>
        <v>Format</v>
      </c>
      <c r="F12" s="97" t="str">
        <f ca="1">IFERROR(__xludf.DUMMYFUNCTION("""COMPUTED_VALUE"""),"0:1")</f>
        <v>0:1</v>
      </c>
      <c r="G12" s="96"/>
      <c r="H12" s="96"/>
      <c r="I12" s="5"/>
      <c r="J12" s="10"/>
      <c r="K12" s="4"/>
      <c r="L12" s="99" t="str">
        <f ca="1">E13</f>
        <v>References</v>
      </c>
      <c r="M12" s="96"/>
      <c r="N12" s="96"/>
      <c r="O12" s="96"/>
      <c r="P12" s="96"/>
      <c r="Q12" s="96"/>
      <c r="R12" s="96"/>
      <c r="S12" s="96"/>
      <c r="T12" s="96"/>
      <c r="U12" s="96"/>
      <c r="V12" s="96"/>
      <c r="W12" s="96"/>
      <c r="X12" s="4"/>
      <c r="Y12" s="4"/>
      <c r="Z12" s="4"/>
      <c r="AA12" s="4"/>
      <c r="AB12" s="4"/>
      <c r="AC12" s="4"/>
      <c r="AD12" s="4"/>
      <c r="AE12" s="4"/>
      <c r="AF12" s="4"/>
      <c r="AG12" s="4"/>
      <c r="AH12" s="4"/>
      <c r="AI12" s="4"/>
      <c r="AJ12" s="4"/>
      <c r="AK12" s="4"/>
      <c r="AL12" s="4"/>
      <c r="AM12" s="4"/>
      <c r="AN12" s="4"/>
      <c r="AO12" s="4"/>
      <c r="AP12" s="4"/>
    </row>
    <row r="13" spans="1:42" ht="14" x14ac:dyDescent="0.3">
      <c r="A13" s="23" t="str">
        <f ca="1">IFERROR(__xludf.DUMMYFUNCTION("""COMPUTED_VALUE"""),"Yes")</f>
        <v>Yes</v>
      </c>
      <c r="B13" s="23" t="str">
        <f ca="1">IFERROR(__xludf.DUMMYFUNCTION("""COMPUTED_VALUE"""),"Yes")</f>
        <v>Yes</v>
      </c>
      <c r="C13" s="96"/>
      <c r="D13" s="96"/>
      <c r="E13" s="97" t="str">
        <f ca="1">IFERROR(__xludf.DUMMYFUNCTION("""COMPUTED_VALUE"""),"References")</f>
        <v>References</v>
      </c>
      <c r="F13" s="97"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x14ac:dyDescent="0.25">
      <c r="A14" s="8" t="str">
        <f ca="1">IFERROR(__xludf.DUMMYFUNCTION("""COMPUTED_VALUE"""),"Yes")</f>
        <v>Yes</v>
      </c>
      <c r="B14" s="8" t="str">
        <f ca="1">IFERROR(__xludf.DUMMYFUNCTION("""COMPUTED_VALUE"""),"Yes")</f>
        <v>Yes</v>
      </c>
      <c r="C14" s="96"/>
      <c r="D14" s="96"/>
      <c r="E14" s="96"/>
      <c r="F14" s="96"/>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x14ac:dyDescent="0.25">
      <c r="A15" s="8" t="str">
        <f ca="1">IFERROR(__xludf.DUMMYFUNCTION("""COMPUTED_VALUE"""),"Yes")</f>
        <v>Yes</v>
      </c>
      <c r="B15" s="8" t="str">
        <f ca="1">IFERROR(__xludf.DUMMYFUNCTION("""COMPUTED_VALUE"""),"No")</f>
        <v>No</v>
      </c>
      <c r="C15" s="96"/>
      <c r="D15" s="96"/>
      <c r="E15" s="96"/>
      <c r="F15" s="96"/>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x14ac:dyDescent="0.25">
      <c r="A16" s="8" t="str">
        <f ca="1">IFERROR(__xludf.DUMMYFUNCTION("""COMPUTED_VALUE"""),"Yes")</f>
        <v>Yes</v>
      </c>
      <c r="B16" s="8" t="str">
        <f ca="1">IFERROR(__xludf.DUMMYFUNCTION("""COMPUTED_VALUE"""),"No")</f>
        <v>No</v>
      </c>
      <c r="C16" s="96"/>
      <c r="D16" s="96"/>
      <c r="E16" s="96"/>
      <c r="F16" s="96"/>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x14ac:dyDescent="0.25">
      <c r="A17" s="23" t="str">
        <f ca="1">IFERROR(__xludf.DUMMYFUNCTION("""COMPUTED_VALUE"""),"Yes")</f>
        <v>Yes</v>
      </c>
      <c r="B17" s="23" t="str">
        <f ca="1">IFERROR(__xludf.DUMMYFUNCTION("""COMPUTED_VALUE"""),"Yes")</f>
        <v>Yes</v>
      </c>
      <c r="C17" s="96"/>
      <c r="D17" s="96"/>
      <c r="E17" s="96"/>
      <c r="F17" s="96"/>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x14ac:dyDescent="0.25">
      <c r="A18" s="8" t="str">
        <f ca="1">IFERROR(__xludf.DUMMYFUNCTION("""COMPUTED_VALUE"""),"Yes")</f>
        <v>Yes</v>
      </c>
      <c r="B18" s="8" t="str">
        <f ca="1">IFERROR(__xludf.DUMMYFUNCTION("""COMPUTED_VALUE"""),"No")</f>
        <v>No</v>
      </c>
      <c r="C18" s="96"/>
      <c r="D18" s="96"/>
      <c r="E18" s="96"/>
      <c r="F18" s="96"/>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x14ac:dyDescent="0.25">
      <c r="A19" s="23" t="str">
        <f ca="1">IFERROR(__xludf.DUMMYFUNCTION("""COMPUTED_VALUE"""),"Yes")</f>
        <v>Yes</v>
      </c>
      <c r="B19" s="23" t="str">
        <f ca="1">IFERROR(__xludf.DUMMYFUNCTION("""COMPUTED_VALUE"""),"Yes")</f>
        <v>Yes</v>
      </c>
      <c r="C19" s="96"/>
      <c r="D19" s="96"/>
      <c r="E19" s="96"/>
      <c r="F19" s="96"/>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x14ac:dyDescent="0.25">
      <c r="A20" s="8" t="str">
        <f ca="1">IFERROR(__xludf.DUMMYFUNCTION("""COMPUTED_VALUE"""),"Yes")</f>
        <v>Yes</v>
      </c>
      <c r="B20" s="8" t="str">
        <f ca="1">IFERROR(__xludf.DUMMYFUNCTION("""COMPUTED_VALUE"""),"No")</f>
        <v>No</v>
      </c>
      <c r="C20" s="96"/>
      <c r="D20" s="96"/>
      <c r="E20" s="96"/>
      <c r="F20" s="96"/>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x14ac:dyDescent="0.25">
      <c r="A21" s="8" t="str">
        <f ca="1">IFERROR(__xludf.DUMMYFUNCTION("""COMPUTED_VALUE"""),"Yes")</f>
        <v>Yes</v>
      </c>
      <c r="B21" s="8" t="str">
        <f ca="1">IFERROR(__xludf.DUMMYFUNCTION("""COMPUTED_VALUE"""),"No")</f>
        <v>No</v>
      </c>
      <c r="C21" s="96"/>
      <c r="D21" s="96"/>
      <c r="E21" s="96"/>
      <c r="F21" s="96"/>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x14ac:dyDescent="0.25">
      <c r="A22" s="8" t="str">
        <f ca="1">IFERROR(__xludf.DUMMYFUNCTION("""COMPUTED_VALUE"""),"Yes")</f>
        <v>Yes</v>
      </c>
      <c r="B22" s="8" t="str">
        <f ca="1">IFERROR(__xludf.DUMMYFUNCTION("""COMPUTED_VALUE"""),"No")</f>
        <v>No</v>
      </c>
      <c r="C22" s="96"/>
      <c r="D22" s="96"/>
      <c r="E22" s="96"/>
      <c r="F22" s="96"/>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x14ac:dyDescent="0.25">
      <c r="A23" s="8" t="str">
        <f ca="1">IFERROR(__xludf.DUMMYFUNCTION("""COMPUTED_VALUE"""),"Yes")</f>
        <v>Yes</v>
      </c>
      <c r="B23" s="8" t="str">
        <f ca="1">IFERROR(__xludf.DUMMYFUNCTION("""COMPUTED_VALUE"""),"No")</f>
        <v>No</v>
      </c>
      <c r="C23" s="96"/>
      <c r="D23" s="96"/>
      <c r="E23" s="96"/>
      <c r="F23" s="96"/>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x14ac:dyDescent="0.25">
      <c r="A24" s="8" t="str">
        <f ca="1">IFERROR(__xludf.DUMMYFUNCTION("""COMPUTED_VALUE"""),"Yes")</f>
        <v>Yes</v>
      </c>
      <c r="B24" s="8" t="str">
        <f ca="1">IFERROR(__xludf.DUMMYFUNCTION("""COMPUTED_VALUE"""),"No")</f>
        <v>No</v>
      </c>
      <c r="C24" s="96"/>
      <c r="D24" s="96"/>
      <c r="E24" s="96"/>
      <c r="F24" s="96"/>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x14ac:dyDescent="0.25">
      <c r="A25" s="8" t="str">
        <f ca="1">IFERROR(__xludf.DUMMYFUNCTION("""COMPUTED_VALUE"""),"Yes")</f>
        <v>Yes</v>
      </c>
      <c r="B25" s="8" t="str">
        <f ca="1">IFERROR(__xludf.DUMMYFUNCTION("""COMPUTED_VALUE"""),"No")</f>
        <v>No</v>
      </c>
      <c r="C25" s="96"/>
      <c r="D25" s="96"/>
      <c r="E25" s="5" t="str">
        <f ca="1">IFERROR(__xludf.DUMMYFUNCTION("""COMPUTED_VALUE"""),"Language")</f>
        <v>Language</v>
      </c>
      <c r="F25" s="97" t="str">
        <f ca="1">IFERROR(__xludf.DUMMYFUNCTION("""COMPUTED_VALUE"""),"0:1")</f>
        <v>0:1</v>
      </c>
      <c r="G25" s="96"/>
      <c r="H25" s="96"/>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x14ac:dyDescent="0.25">
      <c r="A26" s="8" t="str">
        <f ca="1">IFERROR(__xludf.DUMMYFUNCTION("""COMPUTED_VALUE"""),"Yes")</f>
        <v>Yes</v>
      </c>
      <c r="B26" s="8" t="str">
        <f ca="1">IFERROR(__xludf.DUMMYFUNCTION("""COMPUTED_VALUE"""),"No")</f>
        <v>No</v>
      </c>
      <c r="C26" s="96"/>
      <c r="D26" s="96"/>
      <c r="E26" s="5" t="str">
        <f ca="1">IFERROR(__xludf.DUMMYFUNCTION("""COMPUTED_VALUE"""),"Software")</f>
        <v>Software</v>
      </c>
      <c r="F26" s="97" t="str">
        <f ca="1">IFERROR(__xludf.DUMMYFUNCTION("""COMPUTED_VALUE"""),"0:1")</f>
        <v>0:1</v>
      </c>
      <c r="G26" s="96"/>
      <c r="H26" s="96"/>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x14ac:dyDescent="0.25">
      <c r="A27" s="8" t="str">
        <f ca="1">IFERROR(__xludf.DUMMYFUNCTION("""COMPUTED_VALUE"""),"Yes")</f>
        <v>Yes</v>
      </c>
      <c r="B27" s="8" t="str">
        <f ca="1">IFERROR(__xludf.DUMMYFUNCTION("""COMPUTED_VALUE"""),"Yes")</f>
        <v>Yes</v>
      </c>
      <c r="C27" s="96"/>
      <c r="D27" s="96"/>
      <c r="E27" s="5" t="str">
        <f ca="1">IFERROR(__xludf.DUMMYFUNCTION("""COMPUTED_VALUE"""),"Language written in")</f>
        <v>Language written in</v>
      </c>
      <c r="F27" s="97" t="str">
        <f ca="1">IFERROR(__xludf.DUMMYFUNCTION("""COMPUTED_VALUE"""),"1")</f>
        <v>1</v>
      </c>
      <c r="G27" s="96"/>
      <c r="H27" s="96"/>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x14ac:dyDescent="0.25">
      <c r="A28" s="8" t="str">
        <f ca="1">IFERROR(__xludf.DUMMYFUNCTION("""COMPUTED_VALUE"""),"Yes")</f>
        <v>Yes</v>
      </c>
      <c r="B28" s="8" t="str">
        <f ca="1">IFERROR(__xludf.DUMMYFUNCTION("""COMPUTED_VALUE"""),"No")</f>
        <v>No</v>
      </c>
      <c r="C28" s="96"/>
      <c r="D28" s="96"/>
      <c r="E28" s="97" t="str">
        <f ca="1">IFERROR(__xludf.DUMMYFUNCTION("""COMPUTED_VALUE"""),"Model category")</f>
        <v>Model category</v>
      </c>
      <c r="F28" s="97"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x14ac:dyDescent="0.25">
      <c r="A29" s="8" t="str">
        <f ca="1">IFERROR(__xludf.DUMMYFUNCTION("""COMPUTED_VALUE"""),"Yes")</f>
        <v>Yes</v>
      </c>
      <c r="B29" s="8" t="str">
        <f ca="1">IFERROR(__xludf.DUMMYFUNCTION("""COMPUTED_VALUE"""),"No")</f>
        <v>No</v>
      </c>
      <c r="C29" s="96"/>
      <c r="D29" s="96"/>
      <c r="E29" s="96"/>
      <c r="F29" s="96"/>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x14ac:dyDescent="0.25">
      <c r="A30" s="8" t="str">
        <f ca="1">IFERROR(__xludf.DUMMYFUNCTION("""COMPUTED_VALUE"""),"Yes")</f>
        <v>Yes</v>
      </c>
      <c r="B30" s="8" t="str">
        <f ca="1">IFERROR(__xludf.DUMMYFUNCTION("""COMPUTED_VALUE"""),"No")</f>
        <v>No</v>
      </c>
      <c r="C30" s="96"/>
      <c r="D30" s="96"/>
      <c r="E30" s="96"/>
      <c r="F30" s="96"/>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x14ac:dyDescent="0.25">
      <c r="A31" s="8" t="str">
        <f ca="1">IFERROR(__xludf.DUMMYFUNCTION("""COMPUTED_VALUE"""),"Yes")</f>
        <v>Yes</v>
      </c>
      <c r="B31" s="8" t="str">
        <f ca="1">IFERROR(__xludf.DUMMYFUNCTION("""COMPUTED_VALUE"""),"No")</f>
        <v>No</v>
      </c>
      <c r="C31" s="96"/>
      <c r="D31" s="96"/>
      <c r="E31" s="96"/>
      <c r="F31" s="96"/>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x14ac:dyDescent="0.25">
      <c r="A32" s="8" t="str">
        <f ca="1">IFERROR(__xludf.DUMMYFUNCTION("""COMPUTED_VALUE"""),"Yes")</f>
        <v>Yes</v>
      </c>
      <c r="B32" s="8" t="str">
        <f ca="1">IFERROR(__xludf.DUMMYFUNCTION("""COMPUTED_VALUE"""),"No")</f>
        <v>No</v>
      </c>
      <c r="C32" s="96"/>
      <c r="D32" s="96"/>
      <c r="E32" s="96"/>
      <c r="F32" s="96"/>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x14ac:dyDescent="0.25">
      <c r="A33" s="8" t="str">
        <f ca="1">IFERROR(__xludf.DUMMYFUNCTION("""COMPUTED_VALUE"""),"Yes")</f>
        <v>Yes</v>
      </c>
      <c r="B33" s="8" t="str">
        <f ca="1">IFERROR(__xludf.DUMMYFUNCTION("""COMPUTED_VALUE"""),"No")</f>
        <v>No</v>
      </c>
      <c r="C33" s="96"/>
      <c r="D33" s="96"/>
      <c r="E33" s="5" t="str">
        <f ca="1">IFERROR(__xludf.DUMMYFUNCTION("""COMPUTED_VALUE"""),"Status")</f>
        <v>Status</v>
      </c>
      <c r="F33" s="97" t="str">
        <f ca="1">IFERROR(__xludf.DUMMYFUNCTION("""COMPUTED_VALUE"""),"0:1")</f>
        <v>0:1</v>
      </c>
      <c r="G33" s="96"/>
      <c r="H33" s="96"/>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x14ac:dyDescent="0.25">
      <c r="A34" s="8" t="str">
        <f ca="1">IFERROR(__xludf.DUMMYFUNCTION("""COMPUTED_VALUE"""),"Yes")</f>
        <v>Yes</v>
      </c>
      <c r="B34" s="8" t="str">
        <f ca="1">IFERROR(__xludf.DUMMYFUNCTION("""COMPUTED_VALUE"""),"No")</f>
        <v>No</v>
      </c>
      <c r="C34" s="96"/>
      <c r="D34" s="96"/>
      <c r="E34" s="5" t="str">
        <f ca="1">IFERROR(__xludf.DUMMYFUNCTION("""COMPUTED_VALUE"""),"Objective")</f>
        <v>Objective</v>
      </c>
      <c r="F34" s="97" t="str">
        <f ca="1">IFERROR(__xludf.DUMMYFUNCTION("""COMPUTED_VALUE"""),"0:1")</f>
        <v>0:1</v>
      </c>
      <c r="G34" s="96"/>
      <c r="H34" s="96"/>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x14ac:dyDescent="0.25">
      <c r="A35" s="8" t="str">
        <f ca="1">IFERROR(__xludf.DUMMYFUNCTION("""COMPUTED_VALUE"""),"Yes")</f>
        <v>Yes</v>
      </c>
      <c r="B35" s="8" t="str">
        <f ca="1">IFERROR(__xludf.DUMMYFUNCTION("""COMPUTED_VALUE"""),"No")</f>
        <v>No</v>
      </c>
      <c r="C35" s="96"/>
      <c r="D35" s="96"/>
      <c r="E35" s="5" t="str">
        <f ca="1">IFERROR(__xludf.DUMMYFUNCTION("""COMPUTED_VALUE"""),"Description")</f>
        <v>Description</v>
      </c>
      <c r="F35" s="97" t="str">
        <f ca="1">IFERROR(__xludf.DUMMYFUNCTION("""COMPUTED_VALUE"""),"0:1")</f>
        <v>0:1</v>
      </c>
      <c r="G35" s="96"/>
      <c r="H35" s="96"/>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x14ac:dyDescent="0.25">
      <c r="A36" s="23" t="str">
        <f ca="1">IFERROR(__xludf.DUMMYFUNCTION("""COMPUTED_VALUE"""),"Yes")</f>
        <v>Yes</v>
      </c>
      <c r="B36" s="23" t="str">
        <f ca="1">IFERROR(__xludf.DUMMYFUNCTION("""COMPUTED_VALUE"""),"Yes")</f>
        <v>Yes</v>
      </c>
      <c r="C36" s="95" t="str">
        <f ca="1">IFERROR(__xludf.DUMMYFUNCTION("""COMPUTED_VALUE"""),"Scope")</f>
        <v>Scope</v>
      </c>
      <c r="D36" s="95" t="str">
        <f ca="1">IFERROR(__xludf.DUMMYFUNCTION("""COMPUTED_VALUE"""),"1")</f>
        <v>1</v>
      </c>
      <c r="E36" s="97" t="str">
        <f ca="1">IFERROR(__xludf.DUMMYFUNCTION("""COMPUTED_VALUE"""),"Hazard")</f>
        <v>Hazard</v>
      </c>
      <c r="F36" s="97" t="str">
        <f ca="1">IFERROR(__xludf.DUMMYFUNCTION("""COMPUTED_VALUE"""),"1:N")</f>
        <v>1:N</v>
      </c>
      <c r="G36" s="5" t="str">
        <f ca="1">IFERROR(__xludf.DUMMYFUNCTION("""COMPUTED_VALUE"""),"Hazard type")</f>
        <v>Hazard type</v>
      </c>
      <c r="H36" s="5" t="str">
        <f ca="1">IFERROR(__xludf.DUMMYFUNCTION("""COMPUTED_VALUE"""),"0:1")</f>
        <v>0:1</v>
      </c>
      <c r="I36" s="5"/>
      <c r="J36" s="13"/>
      <c r="K36" s="4"/>
      <c r="L36" s="99" t="str">
        <f ca="1">E36</f>
        <v>Hazard</v>
      </c>
      <c r="M36" s="96"/>
      <c r="N36" s="96"/>
      <c r="O36" s="96"/>
      <c r="P36" s="96"/>
      <c r="Q36" s="96"/>
      <c r="R36" s="96"/>
      <c r="S36" s="96"/>
      <c r="T36" s="96"/>
      <c r="U36" s="96"/>
      <c r="V36" s="96"/>
      <c r="W36" s="96"/>
      <c r="X36" s="96"/>
      <c r="Y36" s="96"/>
      <c r="Z36" s="99" t="str">
        <f ca="1">E50</f>
        <v>Population Group</v>
      </c>
      <c r="AA36" s="96"/>
      <c r="AB36" s="96"/>
      <c r="AC36" s="96"/>
      <c r="AD36" s="96"/>
      <c r="AE36" s="96"/>
      <c r="AF36" s="96"/>
      <c r="AG36" s="96"/>
      <c r="AH36" s="96"/>
      <c r="AI36" s="96"/>
      <c r="AJ36" s="96"/>
      <c r="AK36" s="96"/>
      <c r="AL36" s="96"/>
      <c r="AM36" s="4"/>
      <c r="AN36" s="4"/>
      <c r="AO36" s="4"/>
      <c r="AP36" s="4"/>
    </row>
    <row r="37" spans="1:42" ht="12.5" x14ac:dyDescent="0.25">
      <c r="A37" s="23" t="str">
        <f ca="1">IFERROR(__xludf.DUMMYFUNCTION("""COMPUTED_VALUE"""),"Yes")</f>
        <v>Yes</v>
      </c>
      <c r="B37" s="23" t="str">
        <f ca="1">IFERROR(__xludf.DUMMYFUNCTION("""COMPUTED_VALUE"""),"Yes")</f>
        <v>Yes</v>
      </c>
      <c r="C37" s="96"/>
      <c r="D37" s="96"/>
      <c r="E37" s="96"/>
      <c r="F37" s="96"/>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5"/>
      <c r="AN37" s="5"/>
      <c r="AO37" s="5"/>
      <c r="AP37" s="5"/>
    </row>
    <row r="38" spans="1:42" ht="12.5" x14ac:dyDescent="0.25">
      <c r="A38" s="8" t="str">
        <f ca="1">IFERROR(__xludf.DUMMYFUNCTION("""COMPUTED_VALUE"""),"Yes")</f>
        <v>Yes</v>
      </c>
      <c r="B38" s="8" t="str">
        <f ca="1">IFERROR(__xludf.DUMMYFUNCTION("""COMPUTED_VALUE"""),"Yes")</f>
        <v>Yes</v>
      </c>
      <c r="C38" s="96"/>
      <c r="D38" s="96"/>
      <c r="E38" s="96"/>
      <c r="F38" s="96"/>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x14ac:dyDescent="0.25">
      <c r="A39" s="23" t="str">
        <f ca="1">IFERROR(__xludf.DUMMYFUNCTION("""COMPUTED_VALUE"""),"Yes")</f>
        <v>Yes</v>
      </c>
      <c r="B39" s="23" t="str">
        <f ca="1">IFERROR(__xludf.DUMMYFUNCTION("""COMPUTED_VALUE"""),"No")</f>
        <v>No</v>
      </c>
      <c r="C39" s="96"/>
      <c r="D39" s="96"/>
      <c r="E39" s="96"/>
      <c r="F39" s="96"/>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x14ac:dyDescent="0.25">
      <c r="A40" s="8" t="str">
        <f ca="1">IFERROR(__xludf.DUMMYFUNCTION("""COMPUTED_VALUE"""),"Yes")</f>
        <v>Yes</v>
      </c>
      <c r="B40" s="8" t="str">
        <f ca="1">IFERROR(__xludf.DUMMYFUNCTION("""COMPUTED_VALUE"""),"No")</f>
        <v>No</v>
      </c>
      <c r="C40" s="96"/>
      <c r="D40" s="96"/>
      <c r="E40" s="96"/>
      <c r="F40" s="96"/>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x14ac:dyDescent="0.25">
      <c r="A41" s="8" t="str">
        <f ca="1">IFERROR(__xludf.DUMMYFUNCTION("""COMPUTED_VALUE"""),"Yes")</f>
        <v>Yes</v>
      </c>
      <c r="B41" s="8" t="str">
        <f ca="1">IFERROR(__xludf.DUMMYFUNCTION("""COMPUTED_VALUE"""),"No")</f>
        <v>No</v>
      </c>
      <c r="C41" s="96"/>
      <c r="D41" s="96"/>
      <c r="E41" s="96"/>
      <c r="F41" s="96"/>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x14ac:dyDescent="0.25">
      <c r="A42" s="8" t="str">
        <f ca="1">IFERROR(__xludf.DUMMYFUNCTION("""COMPUTED_VALUE"""),"Yes")</f>
        <v>Yes</v>
      </c>
      <c r="B42" s="8" t="str">
        <f ca="1">IFERROR(__xludf.DUMMYFUNCTION("""COMPUTED_VALUE"""),"No")</f>
        <v>No</v>
      </c>
      <c r="C42" s="96"/>
      <c r="D42" s="96"/>
      <c r="E42" s="96"/>
      <c r="F42" s="96"/>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x14ac:dyDescent="0.25">
      <c r="A43" s="8" t="str">
        <f ca="1">IFERROR(__xludf.DUMMYFUNCTION("""COMPUTED_VALUE"""),"Yes")</f>
        <v>Yes</v>
      </c>
      <c r="B43" s="8" t="str">
        <f ca="1">IFERROR(__xludf.DUMMYFUNCTION("""COMPUTED_VALUE"""),"No")</f>
        <v>No</v>
      </c>
      <c r="C43" s="96"/>
      <c r="D43" s="96"/>
      <c r="E43" s="96"/>
      <c r="F43" s="96"/>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x14ac:dyDescent="0.25">
      <c r="A44" s="8" t="str">
        <f ca="1">IFERROR(__xludf.DUMMYFUNCTION("""COMPUTED_VALUE"""),"Yes")</f>
        <v>Yes</v>
      </c>
      <c r="B44" s="8" t="str">
        <f ca="1">IFERROR(__xludf.DUMMYFUNCTION("""COMPUTED_VALUE"""),"No")</f>
        <v>No</v>
      </c>
      <c r="C44" s="96"/>
      <c r="D44" s="96"/>
      <c r="E44" s="96"/>
      <c r="F44" s="96"/>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x14ac:dyDescent="0.25">
      <c r="A45" s="8" t="str">
        <f ca="1">IFERROR(__xludf.DUMMYFUNCTION("""COMPUTED_VALUE"""),"Yes")</f>
        <v>Yes</v>
      </c>
      <c r="B45" s="8" t="str">
        <f ca="1">IFERROR(__xludf.DUMMYFUNCTION("""COMPUTED_VALUE"""),"No")</f>
        <v>No</v>
      </c>
      <c r="C45" s="96"/>
      <c r="D45" s="96"/>
      <c r="E45" s="96"/>
      <c r="F45" s="96"/>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x14ac:dyDescent="0.25">
      <c r="A46" s="8" t="str">
        <f ca="1">IFERROR(__xludf.DUMMYFUNCTION("""COMPUTED_VALUE"""),"Yes")</f>
        <v>Yes</v>
      </c>
      <c r="B46" s="8" t="str">
        <f ca="1">IFERROR(__xludf.DUMMYFUNCTION("""COMPUTED_VALUE"""),"No")</f>
        <v>No</v>
      </c>
      <c r="C46" s="96"/>
      <c r="D46" s="96"/>
      <c r="E46" s="96"/>
      <c r="F46" s="96"/>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x14ac:dyDescent="0.25">
      <c r="A47" s="8" t="str">
        <f ca="1">IFERROR(__xludf.DUMMYFUNCTION("""COMPUTED_VALUE"""),"Yes")</f>
        <v>Yes</v>
      </c>
      <c r="B47" s="8" t="str">
        <f ca="1">IFERROR(__xludf.DUMMYFUNCTION("""COMPUTED_VALUE"""),"No")</f>
        <v>No</v>
      </c>
      <c r="C47" s="96"/>
      <c r="D47" s="96"/>
      <c r="E47" s="96"/>
      <c r="F47" s="96"/>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x14ac:dyDescent="0.25">
      <c r="A48" s="8" t="str">
        <f ca="1">IFERROR(__xludf.DUMMYFUNCTION("""COMPUTED_VALUE"""),"Yes")</f>
        <v>Yes</v>
      </c>
      <c r="B48" s="8" t="str">
        <f ca="1">IFERROR(__xludf.DUMMYFUNCTION("""COMPUTED_VALUE"""),"No")</f>
        <v>No</v>
      </c>
      <c r="C48" s="96"/>
      <c r="D48" s="96"/>
      <c r="E48" s="96"/>
      <c r="F48" s="96"/>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x14ac:dyDescent="0.25">
      <c r="A49" s="8" t="str">
        <f ca="1">IFERROR(__xludf.DUMMYFUNCTION("""COMPUTED_VALUE"""),"Yes")</f>
        <v>Yes</v>
      </c>
      <c r="B49" s="8" t="str">
        <f ca="1">IFERROR(__xludf.DUMMYFUNCTION("""COMPUTED_VALUE"""),"No")</f>
        <v>No</v>
      </c>
      <c r="C49" s="96"/>
      <c r="D49" s="96"/>
      <c r="E49" s="96"/>
      <c r="F49" s="96"/>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x14ac:dyDescent="0.25">
      <c r="A50" s="23" t="str">
        <f ca="1">IFERROR(__xludf.DUMMYFUNCTION("""COMPUTED_VALUE"""),"Yes")</f>
        <v>Yes</v>
      </c>
      <c r="B50" s="23" t="str">
        <f ca="1">IFERROR(__xludf.DUMMYFUNCTION("""COMPUTED_VALUE"""),"Yes")</f>
        <v>Yes</v>
      </c>
      <c r="C50" s="96"/>
      <c r="D50" s="96"/>
      <c r="E50" s="97" t="str">
        <f ca="1">IFERROR(__xludf.DUMMYFUNCTION("""COMPUTED_VALUE"""),"Population Group")</f>
        <v>Population Group</v>
      </c>
      <c r="F50" s="97" t="str">
        <f ca="1">IFERROR(__xludf.DUMMYFUNCTION("""COMPUTED_VALUE"""),"1:N")</f>
        <v>1:N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x14ac:dyDescent="0.25">
      <c r="A51" s="8" t="str">
        <f ca="1">IFERROR(__xludf.DUMMYFUNCTION("""COMPUTED_VALUE"""),"Yes")</f>
        <v>Yes</v>
      </c>
      <c r="B51" s="8" t="str">
        <f ca="1">IFERROR(__xludf.DUMMYFUNCTION("""COMPUTED_VALUE"""),"No")</f>
        <v>No</v>
      </c>
      <c r="C51" s="96"/>
      <c r="D51" s="96"/>
      <c r="E51" s="96"/>
      <c r="F51" s="96"/>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x14ac:dyDescent="0.25">
      <c r="A52" s="8" t="str">
        <f ca="1">IFERROR(__xludf.DUMMYFUNCTION("""COMPUTED_VALUE"""),"Yes")</f>
        <v>Yes</v>
      </c>
      <c r="B52" s="8" t="str">
        <f ca="1">IFERROR(__xludf.DUMMYFUNCTION("""COMPUTED_VALUE"""),"No")</f>
        <v>No</v>
      </c>
      <c r="C52" s="96"/>
      <c r="D52" s="96"/>
      <c r="E52" s="96"/>
      <c r="F52" s="96"/>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x14ac:dyDescent="0.25">
      <c r="A53" s="8" t="str">
        <f ca="1">IFERROR(__xludf.DUMMYFUNCTION("""COMPUTED_VALUE"""),"Yes")</f>
        <v>Yes</v>
      </c>
      <c r="B53" s="8" t="str">
        <f ca="1">IFERROR(__xludf.DUMMYFUNCTION("""COMPUTED_VALUE"""),"No")</f>
        <v>No</v>
      </c>
      <c r="C53" s="96"/>
      <c r="D53" s="96"/>
      <c r="E53" s="96"/>
      <c r="F53" s="96"/>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x14ac:dyDescent="0.25">
      <c r="A54" s="8" t="str">
        <f ca="1">IFERROR(__xludf.DUMMYFUNCTION("""COMPUTED_VALUE"""),"Yes")</f>
        <v>Yes</v>
      </c>
      <c r="B54" s="8" t="str">
        <f ca="1">IFERROR(__xludf.DUMMYFUNCTION("""COMPUTED_VALUE"""),"No")</f>
        <v>No</v>
      </c>
      <c r="C54" s="96"/>
      <c r="D54" s="96"/>
      <c r="E54" s="96"/>
      <c r="F54" s="96"/>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x14ac:dyDescent="0.25">
      <c r="A55" s="8" t="str">
        <f ca="1">IFERROR(__xludf.DUMMYFUNCTION("""COMPUTED_VALUE"""),"Yes")</f>
        <v>Yes</v>
      </c>
      <c r="B55" s="8" t="str">
        <f ca="1">IFERROR(__xludf.DUMMYFUNCTION("""COMPUTED_VALUE"""),"No")</f>
        <v>No</v>
      </c>
      <c r="C55" s="96"/>
      <c r="D55" s="96"/>
      <c r="E55" s="96"/>
      <c r="F55" s="96"/>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x14ac:dyDescent="0.25">
      <c r="A56" s="8" t="str">
        <f ca="1">IFERROR(__xludf.DUMMYFUNCTION("""COMPUTED_VALUE"""),"Yes")</f>
        <v>Yes</v>
      </c>
      <c r="B56" s="8" t="str">
        <f ca="1">IFERROR(__xludf.DUMMYFUNCTION("""COMPUTED_VALUE"""),"No")</f>
        <v>No</v>
      </c>
      <c r="C56" s="96"/>
      <c r="D56" s="96"/>
      <c r="E56" s="96"/>
      <c r="F56" s="96"/>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x14ac:dyDescent="0.25">
      <c r="A57" s="8" t="str">
        <f ca="1">IFERROR(__xludf.DUMMYFUNCTION("""COMPUTED_VALUE"""),"Yes")</f>
        <v>Yes</v>
      </c>
      <c r="B57" s="8" t="str">
        <f ca="1">IFERROR(__xludf.DUMMYFUNCTION("""COMPUTED_VALUE"""),"No")</f>
        <v>No</v>
      </c>
      <c r="C57" s="96"/>
      <c r="D57" s="96"/>
      <c r="E57" s="96"/>
      <c r="F57" s="96"/>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x14ac:dyDescent="0.25">
      <c r="A58" s="8" t="str">
        <f ca="1">IFERROR(__xludf.DUMMYFUNCTION("""COMPUTED_VALUE"""),"Yes")</f>
        <v>Yes</v>
      </c>
      <c r="B58" s="8" t="str">
        <f ca="1">IFERROR(__xludf.DUMMYFUNCTION("""COMPUTED_VALUE"""),"No")</f>
        <v>No</v>
      </c>
      <c r="C58" s="96"/>
      <c r="D58" s="96"/>
      <c r="E58" s="96"/>
      <c r="F58" s="96"/>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x14ac:dyDescent="0.25">
      <c r="A59" s="8" t="str">
        <f ca="1">IFERROR(__xludf.DUMMYFUNCTION("""COMPUTED_VALUE"""),"Yes")</f>
        <v>Yes</v>
      </c>
      <c r="B59" s="8" t="str">
        <f ca="1">IFERROR(__xludf.DUMMYFUNCTION("""COMPUTED_VALUE"""),"No")</f>
        <v>No</v>
      </c>
      <c r="C59" s="96"/>
      <c r="D59" s="96"/>
      <c r="E59" s="96"/>
      <c r="F59" s="96"/>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x14ac:dyDescent="0.25">
      <c r="A60" s="8" t="str">
        <f ca="1">IFERROR(__xludf.DUMMYFUNCTION("""COMPUTED_VALUE"""),"Yes")</f>
        <v>Yes</v>
      </c>
      <c r="B60" s="8" t="str">
        <f ca="1">IFERROR(__xludf.DUMMYFUNCTION("""COMPUTED_VALUE"""),"No")</f>
        <v>No</v>
      </c>
      <c r="C60" s="96"/>
      <c r="D60" s="96"/>
      <c r="E60" s="96"/>
      <c r="F60" s="96"/>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x14ac:dyDescent="0.25">
      <c r="A61" s="8" t="str">
        <f ca="1">IFERROR(__xludf.DUMMYFUNCTION("""COMPUTED_VALUE"""),"Yes")</f>
        <v>Yes</v>
      </c>
      <c r="B61" s="8" t="str">
        <f ca="1">IFERROR(__xludf.DUMMYFUNCTION("""COMPUTED_VALUE"""),"No")</f>
        <v>No</v>
      </c>
      <c r="C61" s="96"/>
      <c r="D61" s="96"/>
      <c r="E61" s="96"/>
      <c r="F61" s="96"/>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x14ac:dyDescent="0.25">
      <c r="A62" s="8" t="str">
        <f ca="1">IFERROR(__xludf.DUMMYFUNCTION("""COMPUTED_VALUE"""),"Yes")</f>
        <v>Yes</v>
      </c>
      <c r="B62" s="8" t="str">
        <f ca="1">IFERROR(__xludf.DUMMYFUNCTION("""COMPUTED_VALUE"""),"No")</f>
        <v>No</v>
      </c>
      <c r="C62" s="96"/>
      <c r="D62" s="96"/>
      <c r="E62" s="96"/>
      <c r="F62" s="96"/>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x14ac:dyDescent="0.25">
      <c r="A63" s="8" t="str">
        <f ca="1">IFERROR(__xludf.DUMMYFUNCTION("""COMPUTED_VALUE"""),"Yes")</f>
        <v>Yes</v>
      </c>
      <c r="B63" s="8" t="str">
        <f ca="1">IFERROR(__xludf.DUMMYFUNCTION("""COMPUTED_VALUE"""),"No")</f>
        <v>No</v>
      </c>
      <c r="C63" s="96"/>
      <c r="D63" s="96"/>
      <c r="E63" s="5" t="str">
        <f ca="1">IFERROR(__xludf.DUMMYFUNCTION("""COMPUTED_VALUE"""),"General comment")</f>
        <v>General comment</v>
      </c>
      <c r="F63" s="97" t="str">
        <f ca="1">IFERROR(__xludf.DUMMYFUNCTION("""COMPUTED_VALUE"""),"0:1")</f>
        <v>0:1</v>
      </c>
      <c r="G63" s="96"/>
      <c r="H63" s="96"/>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x14ac:dyDescent="0.25">
      <c r="A64" s="8" t="str">
        <f ca="1">IFERROR(__xludf.DUMMYFUNCTION("""COMPUTED_VALUE"""),"Yes")</f>
        <v>Yes</v>
      </c>
      <c r="B64" s="8" t="str">
        <f ca="1">IFERROR(__xludf.DUMMYFUNCTION("""COMPUTED_VALUE"""),"No")</f>
        <v>No</v>
      </c>
      <c r="C64" s="96"/>
      <c r="D64" s="96"/>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x14ac:dyDescent="0.25">
      <c r="A65" s="8" t="str">
        <f ca="1">IFERROR(__xludf.DUMMYFUNCTION("""COMPUTED_VALUE"""),"Yes")</f>
        <v>Yes</v>
      </c>
      <c r="B65" s="8" t="str">
        <f ca="1">IFERROR(__xludf.DUMMYFUNCTION("""COMPUTED_VALUE"""),"No")</f>
        <v>No</v>
      </c>
      <c r="C65" s="96"/>
      <c r="D65" s="96"/>
      <c r="E65" s="97" t="str">
        <f ca="1">IFERROR(__xludf.DUMMYFUNCTION("""COMPUTED_VALUE"""),"Spatial information")</f>
        <v>Spatial information</v>
      </c>
      <c r="F65" s="97"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x14ac:dyDescent="0.25">
      <c r="A66" s="8" t="str">
        <f ca="1">IFERROR(__xludf.DUMMYFUNCTION("""COMPUTED_VALUE"""),"Yes")</f>
        <v>Yes</v>
      </c>
      <c r="B66" s="8" t="str">
        <f ca="1">IFERROR(__xludf.DUMMYFUNCTION("""COMPUTED_VALUE"""),"No")</f>
        <v>No</v>
      </c>
      <c r="C66" s="96"/>
      <c r="D66" s="96"/>
      <c r="E66" s="96"/>
      <c r="F66" s="96"/>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x14ac:dyDescent="0.25">
      <c r="A67" s="8" t="str">
        <f ca="1">IFERROR(__xludf.DUMMYFUNCTION("""COMPUTED_VALUE"""),"Yes")</f>
        <v>Yes</v>
      </c>
      <c r="B67" s="8" t="str">
        <f ca="1">IFERROR(__xludf.DUMMYFUNCTION("""COMPUTED_VALUE"""),"No")</f>
        <v>No</v>
      </c>
      <c r="C67" s="95" t="str">
        <f ca="1">IFERROR(__xludf.DUMMYFUNCTION("""COMPUTED_VALUE"""),"Data_background")</f>
        <v>Data_background</v>
      </c>
      <c r="D67" s="95" t="str">
        <f ca="1">IFERROR(__xludf.DUMMYFUNCTION("""COMPUTED_VALUE"""),"0:1")</f>
        <v>0:1</v>
      </c>
      <c r="E67" s="97" t="str">
        <f ca="1">IFERROR(__xludf.DUMMYFUNCTION("""COMPUTED_VALUE"""),"Study")</f>
        <v>Study</v>
      </c>
      <c r="F67" s="97"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x14ac:dyDescent="0.25">
      <c r="A68" s="8" t="str">
        <f ca="1">IFERROR(__xludf.DUMMYFUNCTION("""COMPUTED_VALUE"""),"Yes")</f>
        <v>Yes</v>
      </c>
      <c r="B68" s="8" t="str">
        <f ca="1">IFERROR(__xludf.DUMMYFUNCTION("""COMPUTED_VALUE"""),"No")</f>
        <v>No</v>
      </c>
      <c r="C68" s="96"/>
      <c r="D68" s="96"/>
      <c r="E68" s="96"/>
      <c r="F68" s="96"/>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x14ac:dyDescent="0.25">
      <c r="A69" s="8" t="str">
        <f ca="1">IFERROR(__xludf.DUMMYFUNCTION("""COMPUTED_VALUE"""),"Yes")</f>
        <v>Yes</v>
      </c>
      <c r="B69" s="8" t="str">
        <f ca="1">IFERROR(__xludf.DUMMYFUNCTION("""COMPUTED_VALUE"""),"No")</f>
        <v>No</v>
      </c>
      <c r="C69" s="96"/>
      <c r="D69" s="96"/>
      <c r="E69" s="96"/>
      <c r="F69" s="96"/>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x14ac:dyDescent="0.25">
      <c r="A70" s="8" t="str">
        <f ca="1">IFERROR(__xludf.DUMMYFUNCTION("""COMPUTED_VALUE"""),"Yes")</f>
        <v>Yes</v>
      </c>
      <c r="B70" s="8" t="str">
        <f ca="1">IFERROR(__xludf.DUMMYFUNCTION("""COMPUTED_VALUE"""),"No")</f>
        <v>No</v>
      </c>
      <c r="C70" s="96"/>
      <c r="D70" s="96"/>
      <c r="E70" s="96"/>
      <c r="F70" s="96"/>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x14ac:dyDescent="0.25">
      <c r="A71" s="8" t="str">
        <f ca="1">IFERROR(__xludf.DUMMYFUNCTION("""COMPUTED_VALUE"""),"Yes")</f>
        <v>Yes</v>
      </c>
      <c r="B71" s="8" t="str">
        <f ca="1">IFERROR(__xludf.DUMMYFUNCTION("""COMPUTED_VALUE"""),"No")</f>
        <v>No</v>
      </c>
      <c r="C71" s="96"/>
      <c r="D71" s="96"/>
      <c r="E71" s="96"/>
      <c r="F71" s="96"/>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x14ac:dyDescent="0.25">
      <c r="A72" s="8" t="str">
        <f ca="1">IFERROR(__xludf.DUMMYFUNCTION("""COMPUTED_VALUE"""),"Yes")</f>
        <v>Yes</v>
      </c>
      <c r="B72" s="8" t="str">
        <f ca="1">IFERROR(__xludf.DUMMYFUNCTION("""COMPUTED_VALUE"""),"No")</f>
        <v>No</v>
      </c>
      <c r="C72" s="96"/>
      <c r="D72" s="96"/>
      <c r="E72" s="96"/>
      <c r="F72" s="96"/>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x14ac:dyDescent="0.25">
      <c r="A73" s="8" t="str">
        <f ca="1">IFERROR(__xludf.DUMMYFUNCTION("""COMPUTED_VALUE"""),"Yes")</f>
        <v>Yes</v>
      </c>
      <c r="B73" s="8" t="str">
        <f ca="1">IFERROR(__xludf.DUMMYFUNCTION("""COMPUTED_VALUE"""),"No")</f>
        <v>No</v>
      </c>
      <c r="C73" s="96"/>
      <c r="D73" s="96"/>
      <c r="E73" s="96"/>
      <c r="F73" s="96"/>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x14ac:dyDescent="0.25">
      <c r="A74" s="8" t="str">
        <f ca="1">IFERROR(__xludf.DUMMYFUNCTION("""COMPUTED_VALUE"""),"Yes")</f>
        <v>Yes</v>
      </c>
      <c r="B74" s="8" t="str">
        <f ca="1">IFERROR(__xludf.DUMMYFUNCTION("""COMPUTED_VALUE"""),"No")</f>
        <v>No</v>
      </c>
      <c r="C74" s="96"/>
      <c r="D74" s="96"/>
      <c r="E74" s="96"/>
      <c r="F74" s="96"/>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x14ac:dyDescent="0.25">
      <c r="A75" s="8" t="str">
        <f ca="1">IFERROR(__xludf.DUMMYFUNCTION("""COMPUTED_VALUE"""),"Yes")</f>
        <v>Yes</v>
      </c>
      <c r="B75" s="8" t="str">
        <f ca="1">IFERROR(__xludf.DUMMYFUNCTION("""COMPUTED_VALUE"""),"No")</f>
        <v>No</v>
      </c>
      <c r="C75" s="96"/>
      <c r="D75" s="96"/>
      <c r="E75" s="96"/>
      <c r="F75" s="96"/>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x14ac:dyDescent="0.25">
      <c r="A76" s="8" t="str">
        <f ca="1">IFERROR(__xludf.DUMMYFUNCTION("""COMPUTED_VALUE"""),"Yes")</f>
        <v>Yes</v>
      </c>
      <c r="B76" s="8" t="str">
        <f ca="1">IFERROR(__xludf.DUMMYFUNCTION("""COMPUTED_VALUE"""),"No")</f>
        <v>No</v>
      </c>
      <c r="C76" s="96"/>
      <c r="D76" s="96"/>
      <c r="E76" s="96"/>
      <c r="F76" s="96"/>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x14ac:dyDescent="0.25">
      <c r="A77" s="8" t="str">
        <f ca="1">IFERROR(__xludf.DUMMYFUNCTION("""COMPUTED_VALUE"""),"Yes")</f>
        <v>Yes</v>
      </c>
      <c r="B77" s="8" t="str">
        <f ca="1">IFERROR(__xludf.DUMMYFUNCTION("""COMPUTED_VALUE"""),"No")</f>
        <v>No</v>
      </c>
      <c r="C77" s="96"/>
      <c r="D77" s="96"/>
      <c r="E77" s="96"/>
      <c r="F77" s="96"/>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x14ac:dyDescent="0.25">
      <c r="A78" s="8" t="str">
        <f ca="1">IFERROR(__xludf.DUMMYFUNCTION("""COMPUTED_VALUE"""),"Yes")</f>
        <v>Yes</v>
      </c>
      <c r="B78" s="8" t="str">
        <f ca="1">IFERROR(__xludf.DUMMYFUNCTION("""COMPUTED_VALUE"""),"No")</f>
        <v>No</v>
      </c>
      <c r="C78" s="96"/>
      <c r="D78" s="96"/>
      <c r="E78" s="96"/>
      <c r="F78" s="96"/>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x14ac:dyDescent="0.25">
      <c r="A79" s="8" t="str">
        <f ca="1">IFERROR(__xludf.DUMMYFUNCTION("""COMPUTED_VALUE"""),"Yes")</f>
        <v>Yes</v>
      </c>
      <c r="B79" s="8" t="str">
        <f ca="1">IFERROR(__xludf.DUMMYFUNCTION("""COMPUTED_VALUE"""),"No")</f>
        <v>No</v>
      </c>
      <c r="C79" s="96"/>
      <c r="D79" s="96"/>
      <c r="E79" s="96"/>
      <c r="F79" s="96"/>
      <c r="G79" s="5" t="str">
        <f ca="1">IFERROR(__xludf.DUMMYFUNCTION("""COMPUTED_VALUE"""),"Study Protocol Version")</f>
        <v>Study Protocol Version</v>
      </c>
      <c r="H79" s="5" t="str">
        <f ca="1">IFERROR(__xludf.DUMMYFUNCTION("""COMPUTED_VALUE"""),"0:1")</f>
        <v>0:1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x14ac:dyDescent="0.25">
      <c r="A80" s="8" t="str">
        <f ca="1">IFERROR(__xludf.DUMMYFUNCTION("""COMPUTED_VALUE"""),"Yes")</f>
        <v>Yes</v>
      </c>
      <c r="B80" s="8" t="str">
        <f ca="1">IFERROR(__xludf.DUMMYFUNCTION("""COMPUTED_VALUE"""),"No")</f>
        <v>No</v>
      </c>
      <c r="C80" s="96"/>
      <c r="D80" s="96"/>
      <c r="E80" s="96"/>
      <c r="F80" s="96"/>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x14ac:dyDescent="0.25">
      <c r="A81" s="8" t="str">
        <f ca="1">IFERROR(__xludf.DUMMYFUNCTION("""COMPUTED_VALUE"""),"Yes")</f>
        <v>Yes</v>
      </c>
      <c r="B81" s="8" t="str">
        <f ca="1">IFERROR(__xludf.DUMMYFUNCTION("""COMPUTED_VALUE"""),"No")</f>
        <v>No</v>
      </c>
      <c r="C81" s="96"/>
      <c r="D81" s="96"/>
      <c r="E81" s="96"/>
      <c r="F81" s="96"/>
      <c r="G81" s="5" t="str">
        <f ca="1">IFERROR(__xludf.DUMMYFUNCTION("""COMPUTED_VALUE"""),"Study Protocol Components Name")</f>
        <v>Study Protocol Components Name</v>
      </c>
      <c r="H81" s="5" t="str">
        <f ca="1">IFERROR(__xludf.DUMMYFUNCTION("""COMPUTED_VALUE"""),"0:1")</f>
        <v>0:1</v>
      </c>
      <c r="I81" s="5"/>
      <c r="J81" s="11"/>
      <c r="K81" s="5"/>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x14ac:dyDescent="0.25">
      <c r="A82" s="8" t="str">
        <f ca="1">IFERROR(__xludf.DUMMYFUNCTION("""COMPUTED_VALUE"""),"Yes")</f>
        <v>Yes</v>
      </c>
      <c r="B82" s="8" t="str">
        <f ca="1">IFERROR(__xludf.DUMMYFUNCTION("""COMPUTED_VALUE"""),"No")</f>
        <v>No</v>
      </c>
      <c r="C82" s="96"/>
      <c r="D82" s="96"/>
      <c r="E82" s="96"/>
      <c r="F82" s="96"/>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x14ac:dyDescent="0.25">
      <c r="A83" s="8" t="str">
        <f ca="1">IFERROR(__xludf.DUMMYFUNCTION("""COMPUTED_VALUE"""),"Yes")</f>
        <v>Yes</v>
      </c>
      <c r="B83" s="8" t="str">
        <f ca="1">IFERROR(__xludf.DUMMYFUNCTION("""COMPUTED_VALUE"""),"No")</f>
        <v>No</v>
      </c>
      <c r="C83" s="96"/>
      <c r="D83" s="96"/>
      <c r="E83" s="97" t="str">
        <f ca="1">IFERROR(__xludf.DUMMYFUNCTION("""COMPUTED_VALUE"""),"Study Sample")</f>
        <v>Study Sample</v>
      </c>
      <c r="F83" s="97" t="str">
        <f ca="1">IFERROR(__xludf.DUMMYFUNCTION("""COMPUTED_VALUE"""),"0:N")</f>
        <v>0:N</v>
      </c>
      <c r="G83" s="5" t="str">
        <f ca="1">IFERROR(__xludf.DUMMYFUNCTION("""COMPUTED_VALUE"""),"Sample Name (ID)")</f>
        <v>Sample Name (ID)</v>
      </c>
      <c r="H83" s="5" t="str">
        <f ca="1">IFERROR(__xludf.DUMMYFUNCTION("""COMPUTED_VALUE"""),"1")</f>
        <v>1</v>
      </c>
      <c r="I83" s="5"/>
      <c r="J83" s="13"/>
      <c r="K83" s="4"/>
      <c r="L83" s="99" t="str">
        <f ca="1">E83</f>
        <v>Study Sample</v>
      </c>
      <c r="M83" s="96"/>
      <c r="N83" s="96"/>
      <c r="O83" s="96"/>
      <c r="P83" s="96"/>
      <c r="Q83" s="96"/>
      <c r="R83" s="96"/>
      <c r="S83" s="96"/>
      <c r="T83" s="96"/>
      <c r="U83" s="96"/>
      <c r="V83" s="4"/>
      <c r="W83" s="4"/>
      <c r="X83" s="4"/>
      <c r="Y83" s="4"/>
      <c r="Z83" s="4"/>
      <c r="AA83" s="4"/>
      <c r="AB83" s="4"/>
      <c r="AC83" s="4"/>
      <c r="AD83" s="4"/>
      <c r="AE83" s="4"/>
      <c r="AF83" s="4"/>
      <c r="AG83" s="4"/>
      <c r="AH83" s="4"/>
      <c r="AI83" s="4"/>
      <c r="AJ83" s="4"/>
      <c r="AK83" s="4"/>
      <c r="AL83" s="4"/>
      <c r="AM83" s="4"/>
      <c r="AN83" s="4"/>
      <c r="AO83" s="4"/>
      <c r="AP83" s="4"/>
    </row>
    <row r="84" spans="1:42" ht="12.5" x14ac:dyDescent="0.25">
      <c r="A84" s="8" t="str">
        <f ca="1">IFERROR(__xludf.DUMMYFUNCTION("""COMPUTED_VALUE"""),"Yes")</f>
        <v>Yes</v>
      </c>
      <c r="B84" s="8" t="str">
        <f ca="1">IFERROR(__xludf.DUMMYFUNCTION("""COMPUTED_VALUE"""),"No")</f>
        <v>No</v>
      </c>
      <c r="C84" s="96"/>
      <c r="D84" s="96"/>
      <c r="E84" s="96"/>
      <c r="F84" s="96"/>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x14ac:dyDescent="0.25">
      <c r="A85" s="8" t="str">
        <f ca="1">IFERROR(__xludf.DUMMYFUNCTION("""COMPUTED_VALUE"""),"Yes")</f>
        <v>Yes</v>
      </c>
      <c r="B85" s="8" t="str">
        <f ca="1">IFERROR(__xludf.DUMMYFUNCTION("""COMPUTED_VALUE"""),"No")</f>
        <v>No</v>
      </c>
      <c r="C85" s="96"/>
      <c r="D85" s="96"/>
      <c r="E85" s="96"/>
      <c r="F85" s="96"/>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x14ac:dyDescent="0.25">
      <c r="A86" s="8" t="str">
        <f ca="1">IFERROR(__xludf.DUMMYFUNCTION("""COMPUTED_VALUE"""),"Yes")</f>
        <v>Yes</v>
      </c>
      <c r="B86" s="8" t="str">
        <f ca="1">IFERROR(__xludf.DUMMYFUNCTION("""COMPUTED_VALUE"""),"No")</f>
        <v>No</v>
      </c>
      <c r="C86" s="96"/>
      <c r="D86" s="96"/>
      <c r="E86" s="96"/>
      <c r="F86" s="96"/>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x14ac:dyDescent="0.25">
      <c r="A87" s="8" t="str">
        <f ca="1">IFERROR(__xludf.DUMMYFUNCTION("""COMPUTED_VALUE"""),"Yes")</f>
        <v>Yes</v>
      </c>
      <c r="B87" s="8" t="str">
        <f ca="1">IFERROR(__xludf.DUMMYFUNCTION("""COMPUTED_VALUE"""),"No")</f>
        <v>No</v>
      </c>
      <c r="C87" s="96"/>
      <c r="D87" s="96"/>
      <c r="E87" s="96"/>
      <c r="F87" s="96"/>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x14ac:dyDescent="0.25">
      <c r="A88" s="8" t="str">
        <f ca="1">IFERROR(__xludf.DUMMYFUNCTION("""COMPUTED_VALUE"""),"Yes")</f>
        <v>Yes</v>
      </c>
      <c r="B88" s="8" t="str">
        <f ca="1">IFERROR(__xludf.DUMMYFUNCTION("""COMPUTED_VALUE"""),"No")</f>
        <v>No</v>
      </c>
      <c r="C88" s="96"/>
      <c r="D88" s="96"/>
      <c r="E88" s="96"/>
      <c r="F88" s="96"/>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x14ac:dyDescent="0.25">
      <c r="A89" s="8" t="str">
        <f ca="1">IFERROR(__xludf.DUMMYFUNCTION("""COMPUTED_VALUE"""),"Yes")</f>
        <v>Yes</v>
      </c>
      <c r="B89" s="8" t="str">
        <f ca="1">IFERROR(__xludf.DUMMYFUNCTION("""COMPUTED_VALUE"""),"No")</f>
        <v>No</v>
      </c>
      <c r="C89" s="96"/>
      <c r="D89" s="96"/>
      <c r="E89" s="96"/>
      <c r="F89" s="96"/>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x14ac:dyDescent="0.25">
      <c r="A90" s="8" t="str">
        <f ca="1">IFERROR(__xludf.DUMMYFUNCTION("""COMPUTED_VALUE"""),"Yes")</f>
        <v>Yes</v>
      </c>
      <c r="B90" s="8" t="str">
        <f ca="1">IFERROR(__xludf.DUMMYFUNCTION("""COMPUTED_VALUE"""),"No")</f>
        <v>No</v>
      </c>
      <c r="C90" s="96"/>
      <c r="D90" s="96"/>
      <c r="E90" s="96"/>
      <c r="F90" s="96"/>
      <c r="G90" s="5" t="str">
        <f ca="1">IFERROR(__xludf.DUMMYFUNCTION("""COMPUTED_VALUE"""),"Sampling size")</f>
        <v>Sampling size</v>
      </c>
      <c r="H90" s="5" t="str">
        <f ca="1">IFERROR(__xludf.DUMMYFUNCTION("""COMPUTED_VALUE"""),"1")</f>
        <v>1</v>
      </c>
      <c r="I90" s="5"/>
      <c r="J90" s="13"/>
      <c r="K90" s="4"/>
      <c r="L90" s="99" t="str">
        <f ca="1">E93</f>
        <v>Laboratory</v>
      </c>
      <c r="M90" s="96"/>
      <c r="N90" s="96"/>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x14ac:dyDescent="0.25">
      <c r="A91" s="8" t="str">
        <f ca="1">IFERROR(__xludf.DUMMYFUNCTION("""COMPUTED_VALUE"""),"Yes")</f>
        <v>Yes</v>
      </c>
      <c r="B91" s="8" t="str">
        <f ca="1">IFERROR(__xludf.DUMMYFUNCTION("""COMPUTED_VALUE"""),"No")</f>
        <v>No</v>
      </c>
      <c r="C91" s="96"/>
      <c r="D91" s="96"/>
      <c r="E91" s="96"/>
      <c r="F91" s="96"/>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x14ac:dyDescent="0.25">
      <c r="A92" s="8" t="str">
        <f ca="1">IFERROR(__xludf.DUMMYFUNCTION("""COMPUTED_VALUE"""),"Yes")</f>
        <v>Yes</v>
      </c>
      <c r="B92" s="8" t="str">
        <f ca="1">IFERROR(__xludf.DUMMYFUNCTION("""COMPUTED_VALUE"""),"No")</f>
        <v>No</v>
      </c>
      <c r="C92" s="96"/>
      <c r="D92" s="96"/>
      <c r="E92" s="96"/>
      <c r="F92" s="96"/>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x14ac:dyDescent="0.25">
      <c r="A93" s="8" t="str">
        <f ca="1">IFERROR(__xludf.DUMMYFUNCTION("""COMPUTED_VALUE"""),"Yes")</f>
        <v>Yes</v>
      </c>
      <c r="B93" s="8" t="str">
        <f ca="1">IFERROR(__xludf.DUMMYFUNCTION("""COMPUTED_VALUE"""),"No")</f>
        <v>No</v>
      </c>
      <c r="C93" s="96"/>
      <c r="D93" s="96"/>
      <c r="E93" s="97" t="str">
        <f ca="1">IFERROR(__xludf.DUMMYFUNCTION("""COMPUTED_VALUE"""),"Laboratory")</f>
        <v>Laboratory</v>
      </c>
      <c r="F93" s="97"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10"/>
      <c r="M93" s="10"/>
      <c r="N93" s="10"/>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x14ac:dyDescent="0.25">
      <c r="A94" s="8" t="str">
        <f ca="1">IFERROR(__xludf.DUMMYFUNCTION("""COMPUTED_VALUE"""),"Yes")</f>
        <v>Yes</v>
      </c>
      <c r="B94" s="8" t="str">
        <f ca="1">IFERROR(__xludf.DUMMYFUNCTION("""COMPUTED_VALUE"""),"No")</f>
        <v>No</v>
      </c>
      <c r="C94" s="96"/>
      <c r="D94" s="96"/>
      <c r="E94" s="96"/>
      <c r="F94" s="96"/>
      <c r="G94" s="5" t="str">
        <f ca="1">IFERROR(__xludf.DUMMYFUNCTION("""COMPUTED_VALUE"""),"Laboratory Name")</f>
        <v>Laboratory Name</v>
      </c>
      <c r="H94" s="5" t="str">
        <f ca="1">IFERROR(__xludf.DUMMYFUNCTION("""COMPUTED_VALUE"""),"0:1")</f>
        <v>0:1</v>
      </c>
      <c r="I94" s="5"/>
      <c r="J94" s="13"/>
      <c r="K94" s="4"/>
      <c r="L94" s="10"/>
      <c r="M94" s="10"/>
      <c r="N94" s="10"/>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x14ac:dyDescent="0.25">
      <c r="A95" s="8" t="str">
        <f ca="1">IFERROR(__xludf.DUMMYFUNCTION("""COMPUTED_VALUE"""),"Yes")</f>
        <v>Yes</v>
      </c>
      <c r="B95" s="8" t="str">
        <f ca="1">IFERROR(__xludf.DUMMYFUNCTION("""COMPUTED_VALUE"""),"No")</f>
        <v>No</v>
      </c>
      <c r="C95" s="96"/>
      <c r="D95" s="96"/>
      <c r="E95" s="96"/>
      <c r="F95" s="96"/>
      <c r="G95" s="5" t="str">
        <f ca="1">IFERROR(__xludf.DUMMYFUNCTION("""COMPUTED_VALUE"""),"Laboratory country")</f>
        <v>Laboratory country</v>
      </c>
      <c r="H95" s="5" t="str">
        <f ca="1">IFERROR(__xludf.DUMMYFUNCTION("""COMPUTED_VALUE"""),"0:1")</f>
        <v>0:1</v>
      </c>
      <c r="I95" s="5"/>
      <c r="J95" s="13"/>
      <c r="K95" s="4"/>
      <c r="L95" s="10"/>
      <c r="M95" s="10"/>
      <c r="N95" s="10"/>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x14ac:dyDescent="0.25">
      <c r="A96" s="8" t="str">
        <f ca="1">IFERROR(__xludf.DUMMYFUNCTION("""COMPUTED_VALUE"""),"Yes")</f>
        <v>Yes</v>
      </c>
      <c r="B96" s="8" t="str">
        <f ca="1">IFERROR(__xludf.DUMMYFUNCTION("""COMPUTED_VALUE"""),"No")</f>
        <v>No</v>
      </c>
      <c r="C96" s="96"/>
      <c r="D96" s="96"/>
      <c r="E96" s="97" t="str">
        <f ca="1">IFERROR(__xludf.DUMMYFUNCTION("""COMPUTED_VALUE"""),"Assay")</f>
        <v>Assay</v>
      </c>
      <c r="F96" s="97" t="str">
        <f ca="1">IFERROR(__xludf.DUMMYFUNCTION("""COMPUTED_VALUE"""),"0:N")</f>
        <v>0:N</v>
      </c>
      <c r="G96" s="5" t="str">
        <f ca="1">IFERROR(__xludf.DUMMYFUNCTION("""COMPUTED_VALUE"""),"Assay Name")</f>
        <v>Assay Name</v>
      </c>
      <c r="H96" s="5" t="str">
        <f ca="1">IFERROR(__xludf.DUMMYFUNCTION("""COMPUTED_VALUE"""),"1")</f>
        <v>1</v>
      </c>
      <c r="I96" s="5"/>
      <c r="J96" s="13"/>
      <c r="K96" s="4"/>
      <c r="L96" s="99" t="str">
        <f ca="1">E96</f>
        <v>Assay</v>
      </c>
      <c r="M96" s="96"/>
      <c r="N96" s="96"/>
      <c r="O96" s="96"/>
      <c r="P96" s="96"/>
      <c r="Q96" s="96"/>
      <c r="R96" s="96"/>
      <c r="S96" s="96"/>
      <c r="T96" s="96"/>
      <c r="U96" s="4"/>
      <c r="V96" s="4"/>
      <c r="W96" s="4"/>
      <c r="X96" s="4"/>
      <c r="Y96" s="4"/>
      <c r="Z96" s="4"/>
      <c r="AA96" s="4"/>
      <c r="AB96" s="4"/>
      <c r="AC96" s="4"/>
      <c r="AD96" s="4"/>
      <c r="AE96" s="4"/>
      <c r="AF96" s="4"/>
      <c r="AG96" s="4"/>
      <c r="AH96" s="4"/>
      <c r="AI96" s="4"/>
      <c r="AJ96" s="4"/>
      <c r="AK96" s="4"/>
      <c r="AL96" s="4"/>
      <c r="AM96" s="4"/>
      <c r="AN96" s="4"/>
      <c r="AO96" s="4"/>
      <c r="AP96" s="4"/>
    </row>
    <row r="97" spans="1:42" ht="12.5" x14ac:dyDescent="0.25">
      <c r="A97" s="8" t="str">
        <f ca="1">IFERROR(__xludf.DUMMYFUNCTION("""COMPUTED_VALUE"""),"Yes")</f>
        <v>Yes</v>
      </c>
      <c r="B97" s="8" t="str">
        <f ca="1">IFERROR(__xludf.DUMMYFUNCTION("""COMPUTED_VALUE"""),"No")</f>
        <v>No</v>
      </c>
      <c r="C97" s="96"/>
      <c r="D97" s="96"/>
      <c r="E97" s="96"/>
      <c r="F97" s="96"/>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x14ac:dyDescent="0.25">
      <c r="A98" s="8" t="str">
        <f ca="1">IFERROR(__xludf.DUMMYFUNCTION("""COMPUTED_VALUE"""),"Yes")</f>
        <v>Yes</v>
      </c>
      <c r="B98" s="8" t="str">
        <f ca="1">IFERROR(__xludf.DUMMYFUNCTION("""COMPUTED_VALUE"""),"No")</f>
        <v>No</v>
      </c>
      <c r="C98" s="96"/>
      <c r="D98" s="96"/>
      <c r="E98" s="96"/>
      <c r="F98" s="96"/>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x14ac:dyDescent="0.25">
      <c r="A99" s="8" t="str">
        <f ca="1">IFERROR(__xludf.DUMMYFUNCTION("""COMPUTED_VALUE"""),"Yes")</f>
        <v>Yes</v>
      </c>
      <c r="B99" s="8" t="str">
        <f ca="1">IFERROR(__xludf.DUMMYFUNCTION("""COMPUTED_VALUE"""),"No")</f>
        <v>No</v>
      </c>
      <c r="C99" s="96"/>
      <c r="D99" s="96"/>
      <c r="E99" s="96"/>
      <c r="F99" s="96"/>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x14ac:dyDescent="0.25">
      <c r="A100" s="8" t="str">
        <f ca="1">IFERROR(__xludf.DUMMYFUNCTION("""COMPUTED_VALUE"""),"Yes")</f>
        <v>Yes</v>
      </c>
      <c r="B100" s="8" t="str">
        <f ca="1">IFERROR(__xludf.DUMMYFUNCTION("""COMPUTED_VALUE"""),"No")</f>
        <v>No</v>
      </c>
      <c r="C100" s="96"/>
      <c r="D100" s="96"/>
      <c r="E100" s="96"/>
      <c r="F100" s="96"/>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x14ac:dyDescent="0.25">
      <c r="A101" s="8" t="str">
        <f ca="1">IFERROR(__xludf.DUMMYFUNCTION("""COMPUTED_VALUE"""),"Yes")</f>
        <v>Yes</v>
      </c>
      <c r="B101" s="8" t="str">
        <f ca="1">IFERROR(__xludf.DUMMYFUNCTION("""COMPUTED_VALUE"""),"No")</f>
        <v>No</v>
      </c>
      <c r="C101" s="96"/>
      <c r="D101" s="96"/>
      <c r="E101" s="96"/>
      <c r="F101" s="96"/>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x14ac:dyDescent="0.25">
      <c r="A102" s="8" t="str">
        <f ca="1">IFERROR(__xludf.DUMMYFUNCTION("""COMPUTED_VALUE"""),"Yes")</f>
        <v>Yes</v>
      </c>
      <c r="B102" s="8" t="str">
        <f ca="1">IFERROR(__xludf.DUMMYFUNCTION("""COMPUTED_VALUE"""),"No")</f>
        <v>No</v>
      </c>
      <c r="C102" s="96"/>
      <c r="D102" s="96"/>
      <c r="E102" s="96"/>
      <c r="F102" s="96"/>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x14ac:dyDescent="0.25">
      <c r="A103" s="8" t="str">
        <f ca="1">IFERROR(__xludf.DUMMYFUNCTION("""COMPUTED_VALUE"""),"Yes")</f>
        <v>Yes</v>
      </c>
      <c r="B103" s="8" t="str">
        <f ca="1">IFERROR(__xludf.DUMMYFUNCTION("""COMPUTED_VALUE"""),"No")</f>
        <v>No</v>
      </c>
      <c r="C103" s="96"/>
      <c r="D103" s="96"/>
      <c r="E103" s="96"/>
      <c r="F103" s="96"/>
      <c r="G103" s="5" t="str">
        <f ca="1">IFERROR(__xludf.DUMMYFUNCTION("""COMPUTED_VALUE"""),"Range of contamination")</f>
        <v>Range of contamination</v>
      </c>
      <c r="H103" s="5" t="str">
        <f ca="1">IFERROR(__xludf.DUMMYFUNCTION("""COMPUTED_VALUE"""),"0:1")</f>
        <v>0:1</v>
      </c>
      <c r="I103" s="5"/>
      <c r="J103" s="13"/>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x14ac:dyDescent="0.25">
      <c r="A104" s="8" t="str">
        <f ca="1">IFERROR(__xludf.DUMMYFUNCTION("""COMPUTED_VALUE"""),"Yes")</f>
        <v>Yes</v>
      </c>
      <c r="B104" s="8" t="str">
        <f ca="1">IFERROR(__xludf.DUMMYFUNCTION("""COMPUTED_VALUE"""),"No")</f>
        <v>No</v>
      </c>
      <c r="C104" s="96"/>
      <c r="D104" s="96"/>
      <c r="E104" s="96"/>
      <c r="F104" s="96"/>
      <c r="G104" s="5" t="str">
        <f ca="1">IFERROR(__xludf.DUMMYFUNCTION("""COMPUTED_VALUE"""),"Uncertainty value")</f>
        <v>Uncertainty value</v>
      </c>
      <c r="H104" s="5" t="str">
        <f ca="1">IFERROR(__xludf.DUMMYFUNCTION("""COMPUTED_VALUE"""),"0:1")</f>
        <v>0:1</v>
      </c>
      <c r="I104" s="5"/>
      <c r="J104" s="13"/>
      <c r="K104" s="4"/>
      <c r="L104" s="4"/>
      <c r="M104" s="98" t="str">
        <f ca="1">E123</f>
        <v>Quality measures</v>
      </c>
      <c r="N104" s="96"/>
      <c r="O104" s="23"/>
      <c r="P104" s="98" t="str">
        <f ca="1">E125</f>
        <v>Model equation</v>
      </c>
      <c r="Q104" s="96"/>
      <c r="R104" s="96"/>
      <c r="S104" s="96"/>
      <c r="T104" s="96"/>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x14ac:dyDescent="0.25">
      <c r="A105" s="23" t="str">
        <f ca="1">IFERROR(__xludf.DUMMYFUNCTION("""COMPUTED_VALUE"""),"Yes")</f>
        <v>Yes</v>
      </c>
      <c r="B105" s="23" t="str">
        <f ca="1">IFERROR(__xludf.DUMMYFUNCTION("""COMPUTED_VALUE"""),"Yes")</f>
        <v>Yes</v>
      </c>
      <c r="C105" s="95" t="str">
        <f ca="1">IFERROR(__xludf.DUMMYFUNCTION("""COMPUTED_VALUE"""),"Model math / Data definition")</f>
        <v>Model math / Data definition</v>
      </c>
      <c r="D105" s="95" t="str">
        <f ca="1">IFERROR(__xludf.DUMMYFUNCTION("""COMPUTED_VALUE"""),"1")</f>
        <v>1</v>
      </c>
      <c r="E105" s="97" t="str">
        <f ca="1">IFERROR(__xludf.DUMMYFUNCTION("""COMPUTED_VALUE"""),"Parameter / Factor / Input / Output / ""Data column""")</f>
        <v>Parameter / Factor / Input / Output / "Data column"</v>
      </c>
      <c r="F105" s="97"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68" t="str">
        <f ca="1">G123</f>
        <v>SSE / MSE / RMSE / Rsquared / AIC / BIC</v>
      </c>
      <c r="N105" s="26" t="str">
        <f ca="1">G124</f>
        <v>Sensitivity analysis</v>
      </c>
      <c r="O105" s="69"/>
      <c r="P105" s="25" t="str">
        <f ca="1">G125</f>
        <v>Model equation name</v>
      </c>
      <c r="Q105" s="23" t="str">
        <f ca="1">G126</f>
        <v>Model equation class/distribution</v>
      </c>
      <c r="R105" s="23" t="str">
        <f ca="1">G130</f>
        <v>Model equation reference</v>
      </c>
      <c r="S105" s="23" t="str">
        <f ca="1">G131</f>
        <v>Model equation / Script</v>
      </c>
      <c r="T105" s="69" t="str">
        <f ca="1">G132</f>
        <v>Hypothesis of the model</v>
      </c>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x14ac:dyDescent="0.25">
      <c r="A106" s="23" t="str">
        <f ca="1">IFERROR(__xludf.DUMMYFUNCTION("""COMPUTED_VALUE"""),"Yes")</f>
        <v>Yes</v>
      </c>
      <c r="B106" s="23" t="str">
        <f ca="1">IFERROR(__xludf.DUMMYFUNCTION("""COMPUTED_VALUE"""),"Yes")</f>
        <v>Yes</v>
      </c>
      <c r="C106" s="96"/>
      <c r="D106" s="96"/>
      <c r="E106" s="96"/>
      <c r="F106" s="96"/>
      <c r="G106" s="5" t="str">
        <f ca="1">IFERROR(__xludf.DUMMYFUNCTION("""COMPUTED_VALUE"""),"Parameter classification")</f>
        <v>Parameter classification</v>
      </c>
      <c r="H106" s="5" t="str">
        <f ca="1">IFERROR(__xludf.DUMMYFUNCTION("""COMPUTED_VALUE"""),"1")</f>
        <v>1</v>
      </c>
      <c r="I106" s="5"/>
      <c r="J106" s="41"/>
      <c r="K106" s="4"/>
      <c r="L106" s="23"/>
      <c r="M106" s="52" t="str">
        <f ca="1">H123</f>
        <v>0:N</v>
      </c>
      <c r="N106" s="52" t="str">
        <f ca="1">H124</f>
        <v>0:N</v>
      </c>
      <c r="O106" s="23"/>
      <c r="P106" s="52" t="str">
        <f ca="1">H124</f>
        <v>0:N</v>
      </c>
      <c r="Q106" s="70" t="str">
        <f ca="1">H125</f>
        <v>1</v>
      </c>
      <c r="R106" s="52" t="str">
        <f ca="1">H130</f>
        <v>0:N</v>
      </c>
      <c r="S106" s="52" t="str">
        <f ca="1">H131</f>
        <v>1</v>
      </c>
      <c r="T106" s="52" t="str">
        <f ca="1">H132</f>
        <v>0:N</v>
      </c>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x14ac:dyDescent="0.25">
      <c r="A107" s="23" t="str">
        <f ca="1">IFERROR(__xludf.DUMMYFUNCTION("""COMPUTED_VALUE"""),"Yes")</f>
        <v>Yes</v>
      </c>
      <c r="B107" s="23" t="str">
        <f ca="1">IFERROR(__xludf.DUMMYFUNCTION("""COMPUTED_VALUE"""),"Yes")</f>
        <v>Yes</v>
      </c>
      <c r="C107" s="96"/>
      <c r="D107" s="96"/>
      <c r="E107" s="96"/>
      <c r="F107" s="96"/>
      <c r="G107" s="5" t="str">
        <f ca="1">IFERROR(__xludf.DUMMYFUNCTION("""COMPUTED_VALUE"""),"Parameter name")</f>
        <v>Parameter name</v>
      </c>
      <c r="H107" s="5" t="str">
        <f ca="1">IFERROR(__xludf.DUMMYFUNCTION("""COMPUTED_VALUE"""),"1")</f>
        <v>1</v>
      </c>
      <c r="I107" s="5"/>
      <c r="J107" s="41"/>
      <c r="K107" s="4"/>
      <c r="L107" s="29" t="s">
        <v>17</v>
      </c>
      <c r="M107" s="30"/>
      <c r="N107" s="31"/>
      <c r="O107" s="29"/>
      <c r="P107" s="46"/>
      <c r="Q107" s="12"/>
      <c r="R107" s="31"/>
      <c r="S107" s="31"/>
      <c r="T107" s="31"/>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x14ac:dyDescent="0.25">
      <c r="A108" s="8" t="str">
        <f ca="1">IFERROR(__xludf.DUMMYFUNCTION("""COMPUTED_VALUE"""),"Yes")</f>
        <v>Yes</v>
      </c>
      <c r="B108" s="8" t="str">
        <f ca="1">IFERROR(__xludf.DUMMYFUNCTION("""COMPUTED_VALUE"""),"No")</f>
        <v>No</v>
      </c>
      <c r="C108" s="96"/>
      <c r="D108" s="96"/>
      <c r="E108" s="96"/>
      <c r="F108" s="96"/>
      <c r="G108" s="5" t="str">
        <f ca="1">IFERROR(__xludf.DUMMYFUNCTION("""COMPUTED_VALUE"""),"Parameter description")</f>
        <v>Parameter description</v>
      </c>
      <c r="H108" s="5" t="str">
        <f ca="1">IFERROR(__xludf.DUMMYFUNCTION("""COMPUTED_VALUE"""),"0:1")</f>
        <v>0:1</v>
      </c>
      <c r="I108" s="5"/>
      <c r="J108" s="41"/>
      <c r="K108" s="4"/>
      <c r="L108" s="29" t="s">
        <v>18</v>
      </c>
      <c r="M108" s="32"/>
      <c r="N108" s="31"/>
      <c r="O108" s="29"/>
      <c r="P108" s="31"/>
      <c r="Q108" s="12"/>
      <c r="R108" s="31"/>
      <c r="S108" s="31"/>
      <c r="T108" s="31"/>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x14ac:dyDescent="0.25">
      <c r="A109" s="23" t="str">
        <f ca="1">IFERROR(__xludf.DUMMYFUNCTION("""COMPUTED_VALUE"""),"Yes")</f>
        <v>Yes</v>
      </c>
      <c r="B109" s="23" t="str">
        <f ca="1">IFERROR(__xludf.DUMMYFUNCTION("""COMPUTED_VALUE"""),"Yes")</f>
        <v>Yes</v>
      </c>
      <c r="C109" s="96"/>
      <c r="D109" s="96"/>
      <c r="E109" s="96"/>
      <c r="F109" s="96"/>
      <c r="G109" s="5" t="str">
        <f ca="1">IFERROR(__xludf.DUMMYFUNCTION("""COMPUTED_VALUE"""),"Parameter unit")</f>
        <v>Parameter unit</v>
      </c>
      <c r="H109" s="5" t="str">
        <f ca="1">IFERROR(__xludf.DUMMYFUNCTION("""COMPUTED_VALUE"""),"1")</f>
        <v>1</v>
      </c>
      <c r="I109" s="5"/>
      <c r="J109" s="41"/>
      <c r="K109" s="4"/>
      <c r="L109" s="33" t="s">
        <v>19</v>
      </c>
      <c r="M109" s="31"/>
      <c r="N109" s="31"/>
      <c r="O109" s="29"/>
      <c r="P109" s="31"/>
      <c r="Q109" s="12"/>
      <c r="R109" s="31"/>
      <c r="S109" s="31"/>
      <c r="T109" s="31"/>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x14ac:dyDescent="0.25">
      <c r="A110" s="23" t="str">
        <f ca="1">IFERROR(__xludf.DUMMYFUNCTION("""COMPUTED_VALUE"""),"Yes")</f>
        <v>Yes</v>
      </c>
      <c r="B110" s="23" t="str">
        <f ca="1">IFERROR(__xludf.DUMMYFUNCTION("""COMPUTED_VALUE"""),"No")</f>
        <v>No</v>
      </c>
      <c r="C110" s="96"/>
      <c r="D110" s="96"/>
      <c r="E110" s="96"/>
      <c r="F110" s="96"/>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x14ac:dyDescent="0.25">
      <c r="A111" s="23" t="str">
        <f ca="1">IFERROR(__xludf.DUMMYFUNCTION("""COMPUTED_VALUE"""),"Yes")</f>
        <v>Yes</v>
      </c>
      <c r="B111" s="23" t="str">
        <f ca="1">IFERROR(__xludf.DUMMYFUNCTION("""COMPUTED_VALUE"""),"Yes")</f>
        <v>Yes</v>
      </c>
      <c r="C111" s="96"/>
      <c r="D111" s="96"/>
      <c r="E111" s="96"/>
      <c r="F111" s="96"/>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x14ac:dyDescent="0.25">
      <c r="A112" s="8" t="str">
        <f ca="1">IFERROR(__xludf.DUMMYFUNCTION("""COMPUTED_VALUE"""),"Yes")</f>
        <v>Yes</v>
      </c>
      <c r="B112" s="8" t="str">
        <f ca="1">IFERROR(__xludf.DUMMYFUNCTION("""COMPUTED_VALUE"""),"No")</f>
        <v>No</v>
      </c>
      <c r="C112" s="96"/>
      <c r="D112" s="96"/>
      <c r="E112" s="96"/>
      <c r="F112" s="96"/>
      <c r="G112" s="5" t="str">
        <f ca="1">IFERROR(__xludf.DUMMYFUNCTION("""COMPUTED_VALUE"""),"Parameter source")</f>
        <v>Parameter source</v>
      </c>
      <c r="H112" s="5" t="str">
        <f ca="1">IFERROR(__xludf.DUMMYFUNCTION("""COMPUTED_VALUE"""),"0:1")</f>
        <v>0:1</v>
      </c>
      <c r="I112" s="5"/>
      <c r="J112" s="41"/>
      <c r="K112" s="4"/>
      <c r="L112" s="8" t="s">
        <v>22</v>
      </c>
      <c r="M112" s="34"/>
      <c r="N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x14ac:dyDescent="0.25">
      <c r="A113" s="8" t="str">
        <f ca="1">IFERROR(__xludf.DUMMYFUNCTION("""COMPUTED_VALUE"""),"Yes")</f>
        <v>Yes</v>
      </c>
      <c r="B113" s="8" t="str">
        <f ca="1">IFERROR(__xludf.DUMMYFUNCTION("""COMPUTED_VALUE"""),"Yes")</f>
        <v>Yes</v>
      </c>
      <c r="C113" s="96"/>
      <c r="D113" s="96"/>
      <c r="E113" s="96"/>
      <c r="F113" s="96"/>
      <c r="G113" s="5" t="str">
        <f ca="1">IFERROR(__xludf.DUMMYFUNCTION("""COMPUTED_VALUE"""),"Parameter subject")</f>
        <v>Parameter subject</v>
      </c>
      <c r="H113" s="5" t="str">
        <f ca="1">IFERROR(__xludf.DUMMYFUNCTION("""COMPUTED_VALUE"""),"0:1")</f>
        <v>0:1</v>
      </c>
      <c r="I113" s="5"/>
      <c r="J113" s="41"/>
      <c r="K113" s="4"/>
      <c r="L113" s="8"/>
      <c r="M113" s="8"/>
      <c r="N113" s="8"/>
      <c r="O113" s="8"/>
      <c r="P113" s="8"/>
      <c r="Q113" s="8"/>
      <c r="R113" s="8"/>
      <c r="S113" s="8"/>
      <c r="T113" s="8"/>
      <c r="U113" s="8"/>
      <c r="V113" s="8"/>
      <c r="W113" s="8"/>
      <c r="X113" s="8"/>
      <c r="Y113" s="8"/>
      <c r="Z113" s="8"/>
      <c r="AA113" s="8"/>
      <c r="AB113" s="4"/>
      <c r="AC113" s="4"/>
      <c r="AD113" s="4"/>
      <c r="AE113" s="4"/>
      <c r="AF113" s="4"/>
      <c r="AG113" s="4"/>
      <c r="AH113" s="4"/>
      <c r="AI113" s="4"/>
      <c r="AJ113" s="4"/>
      <c r="AK113" s="4"/>
      <c r="AL113" s="4"/>
      <c r="AM113" s="4"/>
      <c r="AN113" s="4"/>
      <c r="AO113" s="4"/>
      <c r="AP113" s="4"/>
    </row>
    <row r="114" spans="1:42" ht="12.5" x14ac:dyDescent="0.25">
      <c r="A114" s="8" t="str">
        <f ca="1">IFERROR(__xludf.DUMMYFUNCTION("""COMPUTED_VALUE"""),"Yes")</f>
        <v>Yes</v>
      </c>
      <c r="B114" s="8" t="str">
        <f ca="1">IFERROR(__xludf.DUMMYFUNCTION("""COMPUTED_VALUE"""),"Yes")</f>
        <v>Yes</v>
      </c>
      <c r="C114" s="96"/>
      <c r="D114" s="96"/>
      <c r="E114" s="96"/>
      <c r="F114" s="96"/>
      <c r="G114" s="5" t="str">
        <f ca="1">IFERROR(__xludf.DUMMYFUNCTION("""COMPUTED_VALUE"""),"Parameter distribution")</f>
        <v>Parameter distribution</v>
      </c>
      <c r="H114" s="5" t="str">
        <f ca="1">IFERROR(__xludf.DUMMYFUNCTION("""COMPUTED_VALUE"""),"0:1")</f>
        <v>0:1</v>
      </c>
      <c r="I114" s="5"/>
      <c r="J114" s="41"/>
      <c r="K114" s="35" t="s">
        <v>23</v>
      </c>
      <c r="L114" s="98" t="str">
        <f ca="1">E105</f>
        <v>Parameter / Factor / Input / Output / "Data column"</v>
      </c>
      <c r="M114" s="96"/>
      <c r="N114" s="96"/>
      <c r="O114" s="96"/>
      <c r="P114" s="96"/>
      <c r="Q114" s="96"/>
      <c r="R114" s="96"/>
      <c r="S114" s="96"/>
      <c r="T114" s="96"/>
      <c r="U114" s="96"/>
      <c r="V114" s="96"/>
      <c r="W114" s="96"/>
      <c r="X114" s="96"/>
      <c r="Y114" s="96"/>
      <c r="Z114" s="96"/>
      <c r="AA114" s="96"/>
      <c r="AB114" s="4"/>
      <c r="AC114" s="4"/>
      <c r="AD114" s="4"/>
      <c r="AE114" s="4"/>
      <c r="AF114" s="4"/>
      <c r="AG114" s="4"/>
      <c r="AH114" s="4"/>
      <c r="AI114" s="4"/>
      <c r="AJ114" s="4"/>
      <c r="AK114" s="4"/>
      <c r="AL114" s="4"/>
      <c r="AM114" s="4"/>
      <c r="AN114" s="4"/>
      <c r="AO114" s="4"/>
      <c r="AP114" s="4"/>
    </row>
    <row r="115" spans="1:42" ht="12.5" x14ac:dyDescent="0.25">
      <c r="A115" s="8" t="str">
        <f ca="1">IFERROR(__xludf.DUMMYFUNCTION("""COMPUTED_VALUE"""),"Yes")</f>
        <v>Yes</v>
      </c>
      <c r="B115" s="8" t="str">
        <f ca="1">IFERROR(__xludf.DUMMYFUNCTION("""COMPUTED_VALUE"""),"Yes")</f>
        <v>Yes</v>
      </c>
      <c r="C115" s="96"/>
      <c r="D115" s="96"/>
      <c r="E115" s="96"/>
      <c r="F115" s="96"/>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t="str">
        <f ca="1">G121</f>
        <v>Parameter value min</v>
      </c>
      <c r="AA115" s="23" t="str">
        <f ca="1">G122</f>
        <v>Parameter error</v>
      </c>
      <c r="AB115" s="4"/>
      <c r="AC115" s="4"/>
      <c r="AD115" s="4"/>
      <c r="AE115" s="4"/>
      <c r="AF115" s="4"/>
      <c r="AG115" s="4"/>
      <c r="AH115" s="4"/>
      <c r="AI115" s="4"/>
      <c r="AJ115" s="4"/>
      <c r="AK115" s="4"/>
      <c r="AL115" s="4"/>
      <c r="AM115" s="4"/>
      <c r="AN115" s="4"/>
      <c r="AO115" s="4"/>
    </row>
    <row r="116" spans="1:42" ht="12.5" x14ac:dyDescent="0.25">
      <c r="A116" s="8" t="str">
        <f ca="1">IFERROR(__xludf.DUMMYFUNCTION("""COMPUTED_VALUE"""),"Yes")</f>
        <v>Yes</v>
      </c>
      <c r="B116" s="8" t="str">
        <f ca="1">IFERROR(__xludf.DUMMYFUNCTION("""COMPUTED_VALUE"""),"Yes")</f>
        <v>Yes</v>
      </c>
      <c r="C116" s="96"/>
      <c r="D116" s="96"/>
      <c r="E116" s="96"/>
      <c r="F116" s="96"/>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t="str">
        <f ca="1">H121</f>
        <v>0:1</v>
      </c>
      <c r="AA116" s="27" t="str">
        <f ca="1">H122</f>
        <v>0:1</v>
      </c>
      <c r="AB116" s="4"/>
      <c r="AC116" s="4"/>
      <c r="AD116" s="4"/>
      <c r="AE116" s="4"/>
      <c r="AF116" s="4"/>
      <c r="AG116" s="4"/>
      <c r="AH116" s="4"/>
      <c r="AI116" s="4"/>
      <c r="AJ116" s="4"/>
      <c r="AK116" s="4"/>
      <c r="AL116" s="4"/>
      <c r="AM116" s="4"/>
      <c r="AN116" s="4"/>
      <c r="AO116" s="4"/>
    </row>
    <row r="117" spans="1:42" ht="12.5" x14ac:dyDescent="0.25">
      <c r="A117" s="8" t="str">
        <f ca="1">IFERROR(__xludf.DUMMYFUNCTION("""COMPUTED_VALUE"""),"Yes")</f>
        <v>Yes</v>
      </c>
      <c r="B117" s="8" t="str">
        <f ca="1">IFERROR(__xludf.DUMMYFUNCTION("""COMPUTED_VALUE"""),"No")</f>
        <v>No</v>
      </c>
      <c r="C117" s="96"/>
      <c r="D117" s="96"/>
      <c r="E117" s="96"/>
      <c r="F117" s="96"/>
      <c r="G117" s="5" t="str">
        <f ca="1">IFERROR(__xludf.DUMMYFUNCTION("""COMPUTED_VALUE"""),"Parameter value")</f>
        <v>Parameter value</v>
      </c>
      <c r="H117" s="5" t="str">
        <f ca="1">IFERROR(__xludf.DUMMYFUNCTION("""COMPUTED_VALUE"""),"0:1")</f>
        <v>0:1</v>
      </c>
      <c r="I117" s="5"/>
      <c r="J117" s="41"/>
      <c r="K117" s="4"/>
      <c r="L117" s="39"/>
      <c r="M117" s="36"/>
      <c r="N117" s="37"/>
      <c r="O117" s="37"/>
      <c r="P117" s="36" t="s">
        <v>25</v>
      </c>
      <c r="Q117" s="81">
        <f>'Parameter unit'!S3</f>
        <v>0</v>
      </c>
      <c r="R117" s="36"/>
      <c r="S117" s="37"/>
      <c r="T117" s="37"/>
      <c r="U117" s="37"/>
      <c r="V117" s="37"/>
      <c r="W117" s="37"/>
      <c r="X117" s="37"/>
      <c r="Y117" s="37"/>
      <c r="Z117" s="48"/>
      <c r="AA117" s="37"/>
      <c r="AB117" s="4"/>
      <c r="AC117" s="4"/>
      <c r="AD117" s="4"/>
      <c r="AE117" s="4"/>
      <c r="AF117" s="4"/>
      <c r="AG117" s="4"/>
      <c r="AH117" s="4"/>
      <c r="AI117" s="4"/>
      <c r="AJ117" s="4"/>
      <c r="AK117" s="4"/>
      <c r="AL117" s="4"/>
      <c r="AM117" s="4"/>
      <c r="AN117" s="4"/>
      <c r="AO117" s="4"/>
    </row>
    <row r="118" spans="1:42" ht="12.5" x14ac:dyDescent="0.25">
      <c r="A118" s="8" t="str">
        <f ca="1">IFERROR(__xludf.DUMMYFUNCTION("""COMPUTED_VALUE"""),"Yes")</f>
        <v>Yes</v>
      </c>
      <c r="B118" s="8" t="str">
        <f ca="1">IFERROR(__xludf.DUMMYFUNCTION("""COMPUTED_VALUE"""),"No")</f>
        <v>No</v>
      </c>
      <c r="C118" s="96"/>
      <c r="D118" s="96"/>
      <c r="E118" s="96"/>
      <c r="F118" s="96"/>
      <c r="G118" s="5" t="str">
        <f ca="1">IFERROR(__xludf.DUMMYFUNCTION("""COMPUTED_VALUE"""),"Parameter Reference")</f>
        <v>Parameter Reference</v>
      </c>
      <c r="H118" s="5" t="str">
        <f ca="1">IFERROR(__xludf.DUMMYFUNCTION("""COMPUTED_VALUE"""),"0:1")</f>
        <v>0:1</v>
      </c>
      <c r="I118" s="5"/>
      <c r="J118" s="41"/>
      <c r="K118" s="4"/>
      <c r="L118" s="39"/>
      <c r="M118" s="40"/>
      <c r="N118" s="37"/>
      <c r="O118" s="37"/>
      <c r="P118" s="36" t="s">
        <v>25</v>
      </c>
      <c r="Q118" s="81">
        <f>'Parameter unit'!S4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x14ac:dyDescent="0.25">
      <c r="A119" s="8" t="str">
        <f ca="1">IFERROR(__xludf.DUMMYFUNCTION("""COMPUTED_VALUE"""),"Yes")</f>
        <v>Yes</v>
      </c>
      <c r="B119" s="8" t="str">
        <f ca="1">IFERROR(__xludf.DUMMYFUNCTION("""COMPUTED_VALUE"""),"No")</f>
        <v>No</v>
      </c>
      <c r="C119" s="96"/>
      <c r="D119" s="96"/>
      <c r="E119" s="96"/>
      <c r="F119" s="96"/>
      <c r="G119" s="5" t="str">
        <f ca="1">IFERROR(__xludf.DUMMYFUNCTION("""COMPUTED_VALUE"""),"Parameter variability subject")</f>
        <v>Parameter variability subject</v>
      </c>
      <c r="H119" s="5" t="str">
        <f ca="1">IFERROR(__xludf.DUMMYFUNCTION("""COMPUTED_VALUE"""),"0:1")</f>
        <v>0:1</v>
      </c>
      <c r="I119" s="5"/>
      <c r="J119" s="41"/>
      <c r="K119" s="4"/>
      <c r="L119" s="39"/>
      <c r="M119" s="40"/>
      <c r="N119" s="37"/>
      <c r="O119" s="37"/>
      <c r="P119" s="36" t="s">
        <v>25</v>
      </c>
      <c r="Q119" s="81">
        <f>'Parameter unit'!S5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x14ac:dyDescent="0.25">
      <c r="A120" s="8" t="str">
        <f ca="1">IFERROR(__xludf.DUMMYFUNCTION("""COMPUTED_VALUE"""),"Yes")</f>
        <v>Yes</v>
      </c>
      <c r="B120" s="8" t="str">
        <f ca="1">IFERROR(__xludf.DUMMYFUNCTION("""COMPUTED_VALUE"""),"No")</f>
        <v>No</v>
      </c>
      <c r="C120" s="96"/>
      <c r="D120" s="96"/>
      <c r="E120" s="96"/>
      <c r="F120" s="96"/>
      <c r="G120" s="5" t="str">
        <f ca="1">IFERROR(__xludf.DUMMYFUNCTION("""COMPUTED_VALUE"""),"Parameter value max")</f>
        <v>Parameter value max</v>
      </c>
      <c r="H120" s="5" t="str">
        <f ca="1">IFERROR(__xludf.DUMMYFUNCTION("""COMPUTED_VALUE"""),"0:1")</f>
        <v>0:1</v>
      </c>
      <c r="I120" s="5"/>
      <c r="J120" s="41"/>
      <c r="K120" s="4"/>
      <c r="L120" s="39"/>
      <c r="M120" s="40"/>
      <c r="N120" s="37"/>
      <c r="O120" s="37"/>
      <c r="P120" s="36" t="s">
        <v>25</v>
      </c>
      <c r="Q120" s="81">
        <f>'Parameter unit'!S6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x14ac:dyDescent="0.25">
      <c r="A121" s="8" t="str">
        <f ca="1">IFERROR(__xludf.DUMMYFUNCTION("""COMPUTED_VALUE"""),"Yes")</f>
        <v>Yes</v>
      </c>
      <c r="B121" s="8" t="str">
        <f ca="1">IFERROR(__xludf.DUMMYFUNCTION("""COMPUTED_VALUE"""),"No")</f>
        <v>No</v>
      </c>
      <c r="C121" s="96"/>
      <c r="D121" s="96"/>
      <c r="E121" s="96"/>
      <c r="F121" s="96"/>
      <c r="G121" s="5" t="str">
        <f ca="1">IFERROR(__xludf.DUMMYFUNCTION("""COMPUTED_VALUE"""),"Parameter value min")</f>
        <v>Parameter value min</v>
      </c>
      <c r="H121" s="5" t="str">
        <f ca="1">IFERROR(__xludf.DUMMYFUNCTION("""COMPUTED_VALUE"""),"0:1")</f>
        <v>0:1</v>
      </c>
      <c r="I121" s="5"/>
      <c r="J121" s="41"/>
      <c r="K121" s="4"/>
      <c r="L121" s="39"/>
      <c r="M121" s="40"/>
      <c r="N121" s="37"/>
      <c r="O121" s="37"/>
      <c r="P121" s="36" t="s">
        <v>25</v>
      </c>
      <c r="Q121" s="81">
        <f>'Parameter unit'!S7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x14ac:dyDescent="0.25">
      <c r="A122" s="8" t="str">
        <f ca="1">IFERROR(__xludf.DUMMYFUNCTION("""COMPUTED_VALUE"""),"Yes")</f>
        <v>Yes</v>
      </c>
      <c r="B122" s="8" t="str">
        <f ca="1">IFERROR(__xludf.DUMMYFUNCTION("""COMPUTED_VALUE"""),"No")</f>
        <v>No</v>
      </c>
      <c r="C122" s="96"/>
      <c r="D122" s="96"/>
      <c r="E122" s="96"/>
      <c r="F122" s="96"/>
      <c r="G122" s="5" t="str">
        <f ca="1">IFERROR(__xludf.DUMMYFUNCTION("""COMPUTED_VALUE"""),"Parameter error")</f>
        <v>Parameter error</v>
      </c>
      <c r="H122" s="5" t="str">
        <f ca="1">IFERROR(__xludf.DUMMYFUNCTION("""COMPUTED_VALUE"""),"0:1")</f>
        <v>0:1</v>
      </c>
      <c r="I122" s="5"/>
      <c r="J122" s="41"/>
      <c r="K122" s="4"/>
      <c r="L122" s="39"/>
      <c r="M122" s="40"/>
      <c r="N122" s="37"/>
      <c r="O122" s="37"/>
      <c r="P122" s="36" t="s">
        <v>25</v>
      </c>
      <c r="Q122" s="81">
        <f>'Parameter unit'!S8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x14ac:dyDescent="0.25">
      <c r="A123" s="8" t="str">
        <f ca="1">IFERROR(__xludf.DUMMYFUNCTION("""COMPUTED_VALUE"""),"Yes")</f>
        <v>Yes</v>
      </c>
      <c r="B123" s="8" t="str">
        <f ca="1">IFERROR(__xludf.DUMMYFUNCTION("""COMPUTED_VALUE"""),"No")</f>
        <v>No</v>
      </c>
      <c r="C123" s="96"/>
      <c r="D123" s="96"/>
      <c r="E123" s="97" t="str">
        <f ca="1">IFERROR(__xludf.DUMMYFUNCTION("""COMPUTED_VALUE"""),"Quality measures")</f>
        <v>Quality measures</v>
      </c>
      <c r="F123" s="97"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40"/>
      <c r="N123" s="37"/>
      <c r="O123" s="37"/>
      <c r="P123" s="36" t="s">
        <v>25</v>
      </c>
      <c r="Q123" s="81">
        <f>'Parameter unit'!S9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x14ac:dyDescent="0.25">
      <c r="A124" s="8" t="str">
        <f ca="1">IFERROR(__xludf.DUMMYFUNCTION("""COMPUTED_VALUE"""),"Yes")</f>
        <v>Yes</v>
      </c>
      <c r="B124" s="8" t="str">
        <f ca="1">IFERROR(__xludf.DUMMYFUNCTION("""COMPUTED_VALUE"""),"No")</f>
        <v>No</v>
      </c>
      <c r="C124" s="96"/>
      <c r="D124" s="96"/>
      <c r="E124" s="96"/>
      <c r="F124" s="96"/>
      <c r="G124" s="5" t="str">
        <f ca="1">IFERROR(__xludf.DUMMYFUNCTION("""COMPUTED_VALUE"""),"Sensitivity analysis")</f>
        <v>Sensitivity analysis</v>
      </c>
      <c r="H124" s="5" t="str">
        <f ca="1">IFERROR(__xludf.DUMMYFUNCTION("""COMPUTED_VALUE"""),"0:N")</f>
        <v>0:N</v>
      </c>
      <c r="I124" s="5"/>
      <c r="J124" s="41"/>
      <c r="K124" s="4"/>
      <c r="L124" s="39"/>
      <c r="M124" s="40"/>
      <c r="N124" s="37"/>
      <c r="O124" s="37"/>
      <c r="P124" s="36" t="s">
        <v>25</v>
      </c>
      <c r="Q124" s="81">
        <f>'Parameter unit'!S10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x14ac:dyDescent="0.25">
      <c r="A125" s="8" t="str">
        <f ca="1">IFERROR(__xludf.DUMMYFUNCTION("""COMPUTED_VALUE"""),"Yes")</f>
        <v>Yes</v>
      </c>
      <c r="B125" s="8" t="str">
        <f ca="1">IFERROR(__xludf.DUMMYFUNCTION("""COMPUTED_VALUE"""),"No")</f>
        <v>No</v>
      </c>
      <c r="C125" s="96"/>
      <c r="D125" s="96"/>
      <c r="E125" s="97" t="str">
        <f ca="1">IFERROR(__xludf.DUMMYFUNCTION("""COMPUTED_VALUE"""),"Model equation")</f>
        <v>Model equation</v>
      </c>
      <c r="F125" s="97"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40"/>
      <c r="N125" s="37"/>
      <c r="O125" s="37"/>
      <c r="P125" s="36" t="s">
        <v>25</v>
      </c>
      <c r="Q125" s="81">
        <f>'Parameter unit'!S11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x14ac:dyDescent="0.25">
      <c r="A126" s="8" t="str">
        <f ca="1">IFERROR(__xludf.DUMMYFUNCTION("""COMPUTED_VALUE"""),"Yes")</f>
        <v>Yes</v>
      </c>
      <c r="B126" s="8" t="str">
        <f ca="1">IFERROR(__xludf.DUMMYFUNCTION("""COMPUTED_VALUE"""),"No")</f>
        <v>No</v>
      </c>
      <c r="C126" s="96"/>
      <c r="D126" s="96"/>
      <c r="E126" s="96"/>
      <c r="F126" s="96"/>
      <c r="G126" s="5" t="str">
        <f ca="1">IFERROR(__xludf.DUMMYFUNCTION("""COMPUTED_VALUE"""),"Model equation class/distribution")</f>
        <v>Model equation class/distribution</v>
      </c>
      <c r="H126" s="5" t="str">
        <f ca="1">IFERROR(__xludf.DUMMYFUNCTION("""COMPUTED_VALUE"""),"0:1")</f>
        <v>0:1</v>
      </c>
      <c r="I126" s="5"/>
      <c r="J126" s="41"/>
      <c r="K126" s="4"/>
      <c r="L126" s="39"/>
      <c r="M126" s="40"/>
      <c r="N126" s="37"/>
      <c r="O126" s="37"/>
      <c r="P126" s="36" t="s">
        <v>25</v>
      </c>
      <c r="Q126" s="81">
        <f>'Parameter unit'!S12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x14ac:dyDescent="0.25">
      <c r="A127" s="8" t="str">
        <f ca="1">IFERROR(__xludf.DUMMYFUNCTION("""COMPUTED_VALUE"""),"Yes")</f>
        <v>Yes</v>
      </c>
      <c r="B127" s="8" t="str">
        <f ca="1">IFERROR(__xludf.DUMMYFUNCTION("""COMPUTED_VALUE"""),"No")</f>
        <v>No</v>
      </c>
      <c r="C127" s="96"/>
      <c r="D127" s="96"/>
      <c r="E127" s="96"/>
      <c r="F127" s="96"/>
      <c r="G127" s="5"/>
      <c r="H127" s="5"/>
      <c r="I127" s="5"/>
      <c r="J127" s="41"/>
      <c r="K127" s="4"/>
      <c r="L127" s="39"/>
      <c r="M127" s="40"/>
      <c r="N127" s="37"/>
      <c r="O127" s="37"/>
      <c r="P127" s="36" t="s">
        <v>25</v>
      </c>
      <c r="Q127" s="81">
        <f>'Parameter unit'!S13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x14ac:dyDescent="0.25">
      <c r="A128" s="8" t="str">
        <f ca="1">IFERROR(__xludf.DUMMYFUNCTION("""COMPUTED_VALUE"""),"Yes")</f>
        <v>Yes</v>
      </c>
      <c r="B128" s="8" t="str">
        <f ca="1">IFERROR(__xludf.DUMMYFUNCTION("""COMPUTED_VALUE"""),"No")</f>
        <v>No</v>
      </c>
      <c r="C128" s="96"/>
      <c r="D128" s="96"/>
      <c r="E128" s="96"/>
      <c r="F128" s="96"/>
      <c r="G128" s="5"/>
      <c r="H128" s="5"/>
      <c r="I128" s="5"/>
      <c r="J128" s="41"/>
      <c r="K128" s="4"/>
      <c r="L128" s="39"/>
      <c r="M128" s="40"/>
      <c r="N128" s="37"/>
      <c r="O128" s="37"/>
      <c r="P128" s="36" t="s">
        <v>25</v>
      </c>
      <c r="Q128" s="81">
        <f>'Parameter unit'!S14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x14ac:dyDescent="0.25">
      <c r="A129" s="8" t="str">
        <f ca="1">IFERROR(__xludf.DUMMYFUNCTION("""COMPUTED_VALUE"""),"Yes")</f>
        <v>Yes</v>
      </c>
      <c r="B129" s="8" t="str">
        <f ca="1">IFERROR(__xludf.DUMMYFUNCTION("""COMPUTED_VALUE"""),"No")</f>
        <v>No</v>
      </c>
      <c r="C129" s="96"/>
      <c r="D129" s="96"/>
      <c r="E129" s="96"/>
      <c r="F129" s="96"/>
      <c r="G129" s="5"/>
      <c r="H129" s="5"/>
      <c r="I129" s="5"/>
      <c r="J129" s="41"/>
      <c r="K129" s="4"/>
      <c r="L129" s="39"/>
      <c r="M129" s="40"/>
      <c r="N129" s="37"/>
      <c r="O129" s="37"/>
      <c r="P129" s="36" t="s">
        <v>25</v>
      </c>
      <c r="Q129" s="81">
        <f>'Parameter unit'!S15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x14ac:dyDescent="0.25">
      <c r="A130" s="8" t="str">
        <f ca="1">IFERROR(__xludf.DUMMYFUNCTION("""COMPUTED_VALUE"""),"Yes")</f>
        <v>Yes</v>
      </c>
      <c r="B130" s="8" t="str">
        <f ca="1">IFERROR(__xludf.DUMMYFUNCTION("""COMPUTED_VALUE"""),"No")</f>
        <v>No</v>
      </c>
      <c r="C130" s="96"/>
      <c r="D130" s="96"/>
      <c r="E130" s="96"/>
      <c r="F130" s="96"/>
      <c r="G130" s="5" t="str">
        <f ca="1">IFERROR(__xludf.DUMMYFUNCTION("""COMPUTED_VALUE"""),"Model equation reference")</f>
        <v>Model equation reference</v>
      </c>
      <c r="H130" s="5" t="str">
        <f ca="1">IFERROR(__xludf.DUMMYFUNCTION("""COMPUTED_VALUE"""),"0:N")</f>
        <v>0:N</v>
      </c>
      <c r="I130" s="5"/>
      <c r="J130" s="41"/>
      <c r="K130" s="4"/>
      <c r="L130" s="39"/>
      <c r="M130" s="40"/>
      <c r="N130" s="37"/>
      <c r="O130" s="37"/>
      <c r="P130" s="36" t="s">
        <v>25</v>
      </c>
      <c r="Q130" s="81">
        <f>'Parameter unit'!S16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x14ac:dyDescent="0.25">
      <c r="A131" s="8" t="str">
        <f ca="1">IFERROR(__xludf.DUMMYFUNCTION("""COMPUTED_VALUE"""),"Yes")</f>
        <v>Yes</v>
      </c>
      <c r="B131" s="8" t="str">
        <f ca="1">IFERROR(__xludf.DUMMYFUNCTION("""COMPUTED_VALUE"""),"No")</f>
        <v>No</v>
      </c>
      <c r="C131" s="96"/>
      <c r="D131" s="96"/>
      <c r="E131" s="96"/>
      <c r="F131" s="96"/>
      <c r="G131" s="5" t="str">
        <f ca="1">IFERROR(__xludf.DUMMYFUNCTION("""COMPUTED_VALUE"""),"Model equation / Script")</f>
        <v>Model equation / Script</v>
      </c>
      <c r="H131" s="5" t="str">
        <f ca="1">IFERROR(__xludf.DUMMYFUNCTION("""COMPUTED_VALUE"""),"1")</f>
        <v>1</v>
      </c>
      <c r="I131" s="5"/>
      <c r="J131" s="41"/>
      <c r="K131" s="4"/>
      <c r="L131" s="39"/>
      <c r="M131" s="40"/>
      <c r="N131" s="37"/>
      <c r="O131" s="37"/>
      <c r="P131" s="36" t="s">
        <v>25</v>
      </c>
      <c r="Q131" s="81">
        <f>'Parameter unit'!S17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x14ac:dyDescent="0.25">
      <c r="A132" s="8" t="str">
        <f ca="1">IFERROR(__xludf.DUMMYFUNCTION("""COMPUTED_VALUE"""),"Yes")</f>
        <v>Yes</v>
      </c>
      <c r="B132" s="8" t="str">
        <f ca="1">IFERROR(__xludf.DUMMYFUNCTION("""COMPUTED_VALUE"""),"No")</f>
        <v>No</v>
      </c>
      <c r="C132" s="96"/>
      <c r="D132" s="96"/>
      <c r="E132" s="96"/>
      <c r="F132" s="96"/>
      <c r="G132" s="5" t="str">
        <f ca="1">IFERROR(__xludf.DUMMYFUNCTION("""COMPUTED_VALUE"""),"Hypothesis of the model")</f>
        <v>Hypothesis of the model</v>
      </c>
      <c r="H132" s="5" t="str">
        <f ca="1">IFERROR(__xludf.DUMMYFUNCTION("""COMPUTED_VALUE"""),"0:N")</f>
        <v>0:N</v>
      </c>
      <c r="I132" s="5"/>
      <c r="J132" s="41"/>
      <c r="K132" s="4"/>
      <c r="L132" s="39"/>
      <c r="M132" s="40"/>
      <c r="N132" s="37"/>
      <c r="O132" s="37"/>
      <c r="P132" s="36" t="s">
        <v>25</v>
      </c>
      <c r="Q132" s="81">
        <f>'Parameter unit'!S18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x14ac:dyDescent="0.25">
      <c r="A133" s="8" t="str">
        <f ca="1">IFERROR(__xludf.DUMMYFUNCTION("""COMPUTED_VALUE"""),"Yes")</f>
        <v>Yes</v>
      </c>
      <c r="B133" s="8" t="str">
        <f ca="1">IFERROR(__xludf.DUMMYFUNCTION("""COMPUTED_VALUE"""),"No")</f>
        <v>No</v>
      </c>
      <c r="C133" s="96"/>
      <c r="D133" s="96"/>
      <c r="E133" s="5" t="str">
        <f ca="1">IFERROR(__xludf.DUMMYFUNCTION("""COMPUTED_VALUE"""),"Fitting procedure")</f>
        <v>Fitting procedure</v>
      </c>
      <c r="F133" s="97" t="str">
        <f ca="1">IFERROR(__xludf.DUMMYFUNCTION("""COMPUTED_VALUE"""),"0:1")</f>
        <v>0:1</v>
      </c>
      <c r="G133" s="96"/>
      <c r="H133" s="96"/>
      <c r="I133" s="5"/>
      <c r="J133" s="11"/>
      <c r="K133" s="4"/>
      <c r="L133" s="39"/>
      <c r="M133" s="40"/>
      <c r="N133" s="37"/>
      <c r="O133" s="37"/>
      <c r="P133" s="36" t="s">
        <v>25</v>
      </c>
      <c r="Q133" s="81">
        <f>'Parameter unit'!S19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x14ac:dyDescent="0.25">
      <c r="A134" s="8" t="str">
        <f ca="1">IFERROR(__xludf.DUMMYFUNCTION("""COMPUTED_VALUE"""),"Yes")</f>
        <v>Yes</v>
      </c>
      <c r="B134" s="8" t="str">
        <f ca="1">IFERROR(__xludf.DUMMYFUNCTION("""COMPUTED_VALUE"""),"No")</f>
        <v>No</v>
      </c>
      <c r="C134" s="96"/>
      <c r="D134" s="96"/>
      <c r="E134" s="97" t="str">
        <f ca="1">IFERROR(__xludf.DUMMYFUNCTION("""COMPUTED_VALUE"""),"Exposure")</f>
        <v>Exposure</v>
      </c>
      <c r="F134" s="97"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40"/>
      <c r="N134" s="37"/>
      <c r="O134" s="37"/>
      <c r="P134" s="36" t="s">
        <v>25</v>
      </c>
      <c r="Q134" s="81">
        <f>'Parameter unit'!S20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x14ac:dyDescent="0.25">
      <c r="A135" s="8" t="str">
        <f ca="1">IFERROR(__xludf.DUMMYFUNCTION("""COMPUTED_VALUE"""),"Yes")</f>
        <v>Yes</v>
      </c>
      <c r="B135" s="8" t="str">
        <f ca="1">IFERROR(__xludf.DUMMYFUNCTION("""COMPUTED_VALUE"""),"No")</f>
        <v>No</v>
      </c>
      <c r="C135" s="96"/>
      <c r="D135" s="96"/>
      <c r="E135" s="96"/>
      <c r="F135" s="96"/>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40"/>
      <c r="N135" s="37"/>
      <c r="O135" s="37"/>
      <c r="P135" s="36" t="s">
        <v>25</v>
      </c>
      <c r="Q135" s="81">
        <f>'Parameter unit'!S21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x14ac:dyDescent="0.25">
      <c r="A136" s="8" t="str">
        <f ca="1">IFERROR(__xludf.DUMMYFUNCTION("""COMPUTED_VALUE"""),"Yes")</f>
        <v>Yes</v>
      </c>
      <c r="B136" s="8" t="str">
        <f ca="1">IFERROR(__xludf.DUMMYFUNCTION("""COMPUTED_VALUE"""),"No")</f>
        <v>No</v>
      </c>
      <c r="C136" s="96"/>
      <c r="D136" s="96"/>
      <c r="E136" s="96"/>
      <c r="F136" s="96"/>
      <c r="G136" s="5" t="str">
        <f ca="1">IFERROR(__xludf.DUMMYFUNCTION("""COMPUTED_VALUE"""),"Type of exposure")</f>
        <v>Type of exposure</v>
      </c>
      <c r="H136" s="5" t="str">
        <f ca="1">IFERROR(__xludf.DUMMYFUNCTION("""COMPUTED_VALUE"""),"1")</f>
        <v>1</v>
      </c>
      <c r="I136" s="5"/>
      <c r="J136" s="11"/>
      <c r="K136" s="4"/>
      <c r="L136" s="39"/>
      <c r="M136" s="40"/>
      <c r="N136" s="37"/>
      <c r="O136" s="37"/>
      <c r="P136" s="36" t="s">
        <v>25</v>
      </c>
      <c r="Q136" s="81">
        <f>'Parameter unit'!S22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x14ac:dyDescent="0.25">
      <c r="A137" s="8" t="str">
        <f ca="1">IFERROR(__xludf.DUMMYFUNCTION("""COMPUTED_VALUE"""),"Yes")</f>
        <v>Yes</v>
      </c>
      <c r="B137" s="8" t="str">
        <f ca="1">IFERROR(__xludf.DUMMYFUNCTION("""COMPUTED_VALUE"""),"No")</f>
        <v>No</v>
      </c>
      <c r="C137" s="96"/>
      <c r="D137" s="96"/>
      <c r="E137" s="96"/>
      <c r="F137" s="96"/>
      <c r="G137" s="5" t="str">
        <f ca="1">IFERROR(__xludf.DUMMYFUNCTION("""COMPUTED_VALUE"""),"Scenario")</f>
        <v>Scenario</v>
      </c>
      <c r="H137" s="5" t="str">
        <f ca="1">IFERROR(__xludf.DUMMYFUNCTION("""COMPUTED_VALUE"""),"0:N")</f>
        <v>0:N</v>
      </c>
      <c r="I137" s="5"/>
      <c r="J137" s="11"/>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x14ac:dyDescent="0.25">
      <c r="A138" s="8" t="str">
        <f ca="1">IFERROR(__xludf.DUMMYFUNCTION("""COMPUTED_VALUE"""),"Yes")</f>
        <v>Yes</v>
      </c>
      <c r="B138" s="8" t="str">
        <f ca="1">IFERROR(__xludf.DUMMYFUNCTION("""COMPUTED_VALUE"""),"No")</f>
        <v>No</v>
      </c>
      <c r="C138" s="96"/>
      <c r="D138" s="96"/>
      <c r="E138" s="96"/>
      <c r="F138" s="96"/>
      <c r="G138" s="5" t="str">
        <f ca="1">IFERROR(__xludf.DUMMYFUNCTION("""COMPUTED_VALUE"""),"Uncertainty estimation")</f>
        <v>Uncertainty estimation</v>
      </c>
      <c r="H138" s="5" t="str">
        <f ca="1">IFERROR(__xludf.DUMMYFUNCTION("""COMPUTED_VALUE"""),"0:1")</f>
        <v>0:1</v>
      </c>
      <c r="I138" s="5"/>
      <c r="J138" s="11"/>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x14ac:dyDescent="0.25">
      <c r="A139" s="8" t="str">
        <f ca="1">IFERROR(__xludf.DUMMYFUNCTION("""COMPUTED_VALUE"""),"Yes")</f>
        <v>Yes</v>
      </c>
      <c r="B139" s="8" t="str">
        <f ca="1">IFERROR(__xludf.DUMMYFUNCTION("""COMPUTED_VALUE"""),"No")</f>
        <v>No</v>
      </c>
      <c r="C139" s="96"/>
      <c r="D139" s="96"/>
      <c r="E139" s="5" t="str">
        <f ca="1">IFERROR(__xludf.DUMMYFUNCTION("""COMPUTED_VALUE"""),"Events")</f>
        <v>Events</v>
      </c>
      <c r="F139" s="97" t="str">
        <f ca="1">IFERROR(__xludf.DUMMYFUNCTION("""COMPUTED_VALUE"""),"0:N")</f>
        <v>0:N</v>
      </c>
      <c r="G139" s="96"/>
      <c r="H139" s="96"/>
      <c r="I139" s="5"/>
      <c r="J139" s="41"/>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x14ac:dyDescent="0.25">
      <c r="A140" s="8"/>
      <c r="B140" s="8"/>
      <c r="C140" s="8"/>
      <c r="D140" s="8"/>
      <c r="E140" s="8"/>
      <c r="F140" s="8"/>
      <c r="G140" s="8"/>
      <c r="H140" s="8"/>
      <c r="I140" s="8"/>
      <c r="J140" s="8"/>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x14ac:dyDescent="0.25">
      <c r="A141" s="8"/>
      <c r="B141" s="8"/>
      <c r="C141" s="8"/>
      <c r="D141" s="8"/>
      <c r="E141" s="8"/>
      <c r="F141" s="8"/>
      <c r="G141" s="8"/>
      <c r="H141" s="8"/>
      <c r="I141" s="8"/>
      <c r="J141" s="8"/>
      <c r="K141" s="8"/>
      <c r="L141" s="8"/>
      <c r="M141" s="8"/>
      <c r="N141" s="8"/>
      <c r="O141" s="8"/>
      <c r="P141" s="8"/>
      <c r="Q141" s="8"/>
      <c r="R141" s="8"/>
      <c r="S141" s="8"/>
      <c r="T141" s="8"/>
      <c r="U141" s="8"/>
      <c r="V141" s="4"/>
      <c r="W141" s="4"/>
      <c r="X141" s="4"/>
      <c r="Y141" s="4"/>
      <c r="Z141" s="4"/>
      <c r="AA141" s="4"/>
      <c r="AB141" s="4"/>
      <c r="AC141" s="4"/>
      <c r="AD141" s="4"/>
      <c r="AE141" s="4"/>
      <c r="AF141" s="4"/>
      <c r="AG141" s="4"/>
      <c r="AH141" s="4"/>
      <c r="AI141" s="4"/>
      <c r="AJ141" s="4"/>
      <c r="AK141" s="4"/>
      <c r="AL141" s="4"/>
      <c r="AM141" s="4"/>
      <c r="AN141" s="4"/>
      <c r="AO141" s="4"/>
    </row>
  </sheetData>
  <autoFilter ref="B1:B140"/>
  <mergeCells count="62">
    <mergeCell ref="L96:T96"/>
    <mergeCell ref="L90:N90"/>
    <mergeCell ref="M104:N104"/>
    <mergeCell ref="P104:T104"/>
    <mergeCell ref="C105:C139"/>
    <mergeCell ref="D105:D139"/>
    <mergeCell ref="F133:H133"/>
    <mergeCell ref="F139:H139"/>
    <mergeCell ref="F123:F124"/>
    <mergeCell ref="F125:F132"/>
    <mergeCell ref="F105:F122"/>
    <mergeCell ref="F134:F138"/>
    <mergeCell ref="C67:C104"/>
    <mergeCell ref="D67:D104"/>
    <mergeCell ref="L83:U83"/>
    <mergeCell ref="L114:AA114"/>
    <mergeCell ref="E67:E82"/>
    <mergeCell ref="E83:E92"/>
    <mergeCell ref="E105:E122"/>
    <mergeCell ref="E134:E138"/>
    <mergeCell ref="E123:E124"/>
    <mergeCell ref="E125:E132"/>
    <mergeCell ref="L1:Z1"/>
    <mergeCell ref="L12:W12"/>
    <mergeCell ref="E28:E32"/>
    <mergeCell ref="E7:E8"/>
    <mergeCell ref="E13:E24"/>
    <mergeCell ref="F26:H26"/>
    <mergeCell ref="F27:H27"/>
    <mergeCell ref="F4:H4"/>
    <mergeCell ref="F25:H25"/>
    <mergeCell ref="F12:H12"/>
    <mergeCell ref="F28:F32"/>
    <mergeCell ref="F10:H10"/>
    <mergeCell ref="F11:H11"/>
    <mergeCell ref="E36:E49"/>
    <mergeCell ref="C36:C66"/>
    <mergeCell ref="D36:D66"/>
    <mergeCell ref="C2:C35"/>
    <mergeCell ref="D2:D35"/>
    <mergeCell ref="E65:E66"/>
    <mergeCell ref="F67:F82"/>
    <mergeCell ref="F83:F92"/>
    <mergeCell ref="Z36:AL36"/>
    <mergeCell ref="L36:Y36"/>
    <mergeCell ref="F35:H35"/>
    <mergeCell ref="F33:H33"/>
    <mergeCell ref="F34:H34"/>
    <mergeCell ref="AB1:AP1"/>
    <mergeCell ref="E50:E62"/>
    <mergeCell ref="E96:E104"/>
    <mergeCell ref="E93:E95"/>
    <mergeCell ref="F50:F62"/>
    <mergeCell ref="F63:H63"/>
    <mergeCell ref="F96:F104"/>
    <mergeCell ref="F93:F95"/>
    <mergeCell ref="F2:H2"/>
    <mergeCell ref="F3:H3"/>
    <mergeCell ref="F7:F8"/>
    <mergeCell ref="F13:F24"/>
    <mergeCell ref="F36:F49"/>
    <mergeCell ref="F65:F66"/>
  </mergeCells>
  <conditionalFormatting sqref="V117:V136">
    <cfRule type="expression" dxfId="1" priority="1">
      <formula>IF(AND(M117="Input",R117="File"),V117="")</formula>
    </cfRule>
  </conditionalFormatting>
  <conditionalFormatting sqref="M107">
    <cfRule type="notContainsBlanks" dxfId="0"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8">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'Basic Process'!$AG$3:$AG$40</xm:f>
          </x14:formula1>
          <xm:sqref>J31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'Model Sub-Class'!$AG$3:$AG$50</xm:f>
          </x14:formula1>
          <xm:sqref>J29</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'type of sampling program'!$A$2:$A$100</xm:f>
          </x14:formula1>
          <xm:sqref>O86:O88</xm:sqref>
        </x14:dataValidation>
        <x14:dataValidation type="list" allowBlank="1" showErrorMessage="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M117:M136</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IFERROR(__xludf.DUMMYFUNCTION("importrange(""https://docs.google.com/spreadsheets/d/1C6N4-YWX9OMmNStd2rYlSUaVys-aiJGLj00cD44aVc8/edit#gid=1894320575"",""Method of production!A1:O500"")"),"Value")</f>
        <v>Value</v>
      </c>
      <c r="B1" t="str">
        <f ca="1">IFERROR(__xludf.DUMMYFUNCTION("""COMPUTED_VALUE"""),"ID")</f>
        <v>ID</v>
      </c>
      <c r="C1" t="str">
        <f ca="1">IFERROR(__xludf.DUMMYFUNCTION("""COMPUTED_VALUE"""),"Comment")</f>
        <v>Comment</v>
      </c>
    </row>
    <row r="2" spans="1:3" ht="12.5" x14ac:dyDescent="0.25">
      <c r="A2" t="str">
        <f ca="1">IFERROR(__xludf.DUMMYFUNCTION("""COMPUTED_VALUE"""),"Battery production")</f>
        <v>Battery production</v>
      </c>
      <c r="B2" t="str">
        <f ca="1">IFERROR(__xludf.DUMMYFUNCTION("""COMPUTED_VALUE"""),"PD04A")</f>
        <v>PD04A</v>
      </c>
      <c r="C2" t="str">
        <f ca="1">IFERROR(__xludf.DUMMYFUNCTION("""COMPUTED_VALUE"""),"Production of animals in cages (applies to poultry, rabbits)")</f>
        <v>Production of animals in cages (applies to poultry, rabbits)</v>
      </c>
    </row>
    <row r="3" spans="1:3" ht="12.5" x14ac:dyDescent="0.25">
      <c r="A3" t="str">
        <f ca="1">IFERROR(__xludf.DUMMYFUNCTION("""COMPUTED_VALUE"""),"Farmed Domestic or cultivated")</f>
        <v>Farmed Domestic or cultivated</v>
      </c>
      <c r="B3" t="str">
        <f ca="1">IFERROR(__xludf.DUMMYFUNCTION("""COMPUTED_VALUE"""),"Z0154")</f>
        <v>Z0154</v>
      </c>
      <c r="C3" t="str">
        <f ca="1">IFERROR(__xludf.DUMMYFUNCTION("""COMPUTED_VALUE"""),"Animals produced in captivity (applies also to game and fish), plants produced by cultivation")</f>
        <v>Animals produced in captivity (applies also to game and fish), plants produced by cultivation</v>
      </c>
    </row>
    <row r="4" spans="1:3" ht="12.5" x14ac:dyDescent="0.25">
      <c r="A4" t="str">
        <f ca="1">IFERROR(__xludf.DUMMYFUNCTION("""COMPUTED_VALUE"""),"Free range production")</f>
        <v>Free range production</v>
      </c>
      <c r="B4" t="str">
        <f ca="1">IFERROR(__xludf.DUMMYFUNCTION("""COMPUTED_VALUE"""),"PD05A")</f>
        <v>PD05A</v>
      </c>
      <c r="C4" t="str">
        <f ca="1">IFERROR(__xludf.DUMMYFUNCTION("""COMPUTED_VALUE"""),"Animals have continuous daytime access to open air enclosures covered with vegetation")</f>
        <v>Animals have continuous daytime access to open air enclosures covered with vegetation</v>
      </c>
    </row>
    <row r="5" spans="1:3" ht="12.5" x14ac:dyDescent="0.25">
      <c r="A5" t="str">
        <f ca="1">IFERROR(__xludf.DUMMYFUNCTION("""COMPUTED_VALUE"""),"Genetically modified")</f>
        <v>Genetically modified</v>
      </c>
      <c r="B5" t="str">
        <f ca="1">IFERROR(__xludf.DUMMYFUNCTION("""COMPUTED_VALUE"""),"Z0214")</f>
        <v>Z0214</v>
      </c>
      <c r="C5" t="str">
        <f ca="1">IFERROR(__xludf.DUMMYFUNCTION("""COMPUTED_VALUE"""),"Production using a species with a genetic modification")</f>
        <v>Production using a species with a genetic modification</v>
      </c>
    </row>
    <row r="6" spans="1:3" ht="12.5" x14ac:dyDescent="0.25">
      <c r="A6" t="str">
        <f ca="1">IFERROR(__xludf.DUMMYFUNCTION("""COMPUTED_VALUE"""),"Integrated Pest Management")</f>
        <v>Integrated Pest Management</v>
      </c>
      <c r="B6" t="str">
        <f ca="1">IFERROR(__xludf.DUMMYFUNCTION("""COMPUTED_VALUE"""),"PD12A")</f>
        <v>PD12A</v>
      </c>
      <c r="C6" t="str">
        <f ca="1">IFERROR(__xludf.DUMMYFUNCTION("""COMPUTED_VALUE"""),"A production method that uses effective and environmentally sensitive approach to pest management that relies on a combination of common-sense practices. Considers life cycles of pests and their interaction with the environment. Requires the management of"&amp;" pest damage by the most economical means, and with the least possible hazard to people, property, and the environment")</f>
        <v>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v>
      </c>
    </row>
    <row r="7" spans="1:3" ht="12.5" x14ac:dyDescent="0.25">
      <c r="A7" t="str">
        <f ca="1">IFERROR(__xludf.DUMMYFUNCTION("""COMPUTED_VALUE"""),"Intensive Industrial production")</f>
        <v>Intensive Industrial production</v>
      </c>
      <c r="B7" t="str">
        <f ca="1">IFERROR(__xludf.DUMMYFUNCTION("""COMPUTED_VALUE"""),"PD08A")</f>
        <v>PD08A</v>
      </c>
      <c r="C7" t="str">
        <f ca="1">IFERROR(__xludf.DUMMYFUNCTION("""COMPUTED_VALUE"""),"Production of animals in confinement with high stocking density")</f>
        <v>Production of animals in confinement with high stocking density</v>
      </c>
    </row>
    <row r="8" spans="1:3" ht="12.5" x14ac:dyDescent="0.25">
      <c r="A8" t="str">
        <f ca="1">IFERROR(__xludf.DUMMYFUNCTION("""COMPUTED_VALUE"""),"Non-organic production")</f>
        <v>Non-organic production</v>
      </c>
      <c r="B8" t="str">
        <f ca="1">IFERROR(__xludf.DUMMYFUNCTION("""COMPUTED_VALUE"""),"PD09A")</f>
        <v>PD09A</v>
      </c>
      <c r="C8" t="str">
        <f ca="1">IFERROR(__xludf.DUMMYFUNCTION("""COMPUTED_VALUE"""),"Products produced without use of organic production methods")</f>
        <v>Products produced without use of organic production methods</v>
      </c>
    </row>
    <row r="9" spans="1:3" ht="12.5" x14ac:dyDescent="0.25">
      <c r="A9" t="str">
        <f ca="1">IFERROR(__xludf.DUMMYFUNCTION("""COMPUTED_VALUE"""),"Organic production")</f>
        <v>Organic production</v>
      </c>
      <c r="B9" t="str">
        <f ca="1">IFERROR(__xludf.DUMMYFUNCTION("""COMPUTED_VALUE"""),"PD07A")</f>
        <v>PD07A</v>
      </c>
      <c r="C9" t="str">
        <f ca="1">IFERROR(__xludf.DUMMYFUNCTION("""COMPUTED_VALUE"""),"A method of production which places the highest emphasis on environmental protection and, with regard to livestock production, animal welfare considerations. It avoids or largely reduces the use of synthetic chemical inputs such as fertilisers, pesticides"&amp;", additives and medicinal products. (http://www.organic-europe.net/europe_eu/statistics-eurostat.asp)")</f>
        <v>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v>
      </c>
    </row>
    <row r="10" spans="1:3" ht="12.5" x14ac:dyDescent="0.25">
      <c r="A10" t="str">
        <f ca="1">IFERROR(__xludf.DUMMYFUNCTION("""COMPUTED_VALUE"""),"Other production method")</f>
        <v>Other production method</v>
      </c>
      <c r="B10" t="str">
        <f ca="1">IFERROR(__xludf.DUMMYFUNCTION("""COMPUTED_VALUE"""),"Z0216")</f>
        <v>Z0216</v>
      </c>
    </row>
    <row r="11" spans="1:3" ht="12.5" x14ac:dyDescent="0.25">
      <c r="A11" t="str">
        <f ca="1">IFERROR(__xludf.DUMMYFUNCTION("""COMPUTED_VALUE"""),"Outdoor - Open-air growing condition")</f>
        <v>Outdoor - Open-air growing condition</v>
      </c>
      <c r="B11" t="str">
        <f ca="1">IFERROR(__xludf.DUMMYFUNCTION("""COMPUTED_VALUE"""),"Z0208")</f>
        <v>Z0208</v>
      </c>
      <c r="C11" t="str">
        <f ca="1">IFERROR(__xludf.DUMMYFUNCTION("""COMPUTED_VALUE"""),"Cultivation of plants and rearing of animals without the use of climate-controlled or protective structures")</f>
        <v>Cultivation of plants and rearing of animals without the use of climate-controlled or protective structures</v>
      </c>
    </row>
    <row r="12" spans="1:3" ht="12.5" x14ac:dyDescent="0.25">
      <c r="A12" t="str">
        <f ca="1">IFERROR(__xludf.DUMMYFUNCTION("""COMPUTED_VALUE"""),"Production method unknown")</f>
        <v>Production method unknown</v>
      </c>
      <c r="B12" t="str">
        <f ca="1">IFERROR(__xludf.DUMMYFUNCTION("""COMPUTED_VALUE"""),"Z0215")</f>
        <v>Z0215</v>
      </c>
    </row>
    <row r="13" spans="1:3" ht="12.5" x14ac:dyDescent="0.25">
      <c r="A13" t="str">
        <f ca="1">IFERROR(__xludf.DUMMYFUNCTION("""COMPUTED_VALUE"""),"Traditional production")</f>
        <v>Traditional production</v>
      </c>
      <c r="B13" t="str">
        <f ca="1">IFERROR(__xludf.DUMMYFUNCTION("""COMPUTED_VALUE"""),"PD06A")</f>
        <v>PD06A</v>
      </c>
      <c r="C13" t="str">
        <f ca="1">IFERROR(__xludf.DUMMYFUNCTION("""COMPUTED_VALUE"""),"Production of food using traditional - artisan methods")</f>
        <v>Production of food using traditional - artisan methods</v>
      </c>
    </row>
    <row r="14" spans="1:3" ht="12.5" x14ac:dyDescent="0.25">
      <c r="A14" t="str">
        <f ca="1">IFERROR(__xludf.DUMMYFUNCTION("""COMPUTED_VALUE"""),"Under glass - protected growing condition")</f>
        <v>Under glass - protected growing condition</v>
      </c>
      <c r="B14" t="str">
        <f ca="1">IFERROR(__xludf.DUMMYFUNCTION("""COMPUTED_VALUE"""),"Z0211")</f>
        <v>Z0211</v>
      </c>
      <c r="C14" t="str">
        <f ca="1">IFERROR(__xludf.DUMMYFUNCTION("""COMPUTED_VALUE"""),"Cultivation of plants, especially of out-of-season plants, in climate-controlled or protective structures")</f>
        <v>Cultivation of plants, especially of out-of-season plants, in climate-controlled or protective structures</v>
      </c>
    </row>
    <row r="15" spans="1:3" ht="12.5" x14ac:dyDescent="0.25">
      <c r="A15" t="str">
        <f ca="1">IFERROR(__xludf.DUMMYFUNCTION("""COMPUTED_VALUE"""),"Wild or gathered or hunted")</f>
        <v>Wild or gathered or hunted</v>
      </c>
      <c r="B15" t="str">
        <f ca="1">IFERROR(__xludf.DUMMYFUNCTION("""COMPUTED_VALUE"""),"Z0153")</f>
        <v>Z0153</v>
      </c>
      <c r="C15" t="str">
        <f ca="1">IFERROR(__xludf.DUMMYFUNCTION("""COMPUTED_VALUE"""),"Animal or plant products harvested from their natural environment")</f>
        <v>Animal or plant products harvested from their natural environment</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4"/>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IFERROR(__xludf.DUMMYFUNCTION("importrange(""https://docs.google.com/spreadsheets/d/1C6N4-YWX9OMmNStd2rYlSUaVys-aiJGLj00cD44aVc8/edit#gid=1894320575"",""Hazard type!A1:O500"")"),"Value")</f>
        <v>Value</v>
      </c>
      <c r="B1" t="str">
        <f ca="1">IFERROR(__xludf.DUMMYFUNCTION("""COMPUTED_VALUE"""),"ID")</f>
        <v>ID</v>
      </c>
      <c r="C1" t="str">
        <f ca="1">IFERROR(__xludf.DUMMYFUNCTION("""COMPUTED_VALUE"""),"Comment")</f>
        <v>Comment</v>
      </c>
    </row>
    <row r="2" spans="1:3" ht="12.5" x14ac:dyDescent="0.25">
      <c r="A2" t="str">
        <f ca="1">IFERROR(__xludf.DUMMYFUNCTION("""COMPUTED_VALUE"""),"Biogenic amines")</f>
        <v>Biogenic amines</v>
      </c>
      <c r="B2" t="str">
        <f ca="1">IFERROR(__xludf.DUMMYFUNCTION("""COMPUTED_VALUE"""),"Hazard type_1")</f>
        <v>Hazard type_1</v>
      </c>
    </row>
    <row r="3" spans="1:3" ht="12.5" x14ac:dyDescent="0.25">
      <c r="A3" t="str">
        <f ca="1">IFERROR(__xludf.DUMMYFUNCTION("""COMPUTED_VALUE"""),"Chemical elements")</f>
        <v>Chemical elements</v>
      </c>
      <c r="B3" t="str">
        <f ca="1">IFERROR(__xludf.DUMMYFUNCTION("""COMPUTED_VALUE"""),"Hazard type_2")</f>
        <v>Hazard type_2</v>
      </c>
    </row>
    <row r="4" spans="1:3" ht="12.5" x14ac:dyDescent="0.25">
      <c r="A4" t="str">
        <f ca="1">IFERROR(__xludf.DUMMYFUNCTION("""COMPUTED_VALUE"""),"Food additives")</f>
        <v>Food additives</v>
      </c>
      <c r="B4" t="str">
        <f ca="1">IFERROR(__xludf.DUMMYFUNCTION("""COMPUTED_VALUE"""),"Hazard type_3")</f>
        <v>Hazard type_3</v>
      </c>
    </row>
    <row r="5" spans="1:3" ht="12.5" x14ac:dyDescent="0.25">
      <c r="A5" t="str">
        <f ca="1">IFERROR(__xludf.DUMMYFUNCTION("""COMPUTED_VALUE"""),"Microorganisms")</f>
        <v>Microorganisms</v>
      </c>
      <c r="B5" t="str">
        <f ca="1">IFERROR(__xludf.DUMMYFUNCTION("""COMPUTED_VALUE"""),"Hazard type_4")</f>
        <v>Hazard type_4</v>
      </c>
    </row>
    <row r="6" spans="1:3" ht="12.5" x14ac:dyDescent="0.25">
      <c r="A6" t="str">
        <f ca="1">IFERROR(__xludf.DUMMYFUNCTION("""COMPUTED_VALUE"""),"Not in list")</f>
        <v>Not in list</v>
      </c>
      <c r="B6" t="str">
        <f ca="1">IFERROR(__xludf.DUMMYFUNCTION("""COMPUTED_VALUE"""),"Hazard type_5")</f>
        <v>Hazard type_5</v>
      </c>
    </row>
    <row r="7" spans="1:3" ht="12.5" x14ac:dyDescent="0.25">
      <c r="A7" t="str">
        <f ca="1">IFERROR(__xludf.DUMMYFUNCTION("""COMPUTED_VALUE"""),"Nutrients")</f>
        <v>Nutrients</v>
      </c>
      <c r="B7" t="str">
        <f ca="1">IFERROR(__xludf.DUMMYFUNCTION("""COMPUTED_VALUE"""),"Hazard type_6")</f>
        <v>Hazard type_6</v>
      </c>
    </row>
    <row r="8" spans="1:3" ht="12.5" x14ac:dyDescent="0.25">
      <c r="A8" t="str">
        <f ca="1">IFERROR(__xludf.DUMMYFUNCTION("""COMPUTED_VALUE"""),"Organic contaminants")</f>
        <v>Organic contaminants</v>
      </c>
      <c r="B8" t="str">
        <f ca="1">IFERROR(__xludf.DUMMYFUNCTION("""COMPUTED_VALUE"""),"Hazard type_7")</f>
        <v>Hazard type_7</v>
      </c>
    </row>
    <row r="9" spans="1:3" ht="12.5" x14ac:dyDescent="0.25">
      <c r="A9" t="str">
        <f ca="1">IFERROR(__xludf.DUMMYFUNCTION("""COMPUTED_VALUE"""),"Other")</f>
        <v>Other</v>
      </c>
      <c r="B9" t="str">
        <f ca="1">IFERROR(__xludf.DUMMYFUNCTION("""COMPUTED_VALUE"""),"Hazard type_13")</f>
        <v>Hazard type_13</v>
      </c>
    </row>
    <row r="10" spans="1:3" ht="12.5" x14ac:dyDescent="0.25">
      <c r="A10" t="str">
        <f ca="1">IFERROR(__xludf.DUMMYFUNCTION("""COMPUTED_VALUE"""),"Pesticide residues")</f>
        <v>Pesticide residues</v>
      </c>
      <c r="B10" t="str">
        <f ca="1">IFERROR(__xludf.DUMMYFUNCTION("""COMPUTED_VALUE"""),"Hazard type_8")</f>
        <v>Hazard type_8</v>
      </c>
    </row>
    <row r="11" spans="1:3" ht="12.5" x14ac:dyDescent="0.25">
      <c r="A11" t="str">
        <f ca="1">IFERROR(__xludf.DUMMYFUNCTION("""COMPUTED_VALUE"""),"Radioactivity and isotopes")</f>
        <v>Radioactivity and isotopes</v>
      </c>
      <c r="B11" t="str">
        <f ca="1">IFERROR(__xludf.DUMMYFUNCTION("""COMPUTED_VALUE"""),"Hazard type_9")</f>
        <v>Hazard type_9</v>
      </c>
    </row>
    <row r="12" spans="1:3" ht="12.5" x14ac:dyDescent="0.25">
      <c r="A12" t="str">
        <f ca="1">IFERROR(__xludf.DUMMYFUNCTION("""COMPUTED_VALUE"""),"Residue definition")</f>
        <v>Residue definition</v>
      </c>
      <c r="B12" t="str">
        <f ca="1">IFERROR(__xludf.DUMMYFUNCTION("""COMPUTED_VALUE"""),"Hazard type_10")</f>
        <v>Hazard type_10</v>
      </c>
    </row>
    <row r="13" spans="1:3" ht="12.5" x14ac:dyDescent="0.25">
      <c r="A13" t="str">
        <f ca="1">IFERROR(__xludf.DUMMYFUNCTION("""COMPUTED_VALUE"""),"Toxins")</f>
        <v>Toxins</v>
      </c>
      <c r="B13" t="str">
        <f ca="1">IFERROR(__xludf.DUMMYFUNCTION("""COMPUTED_VALUE"""),"Hazard type_11")</f>
        <v>Hazard type_11</v>
      </c>
    </row>
    <row r="14" spans="1:3" ht="12.5" x14ac:dyDescent="0.25">
      <c r="A14" t="str">
        <f ca="1">IFERROR(__xludf.DUMMYFUNCTION("""COMPUTED_VALUE"""),"Veterinary medicinal products")</f>
        <v>Veterinary medicinal products</v>
      </c>
      <c r="B14" t="str">
        <f ca="1">IFERROR(__xludf.DUMMYFUNCTION("""COMPUTED_VALUE"""),"Hazard type_12")</f>
        <v>Hazard type_12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852"/>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IFERROR(__xludf.DUMMYFUNCTION("importrange(""https://docs.google.com/spreadsheets/d/1C6N4-YWX9OMmNStd2rYlSUaVys-aiJGLj00cD44aVc8/edit#gid=1894320575"",""Area of origin!A1:O2900"")"),"Value")</f>
        <v>Value</v>
      </c>
      <c r="B1" t="str">
        <f ca="1">IFERROR(__xludf.DUMMYFUNCTION("""COMPUTED_VALUE"""),"ID")</f>
        <v>ID</v>
      </c>
      <c r="C1" t="str">
        <f ca="1">IFERROR(__xludf.DUMMYFUNCTION("""COMPUTED_VALUE"""),"Comment")</f>
        <v>Comment</v>
      </c>
    </row>
    <row r="2" spans="1:3" ht="12.5" x14ac:dyDescent="0.25">
      <c r="A2" t="str">
        <f ca="1">IFERROR(__xludf.DUMMYFUNCTION("""COMPUTED_VALUE"""),"A Coruña")</f>
        <v>A Coruña</v>
      </c>
      <c r="B2" t="str">
        <f ca="1">IFERROR(__xludf.DUMMYFUNCTION("""COMPUTED_VALUE"""),"ES111")</f>
        <v>ES111</v>
      </c>
    </row>
    <row r="3" spans="1:3" ht="12.5" x14ac:dyDescent="0.25">
      <c r="A3" t="str">
        <f ca="1">IFERROR(__xludf.DUMMYFUNCTION("""COMPUTED_VALUE"""),"Aachen, Kreis")</f>
        <v>Aachen, Kreis</v>
      </c>
      <c r="B3" t="str">
        <f ca="1">IFERROR(__xludf.DUMMYFUNCTION("""COMPUTED_VALUE"""),"DEA25")</f>
        <v>DEA25</v>
      </c>
    </row>
    <row r="4" spans="1:3" ht="12.5" x14ac:dyDescent="0.25">
      <c r="A4" t="str">
        <f ca="1">IFERROR(__xludf.DUMMYFUNCTION("""COMPUTED_VALUE"""),"Aachen, Kreisfreie Stadt")</f>
        <v>Aachen, Kreisfreie Stadt</v>
      </c>
      <c r="B4" t="str">
        <f ca="1">IFERROR(__xludf.DUMMYFUNCTION("""COMPUTED_VALUE"""),"DEA21")</f>
        <v>DEA21</v>
      </c>
    </row>
    <row r="5" spans="1:3" ht="12.5" x14ac:dyDescent="0.25">
      <c r="A5" t="str">
        <f ca="1">IFERROR(__xludf.DUMMYFUNCTION("""COMPUTED_VALUE"""),"Aargau")</f>
        <v>Aargau</v>
      </c>
      <c r="B5" t="str">
        <f ca="1">IFERROR(__xludf.DUMMYFUNCTION("""COMPUTED_VALUE"""),"CH033")</f>
        <v>CH033</v>
      </c>
    </row>
    <row r="6" spans="1:3" ht="12.5" x14ac:dyDescent="0.25">
      <c r="A6" t="str">
        <f ca="1">IFERROR(__xludf.DUMMYFUNCTION("""COMPUTED_VALUE"""),"Aberdeen City And Aberdeenshire")</f>
        <v>Aberdeen City And Aberdeenshire</v>
      </c>
      <c r="B6" t="str">
        <f ca="1">IFERROR(__xludf.DUMMYFUNCTION("""COMPUTED_VALUE"""),"UKM50")</f>
        <v>UKM50</v>
      </c>
    </row>
    <row r="7" spans="1:3" ht="12.5" x14ac:dyDescent="0.25">
      <c r="A7" t="str">
        <f ca="1">IFERROR(__xludf.DUMMYFUNCTION("""COMPUTED_VALUE"""),"Abruzzo")</f>
        <v>Abruzzo</v>
      </c>
      <c r="B7" t="str">
        <f ca="1">IFERROR(__xludf.DUMMYFUNCTION("""COMPUTED_VALUE"""),"ITF1")</f>
        <v>ITF1</v>
      </c>
    </row>
    <row r="8" spans="1:3" ht="12.5" x14ac:dyDescent="0.25">
      <c r="A8" t="str">
        <f ca="1">IFERROR(__xludf.DUMMYFUNCTION("""COMPUTED_VALUE"""),"Achaia")</f>
        <v>Achaia</v>
      </c>
      <c r="B8" t="str">
        <f ca="1">IFERROR(__xludf.DUMMYFUNCTION("""COMPUTED_VALUE"""),"GR232")</f>
        <v>GR232</v>
      </c>
    </row>
    <row r="9" spans="1:3" ht="12.5" x14ac:dyDescent="0.25">
      <c r="A9" t="str">
        <f ca="1">IFERROR(__xludf.DUMMYFUNCTION("""COMPUTED_VALUE"""),"Achterhoek")</f>
        <v>Achterhoek</v>
      </c>
      <c r="B9" t="str">
        <f ca="1">IFERROR(__xludf.DUMMYFUNCTION("""COMPUTED_VALUE"""),"NL225")</f>
        <v>NL225</v>
      </c>
    </row>
    <row r="10" spans="1:3" ht="12.5" x14ac:dyDescent="0.25">
      <c r="A10" t="str">
        <f ca="1">IFERROR(__xludf.DUMMYFUNCTION("""COMPUTED_VALUE"""),"Agder Og Rogaland")</f>
        <v>Agder Og Rogaland</v>
      </c>
      <c r="B10" t="str">
        <f ca="1">IFERROR(__xludf.DUMMYFUNCTION("""COMPUTED_VALUE"""),"NO04")</f>
        <v>NO04</v>
      </c>
    </row>
    <row r="11" spans="1:3" ht="12.5" x14ac:dyDescent="0.25">
      <c r="A11" t="str">
        <f ca="1">IFERROR(__xludf.DUMMYFUNCTION("""COMPUTED_VALUE"""),"Agglomeratie 'S-Gravenhage")</f>
        <v>Agglomeratie 'S-Gravenhage</v>
      </c>
      <c r="B11" t="str">
        <f ca="1">IFERROR(__xludf.DUMMYFUNCTION("""COMPUTED_VALUE"""),"NL332")</f>
        <v>NL332</v>
      </c>
    </row>
    <row r="12" spans="1:3" ht="12.5" x14ac:dyDescent="0.25">
      <c r="A12" t="str">
        <f ca="1">IFERROR(__xludf.DUMMYFUNCTION("""COMPUTED_VALUE"""),"Agglomeratie Haarlem")</f>
        <v>Agglomeratie Haarlem</v>
      </c>
      <c r="B12" t="str">
        <f ca="1">IFERROR(__xludf.DUMMYFUNCTION("""COMPUTED_VALUE"""),"NL324")</f>
        <v>NL324</v>
      </c>
    </row>
    <row r="13" spans="1:3" ht="12.5" x14ac:dyDescent="0.25">
      <c r="A13" t="str">
        <f ca="1">IFERROR(__xludf.DUMMYFUNCTION("""COMPUTED_VALUE"""),"Agglomeratie Leiden En Bollenstreek")</f>
        <v>Agglomeratie Leiden En Bollenstreek</v>
      </c>
      <c r="B13" t="str">
        <f ca="1">IFERROR(__xludf.DUMMYFUNCTION("""COMPUTED_VALUE"""),"NL331")</f>
        <v>NL331</v>
      </c>
    </row>
    <row r="14" spans="1:3" ht="12.5" x14ac:dyDescent="0.25">
      <c r="A14" t="str">
        <f ca="1">IFERROR(__xludf.DUMMYFUNCTION("""COMPUTED_VALUE"""),"Agrigento")</f>
        <v>Agrigento</v>
      </c>
      <c r="B14" t="str">
        <f ca="1">IFERROR(__xludf.DUMMYFUNCTION("""COMPUTED_VALUE"""),"ITG14")</f>
        <v>ITG14</v>
      </c>
    </row>
    <row r="15" spans="1:3" ht="12.5" x14ac:dyDescent="0.25">
      <c r="A15" t="str">
        <f ca="1">IFERROR(__xludf.DUMMYFUNCTION("""COMPUTED_VALUE"""),"Ahrweiler")</f>
        <v>Ahrweiler</v>
      </c>
      <c r="B15" t="str">
        <f ca="1">IFERROR(__xludf.DUMMYFUNCTION("""COMPUTED_VALUE"""),"DEB12")</f>
        <v>DEB12</v>
      </c>
    </row>
    <row r="16" spans="1:3" ht="12.5" x14ac:dyDescent="0.25">
      <c r="A16" t="str">
        <f ca="1">IFERROR(__xludf.DUMMYFUNCTION("""COMPUTED_VALUE"""),"Aichach-Friedberg")</f>
        <v>Aichach-Friedberg</v>
      </c>
      <c r="B16" t="str">
        <f ca="1">IFERROR(__xludf.DUMMYFUNCTION("""COMPUTED_VALUE"""),"DE275")</f>
        <v>DE275</v>
      </c>
    </row>
    <row r="17" spans="1:2" ht="12.5" x14ac:dyDescent="0.25">
      <c r="A17" t="str">
        <f ca="1">IFERROR(__xludf.DUMMYFUNCTION("""COMPUTED_VALUE"""),"Ain")</f>
        <v>Ain</v>
      </c>
      <c r="B17" t="str">
        <f ca="1">IFERROR(__xludf.DUMMYFUNCTION("""COMPUTED_VALUE"""),"FR711")</f>
        <v>FR711</v>
      </c>
    </row>
    <row r="18" spans="1:2" ht="12.5" x14ac:dyDescent="0.25">
      <c r="A18" t="str">
        <f ca="1">IFERROR(__xludf.DUMMYFUNCTION("""COMPUTED_VALUE"""),"Aisne")</f>
        <v>Aisne</v>
      </c>
      <c r="B18" t="str">
        <f ca="1">IFERROR(__xludf.DUMMYFUNCTION("""COMPUTED_VALUE"""),"FR221")</f>
        <v>FR221</v>
      </c>
    </row>
    <row r="19" spans="1:2" ht="12.5" x14ac:dyDescent="0.25">
      <c r="A19" t="str">
        <f ca="1">IFERROR(__xludf.DUMMYFUNCTION("""COMPUTED_VALUE"""),"Aitoloakarnania")</f>
        <v>Aitoloakarnania</v>
      </c>
      <c r="B19" t="str">
        <f ca="1">IFERROR(__xludf.DUMMYFUNCTION("""COMPUTED_VALUE"""),"GR231")</f>
        <v>GR231</v>
      </c>
    </row>
    <row r="20" spans="1:2" ht="12.5" x14ac:dyDescent="0.25">
      <c r="A20" t="str">
        <f ca="1">IFERROR(__xludf.DUMMYFUNCTION("""COMPUTED_VALUE"""),"Akershus")</f>
        <v>Akershus</v>
      </c>
      <c r="B20" t="str">
        <f ca="1">IFERROR(__xludf.DUMMYFUNCTION("""COMPUTED_VALUE"""),"NO012")</f>
        <v>NO012</v>
      </c>
    </row>
    <row r="21" spans="1:2" ht="12.5" x14ac:dyDescent="0.25">
      <c r="A21" t="str">
        <f ca="1">IFERROR(__xludf.DUMMYFUNCTION("""COMPUTED_VALUE"""),"Åland")</f>
        <v>Åland</v>
      </c>
      <c r="B21" t="str">
        <f ca="1">IFERROR(__xludf.DUMMYFUNCTION("""COMPUTED_VALUE"""),"FI2")</f>
        <v>FI2</v>
      </c>
    </row>
    <row r="22" spans="1:2" ht="12.5" x14ac:dyDescent="0.25">
      <c r="A22" t="str">
        <f ca="1">IFERROR(__xludf.DUMMYFUNCTION("""COMPUTED_VALUE"""),"Åland (*)")</f>
        <v>Åland (*)</v>
      </c>
      <c r="B22" t="str">
        <f ca="1">IFERROR(__xludf.DUMMYFUNCTION("""COMPUTED_VALUE"""),"FI20")</f>
        <v>FI20</v>
      </c>
    </row>
    <row r="23" spans="1:2" ht="12.5" x14ac:dyDescent="0.25">
      <c r="A23" t="str">
        <f ca="1">IFERROR(__xludf.DUMMYFUNCTION("""COMPUTED_VALUE"""),"Åland (**)")</f>
        <v>Åland (**)</v>
      </c>
      <c r="B23" t="str">
        <f ca="1">IFERROR(__xludf.DUMMYFUNCTION("""COMPUTED_VALUE"""),"FI200")</f>
        <v>FI200</v>
      </c>
    </row>
    <row r="24" spans="1:2" ht="12.5" x14ac:dyDescent="0.25">
      <c r="A24" t="str">
        <f ca="1">IFERROR(__xludf.DUMMYFUNCTION("""COMPUTED_VALUE"""),"Álava")</f>
        <v>Álava</v>
      </c>
      <c r="B24" t="str">
        <f ca="1">IFERROR(__xludf.DUMMYFUNCTION("""COMPUTED_VALUE"""),"ES211")</f>
        <v>ES211</v>
      </c>
    </row>
    <row r="25" spans="1:2" ht="12.5" x14ac:dyDescent="0.25">
      <c r="A25" t="str">
        <f ca="1">IFERROR(__xludf.DUMMYFUNCTION("""COMPUTED_VALUE"""),"Alb-Donau-Kreis")</f>
        <v>Alb-Donau-Kreis</v>
      </c>
      <c r="B25" t="str">
        <f ca="1">IFERROR(__xludf.DUMMYFUNCTION("""COMPUTED_VALUE"""),"DE145")</f>
        <v>DE145</v>
      </c>
    </row>
    <row r="26" spans="1:2" ht="12.5" x14ac:dyDescent="0.25">
      <c r="A26" t="str">
        <f ca="1">IFERROR(__xludf.DUMMYFUNCTION("""COMPUTED_VALUE"""),"Alba")</f>
        <v>Alba</v>
      </c>
      <c r="B26" t="str">
        <f ca="1">IFERROR(__xludf.DUMMYFUNCTION("""COMPUTED_VALUE"""),"RO121")</f>
        <v>RO121</v>
      </c>
    </row>
    <row r="27" spans="1:2" ht="12.5" x14ac:dyDescent="0.25">
      <c r="A27" t="str">
        <f ca="1">IFERROR(__xludf.DUMMYFUNCTION("""COMPUTED_VALUE"""),"Albacete")</f>
        <v>Albacete</v>
      </c>
      <c r="B27" t="str">
        <f ca="1">IFERROR(__xludf.DUMMYFUNCTION("""COMPUTED_VALUE"""),"ES421")</f>
        <v>ES421</v>
      </c>
    </row>
    <row r="28" spans="1:2" ht="12.5" x14ac:dyDescent="0.25">
      <c r="A28" t="str">
        <f ca="1">IFERROR(__xludf.DUMMYFUNCTION("""COMPUTED_VALUE"""),"Alentejo")</f>
        <v>Alentejo</v>
      </c>
      <c r="B28" t="str">
        <f ca="1">IFERROR(__xludf.DUMMYFUNCTION("""COMPUTED_VALUE"""),"PT18")</f>
        <v>PT18</v>
      </c>
    </row>
    <row r="29" spans="1:2" ht="12.5" x14ac:dyDescent="0.25">
      <c r="A29" t="str">
        <f ca="1">IFERROR(__xludf.DUMMYFUNCTION("""COMPUTED_VALUE"""),"Alentejo Central")</f>
        <v>Alentejo Central</v>
      </c>
      <c r="B29" t="str">
        <f ca="1">IFERROR(__xludf.DUMMYFUNCTION("""COMPUTED_VALUE"""),"PT183")</f>
        <v>PT183</v>
      </c>
    </row>
    <row r="30" spans="1:2" ht="12.5" x14ac:dyDescent="0.25">
      <c r="A30" t="str">
        <f ca="1">IFERROR(__xludf.DUMMYFUNCTION("""COMPUTED_VALUE"""),"Alentejo Litoral")</f>
        <v>Alentejo Litoral</v>
      </c>
      <c r="B30" t="str">
        <f ca="1">IFERROR(__xludf.DUMMYFUNCTION("""COMPUTED_VALUE"""),"PT181")</f>
        <v>PT181</v>
      </c>
    </row>
    <row r="31" spans="1:2" ht="12.5" x14ac:dyDescent="0.25">
      <c r="A31" t="str">
        <f ca="1">IFERROR(__xludf.DUMMYFUNCTION("""COMPUTED_VALUE"""),"Alessandria")</f>
        <v>Alessandria</v>
      </c>
      <c r="B31" t="str">
        <f ca="1">IFERROR(__xludf.DUMMYFUNCTION("""COMPUTED_VALUE"""),"ITC18")</f>
        <v>ITC18</v>
      </c>
    </row>
    <row r="32" spans="1:2" ht="12.5" x14ac:dyDescent="0.25">
      <c r="A32" t="str">
        <f ca="1">IFERROR(__xludf.DUMMYFUNCTION("""COMPUTED_VALUE"""),"Alfold Es Eszak")</f>
        <v>Alfold Es Eszak</v>
      </c>
      <c r="B32" t="str">
        <f ca="1">IFERROR(__xludf.DUMMYFUNCTION("""COMPUTED_VALUE"""),"HU3")</f>
        <v>HU3</v>
      </c>
    </row>
    <row r="33" spans="1:2" ht="12.5" x14ac:dyDescent="0.25">
      <c r="A33" t="str">
        <f ca="1">IFERROR(__xludf.DUMMYFUNCTION("""COMPUTED_VALUE"""),"Algarve")</f>
        <v>Algarve</v>
      </c>
      <c r="B33" t="str">
        <f ca="1">IFERROR(__xludf.DUMMYFUNCTION("""COMPUTED_VALUE"""),"PT15")</f>
        <v>PT15</v>
      </c>
    </row>
    <row r="34" spans="1:2" ht="12.5" x14ac:dyDescent="0.25">
      <c r="A34" t="str">
        <f ca="1">IFERROR(__xludf.DUMMYFUNCTION("""COMPUTED_VALUE"""),"Algarve (*)")</f>
        <v>Algarve (*)</v>
      </c>
      <c r="B34" t="str">
        <f ca="1">IFERROR(__xludf.DUMMYFUNCTION("""COMPUTED_VALUE"""),"PT150")</f>
        <v>PT150</v>
      </c>
    </row>
    <row r="35" spans="1:2" ht="12.5" x14ac:dyDescent="0.25">
      <c r="A35" t="str">
        <f ca="1">IFERROR(__xludf.DUMMYFUNCTION("""COMPUTED_VALUE"""),"Alicante / Alacant")</f>
        <v>Alicante / Alacant</v>
      </c>
      <c r="B35" t="str">
        <f ca="1">IFERROR(__xludf.DUMMYFUNCTION("""COMPUTED_VALUE"""),"ES521")</f>
        <v>ES521</v>
      </c>
    </row>
    <row r="36" spans="1:2" ht="12.5" x14ac:dyDescent="0.25">
      <c r="A36" t="str">
        <f ca="1">IFERROR(__xludf.DUMMYFUNCTION("""COMPUTED_VALUE"""),"Alkmaar En Omgeving")</f>
        <v>Alkmaar En Omgeving</v>
      </c>
      <c r="B36" t="str">
        <f ca="1">IFERROR(__xludf.DUMMYFUNCTION("""COMPUTED_VALUE"""),"NL322")</f>
        <v>NL322</v>
      </c>
    </row>
    <row r="37" spans="1:2" ht="12.5" x14ac:dyDescent="0.25">
      <c r="A37" t="str">
        <f ca="1">IFERROR(__xludf.DUMMYFUNCTION("""COMPUTED_VALUE"""),"Allier")</f>
        <v>Allier</v>
      </c>
      <c r="B37" t="str">
        <f ca="1">IFERROR(__xludf.DUMMYFUNCTION("""COMPUTED_VALUE"""),"FR721")</f>
        <v>FR721</v>
      </c>
    </row>
    <row r="38" spans="1:2" ht="12.5" x14ac:dyDescent="0.25">
      <c r="A38" t="str">
        <f ca="1">IFERROR(__xludf.DUMMYFUNCTION("""COMPUTED_VALUE"""),"Almería")</f>
        <v>Almería</v>
      </c>
      <c r="B38" t="str">
        <f ca="1">IFERROR(__xludf.DUMMYFUNCTION("""COMPUTED_VALUE"""),"ES611")</f>
        <v>ES611</v>
      </c>
    </row>
    <row r="39" spans="1:2" ht="12.5" x14ac:dyDescent="0.25">
      <c r="A39" t="str">
        <f ca="1">IFERROR(__xludf.DUMMYFUNCTION("""COMPUTED_VALUE"""),"Alpes-De-Haute-Provence")</f>
        <v>Alpes-De-Haute-Provence</v>
      </c>
      <c r="B39" t="str">
        <f ca="1">IFERROR(__xludf.DUMMYFUNCTION("""COMPUTED_VALUE"""),"FR821")</f>
        <v>FR821</v>
      </c>
    </row>
    <row r="40" spans="1:2" ht="12.5" x14ac:dyDescent="0.25">
      <c r="A40" t="str">
        <f ca="1">IFERROR(__xludf.DUMMYFUNCTION("""COMPUTED_VALUE"""),"Alpes-Maritimes")</f>
        <v>Alpes-Maritimes</v>
      </c>
      <c r="B40" t="str">
        <f ca="1">IFERROR(__xludf.DUMMYFUNCTION("""COMPUTED_VALUE"""),"FR823")</f>
        <v>FR823</v>
      </c>
    </row>
    <row r="41" spans="1:2" ht="12.5" x14ac:dyDescent="0.25">
      <c r="A41" t="str">
        <f ca="1">IFERROR(__xludf.DUMMYFUNCTION("""COMPUTED_VALUE"""),"Alsace")</f>
        <v>Alsace</v>
      </c>
      <c r="B41" t="str">
        <f ca="1">IFERROR(__xludf.DUMMYFUNCTION("""COMPUTED_VALUE"""),"FR42")</f>
        <v>FR42</v>
      </c>
    </row>
    <row r="42" spans="1:2" ht="12.5" x14ac:dyDescent="0.25">
      <c r="A42" t="str">
        <f ca="1">IFERROR(__xludf.DUMMYFUNCTION("""COMPUTED_VALUE"""),"Altenburger Land")</f>
        <v>Altenburger Land</v>
      </c>
      <c r="B42" t="str">
        <f ca="1">IFERROR(__xludf.DUMMYFUNCTION("""COMPUTED_VALUE"""),"DEG0M")</f>
        <v>DEG0M</v>
      </c>
    </row>
    <row r="43" spans="1:2" ht="12.5" x14ac:dyDescent="0.25">
      <c r="A43" t="str">
        <f ca="1">IFERROR(__xludf.DUMMYFUNCTION("""COMPUTED_VALUE"""),"Altenkirchen (Westerwald)")</f>
        <v>Altenkirchen (Westerwald)</v>
      </c>
      <c r="B43" t="str">
        <f ca="1">IFERROR(__xludf.DUMMYFUNCTION("""COMPUTED_VALUE"""),"DEB13")</f>
        <v>DEB13</v>
      </c>
    </row>
    <row r="44" spans="1:2" ht="12.5" x14ac:dyDescent="0.25">
      <c r="A44" t="str">
        <f ca="1">IFERROR(__xludf.DUMMYFUNCTION("""COMPUTED_VALUE"""),"Altmarkkreis Salzwedel")</f>
        <v>Altmarkkreis Salzwedel</v>
      </c>
      <c r="B44" t="str">
        <f ca="1">IFERROR(__xludf.DUMMYFUNCTION("""COMPUTED_VALUE"""),"DEE04")</f>
        <v>DEE04</v>
      </c>
    </row>
    <row r="45" spans="1:2" ht="12.5" x14ac:dyDescent="0.25">
      <c r="A45" t="str">
        <f ca="1">IFERROR(__xludf.DUMMYFUNCTION("""COMPUTED_VALUE"""),"Alto Alentejo")</f>
        <v>Alto Alentejo</v>
      </c>
      <c r="B45" t="str">
        <f ca="1">IFERROR(__xludf.DUMMYFUNCTION("""COMPUTED_VALUE"""),"PT182")</f>
        <v>PT182</v>
      </c>
    </row>
    <row r="46" spans="1:2" ht="12.5" x14ac:dyDescent="0.25">
      <c r="A46" t="str">
        <f ca="1">IFERROR(__xludf.DUMMYFUNCTION("""COMPUTED_VALUE"""),"Alto Trás-Os-Montes")</f>
        <v>Alto Trás-Os-Montes</v>
      </c>
      <c r="B46" t="str">
        <f ca="1">IFERROR(__xludf.DUMMYFUNCTION("""COMPUTED_VALUE"""),"PT118")</f>
        <v>PT118</v>
      </c>
    </row>
    <row r="47" spans="1:2" ht="12.5" x14ac:dyDescent="0.25">
      <c r="A47" t="str">
        <f ca="1">IFERROR(__xludf.DUMMYFUNCTION("""COMPUTED_VALUE"""),"Altötting")</f>
        <v>Altötting</v>
      </c>
      <c r="B47" t="str">
        <f ca="1">IFERROR(__xludf.DUMMYFUNCTION("""COMPUTED_VALUE"""),"DE214")</f>
        <v>DE214</v>
      </c>
    </row>
    <row r="48" spans="1:2" ht="12.5" x14ac:dyDescent="0.25">
      <c r="A48" t="str">
        <f ca="1">IFERROR(__xludf.DUMMYFUNCTION("""COMPUTED_VALUE"""),"Alytaus Apskritis")</f>
        <v>Alytaus Apskritis</v>
      </c>
      <c r="B48" t="str">
        <f ca="1">IFERROR(__xludf.DUMMYFUNCTION("""COMPUTED_VALUE"""),"LT001")</f>
        <v>LT001</v>
      </c>
    </row>
    <row r="49" spans="1:2" ht="12.5" x14ac:dyDescent="0.25">
      <c r="A49" t="str">
        <f ca="1">IFERROR(__xludf.DUMMYFUNCTION("""COMPUTED_VALUE"""),"Alzey-Worms")</f>
        <v>Alzey-Worms</v>
      </c>
      <c r="B49" t="str">
        <f ca="1">IFERROR(__xludf.DUMMYFUNCTION("""COMPUTED_VALUE"""),"DEB3B")</f>
        <v>DEB3B</v>
      </c>
    </row>
    <row r="50" spans="1:2" ht="12.5" x14ac:dyDescent="0.25">
      <c r="A50" t="str">
        <f ca="1">IFERROR(__xludf.DUMMYFUNCTION("""COMPUTED_VALUE"""),"Amberg-Sulzbach")</f>
        <v>Amberg-Sulzbach</v>
      </c>
      <c r="B50" t="str">
        <f ca="1">IFERROR(__xludf.DUMMYFUNCTION("""COMPUTED_VALUE"""),"DE234")</f>
        <v>DE234</v>
      </c>
    </row>
    <row r="51" spans="1:2" ht="12.5" x14ac:dyDescent="0.25">
      <c r="A51" t="str">
        <f ca="1">IFERROR(__xludf.DUMMYFUNCTION("""COMPUTED_VALUE"""),"Amberg, Kreisfreie Stadt")</f>
        <v>Amberg, Kreisfreie Stadt</v>
      </c>
      <c r="B51" t="str">
        <f ca="1">IFERROR(__xludf.DUMMYFUNCTION("""COMPUTED_VALUE"""),"DE231")</f>
        <v>DE231</v>
      </c>
    </row>
    <row r="52" spans="1:2" ht="12.5" x14ac:dyDescent="0.25">
      <c r="A52" t="str">
        <f ca="1">IFERROR(__xludf.DUMMYFUNCTION("""COMPUTED_VALUE"""),"Ammerland")</f>
        <v>Ammerland</v>
      </c>
      <c r="B52" t="str">
        <f ca="1">IFERROR(__xludf.DUMMYFUNCTION("""COMPUTED_VALUE"""),"DE946")</f>
        <v>DE946</v>
      </c>
    </row>
    <row r="53" spans="1:2" ht="12.5" x14ac:dyDescent="0.25">
      <c r="A53" t="str">
        <f ca="1">IFERROR(__xludf.DUMMYFUNCTION("""COMPUTED_VALUE"""),"Anatoliki Makedonia, Thraki")</f>
        <v>Anatoliki Makedonia, Thraki</v>
      </c>
      <c r="B53" t="str">
        <f ca="1">IFERROR(__xludf.DUMMYFUNCTION("""COMPUTED_VALUE"""),"GR11")</f>
        <v>GR11</v>
      </c>
    </row>
    <row r="54" spans="1:2" ht="12.5" x14ac:dyDescent="0.25">
      <c r="A54" t="str">
        <f ca="1">IFERROR(__xludf.DUMMYFUNCTION("""COMPUTED_VALUE"""),"Ancona")</f>
        <v>Ancona</v>
      </c>
      <c r="B54" t="str">
        <f ca="1">IFERROR(__xludf.DUMMYFUNCTION("""COMPUTED_VALUE"""),"ITE32")</f>
        <v>ITE32</v>
      </c>
    </row>
    <row r="55" spans="1:2" ht="12.5" x14ac:dyDescent="0.25">
      <c r="A55" t="str">
        <f ca="1">IFERROR(__xludf.DUMMYFUNCTION("""COMPUTED_VALUE"""),"Andalucía")</f>
        <v>Andalucía</v>
      </c>
      <c r="B55" t="str">
        <f ca="1">IFERROR(__xludf.DUMMYFUNCTION("""COMPUTED_VALUE"""),"ES61")</f>
        <v>ES61</v>
      </c>
    </row>
    <row r="56" spans="1:2" ht="12.5" x14ac:dyDescent="0.25">
      <c r="A56" t="str">
        <f ca="1">IFERROR(__xludf.DUMMYFUNCTION("""COMPUTED_VALUE"""),"Angus And Dundee City")</f>
        <v>Angus And Dundee City</v>
      </c>
      <c r="B56" t="str">
        <f ca="1">IFERROR(__xludf.DUMMYFUNCTION("""COMPUTED_VALUE"""),"UKM21")</f>
        <v>UKM21</v>
      </c>
    </row>
    <row r="57" spans="1:2" ht="12.5" x14ac:dyDescent="0.25">
      <c r="A57" t="str">
        <f ca="1">IFERROR(__xludf.DUMMYFUNCTION("""COMPUTED_VALUE"""),"Anhalt-Bitterfeld")</f>
        <v>Anhalt-Bitterfeld</v>
      </c>
      <c r="B57" t="str">
        <f ca="1">IFERROR(__xludf.DUMMYFUNCTION("""COMPUTED_VALUE"""),"DEE05")</f>
        <v>DEE05</v>
      </c>
    </row>
    <row r="58" spans="1:2" ht="12.5" x14ac:dyDescent="0.25">
      <c r="A58" t="str">
        <f ca="1">IFERROR(__xludf.DUMMYFUNCTION("""COMPUTED_VALUE"""),"Annaberg")</f>
        <v>Annaberg</v>
      </c>
      <c r="B58" t="str">
        <f ca="1">IFERROR(__xludf.DUMMYFUNCTION("""COMPUTED_VALUE"""),"DED14")</f>
        <v>DED14</v>
      </c>
    </row>
    <row r="59" spans="1:2" ht="12.5" x14ac:dyDescent="0.25">
      <c r="A59" t="str">
        <f ca="1">IFERROR(__xludf.DUMMYFUNCTION("""COMPUTED_VALUE"""),"Ansbach, Kreisfreie Stadt")</f>
        <v>Ansbach, Kreisfreie Stadt</v>
      </c>
      <c r="B59" t="str">
        <f ca="1">IFERROR(__xludf.DUMMYFUNCTION("""COMPUTED_VALUE"""),"DE251")</f>
        <v>DE251</v>
      </c>
    </row>
    <row r="60" spans="1:2" ht="12.5" x14ac:dyDescent="0.25">
      <c r="A60" t="str">
        <f ca="1">IFERROR(__xludf.DUMMYFUNCTION("""COMPUTED_VALUE"""),"Ansbach, Landkreis")</f>
        <v>Ansbach, Landkreis</v>
      </c>
      <c r="B60" t="str">
        <f ca="1">IFERROR(__xludf.DUMMYFUNCTION("""COMPUTED_VALUE"""),"DE256")</f>
        <v>DE256</v>
      </c>
    </row>
    <row r="61" spans="1:2" ht="12.5" x14ac:dyDescent="0.25">
      <c r="A61" t="str">
        <f ca="1">IFERROR(__xludf.DUMMYFUNCTION("""COMPUTED_VALUE"""),"Appenzell Ausserrhoden")</f>
        <v>Appenzell Ausserrhoden</v>
      </c>
      <c r="B61" t="str">
        <f ca="1">IFERROR(__xludf.DUMMYFUNCTION("""COMPUTED_VALUE"""),"CH053")</f>
        <v>CH053</v>
      </c>
    </row>
    <row r="62" spans="1:2" ht="12.5" x14ac:dyDescent="0.25">
      <c r="A62" t="str">
        <f ca="1">IFERROR(__xludf.DUMMYFUNCTION("""COMPUTED_VALUE"""),"Appenzell Innerrhoden")</f>
        <v>Appenzell Innerrhoden</v>
      </c>
      <c r="B62" t="str">
        <f ca="1">IFERROR(__xludf.DUMMYFUNCTION("""COMPUTED_VALUE"""),"CH054")</f>
        <v>CH054</v>
      </c>
    </row>
    <row r="63" spans="1:2" ht="12.5" x14ac:dyDescent="0.25">
      <c r="A63" t="str">
        <f ca="1">IFERROR(__xludf.DUMMYFUNCTION("""COMPUTED_VALUE"""),"Aquitaine")</f>
        <v>Aquitaine</v>
      </c>
      <c r="B63" t="str">
        <f ca="1">IFERROR(__xludf.DUMMYFUNCTION("""COMPUTED_VALUE"""),"FR61")</f>
        <v>FR61</v>
      </c>
    </row>
    <row r="64" spans="1:2" ht="12.5" x14ac:dyDescent="0.25">
      <c r="A64" t="str">
        <f ca="1">IFERROR(__xludf.DUMMYFUNCTION("""COMPUTED_VALUE"""),"Arad")</f>
        <v>Arad</v>
      </c>
      <c r="B64" t="str">
        <f ca="1">IFERROR(__xludf.DUMMYFUNCTION("""COMPUTED_VALUE"""),"RO421")</f>
        <v>RO421</v>
      </c>
    </row>
    <row r="65" spans="1:2" ht="12.5" x14ac:dyDescent="0.25">
      <c r="A65" t="str">
        <f ca="1">IFERROR(__xludf.DUMMYFUNCTION("""COMPUTED_VALUE"""),"Aragón")</f>
        <v>Aragón</v>
      </c>
      <c r="B65" t="str">
        <f ca="1">IFERROR(__xludf.DUMMYFUNCTION("""COMPUTED_VALUE"""),"ES24")</f>
        <v>ES24</v>
      </c>
    </row>
    <row r="66" spans="1:2" ht="12.5" x14ac:dyDescent="0.25">
      <c r="A66" t="str">
        <f ca="1">IFERROR(__xludf.DUMMYFUNCTION("""COMPUTED_VALUE"""),"Ardèche")</f>
        <v>Ardèche</v>
      </c>
      <c r="B66" t="str">
        <f ca="1">IFERROR(__xludf.DUMMYFUNCTION("""COMPUTED_VALUE"""),"FR712")</f>
        <v>FR712</v>
      </c>
    </row>
    <row r="67" spans="1:2" ht="12.5" x14ac:dyDescent="0.25">
      <c r="A67" t="str">
        <f ca="1">IFERROR(__xludf.DUMMYFUNCTION("""COMPUTED_VALUE"""),"Ardennes")</f>
        <v>Ardennes</v>
      </c>
      <c r="B67" t="str">
        <f ca="1">IFERROR(__xludf.DUMMYFUNCTION("""COMPUTED_VALUE"""),"FR211")</f>
        <v>FR211</v>
      </c>
    </row>
    <row r="68" spans="1:2" ht="12.5" x14ac:dyDescent="0.25">
      <c r="A68" t="str">
        <f ca="1">IFERROR(__xludf.DUMMYFUNCTION("""COMPUTED_VALUE"""),"Arezzo")</f>
        <v>Arezzo</v>
      </c>
      <c r="B68" t="str">
        <f ca="1">IFERROR(__xludf.DUMMYFUNCTION("""COMPUTED_VALUE"""),"ITE18")</f>
        <v>ITE18</v>
      </c>
    </row>
    <row r="69" spans="1:2" ht="12.5" x14ac:dyDescent="0.25">
      <c r="A69" t="str">
        <f ca="1">IFERROR(__xludf.DUMMYFUNCTION("""COMPUTED_VALUE"""),"Arges")</f>
        <v>Arges</v>
      </c>
      <c r="B69" t="str">
        <f ca="1">IFERROR(__xludf.DUMMYFUNCTION("""COMPUTED_VALUE"""),"RO311")</f>
        <v>RO311</v>
      </c>
    </row>
    <row r="70" spans="1:2" ht="12.5" x14ac:dyDescent="0.25">
      <c r="A70" t="str">
        <f ca="1">IFERROR(__xludf.DUMMYFUNCTION("""COMPUTED_VALUE"""),"Argolida")</f>
        <v>Argolida</v>
      </c>
      <c r="B70" t="str">
        <f ca="1">IFERROR(__xludf.DUMMYFUNCTION("""COMPUTED_VALUE"""),"GR251")</f>
        <v>GR251</v>
      </c>
    </row>
    <row r="71" spans="1:2" ht="12.5" x14ac:dyDescent="0.25">
      <c r="A71" t="str">
        <f ca="1">IFERROR(__xludf.DUMMYFUNCTION("""COMPUTED_VALUE"""),"Ariège")</f>
        <v>Ariège</v>
      </c>
      <c r="B71" t="str">
        <f ca="1">IFERROR(__xludf.DUMMYFUNCTION("""COMPUTED_VALUE"""),"FR621")</f>
        <v>FR621</v>
      </c>
    </row>
    <row r="72" spans="1:2" ht="12.5" x14ac:dyDescent="0.25">
      <c r="A72" t="str">
        <f ca="1">IFERROR(__xludf.DUMMYFUNCTION("""COMPUTED_VALUE"""),"Arkadia")</f>
        <v>Arkadia</v>
      </c>
      <c r="B72" t="str">
        <f ca="1">IFERROR(__xludf.DUMMYFUNCTION("""COMPUTED_VALUE"""),"GR252")</f>
        <v>GR252</v>
      </c>
    </row>
    <row r="73" spans="1:2" ht="12.5" x14ac:dyDescent="0.25">
      <c r="A73" t="str">
        <f ca="1">IFERROR(__xludf.DUMMYFUNCTION("""COMPUTED_VALUE"""),"Arnhem/Nijmegen")</f>
        <v>Arnhem/Nijmegen</v>
      </c>
      <c r="B73" t="str">
        <f ca="1">IFERROR(__xludf.DUMMYFUNCTION("""COMPUTED_VALUE"""),"NL226")</f>
        <v>NL226</v>
      </c>
    </row>
    <row r="74" spans="1:2" ht="12.5" x14ac:dyDescent="0.25">
      <c r="A74" t="str">
        <f ca="1">IFERROR(__xludf.DUMMYFUNCTION("""COMPUTED_VALUE"""),"Arnsberg")</f>
        <v>Arnsberg</v>
      </c>
      <c r="B74" t="str">
        <f ca="1">IFERROR(__xludf.DUMMYFUNCTION("""COMPUTED_VALUE"""),"DEA5")</f>
        <v>DEA5</v>
      </c>
    </row>
    <row r="75" spans="1:2" ht="12.5" x14ac:dyDescent="0.25">
      <c r="A75" t="str">
        <f ca="1">IFERROR(__xludf.DUMMYFUNCTION("""COMPUTED_VALUE"""),"Arr. Aalst")</f>
        <v>Arr. Aalst</v>
      </c>
      <c r="B75" t="str">
        <f ca="1">IFERROR(__xludf.DUMMYFUNCTION("""COMPUTED_VALUE"""),"BE231")</f>
        <v>BE231</v>
      </c>
    </row>
    <row r="76" spans="1:2" ht="12.5" x14ac:dyDescent="0.25">
      <c r="A76" t="str">
        <f ca="1">IFERROR(__xludf.DUMMYFUNCTION("""COMPUTED_VALUE"""),"Arr. Antwerpen")</f>
        <v>Arr. Antwerpen</v>
      </c>
      <c r="B76" t="str">
        <f ca="1">IFERROR(__xludf.DUMMYFUNCTION("""COMPUTED_VALUE"""),"BE211")</f>
        <v>BE211</v>
      </c>
    </row>
    <row r="77" spans="1:2" ht="12.5" x14ac:dyDescent="0.25">
      <c r="A77" t="str">
        <f ca="1">IFERROR(__xludf.DUMMYFUNCTION("""COMPUTED_VALUE"""),"Arr. Arlon")</f>
        <v>Arr. Arlon</v>
      </c>
      <c r="B77" t="str">
        <f ca="1">IFERROR(__xludf.DUMMYFUNCTION("""COMPUTED_VALUE"""),"BE341")</f>
        <v>BE341</v>
      </c>
    </row>
    <row r="78" spans="1:2" ht="12.5" x14ac:dyDescent="0.25">
      <c r="A78" t="str">
        <f ca="1">IFERROR(__xludf.DUMMYFUNCTION("""COMPUTED_VALUE"""),"Arr. Ath")</f>
        <v>Arr. Ath</v>
      </c>
      <c r="B78" t="str">
        <f ca="1">IFERROR(__xludf.DUMMYFUNCTION("""COMPUTED_VALUE"""),"BE321")</f>
        <v>BE321</v>
      </c>
    </row>
    <row r="79" spans="1:2" ht="12.5" x14ac:dyDescent="0.25">
      <c r="A79" t="str">
        <f ca="1">IFERROR(__xludf.DUMMYFUNCTION("""COMPUTED_VALUE"""),"Arr. Bastogne")</f>
        <v>Arr. Bastogne</v>
      </c>
      <c r="B79" t="str">
        <f ca="1">IFERROR(__xludf.DUMMYFUNCTION("""COMPUTED_VALUE"""),"BE342")</f>
        <v>BE342</v>
      </c>
    </row>
    <row r="80" spans="1:2" ht="12.5" x14ac:dyDescent="0.25">
      <c r="A80" t="str">
        <f ca="1">IFERROR(__xludf.DUMMYFUNCTION("""COMPUTED_VALUE"""),"Arr. Brugge")</f>
        <v>Arr. Brugge</v>
      </c>
      <c r="B80" t="str">
        <f ca="1">IFERROR(__xludf.DUMMYFUNCTION("""COMPUTED_VALUE"""),"BE251")</f>
        <v>BE251</v>
      </c>
    </row>
    <row r="81" spans="1:2" ht="12.5" x14ac:dyDescent="0.25">
      <c r="A81" t="str">
        <f ca="1">IFERROR(__xludf.DUMMYFUNCTION("""COMPUTED_VALUE"""),"Arr. Charleroi")</f>
        <v>Arr. Charleroi</v>
      </c>
      <c r="B81" t="str">
        <f ca="1">IFERROR(__xludf.DUMMYFUNCTION("""COMPUTED_VALUE"""),"BE322")</f>
        <v>BE322</v>
      </c>
    </row>
    <row r="82" spans="1:2" ht="12.5" x14ac:dyDescent="0.25">
      <c r="A82" t="str">
        <f ca="1">IFERROR(__xludf.DUMMYFUNCTION("""COMPUTED_VALUE"""),"Arr. De Bruxelles-Capitale / Arr. Van Brussel-Hoofdstad")</f>
        <v>Arr. De Bruxelles-Capitale / Arr. Van Brussel-Hoofdstad</v>
      </c>
      <c r="B82" t="str">
        <f ca="1">IFERROR(__xludf.DUMMYFUNCTION("""COMPUTED_VALUE"""),"BE100")</f>
        <v>BE100</v>
      </c>
    </row>
    <row r="83" spans="1:2" ht="12.5" x14ac:dyDescent="0.25">
      <c r="A83" t="str">
        <f ca="1">IFERROR(__xludf.DUMMYFUNCTION("""COMPUTED_VALUE"""),"Arr. Dendermonde")</f>
        <v>Arr. Dendermonde</v>
      </c>
      <c r="B83" t="str">
        <f ca="1">IFERROR(__xludf.DUMMYFUNCTION("""COMPUTED_VALUE"""),"BE232")</f>
        <v>BE232</v>
      </c>
    </row>
    <row r="84" spans="1:2" ht="12.5" x14ac:dyDescent="0.25">
      <c r="A84" t="str">
        <f ca="1">IFERROR(__xludf.DUMMYFUNCTION("""COMPUTED_VALUE"""),"Arr. Diksmuide")</f>
        <v>Arr. Diksmuide</v>
      </c>
      <c r="B84" t="str">
        <f ca="1">IFERROR(__xludf.DUMMYFUNCTION("""COMPUTED_VALUE"""),"BE252")</f>
        <v>BE252</v>
      </c>
    </row>
    <row r="85" spans="1:2" ht="12.5" x14ac:dyDescent="0.25">
      <c r="A85" t="str">
        <f ca="1">IFERROR(__xludf.DUMMYFUNCTION("""COMPUTED_VALUE"""),"Arr. Dinant")</f>
        <v>Arr. Dinant</v>
      </c>
      <c r="B85" t="str">
        <f ca="1">IFERROR(__xludf.DUMMYFUNCTION("""COMPUTED_VALUE"""),"BE351")</f>
        <v>BE351</v>
      </c>
    </row>
    <row r="86" spans="1:2" ht="12.5" x14ac:dyDescent="0.25">
      <c r="A86" t="str">
        <f ca="1">IFERROR(__xludf.DUMMYFUNCTION("""COMPUTED_VALUE"""),"Arr. Eeklo")</f>
        <v>Arr. Eeklo</v>
      </c>
      <c r="B86" t="str">
        <f ca="1">IFERROR(__xludf.DUMMYFUNCTION("""COMPUTED_VALUE"""),"BE233")</f>
        <v>BE233</v>
      </c>
    </row>
    <row r="87" spans="1:2" ht="12.5" x14ac:dyDescent="0.25">
      <c r="A87" t="str">
        <f ca="1">IFERROR(__xludf.DUMMYFUNCTION("""COMPUTED_VALUE"""),"Arr. Gent")</f>
        <v>Arr. Gent</v>
      </c>
      <c r="B87" t="str">
        <f ca="1">IFERROR(__xludf.DUMMYFUNCTION("""COMPUTED_VALUE"""),"BE234")</f>
        <v>BE234</v>
      </c>
    </row>
    <row r="88" spans="1:2" ht="12.5" x14ac:dyDescent="0.25">
      <c r="A88" t="str">
        <f ca="1">IFERROR(__xludf.DUMMYFUNCTION("""COMPUTED_VALUE"""),"Arr. Halle-Vilvoorde")</f>
        <v>Arr. Halle-Vilvoorde</v>
      </c>
      <c r="B88" t="str">
        <f ca="1">IFERROR(__xludf.DUMMYFUNCTION("""COMPUTED_VALUE"""),"BE241")</f>
        <v>BE241</v>
      </c>
    </row>
    <row r="89" spans="1:2" ht="12.5" x14ac:dyDescent="0.25">
      <c r="A89" t="str">
        <f ca="1">IFERROR(__xludf.DUMMYFUNCTION("""COMPUTED_VALUE"""),"Arr. Hasselt")</f>
        <v>Arr. Hasselt</v>
      </c>
      <c r="B89" t="str">
        <f ca="1">IFERROR(__xludf.DUMMYFUNCTION("""COMPUTED_VALUE"""),"BE221")</f>
        <v>BE221</v>
      </c>
    </row>
    <row r="90" spans="1:2" ht="12.5" x14ac:dyDescent="0.25">
      <c r="A90" t="str">
        <f ca="1">IFERROR(__xludf.DUMMYFUNCTION("""COMPUTED_VALUE"""),"Arr. Huy")</f>
        <v>Arr. Huy</v>
      </c>
      <c r="B90" t="str">
        <f ca="1">IFERROR(__xludf.DUMMYFUNCTION("""COMPUTED_VALUE"""),"BE331")</f>
        <v>BE331</v>
      </c>
    </row>
    <row r="91" spans="1:2" ht="12.5" x14ac:dyDescent="0.25">
      <c r="A91" t="str">
        <f ca="1">IFERROR(__xludf.DUMMYFUNCTION("""COMPUTED_VALUE"""),"Arr. Ieper")</f>
        <v>Arr. Ieper</v>
      </c>
      <c r="B91" t="str">
        <f ca="1">IFERROR(__xludf.DUMMYFUNCTION("""COMPUTED_VALUE"""),"BE253")</f>
        <v>BE253</v>
      </c>
    </row>
    <row r="92" spans="1:2" ht="12.5" x14ac:dyDescent="0.25">
      <c r="A92" t="str">
        <f ca="1">IFERROR(__xludf.DUMMYFUNCTION("""COMPUTED_VALUE"""),"Arr. Kortrijk")</f>
        <v>Arr. Kortrijk</v>
      </c>
      <c r="B92" t="str">
        <f ca="1">IFERROR(__xludf.DUMMYFUNCTION("""COMPUTED_VALUE"""),"BE254")</f>
        <v>BE254</v>
      </c>
    </row>
    <row r="93" spans="1:2" ht="12.5" x14ac:dyDescent="0.25">
      <c r="A93" t="str">
        <f ca="1">IFERROR(__xludf.DUMMYFUNCTION("""COMPUTED_VALUE"""),"Arr. Leuven")</f>
        <v>Arr. Leuven</v>
      </c>
      <c r="B93" t="str">
        <f ca="1">IFERROR(__xludf.DUMMYFUNCTION("""COMPUTED_VALUE"""),"BE242")</f>
        <v>BE242</v>
      </c>
    </row>
    <row r="94" spans="1:2" ht="12.5" x14ac:dyDescent="0.25">
      <c r="A94" t="str">
        <f ca="1">IFERROR(__xludf.DUMMYFUNCTION("""COMPUTED_VALUE"""),"Arr. Liège")</f>
        <v>Arr. Liège</v>
      </c>
      <c r="B94" t="str">
        <f ca="1">IFERROR(__xludf.DUMMYFUNCTION("""COMPUTED_VALUE"""),"BE332")</f>
        <v>BE332</v>
      </c>
    </row>
    <row r="95" spans="1:2" ht="12.5" x14ac:dyDescent="0.25">
      <c r="A95" t="str">
        <f ca="1">IFERROR(__xludf.DUMMYFUNCTION("""COMPUTED_VALUE"""),"Arr. Maaseik")</f>
        <v>Arr. Maaseik</v>
      </c>
      <c r="B95" t="str">
        <f ca="1">IFERROR(__xludf.DUMMYFUNCTION("""COMPUTED_VALUE"""),"BE222")</f>
        <v>BE222</v>
      </c>
    </row>
    <row r="96" spans="1:2" ht="12.5" x14ac:dyDescent="0.25">
      <c r="A96" t="str">
        <f ca="1">IFERROR(__xludf.DUMMYFUNCTION("""COMPUTED_VALUE"""),"Arr. Marche-En-Famenne")</f>
        <v>Arr. Marche-En-Famenne</v>
      </c>
      <c r="B96" t="str">
        <f ca="1">IFERROR(__xludf.DUMMYFUNCTION("""COMPUTED_VALUE"""),"BE343")</f>
        <v>BE343</v>
      </c>
    </row>
    <row r="97" spans="1:2" ht="12.5" x14ac:dyDescent="0.25">
      <c r="A97" t="str">
        <f ca="1">IFERROR(__xludf.DUMMYFUNCTION("""COMPUTED_VALUE"""),"Arr. Mechelen")</f>
        <v>Arr. Mechelen</v>
      </c>
      <c r="B97" t="str">
        <f ca="1">IFERROR(__xludf.DUMMYFUNCTION("""COMPUTED_VALUE"""),"BE212")</f>
        <v>BE212</v>
      </c>
    </row>
    <row r="98" spans="1:2" ht="12.5" x14ac:dyDescent="0.25">
      <c r="A98" t="str">
        <f ca="1">IFERROR(__xludf.DUMMYFUNCTION("""COMPUTED_VALUE"""),"Arr. Mons")</f>
        <v>Arr. Mons</v>
      </c>
      <c r="B98" t="str">
        <f ca="1">IFERROR(__xludf.DUMMYFUNCTION("""COMPUTED_VALUE"""),"BE323")</f>
        <v>BE323</v>
      </c>
    </row>
    <row r="99" spans="1:2" ht="12.5" x14ac:dyDescent="0.25">
      <c r="A99" t="str">
        <f ca="1">IFERROR(__xludf.DUMMYFUNCTION("""COMPUTED_VALUE"""),"Arr. Mouscron")</f>
        <v>Arr. Mouscron</v>
      </c>
      <c r="B99" t="str">
        <f ca="1">IFERROR(__xludf.DUMMYFUNCTION("""COMPUTED_VALUE"""),"BE324")</f>
        <v>BE324</v>
      </c>
    </row>
    <row r="100" spans="1:2" ht="12.5" x14ac:dyDescent="0.25">
      <c r="A100" t="str">
        <f ca="1">IFERROR(__xludf.DUMMYFUNCTION("""COMPUTED_VALUE"""),"Arr. Namur")</f>
        <v>Arr. Namur</v>
      </c>
      <c r="B100" t="str">
        <f ca="1">IFERROR(__xludf.DUMMYFUNCTION("""COMPUTED_VALUE"""),"BE352")</f>
        <v>BE352</v>
      </c>
    </row>
    <row r="101" spans="1:2" ht="12.5" x14ac:dyDescent="0.25">
      <c r="A101" t="str">
        <f ca="1">IFERROR(__xludf.DUMMYFUNCTION("""COMPUTED_VALUE"""),"Arr. Neufchâteau")</f>
        <v>Arr. Neufchâteau</v>
      </c>
      <c r="B101" t="str">
        <f ca="1">IFERROR(__xludf.DUMMYFUNCTION("""COMPUTED_VALUE"""),"BE344")</f>
        <v>BE344</v>
      </c>
    </row>
    <row r="102" spans="1:2" ht="12.5" x14ac:dyDescent="0.25">
      <c r="A102" t="str">
        <f ca="1">IFERROR(__xludf.DUMMYFUNCTION("""COMPUTED_VALUE"""),"Arr. Nivelles")</f>
        <v>Arr. Nivelles</v>
      </c>
      <c r="B102" t="str">
        <f ca="1">IFERROR(__xludf.DUMMYFUNCTION("""COMPUTED_VALUE"""),"BE310")</f>
        <v>BE310</v>
      </c>
    </row>
    <row r="103" spans="1:2" ht="12.5" x14ac:dyDescent="0.25">
      <c r="A103" t="str">
        <f ca="1">IFERROR(__xludf.DUMMYFUNCTION("""COMPUTED_VALUE"""),"Arr. Oostende")</f>
        <v>Arr. Oostende</v>
      </c>
      <c r="B103" t="str">
        <f ca="1">IFERROR(__xludf.DUMMYFUNCTION("""COMPUTED_VALUE"""),"BE255")</f>
        <v>BE255</v>
      </c>
    </row>
    <row r="104" spans="1:2" ht="12.5" x14ac:dyDescent="0.25">
      <c r="A104" t="str">
        <f ca="1">IFERROR(__xludf.DUMMYFUNCTION("""COMPUTED_VALUE"""),"Arr. Oudenaarde")</f>
        <v>Arr. Oudenaarde</v>
      </c>
      <c r="B104" t="str">
        <f ca="1">IFERROR(__xludf.DUMMYFUNCTION("""COMPUTED_VALUE"""),"BE235")</f>
        <v>BE235</v>
      </c>
    </row>
    <row r="105" spans="1:2" ht="12.5" x14ac:dyDescent="0.25">
      <c r="A105" t="str">
        <f ca="1">IFERROR(__xludf.DUMMYFUNCTION("""COMPUTED_VALUE"""),"Arr. Philippeville")</f>
        <v>Arr. Philippeville</v>
      </c>
      <c r="B105" t="str">
        <f ca="1">IFERROR(__xludf.DUMMYFUNCTION("""COMPUTED_VALUE"""),"BE353")</f>
        <v>BE353</v>
      </c>
    </row>
    <row r="106" spans="1:2" ht="12.5" x14ac:dyDescent="0.25">
      <c r="A106" t="str">
        <f ca="1">IFERROR(__xludf.DUMMYFUNCTION("""COMPUTED_VALUE"""),"Arr. Roeselare")</f>
        <v>Arr. Roeselare</v>
      </c>
      <c r="B106" t="str">
        <f ca="1">IFERROR(__xludf.DUMMYFUNCTION("""COMPUTED_VALUE"""),"BE256")</f>
        <v>BE256</v>
      </c>
    </row>
    <row r="107" spans="1:2" ht="12.5" x14ac:dyDescent="0.25">
      <c r="A107" t="str">
        <f ca="1">IFERROR(__xludf.DUMMYFUNCTION("""COMPUTED_VALUE"""),"Arr. Sint-Niklaas")</f>
        <v>Arr. Sint-Niklaas</v>
      </c>
      <c r="B107" t="str">
        <f ca="1">IFERROR(__xludf.DUMMYFUNCTION("""COMPUTED_VALUE"""),"BE236")</f>
        <v>BE236</v>
      </c>
    </row>
    <row r="108" spans="1:2" ht="12.5" x14ac:dyDescent="0.25">
      <c r="A108" t="str">
        <f ca="1">IFERROR(__xludf.DUMMYFUNCTION("""COMPUTED_VALUE"""),"Arr. Soignies")</f>
        <v>Arr. Soignies</v>
      </c>
      <c r="B108" t="str">
        <f ca="1">IFERROR(__xludf.DUMMYFUNCTION("""COMPUTED_VALUE"""),"BE325")</f>
        <v>BE325</v>
      </c>
    </row>
    <row r="109" spans="1:2" ht="12.5" x14ac:dyDescent="0.25">
      <c r="A109" t="str">
        <f ca="1">IFERROR(__xludf.DUMMYFUNCTION("""COMPUTED_VALUE"""),"Arr. Thuin")</f>
        <v>Arr. Thuin</v>
      </c>
      <c r="B109" t="str">
        <f ca="1">IFERROR(__xludf.DUMMYFUNCTION("""COMPUTED_VALUE"""),"BE326")</f>
        <v>BE326</v>
      </c>
    </row>
    <row r="110" spans="1:2" ht="12.5" x14ac:dyDescent="0.25">
      <c r="A110" t="str">
        <f ca="1">IFERROR(__xludf.DUMMYFUNCTION("""COMPUTED_VALUE"""),"Arr. Tielt")</f>
        <v>Arr. Tielt</v>
      </c>
      <c r="B110" t="str">
        <f ca="1">IFERROR(__xludf.DUMMYFUNCTION("""COMPUTED_VALUE"""),"BE257")</f>
        <v>BE257</v>
      </c>
    </row>
    <row r="111" spans="1:2" ht="12.5" x14ac:dyDescent="0.25">
      <c r="A111" t="str">
        <f ca="1">IFERROR(__xludf.DUMMYFUNCTION("""COMPUTED_VALUE"""),"Arr. Tongeren")</f>
        <v>Arr. Tongeren</v>
      </c>
      <c r="B111" t="str">
        <f ca="1">IFERROR(__xludf.DUMMYFUNCTION("""COMPUTED_VALUE"""),"BE223")</f>
        <v>BE223</v>
      </c>
    </row>
    <row r="112" spans="1:2" ht="12.5" x14ac:dyDescent="0.25">
      <c r="A112" t="str">
        <f ca="1">IFERROR(__xludf.DUMMYFUNCTION("""COMPUTED_VALUE"""),"Arr. Tournai")</f>
        <v>Arr. Tournai</v>
      </c>
      <c r="B112" t="str">
        <f ca="1">IFERROR(__xludf.DUMMYFUNCTION("""COMPUTED_VALUE"""),"BE327")</f>
        <v>BE327</v>
      </c>
    </row>
    <row r="113" spans="1:2" ht="12.5" x14ac:dyDescent="0.25">
      <c r="A113" t="str">
        <f ca="1">IFERROR(__xludf.DUMMYFUNCTION("""COMPUTED_VALUE"""),"Arr. Turnhout")</f>
        <v>Arr. Turnhout</v>
      </c>
      <c r="B113" t="str">
        <f ca="1">IFERROR(__xludf.DUMMYFUNCTION("""COMPUTED_VALUE"""),"BE213")</f>
        <v>BE213</v>
      </c>
    </row>
    <row r="114" spans="1:2" ht="12.5" x14ac:dyDescent="0.25">
      <c r="A114" t="str">
        <f ca="1">IFERROR(__xludf.DUMMYFUNCTION("""COMPUTED_VALUE"""),"Arr. Verviers - Communes Francophones")</f>
        <v>Arr. Verviers - Communes Francophones</v>
      </c>
      <c r="B114" t="str">
        <f ca="1">IFERROR(__xludf.DUMMYFUNCTION("""COMPUTED_VALUE"""),"BE335")</f>
        <v>BE335</v>
      </c>
    </row>
    <row r="115" spans="1:2" ht="12.5" x14ac:dyDescent="0.25">
      <c r="A115" t="str">
        <f ca="1">IFERROR(__xludf.DUMMYFUNCTION("""COMPUTED_VALUE"""),"Arr. Veurne")</f>
        <v>Arr. Veurne</v>
      </c>
      <c r="B115" t="str">
        <f ca="1">IFERROR(__xludf.DUMMYFUNCTION("""COMPUTED_VALUE"""),"BE258")</f>
        <v>BE258</v>
      </c>
    </row>
    <row r="116" spans="1:2" ht="12.5" x14ac:dyDescent="0.25">
      <c r="A116" t="str">
        <f ca="1">IFERROR(__xludf.DUMMYFUNCTION("""COMPUTED_VALUE"""),"Arr. Virton")</f>
        <v>Arr. Virton</v>
      </c>
      <c r="B116" t="str">
        <f ca="1">IFERROR(__xludf.DUMMYFUNCTION("""COMPUTED_VALUE"""),"BE345")</f>
        <v>BE345</v>
      </c>
    </row>
    <row r="117" spans="1:2" ht="12.5" x14ac:dyDescent="0.25">
      <c r="A117" t="str">
        <f ca="1">IFERROR(__xludf.DUMMYFUNCTION("""COMPUTED_VALUE"""),"Arr. Waremme")</f>
        <v>Arr. Waremme</v>
      </c>
      <c r="B117" t="str">
        <f ca="1">IFERROR(__xludf.DUMMYFUNCTION("""COMPUTED_VALUE"""),"BE334")</f>
        <v>BE334</v>
      </c>
    </row>
    <row r="118" spans="1:2" ht="12.5" x14ac:dyDescent="0.25">
      <c r="A118" t="str">
        <f ca="1">IFERROR(__xludf.DUMMYFUNCTION("""COMPUTED_VALUE"""),"Arta")</f>
        <v>Arta</v>
      </c>
      <c r="B118" t="str">
        <f ca="1">IFERROR(__xludf.DUMMYFUNCTION("""COMPUTED_VALUE"""),"GR211")</f>
        <v>GR211</v>
      </c>
    </row>
    <row r="119" spans="1:2" ht="12.5" x14ac:dyDescent="0.25">
      <c r="A119" t="str">
        <f ca="1">IFERROR(__xludf.DUMMYFUNCTION("""COMPUTED_VALUE"""),"Aschaffenburg, Kreisfreie Stadt")</f>
        <v>Aschaffenburg, Kreisfreie Stadt</v>
      </c>
      <c r="B119" t="str">
        <f ca="1">IFERROR(__xludf.DUMMYFUNCTION("""COMPUTED_VALUE"""),"DE261")</f>
        <v>DE261</v>
      </c>
    </row>
    <row r="120" spans="1:2" ht="12.5" x14ac:dyDescent="0.25">
      <c r="A120" t="str">
        <f ca="1">IFERROR(__xludf.DUMMYFUNCTION("""COMPUTED_VALUE"""),"Aschaffenburg, Landkreis")</f>
        <v>Aschaffenburg, Landkreis</v>
      </c>
      <c r="B120" t="str">
        <f ca="1">IFERROR(__xludf.DUMMYFUNCTION("""COMPUTED_VALUE"""),"DE264")</f>
        <v>DE264</v>
      </c>
    </row>
    <row r="121" spans="1:2" ht="12.5" x14ac:dyDescent="0.25">
      <c r="A121" t="str">
        <f ca="1">IFERROR(__xludf.DUMMYFUNCTION("""COMPUTED_VALUE"""),"Ascoli Piceno")</f>
        <v>Ascoli Piceno</v>
      </c>
      <c r="B121" t="str">
        <f ca="1">IFERROR(__xludf.DUMMYFUNCTION("""COMPUTED_VALUE"""),"ITE34")</f>
        <v>ITE34</v>
      </c>
    </row>
    <row r="122" spans="1:2" ht="12.5" x14ac:dyDescent="0.25">
      <c r="A122" t="str">
        <f ca="1">IFERROR(__xludf.DUMMYFUNCTION("""COMPUTED_VALUE"""),"Asti")</f>
        <v>Asti</v>
      </c>
      <c r="B122" t="str">
        <f ca="1">IFERROR(__xludf.DUMMYFUNCTION("""COMPUTED_VALUE"""),"ITC17")</f>
        <v>ITC17</v>
      </c>
    </row>
    <row r="123" spans="1:2" ht="12.5" x14ac:dyDescent="0.25">
      <c r="A123" t="str">
        <f ca="1">IFERROR(__xludf.DUMMYFUNCTION("""COMPUTED_VALUE"""),"Asturias")</f>
        <v>Asturias</v>
      </c>
      <c r="B123" t="str">
        <f ca="1">IFERROR(__xludf.DUMMYFUNCTION("""COMPUTED_VALUE"""),"ES120")</f>
        <v>ES120</v>
      </c>
    </row>
    <row r="124" spans="1:2" ht="12.5" x14ac:dyDescent="0.25">
      <c r="A124" t="str">
        <f ca="1">IFERROR(__xludf.DUMMYFUNCTION("""COMPUTED_VALUE"""),"Attiki")</f>
        <v>Attiki</v>
      </c>
      <c r="B124" t="str">
        <f ca="1">IFERROR(__xludf.DUMMYFUNCTION("""COMPUTED_VALUE"""),"GR3")</f>
        <v>GR3</v>
      </c>
    </row>
    <row r="125" spans="1:2" ht="12.5" x14ac:dyDescent="0.25">
      <c r="A125" t="str">
        <f ca="1">IFERROR(__xludf.DUMMYFUNCTION("""COMPUTED_VALUE"""),"Attiki (*)")</f>
        <v>Attiki (*)</v>
      </c>
      <c r="B125" t="str">
        <f ca="1">IFERROR(__xludf.DUMMYFUNCTION("""COMPUTED_VALUE"""),"GR30")</f>
        <v>GR30</v>
      </c>
    </row>
    <row r="126" spans="1:2" ht="12.5" x14ac:dyDescent="0.25">
      <c r="A126" t="str">
        <f ca="1">IFERROR(__xludf.DUMMYFUNCTION("""COMPUTED_VALUE"""),"Attiki (**)")</f>
        <v>Attiki (**)</v>
      </c>
      <c r="B126" t="str">
        <f ca="1">IFERROR(__xludf.DUMMYFUNCTION("""COMPUTED_VALUE"""),"GR300")</f>
        <v>GR300</v>
      </c>
    </row>
    <row r="127" spans="1:2" ht="12.5" x14ac:dyDescent="0.25">
      <c r="A127" t="str">
        <f ca="1">IFERROR(__xludf.DUMMYFUNCTION("""COMPUTED_VALUE"""),"Aube")</f>
        <v>Aube</v>
      </c>
      <c r="B127" t="str">
        <f ca="1">IFERROR(__xludf.DUMMYFUNCTION("""COMPUTED_VALUE"""),"FR212")</f>
        <v>FR212</v>
      </c>
    </row>
    <row r="128" spans="1:2" ht="12.5" x14ac:dyDescent="0.25">
      <c r="A128" t="str">
        <f ca="1">IFERROR(__xludf.DUMMYFUNCTION("""COMPUTED_VALUE"""),"Aude")</f>
        <v>Aude</v>
      </c>
      <c r="B128" t="str">
        <f ca="1">IFERROR(__xludf.DUMMYFUNCTION("""COMPUTED_VALUE"""),"FR811")</f>
        <v>FR811</v>
      </c>
    </row>
    <row r="129" spans="1:2" ht="12.5" x14ac:dyDescent="0.25">
      <c r="A129" t="str">
        <f ca="1">IFERROR(__xludf.DUMMYFUNCTION("""COMPUTED_VALUE"""),"Aue-Schwarzenberg")</f>
        <v>Aue-Schwarzenberg</v>
      </c>
      <c r="B129" t="str">
        <f ca="1">IFERROR(__xludf.DUMMYFUNCTION("""COMPUTED_VALUE"""),"DED1B")</f>
        <v>DED1B</v>
      </c>
    </row>
    <row r="130" spans="1:2" ht="12.5" x14ac:dyDescent="0.25">
      <c r="A130" t="str">
        <f ca="1">IFERROR(__xludf.DUMMYFUNCTION("""COMPUTED_VALUE"""),"Augsburg, Kreisfreie Stadt")</f>
        <v>Augsburg, Kreisfreie Stadt</v>
      </c>
      <c r="B130" t="str">
        <f ca="1">IFERROR(__xludf.DUMMYFUNCTION("""COMPUTED_VALUE"""),"DE271")</f>
        <v>DE271</v>
      </c>
    </row>
    <row r="131" spans="1:2" ht="12.5" x14ac:dyDescent="0.25">
      <c r="A131" t="str">
        <f ca="1">IFERROR(__xludf.DUMMYFUNCTION("""COMPUTED_VALUE"""),"Augsburg, Landkreis")</f>
        <v>Augsburg, Landkreis</v>
      </c>
      <c r="B131" t="str">
        <f ca="1">IFERROR(__xludf.DUMMYFUNCTION("""COMPUTED_VALUE"""),"DE276")</f>
        <v>DE276</v>
      </c>
    </row>
    <row r="132" spans="1:2" ht="12.5" x14ac:dyDescent="0.25">
      <c r="A132" t="str">
        <f ca="1">IFERROR(__xludf.DUMMYFUNCTION("""COMPUTED_VALUE"""),"Aurich")</f>
        <v>Aurich</v>
      </c>
      <c r="B132" t="str">
        <f ca="1">IFERROR(__xludf.DUMMYFUNCTION("""COMPUTED_VALUE"""),"DE947")</f>
        <v>DE947</v>
      </c>
    </row>
    <row r="133" spans="1:2" ht="12.5" x14ac:dyDescent="0.25">
      <c r="A133" t="str">
        <f ca="1">IFERROR(__xludf.DUMMYFUNCTION("""COMPUTED_VALUE"""),"Außerfern")</f>
        <v>Außerfern</v>
      </c>
      <c r="B133" t="str">
        <f ca="1">IFERROR(__xludf.DUMMYFUNCTION("""COMPUTED_VALUE"""),"AT331")</f>
        <v>AT331</v>
      </c>
    </row>
    <row r="134" spans="1:2" ht="12.5" x14ac:dyDescent="0.25">
      <c r="A134" t="str">
        <f ca="1">IFERROR(__xludf.DUMMYFUNCTION("""COMPUTED_VALUE"""),"Aust-Agder")</f>
        <v>Aust-Agder</v>
      </c>
      <c r="B134" t="str">
        <f ca="1">IFERROR(__xludf.DUMMYFUNCTION("""COMPUTED_VALUE"""),"NO041")</f>
        <v>NO041</v>
      </c>
    </row>
    <row r="135" spans="1:2" ht="12.5" x14ac:dyDescent="0.25">
      <c r="A135" t="str">
        <f ca="1">IFERROR(__xludf.DUMMYFUNCTION("""COMPUTED_VALUE"""),"Auvergne")</f>
        <v>Auvergne</v>
      </c>
      <c r="B135" t="str">
        <f ca="1">IFERROR(__xludf.DUMMYFUNCTION("""COMPUTED_VALUE"""),"FR72")</f>
        <v>FR72</v>
      </c>
    </row>
    <row r="136" spans="1:2" ht="12.5" x14ac:dyDescent="0.25">
      <c r="A136" t="str">
        <f ca="1">IFERROR(__xludf.DUMMYFUNCTION("""COMPUTED_VALUE"""),"Ave")</f>
        <v>Ave</v>
      </c>
      <c r="B136" t="str">
        <f ca="1">IFERROR(__xludf.DUMMYFUNCTION("""COMPUTED_VALUE"""),"PT113")</f>
        <v>PT113</v>
      </c>
    </row>
    <row r="137" spans="1:2" ht="12.5" x14ac:dyDescent="0.25">
      <c r="A137" t="str">
        <f ca="1">IFERROR(__xludf.DUMMYFUNCTION("""COMPUTED_VALUE"""),"Avellino")</f>
        <v>Avellino</v>
      </c>
      <c r="B137" t="str">
        <f ca="1">IFERROR(__xludf.DUMMYFUNCTION("""COMPUTED_VALUE"""),"ITF34")</f>
        <v>ITF34</v>
      </c>
    </row>
    <row r="138" spans="1:2" ht="12.5" x14ac:dyDescent="0.25">
      <c r="A138" t="str">
        <f ca="1">IFERROR(__xludf.DUMMYFUNCTION("""COMPUTED_VALUE"""),"Aveyron")</f>
        <v>Aveyron</v>
      </c>
      <c r="B138" t="str">
        <f ca="1">IFERROR(__xludf.DUMMYFUNCTION("""COMPUTED_VALUE"""),"FR622")</f>
        <v>FR622</v>
      </c>
    </row>
    <row r="139" spans="1:2" ht="12.5" x14ac:dyDescent="0.25">
      <c r="A139" t="str">
        <f ca="1">IFERROR(__xludf.DUMMYFUNCTION("""COMPUTED_VALUE"""),"Ávila")</f>
        <v>Ávila</v>
      </c>
      <c r="B139" t="str">
        <f ca="1">IFERROR(__xludf.DUMMYFUNCTION("""COMPUTED_VALUE"""),"ES411")</f>
        <v>ES411</v>
      </c>
    </row>
    <row r="140" spans="1:2" ht="12.5" x14ac:dyDescent="0.25">
      <c r="A140" t="str">
        <f ca="1">IFERROR(__xludf.DUMMYFUNCTION("""COMPUTED_VALUE"""),"Bacau")</f>
        <v>Bacau</v>
      </c>
      <c r="B140" t="str">
        <f ca="1">IFERROR(__xludf.DUMMYFUNCTION("""COMPUTED_VALUE"""),"RO211")</f>
        <v>RO211</v>
      </c>
    </row>
    <row r="141" spans="1:2" ht="12.5" x14ac:dyDescent="0.25">
      <c r="A141" t="str">
        <f ca="1">IFERROR(__xludf.DUMMYFUNCTION("""COMPUTED_VALUE"""),"Bacs-Kiskun")</f>
        <v>Bacs-Kiskun</v>
      </c>
      <c r="B141" t="str">
        <f ca="1">IFERROR(__xludf.DUMMYFUNCTION("""COMPUTED_VALUE"""),"HU331")</f>
        <v>HU331</v>
      </c>
    </row>
    <row r="142" spans="1:2" ht="12.5" x14ac:dyDescent="0.25">
      <c r="A142" t="str">
        <f ca="1">IFERROR(__xludf.DUMMYFUNCTION("""COMPUTED_VALUE"""),"Bad Doberan")</f>
        <v>Bad Doberan</v>
      </c>
      <c r="B142" t="str">
        <f ca="1">IFERROR(__xludf.DUMMYFUNCTION("""COMPUTED_VALUE"""),"DE807")</f>
        <v>DE807</v>
      </c>
    </row>
    <row r="143" spans="1:2" ht="12.5" x14ac:dyDescent="0.25">
      <c r="A143" t="str">
        <f ca="1">IFERROR(__xludf.DUMMYFUNCTION("""COMPUTED_VALUE"""),"Bad Dürkheim")</f>
        <v>Bad Dürkheim</v>
      </c>
      <c r="B143" t="str">
        <f ca="1">IFERROR(__xludf.DUMMYFUNCTION("""COMPUTED_VALUE"""),"DEB3C")</f>
        <v>DEB3C</v>
      </c>
    </row>
    <row r="144" spans="1:2" ht="12.5" x14ac:dyDescent="0.25">
      <c r="A144" t="str">
        <f ca="1">IFERROR(__xludf.DUMMYFUNCTION("""COMPUTED_VALUE"""),"Bad Kissingen")</f>
        <v>Bad Kissingen</v>
      </c>
      <c r="B144" t="str">
        <f ca="1">IFERROR(__xludf.DUMMYFUNCTION("""COMPUTED_VALUE"""),"DE265")</f>
        <v>DE265</v>
      </c>
    </row>
    <row r="145" spans="1:2" ht="12.5" x14ac:dyDescent="0.25">
      <c r="A145" t="str">
        <f ca="1">IFERROR(__xludf.DUMMYFUNCTION("""COMPUTED_VALUE"""),"Bad Kreuznach")</f>
        <v>Bad Kreuznach</v>
      </c>
      <c r="B145" t="str">
        <f ca="1">IFERROR(__xludf.DUMMYFUNCTION("""COMPUTED_VALUE"""),"DEB14")</f>
        <v>DEB14</v>
      </c>
    </row>
    <row r="146" spans="1:2" ht="12.5" x14ac:dyDescent="0.25">
      <c r="A146" t="str">
        <f ca="1">IFERROR(__xludf.DUMMYFUNCTION("""COMPUTED_VALUE"""),"Bad Tölz-Wolfratshausen")</f>
        <v>Bad Tölz-Wolfratshausen</v>
      </c>
      <c r="B146" t="str">
        <f ca="1">IFERROR(__xludf.DUMMYFUNCTION("""COMPUTED_VALUE"""),"DE216")</f>
        <v>DE216</v>
      </c>
    </row>
    <row r="147" spans="1:2" ht="12.5" x14ac:dyDescent="0.25">
      <c r="A147" t="str">
        <f ca="1">IFERROR(__xludf.DUMMYFUNCTION("""COMPUTED_VALUE"""),"Badajoz")</f>
        <v>Badajoz</v>
      </c>
      <c r="B147" t="str">
        <f ca="1">IFERROR(__xludf.DUMMYFUNCTION("""COMPUTED_VALUE"""),"ES431")</f>
        <v>ES431</v>
      </c>
    </row>
    <row r="148" spans="1:2" ht="12.5" x14ac:dyDescent="0.25">
      <c r="A148" t="str">
        <f ca="1">IFERROR(__xludf.DUMMYFUNCTION("""COMPUTED_VALUE"""),"Baden-Baden, Stadtkreis")</f>
        <v>Baden-Baden, Stadtkreis</v>
      </c>
      <c r="B148" t="str">
        <f ca="1">IFERROR(__xludf.DUMMYFUNCTION("""COMPUTED_VALUE"""),"DE121")</f>
        <v>DE121</v>
      </c>
    </row>
    <row r="149" spans="1:2" ht="12.5" x14ac:dyDescent="0.25">
      <c r="A149" t="str">
        <f ca="1">IFERROR(__xludf.DUMMYFUNCTION("""COMPUTED_VALUE"""),"Baden-Württemberg")</f>
        <v>Baden-Württemberg</v>
      </c>
      <c r="B149" t="str">
        <f ca="1">IFERROR(__xludf.DUMMYFUNCTION("""COMPUTED_VALUE"""),"DE1")</f>
        <v>DE1</v>
      </c>
    </row>
    <row r="150" spans="1:2" ht="12.5" x14ac:dyDescent="0.25">
      <c r="A150" t="str">
        <f ca="1">IFERROR(__xludf.DUMMYFUNCTION("""COMPUTED_VALUE"""),"Baixo Alentejo")</f>
        <v>Baixo Alentejo</v>
      </c>
      <c r="B150" t="str">
        <f ca="1">IFERROR(__xludf.DUMMYFUNCTION("""COMPUTED_VALUE"""),"PT184")</f>
        <v>PT184</v>
      </c>
    </row>
    <row r="151" spans="1:2" ht="12.5" x14ac:dyDescent="0.25">
      <c r="A151" t="str">
        <f ca="1">IFERROR(__xludf.DUMMYFUNCTION("""COMPUTED_VALUE"""),"Baixo Mondego")</f>
        <v>Baixo Mondego</v>
      </c>
      <c r="B151" t="str">
        <f ca="1">IFERROR(__xludf.DUMMYFUNCTION("""COMPUTED_VALUE"""),"PT162")</f>
        <v>PT162</v>
      </c>
    </row>
    <row r="152" spans="1:2" ht="12.5" x14ac:dyDescent="0.25">
      <c r="A152" t="str">
        <f ca="1">IFERROR(__xludf.DUMMYFUNCTION("""COMPUTED_VALUE"""),"Baixo Vouga")</f>
        <v>Baixo Vouga</v>
      </c>
      <c r="B152" t="str">
        <f ca="1">IFERROR(__xludf.DUMMYFUNCTION("""COMPUTED_VALUE"""),"PT161")</f>
        <v>PT161</v>
      </c>
    </row>
    <row r="153" spans="1:2" ht="12.5" x14ac:dyDescent="0.25">
      <c r="A153" t="str">
        <f ca="1">IFERROR(__xludf.DUMMYFUNCTION("""COMPUTED_VALUE"""),"Bamberg, Kreisfreie Stadt")</f>
        <v>Bamberg, Kreisfreie Stadt</v>
      </c>
      <c r="B153" t="str">
        <f ca="1">IFERROR(__xludf.DUMMYFUNCTION("""COMPUTED_VALUE"""),"DE241")</f>
        <v>DE241</v>
      </c>
    </row>
    <row r="154" spans="1:2" ht="12.5" x14ac:dyDescent="0.25">
      <c r="A154" t="str">
        <f ca="1">IFERROR(__xludf.DUMMYFUNCTION("""COMPUTED_VALUE"""),"Bamberg, Landkreis")</f>
        <v>Bamberg, Landkreis</v>
      </c>
      <c r="B154" t="str">
        <f ca="1">IFERROR(__xludf.DUMMYFUNCTION("""COMPUTED_VALUE"""),"DE245")</f>
        <v>DE245</v>
      </c>
    </row>
    <row r="155" spans="1:2" ht="12.5" x14ac:dyDescent="0.25">
      <c r="A155" t="str">
        <f ca="1">IFERROR(__xludf.DUMMYFUNCTION("""COMPUTED_VALUE"""),"Banskobystricky Kraj")</f>
        <v>Banskobystricky Kraj</v>
      </c>
      <c r="B155" t="str">
        <f ca="1">IFERROR(__xludf.DUMMYFUNCTION("""COMPUTED_VALUE"""),"SK032")</f>
        <v>SK032</v>
      </c>
    </row>
    <row r="156" spans="1:2" ht="12.5" x14ac:dyDescent="0.25">
      <c r="A156" t="str">
        <f ca="1">IFERROR(__xludf.DUMMYFUNCTION("""COMPUTED_VALUE"""),"Baranya")</f>
        <v>Baranya</v>
      </c>
      <c r="B156" t="str">
        <f ca="1">IFERROR(__xludf.DUMMYFUNCTION("""COMPUTED_VALUE"""),"HU231")</f>
        <v>HU231</v>
      </c>
    </row>
    <row r="157" spans="1:2" ht="12.5" x14ac:dyDescent="0.25">
      <c r="A157" t="str">
        <f ca="1">IFERROR(__xludf.DUMMYFUNCTION("""COMPUTED_VALUE"""),"Barcelona")</f>
        <v>Barcelona</v>
      </c>
      <c r="B157" t="str">
        <f ca="1">IFERROR(__xludf.DUMMYFUNCTION("""COMPUTED_VALUE"""),"ES511")</f>
        <v>ES511</v>
      </c>
    </row>
    <row r="158" spans="1:2" ht="12.5" x14ac:dyDescent="0.25">
      <c r="A158" t="str">
        <f ca="1">IFERROR(__xludf.DUMMYFUNCTION("""COMPUTED_VALUE"""),"Bari")</f>
        <v>Bari</v>
      </c>
      <c r="B158" t="str">
        <f ca="1">IFERROR(__xludf.DUMMYFUNCTION("""COMPUTED_VALUE"""),"ITF42")</f>
        <v>ITF42</v>
      </c>
    </row>
    <row r="159" spans="1:2" ht="12.5" x14ac:dyDescent="0.25">
      <c r="A159" t="str">
        <f ca="1">IFERROR(__xludf.DUMMYFUNCTION("""COMPUTED_VALUE"""),"Barnim")</f>
        <v>Barnim</v>
      </c>
      <c r="B159" t="str">
        <f ca="1">IFERROR(__xludf.DUMMYFUNCTION("""COMPUTED_VALUE"""),"DE412")</f>
        <v>DE412</v>
      </c>
    </row>
    <row r="160" spans="1:2" ht="12.5" x14ac:dyDescent="0.25">
      <c r="A160" t="str">
        <f ca="1">IFERROR(__xludf.DUMMYFUNCTION("""COMPUTED_VALUE"""),"Barnsley, Doncaster And Rotherham")</f>
        <v>Barnsley, Doncaster And Rotherham</v>
      </c>
      <c r="B160" t="str">
        <f ca="1">IFERROR(__xludf.DUMMYFUNCTION("""COMPUTED_VALUE"""),"UKE31")</f>
        <v>UKE31</v>
      </c>
    </row>
    <row r="161" spans="1:2" ht="12.5" x14ac:dyDescent="0.25">
      <c r="A161" t="str">
        <f ca="1">IFERROR(__xludf.DUMMYFUNCTION("""COMPUTED_VALUE"""),"Bas-Rhin")</f>
        <v>Bas-Rhin</v>
      </c>
      <c r="B161" t="str">
        <f ca="1">IFERROR(__xludf.DUMMYFUNCTION("""COMPUTED_VALUE"""),"FR421")</f>
        <v>FR421</v>
      </c>
    </row>
    <row r="162" spans="1:2" ht="12.5" x14ac:dyDescent="0.25">
      <c r="A162" t="str">
        <f ca="1">IFERROR(__xludf.DUMMYFUNCTION("""COMPUTED_VALUE"""),"Basel-Landschaft")</f>
        <v>Basel-Landschaft</v>
      </c>
      <c r="B162" t="str">
        <f ca="1">IFERROR(__xludf.DUMMYFUNCTION("""COMPUTED_VALUE"""),"CH032")</f>
        <v>CH032</v>
      </c>
    </row>
    <row r="163" spans="1:2" ht="12.5" x14ac:dyDescent="0.25">
      <c r="A163" t="str">
        <f ca="1">IFERROR(__xludf.DUMMYFUNCTION("""COMPUTED_VALUE"""),"Basel-Stadt")</f>
        <v>Basel-Stadt</v>
      </c>
      <c r="B163" t="str">
        <f ca="1">IFERROR(__xludf.DUMMYFUNCTION("""COMPUTED_VALUE"""),"CH031")</f>
        <v>CH031</v>
      </c>
    </row>
    <row r="164" spans="1:2" ht="12.5" x14ac:dyDescent="0.25">
      <c r="A164" t="str">
        <f ca="1">IFERROR(__xludf.DUMMYFUNCTION("""COMPUTED_VALUE"""),"Basilicata")</f>
        <v>Basilicata</v>
      </c>
      <c r="B164" t="str">
        <f ca="1">IFERROR(__xludf.DUMMYFUNCTION("""COMPUTED_VALUE"""),"ITF5")</f>
        <v>ITF5</v>
      </c>
    </row>
    <row r="165" spans="1:2" ht="12.5" x14ac:dyDescent="0.25">
      <c r="A165" t="str">
        <f ca="1">IFERROR(__xludf.DUMMYFUNCTION("""COMPUTED_VALUE"""),"Basse-Normandie")</f>
        <v>Basse-Normandie</v>
      </c>
      <c r="B165" t="str">
        <f ca="1">IFERROR(__xludf.DUMMYFUNCTION("""COMPUTED_VALUE"""),"FR25")</f>
        <v>FR25</v>
      </c>
    </row>
    <row r="166" spans="1:2" ht="12.5" x14ac:dyDescent="0.25">
      <c r="A166" t="str">
        <f ca="1">IFERROR(__xludf.DUMMYFUNCTION("""COMPUTED_VALUE"""),"Bassin Parisien")</f>
        <v>Bassin Parisien</v>
      </c>
      <c r="B166" t="str">
        <f ca="1">IFERROR(__xludf.DUMMYFUNCTION("""COMPUTED_VALUE"""),"FR2")</f>
        <v>FR2</v>
      </c>
    </row>
    <row r="167" spans="1:2" ht="12.5" x14ac:dyDescent="0.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x14ac:dyDescent="0.25">
      <c r="A168" t="str">
        <f ca="1">IFERROR(__xludf.DUMMYFUNCTION("""COMPUTED_VALUE"""),"Bautzen")</f>
        <v>Bautzen</v>
      </c>
      <c r="B168" t="str">
        <f ca="1">IFERROR(__xludf.DUMMYFUNCTION("""COMPUTED_VALUE"""),"DED24")</f>
        <v>DED24</v>
      </c>
    </row>
    <row r="169" spans="1:2" ht="12.5" x14ac:dyDescent="0.25">
      <c r="A169" t="str">
        <f ca="1">IFERROR(__xludf.DUMMYFUNCTION("""COMPUTED_VALUE"""),"Bayern")</f>
        <v>Bayern</v>
      </c>
      <c r="B169" t="str">
        <f ca="1">IFERROR(__xludf.DUMMYFUNCTION("""COMPUTED_VALUE"""),"DE2")</f>
        <v>DE2</v>
      </c>
    </row>
    <row r="170" spans="1:2" ht="12.5" x14ac:dyDescent="0.25">
      <c r="A170" t="str">
        <f ca="1">IFERROR(__xludf.DUMMYFUNCTION("""COMPUTED_VALUE"""),"Bayreuth, Kreisfreie Stadt")</f>
        <v>Bayreuth, Kreisfreie Stadt</v>
      </c>
      <c r="B170" t="str">
        <f ca="1">IFERROR(__xludf.DUMMYFUNCTION("""COMPUTED_VALUE"""),"DE242")</f>
        <v>DE242</v>
      </c>
    </row>
    <row r="171" spans="1:2" ht="12.5" x14ac:dyDescent="0.25">
      <c r="A171" t="str">
        <f ca="1">IFERROR(__xludf.DUMMYFUNCTION("""COMPUTED_VALUE"""),"Bayreuth, Landkreis")</f>
        <v>Bayreuth, Landkreis</v>
      </c>
      <c r="B171" t="str">
        <f ca="1">IFERROR(__xludf.DUMMYFUNCTION("""COMPUTED_VALUE"""),"DE246")</f>
        <v>DE246</v>
      </c>
    </row>
    <row r="172" spans="1:2" ht="12.5" x14ac:dyDescent="0.25">
      <c r="A172" t="str">
        <f ca="1">IFERROR(__xludf.DUMMYFUNCTION("""COMPUTED_VALUE"""),"Bedfordshire And Hertfordshire")</f>
        <v>Bedfordshire And Hertfordshire</v>
      </c>
      <c r="B172" t="str">
        <f ca="1">IFERROR(__xludf.DUMMYFUNCTION("""COMPUTED_VALUE"""),"UKH2")</f>
        <v>UKH2</v>
      </c>
    </row>
    <row r="173" spans="1:2" ht="12.5" x14ac:dyDescent="0.25">
      <c r="A173" t="str">
        <f ca="1">IFERROR(__xludf.DUMMYFUNCTION("""COMPUTED_VALUE"""),"Bedfordshire Cc")</f>
        <v>Bedfordshire Cc</v>
      </c>
      <c r="B173" t="str">
        <f ca="1">IFERROR(__xludf.DUMMYFUNCTION("""COMPUTED_VALUE"""),"UKH22")</f>
        <v>UKH22</v>
      </c>
    </row>
    <row r="174" spans="1:2" ht="12.5" x14ac:dyDescent="0.25">
      <c r="A174" t="str">
        <f ca="1">IFERROR(__xludf.DUMMYFUNCTION("""COMPUTED_VALUE"""),"Beira Interior Norte")</f>
        <v>Beira Interior Norte</v>
      </c>
      <c r="B174" t="str">
        <f ca="1">IFERROR(__xludf.DUMMYFUNCTION("""COMPUTED_VALUE"""),"PT168")</f>
        <v>PT168</v>
      </c>
    </row>
    <row r="175" spans="1:2" ht="12.5" x14ac:dyDescent="0.25">
      <c r="A175" t="str">
        <f ca="1">IFERROR(__xludf.DUMMYFUNCTION("""COMPUTED_VALUE"""),"Beira Interior Sul")</f>
        <v>Beira Interior Sul</v>
      </c>
      <c r="B175" t="str">
        <f ca="1">IFERROR(__xludf.DUMMYFUNCTION("""COMPUTED_VALUE"""),"PT169")</f>
        <v>PT169</v>
      </c>
    </row>
    <row r="176" spans="1:2" ht="12.5" x14ac:dyDescent="0.25">
      <c r="A176" t="str">
        <f ca="1">IFERROR(__xludf.DUMMYFUNCTION("""COMPUTED_VALUE"""),"Bekes")</f>
        <v>Bekes</v>
      </c>
      <c r="B176" t="str">
        <f ca="1">IFERROR(__xludf.DUMMYFUNCTION("""COMPUTED_VALUE"""),"HU332")</f>
        <v>HU332</v>
      </c>
    </row>
    <row r="177" spans="1:2" ht="12.5" x14ac:dyDescent="0.25">
      <c r="A177" t="str">
        <f ca="1">IFERROR(__xludf.DUMMYFUNCTION("""COMPUTED_VALUE"""),"Belfast")</f>
        <v>Belfast</v>
      </c>
      <c r="B177" t="str">
        <f ca="1">IFERROR(__xludf.DUMMYFUNCTION("""COMPUTED_VALUE"""),"UKN01")</f>
        <v>UKN01</v>
      </c>
    </row>
    <row r="178" spans="1:2" ht="12.5" x14ac:dyDescent="0.25">
      <c r="A178" t="str">
        <f ca="1">IFERROR(__xludf.DUMMYFUNCTION("""COMPUTED_VALUE"""),"Belgique-België")</f>
        <v>Belgique-België</v>
      </c>
      <c r="B178" t="str">
        <f ca="1">IFERROR(__xludf.DUMMYFUNCTION("""COMPUTED_VALUE"""),"BE")</f>
        <v>BE</v>
      </c>
    </row>
    <row r="179" spans="1:2" ht="12.5" x14ac:dyDescent="0.25">
      <c r="A179" t="str">
        <f ca="1">IFERROR(__xludf.DUMMYFUNCTION("""COMPUTED_VALUE"""),"Belluno")</f>
        <v>Belluno</v>
      </c>
      <c r="B179" t="str">
        <f ca="1">IFERROR(__xludf.DUMMYFUNCTION("""COMPUTED_VALUE"""),"ITD33")</f>
        <v>ITD33</v>
      </c>
    </row>
    <row r="180" spans="1:2" ht="12.5" x14ac:dyDescent="0.25">
      <c r="A180" t="str">
        <f ca="1">IFERROR(__xludf.DUMMYFUNCTION("""COMPUTED_VALUE"""),"Benevento")</f>
        <v>Benevento</v>
      </c>
      <c r="B180" t="str">
        <f ca="1">IFERROR(__xludf.DUMMYFUNCTION("""COMPUTED_VALUE"""),"ITF32")</f>
        <v>ITF32</v>
      </c>
    </row>
    <row r="181" spans="1:2" ht="12.5" x14ac:dyDescent="0.25">
      <c r="A181" t="str">
        <f ca="1">IFERROR(__xludf.DUMMYFUNCTION("""COMPUTED_VALUE"""),"Berchtesgadener Land")</f>
        <v>Berchtesgadener Land</v>
      </c>
      <c r="B181" t="str">
        <f ca="1">IFERROR(__xludf.DUMMYFUNCTION("""COMPUTED_VALUE"""),"DE215")</f>
        <v>DE215</v>
      </c>
    </row>
    <row r="182" spans="1:2" ht="12.5" x14ac:dyDescent="0.25">
      <c r="A182" t="str">
        <f ca="1">IFERROR(__xludf.DUMMYFUNCTION("""COMPUTED_VALUE"""),"Bergamo")</f>
        <v>Bergamo</v>
      </c>
      <c r="B182" t="str">
        <f ca="1">IFERROR(__xludf.DUMMYFUNCTION("""COMPUTED_VALUE"""),"ITC46")</f>
        <v>ITC46</v>
      </c>
    </row>
    <row r="183" spans="1:2" ht="12.5" x14ac:dyDescent="0.25">
      <c r="A183" t="str">
        <f ca="1">IFERROR(__xludf.DUMMYFUNCTION("""COMPUTED_VALUE"""),"Bergstraße")</f>
        <v>Bergstraße</v>
      </c>
      <c r="B183" t="str">
        <f ca="1">IFERROR(__xludf.DUMMYFUNCTION("""COMPUTED_VALUE"""),"DE715")</f>
        <v>DE715</v>
      </c>
    </row>
    <row r="184" spans="1:2" ht="12.5" x14ac:dyDescent="0.25">
      <c r="A184" t="str">
        <f ca="1">IFERROR(__xludf.DUMMYFUNCTION("""COMPUTED_VALUE"""),"Berkshire")</f>
        <v>Berkshire</v>
      </c>
      <c r="B184" t="str">
        <f ca="1">IFERROR(__xludf.DUMMYFUNCTION("""COMPUTED_VALUE"""),"UKJ11")</f>
        <v>UKJ11</v>
      </c>
    </row>
    <row r="185" spans="1:2" ht="12.5" x14ac:dyDescent="0.25">
      <c r="A185" t="str">
        <f ca="1">IFERROR(__xludf.DUMMYFUNCTION("""COMPUTED_VALUE"""),"Berkshire, Buckinghamshire And Oxfordshire")</f>
        <v>Berkshire, Buckinghamshire And Oxfordshire</v>
      </c>
      <c r="B185" t="str">
        <f ca="1">IFERROR(__xludf.DUMMYFUNCTION("""COMPUTED_VALUE"""),"UKJ1")</f>
        <v>UKJ1</v>
      </c>
    </row>
    <row r="186" spans="1:2" ht="12.5" x14ac:dyDescent="0.25">
      <c r="A186" t="str">
        <f ca="1">IFERROR(__xludf.DUMMYFUNCTION("""COMPUTED_VALUE"""),"Berlin")</f>
        <v>Berlin</v>
      </c>
      <c r="B186" t="str">
        <f ca="1">IFERROR(__xludf.DUMMYFUNCTION("""COMPUTED_VALUE"""),"DE3")</f>
        <v>DE3</v>
      </c>
    </row>
    <row r="187" spans="1:2" ht="12.5" x14ac:dyDescent="0.25">
      <c r="A187" t="str">
        <f ca="1">IFERROR(__xludf.DUMMYFUNCTION("""COMPUTED_VALUE"""),"Berlin (*)")</f>
        <v>Berlin (*)</v>
      </c>
      <c r="B187" t="str">
        <f ca="1">IFERROR(__xludf.DUMMYFUNCTION("""COMPUTED_VALUE"""),"DE30")</f>
        <v>DE30</v>
      </c>
    </row>
    <row r="188" spans="1:2" ht="12.5" x14ac:dyDescent="0.25">
      <c r="A188" t="str">
        <f ca="1">IFERROR(__xludf.DUMMYFUNCTION("""COMPUTED_VALUE"""),"Berlin (**)")</f>
        <v>Berlin (**)</v>
      </c>
      <c r="B188" t="str">
        <f ca="1">IFERROR(__xludf.DUMMYFUNCTION("""COMPUTED_VALUE"""),"DE300")</f>
        <v>DE300</v>
      </c>
    </row>
    <row r="189" spans="1:2" ht="12.5" x14ac:dyDescent="0.25">
      <c r="A189" t="str">
        <f ca="1">IFERROR(__xludf.DUMMYFUNCTION("""COMPUTED_VALUE"""),"Bern")</f>
        <v>Bern</v>
      </c>
      <c r="B189" t="str">
        <f ca="1">IFERROR(__xludf.DUMMYFUNCTION("""COMPUTED_VALUE"""),"CH021")</f>
        <v>CH021</v>
      </c>
    </row>
    <row r="190" spans="1:2" ht="12.5" x14ac:dyDescent="0.25">
      <c r="A190" t="str">
        <f ca="1">IFERROR(__xludf.DUMMYFUNCTION("""COMPUTED_VALUE"""),"Bernkastel-Wittlich")</f>
        <v>Bernkastel-Wittlich</v>
      </c>
      <c r="B190" t="str">
        <f ca="1">IFERROR(__xludf.DUMMYFUNCTION("""COMPUTED_VALUE"""),"DEB22")</f>
        <v>DEB22</v>
      </c>
    </row>
    <row r="191" spans="1:2" ht="12.5" x14ac:dyDescent="0.25">
      <c r="A191" t="str">
        <f ca="1">IFERROR(__xludf.DUMMYFUNCTION("""COMPUTED_VALUE"""),"Bezirk Verviers - Deutschsprachige Gemeinschaft")</f>
        <v>Bezirk Verviers - Deutschsprachige Gemeinschaft</v>
      </c>
      <c r="B191" t="str">
        <f ca="1">IFERROR(__xludf.DUMMYFUNCTION("""COMPUTED_VALUE"""),"BE336")</f>
        <v>BE336</v>
      </c>
    </row>
    <row r="192" spans="1:2" ht="12.5" x14ac:dyDescent="0.25">
      <c r="A192" t="str">
        <f ca="1">IFERROR(__xludf.DUMMYFUNCTION("""COMPUTED_VALUE"""),"Bialostocki")</f>
        <v>Bialostocki</v>
      </c>
      <c r="B192" t="str">
        <f ca="1">IFERROR(__xludf.DUMMYFUNCTION("""COMPUTED_VALUE"""),"PL343")</f>
        <v>PL343</v>
      </c>
    </row>
    <row r="193" spans="1:2" ht="12.5" x14ac:dyDescent="0.25">
      <c r="A193" t="str">
        <f ca="1">IFERROR(__xludf.DUMMYFUNCTION("""COMPUTED_VALUE"""),"Bialski")</f>
        <v>Bialski</v>
      </c>
      <c r="B193" t="str">
        <f ca="1">IFERROR(__xludf.DUMMYFUNCTION("""COMPUTED_VALUE"""),"PL311")</f>
        <v>PL311</v>
      </c>
    </row>
    <row r="194" spans="1:2" ht="12.5" x14ac:dyDescent="0.25">
      <c r="A194" t="str">
        <f ca="1">IFERROR(__xludf.DUMMYFUNCTION("""COMPUTED_VALUE"""),"Biberach")</f>
        <v>Biberach</v>
      </c>
      <c r="B194" t="str">
        <f ca="1">IFERROR(__xludf.DUMMYFUNCTION("""COMPUTED_VALUE"""),"DE146")</f>
        <v>DE146</v>
      </c>
    </row>
    <row r="195" spans="1:2" ht="12.5" x14ac:dyDescent="0.25">
      <c r="A195" t="str">
        <f ca="1">IFERROR(__xludf.DUMMYFUNCTION("""COMPUTED_VALUE"""),"Bielefeld, Kreisfreie Stadt")</f>
        <v>Bielefeld, Kreisfreie Stadt</v>
      </c>
      <c r="B195" t="str">
        <f ca="1">IFERROR(__xludf.DUMMYFUNCTION("""COMPUTED_VALUE"""),"DEA41")</f>
        <v>DEA41</v>
      </c>
    </row>
    <row r="196" spans="1:2" ht="12.5" x14ac:dyDescent="0.25">
      <c r="A196" t="str">
        <f ca="1">IFERROR(__xludf.DUMMYFUNCTION("""COMPUTED_VALUE"""),"Biella")</f>
        <v>Biella</v>
      </c>
      <c r="B196" t="str">
        <f ca="1">IFERROR(__xludf.DUMMYFUNCTION("""COMPUTED_VALUE"""),"ITC13")</f>
        <v>ITC13</v>
      </c>
    </row>
    <row r="197" spans="1:2" ht="12.5" x14ac:dyDescent="0.25">
      <c r="A197" t="str">
        <f ca="1">IFERROR(__xludf.DUMMYFUNCTION("""COMPUTED_VALUE"""),"Bielski")</f>
        <v>Bielski</v>
      </c>
      <c r="B197" t="str">
        <f ca="1">IFERROR(__xludf.DUMMYFUNCTION("""COMPUTED_VALUE"""),"PL225")</f>
        <v>PL225</v>
      </c>
    </row>
    <row r="198" spans="1:2" ht="12.5" x14ac:dyDescent="0.25">
      <c r="A198" t="str">
        <f ca="1">IFERROR(__xludf.DUMMYFUNCTION("""COMPUTED_VALUE"""),"Bihor")</f>
        <v>Bihor</v>
      </c>
      <c r="B198" t="str">
        <f ca="1">IFERROR(__xludf.DUMMYFUNCTION("""COMPUTED_VALUE"""),"RO111")</f>
        <v>RO111</v>
      </c>
    </row>
    <row r="199" spans="1:2" ht="12.5" x14ac:dyDescent="0.25">
      <c r="A199" t="str">
        <f ca="1">IFERROR(__xludf.DUMMYFUNCTION("""COMPUTED_VALUE"""),"Birkenfeld")</f>
        <v>Birkenfeld</v>
      </c>
      <c r="B199" t="str">
        <f ca="1">IFERROR(__xludf.DUMMYFUNCTION("""COMPUTED_VALUE"""),"DEB15")</f>
        <v>DEB15</v>
      </c>
    </row>
    <row r="200" spans="1:2" ht="12.5" x14ac:dyDescent="0.25">
      <c r="A200" t="str">
        <f ca="1">IFERROR(__xludf.DUMMYFUNCTION("""COMPUTED_VALUE"""),"Birmingham")</f>
        <v>Birmingham</v>
      </c>
      <c r="B200" t="str">
        <f ca="1">IFERROR(__xludf.DUMMYFUNCTION("""COMPUTED_VALUE"""),"UKG31")</f>
        <v>UKG31</v>
      </c>
    </row>
    <row r="201" spans="1:2" ht="12.5" x14ac:dyDescent="0.25">
      <c r="A201" t="str">
        <f ca="1">IFERROR(__xludf.DUMMYFUNCTION("""COMPUTED_VALUE"""),"Bistrita-Nasaud")</f>
        <v>Bistrita-Nasaud</v>
      </c>
      <c r="B201" t="str">
        <f ca="1">IFERROR(__xludf.DUMMYFUNCTION("""COMPUTED_VALUE"""),"RO112")</f>
        <v>RO112</v>
      </c>
    </row>
    <row r="202" spans="1:2" ht="12.5" x14ac:dyDescent="0.25">
      <c r="A202" t="str">
        <f ca="1">IFERROR(__xludf.DUMMYFUNCTION("""COMPUTED_VALUE"""),"Bitburg-Prüm")</f>
        <v>Bitburg-Prüm</v>
      </c>
      <c r="B202" t="str">
        <f ca="1">IFERROR(__xludf.DUMMYFUNCTION("""COMPUTED_VALUE"""),"DEB23")</f>
        <v>DEB23</v>
      </c>
    </row>
    <row r="203" spans="1:2" ht="12.5" x14ac:dyDescent="0.25">
      <c r="A203" t="str">
        <f ca="1">IFERROR(__xludf.DUMMYFUNCTION("""COMPUTED_VALUE"""),"Blackburn With Darwen")</f>
        <v>Blackburn With Darwen</v>
      </c>
      <c r="B203" t="str">
        <f ca="1">IFERROR(__xludf.DUMMYFUNCTION("""COMPUTED_VALUE"""),"UKD41")</f>
        <v>UKD41</v>
      </c>
    </row>
    <row r="204" spans="1:2" ht="12.5" x14ac:dyDescent="0.25">
      <c r="A204" t="str">
        <f ca="1">IFERROR(__xludf.DUMMYFUNCTION("""COMPUTED_VALUE"""),"Blackpool")</f>
        <v>Blackpool</v>
      </c>
      <c r="B204" t="str">
        <f ca="1">IFERROR(__xludf.DUMMYFUNCTION("""COMPUTED_VALUE"""),"UKD42")</f>
        <v>UKD42</v>
      </c>
    </row>
    <row r="205" spans="1:2" ht="12.5" x14ac:dyDescent="0.25">
      <c r="A205" t="str">
        <f ca="1">IFERROR(__xludf.DUMMYFUNCTION("""COMPUTED_VALUE"""),"Blagoevgrad")</f>
        <v>Blagoevgrad</v>
      </c>
      <c r="B205" t="str">
        <f ca="1">IFERROR(__xludf.DUMMYFUNCTION("""COMPUTED_VALUE"""),"BG413")</f>
        <v>BG413</v>
      </c>
    </row>
    <row r="206" spans="1:2" ht="12.5" x14ac:dyDescent="0.25">
      <c r="A206" t="str">
        <f ca="1">IFERROR(__xludf.DUMMYFUNCTION("""COMPUTED_VALUE"""),"Blekinge Län")</f>
        <v>Blekinge Län</v>
      </c>
      <c r="B206" t="str">
        <f ca="1">IFERROR(__xludf.DUMMYFUNCTION("""COMPUTED_VALUE"""),"SE221")</f>
        <v>SE221</v>
      </c>
    </row>
    <row r="207" spans="1:2" ht="12.5" x14ac:dyDescent="0.25">
      <c r="A207" t="str">
        <f ca="1">IFERROR(__xludf.DUMMYFUNCTION("""COMPUTED_VALUE"""),"Bludenz-Bregenzer Wald")</f>
        <v>Bludenz-Bregenzer Wald</v>
      </c>
      <c r="B207" t="str">
        <f ca="1">IFERROR(__xludf.DUMMYFUNCTION("""COMPUTED_VALUE"""),"AT341")</f>
        <v>AT341</v>
      </c>
    </row>
    <row r="208" spans="1:2" ht="12.5" x14ac:dyDescent="0.25">
      <c r="A208" t="str">
        <f ca="1">IFERROR(__xludf.DUMMYFUNCTION("""COMPUTED_VALUE"""),"Böblingen")</f>
        <v>Böblingen</v>
      </c>
      <c r="B208" t="str">
        <f ca="1">IFERROR(__xludf.DUMMYFUNCTION("""COMPUTED_VALUE"""),"DE112")</f>
        <v>DE112</v>
      </c>
    </row>
    <row r="209" spans="1:2" ht="12.5" x14ac:dyDescent="0.25">
      <c r="A209" t="str">
        <f ca="1">IFERROR(__xludf.DUMMYFUNCTION("""COMPUTED_VALUE"""),"Bochum, Kreisfreie Stadt")</f>
        <v>Bochum, Kreisfreie Stadt</v>
      </c>
      <c r="B209" t="str">
        <f ca="1">IFERROR(__xludf.DUMMYFUNCTION("""COMPUTED_VALUE"""),"DEA51")</f>
        <v>DEA51</v>
      </c>
    </row>
    <row r="210" spans="1:2" ht="12.5" x14ac:dyDescent="0.25">
      <c r="A210" t="str">
        <f ca="1">IFERROR(__xludf.DUMMYFUNCTION("""COMPUTED_VALUE"""),"Bodenseekreis")</f>
        <v>Bodenseekreis</v>
      </c>
      <c r="B210" t="str">
        <f ca="1">IFERROR(__xludf.DUMMYFUNCTION("""COMPUTED_VALUE"""),"DE147")</f>
        <v>DE147</v>
      </c>
    </row>
    <row r="211" spans="1:2" ht="12.5" x14ac:dyDescent="0.25">
      <c r="A211" t="str">
        <f ca="1">IFERROR(__xludf.DUMMYFUNCTION("""COMPUTED_VALUE"""),"Bologna")</f>
        <v>Bologna</v>
      </c>
      <c r="B211" t="str">
        <f ca="1">IFERROR(__xludf.DUMMYFUNCTION("""COMPUTED_VALUE"""),"ITD55")</f>
        <v>ITD55</v>
      </c>
    </row>
    <row r="212" spans="1:2" ht="12.5" x14ac:dyDescent="0.25">
      <c r="A212" t="str">
        <f ca="1">IFERROR(__xludf.DUMMYFUNCTION("""COMPUTED_VALUE"""),"Bolzano-Bozen")</f>
        <v>Bolzano-Bozen</v>
      </c>
      <c r="B212" t="str">
        <f ca="1">IFERROR(__xludf.DUMMYFUNCTION("""COMPUTED_VALUE"""),"ITD10")</f>
        <v>ITD10</v>
      </c>
    </row>
    <row r="213" spans="1:2" ht="12.5" x14ac:dyDescent="0.25">
      <c r="A213" t="str">
        <f ca="1">IFERROR(__xludf.DUMMYFUNCTION("""COMPUTED_VALUE"""),"Bonn, Kreisfreie Stadt")</f>
        <v>Bonn, Kreisfreie Stadt</v>
      </c>
      <c r="B213" t="str">
        <f ca="1">IFERROR(__xludf.DUMMYFUNCTION("""COMPUTED_VALUE"""),"DEA22")</f>
        <v>DEA22</v>
      </c>
    </row>
    <row r="214" spans="1:2" ht="12.5" x14ac:dyDescent="0.25">
      <c r="A214" t="str">
        <f ca="1">IFERROR(__xludf.DUMMYFUNCTION("""COMPUTED_VALUE"""),"Börde")</f>
        <v>Börde</v>
      </c>
      <c r="B214" t="str">
        <f ca="1">IFERROR(__xludf.DUMMYFUNCTION("""COMPUTED_VALUE"""),"DEE07")</f>
        <v>DEE07</v>
      </c>
    </row>
    <row r="215" spans="1:2" ht="12.5" x14ac:dyDescent="0.25">
      <c r="A215" t="str">
        <f ca="1">IFERROR(__xludf.DUMMYFUNCTION("""COMPUTED_VALUE"""),"Border")</f>
        <v>Border</v>
      </c>
      <c r="B215" t="str">
        <f ca="1">IFERROR(__xludf.DUMMYFUNCTION("""COMPUTED_VALUE"""),"IE011")</f>
        <v>IE011</v>
      </c>
    </row>
    <row r="216" spans="1:2" ht="12.5" x14ac:dyDescent="0.25">
      <c r="A216" t="str">
        <f ca="1">IFERROR(__xludf.DUMMYFUNCTION("""COMPUTED_VALUE"""),"Border, Midland And Western")</f>
        <v>Border, Midland And Western</v>
      </c>
      <c r="B216" t="str">
        <f ca="1">IFERROR(__xludf.DUMMYFUNCTION("""COMPUTED_VALUE"""),"IE01")</f>
        <v>IE01</v>
      </c>
    </row>
    <row r="217" spans="1:2" ht="12.5" x14ac:dyDescent="0.25">
      <c r="A217" t="str">
        <f ca="1">IFERROR(__xludf.DUMMYFUNCTION("""COMPUTED_VALUE"""),"Borken")</f>
        <v>Borken</v>
      </c>
      <c r="B217" t="str">
        <f ca="1">IFERROR(__xludf.DUMMYFUNCTION("""COMPUTED_VALUE"""),"DEA34")</f>
        <v>DEA34</v>
      </c>
    </row>
    <row r="218" spans="1:2" ht="12.5" x14ac:dyDescent="0.25">
      <c r="A218" t="str">
        <f ca="1">IFERROR(__xludf.DUMMYFUNCTION("""COMPUTED_VALUE"""),"Bornholm")</f>
        <v>Bornholm</v>
      </c>
      <c r="B218" t="str">
        <f ca="1">IFERROR(__xludf.DUMMYFUNCTION("""COMPUTED_VALUE"""),"DK014")</f>
        <v>DK014</v>
      </c>
    </row>
    <row r="219" spans="1:2" ht="12.5" x14ac:dyDescent="0.25">
      <c r="A219" t="str">
        <f ca="1">IFERROR(__xludf.DUMMYFUNCTION("""COMPUTED_VALUE"""),"Borsod-Abauj-Zemplen")</f>
        <v>Borsod-Abauj-Zemplen</v>
      </c>
      <c r="B219" t="str">
        <f ca="1">IFERROR(__xludf.DUMMYFUNCTION("""COMPUTED_VALUE"""),"HU311")</f>
        <v>HU311</v>
      </c>
    </row>
    <row r="220" spans="1:2" ht="12.5" x14ac:dyDescent="0.25">
      <c r="A220" t="str">
        <f ca="1">IFERROR(__xludf.DUMMYFUNCTION("""COMPUTED_VALUE"""),"Botosani")</f>
        <v>Botosani</v>
      </c>
      <c r="B220" t="str">
        <f ca="1">IFERROR(__xludf.DUMMYFUNCTION("""COMPUTED_VALUE"""),"RO212")</f>
        <v>RO212</v>
      </c>
    </row>
    <row r="221" spans="1:2" ht="12.5" x14ac:dyDescent="0.25">
      <c r="A221" t="str">
        <f ca="1">IFERROR(__xludf.DUMMYFUNCTION("""COMPUTED_VALUE"""),"Bottrop, Kreisfreie Stadt")</f>
        <v>Bottrop, Kreisfreie Stadt</v>
      </c>
      <c r="B221" t="str">
        <f ca="1">IFERROR(__xludf.DUMMYFUNCTION("""COMPUTED_VALUE"""),"DEA31")</f>
        <v>DEA31</v>
      </c>
    </row>
    <row r="222" spans="1:2" ht="12.5" x14ac:dyDescent="0.25">
      <c r="A222" t="str">
        <f ca="1">IFERROR(__xludf.DUMMYFUNCTION("""COMPUTED_VALUE"""),"Bouches-Du-Rhône")</f>
        <v>Bouches-Du-Rhône</v>
      </c>
      <c r="B222" t="str">
        <f ca="1">IFERROR(__xludf.DUMMYFUNCTION("""COMPUTED_VALUE"""),"FR824")</f>
        <v>FR824</v>
      </c>
    </row>
    <row r="223" spans="1:2" ht="12.5" x14ac:dyDescent="0.25">
      <c r="A223" t="str">
        <f ca="1">IFERROR(__xludf.DUMMYFUNCTION("""COMPUTED_VALUE"""),"Bourgogne")</f>
        <v>Bourgogne</v>
      </c>
      <c r="B223" t="str">
        <f ca="1">IFERROR(__xludf.DUMMYFUNCTION("""COMPUTED_VALUE"""),"FR26")</f>
        <v>FR26</v>
      </c>
    </row>
    <row r="224" spans="1:2" ht="12.5" x14ac:dyDescent="0.25">
      <c r="A224" t="str">
        <f ca="1">IFERROR(__xludf.DUMMYFUNCTION("""COMPUTED_VALUE"""),"Bournemouth And Poole")</f>
        <v>Bournemouth And Poole</v>
      </c>
      <c r="B224" t="str">
        <f ca="1">IFERROR(__xludf.DUMMYFUNCTION("""COMPUTED_VALUE"""),"UKK21")</f>
        <v>UKK21</v>
      </c>
    </row>
    <row r="225" spans="1:2" ht="12.5" x14ac:dyDescent="0.25">
      <c r="A225" t="str">
        <f ca="1">IFERROR(__xludf.DUMMYFUNCTION("""COMPUTED_VALUE"""),"Bradford")</f>
        <v>Bradford</v>
      </c>
      <c r="B225" t="str">
        <f ca="1">IFERROR(__xludf.DUMMYFUNCTION("""COMPUTED_VALUE"""),"UKE41")</f>
        <v>UKE41</v>
      </c>
    </row>
    <row r="226" spans="1:2" ht="12.5" x14ac:dyDescent="0.25">
      <c r="A226" t="str">
        <f ca="1">IFERROR(__xludf.DUMMYFUNCTION("""COMPUTED_VALUE"""),"Braila")</f>
        <v>Braila</v>
      </c>
      <c r="B226" t="str">
        <f ca="1">IFERROR(__xludf.DUMMYFUNCTION("""COMPUTED_VALUE"""),"RO221")</f>
        <v>RO221</v>
      </c>
    </row>
    <row r="227" spans="1:2" ht="12.5" x14ac:dyDescent="0.25">
      <c r="A227" t="str">
        <f ca="1">IFERROR(__xludf.DUMMYFUNCTION("""COMPUTED_VALUE"""),"Brandenburg")</f>
        <v>Brandenburg</v>
      </c>
      <c r="B227" t="str">
        <f ca="1">IFERROR(__xludf.DUMMYFUNCTION("""COMPUTED_VALUE"""),"DE4")</f>
        <v>DE4</v>
      </c>
    </row>
    <row r="228" spans="1:2" ht="12.5" x14ac:dyDescent="0.25">
      <c r="A228" t="str">
        <f ca="1">IFERROR(__xludf.DUMMYFUNCTION("""COMPUTED_VALUE"""),"Brandenburg - Nordost")</f>
        <v>Brandenburg - Nordost</v>
      </c>
      <c r="B228" t="str">
        <f ca="1">IFERROR(__xludf.DUMMYFUNCTION("""COMPUTED_VALUE"""),"DE41")</f>
        <v>DE41</v>
      </c>
    </row>
    <row r="229" spans="1:2" ht="12.5" x14ac:dyDescent="0.25">
      <c r="A229" t="str">
        <f ca="1">IFERROR(__xludf.DUMMYFUNCTION("""COMPUTED_VALUE"""),"Brandenburg - Südwest")</f>
        <v>Brandenburg - Südwest</v>
      </c>
      <c r="B229" t="str">
        <f ca="1">IFERROR(__xludf.DUMMYFUNCTION("""COMPUTED_VALUE"""),"DE42")</f>
        <v>DE42</v>
      </c>
    </row>
    <row r="230" spans="1:2" ht="12.5" x14ac:dyDescent="0.25">
      <c r="A230" t="str">
        <f ca="1">IFERROR(__xludf.DUMMYFUNCTION("""COMPUTED_VALUE"""),"Brandenburg An Der Havel, Kreisfreie Stadt")</f>
        <v>Brandenburg An Der Havel, Kreisfreie Stadt</v>
      </c>
      <c r="B230" t="str">
        <f ca="1">IFERROR(__xludf.DUMMYFUNCTION("""COMPUTED_VALUE"""),"DE421")</f>
        <v>DE421</v>
      </c>
    </row>
    <row r="231" spans="1:2" ht="12.5" x14ac:dyDescent="0.25">
      <c r="A231" t="str">
        <f ca="1">IFERROR(__xludf.DUMMYFUNCTION("""COMPUTED_VALUE"""),"Brasov")</f>
        <v>Brasov</v>
      </c>
      <c r="B231" t="str">
        <f ca="1">IFERROR(__xludf.DUMMYFUNCTION("""COMPUTED_VALUE"""),"RO122")</f>
        <v>RO122</v>
      </c>
    </row>
    <row r="232" spans="1:2" ht="12.5" x14ac:dyDescent="0.25">
      <c r="A232" t="str">
        <f ca="1">IFERROR(__xludf.DUMMYFUNCTION("""COMPUTED_VALUE"""),"Bratislavsky Kraj")</f>
        <v>Bratislavsky Kraj</v>
      </c>
      <c r="B232" t="str">
        <f ca="1">IFERROR(__xludf.DUMMYFUNCTION("""COMPUTED_VALUE"""),"SK01")</f>
        <v>SK01</v>
      </c>
    </row>
    <row r="233" spans="1:2" ht="12.5" x14ac:dyDescent="0.25">
      <c r="A233" t="str">
        <f ca="1">IFERROR(__xludf.DUMMYFUNCTION("""COMPUTED_VALUE"""),"Bratislavsky Kraj (*)")</f>
        <v>Bratislavsky Kraj (*)</v>
      </c>
      <c r="B233" t="str">
        <f ca="1">IFERROR(__xludf.DUMMYFUNCTION("""COMPUTED_VALUE"""),"SK010")</f>
        <v>SK010</v>
      </c>
    </row>
    <row r="234" spans="1:2" ht="12.5" x14ac:dyDescent="0.25">
      <c r="A234" t="str">
        <f ca="1">IFERROR(__xludf.DUMMYFUNCTION("""COMPUTED_VALUE"""),"Braunschweig")</f>
        <v>Braunschweig</v>
      </c>
      <c r="B234" t="str">
        <f ca="1">IFERROR(__xludf.DUMMYFUNCTION("""COMPUTED_VALUE"""),"DE91")</f>
        <v>DE91</v>
      </c>
    </row>
    <row r="235" spans="1:2" ht="12.5" x14ac:dyDescent="0.25">
      <c r="A235" t="str">
        <f ca="1">IFERROR(__xludf.DUMMYFUNCTION("""COMPUTED_VALUE"""),"Braunschweig, Kreisfreie Stadt")</f>
        <v>Braunschweig, Kreisfreie Stadt</v>
      </c>
      <c r="B235" t="str">
        <f ca="1">IFERROR(__xludf.DUMMYFUNCTION("""COMPUTED_VALUE"""),"DE911")</f>
        <v>DE911</v>
      </c>
    </row>
    <row r="236" spans="1:2" ht="12.5" x14ac:dyDescent="0.25">
      <c r="A236" t="str">
        <f ca="1">IFERROR(__xludf.DUMMYFUNCTION("""COMPUTED_VALUE"""),"Breisgau-Hochschwarzwald")</f>
        <v>Breisgau-Hochschwarzwald</v>
      </c>
      <c r="B236" t="str">
        <f ca="1">IFERROR(__xludf.DUMMYFUNCTION("""COMPUTED_VALUE"""),"DE132")</f>
        <v>DE132</v>
      </c>
    </row>
    <row r="237" spans="1:2" ht="12.5" x14ac:dyDescent="0.25">
      <c r="A237" t="str">
        <f ca="1">IFERROR(__xludf.DUMMYFUNCTION("""COMPUTED_VALUE"""),"Bremen")</f>
        <v>Bremen</v>
      </c>
      <c r="B237" t="str">
        <f ca="1">IFERROR(__xludf.DUMMYFUNCTION("""COMPUTED_VALUE"""),"DE5")</f>
        <v>DE5</v>
      </c>
    </row>
    <row r="238" spans="1:2" ht="12.5" x14ac:dyDescent="0.25">
      <c r="A238" t="str">
        <f ca="1">IFERROR(__xludf.DUMMYFUNCTION("""COMPUTED_VALUE"""),"Bremen (*)")</f>
        <v>Bremen (*)</v>
      </c>
      <c r="B238" t="str">
        <f ca="1">IFERROR(__xludf.DUMMYFUNCTION("""COMPUTED_VALUE"""),"DE50")</f>
        <v>DE50</v>
      </c>
    </row>
    <row r="239" spans="1:2" ht="12.5" x14ac:dyDescent="0.25">
      <c r="A239" t="str">
        <f ca="1">IFERROR(__xludf.DUMMYFUNCTION("""COMPUTED_VALUE"""),"Bremen, Kreisfreie Stadt")</f>
        <v>Bremen, Kreisfreie Stadt</v>
      </c>
      <c r="B239" t="str">
        <f ca="1">IFERROR(__xludf.DUMMYFUNCTION("""COMPUTED_VALUE"""),"DE501")</f>
        <v>DE501</v>
      </c>
    </row>
    <row r="240" spans="1:2" ht="12.5" x14ac:dyDescent="0.25">
      <c r="A240" t="str">
        <f ca="1">IFERROR(__xludf.DUMMYFUNCTION("""COMPUTED_VALUE"""),"Bremerhaven, Kreisfreie Stadt")</f>
        <v>Bremerhaven, Kreisfreie Stadt</v>
      </c>
      <c r="B240" t="str">
        <f ca="1">IFERROR(__xludf.DUMMYFUNCTION("""COMPUTED_VALUE"""),"DE502")</f>
        <v>DE502</v>
      </c>
    </row>
    <row r="241" spans="1:2" ht="12.5" x14ac:dyDescent="0.25">
      <c r="A241" t="str">
        <f ca="1">IFERROR(__xludf.DUMMYFUNCTION("""COMPUTED_VALUE"""),"Brescia")</f>
        <v>Brescia</v>
      </c>
      <c r="B241" t="str">
        <f ca="1">IFERROR(__xludf.DUMMYFUNCTION("""COMPUTED_VALUE"""),"ITC47")</f>
        <v>ITC47</v>
      </c>
    </row>
    <row r="242" spans="1:2" ht="12.5" x14ac:dyDescent="0.25">
      <c r="A242" t="str">
        <f ca="1">IFERROR(__xludf.DUMMYFUNCTION("""COMPUTED_VALUE"""),"Bretagne")</f>
        <v>Bretagne</v>
      </c>
      <c r="B242" t="str">
        <f ca="1">IFERROR(__xludf.DUMMYFUNCTION("""COMPUTED_VALUE"""),"FR52")</f>
        <v>FR52</v>
      </c>
    </row>
    <row r="243" spans="1:2" ht="12.5" x14ac:dyDescent="0.25">
      <c r="A243" t="str">
        <f ca="1">IFERROR(__xludf.DUMMYFUNCTION("""COMPUTED_VALUE"""),"Bridgend And Neath Port Talbot")</f>
        <v>Bridgend And Neath Port Talbot</v>
      </c>
      <c r="B243" t="str">
        <f ca="1">IFERROR(__xludf.DUMMYFUNCTION("""COMPUTED_VALUE"""),"UKL17")</f>
        <v>UKL17</v>
      </c>
    </row>
    <row r="244" spans="1:2" ht="12.5" x14ac:dyDescent="0.25">
      <c r="A244" t="str">
        <f ca="1">IFERROR(__xludf.DUMMYFUNCTION("""COMPUTED_VALUE"""),"Brighton And Hove")</f>
        <v>Brighton And Hove</v>
      </c>
      <c r="B244" t="str">
        <f ca="1">IFERROR(__xludf.DUMMYFUNCTION("""COMPUTED_VALUE"""),"UKJ21")</f>
        <v>UKJ21</v>
      </c>
    </row>
    <row r="245" spans="1:2" ht="12.5" x14ac:dyDescent="0.25">
      <c r="A245" t="str">
        <f ca="1">IFERROR(__xludf.DUMMYFUNCTION("""COMPUTED_VALUE"""),"Brindisi")</f>
        <v>Brindisi</v>
      </c>
      <c r="B245" t="str">
        <f ca="1">IFERROR(__xludf.DUMMYFUNCTION("""COMPUTED_VALUE"""),"ITF44")</f>
        <v>ITF44</v>
      </c>
    </row>
    <row r="246" spans="1:2" ht="12.5" x14ac:dyDescent="0.25">
      <c r="A246" t="str">
        <f ca="1">IFERROR(__xludf.DUMMYFUNCTION("""COMPUTED_VALUE"""),"Bristol, City Of")</f>
        <v>Bristol, City Of</v>
      </c>
      <c r="B246" t="str">
        <f ca="1">IFERROR(__xludf.DUMMYFUNCTION("""COMPUTED_VALUE"""),"UKK11")</f>
        <v>UKK11</v>
      </c>
    </row>
    <row r="247" spans="1:2" ht="12.5" x14ac:dyDescent="0.25">
      <c r="A247" t="str">
        <f ca="1">IFERROR(__xludf.DUMMYFUNCTION("""COMPUTED_VALUE"""),"Buckinghamshire Cc")</f>
        <v>Buckinghamshire Cc</v>
      </c>
      <c r="B247" t="str">
        <f ca="1">IFERROR(__xludf.DUMMYFUNCTION("""COMPUTED_VALUE"""),"UKJ13")</f>
        <v>UKJ13</v>
      </c>
    </row>
    <row r="248" spans="1:2" ht="12.5" x14ac:dyDescent="0.25">
      <c r="A248" t="str">
        <f ca="1">IFERROR(__xludf.DUMMYFUNCTION("""COMPUTED_VALUE"""),"Bucuresti")</f>
        <v>Bucuresti</v>
      </c>
      <c r="B248" t="str">
        <f ca="1">IFERROR(__xludf.DUMMYFUNCTION("""COMPUTED_VALUE"""),"RO321")</f>
        <v>RO321</v>
      </c>
    </row>
    <row r="249" spans="1:2" ht="12.5" x14ac:dyDescent="0.25">
      <c r="A249" t="str">
        <f ca="1">IFERROR(__xludf.DUMMYFUNCTION("""COMPUTED_VALUE"""),"Bucuresti - Ilfov")</f>
        <v>Bucuresti - Ilfov</v>
      </c>
      <c r="B249" t="str">
        <f ca="1">IFERROR(__xludf.DUMMYFUNCTION("""COMPUTED_VALUE"""),"RO32")</f>
        <v>RO32</v>
      </c>
    </row>
    <row r="250" spans="1:2" ht="12.5" x14ac:dyDescent="0.25">
      <c r="A250" t="str">
        <f ca="1">IFERROR(__xludf.DUMMYFUNCTION("""COMPUTED_VALUE"""),"Budapest")</f>
        <v>Budapest</v>
      </c>
      <c r="B250" t="str">
        <f ca="1">IFERROR(__xludf.DUMMYFUNCTION("""COMPUTED_VALUE"""),"HU101")</f>
        <v>HU101</v>
      </c>
    </row>
    <row r="251" spans="1:2" ht="12.5" x14ac:dyDescent="0.25">
      <c r="A251" t="str">
        <f ca="1">IFERROR(__xludf.DUMMYFUNCTION("""COMPUTED_VALUE"""),"Bulgaria")</f>
        <v>Bulgaria</v>
      </c>
      <c r="B251" t="str">
        <f ca="1">IFERROR(__xludf.DUMMYFUNCTION("""COMPUTED_VALUE"""),"BG")</f>
        <v>BG</v>
      </c>
    </row>
    <row r="252" spans="1:2" ht="12.5" x14ac:dyDescent="0.25">
      <c r="A252" t="str">
        <f ca="1">IFERROR(__xludf.DUMMYFUNCTION("""COMPUTED_VALUE"""),"Burgas")</f>
        <v>Burgas</v>
      </c>
      <c r="B252" t="str">
        <f ca="1">IFERROR(__xludf.DUMMYFUNCTION("""COMPUTED_VALUE"""),"BG341")</f>
        <v>BG341</v>
      </c>
    </row>
    <row r="253" spans="1:2" ht="12.5" x14ac:dyDescent="0.25">
      <c r="A253" t="str">
        <f ca="1">IFERROR(__xludf.DUMMYFUNCTION("""COMPUTED_VALUE"""),"Burgenland (A)")</f>
        <v>Burgenland (A)</v>
      </c>
      <c r="B253" t="str">
        <f ca="1">IFERROR(__xludf.DUMMYFUNCTION("""COMPUTED_VALUE"""),"AT11")</f>
        <v>AT11</v>
      </c>
    </row>
    <row r="254" spans="1:2" ht="12.5" x14ac:dyDescent="0.25">
      <c r="A254" t="str">
        <f ca="1">IFERROR(__xludf.DUMMYFUNCTION("""COMPUTED_VALUE"""),"Burgenland (D)")</f>
        <v>Burgenland (D)</v>
      </c>
      <c r="B254" t="str">
        <f ca="1">IFERROR(__xludf.DUMMYFUNCTION("""COMPUTED_VALUE"""),"DEE08")</f>
        <v>DEE08</v>
      </c>
    </row>
    <row r="255" spans="1:2" ht="12.5" x14ac:dyDescent="0.25">
      <c r="A255" t="str">
        <f ca="1">IFERROR(__xludf.DUMMYFUNCTION("""COMPUTED_VALUE"""),"Burgos")</f>
        <v>Burgos</v>
      </c>
      <c r="B255" t="str">
        <f ca="1">IFERROR(__xludf.DUMMYFUNCTION("""COMPUTED_VALUE"""),"ES412")</f>
        <v>ES412</v>
      </c>
    </row>
    <row r="256" spans="1:2" ht="12.5" x14ac:dyDescent="0.25">
      <c r="A256" t="str">
        <f ca="1">IFERROR(__xludf.DUMMYFUNCTION("""COMPUTED_VALUE"""),"Buskerud")</f>
        <v>Buskerud</v>
      </c>
      <c r="B256" t="str">
        <f ca="1">IFERROR(__xludf.DUMMYFUNCTION("""COMPUTED_VALUE"""),"NO032")</f>
        <v>NO032</v>
      </c>
    </row>
    <row r="257" spans="1:2" ht="12.5" x14ac:dyDescent="0.25">
      <c r="A257" t="str">
        <f ca="1">IFERROR(__xludf.DUMMYFUNCTION("""COMPUTED_VALUE"""),"Buzau")</f>
        <v>Buzau</v>
      </c>
      <c r="B257" t="str">
        <f ca="1">IFERROR(__xludf.DUMMYFUNCTION("""COMPUTED_VALUE"""),"RO222")</f>
        <v>RO222</v>
      </c>
    </row>
    <row r="258" spans="1:2" ht="12.5" x14ac:dyDescent="0.25">
      <c r="A258" t="str">
        <f ca="1">IFERROR(__xludf.DUMMYFUNCTION("""COMPUTED_VALUE"""),"Bydgosko-Torunski")</f>
        <v>Bydgosko-Torunski</v>
      </c>
      <c r="B258" t="str">
        <f ca="1">IFERROR(__xludf.DUMMYFUNCTION("""COMPUTED_VALUE"""),"PL613")</f>
        <v>PL613</v>
      </c>
    </row>
    <row r="259" spans="1:2" ht="12.5" x14ac:dyDescent="0.25">
      <c r="A259" t="str">
        <f ca="1">IFERROR(__xludf.DUMMYFUNCTION("""COMPUTED_VALUE"""),"Byen København")</f>
        <v>Byen København</v>
      </c>
      <c r="B259" t="str">
        <f ca="1">IFERROR(__xludf.DUMMYFUNCTION("""COMPUTED_VALUE"""),"DK011")</f>
        <v>DK011</v>
      </c>
    </row>
    <row r="260" spans="1:2" ht="12.5" x14ac:dyDescent="0.25">
      <c r="A260" t="str">
        <f ca="1">IFERROR(__xludf.DUMMYFUNCTION("""COMPUTED_VALUE"""),"Bytomski")</f>
        <v>Bytomski</v>
      </c>
      <c r="B260" t="str">
        <f ca="1">IFERROR(__xludf.DUMMYFUNCTION("""COMPUTED_VALUE"""),"PL228")</f>
        <v>PL228</v>
      </c>
    </row>
    <row r="261" spans="1:2" ht="12.5" x14ac:dyDescent="0.25">
      <c r="A261" t="str">
        <f ca="1">IFERROR(__xludf.DUMMYFUNCTION("""COMPUTED_VALUE"""),"Cáceres")</f>
        <v>Cáceres</v>
      </c>
      <c r="B261" t="str">
        <f ca="1">IFERROR(__xludf.DUMMYFUNCTION("""COMPUTED_VALUE"""),"ES432")</f>
        <v>ES432</v>
      </c>
    </row>
    <row r="262" spans="1:2" ht="12.5" x14ac:dyDescent="0.25">
      <c r="A262" t="str">
        <f ca="1">IFERROR(__xludf.DUMMYFUNCTION("""COMPUTED_VALUE"""),"Cádiz")</f>
        <v>Cádiz</v>
      </c>
      <c r="B262" t="str">
        <f ca="1">IFERROR(__xludf.DUMMYFUNCTION("""COMPUTED_VALUE"""),"ES612")</f>
        <v>ES612</v>
      </c>
    </row>
    <row r="263" spans="1:2" ht="12.5" x14ac:dyDescent="0.25">
      <c r="A263" t="str">
        <f ca="1">IFERROR(__xludf.DUMMYFUNCTION("""COMPUTED_VALUE"""),"Cagliari")</f>
        <v>Cagliari</v>
      </c>
      <c r="B263" t="str">
        <f ca="1">IFERROR(__xludf.DUMMYFUNCTION("""COMPUTED_VALUE"""),"ITG27")</f>
        <v>ITG27</v>
      </c>
    </row>
    <row r="264" spans="1:2" ht="12.5" x14ac:dyDescent="0.25">
      <c r="A264" t="str">
        <f ca="1">IFERROR(__xludf.DUMMYFUNCTION("""COMPUTED_VALUE"""),"Caithness &amp; Sutherland And Ross &amp; Cromarty")</f>
        <v>Caithness &amp; Sutherland And Ross &amp; Cromarty</v>
      </c>
      <c r="B264" t="str">
        <f ca="1">IFERROR(__xludf.DUMMYFUNCTION("""COMPUTED_VALUE"""),"UKM61")</f>
        <v>UKM61</v>
      </c>
    </row>
    <row r="265" spans="1:2" ht="12.5" x14ac:dyDescent="0.25">
      <c r="A265" t="str">
        <f ca="1">IFERROR(__xludf.DUMMYFUNCTION("""COMPUTED_VALUE"""),"Calabria")</f>
        <v>Calabria</v>
      </c>
      <c r="B265" t="str">
        <f ca="1">IFERROR(__xludf.DUMMYFUNCTION("""COMPUTED_VALUE"""),"ITF6")</f>
        <v>ITF6</v>
      </c>
    </row>
    <row r="266" spans="1:2" ht="12.5" x14ac:dyDescent="0.25">
      <c r="A266" t="str">
        <f ca="1">IFERROR(__xludf.DUMMYFUNCTION("""COMPUTED_VALUE"""),"Calarasi")</f>
        <v>Calarasi</v>
      </c>
      <c r="B266" t="str">
        <f ca="1">IFERROR(__xludf.DUMMYFUNCTION("""COMPUTED_VALUE"""),"RO312")</f>
        <v>RO312</v>
      </c>
    </row>
    <row r="267" spans="1:2" ht="12.5" x14ac:dyDescent="0.25">
      <c r="A267" t="str">
        <f ca="1">IFERROR(__xludf.DUMMYFUNCTION("""COMPUTED_VALUE"""),"Calderdale, Kirklees And Wakefield")</f>
        <v>Calderdale, Kirklees And Wakefield</v>
      </c>
      <c r="B267" t="str">
        <f ca="1">IFERROR(__xludf.DUMMYFUNCTION("""COMPUTED_VALUE"""),"UKE43")</f>
        <v>UKE43</v>
      </c>
    </row>
    <row r="268" spans="1:2" ht="12.5" x14ac:dyDescent="0.25">
      <c r="A268" t="str">
        <f ca="1">IFERROR(__xludf.DUMMYFUNCTION("""COMPUTED_VALUE"""),"Caltanissetta")</f>
        <v>Caltanissetta</v>
      </c>
      <c r="B268" t="str">
        <f ca="1">IFERROR(__xludf.DUMMYFUNCTION("""COMPUTED_VALUE"""),"ITG15")</f>
        <v>ITG15</v>
      </c>
    </row>
    <row r="269" spans="1:2" ht="12.5" x14ac:dyDescent="0.25">
      <c r="A269" t="str">
        <f ca="1">IFERROR(__xludf.DUMMYFUNCTION("""COMPUTED_VALUE"""),"Calvados")</f>
        <v>Calvados</v>
      </c>
      <c r="B269" t="str">
        <f ca="1">IFERROR(__xludf.DUMMYFUNCTION("""COMPUTED_VALUE"""),"FR251")</f>
        <v>FR251</v>
      </c>
    </row>
    <row r="270" spans="1:2" ht="12.5" x14ac:dyDescent="0.25">
      <c r="A270" t="str">
        <f ca="1">IFERROR(__xludf.DUMMYFUNCTION("""COMPUTED_VALUE"""),"Calw")</f>
        <v>Calw</v>
      </c>
      <c r="B270" t="str">
        <f ca="1">IFERROR(__xludf.DUMMYFUNCTION("""COMPUTED_VALUE"""),"DE12A")</f>
        <v>DE12A</v>
      </c>
    </row>
    <row r="271" spans="1:2" ht="12.5" x14ac:dyDescent="0.25">
      <c r="A271" t="str">
        <f ca="1">IFERROR(__xludf.DUMMYFUNCTION("""COMPUTED_VALUE"""),"Cambridgeshire Cc")</f>
        <v>Cambridgeshire Cc</v>
      </c>
      <c r="B271" t="str">
        <f ca="1">IFERROR(__xludf.DUMMYFUNCTION("""COMPUTED_VALUE"""),"UKH12")</f>
        <v>UKH12</v>
      </c>
    </row>
    <row r="272" spans="1:2" ht="12.5" x14ac:dyDescent="0.25">
      <c r="A272" t="str">
        <f ca="1">IFERROR(__xludf.DUMMYFUNCTION("""COMPUTED_VALUE"""),"Campania")</f>
        <v>Campania</v>
      </c>
      <c r="B272" t="str">
        <f ca="1">IFERROR(__xludf.DUMMYFUNCTION("""COMPUTED_VALUE"""),"ITF3")</f>
        <v>ITF3</v>
      </c>
    </row>
    <row r="273" spans="1:2" ht="12.5" x14ac:dyDescent="0.25">
      <c r="A273" t="str">
        <f ca="1">IFERROR(__xludf.DUMMYFUNCTION("""COMPUTED_VALUE"""),"Campobasso")</f>
        <v>Campobasso</v>
      </c>
      <c r="B273" t="str">
        <f ca="1">IFERROR(__xludf.DUMMYFUNCTION("""COMPUTED_VALUE"""),"ITF22")</f>
        <v>ITF22</v>
      </c>
    </row>
    <row r="274" spans="1:2" ht="12.5" x14ac:dyDescent="0.25">
      <c r="A274" t="str">
        <f ca="1">IFERROR(__xludf.DUMMYFUNCTION("""COMPUTED_VALUE"""),"Canarias")</f>
        <v>Canarias</v>
      </c>
      <c r="B274" t="str">
        <f ca="1">IFERROR(__xludf.DUMMYFUNCTION("""COMPUTED_VALUE"""),"ES7")</f>
        <v>ES7</v>
      </c>
    </row>
    <row r="275" spans="1:2" ht="12.5" x14ac:dyDescent="0.25">
      <c r="A275" t="str">
        <f ca="1">IFERROR(__xludf.DUMMYFUNCTION("""COMPUTED_VALUE"""),"Canarias (*)")</f>
        <v>Canarias (*)</v>
      </c>
      <c r="B275" t="str">
        <f ca="1">IFERROR(__xludf.DUMMYFUNCTION("""COMPUTED_VALUE"""),"ES70")</f>
        <v>ES70</v>
      </c>
    </row>
    <row r="276" spans="1:2" ht="12.5" x14ac:dyDescent="0.25">
      <c r="A276" t="str">
        <f ca="1">IFERROR(__xludf.DUMMYFUNCTION("""COMPUTED_VALUE"""),"Cantabria")</f>
        <v>Cantabria</v>
      </c>
      <c r="B276" t="str">
        <f ca="1">IFERROR(__xludf.DUMMYFUNCTION("""COMPUTED_VALUE"""),"ES13")</f>
        <v>ES13</v>
      </c>
    </row>
    <row r="277" spans="1:2" ht="12.5" x14ac:dyDescent="0.25">
      <c r="A277" t="str">
        <f ca="1">IFERROR(__xludf.DUMMYFUNCTION("""COMPUTED_VALUE"""),"Cantabria (*)")</f>
        <v>Cantabria (*)</v>
      </c>
      <c r="B277" t="str">
        <f ca="1">IFERROR(__xludf.DUMMYFUNCTION("""COMPUTED_VALUE"""),"ES130")</f>
        <v>ES130</v>
      </c>
    </row>
    <row r="278" spans="1:2" ht="12.5" x14ac:dyDescent="0.25">
      <c r="A278" t="str">
        <f ca="1">IFERROR(__xludf.DUMMYFUNCTION("""COMPUTED_VALUE"""),"Cantal")</f>
        <v>Cantal</v>
      </c>
      <c r="B278" t="str">
        <f ca="1">IFERROR(__xludf.DUMMYFUNCTION("""COMPUTED_VALUE"""),"FR722")</f>
        <v>FR722</v>
      </c>
    </row>
    <row r="279" spans="1:2" ht="12.5" x14ac:dyDescent="0.25">
      <c r="A279" t="str">
        <f ca="1">IFERROR(__xludf.DUMMYFUNCTION("""COMPUTED_VALUE"""),"Caras-Severin")</f>
        <v>Caras-Severin</v>
      </c>
      <c r="B279" t="str">
        <f ca="1">IFERROR(__xludf.DUMMYFUNCTION("""COMPUTED_VALUE"""),"RO422")</f>
        <v>RO422</v>
      </c>
    </row>
    <row r="280" spans="1:2" ht="12.5" x14ac:dyDescent="0.25">
      <c r="A280" t="str">
        <f ca="1">IFERROR(__xludf.DUMMYFUNCTION("""COMPUTED_VALUE"""),"Carbonia-Iglesias")</f>
        <v>Carbonia-Iglesias</v>
      </c>
      <c r="B280" t="str">
        <f ca="1">IFERROR(__xludf.DUMMYFUNCTION("""COMPUTED_VALUE"""),"ITG2C")</f>
        <v>ITG2C</v>
      </c>
    </row>
    <row r="281" spans="1:2" ht="12.5" x14ac:dyDescent="0.25">
      <c r="A281" t="str">
        <f ca="1">IFERROR(__xludf.DUMMYFUNCTION("""COMPUTED_VALUE"""),"Cardiff And Vale Of Glamorgan")</f>
        <v>Cardiff And Vale Of Glamorgan</v>
      </c>
      <c r="B281" t="str">
        <f ca="1">IFERROR(__xludf.DUMMYFUNCTION("""COMPUTED_VALUE"""),"UKL22")</f>
        <v>UKL22</v>
      </c>
    </row>
    <row r="282" spans="1:2" ht="12.5" x14ac:dyDescent="0.25">
      <c r="A282" t="str">
        <f ca="1">IFERROR(__xludf.DUMMYFUNCTION("""COMPUTED_VALUE"""),"Caserta")</f>
        <v>Caserta</v>
      </c>
      <c r="B282" t="str">
        <f ca="1">IFERROR(__xludf.DUMMYFUNCTION("""COMPUTED_VALUE"""),"ITF31")</f>
        <v>ITF31</v>
      </c>
    </row>
    <row r="283" spans="1:2" ht="12.5" x14ac:dyDescent="0.25">
      <c r="A283" t="str">
        <f ca="1">IFERROR(__xludf.DUMMYFUNCTION("""COMPUTED_VALUE"""),"Castellón / Castelló")</f>
        <v>Castellón / Castelló</v>
      </c>
      <c r="B283" t="str">
        <f ca="1">IFERROR(__xludf.DUMMYFUNCTION("""COMPUTED_VALUE"""),"ES522")</f>
        <v>ES522</v>
      </c>
    </row>
    <row r="284" spans="1:2" ht="12.5" x14ac:dyDescent="0.25">
      <c r="A284" t="str">
        <f ca="1">IFERROR(__xludf.DUMMYFUNCTION("""COMPUTED_VALUE"""),"Castilla Y León")</f>
        <v>Castilla Y León</v>
      </c>
      <c r="B284" t="str">
        <f ca="1">IFERROR(__xludf.DUMMYFUNCTION("""COMPUTED_VALUE"""),"ES41")</f>
        <v>ES41</v>
      </c>
    </row>
    <row r="285" spans="1:2" ht="12.5" x14ac:dyDescent="0.25">
      <c r="A285" t="str">
        <f ca="1">IFERROR(__xludf.DUMMYFUNCTION("""COMPUTED_VALUE"""),"Castilla-La Mancha")</f>
        <v>Castilla-La Mancha</v>
      </c>
      <c r="B285" t="str">
        <f ca="1">IFERROR(__xludf.DUMMYFUNCTION("""COMPUTED_VALUE"""),"ES42")</f>
        <v>ES42</v>
      </c>
    </row>
    <row r="286" spans="1:2" ht="12.5" x14ac:dyDescent="0.25">
      <c r="A286" t="str">
        <f ca="1">IFERROR(__xludf.DUMMYFUNCTION("""COMPUTED_VALUE"""),"Cataluña")</f>
        <v>Cataluña</v>
      </c>
      <c r="B286" t="str">
        <f ca="1">IFERROR(__xludf.DUMMYFUNCTION("""COMPUTED_VALUE"""),"ES51")</f>
        <v>ES51</v>
      </c>
    </row>
    <row r="287" spans="1:2" ht="12.5" x14ac:dyDescent="0.25">
      <c r="A287" t="str">
        <f ca="1">IFERROR(__xludf.DUMMYFUNCTION("""COMPUTED_VALUE"""),"Catania")</f>
        <v>Catania</v>
      </c>
      <c r="B287" t="str">
        <f ca="1">IFERROR(__xludf.DUMMYFUNCTION("""COMPUTED_VALUE"""),"ITG17")</f>
        <v>ITG17</v>
      </c>
    </row>
    <row r="288" spans="1:2" ht="12.5" x14ac:dyDescent="0.25">
      <c r="A288" t="str">
        <f ca="1">IFERROR(__xludf.DUMMYFUNCTION("""COMPUTED_VALUE"""),"Catanzaro")</f>
        <v>Catanzaro</v>
      </c>
      <c r="B288" t="str">
        <f ca="1">IFERROR(__xludf.DUMMYFUNCTION("""COMPUTED_VALUE"""),"ITF63")</f>
        <v>ITF63</v>
      </c>
    </row>
    <row r="289" spans="1:2" ht="12.5" x14ac:dyDescent="0.25">
      <c r="A289" t="str">
        <f ca="1">IFERROR(__xludf.DUMMYFUNCTION("""COMPUTED_VALUE"""),"Cávado")</f>
        <v>Cávado</v>
      </c>
      <c r="B289" t="str">
        <f ca="1">IFERROR(__xludf.DUMMYFUNCTION("""COMPUTED_VALUE"""),"PT112")</f>
        <v>PT112</v>
      </c>
    </row>
    <row r="290" spans="1:2" ht="12.5" x14ac:dyDescent="0.25">
      <c r="A290" t="str">
        <f ca="1">IFERROR(__xludf.DUMMYFUNCTION("""COMPUTED_VALUE"""),"Celle")</f>
        <v>Celle</v>
      </c>
      <c r="B290" t="str">
        <f ca="1">IFERROR(__xludf.DUMMYFUNCTION("""COMPUTED_VALUE"""),"DE931")</f>
        <v>DE931</v>
      </c>
    </row>
    <row r="291" spans="1:2" ht="12.5" x14ac:dyDescent="0.25">
      <c r="A291" t="str">
        <f ca="1">IFERROR(__xludf.DUMMYFUNCTION("""COMPUTED_VALUE"""),"Central Valleys")</f>
        <v>Central Valleys</v>
      </c>
      <c r="B291" t="str">
        <f ca="1">IFERROR(__xludf.DUMMYFUNCTION("""COMPUTED_VALUE"""),"UKL15")</f>
        <v>UKL15</v>
      </c>
    </row>
    <row r="292" spans="1:2" ht="12.5" x14ac:dyDescent="0.25">
      <c r="A292" t="str">
        <f ca="1">IFERROR(__xludf.DUMMYFUNCTION("""COMPUTED_VALUE"""),"Centre")</f>
        <v>Centre</v>
      </c>
      <c r="B292" t="str">
        <f ca="1">IFERROR(__xludf.DUMMYFUNCTION("""COMPUTED_VALUE"""),"FR24")</f>
        <v>FR24</v>
      </c>
    </row>
    <row r="293" spans="1:2" ht="12.5" x14ac:dyDescent="0.25">
      <c r="A293" t="str">
        <f ca="1">IFERROR(__xludf.DUMMYFUNCTION("""COMPUTED_VALUE"""),"Centre-Est")</f>
        <v>Centre-Est</v>
      </c>
      <c r="B293" t="str">
        <f ca="1">IFERROR(__xludf.DUMMYFUNCTION("""COMPUTED_VALUE"""),"FR7")</f>
        <v>FR7</v>
      </c>
    </row>
    <row r="294" spans="1:2" ht="12.5" x14ac:dyDescent="0.25">
      <c r="A294" t="str">
        <f ca="1">IFERROR(__xludf.DUMMYFUNCTION("""COMPUTED_VALUE"""),"Centro (E)")</f>
        <v>Centro (E)</v>
      </c>
      <c r="B294" t="str">
        <f ca="1">IFERROR(__xludf.DUMMYFUNCTION("""COMPUTED_VALUE"""),"ES4")</f>
        <v>ES4</v>
      </c>
    </row>
    <row r="295" spans="1:2" ht="12.5" x14ac:dyDescent="0.25">
      <c r="A295" t="str">
        <f ca="1">IFERROR(__xludf.DUMMYFUNCTION("""COMPUTED_VALUE"""),"Centro (I)")</f>
        <v>Centro (I)</v>
      </c>
      <c r="B295" t="str">
        <f ca="1">IFERROR(__xludf.DUMMYFUNCTION("""COMPUTED_VALUE"""),"ITE")</f>
        <v>ITE</v>
      </c>
    </row>
    <row r="296" spans="1:2" ht="12.5" x14ac:dyDescent="0.25">
      <c r="A296" t="str">
        <f ca="1">IFERROR(__xludf.DUMMYFUNCTION("""COMPUTED_VALUE"""),"Centro (P)")</f>
        <v>Centro (P)</v>
      </c>
      <c r="B296" t="str">
        <f ca="1">IFERROR(__xludf.DUMMYFUNCTION("""COMPUTED_VALUE"""),"PT16")</f>
        <v>PT16</v>
      </c>
    </row>
    <row r="297" spans="1:2" ht="12.5" x14ac:dyDescent="0.25">
      <c r="A297" t="str">
        <f ca="1">IFERROR(__xludf.DUMMYFUNCTION("""COMPUTED_VALUE"""),"Centru")</f>
        <v>Centru</v>
      </c>
      <c r="B297" t="str">
        <f ca="1">IFERROR(__xludf.DUMMYFUNCTION("""COMPUTED_VALUE"""),"RO12")</f>
        <v>RO12</v>
      </c>
    </row>
    <row r="298" spans="1:2" ht="12.5" x14ac:dyDescent="0.25">
      <c r="A298" t="str">
        <f ca="1">IFERROR(__xludf.DUMMYFUNCTION("""COMPUTED_VALUE"""),"Ceska Republika")</f>
        <v>Ceska Republika</v>
      </c>
      <c r="B298" t="str">
        <f ca="1">IFERROR(__xludf.DUMMYFUNCTION("""COMPUTED_VALUE"""),"CZ")</f>
        <v>CZ</v>
      </c>
    </row>
    <row r="299" spans="1:2" ht="12.5" x14ac:dyDescent="0.25">
      <c r="A299" t="str">
        <f ca="1">IFERROR(__xludf.DUMMYFUNCTION("""COMPUTED_VALUE"""),"Ceska Republika (*)")</f>
        <v>Ceska Republika (*)</v>
      </c>
      <c r="B299" t="str">
        <f ca="1">IFERROR(__xludf.DUMMYFUNCTION("""COMPUTED_VALUE"""),"CZ0")</f>
        <v>CZ0</v>
      </c>
    </row>
    <row r="300" spans="1:2" ht="12.5" x14ac:dyDescent="0.25">
      <c r="A300" t="str">
        <f ca="1">IFERROR(__xludf.DUMMYFUNCTION("""COMPUTED_VALUE"""),"Ceuta")</f>
        <v>Ceuta</v>
      </c>
      <c r="B300" t="str">
        <f ca="1">IFERROR(__xludf.DUMMYFUNCTION("""COMPUTED_VALUE"""),"ES630")</f>
        <v>ES630</v>
      </c>
    </row>
    <row r="301" spans="1:2" ht="12.5" x14ac:dyDescent="0.25">
      <c r="A301" t="str">
        <f ca="1">IFERROR(__xludf.DUMMYFUNCTION("""COMPUTED_VALUE"""),"Chalkidiki")</f>
        <v>Chalkidiki</v>
      </c>
      <c r="B301" t="str">
        <f ca="1">IFERROR(__xludf.DUMMYFUNCTION("""COMPUTED_VALUE"""),"GR127")</f>
        <v>GR127</v>
      </c>
    </row>
    <row r="302" spans="1:2" ht="12.5" x14ac:dyDescent="0.25">
      <c r="A302" t="str">
        <f ca="1">IFERROR(__xludf.DUMMYFUNCTION("""COMPUTED_VALUE"""),"Cham")</f>
        <v>Cham</v>
      </c>
      <c r="B302" t="str">
        <f ca="1">IFERROR(__xludf.DUMMYFUNCTION("""COMPUTED_VALUE"""),"DE235")</f>
        <v>DE235</v>
      </c>
    </row>
    <row r="303" spans="1:2" ht="12.5" x14ac:dyDescent="0.25">
      <c r="A303" t="str">
        <f ca="1">IFERROR(__xludf.DUMMYFUNCTION("""COMPUTED_VALUE"""),"Champagne-Ardenne")</f>
        <v>Champagne-Ardenne</v>
      </c>
      <c r="B303" t="str">
        <f ca="1">IFERROR(__xludf.DUMMYFUNCTION("""COMPUTED_VALUE"""),"FR21")</f>
        <v>FR21</v>
      </c>
    </row>
    <row r="304" spans="1:2" ht="12.5" x14ac:dyDescent="0.25">
      <c r="A304" t="str">
        <f ca="1">IFERROR(__xludf.DUMMYFUNCTION("""COMPUTED_VALUE"""),"Chania")</f>
        <v>Chania</v>
      </c>
      <c r="B304" t="str">
        <f ca="1">IFERROR(__xludf.DUMMYFUNCTION("""COMPUTED_VALUE"""),"GR434")</f>
        <v>GR434</v>
      </c>
    </row>
    <row r="305" spans="1:2" ht="12.5" x14ac:dyDescent="0.25">
      <c r="A305" t="str">
        <f ca="1">IFERROR(__xludf.DUMMYFUNCTION("""COMPUTED_VALUE"""),"Charente")</f>
        <v>Charente</v>
      </c>
      <c r="B305" t="str">
        <f ca="1">IFERROR(__xludf.DUMMYFUNCTION("""COMPUTED_VALUE"""),"FR531")</f>
        <v>FR531</v>
      </c>
    </row>
    <row r="306" spans="1:2" ht="12.5" x14ac:dyDescent="0.25">
      <c r="A306" t="str">
        <f ca="1">IFERROR(__xludf.DUMMYFUNCTION("""COMPUTED_VALUE"""),"Charente-Maritime")</f>
        <v>Charente-Maritime</v>
      </c>
      <c r="B306" t="str">
        <f ca="1">IFERROR(__xludf.DUMMYFUNCTION("""COMPUTED_VALUE"""),"FR532")</f>
        <v>FR532</v>
      </c>
    </row>
    <row r="307" spans="1:2" ht="12.5" x14ac:dyDescent="0.25">
      <c r="A307" t="str">
        <f ca="1">IFERROR(__xludf.DUMMYFUNCTION("""COMPUTED_VALUE"""),"Chelmsko-Zamojski")</f>
        <v>Chelmsko-Zamojski</v>
      </c>
      <c r="B307" t="str">
        <f ca="1">IFERROR(__xludf.DUMMYFUNCTION("""COMPUTED_VALUE"""),"PL312")</f>
        <v>PL312</v>
      </c>
    </row>
    <row r="308" spans="1:2" ht="12.5" x14ac:dyDescent="0.25">
      <c r="A308" t="str">
        <f ca="1">IFERROR(__xludf.DUMMYFUNCTION("""COMPUTED_VALUE"""),"Chemnitz")</f>
        <v>Chemnitz</v>
      </c>
      <c r="B308" t="str">
        <f ca="1">IFERROR(__xludf.DUMMYFUNCTION("""COMPUTED_VALUE"""),"DED1")</f>
        <v>DED1</v>
      </c>
    </row>
    <row r="309" spans="1:2" ht="12.5" x14ac:dyDescent="0.25">
      <c r="A309" t="str">
        <f ca="1">IFERROR(__xludf.DUMMYFUNCTION("""COMPUTED_VALUE"""),"Chemnitz, Kreisfreie Stadt")</f>
        <v>Chemnitz, Kreisfreie Stadt</v>
      </c>
      <c r="B309" t="str">
        <f ca="1">IFERROR(__xludf.DUMMYFUNCTION("""COMPUTED_VALUE"""),"DED11")</f>
        <v>DED11</v>
      </c>
    </row>
    <row r="310" spans="1:2" ht="12.5" x14ac:dyDescent="0.25">
      <c r="A310" t="str">
        <f ca="1">IFERROR(__xludf.DUMMYFUNCTION("""COMPUTED_VALUE"""),"Chemnitzer Land")</f>
        <v>Chemnitzer Land</v>
      </c>
      <c r="B310" t="str">
        <f ca="1">IFERROR(__xludf.DUMMYFUNCTION("""COMPUTED_VALUE"""),"DED15")</f>
        <v>DED15</v>
      </c>
    </row>
    <row r="311" spans="1:2" ht="12.5" x14ac:dyDescent="0.25">
      <c r="A311" t="str">
        <f ca="1">IFERROR(__xludf.DUMMYFUNCTION("""COMPUTED_VALUE"""),"Cher")</f>
        <v>Cher</v>
      </c>
      <c r="B311" t="str">
        <f ca="1">IFERROR(__xludf.DUMMYFUNCTION("""COMPUTED_VALUE"""),"FR241")</f>
        <v>FR241</v>
      </c>
    </row>
    <row r="312" spans="1:2" ht="12.5" x14ac:dyDescent="0.25">
      <c r="A312" t="str">
        <f ca="1">IFERROR(__xludf.DUMMYFUNCTION("""COMPUTED_VALUE"""),"Cheshire")</f>
        <v>Cheshire</v>
      </c>
      <c r="B312" t="str">
        <f ca="1">IFERROR(__xludf.DUMMYFUNCTION("""COMPUTED_VALUE"""),"UKD2")</f>
        <v>UKD2</v>
      </c>
    </row>
    <row r="313" spans="1:2" ht="12.5" x14ac:dyDescent="0.25">
      <c r="A313" t="str">
        <f ca="1">IFERROR(__xludf.DUMMYFUNCTION("""COMPUTED_VALUE"""),"Cheshire Cc")</f>
        <v>Cheshire Cc</v>
      </c>
      <c r="B313" t="str">
        <f ca="1">IFERROR(__xludf.DUMMYFUNCTION("""COMPUTED_VALUE"""),"UKD22")</f>
        <v>UKD22</v>
      </c>
    </row>
    <row r="314" spans="1:2" ht="12.5" x14ac:dyDescent="0.25">
      <c r="A314" t="str">
        <f ca="1">IFERROR(__xludf.DUMMYFUNCTION("""COMPUTED_VALUE"""),"Chieti")</f>
        <v>Chieti</v>
      </c>
      <c r="B314" t="str">
        <f ca="1">IFERROR(__xludf.DUMMYFUNCTION("""COMPUTED_VALUE"""),"ITF14")</f>
        <v>ITF14</v>
      </c>
    </row>
    <row r="315" spans="1:2" ht="12.5" x14ac:dyDescent="0.25">
      <c r="A315" t="str">
        <f ca="1">IFERROR(__xludf.DUMMYFUNCTION("""COMPUTED_VALUE"""),"Chios")</f>
        <v>Chios</v>
      </c>
      <c r="B315" t="str">
        <f ca="1">IFERROR(__xludf.DUMMYFUNCTION("""COMPUTED_VALUE"""),"GR413")</f>
        <v>GR413</v>
      </c>
    </row>
    <row r="316" spans="1:2" ht="12.5" x14ac:dyDescent="0.25">
      <c r="A316" t="str">
        <f ca="1">IFERROR(__xludf.DUMMYFUNCTION("""COMPUTED_VALUE"""),"Ciechanowsko-Plocki")</f>
        <v>Ciechanowsko-Plocki</v>
      </c>
      <c r="B316" t="str">
        <f ca="1">IFERROR(__xludf.DUMMYFUNCTION("""COMPUTED_VALUE"""),"PL121")</f>
        <v>PL121</v>
      </c>
    </row>
    <row r="317" spans="1:2" ht="12.5" x14ac:dyDescent="0.25">
      <c r="A317" t="str">
        <f ca="1">IFERROR(__xludf.DUMMYFUNCTION("""COMPUTED_VALUE"""),"Ciudad Autónoma De Ceuta")</f>
        <v>Ciudad Autónoma De Ceuta</v>
      </c>
      <c r="B317" t="str">
        <f ca="1">IFERROR(__xludf.DUMMYFUNCTION("""COMPUTED_VALUE"""),"ES63")</f>
        <v>ES63</v>
      </c>
    </row>
    <row r="318" spans="1:2" ht="12.5" x14ac:dyDescent="0.25">
      <c r="A318" t="str">
        <f ca="1">IFERROR(__xludf.DUMMYFUNCTION("""COMPUTED_VALUE"""),"Ciudad Autónoma De Melilla")</f>
        <v>Ciudad Autónoma De Melilla</v>
      </c>
      <c r="B318" t="str">
        <f ca="1">IFERROR(__xludf.DUMMYFUNCTION("""COMPUTED_VALUE"""),"ES64")</f>
        <v>ES64</v>
      </c>
    </row>
    <row r="319" spans="1:2" ht="12.5" x14ac:dyDescent="0.25">
      <c r="A319" t="str">
        <f ca="1">IFERROR(__xludf.DUMMYFUNCTION("""COMPUTED_VALUE"""),"Ciudad Real")</f>
        <v>Ciudad Real</v>
      </c>
      <c r="B319" t="str">
        <f ca="1">IFERROR(__xludf.DUMMYFUNCTION("""COMPUTED_VALUE"""),"ES422")</f>
        <v>ES422</v>
      </c>
    </row>
    <row r="320" spans="1:2" ht="12.5" x14ac:dyDescent="0.25">
      <c r="A320" t="str">
        <f ca="1">IFERROR(__xludf.DUMMYFUNCTION("""COMPUTED_VALUE"""),"Clackmannanshire And Fife")</f>
        <v>Clackmannanshire And Fife</v>
      </c>
      <c r="B320" t="str">
        <f ca="1">IFERROR(__xludf.DUMMYFUNCTION("""COMPUTED_VALUE"""),"UKM22")</f>
        <v>UKM22</v>
      </c>
    </row>
    <row r="321" spans="1:2" ht="12.5" x14ac:dyDescent="0.25">
      <c r="A321" t="str">
        <f ca="1">IFERROR(__xludf.DUMMYFUNCTION("""COMPUTED_VALUE"""),"Cloppenburg")</f>
        <v>Cloppenburg</v>
      </c>
      <c r="B321" t="str">
        <f ca="1">IFERROR(__xludf.DUMMYFUNCTION("""COMPUTED_VALUE"""),"DE948")</f>
        <v>DE948</v>
      </c>
    </row>
    <row r="322" spans="1:2" ht="12.5" x14ac:dyDescent="0.25">
      <c r="A322" t="str">
        <f ca="1">IFERROR(__xludf.DUMMYFUNCTION("""COMPUTED_VALUE"""),"Cluj")</f>
        <v>Cluj</v>
      </c>
      <c r="B322" t="str">
        <f ca="1">IFERROR(__xludf.DUMMYFUNCTION("""COMPUTED_VALUE"""),"RO113")</f>
        <v>RO113</v>
      </c>
    </row>
    <row r="323" spans="1:2" ht="12.5" x14ac:dyDescent="0.25">
      <c r="A323" t="str">
        <f ca="1">IFERROR(__xludf.DUMMYFUNCTION("""COMPUTED_VALUE"""),"Coburg, Kreisfreie Stadt")</f>
        <v>Coburg, Kreisfreie Stadt</v>
      </c>
      <c r="B323" t="str">
        <f ca="1">IFERROR(__xludf.DUMMYFUNCTION("""COMPUTED_VALUE"""),"DE243")</f>
        <v>DE243</v>
      </c>
    </row>
    <row r="324" spans="1:2" ht="12.5" x14ac:dyDescent="0.25">
      <c r="A324" t="str">
        <f ca="1">IFERROR(__xludf.DUMMYFUNCTION("""COMPUTED_VALUE"""),"Coburg, Landkreis")</f>
        <v>Coburg, Landkreis</v>
      </c>
      <c r="B324" t="str">
        <f ca="1">IFERROR(__xludf.DUMMYFUNCTION("""COMPUTED_VALUE"""),"DE247")</f>
        <v>DE247</v>
      </c>
    </row>
    <row r="325" spans="1:2" ht="12.5" x14ac:dyDescent="0.25">
      <c r="A325" t="str">
        <f ca="1">IFERROR(__xludf.DUMMYFUNCTION("""COMPUTED_VALUE"""),"Cochem-Zell")</f>
        <v>Cochem-Zell</v>
      </c>
      <c r="B325" t="str">
        <f ca="1">IFERROR(__xludf.DUMMYFUNCTION("""COMPUTED_VALUE"""),"DEB16")</f>
        <v>DEB16</v>
      </c>
    </row>
    <row r="326" spans="1:2" ht="12.5" x14ac:dyDescent="0.25">
      <c r="A326" t="str">
        <f ca="1">IFERROR(__xludf.DUMMYFUNCTION("""COMPUTED_VALUE"""),"Coesfeld")</f>
        <v>Coesfeld</v>
      </c>
      <c r="B326" t="str">
        <f ca="1">IFERROR(__xludf.DUMMYFUNCTION("""COMPUTED_VALUE"""),"DEA35")</f>
        <v>DEA35</v>
      </c>
    </row>
    <row r="327" spans="1:2" ht="12.5" x14ac:dyDescent="0.25">
      <c r="A327" t="str">
        <f ca="1">IFERROR(__xludf.DUMMYFUNCTION("""COMPUTED_VALUE"""),"Como")</f>
        <v>Como</v>
      </c>
      <c r="B327" t="str">
        <f ca="1">IFERROR(__xludf.DUMMYFUNCTION("""COMPUTED_VALUE"""),"ITC42")</f>
        <v>ITC42</v>
      </c>
    </row>
    <row r="328" spans="1:2" ht="12.5" x14ac:dyDescent="0.25">
      <c r="A328" t="str">
        <f ca="1">IFERROR(__xludf.DUMMYFUNCTION("""COMPUTED_VALUE"""),"Comunidad De Madrid")</f>
        <v>Comunidad De Madrid</v>
      </c>
      <c r="B328" t="str">
        <f ca="1">IFERROR(__xludf.DUMMYFUNCTION("""COMPUTED_VALUE"""),"ES3")</f>
        <v>ES3</v>
      </c>
    </row>
    <row r="329" spans="1:2" ht="12.5" x14ac:dyDescent="0.25">
      <c r="A329" t="str">
        <f ca="1">IFERROR(__xludf.DUMMYFUNCTION("""COMPUTED_VALUE"""),"Comunidad De Madrid (*)")</f>
        <v>Comunidad De Madrid (*)</v>
      </c>
      <c r="B329" t="str">
        <f ca="1">IFERROR(__xludf.DUMMYFUNCTION("""COMPUTED_VALUE"""),"ES30")</f>
        <v>ES30</v>
      </c>
    </row>
    <row r="330" spans="1:2" ht="12.5" x14ac:dyDescent="0.25">
      <c r="A330" t="str">
        <f ca="1">IFERROR(__xludf.DUMMYFUNCTION("""COMPUTED_VALUE"""),"Comunidad Foral De Navarra")</f>
        <v>Comunidad Foral De Navarra</v>
      </c>
      <c r="B330" t="str">
        <f ca="1">IFERROR(__xludf.DUMMYFUNCTION("""COMPUTED_VALUE"""),"ES22")</f>
        <v>ES22</v>
      </c>
    </row>
    <row r="331" spans="1:2" ht="12.5" x14ac:dyDescent="0.25">
      <c r="A331" t="str">
        <f ca="1">IFERROR(__xludf.DUMMYFUNCTION("""COMPUTED_VALUE"""),"Comunidad Valenciana")</f>
        <v>Comunidad Valenciana</v>
      </c>
      <c r="B331" t="str">
        <f ca="1">IFERROR(__xludf.DUMMYFUNCTION("""COMPUTED_VALUE"""),"ES52")</f>
        <v>ES52</v>
      </c>
    </row>
    <row r="332" spans="1:2" ht="12.5" x14ac:dyDescent="0.25">
      <c r="A332" t="str">
        <f ca="1">IFERROR(__xludf.DUMMYFUNCTION("""COMPUTED_VALUE"""),"Constanta")</f>
        <v>Constanta</v>
      </c>
      <c r="B332" t="str">
        <f ca="1">IFERROR(__xludf.DUMMYFUNCTION("""COMPUTED_VALUE"""),"RO223")</f>
        <v>RO223</v>
      </c>
    </row>
    <row r="333" spans="1:2" ht="12.5" x14ac:dyDescent="0.25">
      <c r="A333" t="str">
        <f ca="1">IFERROR(__xludf.DUMMYFUNCTION("""COMPUTED_VALUE"""),"Continente")</f>
        <v>Continente</v>
      </c>
      <c r="B333" t="str">
        <f ca="1">IFERROR(__xludf.DUMMYFUNCTION("""COMPUTED_VALUE"""),"PT1")</f>
        <v>PT1</v>
      </c>
    </row>
    <row r="334" spans="1:2" ht="12.5" x14ac:dyDescent="0.25">
      <c r="A334" t="str">
        <f ca="1">IFERROR(__xludf.DUMMYFUNCTION("""COMPUTED_VALUE"""),"Conwy And Denbighshire")</f>
        <v>Conwy And Denbighshire</v>
      </c>
      <c r="B334" t="str">
        <f ca="1">IFERROR(__xludf.DUMMYFUNCTION("""COMPUTED_VALUE"""),"UKL13")</f>
        <v>UKL13</v>
      </c>
    </row>
    <row r="335" spans="1:2" ht="12.5" x14ac:dyDescent="0.25">
      <c r="A335" t="str">
        <f ca="1">IFERROR(__xludf.DUMMYFUNCTION("""COMPUTED_VALUE"""),"Córdoba")</f>
        <v>Córdoba</v>
      </c>
      <c r="B335" t="str">
        <f ca="1">IFERROR(__xludf.DUMMYFUNCTION("""COMPUTED_VALUE"""),"ES613")</f>
        <v>ES613</v>
      </c>
    </row>
    <row r="336" spans="1:2" ht="12.5" x14ac:dyDescent="0.25">
      <c r="A336" t="str">
        <f ca="1">IFERROR(__xludf.DUMMYFUNCTION("""COMPUTED_VALUE"""),"Cornwall And Isles Of Scilly")</f>
        <v>Cornwall And Isles Of Scilly</v>
      </c>
      <c r="B336" t="str">
        <f ca="1">IFERROR(__xludf.DUMMYFUNCTION("""COMPUTED_VALUE"""),"UKK3")</f>
        <v>UKK3</v>
      </c>
    </row>
    <row r="337" spans="1:2" ht="12.5" x14ac:dyDescent="0.25">
      <c r="A337" t="str">
        <f ca="1">IFERROR(__xludf.DUMMYFUNCTION("""COMPUTED_VALUE"""),"Cornwall And Isles Of Scilly (*)")</f>
        <v>Cornwall And Isles Of Scilly (*)</v>
      </c>
      <c r="B337" t="str">
        <f ca="1">IFERROR(__xludf.DUMMYFUNCTION("""COMPUTED_VALUE"""),"UKK30")</f>
        <v>UKK30</v>
      </c>
    </row>
    <row r="338" spans="1:2" ht="12.5" x14ac:dyDescent="0.25">
      <c r="A338" t="str">
        <f ca="1">IFERROR(__xludf.DUMMYFUNCTION("""COMPUTED_VALUE"""),"Corrèze")</f>
        <v>Corrèze</v>
      </c>
      <c r="B338" t="str">
        <f ca="1">IFERROR(__xludf.DUMMYFUNCTION("""COMPUTED_VALUE"""),"FR631")</f>
        <v>FR631</v>
      </c>
    </row>
    <row r="339" spans="1:2" ht="12.5" x14ac:dyDescent="0.25">
      <c r="A339" t="str">
        <f ca="1">IFERROR(__xludf.DUMMYFUNCTION("""COMPUTED_VALUE"""),"Corse")</f>
        <v>Corse</v>
      </c>
      <c r="B339" t="str">
        <f ca="1">IFERROR(__xludf.DUMMYFUNCTION("""COMPUTED_VALUE"""),"FR83")</f>
        <v>FR83</v>
      </c>
    </row>
    <row r="340" spans="1:2" ht="12.5" x14ac:dyDescent="0.25">
      <c r="A340" t="str">
        <f ca="1">IFERROR(__xludf.DUMMYFUNCTION("""COMPUTED_VALUE"""),"Corse-Du-Sud")</f>
        <v>Corse-Du-Sud</v>
      </c>
      <c r="B340" t="str">
        <f ca="1">IFERROR(__xludf.DUMMYFUNCTION("""COMPUTED_VALUE"""),"FR831")</f>
        <v>FR831</v>
      </c>
    </row>
    <row r="341" spans="1:2" ht="12.5" x14ac:dyDescent="0.25">
      <c r="A341" t="str">
        <f ca="1">IFERROR(__xludf.DUMMYFUNCTION("""COMPUTED_VALUE"""),"Cosenza")</f>
        <v>Cosenza</v>
      </c>
      <c r="B341" t="str">
        <f ca="1">IFERROR(__xludf.DUMMYFUNCTION("""COMPUTED_VALUE"""),"ITF61")</f>
        <v>ITF61</v>
      </c>
    </row>
    <row r="342" spans="1:2" ht="12.5" x14ac:dyDescent="0.25">
      <c r="A342" t="str">
        <f ca="1">IFERROR(__xludf.DUMMYFUNCTION("""COMPUTED_VALUE"""),"Côte-D'Or")</f>
        <v>Côte-D'Or</v>
      </c>
      <c r="B342" t="str">
        <f ca="1">IFERROR(__xludf.DUMMYFUNCTION("""COMPUTED_VALUE"""),"FR261")</f>
        <v>FR261</v>
      </c>
    </row>
    <row r="343" spans="1:2" ht="12.5" x14ac:dyDescent="0.25">
      <c r="A343" t="str">
        <f ca="1">IFERROR(__xludf.DUMMYFUNCTION("""COMPUTED_VALUE"""),"Côtes-D'Armor")</f>
        <v>Côtes-D'Armor</v>
      </c>
      <c r="B343" t="str">
        <f ca="1">IFERROR(__xludf.DUMMYFUNCTION("""COMPUTED_VALUE"""),"FR521")</f>
        <v>FR521</v>
      </c>
    </row>
    <row r="344" spans="1:2" ht="12.5" x14ac:dyDescent="0.25">
      <c r="A344" t="str">
        <f ca="1">IFERROR(__xludf.DUMMYFUNCTION("""COMPUTED_VALUE"""),"Cottbus, Kreisfreie Stadt")</f>
        <v>Cottbus, Kreisfreie Stadt</v>
      </c>
      <c r="B344" t="str">
        <f ca="1">IFERROR(__xludf.DUMMYFUNCTION("""COMPUTED_VALUE"""),"DE422")</f>
        <v>DE422</v>
      </c>
    </row>
    <row r="345" spans="1:2" ht="12.5" x14ac:dyDescent="0.25">
      <c r="A345" t="str">
        <f ca="1">IFERROR(__xludf.DUMMYFUNCTION("""COMPUTED_VALUE"""),"Cova Da Beira")</f>
        <v>Cova Da Beira</v>
      </c>
      <c r="B345" t="str">
        <f ca="1">IFERROR(__xludf.DUMMYFUNCTION("""COMPUTED_VALUE"""),"PT16A")</f>
        <v>PT16A</v>
      </c>
    </row>
    <row r="346" spans="1:2" ht="12.5" x14ac:dyDescent="0.25">
      <c r="A346" t="str">
        <f ca="1">IFERROR(__xludf.DUMMYFUNCTION("""COMPUTED_VALUE"""),"Covasna")</f>
        <v>Covasna</v>
      </c>
      <c r="B346" t="str">
        <f ca="1">IFERROR(__xludf.DUMMYFUNCTION("""COMPUTED_VALUE"""),"RO123")</f>
        <v>RO123</v>
      </c>
    </row>
    <row r="347" spans="1:2" ht="12.5" x14ac:dyDescent="0.25">
      <c r="A347" t="str">
        <f ca="1">IFERROR(__xludf.DUMMYFUNCTION("""COMPUTED_VALUE"""),"Coventry")</f>
        <v>Coventry</v>
      </c>
      <c r="B347" t="str">
        <f ca="1">IFERROR(__xludf.DUMMYFUNCTION("""COMPUTED_VALUE"""),"UKG33")</f>
        <v>UKG33</v>
      </c>
    </row>
    <row r="348" spans="1:2" ht="12.5" x14ac:dyDescent="0.25">
      <c r="A348" t="str">
        <f ca="1">IFERROR(__xludf.DUMMYFUNCTION("""COMPUTED_VALUE"""),"Cremona")</f>
        <v>Cremona</v>
      </c>
      <c r="B348" t="str">
        <f ca="1">IFERROR(__xludf.DUMMYFUNCTION("""COMPUTED_VALUE"""),"ITC4A")</f>
        <v>ITC4A</v>
      </c>
    </row>
    <row r="349" spans="1:2" ht="12.5" x14ac:dyDescent="0.25">
      <c r="A349" t="str">
        <f ca="1">IFERROR(__xludf.DUMMYFUNCTION("""COMPUTED_VALUE"""),"Creuse")</f>
        <v>Creuse</v>
      </c>
      <c r="B349" t="str">
        <f ca="1">IFERROR(__xludf.DUMMYFUNCTION("""COMPUTED_VALUE"""),"FR632")</f>
        <v>FR632</v>
      </c>
    </row>
    <row r="350" spans="1:2" ht="12.5" x14ac:dyDescent="0.25">
      <c r="A350" t="str">
        <f ca="1">IFERROR(__xludf.DUMMYFUNCTION("""COMPUTED_VALUE"""),"Crotone")</f>
        <v>Crotone</v>
      </c>
      <c r="B350" t="str">
        <f ca="1">IFERROR(__xludf.DUMMYFUNCTION("""COMPUTED_VALUE"""),"ITF62")</f>
        <v>ITF62</v>
      </c>
    </row>
    <row r="351" spans="1:2" ht="12.5" x14ac:dyDescent="0.25">
      <c r="A351" t="str">
        <f ca="1">IFERROR(__xludf.DUMMYFUNCTION("""COMPUTED_VALUE"""),"Csongrad")</f>
        <v>Csongrad</v>
      </c>
      <c r="B351" t="str">
        <f ca="1">IFERROR(__xludf.DUMMYFUNCTION("""COMPUTED_VALUE"""),"HU333")</f>
        <v>HU333</v>
      </c>
    </row>
    <row r="352" spans="1:2" ht="12.5" x14ac:dyDescent="0.25">
      <c r="A352" t="str">
        <f ca="1">IFERROR(__xludf.DUMMYFUNCTION("""COMPUTED_VALUE"""),"Cuenca")</f>
        <v>Cuenca</v>
      </c>
      <c r="B352" t="str">
        <f ca="1">IFERROR(__xludf.DUMMYFUNCTION("""COMPUTED_VALUE"""),"ES423")</f>
        <v>ES423</v>
      </c>
    </row>
    <row r="353" spans="1:2" ht="12.5" x14ac:dyDescent="0.25">
      <c r="A353" t="str">
        <f ca="1">IFERROR(__xludf.DUMMYFUNCTION("""COMPUTED_VALUE"""),"Cumbria")</f>
        <v>Cumbria</v>
      </c>
      <c r="B353" t="str">
        <f ca="1">IFERROR(__xludf.DUMMYFUNCTION("""COMPUTED_VALUE"""),"UKD1")</f>
        <v>UKD1</v>
      </c>
    </row>
    <row r="354" spans="1:2" ht="12.5" x14ac:dyDescent="0.25">
      <c r="A354" t="str">
        <f ca="1">IFERROR(__xludf.DUMMYFUNCTION("""COMPUTED_VALUE"""),"Cuneo")</f>
        <v>Cuneo</v>
      </c>
      <c r="B354" t="str">
        <f ca="1">IFERROR(__xludf.DUMMYFUNCTION("""COMPUTED_VALUE"""),"ITC16")</f>
        <v>ITC16</v>
      </c>
    </row>
    <row r="355" spans="1:2" ht="12.5" x14ac:dyDescent="0.25">
      <c r="A355" t="str">
        <f ca="1">IFERROR(__xludf.DUMMYFUNCTION("""COMPUTED_VALUE"""),"Cuxhaven")</f>
        <v>Cuxhaven</v>
      </c>
      <c r="B355" t="str">
        <f ca="1">IFERROR(__xludf.DUMMYFUNCTION("""COMPUTED_VALUE"""),"DE932")</f>
        <v>DE932</v>
      </c>
    </row>
    <row r="356" spans="1:2" ht="12.5" x14ac:dyDescent="0.25">
      <c r="A356" t="str">
        <f ca="1">IFERROR(__xludf.DUMMYFUNCTION("""COMPUTED_VALUE"""),"Czestochowski")</f>
        <v>Czestochowski</v>
      </c>
      <c r="B356" t="str">
        <f ca="1">IFERROR(__xludf.DUMMYFUNCTION("""COMPUTED_VALUE"""),"PL224")</f>
        <v>PL224</v>
      </c>
    </row>
    <row r="357" spans="1:2" ht="12.5" x14ac:dyDescent="0.25">
      <c r="A357" t="str">
        <f ca="1">IFERROR(__xludf.DUMMYFUNCTION("""COMPUTED_VALUE"""),"Dachau")</f>
        <v>Dachau</v>
      </c>
      <c r="B357" t="str">
        <f ca="1">IFERROR(__xludf.DUMMYFUNCTION("""COMPUTED_VALUE"""),"DE217")</f>
        <v>DE217</v>
      </c>
    </row>
    <row r="358" spans="1:2" ht="12.5" x14ac:dyDescent="0.25">
      <c r="A358" t="str">
        <f ca="1">IFERROR(__xludf.DUMMYFUNCTION("""COMPUTED_VALUE"""),"Dahme-Spreewald")</f>
        <v>Dahme-Spreewald</v>
      </c>
      <c r="B358" t="str">
        <f ca="1">IFERROR(__xludf.DUMMYFUNCTION("""COMPUTED_VALUE"""),"DE424")</f>
        <v>DE424</v>
      </c>
    </row>
    <row r="359" spans="1:2" ht="12.5" x14ac:dyDescent="0.25">
      <c r="A359" t="str">
        <f ca="1">IFERROR(__xludf.DUMMYFUNCTION("""COMPUTED_VALUE"""),"Dalarnas Län")</f>
        <v>Dalarnas Län</v>
      </c>
      <c r="B359" t="str">
        <f ca="1">IFERROR(__xludf.DUMMYFUNCTION("""COMPUTED_VALUE"""),"SE312")</f>
        <v>SE312</v>
      </c>
    </row>
    <row r="360" spans="1:2" ht="12.5" x14ac:dyDescent="0.25">
      <c r="A360" t="str">
        <f ca="1">IFERROR(__xludf.DUMMYFUNCTION("""COMPUTED_VALUE"""),"Dambovita")</f>
        <v>Dambovita</v>
      </c>
      <c r="B360" t="str">
        <f ca="1">IFERROR(__xludf.DUMMYFUNCTION("""COMPUTED_VALUE"""),"RO313")</f>
        <v>RO313</v>
      </c>
    </row>
    <row r="361" spans="1:2" ht="12.5" x14ac:dyDescent="0.25">
      <c r="A361" t="str">
        <f ca="1">IFERROR(__xludf.DUMMYFUNCTION("""COMPUTED_VALUE"""),"Danmark")</f>
        <v>Danmark</v>
      </c>
      <c r="B361" t="str">
        <f ca="1">IFERROR(__xludf.DUMMYFUNCTION("""COMPUTED_VALUE"""),"DK")</f>
        <v>DK</v>
      </c>
    </row>
    <row r="362" spans="1:2" ht="12.5" x14ac:dyDescent="0.25">
      <c r="A362" t="str">
        <f ca="1">IFERROR(__xludf.DUMMYFUNCTION("""COMPUTED_VALUE"""),"Danmark (*)")</f>
        <v>Danmark (*)</v>
      </c>
      <c r="B362" t="str">
        <f ca="1">IFERROR(__xludf.DUMMYFUNCTION("""COMPUTED_VALUE"""),"DK0")</f>
        <v>DK0</v>
      </c>
    </row>
    <row r="363" spans="1:2" ht="12.5" x14ac:dyDescent="0.25">
      <c r="A363" t="str">
        <f ca="1">IFERROR(__xludf.DUMMYFUNCTION("""COMPUTED_VALUE"""),"Dâo-Lafôes")</f>
        <v>Dâo-Lafôes</v>
      </c>
      <c r="B363" t="str">
        <f ca="1">IFERROR(__xludf.DUMMYFUNCTION("""COMPUTED_VALUE"""),"PT165")</f>
        <v>PT165</v>
      </c>
    </row>
    <row r="364" spans="1:2" ht="12.5" x14ac:dyDescent="0.25">
      <c r="A364" t="str">
        <f ca="1">IFERROR(__xludf.DUMMYFUNCTION("""COMPUTED_VALUE"""),"Darlington")</f>
        <v>Darlington</v>
      </c>
      <c r="B364" t="str">
        <f ca="1">IFERROR(__xludf.DUMMYFUNCTION("""COMPUTED_VALUE"""),"UKC13")</f>
        <v>UKC13</v>
      </c>
    </row>
    <row r="365" spans="1:2" ht="12.5" x14ac:dyDescent="0.25">
      <c r="A365" t="str">
        <f ca="1">IFERROR(__xludf.DUMMYFUNCTION("""COMPUTED_VALUE"""),"Darmstadt")</f>
        <v>Darmstadt</v>
      </c>
      <c r="B365" t="str">
        <f ca="1">IFERROR(__xludf.DUMMYFUNCTION("""COMPUTED_VALUE"""),"DE71")</f>
        <v>DE71</v>
      </c>
    </row>
    <row r="366" spans="1:2" ht="12.5" x14ac:dyDescent="0.25">
      <c r="A366" t="str">
        <f ca="1">IFERROR(__xludf.DUMMYFUNCTION("""COMPUTED_VALUE"""),"Darmstadt-Dieburg")</f>
        <v>Darmstadt-Dieburg</v>
      </c>
      <c r="B366" t="str">
        <f ca="1">IFERROR(__xludf.DUMMYFUNCTION("""COMPUTED_VALUE"""),"DE716")</f>
        <v>DE716</v>
      </c>
    </row>
    <row r="367" spans="1:2" ht="12.5" x14ac:dyDescent="0.25">
      <c r="A367" t="str">
        <f ca="1">IFERROR(__xludf.DUMMYFUNCTION("""COMPUTED_VALUE"""),"Darmstadt, Kreisfreie Stadt")</f>
        <v>Darmstadt, Kreisfreie Stadt</v>
      </c>
      <c r="B367" t="str">
        <f ca="1">IFERROR(__xludf.DUMMYFUNCTION("""COMPUTED_VALUE"""),"DE711")</f>
        <v>DE711</v>
      </c>
    </row>
    <row r="368" spans="1:2" ht="12.5" x14ac:dyDescent="0.25">
      <c r="A368" t="str">
        <f ca="1">IFERROR(__xludf.DUMMYFUNCTION("""COMPUTED_VALUE"""),"Daun")</f>
        <v>Daun</v>
      </c>
      <c r="B368" t="str">
        <f ca="1">IFERROR(__xludf.DUMMYFUNCTION("""COMPUTED_VALUE"""),"DEB24")</f>
        <v>DEB24</v>
      </c>
    </row>
    <row r="369" spans="1:2" ht="12.5" x14ac:dyDescent="0.25">
      <c r="A369" t="str">
        <f ca="1">IFERROR(__xludf.DUMMYFUNCTION("""COMPUTED_VALUE"""),"Deggendorf")</f>
        <v>Deggendorf</v>
      </c>
      <c r="B369" t="str">
        <f ca="1">IFERROR(__xludf.DUMMYFUNCTION("""COMPUTED_VALUE"""),"DE224")</f>
        <v>DE224</v>
      </c>
    </row>
    <row r="370" spans="1:2" ht="12.5" x14ac:dyDescent="0.25">
      <c r="A370" t="str">
        <f ca="1">IFERROR(__xludf.DUMMYFUNCTION("""COMPUTED_VALUE"""),"Del-Alfold")</f>
        <v>Del-Alfold</v>
      </c>
      <c r="B370" t="str">
        <f ca="1">IFERROR(__xludf.DUMMYFUNCTION("""COMPUTED_VALUE"""),"HU33")</f>
        <v>HU33</v>
      </c>
    </row>
    <row r="371" spans="1:2" ht="12.5" x14ac:dyDescent="0.25">
      <c r="A371" t="str">
        <f ca="1">IFERROR(__xludf.DUMMYFUNCTION("""COMPUTED_VALUE"""),"Del-Dunantul")</f>
        <v>Del-Dunantul</v>
      </c>
      <c r="B371" t="str">
        <f ca="1">IFERROR(__xludf.DUMMYFUNCTION("""COMPUTED_VALUE"""),"HU23")</f>
        <v>HU23</v>
      </c>
    </row>
    <row r="372" spans="1:2" ht="12.5" x14ac:dyDescent="0.25">
      <c r="A372" t="str">
        <f ca="1">IFERROR(__xludf.DUMMYFUNCTION("""COMPUTED_VALUE"""),"Delft En Westland")</f>
        <v>Delft En Westland</v>
      </c>
      <c r="B372" t="str">
        <f ca="1">IFERROR(__xludf.DUMMYFUNCTION("""COMPUTED_VALUE"""),"NL333")</f>
        <v>NL333</v>
      </c>
    </row>
    <row r="373" spans="1:2" ht="12.5" x14ac:dyDescent="0.25">
      <c r="A373" t="str">
        <f ca="1">IFERROR(__xludf.DUMMYFUNCTION("""COMPUTED_VALUE"""),"Delfzijl En Omgeving")</f>
        <v>Delfzijl En Omgeving</v>
      </c>
      <c r="B373" t="str">
        <f ca="1">IFERROR(__xludf.DUMMYFUNCTION("""COMPUTED_VALUE"""),"NL112")</f>
        <v>NL112</v>
      </c>
    </row>
    <row r="374" spans="1:2" ht="12.5" x14ac:dyDescent="0.25">
      <c r="A374" t="str">
        <f ca="1">IFERROR(__xludf.DUMMYFUNCTION("""COMPUTED_VALUE"""),"Delitzsch")</f>
        <v>Delitzsch</v>
      </c>
      <c r="B374" t="str">
        <f ca="1">IFERROR(__xludf.DUMMYFUNCTION("""COMPUTED_VALUE"""),"DED32")</f>
        <v>DED32</v>
      </c>
    </row>
    <row r="375" spans="1:2" ht="12.5" x14ac:dyDescent="0.25">
      <c r="A375" t="str">
        <f ca="1">IFERROR(__xludf.DUMMYFUNCTION("""COMPUTED_VALUE"""),"Delmenhorst, Kreisfreie Stadt")</f>
        <v>Delmenhorst, Kreisfreie Stadt</v>
      </c>
      <c r="B375" t="str">
        <f ca="1">IFERROR(__xludf.DUMMYFUNCTION("""COMPUTED_VALUE"""),"DE941")</f>
        <v>DE941</v>
      </c>
    </row>
    <row r="376" spans="1:2" ht="12.5" x14ac:dyDescent="0.25">
      <c r="A376" t="str">
        <f ca="1">IFERROR(__xludf.DUMMYFUNCTION("""COMPUTED_VALUE"""),"Demmin")</f>
        <v>Demmin</v>
      </c>
      <c r="B376" t="str">
        <f ca="1">IFERROR(__xludf.DUMMYFUNCTION("""COMPUTED_VALUE"""),"DE808")</f>
        <v>DE808</v>
      </c>
    </row>
    <row r="377" spans="1:2" ht="12.5" x14ac:dyDescent="0.25">
      <c r="A377" t="str">
        <f ca="1">IFERROR(__xludf.DUMMYFUNCTION("""COMPUTED_VALUE"""),"Départements D'Outre-Mer")</f>
        <v>Départements D'Outre-Mer</v>
      </c>
      <c r="B377" t="str">
        <f ca="1">IFERROR(__xludf.DUMMYFUNCTION("""COMPUTED_VALUE"""),"FR9")</f>
        <v>FR9</v>
      </c>
    </row>
    <row r="378" spans="1:2" ht="12.5" x14ac:dyDescent="0.25">
      <c r="A378" t="str">
        <f ca="1">IFERROR(__xludf.DUMMYFUNCTION("""COMPUTED_VALUE"""),"Derby")</f>
        <v>Derby</v>
      </c>
      <c r="B378" t="str">
        <f ca="1">IFERROR(__xludf.DUMMYFUNCTION("""COMPUTED_VALUE"""),"UKF11")</f>
        <v>UKF11</v>
      </c>
    </row>
    <row r="379" spans="1:2" ht="12.5" x14ac:dyDescent="0.25">
      <c r="A379" t="str">
        <f ca="1">IFERROR(__xludf.DUMMYFUNCTION("""COMPUTED_VALUE"""),"Derbyshire And Nottinghamshire")</f>
        <v>Derbyshire And Nottinghamshire</v>
      </c>
      <c r="B379" t="str">
        <f ca="1">IFERROR(__xludf.DUMMYFUNCTION("""COMPUTED_VALUE"""),"UKF1")</f>
        <v>UKF1</v>
      </c>
    </row>
    <row r="380" spans="1:2" ht="12.5" x14ac:dyDescent="0.25">
      <c r="A380" t="str">
        <f ca="1">IFERROR(__xludf.DUMMYFUNCTION("""COMPUTED_VALUE"""),"Dessau-Roßlau, Kreisfreie Stadt")</f>
        <v>Dessau-Roßlau, Kreisfreie Stadt</v>
      </c>
      <c r="B380" t="str">
        <f ca="1">IFERROR(__xludf.DUMMYFUNCTION("""COMPUTED_VALUE"""),"DEE01")</f>
        <v>DEE01</v>
      </c>
    </row>
    <row r="381" spans="1:2" ht="12.5" x14ac:dyDescent="0.25">
      <c r="A381" t="str">
        <f ca="1">IFERROR(__xludf.DUMMYFUNCTION("""COMPUTED_VALUE"""),"Detmold")</f>
        <v>Detmold</v>
      </c>
      <c r="B381" t="str">
        <f ca="1">IFERROR(__xludf.DUMMYFUNCTION("""COMPUTED_VALUE"""),"DEA4")</f>
        <v>DEA4</v>
      </c>
    </row>
    <row r="382" spans="1:2" ht="12.5" x14ac:dyDescent="0.25">
      <c r="A382" t="str">
        <f ca="1">IFERROR(__xludf.DUMMYFUNCTION("""COMPUTED_VALUE"""),"Deutschland")</f>
        <v>Deutschland</v>
      </c>
      <c r="B382" t="str">
        <f ca="1">IFERROR(__xludf.DUMMYFUNCTION("""COMPUTED_VALUE"""),"DE")</f>
        <v>DE</v>
      </c>
    </row>
    <row r="383" spans="1:2" ht="12.5" x14ac:dyDescent="0.25">
      <c r="A383" t="str">
        <f ca="1">IFERROR(__xludf.DUMMYFUNCTION("""COMPUTED_VALUE"""),"Deux-Sèvres")</f>
        <v>Deux-Sèvres</v>
      </c>
      <c r="B383" t="str">
        <f ca="1">IFERROR(__xludf.DUMMYFUNCTION("""COMPUTED_VALUE"""),"FR533")</f>
        <v>FR533</v>
      </c>
    </row>
    <row r="384" spans="1:2" ht="12.5" x14ac:dyDescent="0.25">
      <c r="A384" t="str">
        <f ca="1">IFERROR(__xludf.DUMMYFUNCTION("""COMPUTED_VALUE"""),"Devon")</f>
        <v>Devon</v>
      </c>
      <c r="B384" t="str">
        <f ca="1">IFERROR(__xludf.DUMMYFUNCTION("""COMPUTED_VALUE"""),"UKK4")</f>
        <v>UKK4</v>
      </c>
    </row>
    <row r="385" spans="1:2" ht="12.5" x14ac:dyDescent="0.25">
      <c r="A385" t="str">
        <f ca="1">IFERROR(__xludf.DUMMYFUNCTION("""COMPUTED_VALUE"""),"Devon Cc")</f>
        <v>Devon Cc</v>
      </c>
      <c r="B385" t="str">
        <f ca="1">IFERROR(__xludf.DUMMYFUNCTION("""COMPUTED_VALUE"""),"UKK43")</f>
        <v>UKK43</v>
      </c>
    </row>
    <row r="386" spans="1:2" ht="12.5" x14ac:dyDescent="0.25">
      <c r="A386" t="str">
        <f ca="1">IFERROR(__xludf.DUMMYFUNCTION("""COMPUTED_VALUE"""),"Diepholz")</f>
        <v>Diepholz</v>
      </c>
      <c r="B386" t="str">
        <f ca="1">IFERROR(__xludf.DUMMYFUNCTION("""COMPUTED_VALUE"""),"DE922")</f>
        <v>DE922</v>
      </c>
    </row>
    <row r="387" spans="1:2" ht="12.5" x14ac:dyDescent="0.25">
      <c r="A387" t="str">
        <f ca="1">IFERROR(__xludf.DUMMYFUNCTION("""COMPUTED_VALUE"""),"Dillingen A.D. Donau")</f>
        <v>Dillingen A.D. Donau</v>
      </c>
      <c r="B387" t="str">
        <f ca="1">IFERROR(__xludf.DUMMYFUNCTION("""COMPUTED_VALUE"""),"DE277")</f>
        <v>DE277</v>
      </c>
    </row>
    <row r="388" spans="1:2" ht="12.5" x14ac:dyDescent="0.25">
      <c r="A388" t="str">
        <f ca="1">IFERROR(__xludf.DUMMYFUNCTION("""COMPUTED_VALUE"""),"Dingolfing-Landau")</f>
        <v>Dingolfing-Landau</v>
      </c>
      <c r="B388" t="str">
        <f ca="1">IFERROR(__xludf.DUMMYFUNCTION("""COMPUTED_VALUE"""),"DE22C")</f>
        <v>DE22C</v>
      </c>
    </row>
    <row r="389" spans="1:2" ht="12.5" x14ac:dyDescent="0.25">
      <c r="A389" t="str">
        <f ca="1">IFERROR(__xludf.DUMMYFUNCTION("""COMPUTED_VALUE"""),"Dithmarschen")</f>
        <v>Dithmarschen</v>
      </c>
      <c r="B389" t="str">
        <f ca="1">IFERROR(__xludf.DUMMYFUNCTION("""COMPUTED_VALUE"""),"DEF05")</f>
        <v>DEF05</v>
      </c>
    </row>
    <row r="390" spans="1:2" ht="12.5" x14ac:dyDescent="0.25">
      <c r="A390" t="str">
        <f ca="1">IFERROR(__xludf.DUMMYFUNCTION("""COMPUTED_VALUE"""),"Döbeln")</f>
        <v>Döbeln</v>
      </c>
      <c r="B390" t="str">
        <f ca="1">IFERROR(__xludf.DUMMYFUNCTION("""COMPUTED_VALUE"""),"DED33")</f>
        <v>DED33</v>
      </c>
    </row>
    <row r="391" spans="1:2" ht="12.5" x14ac:dyDescent="0.25">
      <c r="A391" t="str">
        <f ca="1">IFERROR(__xludf.DUMMYFUNCTION("""COMPUTED_VALUE"""),"Dobrich")</f>
        <v>Dobrich</v>
      </c>
      <c r="B391" t="str">
        <f ca="1">IFERROR(__xludf.DUMMYFUNCTION("""COMPUTED_VALUE"""),"BG332")</f>
        <v>BG332</v>
      </c>
    </row>
    <row r="392" spans="1:2" ht="12.5" x14ac:dyDescent="0.25">
      <c r="A392" t="str">
        <f ca="1">IFERROR(__xludf.DUMMYFUNCTION("""COMPUTED_VALUE"""),"Dodekanisos")</f>
        <v>Dodekanisos</v>
      </c>
      <c r="B392" t="str">
        <f ca="1">IFERROR(__xludf.DUMMYFUNCTION("""COMPUTED_VALUE"""),"GR421")</f>
        <v>GR421</v>
      </c>
    </row>
    <row r="393" spans="1:2" ht="12.5" x14ac:dyDescent="0.25">
      <c r="A393" t="str">
        <f ca="1">IFERROR(__xludf.DUMMYFUNCTION("""COMPUTED_VALUE"""),"Dolj")</f>
        <v>Dolj</v>
      </c>
      <c r="B393" t="str">
        <f ca="1">IFERROR(__xludf.DUMMYFUNCTION("""COMPUTED_VALUE"""),"RO411")</f>
        <v>RO411</v>
      </c>
    </row>
    <row r="394" spans="1:2" ht="12.5" x14ac:dyDescent="0.25">
      <c r="A394" t="str">
        <f ca="1">IFERROR(__xludf.DUMMYFUNCTION("""COMPUTED_VALUE"""),"Dolnoslaskie")</f>
        <v>Dolnoslaskie</v>
      </c>
      <c r="B394" t="str">
        <f ca="1">IFERROR(__xludf.DUMMYFUNCTION("""COMPUTED_VALUE"""),"PL51")</f>
        <v>PL51</v>
      </c>
    </row>
    <row r="395" spans="1:2" ht="12.5" x14ac:dyDescent="0.25">
      <c r="A395" t="str">
        <f ca="1">IFERROR(__xludf.DUMMYFUNCTION("""COMPUTED_VALUE"""),"Donau-Ries")</f>
        <v>Donau-Ries</v>
      </c>
      <c r="B395" t="str">
        <f ca="1">IFERROR(__xludf.DUMMYFUNCTION("""COMPUTED_VALUE"""),"DE27D")</f>
        <v>DE27D</v>
      </c>
    </row>
    <row r="396" spans="1:2" ht="12.5" x14ac:dyDescent="0.25">
      <c r="A396" t="str">
        <f ca="1">IFERROR(__xludf.DUMMYFUNCTION("""COMPUTED_VALUE"""),"Donnersbergkreis")</f>
        <v>Donnersbergkreis</v>
      </c>
      <c r="B396" t="str">
        <f ca="1">IFERROR(__xludf.DUMMYFUNCTION("""COMPUTED_VALUE"""),"DEB3D")</f>
        <v>DEB3D</v>
      </c>
    </row>
    <row r="397" spans="1:2" ht="12.5" x14ac:dyDescent="0.25">
      <c r="A397" t="str">
        <f ca="1">IFERROR(__xludf.DUMMYFUNCTION("""COMPUTED_VALUE"""),"Dordogne")</f>
        <v>Dordogne</v>
      </c>
      <c r="B397" t="str">
        <f ca="1">IFERROR(__xludf.DUMMYFUNCTION("""COMPUTED_VALUE"""),"FR611")</f>
        <v>FR611</v>
      </c>
    </row>
    <row r="398" spans="1:2" ht="12.5" x14ac:dyDescent="0.25">
      <c r="A398" t="str">
        <f ca="1">IFERROR(__xludf.DUMMYFUNCTION("""COMPUTED_VALUE"""),"Dorset And Somerset")</f>
        <v>Dorset And Somerset</v>
      </c>
      <c r="B398" t="str">
        <f ca="1">IFERROR(__xludf.DUMMYFUNCTION("""COMPUTED_VALUE"""),"UKK2")</f>
        <v>UKK2</v>
      </c>
    </row>
    <row r="399" spans="1:2" ht="12.5" x14ac:dyDescent="0.25">
      <c r="A399" t="str">
        <f ca="1">IFERROR(__xludf.DUMMYFUNCTION("""COMPUTED_VALUE"""),"Dorset Cc")</f>
        <v>Dorset Cc</v>
      </c>
      <c r="B399" t="str">
        <f ca="1">IFERROR(__xludf.DUMMYFUNCTION("""COMPUTED_VALUE"""),"UKK22")</f>
        <v>UKK22</v>
      </c>
    </row>
    <row r="400" spans="1:2" ht="12.5" x14ac:dyDescent="0.25">
      <c r="A400" t="str">
        <f ca="1">IFERROR(__xludf.DUMMYFUNCTION("""COMPUTED_VALUE"""),"Dortmund, Kreisfreie Stadt")</f>
        <v>Dortmund, Kreisfreie Stadt</v>
      </c>
      <c r="B400" t="str">
        <f ca="1">IFERROR(__xludf.DUMMYFUNCTION("""COMPUTED_VALUE"""),"DEA52")</f>
        <v>DEA52</v>
      </c>
    </row>
    <row r="401" spans="1:2" ht="12.5" x14ac:dyDescent="0.25">
      <c r="A401" t="str">
        <f ca="1">IFERROR(__xludf.DUMMYFUNCTION("""COMPUTED_VALUE"""),"Doubs")</f>
        <v>Doubs</v>
      </c>
      <c r="B401" t="str">
        <f ca="1">IFERROR(__xludf.DUMMYFUNCTION("""COMPUTED_VALUE"""),"FR431")</f>
        <v>FR431</v>
      </c>
    </row>
    <row r="402" spans="1:2" ht="12.5" x14ac:dyDescent="0.25">
      <c r="A402" t="str">
        <f ca="1">IFERROR(__xludf.DUMMYFUNCTION("""COMPUTED_VALUE"""),"Douro")</f>
        <v>Douro</v>
      </c>
      <c r="B402" t="str">
        <f ca="1">IFERROR(__xludf.DUMMYFUNCTION("""COMPUTED_VALUE"""),"PT117")</f>
        <v>PT117</v>
      </c>
    </row>
    <row r="403" spans="1:2" ht="12.5" x14ac:dyDescent="0.25">
      <c r="A403" t="str">
        <f ca="1">IFERROR(__xludf.DUMMYFUNCTION("""COMPUTED_VALUE"""),"Drama")</f>
        <v>Drama</v>
      </c>
      <c r="B403" t="str">
        <f ca="1">IFERROR(__xludf.DUMMYFUNCTION("""COMPUTED_VALUE"""),"GR114")</f>
        <v>GR114</v>
      </c>
    </row>
    <row r="404" spans="1:2" ht="12.5" x14ac:dyDescent="0.25">
      <c r="A404" t="str">
        <f ca="1">IFERROR(__xludf.DUMMYFUNCTION("""COMPUTED_VALUE"""),"Drenthe")</f>
        <v>Drenthe</v>
      </c>
      <c r="B404" t="str">
        <f ca="1">IFERROR(__xludf.DUMMYFUNCTION("""COMPUTED_VALUE"""),"NL13")</f>
        <v>NL13</v>
      </c>
    </row>
    <row r="405" spans="1:2" ht="12.5" x14ac:dyDescent="0.25">
      <c r="A405" t="str">
        <f ca="1">IFERROR(__xludf.DUMMYFUNCTION("""COMPUTED_VALUE"""),"Dresden")</f>
        <v>Dresden</v>
      </c>
      <c r="B405" t="str">
        <f ca="1">IFERROR(__xludf.DUMMYFUNCTION("""COMPUTED_VALUE"""),"DED2")</f>
        <v>DED2</v>
      </c>
    </row>
    <row r="406" spans="1:2" ht="12.5" x14ac:dyDescent="0.25">
      <c r="A406" t="str">
        <f ca="1">IFERROR(__xludf.DUMMYFUNCTION("""COMPUTED_VALUE"""),"Dresden, Kreisfreie Stadt")</f>
        <v>Dresden, Kreisfreie Stadt</v>
      </c>
      <c r="B406" t="str">
        <f ca="1">IFERROR(__xludf.DUMMYFUNCTION("""COMPUTED_VALUE"""),"DED21")</f>
        <v>DED21</v>
      </c>
    </row>
    <row r="407" spans="1:2" ht="12.5" x14ac:dyDescent="0.25">
      <c r="A407" t="str">
        <f ca="1">IFERROR(__xludf.DUMMYFUNCTION("""COMPUTED_VALUE"""),"Drôme")</f>
        <v>Drôme</v>
      </c>
      <c r="B407" t="str">
        <f ca="1">IFERROR(__xludf.DUMMYFUNCTION("""COMPUTED_VALUE"""),"FR713")</f>
        <v>FR713</v>
      </c>
    </row>
    <row r="408" spans="1:2" ht="12.5" x14ac:dyDescent="0.25">
      <c r="A408" t="str">
        <f ca="1">IFERROR(__xludf.DUMMYFUNCTION("""COMPUTED_VALUE"""),"Dublin")</f>
        <v>Dublin</v>
      </c>
      <c r="B408" t="str">
        <f ca="1">IFERROR(__xludf.DUMMYFUNCTION("""COMPUTED_VALUE"""),"IE021")</f>
        <v>IE021</v>
      </c>
    </row>
    <row r="409" spans="1:2" ht="12.5" x14ac:dyDescent="0.25">
      <c r="A409" t="str">
        <f ca="1">IFERROR(__xludf.DUMMYFUNCTION("""COMPUTED_VALUE"""),"Dudley And Sandwell")</f>
        <v>Dudley And Sandwell</v>
      </c>
      <c r="B409" t="str">
        <f ca="1">IFERROR(__xludf.DUMMYFUNCTION("""COMPUTED_VALUE"""),"UKG34")</f>
        <v>UKG34</v>
      </c>
    </row>
    <row r="410" spans="1:2" ht="12.5" x14ac:dyDescent="0.25">
      <c r="A410" t="str">
        <f ca="1">IFERROR(__xludf.DUMMYFUNCTION("""COMPUTED_VALUE"""),"Duisburg, Kreisfreie Stadt")</f>
        <v>Duisburg, Kreisfreie Stadt</v>
      </c>
      <c r="B410" t="str">
        <f ca="1">IFERROR(__xludf.DUMMYFUNCTION("""COMPUTED_VALUE"""),"DEA12")</f>
        <v>DEA12</v>
      </c>
    </row>
    <row r="411" spans="1:2" ht="12.5" x14ac:dyDescent="0.25">
      <c r="A411" t="str">
        <f ca="1">IFERROR(__xludf.DUMMYFUNCTION("""COMPUTED_VALUE"""),"Dumfries &amp; Galloway")</f>
        <v>Dumfries &amp; Galloway</v>
      </c>
      <c r="B411" t="str">
        <f ca="1">IFERROR(__xludf.DUMMYFUNCTION("""COMPUTED_VALUE"""),"UKM32")</f>
        <v>UKM32</v>
      </c>
    </row>
    <row r="412" spans="1:2" ht="12.5" x14ac:dyDescent="0.25">
      <c r="A412" t="str">
        <f ca="1">IFERROR(__xludf.DUMMYFUNCTION("""COMPUTED_VALUE"""),"Dunantul")</f>
        <v>Dunantul</v>
      </c>
      <c r="B412" t="str">
        <f ca="1">IFERROR(__xludf.DUMMYFUNCTION("""COMPUTED_VALUE"""),"HU2")</f>
        <v>HU2</v>
      </c>
    </row>
    <row r="413" spans="1:2" ht="12.5" x14ac:dyDescent="0.25">
      <c r="A413" t="str">
        <f ca="1">IFERROR(__xludf.DUMMYFUNCTION("""COMPUTED_VALUE"""),"Düren")</f>
        <v>Düren</v>
      </c>
      <c r="B413" t="str">
        <f ca="1">IFERROR(__xludf.DUMMYFUNCTION("""COMPUTED_VALUE"""),"DEA26")</f>
        <v>DEA26</v>
      </c>
    </row>
    <row r="414" spans="1:2" ht="12.5" x14ac:dyDescent="0.25">
      <c r="A414" t="str">
        <f ca="1">IFERROR(__xludf.DUMMYFUNCTION("""COMPUTED_VALUE"""),"Durham Cc")</f>
        <v>Durham Cc</v>
      </c>
      <c r="B414" t="str">
        <f ca="1">IFERROR(__xludf.DUMMYFUNCTION("""COMPUTED_VALUE"""),"UKC14")</f>
        <v>UKC14</v>
      </c>
    </row>
    <row r="415" spans="1:2" ht="12.5" x14ac:dyDescent="0.25">
      <c r="A415" t="str">
        <f ca="1">IFERROR(__xludf.DUMMYFUNCTION("""COMPUTED_VALUE"""),"Düsseldorf")</f>
        <v>Düsseldorf</v>
      </c>
      <c r="B415" t="str">
        <f ca="1">IFERROR(__xludf.DUMMYFUNCTION("""COMPUTED_VALUE"""),"DEA1")</f>
        <v>DEA1</v>
      </c>
    </row>
    <row r="416" spans="1:2" ht="12.5" x14ac:dyDescent="0.25">
      <c r="A416" t="str">
        <f ca="1">IFERROR(__xludf.DUMMYFUNCTION("""COMPUTED_VALUE"""),"Düsseldorf, Kreisfreie Stadt")</f>
        <v>Düsseldorf, Kreisfreie Stadt</v>
      </c>
      <c r="B416" t="str">
        <f ca="1">IFERROR(__xludf.DUMMYFUNCTION("""COMPUTED_VALUE"""),"DEA11")</f>
        <v>DEA11</v>
      </c>
    </row>
    <row r="417" spans="1:2" ht="12.5" x14ac:dyDescent="0.25">
      <c r="A417" t="str">
        <f ca="1">IFERROR(__xludf.DUMMYFUNCTION("""COMPUTED_VALUE"""),"Dytiki Ellada")</f>
        <v>Dytiki Ellada</v>
      </c>
      <c r="B417" t="str">
        <f ca="1">IFERROR(__xludf.DUMMYFUNCTION("""COMPUTED_VALUE"""),"GR23")</f>
        <v>GR23</v>
      </c>
    </row>
    <row r="418" spans="1:2" ht="12.5" x14ac:dyDescent="0.25">
      <c r="A418" t="str">
        <f ca="1">IFERROR(__xludf.DUMMYFUNCTION("""COMPUTED_VALUE"""),"Dytiki Makedonia")</f>
        <v>Dytiki Makedonia</v>
      </c>
      <c r="B418" t="str">
        <f ca="1">IFERROR(__xludf.DUMMYFUNCTION("""COMPUTED_VALUE"""),"GR13")</f>
        <v>GR13</v>
      </c>
    </row>
    <row r="419" spans="1:2" ht="12.5" x14ac:dyDescent="0.25">
      <c r="A419" t="str">
        <f ca="1">IFERROR(__xludf.DUMMYFUNCTION("""COMPUTED_VALUE"""),"East Anglia")</f>
        <v>East Anglia</v>
      </c>
      <c r="B419" t="str">
        <f ca="1">IFERROR(__xludf.DUMMYFUNCTION("""COMPUTED_VALUE"""),"UKH1")</f>
        <v>UKH1</v>
      </c>
    </row>
    <row r="420" spans="1:2" ht="12.5" x14ac:dyDescent="0.25">
      <c r="A420" t="str">
        <f ca="1">IFERROR(__xludf.DUMMYFUNCTION("""COMPUTED_VALUE"""),"East Ayrshire And North Ayrshire Mainland")</f>
        <v>East Ayrshire And North Ayrshire Mainland</v>
      </c>
      <c r="B420" t="str">
        <f ca="1">IFERROR(__xludf.DUMMYFUNCTION("""COMPUTED_VALUE"""),"UKM33")</f>
        <v>UKM33</v>
      </c>
    </row>
    <row r="421" spans="1:2" ht="12.5" x14ac:dyDescent="0.25">
      <c r="A421" t="str">
        <f ca="1">IFERROR(__xludf.DUMMYFUNCTION("""COMPUTED_VALUE"""),"East Cumbria")</f>
        <v>East Cumbria</v>
      </c>
      <c r="B421" t="str">
        <f ca="1">IFERROR(__xludf.DUMMYFUNCTION("""COMPUTED_VALUE"""),"UKD12")</f>
        <v>UKD12</v>
      </c>
    </row>
    <row r="422" spans="1:2" ht="12.5" x14ac:dyDescent="0.25">
      <c r="A422" t="str">
        <f ca="1">IFERROR(__xludf.DUMMYFUNCTION("""COMPUTED_VALUE"""),"East Derbyshire")</f>
        <v>East Derbyshire</v>
      </c>
      <c r="B422" t="str">
        <f ca="1">IFERROR(__xludf.DUMMYFUNCTION("""COMPUTED_VALUE"""),"UKF12")</f>
        <v>UKF12</v>
      </c>
    </row>
    <row r="423" spans="1:2" ht="12.5" x14ac:dyDescent="0.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x14ac:dyDescent="0.25">
      <c r="A424" t="str">
        <f ca="1">IFERROR(__xludf.DUMMYFUNCTION("""COMPUTED_VALUE"""),"East Lothian And Midlothian")</f>
        <v>East Lothian And Midlothian</v>
      </c>
      <c r="B424" t="str">
        <f ca="1">IFERROR(__xludf.DUMMYFUNCTION("""COMPUTED_VALUE"""),"UKM23")</f>
        <v>UKM23</v>
      </c>
    </row>
    <row r="425" spans="1:2" ht="12.5" x14ac:dyDescent="0.25">
      <c r="A425" t="str">
        <f ca="1">IFERROR(__xludf.DUMMYFUNCTION("""COMPUTED_VALUE"""),"East Merseyside")</f>
        <v>East Merseyside</v>
      </c>
      <c r="B425" t="str">
        <f ca="1">IFERROR(__xludf.DUMMYFUNCTION("""COMPUTED_VALUE"""),"UKD51")</f>
        <v>UKD51</v>
      </c>
    </row>
    <row r="426" spans="1:2" ht="12.5" x14ac:dyDescent="0.25">
      <c r="A426" t="str">
        <f ca="1">IFERROR(__xludf.DUMMYFUNCTION("""COMPUTED_VALUE"""),"East Midlands (England)")</f>
        <v>East Midlands (England)</v>
      </c>
      <c r="B426" t="str">
        <f ca="1">IFERROR(__xludf.DUMMYFUNCTION("""COMPUTED_VALUE"""),"UKF")</f>
        <v>UKF</v>
      </c>
    </row>
    <row r="427" spans="1:2" ht="12.5" x14ac:dyDescent="0.25">
      <c r="A427" t="str">
        <f ca="1">IFERROR(__xludf.DUMMYFUNCTION("""COMPUTED_VALUE"""),"East Of England")</f>
        <v>East Of England</v>
      </c>
      <c r="B427" t="str">
        <f ca="1">IFERROR(__xludf.DUMMYFUNCTION("""COMPUTED_VALUE"""),"UKH")</f>
        <v>UKH</v>
      </c>
    </row>
    <row r="428" spans="1:2" ht="12.5" x14ac:dyDescent="0.25">
      <c r="A428" t="str">
        <f ca="1">IFERROR(__xludf.DUMMYFUNCTION("""COMPUTED_VALUE"""),"East Of Northern Ireland")</f>
        <v>East Of Northern Ireland</v>
      </c>
      <c r="B428" t="str">
        <f ca="1">IFERROR(__xludf.DUMMYFUNCTION("""COMPUTED_VALUE"""),"UKN03")</f>
        <v>UKN03</v>
      </c>
    </row>
    <row r="429" spans="1:2" ht="12.5" x14ac:dyDescent="0.25">
      <c r="A429" t="str">
        <f ca="1">IFERROR(__xludf.DUMMYFUNCTION("""COMPUTED_VALUE"""),"East Riding Of Yorkshire")</f>
        <v>East Riding Of Yorkshire</v>
      </c>
      <c r="B429" t="str">
        <f ca="1">IFERROR(__xludf.DUMMYFUNCTION("""COMPUTED_VALUE"""),"UKE12")</f>
        <v>UKE12</v>
      </c>
    </row>
    <row r="430" spans="1:2" ht="12.5" x14ac:dyDescent="0.25">
      <c r="A430" t="str">
        <f ca="1">IFERROR(__xludf.DUMMYFUNCTION("""COMPUTED_VALUE"""),"East Sussex Cc")</f>
        <v>East Sussex Cc</v>
      </c>
      <c r="B430" t="str">
        <f ca="1">IFERROR(__xludf.DUMMYFUNCTION("""COMPUTED_VALUE"""),"UKJ22")</f>
        <v>UKJ22</v>
      </c>
    </row>
    <row r="431" spans="1:2" ht="12.5" x14ac:dyDescent="0.25">
      <c r="A431" t="str">
        <f ca="1">IFERROR(__xludf.DUMMYFUNCTION("""COMPUTED_VALUE"""),"East Wales")</f>
        <v>East Wales</v>
      </c>
      <c r="B431" t="str">
        <f ca="1">IFERROR(__xludf.DUMMYFUNCTION("""COMPUTED_VALUE"""),"UKL2")</f>
        <v>UKL2</v>
      </c>
    </row>
    <row r="432" spans="1:2" ht="12.5" x14ac:dyDescent="0.25">
      <c r="A432" t="str">
        <f ca="1">IFERROR(__xludf.DUMMYFUNCTION("""COMPUTED_VALUE"""),"East Yorkshire And Northern Lincolnshire")</f>
        <v>East Yorkshire And Northern Lincolnshire</v>
      </c>
      <c r="B432" t="str">
        <f ca="1">IFERROR(__xludf.DUMMYFUNCTION("""COMPUTED_VALUE"""),"UKE1")</f>
        <v>UKE1</v>
      </c>
    </row>
    <row r="433" spans="1:2" ht="12.5" x14ac:dyDescent="0.25">
      <c r="A433" t="str">
        <f ca="1">IFERROR(__xludf.DUMMYFUNCTION("""COMPUTED_VALUE"""),"Eastern Scotland")</f>
        <v>Eastern Scotland</v>
      </c>
      <c r="B433" t="str">
        <f ca="1">IFERROR(__xludf.DUMMYFUNCTION("""COMPUTED_VALUE"""),"UKM2")</f>
        <v>UKM2</v>
      </c>
    </row>
    <row r="434" spans="1:2" ht="12.5" x14ac:dyDescent="0.25">
      <c r="A434" t="str">
        <f ca="1">IFERROR(__xludf.DUMMYFUNCTION("""COMPUTED_VALUE"""),"Ebersberg")</f>
        <v>Ebersberg</v>
      </c>
      <c r="B434" t="str">
        <f ca="1">IFERROR(__xludf.DUMMYFUNCTION("""COMPUTED_VALUE"""),"DE218")</f>
        <v>DE218</v>
      </c>
    </row>
    <row r="435" spans="1:2" ht="12.5" x14ac:dyDescent="0.25">
      <c r="A435" t="str">
        <f ca="1">IFERROR(__xludf.DUMMYFUNCTION("""COMPUTED_VALUE"""),"Edinburgh, City Of")</f>
        <v>Edinburgh, City Of</v>
      </c>
      <c r="B435" t="str">
        <f ca="1">IFERROR(__xludf.DUMMYFUNCTION("""COMPUTED_VALUE"""),"UKM25")</f>
        <v>UKM25</v>
      </c>
    </row>
    <row r="436" spans="1:2" ht="12.5" x14ac:dyDescent="0.25">
      <c r="A436" t="str">
        <f ca="1">IFERROR(__xludf.DUMMYFUNCTION("""COMPUTED_VALUE"""),"Eesti")</f>
        <v>Eesti</v>
      </c>
      <c r="B436" t="str">
        <f ca="1">IFERROR(__xludf.DUMMYFUNCTION("""COMPUTED_VALUE"""),"EE")</f>
        <v>EE</v>
      </c>
    </row>
    <row r="437" spans="1:2" ht="12.5" x14ac:dyDescent="0.25">
      <c r="A437" t="str">
        <f ca="1">IFERROR(__xludf.DUMMYFUNCTION("""COMPUTED_VALUE"""),"Eesti (*)")</f>
        <v>Eesti (*)</v>
      </c>
      <c r="B437" t="str">
        <f ca="1">IFERROR(__xludf.DUMMYFUNCTION("""COMPUTED_VALUE"""),"EE0")</f>
        <v>EE0</v>
      </c>
    </row>
    <row r="438" spans="1:2" ht="12.5" x14ac:dyDescent="0.25">
      <c r="A438" t="str">
        <f ca="1">IFERROR(__xludf.DUMMYFUNCTION("""COMPUTED_VALUE"""),"Eesti (**)")</f>
        <v>Eesti (**)</v>
      </c>
      <c r="B438" t="str">
        <f ca="1">IFERROR(__xludf.DUMMYFUNCTION("""COMPUTED_VALUE"""),"EE00")</f>
        <v>EE00</v>
      </c>
    </row>
    <row r="439" spans="1:2" ht="12.5" x14ac:dyDescent="0.25">
      <c r="A439" t="str">
        <f ca="1">IFERROR(__xludf.DUMMYFUNCTION("""COMPUTED_VALUE"""),"Eichsfeld")</f>
        <v>Eichsfeld</v>
      </c>
      <c r="B439" t="str">
        <f ca="1">IFERROR(__xludf.DUMMYFUNCTION("""COMPUTED_VALUE"""),"DEG06")</f>
        <v>DEG06</v>
      </c>
    </row>
    <row r="440" spans="1:2" ht="12.5" x14ac:dyDescent="0.25">
      <c r="A440" t="str">
        <f ca="1">IFERROR(__xludf.DUMMYFUNCTION("""COMPUTED_VALUE"""),"Eichstätt")</f>
        <v>Eichstätt</v>
      </c>
      <c r="B440" t="str">
        <f ca="1">IFERROR(__xludf.DUMMYFUNCTION("""COMPUTED_VALUE"""),"DE219")</f>
        <v>DE219</v>
      </c>
    </row>
    <row r="441" spans="1:2" ht="12.5" x14ac:dyDescent="0.25">
      <c r="A441" t="str">
        <f ca="1">IFERROR(__xludf.DUMMYFUNCTION("""COMPUTED_VALUE"""),"Eilean Siar (Western Isles)")</f>
        <v>Eilean Siar (Western Isles)</v>
      </c>
      <c r="B441" t="str">
        <f ca="1">IFERROR(__xludf.DUMMYFUNCTION("""COMPUTED_VALUE"""),"UKM64")</f>
        <v>UKM64</v>
      </c>
    </row>
    <row r="442" spans="1:2" ht="12.5" x14ac:dyDescent="0.25">
      <c r="A442" t="str">
        <f ca="1">IFERROR(__xludf.DUMMYFUNCTION("""COMPUTED_VALUE"""),"Eisenach, Kreisfreie Stadt")</f>
        <v>Eisenach, Kreisfreie Stadt</v>
      </c>
      <c r="B442" t="str">
        <f ca="1">IFERROR(__xludf.DUMMYFUNCTION("""COMPUTED_VALUE"""),"DEG0N")</f>
        <v>DEG0N</v>
      </c>
    </row>
    <row r="443" spans="1:2" ht="12.5" x14ac:dyDescent="0.25">
      <c r="A443" t="str">
        <f ca="1">IFERROR(__xludf.DUMMYFUNCTION("""COMPUTED_VALUE"""),"Eivissa Y Formentera")</f>
        <v>Eivissa Y Formentera</v>
      </c>
      <c r="B443" t="str">
        <f ca="1">IFERROR(__xludf.DUMMYFUNCTION("""COMPUTED_VALUE"""),"ES531")</f>
        <v>ES531</v>
      </c>
    </row>
    <row r="444" spans="1:2" ht="12.5" x14ac:dyDescent="0.25">
      <c r="A444" t="str">
        <f ca="1">IFERROR(__xludf.DUMMYFUNCTION("""COMPUTED_VALUE"""),"El Hierro")</f>
        <v>El Hierro</v>
      </c>
      <c r="B444" t="str">
        <f ca="1">IFERROR(__xludf.DUMMYFUNCTION("""COMPUTED_VALUE"""),"ES703")</f>
        <v>ES703</v>
      </c>
    </row>
    <row r="445" spans="1:2" ht="12.5" x14ac:dyDescent="0.25">
      <c r="A445" t="str">
        <f ca="1">IFERROR(__xludf.DUMMYFUNCTION("""COMPUTED_VALUE"""),"Elbe-Elster")</f>
        <v>Elbe-Elster</v>
      </c>
      <c r="B445" t="str">
        <f ca="1">IFERROR(__xludf.DUMMYFUNCTION("""COMPUTED_VALUE"""),"DE425")</f>
        <v>DE425</v>
      </c>
    </row>
    <row r="446" spans="1:2" ht="12.5" x14ac:dyDescent="0.25">
      <c r="A446" t="str">
        <f ca="1">IFERROR(__xludf.DUMMYFUNCTION("""COMPUTED_VALUE"""),"Elblaski")</f>
        <v>Elblaski</v>
      </c>
      <c r="B446" t="str">
        <f ca="1">IFERROR(__xludf.DUMMYFUNCTION("""COMPUTED_VALUE"""),"PL621")</f>
        <v>PL621</v>
      </c>
    </row>
    <row r="447" spans="1:2" ht="12.5" x14ac:dyDescent="0.25">
      <c r="A447" t="str">
        <f ca="1">IFERROR(__xludf.DUMMYFUNCTION("""COMPUTED_VALUE"""),"Elcki")</f>
        <v>Elcki</v>
      </c>
      <c r="B447" t="str">
        <f ca="1">IFERROR(__xludf.DUMMYFUNCTION("""COMPUTED_VALUE"""),"PL623")</f>
        <v>PL623</v>
      </c>
    </row>
    <row r="448" spans="1:2" ht="12.5" x14ac:dyDescent="0.25">
      <c r="A448" t="str">
        <f ca="1">IFERROR(__xludf.DUMMYFUNCTION("""COMPUTED_VALUE"""),"Ellada")</f>
        <v>Ellada</v>
      </c>
      <c r="B448" t="str">
        <f ca="1">IFERROR(__xludf.DUMMYFUNCTION("""COMPUTED_VALUE"""),"GR")</f>
        <v>GR</v>
      </c>
    </row>
    <row r="449" spans="1:2" ht="12.5" x14ac:dyDescent="0.25">
      <c r="A449" t="str">
        <f ca="1">IFERROR(__xludf.DUMMYFUNCTION("""COMPUTED_VALUE"""),"Emden, Kreisfreie Stadt")</f>
        <v>Emden, Kreisfreie Stadt</v>
      </c>
      <c r="B449" t="str">
        <f ca="1">IFERROR(__xludf.DUMMYFUNCTION("""COMPUTED_VALUE"""),"DE942")</f>
        <v>DE942</v>
      </c>
    </row>
    <row r="450" spans="1:2" ht="12.5" x14ac:dyDescent="0.25">
      <c r="A450" t="str">
        <f ca="1">IFERROR(__xludf.DUMMYFUNCTION("""COMPUTED_VALUE"""),"Emilia-Romagna")</f>
        <v>Emilia-Romagna</v>
      </c>
      <c r="B450" t="str">
        <f ca="1">IFERROR(__xludf.DUMMYFUNCTION("""COMPUTED_VALUE"""),"ITD5")</f>
        <v>ITD5</v>
      </c>
    </row>
    <row r="451" spans="1:2" ht="12.5" x14ac:dyDescent="0.25">
      <c r="A451" t="str">
        <f ca="1">IFERROR(__xludf.DUMMYFUNCTION("""COMPUTED_VALUE"""),"Emmendingen")</f>
        <v>Emmendingen</v>
      </c>
      <c r="B451" t="str">
        <f ca="1">IFERROR(__xludf.DUMMYFUNCTION("""COMPUTED_VALUE"""),"DE133")</f>
        <v>DE133</v>
      </c>
    </row>
    <row r="452" spans="1:2" ht="12.5" x14ac:dyDescent="0.25">
      <c r="A452" t="str">
        <f ca="1">IFERROR(__xludf.DUMMYFUNCTION("""COMPUTED_VALUE"""),"Emsland")</f>
        <v>Emsland</v>
      </c>
      <c r="B452" t="str">
        <f ca="1">IFERROR(__xludf.DUMMYFUNCTION("""COMPUTED_VALUE"""),"DE949")</f>
        <v>DE949</v>
      </c>
    </row>
    <row r="453" spans="1:2" ht="12.5" x14ac:dyDescent="0.25">
      <c r="A453" t="str">
        <f ca="1">IFERROR(__xludf.DUMMYFUNCTION("""COMPUTED_VALUE"""),"Enna")</f>
        <v>Enna</v>
      </c>
      <c r="B453" t="str">
        <f ca="1">IFERROR(__xludf.DUMMYFUNCTION("""COMPUTED_VALUE"""),"ITG16")</f>
        <v>ITG16</v>
      </c>
    </row>
    <row r="454" spans="1:2" ht="12.5" x14ac:dyDescent="0.25">
      <c r="A454" t="str">
        <f ca="1">IFERROR(__xludf.DUMMYFUNCTION("""COMPUTED_VALUE"""),"Ennepe-Ruhr-Kreis")</f>
        <v>Ennepe-Ruhr-Kreis</v>
      </c>
      <c r="B454" t="str">
        <f ca="1">IFERROR(__xludf.DUMMYFUNCTION("""COMPUTED_VALUE"""),"DEA56")</f>
        <v>DEA56</v>
      </c>
    </row>
    <row r="455" spans="1:2" ht="12.5" x14ac:dyDescent="0.25">
      <c r="A455" t="str">
        <f ca="1">IFERROR(__xludf.DUMMYFUNCTION("""COMPUTED_VALUE"""),"Entre Douro E Vouga")</f>
        <v>Entre Douro E Vouga</v>
      </c>
      <c r="B455" t="str">
        <f ca="1">IFERROR(__xludf.DUMMYFUNCTION("""COMPUTED_VALUE"""),"PT116")</f>
        <v>PT116</v>
      </c>
    </row>
    <row r="456" spans="1:2" ht="12.5" x14ac:dyDescent="0.25">
      <c r="A456" t="str">
        <f ca="1">IFERROR(__xludf.DUMMYFUNCTION("""COMPUTED_VALUE"""),"Enzkreis")</f>
        <v>Enzkreis</v>
      </c>
      <c r="B456" t="str">
        <f ca="1">IFERROR(__xludf.DUMMYFUNCTION("""COMPUTED_VALUE"""),"DE12B")</f>
        <v>DE12B</v>
      </c>
    </row>
    <row r="457" spans="1:2" ht="12.5" x14ac:dyDescent="0.25">
      <c r="A457" t="str">
        <f ca="1">IFERROR(__xludf.DUMMYFUNCTION("""COMPUTED_VALUE"""),"Erding")</f>
        <v>Erding</v>
      </c>
      <c r="B457" t="str">
        <f ca="1">IFERROR(__xludf.DUMMYFUNCTION("""COMPUTED_VALUE"""),"DE21A")</f>
        <v>DE21A</v>
      </c>
    </row>
    <row r="458" spans="1:2" ht="12.5" x14ac:dyDescent="0.25">
      <c r="A458" t="str">
        <f ca="1">IFERROR(__xludf.DUMMYFUNCTION("""COMPUTED_VALUE"""),"Erfurt, Kreisfreie Stadt")</f>
        <v>Erfurt, Kreisfreie Stadt</v>
      </c>
      <c r="B458" t="str">
        <f ca="1">IFERROR(__xludf.DUMMYFUNCTION("""COMPUTED_VALUE"""),"DEG01")</f>
        <v>DEG01</v>
      </c>
    </row>
    <row r="459" spans="1:2" ht="12.5" x14ac:dyDescent="0.25">
      <c r="A459" t="str">
        <f ca="1">IFERROR(__xludf.DUMMYFUNCTION("""COMPUTED_VALUE"""),"Erlangen-Höchstadt")</f>
        <v>Erlangen-Höchstadt</v>
      </c>
      <c r="B459" t="str">
        <f ca="1">IFERROR(__xludf.DUMMYFUNCTION("""COMPUTED_VALUE"""),"DE257")</f>
        <v>DE257</v>
      </c>
    </row>
    <row r="460" spans="1:2" ht="12.5" x14ac:dyDescent="0.25">
      <c r="A460" t="str">
        <f ca="1">IFERROR(__xludf.DUMMYFUNCTION("""COMPUTED_VALUE"""),"Erlangen, Kreisfreie Stadt")</f>
        <v>Erlangen, Kreisfreie Stadt</v>
      </c>
      <c r="B460" t="str">
        <f ca="1">IFERROR(__xludf.DUMMYFUNCTION("""COMPUTED_VALUE"""),"DE252")</f>
        <v>DE252</v>
      </c>
    </row>
    <row r="461" spans="1:2" ht="12.5" x14ac:dyDescent="0.25">
      <c r="A461" t="str">
        <f ca="1">IFERROR(__xludf.DUMMYFUNCTION("""COMPUTED_VALUE"""),"Espace Mittelland")</f>
        <v>Espace Mittelland</v>
      </c>
      <c r="B461" t="str">
        <f ca="1">IFERROR(__xludf.DUMMYFUNCTION("""COMPUTED_VALUE"""),"CH02")</f>
        <v>CH02</v>
      </c>
    </row>
    <row r="462" spans="1:2" ht="12.5" x14ac:dyDescent="0.25">
      <c r="A462" t="str">
        <f ca="1">IFERROR(__xludf.DUMMYFUNCTION("""COMPUTED_VALUE"""),"España")</f>
        <v>España</v>
      </c>
      <c r="B462" t="str">
        <f ca="1">IFERROR(__xludf.DUMMYFUNCTION("""COMPUTED_VALUE"""),"ES")</f>
        <v>ES</v>
      </c>
    </row>
    <row r="463" spans="1:2" ht="12.5" x14ac:dyDescent="0.25">
      <c r="A463" t="str">
        <f ca="1">IFERROR(__xludf.DUMMYFUNCTION("""COMPUTED_VALUE"""),"Essen, Kreisfreie Stadt")</f>
        <v>Essen, Kreisfreie Stadt</v>
      </c>
      <c r="B463" t="str">
        <f ca="1">IFERROR(__xludf.DUMMYFUNCTION("""COMPUTED_VALUE"""),"DEA13")</f>
        <v>DEA13</v>
      </c>
    </row>
    <row r="464" spans="1:2" ht="12.5" x14ac:dyDescent="0.25">
      <c r="A464" t="str">
        <f ca="1">IFERROR(__xludf.DUMMYFUNCTION("""COMPUTED_VALUE"""),"Essex")</f>
        <v>Essex</v>
      </c>
      <c r="B464" t="str">
        <f ca="1">IFERROR(__xludf.DUMMYFUNCTION("""COMPUTED_VALUE"""),"UKH3")</f>
        <v>UKH3</v>
      </c>
    </row>
    <row r="465" spans="1:2" ht="12.5" x14ac:dyDescent="0.25">
      <c r="A465" t="str">
        <f ca="1">IFERROR(__xludf.DUMMYFUNCTION("""COMPUTED_VALUE"""),"Essex Cc")</f>
        <v>Essex Cc</v>
      </c>
      <c r="B465" t="str">
        <f ca="1">IFERROR(__xludf.DUMMYFUNCTION("""COMPUTED_VALUE"""),"UKH33")</f>
        <v>UKH33</v>
      </c>
    </row>
    <row r="466" spans="1:2" ht="12.5" x14ac:dyDescent="0.25">
      <c r="A466" t="str">
        <f ca="1">IFERROR(__xludf.DUMMYFUNCTION("""COMPUTED_VALUE"""),"Esslingen")</f>
        <v>Esslingen</v>
      </c>
      <c r="B466" t="str">
        <f ca="1">IFERROR(__xludf.DUMMYFUNCTION("""COMPUTED_VALUE"""),"DE113")</f>
        <v>DE113</v>
      </c>
    </row>
    <row r="467" spans="1:2" ht="12.5" x14ac:dyDescent="0.25">
      <c r="A467" t="str">
        <f ca="1">IFERROR(__xludf.DUMMYFUNCTION("""COMPUTED_VALUE"""),"Essonne")</f>
        <v>Essonne</v>
      </c>
      <c r="B467" t="str">
        <f ca="1">IFERROR(__xludf.DUMMYFUNCTION("""COMPUTED_VALUE"""),"FR104")</f>
        <v>FR104</v>
      </c>
    </row>
    <row r="468" spans="1:2" ht="12.5" x14ac:dyDescent="0.25">
      <c r="A468" t="str">
        <f ca="1">IFERROR(__xludf.DUMMYFUNCTION("""COMPUTED_VALUE"""),"Est")</f>
        <v>Est</v>
      </c>
      <c r="B468" t="str">
        <f ca="1">IFERROR(__xludf.DUMMYFUNCTION("""COMPUTED_VALUE"""),"FR4")</f>
        <v>FR4</v>
      </c>
    </row>
    <row r="469" spans="1:2" ht="12.5" x14ac:dyDescent="0.25">
      <c r="A469" t="str">
        <f ca="1">IFERROR(__xludf.DUMMYFUNCTION("""COMPUTED_VALUE"""),"Este")</f>
        <v>Este</v>
      </c>
      <c r="B469" t="str">
        <f ca="1">IFERROR(__xludf.DUMMYFUNCTION("""COMPUTED_VALUE"""),"ES5")</f>
        <v>ES5</v>
      </c>
    </row>
    <row r="470" spans="1:2" ht="12.5" x14ac:dyDescent="0.25">
      <c r="A470" t="str">
        <f ca="1">IFERROR(__xludf.DUMMYFUNCTION("""COMPUTED_VALUE"""),"Eszak-Alfold")</f>
        <v>Eszak-Alfold</v>
      </c>
      <c r="B470" t="str">
        <f ca="1">IFERROR(__xludf.DUMMYFUNCTION("""COMPUTED_VALUE"""),"HU32")</f>
        <v>HU32</v>
      </c>
    </row>
    <row r="471" spans="1:2" ht="12.5" x14ac:dyDescent="0.25">
      <c r="A471" t="str">
        <f ca="1">IFERROR(__xludf.DUMMYFUNCTION("""COMPUTED_VALUE"""),"Eszak-Magyarorszag")</f>
        <v>Eszak-Magyarorszag</v>
      </c>
      <c r="B471" t="str">
        <f ca="1">IFERROR(__xludf.DUMMYFUNCTION("""COMPUTED_VALUE"""),"HU31")</f>
        <v>HU31</v>
      </c>
    </row>
    <row r="472" spans="1:2" ht="12.5" x14ac:dyDescent="0.25">
      <c r="A472" t="str">
        <f ca="1">IFERROR(__xludf.DUMMYFUNCTION("""COMPUTED_VALUE"""),"Etelä-Karjala")</f>
        <v>Etelä-Karjala</v>
      </c>
      <c r="B472" t="str">
        <f ca="1">IFERROR(__xludf.DUMMYFUNCTION("""COMPUTED_VALUE"""),"FI187")</f>
        <v>FI187</v>
      </c>
    </row>
    <row r="473" spans="1:2" ht="12.5" x14ac:dyDescent="0.25">
      <c r="A473" t="str">
        <f ca="1">IFERROR(__xludf.DUMMYFUNCTION("""COMPUTED_VALUE"""),"Etelä-Pohjanmaa")</f>
        <v>Etelä-Pohjanmaa</v>
      </c>
      <c r="B473" t="str">
        <f ca="1">IFERROR(__xludf.DUMMYFUNCTION("""COMPUTED_VALUE"""),"FI194")</f>
        <v>FI194</v>
      </c>
    </row>
    <row r="474" spans="1:2" ht="12.5" x14ac:dyDescent="0.25">
      <c r="A474" t="str">
        <f ca="1">IFERROR(__xludf.DUMMYFUNCTION("""COMPUTED_VALUE"""),"Etelä-Savo")</f>
        <v>Etelä-Savo</v>
      </c>
      <c r="B474" t="str">
        <f ca="1">IFERROR(__xludf.DUMMYFUNCTION("""COMPUTED_VALUE"""),"FI131")</f>
        <v>FI131</v>
      </c>
    </row>
    <row r="475" spans="1:2" ht="12.5" x14ac:dyDescent="0.25">
      <c r="A475" t="str">
        <f ca="1">IFERROR(__xludf.DUMMYFUNCTION("""COMPUTED_VALUE"""),"Etelä-Suomi")</f>
        <v>Etelä-Suomi</v>
      </c>
      <c r="B475" t="str">
        <f ca="1">IFERROR(__xludf.DUMMYFUNCTION("""COMPUTED_VALUE"""),"FI18")</f>
        <v>FI18</v>
      </c>
    </row>
    <row r="476" spans="1:2" ht="12.5" x14ac:dyDescent="0.25">
      <c r="A476" t="str">
        <f ca="1">IFERROR(__xludf.DUMMYFUNCTION("""COMPUTED_VALUE"""),"Eure")</f>
        <v>Eure</v>
      </c>
      <c r="B476" t="str">
        <f ca="1">IFERROR(__xludf.DUMMYFUNCTION("""COMPUTED_VALUE"""),"FR231")</f>
        <v>FR231</v>
      </c>
    </row>
    <row r="477" spans="1:2" ht="12.5" x14ac:dyDescent="0.25">
      <c r="A477" t="str">
        <f ca="1">IFERROR(__xludf.DUMMYFUNCTION("""COMPUTED_VALUE"""),"Eure-Et-Loir")</f>
        <v>Eure-Et-Loir</v>
      </c>
      <c r="B477" t="str">
        <f ca="1">IFERROR(__xludf.DUMMYFUNCTION("""COMPUTED_VALUE"""),"FR242")</f>
        <v>FR242</v>
      </c>
    </row>
    <row r="478" spans="1:2" ht="12.5" x14ac:dyDescent="0.25">
      <c r="A478" t="str">
        <f ca="1">IFERROR(__xludf.DUMMYFUNCTION("""COMPUTED_VALUE"""),"Euskirchen")</f>
        <v>Euskirchen</v>
      </c>
      <c r="B478" t="str">
        <f ca="1">IFERROR(__xludf.DUMMYFUNCTION("""COMPUTED_VALUE"""),"DEA28")</f>
        <v>DEA28</v>
      </c>
    </row>
    <row r="479" spans="1:2" ht="12.5" x14ac:dyDescent="0.25">
      <c r="A479" t="str">
        <f ca="1">IFERROR(__xludf.DUMMYFUNCTION("""COMPUTED_VALUE"""),"Evros")</f>
        <v>Evros</v>
      </c>
      <c r="B479" t="str">
        <f ca="1">IFERROR(__xludf.DUMMYFUNCTION("""COMPUTED_VALUE"""),"GR111")</f>
        <v>GR111</v>
      </c>
    </row>
    <row r="480" spans="1:2" ht="12.5" x14ac:dyDescent="0.25">
      <c r="A480" t="str">
        <f ca="1">IFERROR(__xludf.DUMMYFUNCTION("""COMPUTED_VALUE"""),"Evrytania")</f>
        <v>Evrytania</v>
      </c>
      <c r="B480" t="str">
        <f ca="1">IFERROR(__xludf.DUMMYFUNCTION("""COMPUTED_VALUE"""),"GR243")</f>
        <v>GR243</v>
      </c>
    </row>
    <row r="481" spans="1:2" ht="12.5" x14ac:dyDescent="0.25">
      <c r="A481" t="str">
        <f ca="1">IFERROR(__xludf.DUMMYFUNCTION("""COMPUTED_VALUE"""),"Evvoia")</f>
        <v>Evvoia</v>
      </c>
      <c r="B481" t="str">
        <f ca="1">IFERROR(__xludf.DUMMYFUNCTION("""COMPUTED_VALUE"""),"GR242")</f>
        <v>GR242</v>
      </c>
    </row>
    <row r="482" spans="1:2" ht="12.5" x14ac:dyDescent="0.25">
      <c r="A482" t="str">
        <f ca="1">IFERROR(__xludf.DUMMYFUNCTION("""COMPUTED_VALUE"""),"Extra-Regio (ATZ)")</f>
        <v>Extra-Regio (ATZ)</v>
      </c>
      <c r="B482" t="str">
        <f ca="1">IFERROR(__xludf.DUMMYFUNCTION("""COMPUTED_VALUE"""),"ATZ")</f>
        <v>ATZ</v>
      </c>
    </row>
    <row r="483" spans="1:2" ht="12.5" x14ac:dyDescent="0.25">
      <c r="A483" t="str">
        <f ca="1">IFERROR(__xludf.DUMMYFUNCTION("""COMPUTED_VALUE"""),"Extra-Regio (ATZZ)")</f>
        <v>Extra-Regio (ATZZ)</v>
      </c>
      <c r="B483" t="str">
        <f ca="1">IFERROR(__xludf.DUMMYFUNCTION("""COMPUTED_VALUE"""),"ATZZ")</f>
        <v>ATZZ</v>
      </c>
    </row>
    <row r="484" spans="1:2" ht="12.5" x14ac:dyDescent="0.25">
      <c r="A484" t="str">
        <f ca="1">IFERROR(__xludf.DUMMYFUNCTION("""COMPUTED_VALUE"""),"Extra-Regio (ATZZZ)")</f>
        <v>Extra-Regio (ATZZZ)</v>
      </c>
      <c r="B484" t="str">
        <f ca="1">IFERROR(__xludf.DUMMYFUNCTION("""COMPUTED_VALUE"""),"ATZZZ")</f>
        <v>ATZZZ</v>
      </c>
    </row>
    <row r="485" spans="1:2" ht="12.5" x14ac:dyDescent="0.25">
      <c r="A485" t="str">
        <f ca="1">IFERROR(__xludf.DUMMYFUNCTION("""COMPUTED_VALUE"""),"Extra-Regio (BEZ)")</f>
        <v>Extra-Regio (BEZ)</v>
      </c>
      <c r="B485" t="str">
        <f ca="1">IFERROR(__xludf.DUMMYFUNCTION("""COMPUTED_VALUE"""),"BEZ")</f>
        <v>BEZ</v>
      </c>
    </row>
    <row r="486" spans="1:2" ht="12.5" x14ac:dyDescent="0.25">
      <c r="A486" t="str">
        <f ca="1">IFERROR(__xludf.DUMMYFUNCTION("""COMPUTED_VALUE"""),"Extra-Regio (BEZZ)")</f>
        <v>Extra-Regio (BEZZ)</v>
      </c>
      <c r="B486" t="str">
        <f ca="1">IFERROR(__xludf.DUMMYFUNCTION("""COMPUTED_VALUE"""),"BEZZ")</f>
        <v>BEZZ</v>
      </c>
    </row>
    <row r="487" spans="1:2" ht="12.5" x14ac:dyDescent="0.25">
      <c r="A487" t="str">
        <f ca="1">IFERROR(__xludf.DUMMYFUNCTION("""COMPUTED_VALUE"""),"Extra-Regio (BEZZZ)")</f>
        <v>Extra-Regio (BEZZZ)</v>
      </c>
      <c r="B487" t="str">
        <f ca="1">IFERROR(__xludf.DUMMYFUNCTION("""COMPUTED_VALUE"""),"BEZZZ")</f>
        <v>BEZZZ</v>
      </c>
    </row>
    <row r="488" spans="1:2" ht="12.5" x14ac:dyDescent="0.25">
      <c r="A488" t="str">
        <f ca="1">IFERROR(__xludf.DUMMYFUNCTION("""COMPUTED_VALUE"""),"Extra-Regio (BGZ)")</f>
        <v>Extra-Regio (BGZ)</v>
      </c>
      <c r="B488" t="str">
        <f ca="1">IFERROR(__xludf.DUMMYFUNCTION("""COMPUTED_VALUE"""),"BGZ")</f>
        <v>BGZ</v>
      </c>
    </row>
    <row r="489" spans="1:2" ht="12.5" x14ac:dyDescent="0.25">
      <c r="A489" t="str">
        <f ca="1">IFERROR(__xludf.DUMMYFUNCTION("""COMPUTED_VALUE"""),"Extra-Regio (BGZZ)")</f>
        <v>Extra-Regio (BGZZ)</v>
      </c>
      <c r="B489" t="str">
        <f ca="1">IFERROR(__xludf.DUMMYFUNCTION("""COMPUTED_VALUE"""),"BGZZ")</f>
        <v>BGZZ</v>
      </c>
    </row>
    <row r="490" spans="1:2" ht="12.5" x14ac:dyDescent="0.25">
      <c r="A490" t="str">
        <f ca="1">IFERROR(__xludf.DUMMYFUNCTION("""COMPUTED_VALUE"""),"Extra-Regio (BGZZZ)")</f>
        <v>Extra-Regio (BGZZZ)</v>
      </c>
      <c r="B490" t="str">
        <f ca="1">IFERROR(__xludf.DUMMYFUNCTION("""COMPUTED_VALUE"""),"BGZZZ")</f>
        <v>BGZZZ</v>
      </c>
    </row>
    <row r="491" spans="1:2" ht="12.5" x14ac:dyDescent="0.25">
      <c r="A491" t="str">
        <f ca="1">IFERROR(__xludf.DUMMYFUNCTION("""COMPUTED_VALUE"""),"Extra-Regio (CYZ)")</f>
        <v>Extra-Regio (CYZ)</v>
      </c>
      <c r="B491" t="str">
        <f ca="1">IFERROR(__xludf.DUMMYFUNCTION("""COMPUTED_VALUE"""),"CYZ")</f>
        <v>CYZ</v>
      </c>
    </row>
    <row r="492" spans="1:2" ht="12.5" x14ac:dyDescent="0.25">
      <c r="A492" t="str">
        <f ca="1">IFERROR(__xludf.DUMMYFUNCTION("""COMPUTED_VALUE"""),"Extra-Regio (CYZZ)")</f>
        <v>Extra-Regio (CYZZ)</v>
      </c>
      <c r="B492" t="str">
        <f ca="1">IFERROR(__xludf.DUMMYFUNCTION("""COMPUTED_VALUE"""),"CYZZ")</f>
        <v>CYZZ</v>
      </c>
    </row>
    <row r="493" spans="1:2" ht="12.5" x14ac:dyDescent="0.25">
      <c r="A493" t="str">
        <f ca="1">IFERROR(__xludf.DUMMYFUNCTION("""COMPUTED_VALUE"""),"Extra-Regio (CYZZZ)")</f>
        <v>Extra-Regio (CYZZZ)</v>
      </c>
      <c r="B493" t="str">
        <f ca="1">IFERROR(__xludf.DUMMYFUNCTION("""COMPUTED_VALUE"""),"CYZZZ")</f>
        <v>CYZZZ</v>
      </c>
    </row>
    <row r="494" spans="1:2" ht="12.5" x14ac:dyDescent="0.25">
      <c r="A494" t="str">
        <f ca="1">IFERROR(__xludf.DUMMYFUNCTION("""COMPUTED_VALUE"""),"Extra-Regio (CZZ)")</f>
        <v>Extra-Regio (CZZ)</v>
      </c>
      <c r="B494" t="str">
        <f ca="1">IFERROR(__xludf.DUMMYFUNCTION("""COMPUTED_VALUE"""),"CZZ")</f>
        <v>CZZ</v>
      </c>
    </row>
    <row r="495" spans="1:2" ht="12.5" x14ac:dyDescent="0.25">
      <c r="A495" t="str">
        <f ca="1">IFERROR(__xludf.DUMMYFUNCTION("""COMPUTED_VALUE"""),"Extra-Regio (CZZZ)")</f>
        <v>Extra-Regio (CZZZ)</v>
      </c>
      <c r="B495" t="str">
        <f ca="1">IFERROR(__xludf.DUMMYFUNCTION("""COMPUTED_VALUE"""),"CZZZ")</f>
        <v>CZZZ</v>
      </c>
    </row>
    <row r="496" spans="1:2" ht="12.5" x14ac:dyDescent="0.25">
      <c r="A496" t="str">
        <f ca="1">IFERROR(__xludf.DUMMYFUNCTION("""COMPUTED_VALUE"""),"Extra-Regio (CZZZZ)")</f>
        <v>Extra-Regio (CZZZZ)</v>
      </c>
      <c r="B496" t="str">
        <f ca="1">IFERROR(__xludf.DUMMYFUNCTION("""COMPUTED_VALUE"""),"CZZZZ")</f>
        <v>CZZZZ</v>
      </c>
    </row>
    <row r="497" spans="1:2" ht="12.5" x14ac:dyDescent="0.25">
      <c r="A497" t="str">
        <f ca="1">IFERROR(__xludf.DUMMYFUNCTION("""COMPUTED_VALUE"""),"Extra-Regio (DEZ)")</f>
        <v>Extra-Regio (DEZ)</v>
      </c>
      <c r="B497" t="str">
        <f ca="1">IFERROR(__xludf.DUMMYFUNCTION("""COMPUTED_VALUE"""),"DEZ")</f>
        <v>DEZ</v>
      </c>
    </row>
    <row r="498" spans="1:2" ht="12.5" x14ac:dyDescent="0.25">
      <c r="A498" t="str">
        <f ca="1">IFERROR(__xludf.DUMMYFUNCTION("""COMPUTED_VALUE"""),"Extra-Regio (DEZZ)")</f>
        <v>Extra-Regio (DEZZ)</v>
      </c>
      <c r="B498" t="str">
        <f ca="1">IFERROR(__xludf.DUMMYFUNCTION("""COMPUTED_VALUE"""),"DEZZ")</f>
        <v>DEZZ</v>
      </c>
    </row>
    <row r="499" spans="1:2" ht="12.5" x14ac:dyDescent="0.25">
      <c r="A499" t="str">
        <f ca="1">IFERROR(__xludf.DUMMYFUNCTION("""COMPUTED_VALUE"""),"Extra-Regio (DEZZZ)")</f>
        <v>Extra-Regio (DEZZZ)</v>
      </c>
      <c r="B499" t="str">
        <f ca="1">IFERROR(__xludf.DUMMYFUNCTION("""COMPUTED_VALUE"""),"DEZZZ")</f>
        <v>DEZZZ</v>
      </c>
    </row>
    <row r="500" spans="1:2" ht="12.5" x14ac:dyDescent="0.25">
      <c r="A500" t="str">
        <f ca="1">IFERROR(__xludf.DUMMYFUNCTION("""COMPUTED_VALUE"""),"Extra-Regio (DKZ)")</f>
        <v>Extra-Regio (DKZ)</v>
      </c>
      <c r="B500" t="str">
        <f ca="1">IFERROR(__xludf.DUMMYFUNCTION("""COMPUTED_VALUE"""),"DKZ")</f>
        <v>DKZ</v>
      </c>
    </row>
    <row r="501" spans="1:2" ht="12.5" x14ac:dyDescent="0.25">
      <c r="A501" t="str">
        <f ca="1">IFERROR(__xludf.DUMMYFUNCTION("""COMPUTED_VALUE"""),"Extra-Regio (DKZZ)")</f>
        <v>Extra-Regio (DKZZ)</v>
      </c>
      <c r="B501" t="str">
        <f ca="1">IFERROR(__xludf.DUMMYFUNCTION("""COMPUTED_VALUE"""),"DKZZ")</f>
        <v>DKZZ</v>
      </c>
    </row>
    <row r="502" spans="1:2" ht="12.5" x14ac:dyDescent="0.25">
      <c r="A502" t="str">
        <f ca="1">IFERROR(__xludf.DUMMYFUNCTION("""COMPUTED_VALUE"""),"Extra-Regio (DKZZZ)")</f>
        <v>Extra-Regio (DKZZZ)</v>
      </c>
      <c r="B502" t="str">
        <f ca="1">IFERROR(__xludf.DUMMYFUNCTION("""COMPUTED_VALUE"""),"DKZZZ")</f>
        <v>DKZZZ</v>
      </c>
    </row>
    <row r="503" spans="1:2" ht="12.5" x14ac:dyDescent="0.25">
      <c r="A503" t="str">
        <f ca="1">IFERROR(__xludf.DUMMYFUNCTION("""COMPUTED_VALUE"""),"Extra-Regio (EEZ)")</f>
        <v>Extra-Regio (EEZ)</v>
      </c>
      <c r="B503" t="str">
        <f ca="1">IFERROR(__xludf.DUMMYFUNCTION("""COMPUTED_VALUE"""),"EEZ")</f>
        <v>EEZ</v>
      </c>
    </row>
    <row r="504" spans="1:2" ht="12.5" x14ac:dyDescent="0.25">
      <c r="A504" t="str">
        <f ca="1">IFERROR(__xludf.DUMMYFUNCTION("""COMPUTED_VALUE"""),"Extra-Regio (EEZZ)")</f>
        <v>Extra-Regio (EEZZ)</v>
      </c>
      <c r="B504" t="str">
        <f ca="1">IFERROR(__xludf.DUMMYFUNCTION("""COMPUTED_VALUE"""),"EEZZ")</f>
        <v>EEZZ</v>
      </c>
    </row>
    <row r="505" spans="1:2" ht="12.5" x14ac:dyDescent="0.25">
      <c r="A505" t="str">
        <f ca="1">IFERROR(__xludf.DUMMYFUNCTION("""COMPUTED_VALUE"""),"Extra-Regio (EEZZZ)")</f>
        <v>Extra-Regio (EEZZZ)</v>
      </c>
      <c r="B505" t="str">
        <f ca="1">IFERROR(__xludf.DUMMYFUNCTION("""COMPUTED_VALUE"""),"EEZZZ")</f>
        <v>EEZZZ</v>
      </c>
    </row>
    <row r="506" spans="1:2" ht="12.5" x14ac:dyDescent="0.25">
      <c r="A506" t="str">
        <f ca="1">IFERROR(__xludf.DUMMYFUNCTION("""COMPUTED_VALUE"""),"Extra-Regio (ESZ)")</f>
        <v>Extra-Regio (ESZ)</v>
      </c>
      <c r="B506" t="str">
        <f ca="1">IFERROR(__xludf.DUMMYFUNCTION("""COMPUTED_VALUE"""),"ESZ")</f>
        <v>ESZ</v>
      </c>
    </row>
    <row r="507" spans="1:2" ht="12.5" x14ac:dyDescent="0.25">
      <c r="A507" t="str">
        <f ca="1">IFERROR(__xludf.DUMMYFUNCTION("""COMPUTED_VALUE"""),"Extra-Regio (ESZZ)")</f>
        <v>Extra-Regio (ESZZ)</v>
      </c>
      <c r="B507" t="str">
        <f ca="1">IFERROR(__xludf.DUMMYFUNCTION("""COMPUTED_VALUE"""),"ESZZ")</f>
        <v>ESZZ</v>
      </c>
    </row>
    <row r="508" spans="1:2" ht="12.5" x14ac:dyDescent="0.25">
      <c r="A508" t="str">
        <f ca="1">IFERROR(__xludf.DUMMYFUNCTION("""COMPUTED_VALUE"""),"Extra-Regio (ESZZZ)")</f>
        <v>Extra-Regio (ESZZZ)</v>
      </c>
      <c r="B508" t="str">
        <f ca="1">IFERROR(__xludf.DUMMYFUNCTION("""COMPUTED_VALUE"""),"ESZZZ")</f>
        <v>ESZZZ</v>
      </c>
    </row>
    <row r="509" spans="1:2" ht="12.5" x14ac:dyDescent="0.25">
      <c r="A509" t="str">
        <f ca="1">IFERROR(__xludf.DUMMYFUNCTION("""COMPUTED_VALUE"""),"Extra-Regio (FIZ)")</f>
        <v>Extra-Regio (FIZ)</v>
      </c>
      <c r="B509" t="str">
        <f ca="1">IFERROR(__xludf.DUMMYFUNCTION("""COMPUTED_VALUE"""),"FIZ")</f>
        <v>FIZ</v>
      </c>
    </row>
    <row r="510" spans="1:2" ht="12.5" x14ac:dyDescent="0.25">
      <c r="A510" t="str">
        <f ca="1">IFERROR(__xludf.DUMMYFUNCTION("""COMPUTED_VALUE"""),"Extra-Regio (FIZZ)")</f>
        <v>Extra-Regio (FIZZ)</v>
      </c>
      <c r="B510" t="str">
        <f ca="1">IFERROR(__xludf.DUMMYFUNCTION("""COMPUTED_VALUE"""),"FIZZ")</f>
        <v>FIZZ</v>
      </c>
    </row>
    <row r="511" spans="1:2" ht="12.5" x14ac:dyDescent="0.25">
      <c r="A511" t="str">
        <f ca="1">IFERROR(__xludf.DUMMYFUNCTION("""COMPUTED_VALUE"""),"Extra-Regio (FIZZZ)")</f>
        <v>Extra-Regio (FIZZZ)</v>
      </c>
      <c r="B511" t="str">
        <f ca="1">IFERROR(__xludf.DUMMYFUNCTION("""COMPUTED_VALUE"""),"FIZZZ")</f>
        <v>FIZZZ</v>
      </c>
    </row>
    <row r="512" spans="1:2" ht="12.5" x14ac:dyDescent="0.25">
      <c r="A512" t="str">
        <f ca="1">IFERROR(__xludf.DUMMYFUNCTION("""COMPUTED_VALUE"""),"Extra-Regio (FRZ)")</f>
        <v>Extra-Regio (FRZ)</v>
      </c>
      <c r="B512" t="str">
        <f ca="1">IFERROR(__xludf.DUMMYFUNCTION("""COMPUTED_VALUE"""),"FRZ")</f>
        <v>FRZ</v>
      </c>
    </row>
    <row r="513" spans="1:2" ht="12.5" x14ac:dyDescent="0.25">
      <c r="A513" t="str">
        <f ca="1">IFERROR(__xludf.DUMMYFUNCTION("""COMPUTED_VALUE"""),"Extra-Regio (FRZZ)")</f>
        <v>Extra-Regio (FRZZ)</v>
      </c>
      <c r="B513" t="str">
        <f ca="1">IFERROR(__xludf.DUMMYFUNCTION("""COMPUTED_VALUE"""),"FRZZ")</f>
        <v>FRZZ</v>
      </c>
    </row>
    <row r="514" spans="1:2" ht="12.5" x14ac:dyDescent="0.25">
      <c r="A514" t="str">
        <f ca="1">IFERROR(__xludf.DUMMYFUNCTION("""COMPUTED_VALUE"""),"Extra-Regio (FRZZZ)")</f>
        <v>Extra-Regio (FRZZZ)</v>
      </c>
      <c r="B514" t="str">
        <f ca="1">IFERROR(__xludf.DUMMYFUNCTION("""COMPUTED_VALUE"""),"FRZZZ")</f>
        <v>FRZZZ</v>
      </c>
    </row>
    <row r="515" spans="1:2" ht="12.5" x14ac:dyDescent="0.25">
      <c r="A515" t="str">
        <f ca="1">IFERROR(__xludf.DUMMYFUNCTION("""COMPUTED_VALUE"""),"Extra-Regio (GRZ)")</f>
        <v>Extra-Regio (GRZ)</v>
      </c>
      <c r="B515" t="str">
        <f ca="1">IFERROR(__xludf.DUMMYFUNCTION("""COMPUTED_VALUE"""),"GRZ")</f>
        <v>GRZ</v>
      </c>
    </row>
    <row r="516" spans="1:2" ht="12.5" x14ac:dyDescent="0.25">
      <c r="A516" t="str">
        <f ca="1">IFERROR(__xludf.DUMMYFUNCTION("""COMPUTED_VALUE"""),"Extra-Regio (GRZZ)")</f>
        <v>Extra-Regio (GRZZ)</v>
      </c>
      <c r="B516" t="str">
        <f ca="1">IFERROR(__xludf.DUMMYFUNCTION("""COMPUTED_VALUE"""),"GRZZ")</f>
        <v>GRZZ</v>
      </c>
    </row>
    <row r="517" spans="1:2" ht="12.5" x14ac:dyDescent="0.25">
      <c r="A517" t="str">
        <f ca="1">IFERROR(__xludf.DUMMYFUNCTION("""COMPUTED_VALUE"""),"Extra-Regio (GRZZZ)")</f>
        <v>Extra-Regio (GRZZZ)</v>
      </c>
      <c r="B517" t="str">
        <f ca="1">IFERROR(__xludf.DUMMYFUNCTION("""COMPUTED_VALUE"""),"GRZZZ")</f>
        <v>GRZZZ</v>
      </c>
    </row>
    <row r="518" spans="1:2" ht="12.5" x14ac:dyDescent="0.25">
      <c r="A518" t="str">
        <f ca="1">IFERROR(__xludf.DUMMYFUNCTION("""COMPUTED_VALUE"""),"Extra-Regio (HUZ)")</f>
        <v>Extra-Regio (HUZ)</v>
      </c>
      <c r="B518" t="str">
        <f ca="1">IFERROR(__xludf.DUMMYFUNCTION("""COMPUTED_VALUE"""),"HUZ")</f>
        <v>HUZ</v>
      </c>
    </row>
    <row r="519" spans="1:2" ht="12.5" x14ac:dyDescent="0.25">
      <c r="A519" t="str">
        <f ca="1">IFERROR(__xludf.DUMMYFUNCTION("""COMPUTED_VALUE"""),"Extra-Regio (HUZZ)")</f>
        <v>Extra-Regio (HUZZ)</v>
      </c>
      <c r="B519" t="str">
        <f ca="1">IFERROR(__xludf.DUMMYFUNCTION("""COMPUTED_VALUE"""),"HUZZ")</f>
        <v>HUZZ</v>
      </c>
    </row>
    <row r="520" spans="1:2" ht="12.5" x14ac:dyDescent="0.25">
      <c r="A520" t="str">
        <f ca="1">IFERROR(__xludf.DUMMYFUNCTION("""COMPUTED_VALUE"""),"Extra-Regio (HUZZZ)")</f>
        <v>Extra-Regio (HUZZZ)</v>
      </c>
      <c r="B520" t="str">
        <f ca="1">IFERROR(__xludf.DUMMYFUNCTION("""COMPUTED_VALUE"""),"HUZZZ")</f>
        <v>HUZZZ</v>
      </c>
    </row>
    <row r="521" spans="1:2" ht="12.5" x14ac:dyDescent="0.25">
      <c r="A521" t="str">
        <f ca="1">IFERROR(__xludf.DUMMYFUNCTION("""COMPUTED_VALUE"""),"Extra-Regio (IEZ)")</f>
        <v>Extra-Regio (IEZ)</v>
      </c>
      <c r="B521" t="str">
        <f ca="1">IFERROR(__xludf.DUMMYFUNCTION("""COMPUTED_VALUE"""),"IEZ")</f>
        <v>IEZ</v>
      </c>
    </row>
    <row r="522" spans="1:2" ht="12.5" x14ac:dyDescent="0.25">
      <c r="A522" t="str">
        <f ca="1">IFERROR(__xludf.DUMMYFUNCTION("""COMPUTED_VALUE"""),"Extra-Regio (IEZZ)")</f>
        <v>Extra-Regio (IEZZ)</v>
      </c>
      <c r="B522" t="str">
        <f ca="1">IFERROR(__xludf.DUMMYFUNCTION("""COMPUTED_VALUE"""),"IEZZ")</f>
        <v>IEZZ</v>
      </c>
    </row>
    <row r="523" spans="1:2" ht="12.5" x14ac:dyDescent="0.25">
      <c r="A523" t="str">
        <f ca="1">IFERROR(__xludf.DUMMYFUNCTION("""COMPUTED_VALUE"""),"Extra-Regio (IEZZZ)")</f>
        <v>Extra-Regio (IEZZZ)</v>
      </c>
      <c r="B523" t="str">
        <f ca="1">IFERROR(__xludf.DUMMYFUNCTION("""COMPUTED_VALUE"""),"IEZZZ")</f>
        <v>IEZZZ</v>
      </c>
    </row>
    <row r="524" spans="1:2" ht="12.5" x14ac:dyDescent="0.25">
      <c r="A524" t="str">
        <f ca="1">IFERROR(__xludf.DUMMYFUNCTION("""COMPUTED_VALUE"""),"Extra-Regio (ITZ)")</f>
        <v>Extra-Regio (ITZ)</v>
      </c>
      <c r="B524" t="str">
        <f ca="1">IFERROR(__xludf.DUMMYFUNCTION("""COMPUTED_VALUE"""),"ITZ")</f>
        <v>ITZ</v>
      </c>
    </row>
    <row r="525" spans="1:2" ht="12.5" x14ac:dyDescent="0.25">
      <c r="A525" t="str">
        <f ca="1">IFERROR(__xludf.DUMMYFUNCTION("""COMPUTED_VALUE"""),"Extra-Regio (ITZZ)")</f>
        <v>Extra-Regio (ITZZ)</v>
      </c>
      <c r="B525" t="str">
        <f ca="1">IFERROR(__xludf.DUMMYFUNCTION("""COMPUTED_VALUE"""),"ITZZ")</f>
        <v>ITZZ</v>
      </c>
    </row>
    <row r="526" spans="1:2" ht="12.5" x14ac:dyDescent="0.25">
      <c r="A526" t="str">
        <f ca="1">IFERROR(__xludf.DUMMYFUNCTION("""COMPUTED_VALUE"""),"Extra-Regio (ITZZZ)")</f>
        <v>Extra-Regio (ITZZZ)</v>
      </c>
      <c r="B526" t="str">
        <f ca="1">IFERROR(__xludf.DUMMYFUNCTION("""COMPUTED_VALUE"""),"ITZZZ")</f>
        <v>ITZZZ</v>
      </c>
    </row>
    <row r="527" spans="1:2" ht="12.5" x14ac:dyDescent="0.25">
      <c r="A527" t="str">
        <f ca="1">IFERROR(__xludf.DUMMYFUNCTION("""COMPUTED_VALUE"""),"Extra-Regio (LTZ)")</f>
        <v>Extra-Regio (LTZ)</v>
      </c>
      <c r="B527" t="str">
        <f ca="1">IFERROR(__xludf.DUMMYFUNCTION("""COMPUTED_VALUE"""),"LTZ")</f>
        <v>LTZ</v>
      </c>
    </row>
    <row r="528" spans="1:2" ht="12.5" x14ac:dyDescent="0.25">
      <c r="A528" t="str">
        <f ca="1">IFERROR(__xludf.DUMMYFUNCTION("""COMPUTED_VALUE"""),"Extra-Regio (LTZZ)")</f>
        <v>Extra-Regio (LTZZ)</v>
      </c>
      <c r="B528" t="str">
        <f ca="1">IFERROR(__xludf.DUMMYFUNCTION("""COMPUTED_VALUE"""),"LTZZ")</f>
        <v>LTZZ</v>
      </c>
    </row>
    <row r="529" spans="1:2" ht="12.5" x14ac:dyDescent="0.25">
      <c r="A529" t="str">
        <f ca="1">IFERROR(__xludf.DUMMYFUNCTION("""COMPUTED_VALUE"""),"Extra-Regio (LTZZZ)")</f>
        <v>Extra-Regio (LTZZZ)</v>
      </c>
      <c r="B529" t="str">
        <f ca="1">IFERROR(__xludf.DUMMYFUNCTION("""COMPUTED_VALUE"""),"LTZZZ")</f>
        <v>LTZZZ</v>
      </c>
    </row>
    <row r="530" spans="1:2" ht="12.5" x14ac:dyDescent="0.25">
      <c r="A530" t="str">
        <f ca="1">IFERROR(__xludf.DUMMYFUNCTION("""COMPUTED_VALUE"""),"Extra-Regio (LUZ)")</f>
        <v>Extra-Regio (LUZ)</v>
      </c>
      <c r="B530" t="str">
        <f ca="1">IFERROR(__xludf.DUMMYFUNCTION("""COMPUTED_VALUE"""),"LUZ")</f>
        <v>LUZ</v>
      </c>
    </row>
    <row r="531" spans="1:2" ht="12.5" x14ac:dyDescent="0.25">
      <c r="A531" t="str">
        <f ca="1">IFERROR(__xludf.DUMMYFUNCTION("""COMPUTED_VALUE"""),"Extra-Regio (LUZZ)")</f>
        <v>Extra-Regio (LUZZ)</v>
      </c>
      <c r="B531" t="str">
        <f ca="1">IFERROR(__xludf.DUMMYFUNCTION("""COMPUTED_VALUE"""),"LUZZ")</f>
        <v>LUZZ</v>
      </c>
    </row>
    <row r="532" spans="1:2" ht="12.5" x14ac:dyDescent="0.25">
      <c r="A532" t="str">
        <f ca="1">IFERROR(__xludf.DUMMYFUNCTION("""COMPUTED_VALUE"""),"Extra-Regio (LUZZZ)")</f>
        <v>Extra-Regio (LUZZZ)</v>
      </c>
      <c r="B532" t="str">
        <f ca="1">IFERROR(__xludf.DUMMYFUNCTION("""COMPUTED_VALUE"""),"LUZZZ")</f>
        <v>LUZZZ</v>
      </c>
    </row>
    <row r="533" spans="1:2" ht="12.5" x14ac:dyDescent="0.25">
      <c r="A533" t="str">
        <f ca="1">IFERROR(__xludf.DUMMYFUNCTION("""COMPUTED_VALUE"""),"Extra-Regio (LVZ)")</f>
        <v>Extra-Regio (LVZ)</v>
      </c>
      <c r="B533" t="str">
        <f ca="1">IFERROR(__xludf.DUMMYFUNCTION("""COMPUTED_VALUE"""),"LVZ")</f>
        <v>LVZ</v>
      </c>
    </row>
    <row r="534" spans="1:2" ht="12.5" x14ac:dyDescent="0.25">
      <c r="A534" t="str">
        <f ca="1">IFERROR(__xludf.DUMMYFUNCTION("""COMPUTED_VALUE"""),"Extra-Regio (LVZZ)")</f>
        <v>Extra-Regio (LVZZ)</v>
      </c>
      <c r="B534" t="str">
        <f ca="1">IFERROR(__xludf.DUMMYFUNCTION("""COMPUTED_VALUE"""),"LVZZ")</f>
        <v>LVZZ</v>
      </c>
    </row>
    <row r="535" spans="1:2" ht="12.5" x14ac:dyDescent="0.25">
      <c r="A535" t="str">
        <f ca="1">IFERROR(__xludf.DUMMYFUNCTION("""COMPUTED_VALUE"""),"Extra-Regio (LVZZZ)")</f>
        <v>Extra-Regio (LVZZZ)</v>
      </c>
      <c r="B535" t="str">
        <f ca="1">IFERROR(__xludf.DUMMYFUNCTION("""COMPUTED_VALUE"""),"LVZZZ")</f>
        <v>LVZZZ</v>
      </c>
    </row>
    <row r="536" spans="1:2" ht="12.5" x14ac:dyDescent="0.25">
      <c r="A536" t="str">
        <f ca="1">IFERROR(__xludf.DUMMYFUNCTION("""COMPUTED_VALUE"""),"Extra-Regio (MTZ)")</f>
        <v>Extra-Regio (MTZ)</v>
      </c>
      <c r="B536" t="str">
        <f ca="1">IFERROR(__xludf.DUMMYFUNCTION("""COMPUTED_VALUE"""),"MTZ")</f>
        <v>MTZ</v>
      </c>
    </row>
    <row r="537" spans="1:2" ht="12.5" x14ac:dyDescent="0.25">
      <c r="A537" t="str">
        <f ca="1">IFERROR(__xludf.DUMMYFUNCTION("""COMPUTED_VALUE"""),"Extra-Regio (MTZZ)")</f>
        <v>Extra-Regio (MTZZ)</v>
      </c>
      <c r="B537" t="str">
        <f ca="1">IFERROR(__xludf.DUMMYFUNCTION("""COMPUTED_VALUE"""),"MTZZ")</f>
        <v>MTZZ</v>
      </c>
    </row>
    <row r="538" spans="1:2" ht="12.5" x14ac:dyDescent="0.25">
      <c r="A538" t="str">
        <f ca="1">IFERROR(__xludf.DUMMYFUNCTION("""COMPUTED_VALUE"""),"Extra-Regio (MTZZZ)")</f>
        <v>Extra-Regio (MTZZZ)</v>
      </c>
      <c r="B538" t="str">
        <f ca="1">IFERROR(__xludf.DUMMYFUNCTION("""COMPUTED_VALUE"""),"MTZZZ")</f>
        <v>MTZZZ</v>
      </c>
    </row>
    <row r="539" spans="1:2" ht="12.5" x14ac:dyDescent="0.25">
      <c r="A539" t="str">
        <f ca="1">IFERROR(__xludf.DUMMYFUNCTION("""COMPUTED_VALUE"""),"Extra-Regio (NLZ)")</f>
        <v>Extra-Regio (NLZ)</v>
      </c>
      <c r="B539" t="str">
        <f ca="1">IFERROR(__xludf.DUMMYFUNCTION("""COMPUTED_VALUE"""),"NLZ")</f>
        <v>NLZ</v>
      </c>
    </row>
    <row r="540" spans="1:2" ht="12.5" x14ac:dyDescent="0.25">
      <c r="A540" t="str">
        <f ca="1">IFERROR(__xludf.DUMMYFUNCTION("""COMPUTED_VALUE"""),"Extra-Regio (NLZZ)")</f>
        <v>Extra-Regio (NLZZ)</v>
      </c>
      <c r="B540" t="str">
        <f ca="1">IFERROR(__xludf.DUMMYFUNCTION("""COMPUTED_VALUE"""),"NLZZ")</f>
        <v>NLZZ</v>
      </c>
    </row>
    <row r="541" spans="1:2" ht="12.5" x14ac:dyDescent="0.25">
      <c r="A541" t="str">
        <f ca="1">IFERROR(__xludf.DUMMYFUNCTION("""COMPUTED_VALUE"""),"Extra-Regio (NLZZZ)")</f>
        <v>Extra-Regio (NLZZZ)</v>
      </c>
      <c r="B541" t="str">
        <f ca="1">IFERROR(__xludf.DUMMYFUNCTION("""COMPUTED_VALUE"""),"NLZZZ")</f>
        <v>NLZZZ</v>
      </c>
    </row>
    <row r="542" spans="1:2" ht="12.5" x14ac:dyDescent="0.25">
      <c r="A542" t="str">
        <f ca="1">IFERROR(__xludf.DUMMYFUNCTION("""COMPUTED_VALUE"""),"Extra-Regio (PLZ)")</f>
        <v>Extra-Regio (PLZ)</v>
      </c>
      <c r="B542" t="str">
        <f ca="1">IFERROR(__xludf.DUMMYFUNCTION("""COMPUTED_VALUE"""),"PLZ")</f>
        <v>PLZ</v>
      </c>
    </row>
    <row r="543" spans="1:2" ht="12.5" x14ac:dyDescent="0.25">
      <c r="A543" t="str">
        <f ca="1">IFERROR(__xludf.DUMMYFUNCTION("""COMPUTED_VALUE"""),"Extra-Regio (PLZZ)")</f>
        <v>Extra-Regio (PLZZ)</v>
      </c>
      <c r="B543" t="str">
        <f ca="1">IFERROR(__xludf.DUMMYFUNCTION("""COMPUTED_VALUE"""),"PLZZ")</f>
        <v>PLZZ</v>
      </c>
    </row>
    <row r="544" spans="1:2" ht="12.5" x14ac:dyDescent="0.25">
      <c r="A544" t="str">
        <f ca="1">IFERROR(__xludf.DUMMYFUNCTION("""COMPUTED_VALUE"""),"Extra-Regio (PLZZZ)")</f>
        <v>Extra-Regio (PLZZZ)</v>
      </c>
      <c r="B544" t="str">
        <f ca="1">IFERROR(__xludf.DUMMYFUNCTION("""COMPUTED_VALUE"""),"PLZZZ")</f>
        <v>PLZZZ</v>
      </c>
    </row>
    <row r="545" spans="1:2" ht="12.5" x14ac:dyDescent="0.25">
      <c r="A545" t="str">
        <f ca="1">IFERROR(__xludf.DUMMYFUNCTION("""COMPUTED_VALUE"""),"Extra-Regio (PTZ)")</f>
        <v>Extra-Regio (PTZ)</v>
      </c>
      <c r="B545" t="str">
        <f ca="1">IFERROR(__xludf.DUMMYFUNCTION("""COMPUTED_VALUE"""),"PTZ")</f>
        <v>PTZ</v>
      </c>
    </row>
    <row r="546" spans="1:2" ht="12.5" x14ac:dyDescent="0.25">
      <c r="A546" t="str">
        <f ca="1">IFERROR(__xludf.DUMMYFUNCTION("""COMPUTED_VALUE"""),"Extra-Regio (PTZZ)")</f>
        <v>Extra-Regio (PTZZ)</v>
      </c>
      <c r="B546" t="str">
        <f ca="1">IFERROR(__xludf.DUMMYFUNCTION("""COMPUTED_VALUE"""),"PTZZ")</f>
        <v>PTZZ</v>
      </c>
    </row>
    <row r="547" spans="1:2" ht="12.5" x14ac:dyDescent="0.25">
      <c r="A547" t="str">
        <f ca="1">IFERROR(__xludf.DUMMYFUNCTION("""COMPUTED_VALUE"""),"Extra-Regio (PTZZZ)")</f>
        <v>Extra-Regio (PTZZZ)</v>
      </c>
      <c r="B547" t="str">
        <f ca="1">IFERROR(__xludf.DUMMYFUNCTION("""COMPUTED_VALUE"""),"PTZZZ")</f>
        <v>PTZZZ</v>
      </c>
    </row>
    <row r="548" spans="1:2" ht="12.5" x14ac:dyDescent="0.25">
      <c r="A548" t="str">
        <f ca="1">IFERROR(__xludf.DUMMYFUNCTION("""COMPUTED_VALUE"""),"Extra-Regio (ROZ)")</f>
        <v>Extra-Regio (ROZ)</v>
      </c>
      <c r="B548" t="str">
        <f ca="1">IFERROR(__xludf.DUMMYFUNCTION("""COMPUTED_VALUE"""),"ROZ")</f>
        <v>ROZ</v>
      </c>
    </row>
    <row r="549" spans="1:2" ht="12.5" x14ac:dyDescent="0.25">
      <c r="A549" t="str">
        <f ca="1">IFERROR(__xludf.DUMMYFUNCTION("""COMPUTED_VALUE"""),"Extra-Regio (ROZZ)")</f>
        <v>Extra-Regio (ROZZ)</v>
      </c>
      <c r="B549" t="str">
        <f ca="1">IFERROR(__xludf.DUMMYFUNCTION("""COMPUTED_VALUE"""),"ROZZ")</f>
        <v>ROZZ</v>
      </c>
    </row>
    <row r="550" spans="1:2" ht="12.5" x14ac:dyDescent="0.25">
      <c r="A550" t="str">
        <f ca="1">IFERROR(__xludf.DUMMYFUNCTION("""COMPUTED_VALUE"""),"Extra-Regio (ROZZZ)")</f>
        <v>Extra-Regio (ROZZZ)</v>
      </c>
      <c r="B550" t="str">
        <f ca="1">IFERROR(__xludf.DUMMYFUNCTION("""COMPUTED_VALUE"""),"ROZZZ")</f>
        <v>ROZZZ</v>
      </c>
    </row>
    <row r="551" spans="1:2" ht="12.5" x14ac:dyDescent="0.25">
      <c r="A551" t="str">
        <f ca="1">IFERROR(__xludf.DUMMYFUNCTION("""COMPUTED_VALUE"""),"Extra-Regio (SEZ)")</f>
        <v>Extra-Regio (SEZ)</v>
      </c>
      <c r="B551" t="str">
        <f ca="1">IFERROR(__xludf.DUMMYFUNCTION("""COMPUTED_VALUE"""),"SEZ")</f>
        <v>SEZ</v>
      </c>
    </row>
    <row r="552" spans="1:2" ht="12.5" x14ac:dyDescent="0.25">
      <c r="A552" t="str">
        <f ca="1">IFERROR(__xludf.DUMMYFUNCTION("""COMPUTED_VALUE"""),"Extra-Regio (SEZZ)")</f>
        <v>Extra-Regio (SEZZ)</v>
      </c>
      <c r="B552" t="str">
        <f ca="1">IFERROR(__xludf.DUMMYFUNCTION("""COMPUTED_VALUE"""),"SEZZ")</f>
        <v>SEZZ</v>
      </c>
    </row>
    <row r="553" spans="1:2" ht="12.5" x14ac:dyDescent="0.25">
      <c r="A553" t="str">
        <f ca="1">IFERROR(__xludf.DUMMYFUNCTION("""COMPUTED_VALUE"""),"Extra-Regio (SEZZZ)")</f>
        <v>Extra-Regio (SEZZZ)</v>
      </c>
      <c r="B553" t="str">
        <f ca="1">IFERROR(__xludf.DUMMYFUNCTION("""COMPUTED_VALUE"""),"SEZZZ")</f>
        <v>SEZZZ</v>
      </c>
    </row>
    <row r="554" spans="1:2" ht="12.5" x14ac:dyDescent="0.25">
      <c r="A554" t="str">
        <f ca="1">IFERROR(__xludf.DUMMYFUNCTION("""COMPUTED_VALUE"""),"Extra-Regio (SIZ)")</f>
        <v>Extra-Regio (SIZ)</v>
      </c>
      <c r="B554" t="str">
        <f ca="1">IFERROR(__xludf.DUMMYFUNCTION("""COMPUTED_VALUE"""),"SIZ")</f>
        <v>SIZ</v>
      </c>
    </row>
    <row r="555" spans="1:2" ht="12.5" x14ac:dyDescent="0.25">
      <c r="A555" t="str">
        <f ca="1">IFERROR(__xludf.DUMMYFUNCTION("""COMPUTED_VALUE"""),"Extra-Regio (SIZZ)")</f>
        <v>Extra-Regio (SIZZ)</v>
      </c>
      <c r="B555" t="str">
        <f ca="1">IFERROR(__xludf.DUMMYFUNCTION("""COMPUTED_VALUE"""),"SIZZ")</f>
        <v>SIZZ</v>
      </c>
    </row>
    <row r="556" spans="1:2" ht="12.5" x14ac:dyDescent="0.25">
      <c r="A556" t="str">
        <f ca="1">IFERROR(__xludf.DUMMYFUNCTION("""COMPUTED_VALUE"""),"Extra-Regio (SIZZZ)")</f>
        <v>Extra-Regio (SIZZZ)</v>
      </c>
      <c r="B556" t="str">
        <f ca="1">IFERROR(__xludf.DUMMYFUNCTION("""COMPUTED_VALUE"""),"SIZZZ")</f>
        <v>SIZZZ</v>
      </c>
    </row>
    <row r="557" spans="1:2" ht="12.5" x14ac:dyDescent="0.25">
      <c r="A557" t="str">
        <f ca="1">IFERROR(__xludf.DUMMYFUNCTION("""COMPUTED_VALUE"""),"Extra-Regio (SKZ)")</f>
        <v>Extra-Regio (SKZ)</v>
      </c>
      <c r="B557" t="str">
        <f ca="1">IFERROR(__xludf.DUMMYFUNCTION("""COMPUTED_VALUE"""),"SKZ")</f>
        <v>SKZ</v>
      </c>
    </row>
    <row r="558" spans="1:2" ht="12.5" x14ac:dyDescent="0.25">
      <c r="A558" t="str">
        <f ca="1">IFERROR(__xludf.DUMMYFUNCTION("""COMPUTED_VALUE"""),"Extra-Regio (SKZZ)")</f>
        <v>Extra-Regio (SKZZ)</v>
      </c>
      <c r="B558" t="str">
        <f ca="1">IFERROR(__xludf.DUMMYFUNCTION("""COMPUTED_VALUE"""),"SKZZ")</f>
        <v>SKZZ</v>
      </c>
    </row>
    <row r="559" spans="1:2" ht="12.5" x14ac:dyDescent="0.25">
      <c r="A559" t="str">
        <f ca="1">IFERROR(__xludf.DUMMYFUNCTION("""COMPUTED_VALUE"""),"Extra-Regio (SKZZZ)")</f>
        <v>Extra-Regio (SKZZZ)</v>
      </c>
      <c r="B559" t="str">
        <f ca="1">IFERROR(__xludf.DUMMYFUNCTION("""COMPUTED_VALUE"""),"SKZZZ")</f>
        <v>SKZZZ</v>
      </c>
    </row>
    <row r="560" spans="1:2" ht="12.5" x14ac:dyDescent="0.25">
      <c r="A560" t="str">
        <f ca="1">IFERROR(__xludf.DUMMYFUNCTION("""COMPUTED_VALUE"""),"Extra-Regio (UKZ)")</f>
        <v>Extra-Regio (UKZ)</v>
      </c>
      <c r="B560" t="str">
        <f ca="1">IFERROR(__xludf.DUMMYFUNCTION("""COMPUTED_VALUE"""),"UKZ")</f>
        <v>UKZ</v>
      </c>
    </row>
    <row r="561" spans="1:2" ht="12.5" x14ac:dyDescent="0.25">
      <c r="A561" t="str">
        <f ca="1">IFERROR(__xludf.DUMMYFUNCTION("""COMPUTED_VALUE"""),"Extra-Regio (UKZZ)")</f>
        <v>Extra-Regio (UKZZ)</v>
      </c>
      <c r="B561" t="str">
        <f ca="1">IFERROR(__xludf.DUMMYFUNCTION("""COMPUTED_VALUE"""),"UKZZ")</f>
        <v>UKZZ</v>
      </c>
    </row>
    <row r="562" spans="1:2" ht="12.5" x14ac:dyDescent="0.25">
      <c r="A562" t="str">
        <f ca="1">IFERROR(__xludf.DUMMYFUNCTION("""COMPUTED_VALUE"""),"Extra-Regio (UKZZZ)")</f>
        <v>Extra-Regio (UKZZZ)</v>
      </c>
      <c r="B562" t="str">
        <f ca="1">IFERROR(__xludf.DUMMYFUNCTION("""COMPUTED_VALUE"""),"UKZZZ")</f>
        <v>UKZZZ</v>
      </c>
    </row>
    <row r="563" spans="1:2" ht="12.5" x14ac:dyDescent="0.25">
      <c r="A563" t="str">
        <f ca="1">IFERROR(__xludf.DUMMYFUNCTION("""COMPUTED_VALUE"""),"Extremadura")</f>
        <v>Extremadura</v>
      </c>
      <c r="B563" t="str">
        <f ca="1">IFERROR(__xludf.DUMMYFUNCTION("""COMPUTED_VALUE"""),"ES43")</f>
        <v>ES43</v>
      </c>
    </row>
    <row r="564" spans="1:2" ht="12.5" x14ac:dyDescent="0.25">
      <c r="A564" t="str">
        <f ca="1">IFERROR(__xludf.DUMMYFUNCTION("""COMPUTED_VALUE"""),"Falkirk")</f>
        <v>Falkirk</v>
      </c>
      <c r="B564" t="str">
        <f ca="1">IFERROR(__xludf.DUMMYFUNCTION("""COMPUTED_VALUE"""),"UKM26")</f>
        <v>UKM26</v>
      </c>
    </row>
    <row r="565" spans="1:2" ht="12.5" x14ac:dyDescent="0.25">
      <c r="A565" t="str">
        <f ca="1">IFERROR(__xludf.DUMMYFUNCTION("""COMPUTED_VALUE"""),"Fejer")</f>
        <v>Fejer</v>
      </c>
      <c r="B565" t="str">
        <f ca="1">IFERROR(__xludf.DUMMYFUNCTION("""COMPUTED_VALUE"""),"HU211")</f>
        <v>HU211</v>
      </c>
    </row>
    <row r="566" spans="1:2" ht="12.5" x14ac:dyDescent="0.25">
      <c r="A566" t="str">
        <f ca="1">IFERROR(__xludf.DUMMYFUNCTION("""COMPUTED_VALUE"""),"Ferrara")</f>
        <v>Ferrara</v>
      </c>
      <c r="B566" t="str">
        <f ca="1">IFERROR(__xludf.DUMMYFUNCTION("""COMPUTED_VALUE"""),"ITD56")</f>
        <v>ITD56</v>
      </c>
    </row>
    <row r="567" spans="1:2" ht="12.5" x14ac:dyDescent="0.25">
      <c r="A567" t="str">
        <f ca="1">IFERROR(__xludf.DUMMYFUNCTION("""COMPUTED_VALUE"""),"Finistère")</f>
        <v>Finistère</v>
      </c>
      <c r="B567" t="str">
        <f ca="1">IFERROR(__xludf.DUMMYFUNCTION("""COMPUTED_VALUE"""),"FR522")</f>
        <v>FR522</v>
      </c>
    </row>
    <row r="568" spans="1:2" ht="12.5" x14ac:dyDescent="0.25">
      <c r="A568" t="str">
        <f ca="1">IFERROR(__xludf.DUMMYFUNCTION("""COMPUTED_VALUE"""),"Finnmark")</f>
        <v>Finnmark</v>
      </c>
      <c r="B568" t="str">
        <f ca="1">IFERROR(__xludf.DUMMYFUNCTION("""COMPUTED_VALUE"""),"NO073")</f>
        <v>NO073</v>
      </c>
    </row>
    <row r="569" spans="1:2" ht="12.5" x14ac:dyDescent="0.25">
      <c r="A569" t="str">
        <f ca="1">IFERROR(__xludf.DUMMYFUNCTION("""COMPUTED_VALUE"""),"Firenze")</f>
        <v>Firenze</v>
      </c>
      <c r="B569" t="str">
        <f ca="1">IFERROR(__xludf.DUMMYFUNCTION("""COMPUTED_VALUE"""),"ITE14")</f>
        <v>ITE14</v>
      </c>
    </row>
    <row r="570" spans="1:2" ht="12.5" x14ac:dyDescent="0.25">
      <c r="A570" t="str">
        <f ca="1">IFERROR(__xludf.DUMMYFUNCTION("""COMPUTED_VALUE"""),"Flensburg, Kreisfreie Stadt")</f>
        <v>Flensburg, Kreisfreie Stadt</v>
      </c>
      <c r="B570" t="str">
        <f ca="1">IFERROR(__xludf.DUMMYFUNCTION("""COMPUTED_VALUE"""),"DEF01")</f>
        <v>DEF01</v>
      </c>
    </row>
    <row r="571" spans="1:2" ht="12.5" x14ac:dyDescent="0.25">
      <c r="A571" t="str">
        <f ca="1">IFERROR(__xludf.DUMMYFUNCTION("""COMPUTED_VALUE"""),"Flevoland")</f>
        <v>Flevoland</v>
      </c>
      <c r="B571" t="str">
        <f ca="1">IFERROR(__xludf.DUMMYFUNCTION("""COMPUTED_VALUE"""),"NL23")</f>
        <v>NL23</v>
      </c>
    </row>
    <row r="572" spans="1:2" ht="12.5" x14ac:dyDescent="0.25">
      <c r="A572" t="str">
        <f ca="1">IFERROR(__xludf.DUMMYFUNCTION("""COMPUTED_VALUE"""),"Flevoland (*)")</f>
        <v>Flevoland (*)</v>
      </c>
      <c r="B572" t="str">
        <f ca="1">IFERROR(__xludf.DUMMYFUNCTION("""COMPUTED_VALUE"""),"NL230")</f>
        <v>NL230</v>
      </c>
    </row>
    <row r="573" spans="1:2" ht="12.5" x14ac:dyDescent="0.25">
      <c r="A573" t="str">
        <f ca="1">IFERROR(__xludf.DUMMYFUNCTION("""COMPUTED_VALUE"""),"Flintshire And Wrexham")</f>
        <v>Flintshire And Wrexham</v>
      </c>
      <c r="B573" t="str">
        <f ca="1">IFERROR(__xludf.DUMMYFUNCTION("""COMPUTED_VALUE"""),"UKL23")</f>
        <v>UKL23</v>
      </c>
    </row>
    <row r="574" spans="1:2" ht="12.5" x14ac:dyDescent="0.25">
      <c r="A574" t="str">
        <f ca="1">IFERROR(__xludf.DUMMYFUNCTION("""COMPUTED_VALUE"""),"Florina")</f>
        <v>Florina</v>
      </c>
      <c r="B574" t="str">
        <f ca="1">IFERROR(__xludf.DUMMYFUNCTION("""COMPUTED_VALUE"""),"GR134")</f>
        <v>GR134</v>
      </c>
    </row>
    <row r="575" spans="1:2" ht="12.5" x14ac:dyDescent="0.25">
      <c r="A575" t="str">
        <f ca="1">IFERROR(__xludf.DUMMYFUNCTION("""COMPUTED_VALUE"""),"Foggia")</f>
        <v>Foggia</v>
      </c>
      <c r="B575" t="str">
        <f ca="1">IFERROR(__xludf.DUMMYFUNCTION("""COMPUTED_VALUE"""),"ITF41")</f>
        <v>ITF41</v>
      </c>
    </row>
    <row r="576" spans="1:2" ht="12.5" x14ac:dyDescent="0.25">
      <c r="A576" t="str">
        <f ca="1">IFERROR(__xludf.DUMMYFUNCTION("""COMPUTED_VALUE"""),"Fokida")</f>
        <v>Fokida</v>
      </c>
      <c r="B576" t="str">
        <f ca="1">IFERROR(__xludf.DUMMYFUNCTION("""COMPUTED_VALUE"""),"GR245")</f>
        <v>GR245</v>
      </c>
    </row>
    <row r="577" spans="1:2" ht="12.5" x14ac:dyDescent="0.25">
      <c r="A577" t="str">
        <f ca="1">IFERROR(__xludf.DUMMYFUNCTION("""COMPUTED_VALUE"""),"Forchheim")</f>
        <v>Forchheim</v>
      </c>
      <c r="B577" t="str">
        <f ca="1">IFERROR(__xludf.DUMMYFUNCTION("""COMPUTED_VALUE"""),"DE248")</f>
        <v>DE248</v>
      </c>
    </row>
    <row r="578" spans="1:2" ht="12.5" x14ac:dyDescent="0.25">
      <c r="A578" t="str">
        <f ca="1">IFERROR(__xludf.DUMMYFUNCTION("""COMPUTED_VALUE"""),"Forlì-Cesena")</f>
        <v>Forlì-Cesena</v>
      </c>
      <c r="B578" t="str">
        <f ca="1">IFERROR(__xludf.DUMMYFUNCTION("""COMPUTED_VALUE"""),"ITD58")</f>
        <v>ITD58</v>
      </c>
    </row>
    <row r="579" spans="1:2" ht="12.5" x14ac:dyDescent="0.25">
      <c r="A579" t="str">
        <f ca="1">IFERROR(__xludf.DUMMYFUNCTION("""COMPUTED_VALUE"""),"France")</f>
        <v>France</v>
      </c>
      <c r="B579" t="str">
        <f ca="1">IFERROR(__xludf.DUMMYFUNCTION("""COMPUTED_VALUE"""),"FR")</f>
        <v>FR</v>
      </c>
    </row>
    <row r="580" spans="1:2" ht="12.5" x14ac:dyDescent="0.25">
      <c r="A580" t="str">
        <f ca="1">IFERROR(__xludf.DUMMYFUNCTION("""COMPUTED_VALUE"""),"Franche-Comté")</f>
        <v>Franche-Comté</v>
      </c>
      <c r="B580" t="str">
        <f ca="1">IFERROR(__xludf.DUMMYFUNCTION("""COMPUTED_VALUE"""),"FR43")</f>
        <v>FR43</v>
      </c>
    </row>
    <row r="581" spans="1:2" ht="12.5" x14ac:dyDescent="0.25">
      <c r="A581" t="str">
        <f ca="1">IFERROR(__xludf.DUMMYFUNCTION("""COMPUTED_VALUE"""),"Frankenthal (Pfalz), Kreisfreie Stadt")</f>
        <v>Frankenthal (Pfalz), Kreisfreie Stadt</v>
      </c>
      <c r="B581" t="str">
        <f ca="1">IFERROR(__xludf.DUMMYFUNCTION("""COMPUTED_VALUE"""),"DEB31")</f>
        <v>DEB31</v>
      </c>
    </row>
    <row r="582" spans="1:2" ht="12.5" x14ac:dyDescent="0.25">
      <c r="A582" t="str">
        <f ca="1">IFERROR(__xludf.DUMMYFUNCTION("""COMPUTED_VALUE"""),"Frankfurt (Oder), Kreisfreie Stadt")</f>
        <v>Frankfurt (Oder), Kreisfreie Stadt</v>
      </c>
      <c r="B582" t="str">
        <f ca="1">IFERROR(__xludf.DUMMYFUNCTION("""COMPUTED_VALUE"""),"DE411")</f>
        <v>DE411</v>
      </c>
    </row>
    <row r="583" spans="1:2" ht="12.5" x14ac:dyDescent="0.25">
      <c r="A583" t="str">
        <f ca="1">IFERROR(__xludf.DUMMYFUNCTION("""COMPUTED_VALUE"""),"Frankfurt Am Main, Kreisfreie Stadt")</f>
        <v>Frankfurt Am Main, Kreisfreie Stadt</v>
      </c>
      <c r="B583" t="str">
        <f ca="1">IFERROR(__xludf.DUMMYFUNCTION("""COMPUTED_VALUE"""),"DE712")</f>
        <v>DE712</v>
      </c>
    </row>
    <row r="584" spans="1:2" ht="12.5" x14ac:dyDescent="0.25">
      <c r="A584" t="str">
        <f ca="1">IFERROR(__xludf.DUMMYFUNCTION("""COMPUTED_VALUE"""),"Freiberg")</f>
        <v>Freiberg</v>
      </c>
      <c r="B584" t="str">
        <f ca="1">IFERROR(__xludf.DUMMYFUNCTION("""COMPUTED_VALUE"""),"DED16")</f>
        <v>DED16</v>
      </c>
    </row>
    <row r="585" spans="1:2" ht="12.5" x14ac:dyDescent="0.25">
      <c r="A585" t="str">
        <f ca="1">IFERROR(__xludf.DUMMYFUNCTION("""COMPUTED_VALUE"""),"Freiburg")</f>
        <v>Freiburg</v>
      </c>
      <c r="B585" t="str">
        <f ca="1">IFERROR(__xludf.DUMMYFUNCTION("""COMPUTED_VALUE"""),"CH022")</f>
        <v>CH022</v>
      </c>
    </row>
    <row r="586" spans="1:2" ht="12.5" x14ac:dyDescent="0.25">
      <c r="A586" t="str">
        <f ca="1">IFERROR(__xludf.DUMMYFUNCTION("""COMPUTED_VALUE"""),"Freiburg (*)")</f>
        <v>Freiburg (*)</v>
      </c>
      <c r="B586" t="str">
        <f ca="1">IFERROR(__xludf.DUMMYFUNCTION("""COMPUTED_VALUE"""),"DE13")</f>
        <v>DE13</v>
      </c>
    </row>
    <row r="587" spans="1:2" ht="12.5" x14ac:dyDescent="0.25">
      <c r="A587" t="str">
        <f ca="1">IFERROR(__xludf.DUMMYFUNCTION("""COMPUTED_VALUE"""),"Freiburg Im Breisgau, Stadtkreis")</f>
        <v>Freiburg Im Breisgau, Stadtkreis</v>
      </c>
      <c r="B587" t="str">
        <f ca="1">IFERROR(__xludf.DUMMYFUNCTION("""COMPUTED_VALUE"""),"DE131")</f>
        <v>DE131</v>
      </c>
    </row>
    <row r="588" spans="1:2" ht="12.5" x14ac:dyDescent="0.25">
      <c r="A588" t="str">
        <f ca="1">IFERROR(__xludf.DUMMYFUNCTION("""COMPUTED_VALUE"""),"Freising")</f>
        <v>Freising</v>
      </c>
      <c r="B588" t="str">
        <f ca="1">IFERROR(__xludf.DUMMYFUNCTION("""COMPUTED_VALUE"""),"DE21B")</f>
        <v>DE21B</v>
      </c>
    </row>
    <row r="589" spans="1:2" ht="12.5" x14ac:dyDescent="0.25">
      <c r="A589" t="str">
        <f ca="1">IFERROR(__xludf.DUMMYFUNCTION("""COMPUTED_VALUE"""),"Freudenstadt")</f>
        <v>Freudenstadt</v>
      </c>
      <c r="B589" t="str">
        <f ca="1">IFERROR(__xludf.DUMMYFUNCTION("""COMPUTED_VALUE"""),"DE12C")</f>
        <v>DE12C</v>
      </c>
    </row>
    <row r="590" spans="1:2" ht="12.5" x14ac:dyDescent="0.25">
      <c r="A590" t="str">
        <f ca="1">IFERROR(__xludf.DUMMYFUNCTION("""COMPUTED_VALUE"""),"Freyung-Grafenau")</f>
        <v>Freyung-Grafenau</v>
      </c>
      <c r="B590" t="str">
        <f ca="1">IFERROR(__xludf.DUMMYFUNCTION("""COMPUTED_VALUE"""),"DE225")</f>
        <v>DE225</v>
      </c>
    </row>
    <row r="591" spans="1:2" ht="12.5" x14ac:dyDescent="0.25">
      <c r="A591" t="str">
        <f ca="1">IFERROR(__xludf.DUMMYFUNCTION("""COMPUTED_VALUE"""),"Friesland (D)")</f>
        <v>Friesland (D)</v>
      </c>
      <c r="B591" t="str">
        <f ca="1">IFERROR(__xludf.DUMMYFUNCTION("""COMPUTED_VALUE"""),"DE94A")</f>
        <v>DE94A</v>
      </c>
    </row>
    <row r="592" spans="1:2" ht="12.5" x14ac:dyDescent="0.25">
      <c r="A592" t="str">
        <f ca="1">IFERROR(__xludf.DUMMYFUNCTION("""COMPUTED_VALUE"""),"Friesland (Nl)")</f>
        <v>Friesland (Nl)</v>
      </c>
      <c r="B592" t="str">
        <f ca="1">IFERROR(__xludf.DUMMYFUNCTION("""COMPUTED_VALUE"""),"NL12")</f>
        <v>NL12</v>
      </c>
    </row>
    <row r="593" spans="1:2" ht="12.5" x14ac:dyDescent="0.25">
      <c r="A593" t="str">
        <f ca="1">IFERROR(__xludf.DUMMYFUNCTION("""COMPUTED_VALUE"""),"Friuli-Venezia Giulia")</f>
        <v>Friuli-Venezia Giulia</v>
      </c>
      <c r="B593" t="str">
        <f ca="1">IFERROR(__xludf.DUMMYFUNCTION("""COMPUTED_VALUE"""),"ITD4")</f>
        <v>ITD4</v>
      </c>
    </row>
    <row r="594" spans="1:2" ht="12.5" x14ac:dyDescent="0.25">
      <c r="A594" t="str">
        <f ca="1">IFERROR(__xludf.DUMMYFUNCTION("""COMPUTED_VALUE"""),"Frosinone")</f>
        <v>Frosinone</v>
      </c>
      <c r="B594" t="str">
        <f ca="1">IFERROR(__xludf.DUMMYFUNCTION("""COMPUTED_VALUE"""),"ITE45")</f>
        <v>ITE45</v>
      </c>
    </row>
    <row r="595" spans="1:2" ht="12.5" x14ac:dyDescent="0.25">
      <c r="A595" t="str">
        <f ca="1">IFERROR(__xludf.DUMMYFUNCTION("""COMPUTED_VALUE"""),"Fthiotida")</f>
        <v>Fthiotida</v>
      </c>
      <c r="B595" t="str">
        <f ca="1">IFERROR(__xludf.DUMMYFUNCTION("""COMPUTED_VALUE"""),"GR244")</f>
        <v>GR244</v>
      </c>
    </row>
    <row r="596" spans="1:2" ht="12.5" x14ac:dyDescent="0.25">
      <c r="A596" t="str">
        <f ca="1">IFERROR(__xludf.DUMMYFUNCTION("""COMPUTED_VALUE"""),"Fuerteventura")</f>
        <v>Fuerteventura</v>
      </c>
      <c r="B596" t="str">
        <f ca="1">IFERROR(__xludf.DUMMYFUNCTION("""COMPUTED_VALUE"""),"ES704")</f>
        <v>ES704</v>
      </c>
    </row>
    <row r="597" spans="1:2" ht="12.5" x14ac:dyDescent="0.25">
      <c r="A597" t="str">
        <f ca="1">IFERROR(__xludf.DUMMYFUNCTION("""COMPUTED_VALUE"""),"Fulda")</f>
        <v>Fulda</v>
      </c>
      <c r="B597" t="str">
        <f ca="1">IFERROR(__xludf.DUMMYFUNCTION("""COMPUTED_VALUE"""),"DE732")</f>
        <v>DE732</v>
      </c>
    </row>
    <row r="598" spans="1:2" ht="12.5" x14ac:dyDescent="0.25">
      <c r="A598" t="str">
        <f ca="1">IFERROR(__xludf.DUMMYFUNCTION("""COMPUTED_VALUE"""),"Fürstenfeldbruck")</f>
        <v>Fürstenfeldbruck</v>
      </c>
      <c r="B598" t="str">
        <f ca="1">IFERROR(__xludf.DUMMYFUNCTION("""COMPUTED_VALUE"""),"DE21C")</f>
        <v>DE21C</v>
      </c>
    </row>
    <row r="599" spans="1:2" ht="12.5" x14ac:dyDescent="0.25">
      <c r="A599" t="str">
        <f ca="1">IFERROR(__xludf.DUMMYFUNCTION("""COMPUTED_VALUE"""),"Fürth, Kreisfreie Stadt")</f>
        <v>Fürth, Kreisfreie Stadt</v>
      </c>
      <c r="B599" t="str">
        <f ca="1">IFERROR(__xludf.DUMMYFUNCTION("""COMPUTED_VALUE"""),"DE253")</f>
        <v>DE253</v>
      </c>
    </row>
    <row r="600" spans="1:2" ht="12.5" x14ac:dyDescent="0.25">
      <c r="A600" t="str">
        <f ca="1">IFERROR(__xludf.DUMMYFUNCTION("""COMPUTED_VALUE"""),"Fürth, Landkreis")</f>
        <v>Fürth, Landkreis</v>
      </c>
      <c r="B600" t="str">
        <f ca="1">IFERROR(__xludf.DUMMYFUNCTION("""COMPUTED_VALUE"""),"DE258")</f>
        <v>DE258</v>
      </c>
    </row>
    <row r="601" spans="1:2" ht="12.5" x14ac:dyDescent="0.25">
      <c r="A601" t="str">
        <f ca="1">IFERROR(__xludf.DUMMYFUNCTION("""COMPUTED_VALUE"""),"Fyn")</f>
        <v>Fyn</v>
      </c>
      <c r="B601" t="str">
        <f ca="1">IFERROR(__xludf.DUMMYFUNCTION("""COMPUTED_VALUE"""),"DK031")</f>
        <v>DK031</v>
      </c>
    </row>
    <row r="602" spans="1:2" ht="12.5" x14ac:dyDescent="0.25">
      <c r="A602" t="str">
        <f ca="1">IFERROR(__xludf.DUMMYFUNCTION("""COMPUTED_VALUE"""),"Gabrovo")</f>
        <v>Gabrovo</v>
      </c>
      <c r="B602" t="str">
        <f ca="1">IFERROR(__xludf.DUMMYFUNCTION("""COMPUTED_VALUE"""),"BG322")</f>
        <v>BG322</v>
      </c>
    </row>
    <row r="603" spans="1:2" ht="12.5" x14ac:dyDescent="0.25">
      <c r="A603" t="str">
        <f ca="1">IFERROR(__xludf.DUMMYFUNCTION("""COMPUTED_VALUE"""),"Galati")</f>
        <v>Galati</v>
      </c>
      <c r="B603" t="str">
        <f ca="1">IFERROR(__xludf.DUMMYFUNCTION("""COMPUTED_VALUE"""),"RO224")</f>
        <v>RO224</v>
      </c>
    </row>
    <row r="604" spans="1:2" ht="12.5" x14ac:dyDescent="0.25">
      <c r="A604" t="str">
        <f ca="1">IFERROR(__xludf.DUMMYFUNCTION("""COMPUTED_VALUE"""),"Galicia")</f>
        <v>Galicia</v>
      </c>
      <c r="B604" t="str">
        <f ca="1">IFERROR(__xludf.DUMMYFUNCTION("""COMPUTED_VALUE"""),"ES11")</f>
        <v>ES11</v>
      </c>
    </row>
    <row r="605" spans="1:2" ht="12.5" x14ac:dyDescent="0.25">
      <c r="A605" t="str">
        <f ca="1">IFERROR(__xludf.DUMMYFUNCTION("""COMPUTED_VALUE"""),"Gard")</f>
        <v>Gard</v>
      </c>
      <c r="B605" t="str">
        <f ca="1">IFERROR(__xludf.DUMMYFUNCTION("""COMPUTED_VALUE"""),"FR812")</f>
        <v>FR812</v>
      </c>
    </row>
    <row r="606" spans="1:2" ht="12.5" x14ac:dyDescent="0.25">
      <c r="A606" t="str">
        <f ca="1">IFERROR(__xludf.DUMMYFUNCTION("""COMPUTED_VALUE"""),"Garmisch-Partenkirchen")</f>
        <v>Garmisch-Partenkirchen</v>
      </c>
      <c r="B606" t="str">
        <f ca="1">IFERROR(__xludf.DUMMYFUNCTION("""COMPUTED_VALUE"""),"DE21D")</f>
        <v>DE21D</v>
      </c>
    </row>
    <row r="607" spans="1:2" ht="12.5" x14ac:dyDescent="0.25">
      <c r="A607" t="str">
        <f ca="1">IFERROR(__xludf.DUMMYFUNCTION("""COMPUTED_VALUE"""),"Gävleborgs Län")</f>
        <v>Gävleborgs Län</v>
      </c>
      <c r="B607" t="str">
        <f ca="1">IFERROR(__xludf.DUMMYFUNCTION("""COMPUTED_VALUE"""),"SE313")</f>
        <v>SE313</v>
      </c>
    </row>
    <row r="608" spans="1:2" ht="12.5" x14ac:dyDescent="0.25">
      <c r="A608" t="str">
        <f ca="1">IFERROR(__xludf.DUMMYFUNCTION("""COMPUTED_VALUE"""),"Gdanski")</f>
        <v>Gdanski</v>
      </c>
      <c r="B608" t="str">
        <f ca="1">IFERROR(__xludf.DUMMYFUNCTION("""COMPUTED_VALUE"""),"PL634")</f>
        <v>PL634</v>
      </c>
    </row>
    <row r="609" spans="1:2" ht="12.5" x14ac:dyDescent="0.25">
      <c r="A609" t="str">
        <f ca="1">IFERROR(__xludf.DUMMYFUNCTION("""COMPUTED_VALUE"""),"Gelderland")</f>
        <v>Gelderland</v>
      </c>
      <c r="B609" t="str">
        <f ca="1">IFERROR(__xludf.DUMMYFUNCTION("""COMPUTED_VALUE"""),"NL22")</f>
        <v>NL22</v>
      </c>
    </row>
    <row r="610" spans="1:2" ht="12.5" x14ac:dyDescent="0.25">
      <c r="A610" t="str">
        <f ca="1">IFERROR(__xludf.DUMMYFUNCTION("""COMPUTED_VALUE"""),"Gelsenkirchen, Kreisfreie Stadt")</f>
        <v>Gelsenkirchen, Kreisfreie Stadt</v>
      </c>
      <c r="B610" t="str">
        <f ca="1">IFERROR(__xludf.DUMMYFUNCTION("""COMPUTED_VALUE"""),"DEA32")</f>
        <v>DEA32</v>
      </c>
    </row>
    <row r="611" spans="1:2" ht="12.5" x14ac:dyDescent="0.25">
      <c r="A611" t="str">
        <f ca="1">IFERROR(__xludf.DUMMYFUNCTION("""COMPUTED_VALUE"""),"Genève")</f>
        <v>Genève</v>
      </c>
      <c r="B611" t="str">
        <f ca="1">IFERROR(__xludf.DUMMYFUNCTION("""COMPUTED_VALUE"""),"CH013")</f>
        <v>CH013</v>
      </c>
    </row>
    <row r="612" spans="1:2" ht="12.5" x14ac:dyDescent="0.25">
      <c r="A612" t="str">
        <f ca="1">IFERROR(__xludf.DUMMYFUNCTION("""COMPUTED_VALUE"""),"Genova")</f>
        <v>Genova</v>
      </c>
      <c r="B612" t="str">
        <f ca="1">IFERROR(__xludf.DUMMYFUNCTION("""COMPUTED_VALUE"""),"ITC33")</f>
        <v>ITC33</v>
      </c>
    </row>
    <row r="613" spans="1:2" ht="12.5" x14ac:dyDescent="0.25">
      <c r="A613" t="str">
        <f ca="1">IFERROR(__xludf.DUMMYFUNCTION("""COMPUTED_VALUE"""),"Gera, Kreisfreie Stadt")</f>
        <v>Gera, Kreisfreie Stadt</v>
      </c>
      <c r="B613" t="str">
        <f ca="1">IFERROR(__xludf.DUMMYFUNCTION("""COMPUTED_VALUE"""),"DEG02")</f>
        <v>DEG02</v>
      </c>
    </row>
    <row r="614" spans="1:2" ht="12.5" x14ac:dyDescent="0.25">
      <c r="A614" t="str">
        <f ca="1">IFERROR(__xludf.DUMMYFUNCTION("""COMPUTED_VALUE"""),"Germersheim")</f>
        <v>Germersheim</v>
      </c>
      <c r="B614" t="str">
        <f ca="1">IFERROR(__xludf.DUMMYFUNCTION("""COMPUTED_VALUE"""),"DEB3E")</f>
        <v>DEB3E</v>
      </c>
    </row>
    <row r="615" spans="1:2" ht="12.5" x14ac:dyDescent="0.25">
      <c r="A615" t="str">
        <f ca="1">IFERROR(__xludf.DUMMYFUNCTION("""COMPUTED_VALUE"""),"Gers")</f>
        <v>Gers</v>
      </c>
      <c r="B615" t="str">
        <f ca="1">IFERROR(__xludf.DUMMYFUNCTION("""COMPUTED_VALUE"""),"FR624")</f>
        <v>FR624</v>
      </c>
    </row>
    <row r="616" spans="1:2" ht="12.5" x14ac:dyDescent="0.25">
      <c r="A616" t="str">
        <f ca="1">IFERROR(__xludf.DUMMYFUNCTION("""COMPUTED_VALUE"""),"Gießen")</f>
        <v>Gießen</v>
      </c>
      <c r="B616" t="str">
        <f ca="1">IFERROR(__xludf.DUMMYFUNCTION("""COMPUTED_VALUE"""),"DE72")</f>
        <v>DE72</v>
      </c>
    </row>
    <row r="617" spans="1:2" ht="12.5" x14ac:dyDescent="0.25">
      <c r="A617" t="str">
        <f ca="1">IFERROR(__xludf.DUMMYFUNCTION("""COMPUTED_VALUE"""),"Gießen, Landkreis")</f>
        <v>Gießen, Landkreis</v>
      </c>
      <c r="B617" t="str">
        <f ca="1">IFERROR(__xludf.DUMMYFUNCTION("""COMPUTED_VALUE"""),"DE721")</f>
        <v>DE721</v>
      </c>
    </row>
    <row r="618" spans="1:2" ht="12.5" x14ac:dyDescent="0.25">
      <c r="A618" t="str">
        <f ca="1">IFERROR(__xludf.DUMMYFUNCTION("""COMPUTED_VALUE"""),"Gifhorn")</f>
        <v>Gifhorn</v>
      </c>
      <c r="B618" t="str">
        <f ca="1">IFERROR(__xludf.DUMMYFUNCTION("""COMPUTED_VALUE"""),"DE914")</f>
        <v>DE914</v>
      </c>
    </row>
    <row r="619" spans="1:2" ht="12.5" x14ac:dyDescent="0.25">
      <c r="A619" t="str">
        <f ca="1">IFERROR(__xludf.DUMMYFUNCTION("""COMPUTED_VALUE"""),"Girona")</f>
        <v>Girona</v>
      </c>
      <c r="B619" t="str">
        <f ca="1">IFERROR(__xludf.DUMMYFUNCTION("""COMPUTED_VALUE"""),"ES512")</f>
        <v>ES512</v>
      </c>
    </row>
    <row r="620" spans="1:2" ht="12.5" x14ac:dyDescent="0.25">
      <c r="A620" t="str">
        <f ca="1">IFERROR(__xludf.DUMMYFUNCTION("""COMPUTED_VALUE"""),"Gironde")</f>
        <v>Gironde</v>
      </c>
      <c r="B620" t="str">
        <f ca="1">IFERROR(__xludf.DUMMYFUNCTION("""COMPUTED_VALUE"""),"FR612")</f>
        <v>FR612</v>
      </c>
    </row>
    <row r="621" spans="1:2" ht="12.5" x14ac:dyDescent="0.25">
      <c r="A621" t="str">
        <f ca="1">IFERROR(__xludf.DUMMYFUNCTION("""COMPUTED_VALUE"""),"Giurgiu")</f>
        <v>Giurgiu</v>
      </c>
      <c r="B621" t="str">
        <f ca="1">IFERROR(__xludf.DUMMYFUNCTION("""COMPUTED_VALUE"""),"RO314")</f>
        <v>RO314</v>
      </c>
    </row>
    <row r="622" spans="1:2" ht="12.5" x14ac:dyDescent="0.25">
      <c r="A622" t="str">
        <f ca="1">IFERROR(__xludf.DUMMYFUNCTION("""COMPUTED_VALUE"""),"Glarus")</f>
        <v>Glarus</v>
      </c>
      <c r="B622" t="str">
        <f ca="1">IFERROR(__xludf.DUMMYFUNCTION("""COMPUTED_VALUE"""),"CH051")</f>
        <v>CH051</v>
      </c>
    </row>
    <row r="623" spans="1:2" ht="12.5" x14ac:dyDescent="0.25">
      <c r="A623" t="str">
        <f ca="1">IFERROR(__xludf.DUMMYFUNCTION("""COMPUTED_VALUE"""),"Glasgow City")</f>
        <v>Glasgow City</v>
      </c>
      <c r="B623" t="str">
        <f ca="1">IFERROR(__xludf.DUMMYFUNCTION("""COMPUTED_VALUE"""),"UKM34")</f>
        <v>UKM34</v>
      </c>
    </row>
    <row r="624" spans="1:2" ht="12.5" x14ac:dyDescent="0.25">
      <c r="A624" t="str">
        <f ca="1">IFERROR(__xludf.DUMMYFUNCTION("""COMPUTED_VALUE"""),"Gliwicki")</f>
        <v>Gliwicki</v>
      </c>
      <c r="B624" t="str">
        <f ca="1">IFERROR(__xludf.DUMMYFUNCTION("""COMPUTED_VALUE"""),"PL229")</f>
        <v>PL229</v>
      </c>
    </row>
    <row r="625" spans="1:2" ht="12.5" x14ac:dyDescent="0.25">
      <c r="A625" t="str">
        <f ca="1">IFERROR(__xludf.DUMMYFUNCTION("""COMPUTED_VALUE"""),"Gloucestershire")</f>
        <v>Gloucestershire</v>
      </c>
      <c r="B625" t="str">
        <f ca="1">IFERROR(__xludf.DUMMYFUNCTION("""COMPUTED_VALUE"""),"UKK13")</f>
        <v>UKK13</v>
      </c>
    </row>
    <row r="626" spans="1:2" ht="12.5" x14ac:dyDescent="0.25">
      <c r="A626" t="str">
        <f ca="1">IFERROR(__xludf.DUMMYFUNCTION("""COMPUTED_VALUE"""),"Gloucestershire, Wiltshire And Bristol/Bath Area")</f>
        <v>Gloucestershire, Wiltshire And Bristol/Bath Area</v>
      </c>
      <c r="B626" t="str">
        <f ca="1">IFERROR(__xludf.DUMMYFUNCTION("""COMPUTED_VALUE"""),"UKK1")</f>
        <v>UKK1</v>
      </c>
    </row>
    <row r="627" spans="1:2" ht="12.5" x14ac:dyDescent="0.25">
      <c r="A627" t="str">
        <f ca="1">IFERROR(__xludf.DUMMYFUNCTION("""COMPUTED_VALUE"""),"Göppingen")</f>
        <v>Göppingen</v>
      </c>
      <c r="B627" t="str">
        <f ca="1">IFERROR(__xludf.DUMMYFUNCTION("""COMPUTED_VALUE"""),"DE114")</f>
        <v>DE114</v>
      </c>
    </row>
    <row r="628" spans="1:2" ht="12.5" x14ac:dyDescent="0.25">
      <c r="A628" t="str">
        <f ca="1">IFERROR(__xludf.DUMMYFUNCTION("""COMPUTED_VALUE"""),"Gorenjska")</f>
        <v>Gorenjska</v>
      </c>
      <c r="B628" t="str">
        <f ca="1">IFERROR(__xludf.DUMMYFUNCTION("""COMPUTED_VALUE"""),"SI022")</f>
        <v>SI022</v>
      </c>
    </row>
    <row r="629" spans="1:2" ht="12.5" x14ac:dyDescent="0.25">
      <c r="A629" t="str">
        <f ca="1">IFERROR(__xludf.DUMMYFUNCTION("""COMPUTED_VALUE"""),"Goriska")</f>
        <v>Goriska</v>
      </c>
      <c r="B629" t="str">
        <f ca="1">IFERROR(__xludf.DUMMYFUNCTION("""COMPUTED_VALUE"""),"SI023")</f>
        <v>SI023</v>
      </c>
    </row>
    <row r="630" spans="1:2" ht="12.5" x14ac:dyDescent="0.25">
      <c r="A630" t="str">
        <f ca="1">IFERROR(__xludf.DUMMYFUNCTION("""COMPUTED_VALUE"""),"Gorizia")</f>
        <v>Gorizia</v>
      </c>
      <c r="B630" t="str">
        <f ca="1">IFERROR(__xludf.DUMMYFUNCTION("""COMPUTED_VALUE"""),"ITD43")</f>
        <v>ITD43</v>
      </c>
    </row>
    <row r="631" spans="1:2" ht="12.5" x14ac:dyDescent="0.25">
      <c r="A631" t="str">
        <f ca="1">IFERROR(__xludf.DUMMYFUNCTION("""COMPUTED_VALUE"""),"Gorj")</f>
        <v>Gorj</v>
      </c>
      <c r="B631" t="str">
        <f ca="1">IFERROR(__xludf.DUMMYFUNCTION("""COMPUTED_VALUE"""),"RO412")</f>
        <v>RO412</v>
      </c>
    </row>
    <row r="632" spans="1:2" ht="12.5" x14ac:dyDescent="0.25">
      <c r="A632" t="str">
        <f ca="1">IFERROR(__xludf.DUMMYFUNCTION("""COMPUTED_VALUE"""),"Görlitz, Kreisfreie Stadt")</f>
        <v>Görlitz, Kreisfreie Stadt</v>
      </c>
      <c r="B632" t="str">
        <f ca="1">IFERROR(__xludf.DUMMYFUNCTION("""COMPUTED_VALUE"""),"DED22")</f>
        <v>DED22</v>
      </c>
    </row>
    <row r="633" spans="1:2" ht="12.5" x14ac:dyDescent="0.25">
      <c r="A633" t="str">
        <f ca="1">IFERROR(__xludf.DUMMYFUNCTION("""COMPUTED_VALUE"""),"Gorzowski")</f>
        <v>Gorzowski</v>
      </c>
      <c r="B633" t="str">
        <f ca="1">IFERROR(__xludf.DUMMYFUNCTION("""COMPUTED_VALUE"""),"PL431")</f>
        <v>PL431</v>
      </c>
    </row>
    <row r="634" spans="1:2" ht="12.5" x14ac:dyDescent="0.25">
      <c r="A634" t="str">
        <f ca="1">IFERROR(__xludf.DUMMYFUNCTION("""COMPUTED_VALUE"""),"Goslar")</f>
        <v>Goslar</v>
      </c>
      <c r="B634" t="str">
        <f ca="1">IFERROR(__xludf.DUMMYFUNCTION("""COMPUTED_VALUE"""),"DE916")</f>
        <v>DE916</v>
      </c>
    </row>
    <row r="635" spans="1:2" ht="12.5" x14ac:dyDescent="0.25">
      <c r="A635" t="str">
        <f ca="1">IFERROR(__xludf.DUMMYFUNCTION("""COMPUTED_VALUE"""),"Gotha")</f>
        <v>Gotha</v>
      </c>
      <c r="B635" t="str">
        <f ca="1">IFERROR(__xludf.DUMMYFUNCTION("""COMPUTED_VALUE"""),"DEG0C")</f>
        <v>DEG0C</v>
      </c>
    </row>
    <row r="636" spans="1:2" ht="12.5" x14ac:dyDescent="0.25">
      <c r="A636" t="str">
        <f ca="1">IFERROR(__xludf.DUMMYFUNCTION("""COMPUTED_VALUE"""),"Gotlands Län")</f>
        <v>Gotlands Län</v>
      </c>
      <c r="B636" t="str">
        <f ca="1">IFERROR(__xludf.DUMMYFUNCTION("""COMPUTED_VALUE"""),"SE214")</f>
        <v>SE214</v>
      </c>
    </row>
    <row r="637" spans="1:2" ht="12.5" x14ac:dyDescent="0.25">
      <c r="A637" t="str">
        <f ca="1">IFERROR(__xludf.DUMMYFUNCTION("""COMPUTED_VALUE"""),"Göttingen")</f>
        <v>Göttingen</v>
      </c>
      <c r="B637" t="str">
        <f ca="1">IFERROR(__xludf.DUMMYFUNCTION("""COMPUTED_VALUE"""),"DE915")</f>
        <v>DE915</v>
      </c>
    </row>
    <row r="638" spans="1:2" ht="12.5" x14ac:dyDescent="0.25">
      <c r="A638" t="str">
        <f ca="1">IFERROR(__xludf.DUMMYFUNCTION("""COMPUTED_VALUE"""),"Gozo And Comino/Ghawdex U Kemmuna")</f>
        <v>Gozo And Comino/Ghawdex U Kemmuna</v>
      </c>
      <c r="B638" t="str">
        <f ca="1">IFERROR(__xludf.DUMMYFUNCTION("""COMPUTED_VALUE"""),"MT002")</f>
        <v>MT002</v>
      </c>
    </row>
    <row r="639" spans="1:2" ht="12.5" x14ac:dyDescent="0.25">
      <c r="A639" t="str">
        <f ca="1">IFERROR(__xludf.DUMMYFUNCTION("""COMPUTED_VALUE"""),"Grafschaft Bentheim")</f>
        <v>Grafschaft Bentheim</v>
      </c>
      <c r="B639" t="str">
        <f ca="1">IFERROR(__xludf.DUMMYFUNCTION("""COMPUTED_VALUE"""),"DE94B")</f>
        <v>DE94B</v>
      </c>
    </row>
    <row r="640" spans="1:2" ht="12.5" x14ac:dyDescent="0.25">
      <c r="A640" t="str">
        <f ca="1">IFERROR(__xludf.DUMMYFUNCTION("""COMPUTED_VALUE"""),"Gran Canaria")</f>
        <v>Gran Canaria</v>
      </c>
      <c r="B640" t="str">
        <f ca="1">IFERROR(__xludf.DUMMYFUNCTION("""COMPUTED_VALUE"""),"ES705")</f>
        <v>ES705</v>
      </c>
    </row>
    <row r="641" spans="1:2" ht="12.5" x14ac:dyDescent="0.25">
      <c r="A641" t="str">
        <f ca="1">IFERROR(__xludf.DUMMYFUNCTION("""COMPUTED_VALUE"""),"Granada")</f>
        <v>Granada</v>
      </c>
      <c r="B641" t="str">
        <f ca="1">IFERROR(__xludf.DUMMYFUNCTION("""COMPUTED_VALUE"""),"ES614")</f>
        <v>ES614</v>
      </c>
    </row>
    <row r="642" spans="1:2" ht="12.5" x14ac:dyDescent="0.25">
      <c r="A642" t="str">
        <f ca="1">IFERROR(__xludf.DUMMYFUNCTION("""COMPUTED_VALUE"""),"Grande Lisboa")</f>
        <v>Grande Lisboa</v>
      </c>
      <c r="B642" t="str">
        <f ca="1">IFERROR(__xludf.DUMMYFUNCTION("""COMPUTED_VALUE"""),"PT171")</f>
        <v>PT171</v>
      </c>
    </row>
    <row r="643" spans="1:2" ht="12.5" x14ac:dyDescent="0.25">
      <c r="A643" t="str">
        <f ca="1">IFERROR(__xludf.DUMMYFUNCTION("""COMPUTED_VALUE"""),"Grande Porto")</f>
        <v>Grande Porto</v>
      </c>
      <c r="B643" t="str">
        <f ca="1">IFERROR(__xludf.DUMMYFUNCTION("""COMPUTED_VALUE"""),"PT114")</f>
        <v>PT114</v>
      </c>
    </row>
    <row r="644" spans="1:2" ht="12.5" x14ac:dyDescent="0.25">
      <c r="A644" t="str">
        <f ca="1">IFERROR(__xludf.DUMMYFUNCTION("""COMPUTED_VALUE"""),"Graubünden")</f>
        <v>Graubünden</v>
      </c>
      <c r="B644" t="str">
        <f ca="1">IFERROR(__xludf.DUMMYFUNCTION("""COMPUTED_VALUE"""),"CH056")</f>
        <v>CH056</v>
      </c>
    </row>
    <row r="645" spans="1:2" ht="12.5" x14ac:dyDescent="0.25">
      <c r="A645" t="str">
        <f ca="1">IFERROR(__xludf.DUMMYFUNCTION("""COMPUTED_VALUE"""),"Graz")</f>
        <v>Graz</v>
      </c>
      <c r="B645" t="str">
        <f ca="1">IFERROR(__xludf.DUMMYFUNCTION("""COMPUTED_VALUE"""),"AT221")</f>
        <v>AT221</v>
      </c>
    </row>
    <row r="646" spans="1:2" ht="12.5" x14ac:dyDescent="0.25">
      <c r="A646" t="str">
        <f ca="1">IFERROR(__xludf.DUMMYFUNCTION("""COMPUTED_VALUE"""),"Greater Manchester")</f>
        <v>Greater Manchester</v>
      </c>
      <c r="B646" t="str">
        <f ca="1">IFERROR(__xludf.DUMMYFUNCTION("""COMPUTED_VALUE"""),"UKD3")</f>
        <v>UKD3</v>
      </c>
    </row>
    <row r="647" spans="1:2" ht="12.5" x14ac:dyDescent="0.25">
      <c r="A647" t="str">
        <f ca="1">IFERROR(__xludf.DUMMYFUNCTION("""COMPUTED_VALUE"""),"Greater Manchester North")</f>
        <v>Greater Manchester North</v>
      </c>
      <c r="B647" t="str">
        <f ca="1">IFERROR(__xludf.DUMMYFUNCTION("""COMPUTED_VALUE"""),"UKD32")</f>
        <v>UKD32</v>
      </c>
    </row>
    <row r="648" spans="1:2" ht="12.5" x14ac:dyDescent="0.25">
      <c r="A648" t="str">
        <f ca="1">IFERROR(__xludf.DUMMYFUNCTION("""COMPUTED_VALUE"""),"Greater Manchester South")</f>
        <v>Greater Manchester South</v>
      </c>
      <c r="B648" t="str">
        <f ca="1">IFERROR(__xludf.DUMMYFUNCTION("""COMPUTED_VALUE"""),"UKD31")</f>
        <v>UKD31</v>
      </c>
    </row>
    <row r="649" spans="1:2" ht="12.5" x14ac:dyDescent="0.25">
      <c r="A649" t="str">
        <f ca="1">IFERROR(__xludf.DUMMYFUNCTION("""COMPUTED_VALUE"""),"Greifswald, Kreisfreie Stadt")</f>
        <v>Greifswald, Kreisfreie Stadt</v>
      </c>
      <c r="B649" t="str">
        <f ca="1">IFERROR(__xludf.DUMMYFUNCTION("""COMPUTED_VALUE"""),"DE801")</f>
        <v>DE801</v>
      </c>
    </row>
    <row r="650" spans="1:2" ht="12.5" x14ac:dyDescent="0.25">
      <c r="A650" t="str">
        <f ca="1">IFERROR(__xludf.DUMMYFUNCTION("""COMPUTED_VALUE"""),"Greiz")</f>
        <v>Greiz</v>
      </c>
      <c r="B650" t="str">
        <f ca="1">IFERROR(__xludf.DUMMYFUNCTION("""COMPUTED_VALUE"""),"DEG0L")</f>
        <v>DEG0L</v>
      </c>
    </row>
    <row r="651" spans="1:2" ht="12.5" x14ac:dyDescent="0.25">
      <c r="A651" t="str">
        <f ca="1">IFERROR(__xludf.DUMMYFUNCTION("""COMPUTED_VALUE"""),"Grevena")</f>
        <v>Grevena</v>
      </c>
      <c r="B651" t="str">
        <f ca="1">IFERROR(__xludf.DUMMYFUNCTION("""COMPUTED_VALUE"""),"GR131")</f>
        <v>GR131</v>
      </c>
    </row>
    <row r="652" spans="1:2" ht="12.5" x14ac:dyDescent="0.25">
      <c r="A652" t="str">
        <f ca="1">IFERROR(__xludf.DUMMYFUNCTION("""COMPUTED_VALUE"""),"Groningen")</f>
        <v>Groningen</v>
      </c>
      <c r="B652" t="str">
        <f ca="1">IFERROR(__xludf.DUMMYFUNCTION("""COMPUTED_VALUE"""),"NL11")</f>
        <v>NL11</v>
      </c>
    </row>
    <row r="653" spans="1:2" ht="12.5" x14ac:dyDescent="0.25">
      <c r="A653" t="str">
        <f ca="1">IFERROR(__xludf.DUMMYFUNCTION("""COMPUTED_VALUE"""),"Groot-Amsterdam")</f>
        <v>Groot-Amsterdam</v>
      </c>
      <c r="B653" t="str">
        <f ca="1">IFERROR(__xludf.DUMMYFUNCTION("""COMPUTED_VALUE"""),"NL326")</f>
        <v>NL326</v>
      </c>
    </row>
    <row r="654" spans="1:2" ht="12.5" x14ac:dyDescent="0.25">
      <c r="A654" t="str">
        <f ca="1">IFERROR(__xludf.DUMMYFUNCTION("""COMPUTED_VALUE"""),"Groot-Rijnmond")</f>
        <v>Groot-Rijnmond</v>
      </c>
      <c r="B654" t="str">
        <f ca="1">IFERROR(__xludf.DUMMYFUNCTION("""COMPUTED_VALUE"""),"NL335")</f>
        <v>NL335</v>
      </c>
    </row>
    <row r="655" spans="1:2" ht="12.5" x14ac:dyDescent="0.25">
      <c r="A655" t="str">
        <f ca="1">IFERROR(__xludf.DUMMYFUNCTION("""COMPUTED_VALUE"""),"Groß-Gerau")</f>
        <v>Groß-Gerau</v>
      </c>
      <c r="B655" t="str">
        <f ca="1">IFERROR(__xludf.DUMMYFUNCTION("""COMPUTED_VALUE"""),"DE717")</f>
        <v>DE717</v>
      </c>
    </row>
    <row r="656" spans="1:2" ht="12.5" x14ac:dyDescent="0.25">
      <c r="A656" t="str">
        <f ca="1">IFERROR(__xludf.DUMMYFUNCTION("""COMPUTED_VALUE"""),"Grosseto")</f>
        <v>Grosseto</v>
      </c>
      <c r="B656" t="str">
        <f ca="1">IFERROR(__xludf.DUMMYFUNCTION("""COMPUTED_VALUE"""),"ITE1A")</f>
        <v>ITE1A</v>
      </c>
    </row>
    <row r="657" spans="1:2" ht="12.5" x14ac:dyDescent="0.25">
      <c r="A657" t="str">
        <f ca="1">IFERROR(__xludf.DUMMYFUNCTION("""COMPUTED_VALUE"""),"Grudziadzki")</f>
        <v>Grudziadzki</v>
      </c>
      <c r="B657" t="str">
        <f ca="1">IFERROR(__xludf.DUMMYFUNCTION("""COMPUTED_VALUE"""),"PL614")</f>
        <v>PL614</v>
      </c>
    </row>
    <row r="658" spans="1:2" ht="12.5" x14ac:dyDescent="0.25">
      <c r="A658" t="str">
        <f ca="1">IFERROR(__xludf.DUMMYFUNCTION("""COMPUTED_VALUE"""),"Guadalajara")</f>
        <v>Guadalajara</v>
      </c>
      <c r="B658" t="str">
        <f ca="1">IFERROR(__xludf.DUMMYFUNCTION("""COMPUTED_VALUE"""),"ES424")</f>
        <v>ES424</v>
      </c>
    </row>
    <row r="659" spans="1:2" ht="12.5" x14ac:dyDescent="0.25">
      <c r="A659" t="str">
        <f ca="1">IFERROR(__xludf.DUMMYFUNCTION("""COMPUTED_VALUE"""),"Guadeloupe")</f>
        <v>Guadeloupe</v>
      </c>
      <c r="B659" t="str">
        <f ca="1">IFERROR(__xludf.DUMMYFUNCTION("""COMPUTED_VALUE"""),"FR91")</f>
        <v>FR91</v>
      </c>
    </row>
    <row r="660" spans="1:2" ht="12.5" x14ac:dyDescent="0.25">
      <c r="A660" t="str">
        <f ca="1">IFERROR(__xludf.DUMMYFUNCTION("""COMPUTED_VALUE"""),"Guadeloupe (*)")</f>
        <v>Guadeloupe (*)</v>
      </c>
      <c r="B660" t="str">
        <f ca="1">IFERROR(__xludf.DUMMYFUNCTION("""COMPUTED_VALUE"""),"FR910")</f>
        <v>FR910</v>
      </c>
    </row>
    <row r="661" spans="1:2" ht="12.5" x14ac:dyDescent="0.25">
      <c r="A661" t="str">
        <f ca="1">IFERROR(__xludf.DUMMYFUNCTION("""COMPUTED_VALUE"""),"Guipúzcoa")</f>
        <v>Guipúzcoa</v>
      </c>
      <c r="B661" t="str">
        <f ca="1">IFERROR(__xludf.DUMMYFUNCTION("""COMPUTED_VALUE"""),"ES212")</f>
        <v>ES212</v>
      </c>
    </row>
    <row r="662" spans="1:2" ht="12.5" x14ac:dyDescent="0.25">
      <c r="A662" t="str">
        <f ca="1">IFERROR(__xludf.DUMMYFUNCTION("""COMPUTED_VALUE"""),"Günzburg")</f>
        <v>Günzburg</v>
      </c>
      <c r="B662" t="str">
        <f ca="1">IFERROR(__xludf.DUMMYFUNCTION("""COMPUTED_VALUE"""),"DE278")</f>
        <v>DE278</v>
      </c>
    </row>
    <row r="663" spans="1:2" ht="12.5" x14ac:dyDescent="0.25">
      <c r="A663" t="str">
        <f ca="1">IFERROR(__xludf.DUMMYFUNCTION("""COMPUTED_VALUE"""),"Güstrow")</f>
        <v>Güstrow</v>
      </c>
      <c r="B663" t="str">
        <f ca="1">IFERROR(__xludf.DUMMYFUNCTION("""COMPUTED_VALUE"""),"DE809")</f>
        <v>DE809</v>
      </c>
    </row>
    <row r="664" spans="1:2" ht="12.5" x14ac:dyDescent="0.25">
      <c r="A664" t="str">
        <f ca="1">IFERROR(__xludf.DUMMYFUNCTION("""COMPUTED_VALUE"""),"Gütersloh")</f>
        <v>Gütersloh</v>
      </c>
      <c r="B664" t="str">
        <f ca="1">IFERROR(__xludf.DUMMYFUNCTION("""COMPUTED_VALUE"""),"DEA42")</f>
        <v>DEA42</v>
      </c>
    </row>
    <row r="665" spans="1:2" ht="12.5" x14ac:dyDescent="0.25">
      <c r="A665" t="str">
        <f ca="1">IFERROR(__xludf.DUMMYFUNCTION("""COMPUTED_VALUE"""),"Guyane")</f>
        <v>Guyane</v>
      </c>
      <c r="B665" t="str">
        <f ca="1">IFERROR(__xludf.DUMMYFUNCTION("""COMPUTED_VALUE"""),"FR93")</f>
        <v>FR93</v>
      </c>
    </row>
    <row r="666" spans="1:2" ht="12.5" x14ac:dyDescent="0.25">
      <c r="A666" t="str">
        <f ca="1">IFERROR(__xludf.DUMMYFUNCTION("""COMPUTED_VALUE"""),"Guyane (*)")</f>
        <v>Guyane (*)</v>
      </c>
      <c r="B666" t="str">
        <f ca="1">IFERROR(__xludf.DUMMYFUNCTION("""COMPUTED_VALUE"""),"FR930")</f>
        <v>FR930</v>
      </c>
    </row>
    <row r="667" spans="1:2" ht="12.5" x14ac:dyDescent="0.25">
      <c r="A667" t="str">
        <f ca="1">IFERROR(__xludf.DUMMYFUNCTION("""COMPUTED_VALUE"""),"Gwent Valleys")</f>
        <v>Gwent Valleys</v>
      </c>
      <c r="B667" t="str">
        <f ca="1">IFERROR(__xludf.DUMMYFUNCTION("""COMPUTED_VALUE"""),"UKL16")</f>
        <v>UKL16</v>
      </c>
    </row>
    <row r="668" spans="1:2" ht="12.5" x14ac:dyDescent="0.25">
      <c r="A668" t="str">
        <f ca="1">IFERROR(__xludf.DUMMYFUNCTION("""COMPUTED_VALUE"""),"Gwynedd")</f>
        <v>Gwynedd</v>
      </c>
      <c r="B668" t="str">
        <f ca="1">IFERROR(__xludf.DUMMYFUNCTION("""COMPUTED_VALUE"""),"UKL12")</f>
        <v>UKL12</v>
      </c>
    </row>
    <row r="669" spans="1:2" ht="12.5" x14ac:dyDescent="0.25">
      <c r="A669" t="str">
        <f ca="1">IFERROR(__xludf.DUMMYFUNCTION("""COMPUTED_VALUE"""),"Gyor-Moson-Sopron")</f>
        <v>Gyor-Moson-Sopron</v>
      </c>
      <c r="B669" t="str">
        <f ca="1">IFERROR(__xludf.DUMMYFUNCTION("""COMPUTED_VALUE"""),"HU221")</f>
        <v>HU221</v>
      </c>
    </row>
    <row r="670" spans="1:2" ht="12.5" x14ac:dyDescent="0.25">
      <c r="A670" t="str">
        <f ca="1">IFERROR(__xludf.DUMMYFUNCTION("""COMPUTED_VALUE"""),"Hagen, Kreisfreie Stadt")</f>
        <v>Hagen, Kreisfreie Stadt</v>
      </c>
      <c r="B670" t="str">
        <f ca="1">IFERROR(__xludf.DUMMYFUNCTION("""COMPUTED_VALUE"""),"DEA53")</f>
        <v>DEA53</v>
      </c>
    </row>
    <row r="671" spans="1:2" ht="12.5" x14ac:dyDescent="0.25">
      <c r="A671" t="str">
        <f ca="1">IFERROR(__xludf.DUMMYFUNCTION("""COMPUTED_VALUE"""),"Hajdu-Bihar")</f>
        <v>Hajdu-Bihar</v>
      </c>
      <c r="B671" t="str">
        <f ca="1">IFERROR(__xludf.DUMMYFUNCTION("""COMPUTED_VALUE"""),"HU321")</f>
        <v>HU321</v>
      </c>
    </row>
    <row r="672" spans="1:2" ht="12.5" x14ac:dyDescent="0.25">
      <c r="A672" t="str">
        <f ca="1">IFERROR(__xludf.DUMMYFUNCTION("""COMPUTED_VALUE"""),"Hallands Län")</f>
        <v>Hallands Län</v>
      </c>
      <c r="B672" t="str">
        <f ca="1">IFERROR(__xludf.DUMMYFUNCTION("""COMPUTED_VALUE"""),"SE231")</f>
        <v>SE231</v>
      </c>
    </row>
    <row r="673" spans="1:2" ht="12.5" x14ac:dyDescent="0.25">
      <c r="A673" t="str">
        <f ca="1">IFERROR(__xludf.DUMMYFUNCTION("""COMPUTED_VALUE"""),"Halle (Saale), Kreisfreie Stadt")</f>
        <v>Halle (Saale), Kreisfreie Stadt</v>
      </c>
      <c r="B673" t="str">
        <f ca="1">IFERROR(__xludf.DUMMYFUNCTION("""COMPUTED_VALUE"""),"DEE02")</f>
        <v>DEE02</v>
      </c>
    </row>
    <row r="674" spans="1:2" ht="12.5" x14ac:dyDescent="0.25">
      <c r="A674" t="str">
        <f ca="1">IFERROR(__xludf.DUMMYFUNCTION("""COMPUTED_VALUE"""),"Halton And Warrington")</f>
        <v>Halton And Warrington</v>
      </c>
      <c r="B674" t="str">
        <f ca="1">IFERROR(__xludf.DUMMYFUNCTION("""COMPUTED_VALUE"""),"UKD21")</f>
        <v>UKD21</v>
      </c>
    </row>
    <row r="675" spans="1:2" ht="12.5" x14ac:dyDescent="0.25">
      <c r="A675" t="str">
        <f ca="1">IFERROR(__xludf.DUMMYFUNCTION("""COMPUTED_VALUE"""),"Hamburg")</f>
        <v>Hamburg</v>
      </c>
      <c r="B675" t="str">
        <f ca="1">IFERROR(__xludf.DUMMYFUNCTION("""COMPUTED_VALUE"""),"DE6")</f>
        <v>DE6</v>
      </c>
    </row>
    <row r="676" spans="1:2" ht="12.5" x14ac:dyDescent="0.25">
      <c r="A676" t="str">
        <f ca="1">IFERROR(__xludf.DUMMYFUNCTION("""COMPUTED_VALUE"""),"Hamburg (*)")</f>
        <v>Hamburg (*)</v>
      </c>
      <c r="B676" t="str">
        <f ca="1">IFERROR(__xludf.DUMMYFUNCTION("""COMPUTED_VALUE"""),"DE60")</f>
        <v>DE60</v>
      </c>
    </row>
    <row r="677" spans="1:2" ht="12.5" x14ac:dyDescent="0.25">
      <c r="A677" t="str">
        <f ca="1">IFERROR(__xludf.DUMMYFUNCTION("""COMPUTED_VALUE"""),"Hamburg (**)")</f>
        <v>Hamburg (**)</v>
      </c>
      <c r="B677" t="str">
        <f ca="1">IFERROR(__xludf.DUMMYFUNCTION("""COMPUTED_VALUE"""),"DE600")</f>
        <v>DE600</v>
      </c>
    </row>
    <row r="678" spans="1:2" ht="12.5" x14ac:dyDescent="0.25">
      <c r="A678" t="str">
        <f ca="1">IFERROR(__xludf.DUMMYFUNCTION("""COMPUTED_VALUE"""),"Hameln-Pyrmont")</f>
        <v>Hameln-Pyrmont</v>
      </c>
      <c r="B678" t="str">
        <f ca="1">IFERROR(__xludf.DUMMYFUNCTION("""COMPUTED_VALUE"""),"DE923")</f>
        <v>DE923</v>
      </c>
    </row>
    <row r="679" spans="1:2" ht="12.5" x14ac:dyDescent="0.25">
      <c r="A679" t="str">
        <f ca="1">IFERROR(__xludf.DUMMYFUNCTION("""COMPUTED_VALUE"""),"Hamm, Kreisfreie Stadt")</f>
        <v>Hamm, Kreisfreie Stadt</v>
      </c>
      <c r="B679" t="str">
        <f ca="1">IFERROR(__xludf.DUMMYFUNCTION("""COMPUTED_VALUE"""),"DEA54")</f>
        <v>DEA54</v>
      </c>
    </row>
    <row r="680" spans="1:2" ht="12.5" x14ac:dyDescent="0.25">
      <c r="A680" t="str">
        <f ca="1">IFERROR(__xludf.DUMMYFUNCTION("""COMPUTED_VALUE"""),"Hampshire And Isle Of Wight")</f>
        <v>Hampshire And Isle Of Wight</v>
      </c>
      <c r="B680" t="str">
        <f ca="1">IFERROR(__xludf.DUMMYFUNCTION("""COMPUTED_VALUE"""),"UKJ3")</f>
        <v>UKJ3</v>
      </c>
    </row>
    <row r="681" spans="1:2" ht="12.5" x14ac:dyDescent="0.25">
      <c r="A681" t="str">
        <f ca="1">IFERROR(__xludf.DUMMYFUNCTION("""COMPUTED_VALUE"""),"Hampshire Cc")</f>
        <v>Hampshire Cc</v>
      </c>
      <c r="B681" t="str">
        <f ca="1">IFERROR(__xludf.DUMMYFUNCTION("""COMPUTED_VALUE"""),"UKJ33")</f>
        <v>UKJ33</v>
      </c>
    </row>
    <row r="682" spans="1:2" ht="12.5" x14ac:dyDescent="0.25">
      <c r="A682" t="str">
        <f ca="1">IFERROR(__xludf.DUMMYFUNCTION("""COMPUTED_VALUE"""),"Hannover")</f>
        <v>Hannover</v>
      </c>
      <c r="B682" t="str">
        <f ca="1">IFERROR(__xludf.DUMMYFUNCTION("""COMPUTED_VALUE"""),"DE92")</f>
        <v>DE92</v>
      </c>
    </row>
    <row r="683" spans="1:2" ht="12.5" x14ac:dyDescent="0.25">
      <c r="A683" t="str">
        <f ca="1">IFERROR(__xludf.DUMMYFUNCTION("""COMPUTED_VALUE"""),"Harburg")</f>
        <v>Harburg</v>
      </c>
      <c r="B683" t="str">
        <f ca="1">IFERROR(__xludf.DUMMYFUNCTION("""COMPUTED_VALUE"""),"DE933")</f>
        <v>DE933</v>
      </c>
    </row>
    <row r="684" spans="1:2" ht="12.5" x14ac:dyDescent="0.25">
      <c r="A684" t="str">
        <f ca="1">IFERROR(__xludf.DUMMYFUNCTION("""COMPUTED_VALUE"""),"Harghita")</f>
        <v>Harghita</v>
      </c>
      <c r="B684" t="str">
        <f ca="1">IFERROR(__xludf.DUMMYFUNCTION("""COMPUTED_VALUE"""),"RO124")</f>
        <v>RO124</v>
      </c>
    </row>
    <row r="685" spans="1:2" ht="12.5" x14ac:dyDescent="0.25">
      <c r="A685" t="str">
        <f ca="1">IFERROR(__xludf.DUMMYFUNCTION("""COMPUTED_VALUE"""),"Hartlepool And Stockton-On-Tees")</f>
        <v>Hartlepool And Stockton-On-Tees</v>
      </c>
      <c r="B685" t="str">
        <f ca="1">IFERROR(__xludf.DUMMYFUNCTION("""COMPUTED_VALUE"""),"UKC11")</f>
        <v>UKC11</v>
      </c>
    </row>
    <row r="686" spans="1:2" ht="12.5" x14ac:dyDescent="0.25">
      <c r="A686" t="str">
        <f ca="1">IFERROR(__xludf.DUMMYFUNCTION("""COMPUTED_VALUE"""),"Harz")</f>
        <v>Harz</v>
      </c>
      <c r="B686" t="str">
        <f ca="1">IFERROR(__xludf.DUMMYFUNCTION("""COMPUTED_VALUE"""),"DEE09")</f>
        <v>DEE09</v>
      </c>
    </row>
    <row r="687" spans="1:2" ht="12.5" x14ac:dyDescent="0.25">
      <c r="A687" t="str">
        <f ca="1">IFERROR(__xludf.DUMMYFUNCTION("""COMPUTED_VALUE"""),"Haskovo")</f>
        <v>Haskovo</v>
      </c>
      <c r="B687" t="str">
        <f ca="1">IFERROR(__xludf.DUMMYFUNCTION("""COMPUTED_VALUE"""),"BG422")</f>
        <v>BG422</v>
      </c>
    </row>
    <row r="688" spans="1:2" ht="12.5" x14ac:dyDescent="0.25">
      <c r="A688" t="str">
        <f ca="1">IFERROR(__xludf.DUMMYFUNCTION("""COMPUTED_VALUE"""),"Haßberge")</f>
        <v>Haßberge</v>
      </c>
      <c r="B688" t="str">
        <f ca="1">IFERROR(__xludf.DUMMYFUNCTION("""COMPUTED_VALUE"""),"DE267")</f>
        <v>DE267</v>
      </c>
    </row>
    <row r="689" spans="1:2" ht="12.5" x14ac:dyDescent="0.25">
      <c r="A689" t="str">
        <f ca="1">IFERROR(__xludf.DUMMYFUNCTION("""COMPUTED_VALUE"""),"Haut-Rhin")</f>
        <v>Haut-Rhin</v>
      </c>
      <c r="B689" t="str">
        <f ca="1">IFERROR(__xludf.DUMMYFUNCTION("""COMPUTED_VALUE"""),"FR422")</f>
        <v>FR422</v>
      </c>
    </row>
    <row r="690" spans="1:2" ht="12.5" x14ac:dyDescent="0.25">
      <c r="A690" t="str">
        <f ca="1">IFERROR(__xludf.DUMMYFUNCTION("""COMPUTED_VALUE"""),"Haute-Corse")</f>
        <v>Haute-Corse</v>
      </c>
      <c r="B690" t="str">
        <f ca="1">IFERROR(__xludf.DUMMYFUNCTION("""COMPUTED_VALUE"""),"FR832")</f>
        <v>FR832</v>
      </c>
    </row>
    <row r="691" spans="1:2" ht="12.5" x14ac:dyDescent="0.25">
      <c r="A691" t="str">
        <f ca="1">IFERROR(__xludf.DUMMYFUNCTION("""COMPUTED_VALUE"""),"Haute-Garonne")</f>
        <v>Haute-Garonne</v>
      </c>
      <c r="B691" t="str">
        <f ca="1">IFERROR(__xludf.DUMMYFUNCTION("""COMPUTED_VALUE"""),"FR623")</f>
        <v>FR623</v>
      </c>
    </row>
    <row r="692" spans="1:2" ht="12.5" x14ac:dyDescent="0.25">
      <c r="A692" t="str">
        <f ca="1">IFERROR(__xludf.DUMMYFUNCTION("""COMPUTED_VALUE"""),"Haute-Loire")</f>
        <v>Haute-Loire</v>
      </c>
      <c r="B692" t="str">
        <f ca="1">IFERROR(__xludf.DUMMYFUNCTION("""COMPUTED_VALUE"""),"FR723")</f>
        <v>FR723</v>
      </c>
    </row>
    <row r="693" spans="1:2" ht="12.5" x14ac:dyDescent="0.25">
      <c r="A693" t="str">
        <f ca="1">IFERROR(__xludf.DUMMYFUNCTION("""COMPUTED_VALUE"""),"Haute-Marne")</f>
        <v>Haute-Marne</v>
      </c>
      <c r="B693" t="str">
        <f ca="1">IFERROR(__xludf.DUMMYFUNCTION("""COMPUTED_VALUE"""),"FR214")</f>
        <v>FR214</v>
      </c>
    </row>
    <row r="694" spans="1:2" ht="12.5" x14ac:dyDescent="0.25">
      <c r="A694" t="str">
        <f ca="1">IFERROR(__xludf.DUMMYFUNCTION("""COMPUTED_VALUE"""),"Haute-Normandie")</f>
        <v>Haute-Normandie</v>
      </c>
      <c r="B694" t="str">
        <f ca="1">IFERROR(__xludf.DUMMYFUNCTION("""COMPUTED_VALUE"""),"FR23")</f>
        <v>FR23</v>
      </c>
    </row>
    <row r="695" spans="1:2" ht="12.5" x14ac:dyDescent="0.25">
      <c r="A695" t="str">
        <f ca="1">IFERROR(__xludf.DUMMYFUNCTION("""COMPUTED_VALUE"""),"Haute-Saône")</f>
        <v>Haute-Saône</v>
      </c>
      <c r="B695" t="str">
        <f ca="1">IFERROR(__xludf.DUMMYFUNCTION("""COMPUTED_VALUE"""),"FR433")</f>
        <v>FR433</v>
      </c>
    </row>
    <row r="696" spans="1:2" ht="12.5" x14ac:dyDescent="0.25">
      <c r="A696" t="str">
        <f ca="1">IFERROR(__xludf.DUMMYFUNCTION("""COMPUTED_VALUE"""),"Haute-Savoie")</f>
        <v>Haute-Savoie</v>
      </c>
      <c r="B696" t="str">
        <f ca="1">IFERROR(__xludf.DUMMYFUNCTION("""COMPUTED_VALUE"""),"FR718")</f>
        <v>FR718</v>
      </c>
    </row>
    <row r="697" spans="1:2" ht="12.5" x14ac:dyDescent="0.25">
      <c r="A697" t="str">
        <f ca="1">IFERROR(__xludf.DUMMYFUNCTION("""COMPUTED_VALUE"""),"Haute-Vienne")</f>
        <v>Haute-Vienne</v>
      </c>
      <c r="B697" t="str">
        <f ca="1">IFERROR(__xludf.DUMMYFUNCTION("""COMPUTED_VALUE"""),"FR633")</f>
        <v>FR633</v>
      </c>
    </row>
    <row r="698" spans="1:2" ht="12.5" x14ac:dyDescent="0.25">
      <c r="A698" t="str">
        <f ca="1">IFERROR(__xludf.DUMMYFUNCTION("""COMPUTED_VALUE"""),"Hautes-Alpes")</f>
        <v>Hautes-Alpes</v>
      </c>
      <c r="B698" t="str">
        <f ca="1">IFERROR(__xludf.DUMMYFUNCTION("""COMPUTED_VALUE"""),"FR822")</f>
        <v>FR822</v>
      </c>
    </row>
    <row r="699" spans="1:2" ht="12.5" x14ac:dyDescent="0.25">
      <c r="A699" t="str">
        <f ca="1">IFERROR(__xludf.DUMMYFUNCTION("""COMPUTED_VALUE"""),"Hautes-Pyrénées")</f>
        <v>Hautes-Pyrénées</v>
      </c>
      <c r="B699" t="str">
        <f ca="1">IFERROR(__xludf.DUMMYFUNCTION("""COMPUTED_VALUE"""),"FR626")</f>
        <v>FR626</v>
      </c>
    </row>
    <row r="700" spans="1:2" ht="12.5" x14ac:dyDescent="0.25">
      <c r="A700" t="str">
        <f ca="1">IFERROR(__xludf.DUMMYFUNCTION("""COMPUTED_VALUE"""),"Hauts-De-Seine")</f>
        <v>Hauts-De-Seine</v>
      </c>
      <c r="B700" t="str">
        <f ca="1">IFERROR(__xludf.DUMMYFUNCTION("""COMPUTED_VALUE"""),"FR105")</f>
        <v>FR105</v>
      </c>
    </row>
    <row r="701" spans="1:2" ht="12.5" x14ac:dyDescent="0.25">
      <c r="A701" t="str">
        <f ca="1">IFERROR(__xludf.DUMMYFUNCTION("""COMPUTED_VALUE"""),"Havelland")</f>
        <v>Havelland</v>
      </c>
      <c r="B701" t="str">
        <f ca="1">IFERROR(__xludf.DUMMYFUNCTION("""COMPUTED_VALUE"""),"DE426")</f>
        <v>DE426</v>
      </c>
    </row>
    <row r="702" spans="1:2" ht="12.5" x14ac:dyDescent="0.25">
      <c r="A702" t="str">
        <f ca="1">IFERROR(__xludf.DUMMYFUNCTION("""COMPUTED_VALUE"""),"Hedmark")</f>
        <v>Hedmark</v>
      </c>
      <c r="B702" t="str">
        <f ca="1">IFERROR(__xludf.DUMMYFUNCTION("""COMPUTED_VALUE"""),"NO021")</f>
        <v>NO021</v>
      </c>
    </row>
    <row r="703" spans="1:2" ht="12.5" x14ac:dyDescent="0.25">
      <c r="A703" t="str">
        <f ca="1">IFERROR(__xludf.DUMMYFUNCTION("""COMPUTED_VALUE"""),"Hedmark Og Oppland")</f>
        <v>Hedmark Og Oppland</v>
      </c>
      <c r="B703" t="str">
        <f ca="1">IFERROR(__xludf.DUMMYFUNCTION("""COMPUTED_VALUE"""),"NO02")</f>
        <v>NO02</v>
      </c>
    </row>
    <row r="704" spans="1:2" ht="12.5" x14ac:dyDescent="0.25">
      <c r="A704" t="str">
        <f ca="1">IFERROR(__xludf.DUMMYFUNCTION("""COMPUTED_VALUE"""),"Heidelberg, Stadtkreis")</f>
        <v>Heidelberg, Stadtkreis</v>
      </c>
      <c r="B704" t="str">
        <f ca="1">IFERROR(__xludf.DUMMYFUNCTION("""COMPUTED_VALUE"""),"DE125")</f>
        <v>DE125</v>
      </c>
    </row>
    <row r="705" spans="1:2" ht="12.5" x14ac:dyDescent="0.25">
      <c r="A705" t="str">
        <f ca="1">IFERROR(__xludf.DUMMYFUNCTION("""COMPUTED_VALUE"""),"Heidenheim")</f>
        <v>Heidenheim</v>
      </c>
      <c r="B705" t="str">
        <f ca="1">IFERROR(__xludf.DUMMYFUNCTION("""COMPUTED_VALUE"""),"DE11C")</f>
        <v>DE11C</v>
      </c>
    </row>
    <row r="706" spans="1:2" ht="12.5" x14ac:dyDescent="0.25">
      <c r="A706" t="str">
        <f ca="1">IFERROR(__xludf.DUMMYFUNCTION("""COMPUTED_VALUE"""),"Heilbronn, Landkreis")</f>
        <v>Heilbronn, Landkreis</v>
      </c>
      <c r="B706" t="str">
        <f ca="1">IFERROR(__xludf.DUMMYFUNCTION("""COMPUTED_VALUE"""),"DE118")</f>
        <v>DE118</v>
      </c>
    </row>
    <row r="707" spans="1:2" ht="12.5" x14ac:dyDescent="0.25">
      <c r="A707" t="str">
        <f ca="1">IFERROR(__xludf.DUMMYFUNCTION("""COMPUTED_VALUE"""),"Heilbronn, Stadtkreis")</f>
        <v>Heilbronn, Stadtkreis</v>
      </c>
      <c r="B707" t="str">
        <f ca="1">IFERROR(__xludf.DUMMYFUNCTION("""COMPUTED_VALUE"""),"DE117")</f>
        <v>DE117</v>
      </c>
    </row>
    <row r="708" spans="1:2" ht="12.5" x14ac:dyDescent="0.25">
      <c r="A708" t="str">
        <f ca="1">IFERROR(__xludf.DUMMYFUNCTION("""COMPUTED_VALUE"""),"Heinsberg")</f>
        <v>Heinsberg</v>
      </c>
      <c r="B708" t="str">
        <f ca="1">IFERROR(__xludf.DUMMYFUNCTION("""COMPUTED_VALUE"""),"DEA29")</f>
        <v>DEA29</v>
      </c>
    </row>
    <row r="709" spans="1:2" ht="12.5" x14ac:dyDescent="0.25">
      <c r="A709" t="str">
        <f ca="1">IFERROR(__xludf.DUMMYFUNCTION("""COMPUTED_VALUE"""),"Helmstedt")</f>
        <v>Helmstedt</v>
      </c>
      <c r="B709" t="str">
        <f ca="1">IFERROR(__xludf.DUMMYFUNCTION("""COMPUTED_VALUE"""),"DE917")</f>
        <v>DE917</v>
      </c>
    </row>
    <row r="710" spans="1:2" ht="12.5" x14ac:dyDescent="0.25">
      <c r="A710" t="str">
        <f ca="1">IFERROR(__xludf.DUMMYFUNCTION("""COMPUTED_VALUE"""),"Hérault")</f>
        <v>Hérault</v>
      </c>
      <c r="B710" t="str">
        <f ca="1">IFERROR(__xludf.DUMMYFUNCTION("""COMPUTED_VALUE"""),"FR813")</f>
        <v>FR813</v>
      </c>
    </row>
    <row r="711" spans="1:2" ht="12.5" x14ac:dyDescent="0.25">
      <c r="A711" t="str">
        <f ca="1">IFERROR(__xludf.DUMMYFUNCTION("""COMPUTED_VALUE"""),"Herefordshire, County Of")</f>
        <v>Herefordshire, County Of</v>
      </c>
      <c r="B711" t="str">
        <f ca="1">IFERROR(__xludf.DUMMYFUNCTION("""COMPUTED_VALUE"""),"UKG11")</f>
        <v>UKG11</v>
      </c>
    </row>
    <row r="712" spans="1:2" ht="12.5" x14ac:dyDescent="0.25">
      <c r="A712" t="str">
        <f ca="1">IFERROR(__xludf.DUMMYFUNCTION("""COMPUTED_VALUE"""),"Herefordshire, Worcestershire And Warwickshire")</f>
        <v>Herefordshire, Worcestershire And Warwickshire</v>
      </c>
      <c r="B712" t="str">
        <f ca="1">IFERROR(__xludf.DUMMYFUNCTION("""COMPUTED_VALUE"""),"UKG1")</f>
        <v>UKG1</v>
      </c>
    </row>
    <row r="713" spans="1:2" ht="12.5" x14ac:dyDescent="0.25">
      <c r="A713" t="str">
        <f ca="1">IFERROR(__xludf.DUMMYFUNCTION("""COMPUTED_VALUE"""),"Herford")</f>
        <v>Herford</v>
      </c>
      <c r="B713" t="str">
        <f ca="1">IFERROR(__xludf.DUMMYFUNCTION("""COMPUTED_VALUE"""),"DEA43")</f>
        <v>DEA43</v>
      </c>
    </row>
    <row r="714" spans="1:2" ht="12.5" x14ac:dyDescent="0.25">
      <c r="A714" t="str">
        <f ca="1">IFERROR(__xludf.DUMMYFUNCTION("""COMPUTED_VALUE"""),"Herne, Kreisfreie Stadt")</f>
        <v>Herne, Kreisfreie Stadt</v>
      </c>
      <c r="B714" t="str">
        <f ca="1">IFERROR(__xludf.DUMMYFUNCTION("""COMPUTED_VALUE"""),"DEA55")</f>
        <v>DEA55</v>
      </c>
    </row>
    <row r="715" spans="1:2" ht="12.5" x14ac:dyDescent="0.25">
      <c r="A715" t="str">
        <f ca="1">IFERROR(__xludf.DUMMYFUNCTION("""COMPUTED_VALUE"""),"Hersfeld-Rotenburg")</f>
        <v>Hersfeld-Rotenburg</v>
      </c>
      <c r="B715" t="str">
        <f ca="1">IFERROR(__xludf.DUMMYFUNCTION("""COMPUTED_VALUE"""),"DE733")</f>
        <v>DE733</v>
      </c>
    </row>
    <row r="716" spans="1:2" ht="12.5" x14ac:dyDescent="0.25">
      <c r="A716" t="str">
        <f ca="1">IFERROR(__xludf.DUMMYFUNCTION("""COMPUTED_VALUE"""),"Hertfordshire")</f>
        <v>Hertfordshire</v>
      </c>
      <c r="B716" t="str">
        <f ca="1">IFERROR(__xludf.DUMMYFUNCTION("""COMPUTED_VALUE"""),"UKH23")</f>
        <v>UKH23</v>
      </c>
    </row>
    <row r="717" spans="1:2" ht="12.5" x14ac:dyDescent="0.25">
      <c r="A717" t="str">
        <f ca="1">IFERROR(__xludf.DUMMYFUNCTION("""COMPUTED_VALUE"""),"Herzogtum Lauenburg")</f>
        <v>Herzogtum Lauenburg</v>
      </c>
      <c r="B717" t="str">
        <f ca="1">IFERROR(__xludf.DUMMYFUNCTION("""COMPUTED_VALUE"""),"DEF06")</f>
        <v>DEF06</v>
      </c>
    </row>
    <row r="718" spans="1:2" ht="12.5" x14ac:dyDescent="0.25">
      <c r="A718" t="str">
        <f ca="1">IFERROR(__xludf.DUMMYFUNCTION("""COMPUTED_VALUE"""),"Hessen")</f>
        <v>Hessen</v>
      </c>
      <c r="B718" t="str">
        <f ca="1">IFERROR(__xludf.DUMMYFUNCTION("""COMPUTED_VALUE"""),"DE7")</f>
        <v>DE7</v>
      </c>
    </row>
    <row r="719" spans="1:2" ht="12.5" x14ac:dyDescent="0.25">
      <c r="A719" t="str">
        <f ca="1">IFERROR(__xludf.DUMMYFUNCTION("""COMPUTED_VALUE"""),"Het Gooi En Vechtstreek")</f>
        <v>Het Gooi En Vechtstreek</v>
      </c>
      <c r="B719" t="str">
        <f ca="1">IFERROR(__xludf.DUMMYFUNCTION("""COMPUTED_VALUE"""),"NL327")</f>
        <v>NL327</v>
      </c>
    </row>
    <row r="720" spans="1:2" ht="12.5" x14ac:dyDescent="0.25">
      <c r="A720" t="str">
        <f ca="1">IFERROR(__xludf.DUMMYFUNCTION("""COMPUTED_VALUE"""),"Heves")</f>
        <v>Heves</v>
      </c>
      <c r="B720" t="str">
        <f ca="1">IFERROR(__xludf.DUMMYFUNCTION("""COMPUTED_VALUE"""),"HU312")</f>
        <v>HU312</v>
      </c>
    </row>
    <row r="721" spans="1:2" ht="12.5" x14ac:dyDescent="0.25">
      <c r="A721" t="str">
        <f ca="1">IFERROR(__xludf.DUMMYFUNCTION("""COMPUTED_VALUE"""),"Highlands And Islands")</f>
        <v>Highlands And Islands</v>
      </c>
      <c r="B721" t="str">
        <f ca="1">IFERROR(__xludf.DUMMYFUNCTION("""COMPUTED_VALUE"""),"UKM6")</f>
        <v>UKM6</v>
      </c>
    </row>
    <row r="722" spans="1:2" ht="12.5" x14ac:dyDescent="0.25">
      <c r="A722" t="str">
        <f ca="1">IFERROR(__xludf.DUMMYFUNCTION("""COMPUTED_VALUE"""),"Hildburghausen")</f>
        <v>Hildburghausen</v>
      </c>
      <c r="B722" t="str">
        <f ca="1">IFERROR(__xludf.DUMMYFUNCTION("""COMPUTED_VALUE"""),"DEG0E")</f>
        <v>DEG0E</v>
      </c>
    </row>
    <row r="723" spans="1:2" ht="12.5" x14ac:dyDescent="0.25">
      <c r="A723" t="str">
        <f ca="1">IFERROR(__xludf.DUMMYFUNCTION("""COMPUTED_VALUE"""),"Hildesheim")</f>
        <v>Hildesheim</v>
      </c>
      <c r="B723" t="str">
        <f ca="1">IFERROR(__xludf.DUMMYFUNCTION("""COMPUTED_VALUE"""),"DE925")</f>
        <v>DE925</v>
      </c>
    </row>
    <row r="724" spans="1:2" ht="12.5" x14ac:dyDescent="0.25">
      <c r="A724" t="str">
        <f ca="1">IFERROR(__xludf.DUMMYFUNCTION("""COMPUTED_VALUE"""),"Hlavni Mesto Praha")</f>
        <v>Hlavni Mesto Praha</v>
      </c>
      <c r="B724" t="str">
        <f ca="1">IFERROR(__xludf.DUMMYFUNCTION("""COMPUTED_VALUE"""),"CZ010")</f>
        <v>CZ010</v>
      </c>
    </row>
    <row r="725" spans="1:2" ht="12.5" x14ac:dyDescent="0.25">
      <c r="A725" t="str">
        <f ca="1">IFERROR(__xludf.DUMMYFUNCTION("""COMPUTED_VALUE"""),"Hochsauerlandkreis")</f>
        <v>Hochsauerlandkreis</v>
      </c>
      <c r="B725" t="str">
        <f ca="1">IFERROR(__xludf.DUMMYFUNCTION("""COMPUTED_VALUE"""),"DEA57")</f>
        <v>DEA57</v>
      </c>
    </row>
    <row r="726" spans="1:2" ht="12.5" x14ac:dyDescent="0.25">
      <c r="A726" t="str">
        <f ca="1">IFERROR(__xludf.DUMMYFUNCTION("""COMPUTED_VALUE"""),"Hochtaunuskreis")</f>
        <v>Hochtaunuskreis</v>
      </c>
      <c r="B726" t="str">
        <f ca="1">IFERROR(__xludf.DUMMYFUNCTION("""COMPUTED_VALUE"""),"DE718")</f>
        <v>DE718</v>
      </c>
    </row>
    <row r="727" spans="1:2" ht="12.5" x14ac:dyDescent="0.25">
      <c r="A727" t="str">
        <f ca="1">IFERROR(__xludf.DUMMYFUNCTION("""COMPUTED_VALUE"""),"Hof, Kreisfreie Stadt")</f>
        <v>Hof, Kreisfreie Stadt</v>
      </c>
      <c r="B727" t="str">
        <f ca="1">IFERROR(__xludf.DUMMYFUNCTION("""COMPUTED_VALUE"""),"DE244")</f>
        <v>DE244</v>
      </c>
    </row>
    <row r="728" spans="1:2" ht="12.5" x14ac:dyDescent="0.25">
      <c r="A728" t="str">
        <f ca="1">IFERROR(__xludf.DUMMYFUNCTION("""COMPUTED_VALUE"""),"Hof, Landkreis")</f>
        <v>Hof, Landkreis</v>
      </c>
      <c r="B728" t="str">
        <f ca="1">IFERROR(__xludf.DUMMYFUNCTION("""COMPUTED_VALUE"""),"DE249")</f>
        <v>DE249</v>
      </c>
    </row>
    <row r="729" spans="1:2" ht="12.5" x14ac:dyDescent="0.25">
      <c r="A729" t="str">
        <f ca="1">IFERROR(__xludf.DUMMYFUNCTION("""COMPUTED_VALUE"""),"Höfuðborgarsvæði")</f>
        <v>Höfuðborgarsvæði</v>
      </c>
      <c r="B729" t="str">
        <f ca="1">IFERROR(__xludf.DUMMYFUNCTION("""COMPUTED_VALUE"""),"IS001")</f>
        <v>IS001</v>
      </c>
    </row>
    <row r="730" spans="1:2" ht="12.5" x14ac:dyDescent="0.25">
      <c r="A730" t="str">
        <f ca="1">IFERROR(__xludf.DUMMYFUNCTION("""COMPUTED_VALUE"""),"Hohenlohekreis")</f>
        <v>Hohenlohekreis</v>
      </c>
      <c r="B730" t="str">
        <f ca="1">IFERROR(__xludf.DUMMYFUNCTION("""COMPUTED_VALUE"""),"DE119")</f>
        <v>DE119</v>
      </c>
    </row>
    <row r="731" spans="1:2" ht="12.5" x14ac:dyDescent="0.25">
      <c r="A731" t="str">
        <f ca="1">IFERROR(__xludf.DUMMYFUNCTION("""COMPUTED_VALUE"""),"Holzminden")</f>
        <v>Holzminden</v>
      </c>
      <c r="B731" t="str">
        <f ca="1">IFERROR(__xludf.DUMMYFUNCTION("""COMPUTED_VALUE"""),"DE926")</f>
        <v>DE926</v>
      </c>
    </row>
    <row r="732" spans="1:2" ht="12.5" x14ac:dyDescent="0.25">
      <c r="A732" t="str">
        <f ca="1">IFERROR(__xludf.DUMMYFUNCTION("""COMPUTED_VALUE"""),"Hordaland")</f>
        <v>Hordaland</v>
      </c>
      <c r="B732" t="str">
        <f ca="1">IFERROR(__xludf.DUMMYFUNCTION("""COMPUTED_VALUE"""),"NO051")</f>
        <v>NO051</v>
      </c>
    </row>
    <row r="733" spans="1:2" ht="12.5" x14ac:dyDescent="0.25">
      <c r="A733" t="str">
        <f ca="1">IFERROR(__xludf.DUMMYFUNCTION("""COMPUTED_VALUE"""),"Hovedstaden")</f>
        <v>Hovedstaden</v>
      </c>
      <c r="B733" t="str">
        <f ca="1">IFERROR(__xludf.DUMMYFUNCTION("""COMPUTED_VALUE"""),"DK01")</f>
        <v>DK01</v>
      </c>
    </row>
    <row r="734" spans="1:2" ht="12.5" x14ac:dyDescent="0.25">
      <c r="A734" t="str">
        <f ca="1">IFERROR(__xludf.DUMMYFUNCTION("""COMPUTED_VALUE"""),"Höxter")</f>
        <v>Höxter</v>
      </c>
      <c r="B734" t="str">
        <f ca="1">IFERROR(__xludf.DUMMYFUNCTION("""COMPUTED_VALUE"""),"DEA44")</f>
        <v>DEA44</v>
      </c>
    </row>
    <row r="735" spans="1:2" ht="12.5" x14ac:dyDescent="0.25">
      <c r="A735" t="str">
        <f ca="1">IFERROR(__xludf.DUMMYFUNCTION("""COMPUTED_VALUE"""),"Hoyerswerda, Kreisfreie Stadt")</f>
        <v>Hoyerswerda, Kreisfreie Stadt</v>
      </c>
      <c r="B735" t="str">
        <f ca="1">IFERROR(__xludf.DUMMYFUNCTION("""COMPUTED_VALUE"""),"DED23")</f>
        <v>DED23</v>
      </c>
    </row>
    <row r="736" spans="1:2" ht="12.5" x14ac:dyDescent="0.25">
      <c r="A736" t="str">
        <f ca="1">IFERROR(__xludf.DUMMYFUNCTION("""COMPUTED_VALUE"""),"Huelva")</f>
        <v>Huelva</v>
      </c>
      <c r="B736" t="str">
        <f ca="1">IFERROR(__xludf.DUMMYFUNCTION("""COMPUTED_VALUE"""),"ES615")</f>
        <v>ES615</v>
      </c>
    </row>
    <row r="737" spans="1:2" ht="12.5" x14ac:dyDescent="0.25">
      <c r="A737" t="str">
        <f ca="1">IFERROR(__xludf.DUMMYFUNCTION("""COMPUTED_VALUE"""),"Huesca")</f>
        <v>Huesca</v>
      </c>
      <c r="B737" t="str">
        <f ca="1">IFERROR(__xludf.DUMMYFUNCTION("""COMPUTED_VALUE"""),"ES241")</f>
        <v>ES241</v>
      </c>
    </row>
    <row r="738" spans="1:2" ht="12.5" x14ac:dyDescent="0.25">
      <c r="A738" t="str">
        <f ca="1">IFERROR(__xludf.DUMMYFUNCTION("""COMPUTED_VALUE"""),"Hunedoara")</f>
        <v>Hunedoara</v>
      </c>
      <c r="B738" t="str">
        <f ca="1">IFERROR(__xludf.DUMMYFUNCTION("""COMPUTED_VALUE"""),"RO423")</f>
        <v>RO423</v>
      </c>
    </row>
    <row r="739" spans="1:2" ht="12.5" x14ac:dyDescent="0.25">
      <c r="A739" t="str">
        <f ca="1">IFERROR(__xludf.DUMMYFUNCTION("""COMPUTED_VALUE"""),"Ialomita")</f>
        <v>Ialomita</v>
      </c>
      <c r="B739" t="str">
        <f ca="1">IFERROR(__xludf.DUMMYFUNCTION("""COMPUTED_VALUE"""),"RO315")</f>
        <v>RO315</v>
      </c>
    </row>
    <row r="740" spans="1:2" ht="12.5" x14ac:dyDescent="0.25">
      <c r="A740" t="str">
        <f ca="1">IFERROR(__xludf.DUMMYFUNCTION("""COMPUTED_VALUE"""),"Iasi")</f>
        <v>Iasi</v>
      </c>
      <c r="B740" t="str">
        <f ca="1">IFERROR(__xludf.DUMMYFUNCTION("""COMPUTED_VALUE"""),"RO213")</f>
        <v>RO213</v>
      </c>
    </row>
    <row r="741" spans="1:2" ht="12.5" x14ac:dyDescent="0.25">
      <c r="A741" t="str">
        <f ca="1">IFERROR(__xludf.DUMMYFUNCTION("""COMPUTED_VALUE"""),"Ijmond")</f>
        <v>Ijmond</v>
      </c>
      <c r="B741" t="str">
        <f ca="1">IFERROR(__xludf.DUMMYFUNCTION("""COMPUTED_VALUE"""),"NL323")</f>
        <v>NL323</v>
      </c>
    </row>
    <row r="742" spans="1:2" ht="12.5" x14ac:dyDescent="0.25">
      <c r="A742" t="str">
        <f ca="1">IFERROR(__xludf.DUMMYFUNCTION("""COMPUTED_VALUE"""),"Île De France")</f>
        <v>Île De France</v>
      </c>
      <c r="B742" t="str">
        <f ca="1">IFERROR(__xludf.DUMMYFUNCTION("""COMPUTED_VALUE"""),"FR1")</f>
        <v>FR1</v>
      </c>
    </row>
    <row r="743" spans="1:2" ht="12.5" x14ac:dyDescent="0.25">
      <c r="A743" t="str">
        <f ca="1">IFERROR(__xludf.DUMMYFUNCTION("""COMPUTED_VALUE"""),"Île De France (*)")</f>
        <v>Île De France (*)</v>
      </c>
      <c r="B743" t="str">
        <f ca="1">IFERROR(__xludf.DUMMYFUNCTION("""COMPUTED_VALUE"""),"FR10")</f>
        <v>FR10</v>
      </c>
    </row>
    <row r="744" spans="1:2" ht="12.5" x14ac:dyDescent="0.25">
      <c r="A744" t="str">
        <f ca="1">IFERROR(__xludf.DUMMYFUNCTION("""COMPUTED_VALUE"""),"Ileia")</f>
        <v>Ileia</v>
      </c>
      <c r="B744" t="str">
        <f ca="1">IFERROR(__xludf.DUMMYFUNCTION("""COMPUTED_VALUE"""),"GR233")</f>
        <v>GR233</v>
      </c>
    </row>
    <row r="745" spans="1:2" ht="12.5" x14ac:dyDescent="0.25">
      <c r="A745" t="str">
        <f ca="1">IFERROR(__xludf.DUMMYFUNCTION("""COMPUTED_VALUE"""),"Ilfov")</f>
        <v>Ilfov</v>
      </c>
      <c r="B745" t="str">
        <f ca="1">IFERROR(__xludf.DUMMYFUNCTION("""COMPUTED_VALUE"""),"RO322")</f>
        <v>RO322</v>
      </c>
    </row>
    <row r="746" spans="1:2" ht="12.5" x14ac:dyDescent="0.25">
      <c r="A746" t="str">
        <f ca="1">IFERROR(__xludf.DUMMYFUNCTION("""COMPUTED_VALUE"""),"Ille-Et-Vilaine")</f>
        <v>Ille-Et-Vilaine</v>
      </c>
      <c r="B746" t="str">
        <f ca="1">IFERROR(__xludf.DUMMYFUNCTION("""COMPUTED_VALUE"""),"FR523")</f>
        <v>FR523</v>
      </c>
    </row>
    <row r="747" spans="1:2" ht="12.5" x14ac:dyDescent="0.25">
      <c r="A747" t="str">
        <f ca="1">IFERROR(__xludf.DUMMYFUNCTION("""COMPUTED_VALUE"""),"Illes Balears")</f>
        <v>Illes Balears</v>
      </c>
      <c r="B747" t="str">
        <f ca="1">IFERROR(__xludf.DUMMYFUNCTION("""COMPUTED_VALUE"""),"ES53")</f>
        <v>ES53</v>
      </c>
    </row>
    <row r="748" spans="1:2" ht="12.5" x14ac:dyDescent="0.25">
      <c r="A748" t="str">
        <f ca="1">IFERROR(__xludf.DUMMYFUNCTION("""COMPUTED_VALUE"""),"Ilm-Kreis")</f>
        <v>Ilm-Kreis</v>
      </c>
      <c r="B748" t="str">
        <f ca="1">IFERROR(__xludf.DUMMYFUNCTION("""COMPUTED_VALUE"""),"DEG0F")</f>
        <v>DEG0F</v>
      </c>
    </row>
    <row r="749" spans="1:2" ht="12.5" x14ac:dyDescent="0.25">
      <c r="A749" t="str">
        <f ca="1">IFERROR(__xludf.DUMMYFUNCTION("""COMPUTED_VALUE"""),"Imathia")</f>
        <v>Imathia</v>
      </c>
      <c r="B749" t="str">
        <f ca="1">IFERROR(__xludf.DUMMYFUNCTION("""COMPUTED_VALUE"""),"GR121")</f>
        <v>GR121</v>
      </c>
    </row>
    <row r="750" spans="1:2" ht="12.5" x14ac:dyDescent="0.25">
      <c r="A750" t="str">
        <f ca="1">IFERROR(__xludf.DUMMYFUNCTION("""COMPUTED_VALUE"""),"Imperia")</f>
        <v>Imperia</v>
      </c>
      <c r="B750" t="str">
        <f ca="1">IFERROR(__xludf.DUMMYFUNCTION("""COMPUTED_VALUE"""),"ITC31")</f>
        <v>ITC31</v>
      </c>
    </row>
    <row r="751" spans="1:2" ht="12.5" x14ac:dyDescent="0.25">
      <c r="A751" t="str">
        <f ca="1">IFERROR(__xludf.DUMMYFUNCTION("""COMPUTED_VALUE"""),"Indre")</f>
        <v>Indre</v>
      </c>
      <c r="B751" t="str">
        <f ca="1">IFERROR(__xludf.DUMMYFUNCTION("""COMPUTED_VALUE"""),"FR243")</f>
        <v>FR243</v>
      </c>
    </row>
    <row r="752" spans="1:2" ht="12.5" x14ac:dyDescent="0.25">
      <c r="A752" t="str">
        <f ca="1">IFERROR(__xludf.DUMMYFUNCTION("""COMPUTED_VALUE"""),"Indre-Et-Loire")</f>
        <v>Indre-Et-Loire</v>
      </c>
      <c r="B752" t="str">
        <f ca="1">IFERROR(__xludf.DUMMYFUNCTION("""COMPUTED_VALUE"""),"FR244")</f>
        <v>FR244</v>
      </c>
    </row>
    <row r="753" spans="1:2" ht="12.5" x14ac:dyDescent="0.25">
      <c r="A753" t="str">
        <f ca="1">IFERROR(__xludf.DUMMYFUNCTION("""COMPUTED_VALUE"""),"Ingolstadt, Kreisfreie Stadt")</f>
        <v>Ingolstadt, Kreisfreie Stadt</v>
      </c>
      <c r="B753" t="str">
        <f ca="1">IFERROR(__xludf.DUMMYFUNCTION("""COMPUTED_VALUE"""),"DE211")</f>
        <v>DE211</v>
      </c>
    </row>
    <row r="754" spans="1:2" ht="12.5" x14ac:dyDescent="0.25">
      <c r="A754" t="str">
        <f ca="1">IFERROR(__xludf.DUMMYFUNCTION("""COMPUTED_VALUE"""),"Inner London")</f>
        <v>Inner London</v>
      </c>
      <c r="B754" t="str">
        <f ca="1">IFERROR(__xludf.DUMMYFUNCTION("""COMPUTED_VALUE"""),"UKI1")</f>
        <v>UKI1</v>
      </c>
    </row>
    <row r="755" spans="1:2" ht="12.5" x14ac:dyDescent="0.25">
      <c r="A755" t="str">
        <f ca="1">IFERROR(__xludf.DUMMYFUNCTION("""COMPUTED_VALUE"""),"Inner London - East")</f>
        <v>Inner London - East</v>
      </c>
      <c r="B755" t="str">
        <f ca="1">IFERROR(__xludf.DUMMYFUNCTION("""COMPUTED_VALUE"""),"UKI12")</f>
        <v>UKI12</v>
      </c>
    </row>
    <row r="756" spans="1:2" ht="12.5" x14ac:dyDescent="0.25">
      <c r="A756" t="str">
        <f ca="1">IFERROR(__xludf.DUMMYFUNCTION("""COMPUTED_VALUE"""),"Inner London - West")</f>
        <v>Inner London - West</v>
      </c>
      <c r="B756" t="str">
        <f ca="1">IFERROR(__xludf.DUMMYFUNCTION("""COMPUTED_VALUE"""),"UKI11")</f>
        <v>UKI11</v>
      </c>
    </row>
    <row r="757" spans="1:2" ht="12.5" x14ac:dyDescent="0.25">
      <c r="A757" t="str">
        <f ca="1">IFERROR(__xludf.DUMMYFUNCTION("""COMPUTED_VALUE"""),"Innsbruck")</f>
        <v>Innsbruck</v>
      </c>
      <c r="B757" t="str">
        <f ca="1">IFERROR(__xludf.DUMMYFUNCTION("""COMPUTED_VALUE"""),"AT332")</f>
        <v>AT332</v>
      </c>
    </row>
    <row r="758" spans="1:2" ht="12.5" x14ac:dyDescent="0.25">
      <c r="A758" t="str">
        <f ca="1">IFERROR(__xludf.DUMMYFUNCTION("""COMPUTED_VALUE"""),"Innviertel")</f>
        <v>Innviertel</v>
      </c>
      <c r="B758" t="str">
        <f ca="1">IFERROR(__xludf.DUMMYFUNCTION("""COMPUTED_VALUE"""),"AT311")</f>
        <v>AT311</v>
      </c>
    </row>
    <row r="759" spans="1:2" ht="12.5" x14ac:dyDescent="0.25">
      <c r="A759" t="str">
        <f ca="1">IFERROR(__xludf.DUMMYFUNCTION("""COMPUTED_VALUE"""),"Inverclyde, East Renfrewshire And Renfrewshire")</f>
        <v>Inverclyde, East Renfrewshire And Renfrewshire</v>
      </c>
      <c r="B759" t="str">
        <f ca="1">IFERROR(__xludf.DUMMYFUNCTION("""COMPUTED_VALUE"""),"UKM35")</f>
        <v>UKM35</v>
      </c>
    </row>
    <row r="760" spans="1:2" ht="12.5" x14ac:dyDescent="0.25">
      <c r="A760" t="str">
        <f ca="1">IFERROR(__xludf.DUMMYFUNCTION("""COMPUTED_VALUE"""),"Inverness &amp; Nairn And Moray, Badenoch &amp; Strathspey")</f>
        <v>Inverness &amp; Nairn And Moray, Badenoch &amp; Strathspey</v>
      </c>
      <c r="B760" t="str">
        <f ca="1">IFERROR(__xludf.DUMMYFUNCTION("""COMPUTED_VALUE"""),"UKM62")</f>
        <v>UKM62</v>
      </c>
    </row>
    <row r="761" spans="1:2" ht="12.5" x14ac:dyDescent="0.25">
      <c r="A761" t="str">
        <f ca="1">IFERROR(__xludf.DUMMYFUNCTION("""COMPUTED_VALUE"""),"Ioannina")</f>
        <v>Ioannina</v>
      </c>
      <c r="B761" t="str">
        <f ca="1">IFERROR(__xludf.DUMMYFUNCTION("""COMPUTED_VALUE"""),"GR213")</f>
        <v>GR213</v>
      </c>
    </row>
    <row r="762" spans="1:2" ht="12.5" x14ac:dyDescent="0.25">
      <c r="A762" t="str">
        <f ca="1">IFERROR(__xludf.DUMMYFUNCTION("""COMPUTED_VALUE"""),"Ionia Nisia")</f>
        <v>Ionia Nisia</v>
      </c>
      <c r="B762" t="str">
        <f ca="1">IFERROR(__xludf.DUMMYFUNCTION("""COMPUTED_VALUE"""),"GR22")</f>
        <v>GR22</v>
      </c>
    </row>
    <row r="763" spans="1:2" ht="12.5" x14ac:dyDescent="0.25">
      <c r="A763" t="str">
        <f ca="1">IFERROR(__xludf.DUMMYFUNCTION("""COMPUTED_VALUE"""),"Ipeiros")</f>
        <v>Ipeiros</v>
      </c>
      <c r="B763" t="str">
        <f ca="1">IFERROR(__xludf.DUMMYFUNCTION("""COMPUTED_VALUE"""),"GR21")</f>
        <v>GR21</v>
      </c>
    </row>
    <row r="764" spans="1:2" ht="12.5" x14ac:dyDescent="0.25">
      <c r="A764" t="str">
        <f ca="1">IFERROR(__xludf.DUMMYFUNCTION("""COMPUTED_VALUE"""),"Irakleio")</f>
        <v>Irakleio</v>
      </c>
      <c r="B764" t="str">
        <f ca="1">IFERROR(__xludf.DUMMYFUNCTION("""COMPUTED_VALUE"""),"GR431")</f>
        <v>GR431</v>
      </c>
    </row>
    <row r="765" spans="1:2" ht="12.5" x14ac:dyDescent="0.25">
      <c r="A765" t="str">
        <f ca="1">IFERROR(__xludf.DUMMYFUNCTION("""COMPUTED_VALUE"""),"Ireland")</f>
        <v>Ireland</v>
      </c>
      <c r="B765" t="str">
        <f ca="1">IFERROR(__xludf.DUMMYFUNCTION("""COMPUTED_VALUE"""),"IE")</f>
        <v>IE</v>
      </c>
    </row>
    <row r="766" spans="1:2" ht="12.5" x14ac:dyDescent="0.25">
      <c r="A766" t="str">
        <f ca="1">IFERROR(__xludf.DUMMYFUNCTION("""COMPUTED_VALUE"""),"Ireland (*)")</f>
        <v>Ireland (*)</v>
      </c>
      <c r="B766" t="str">
        <f ca="1">IFERROR(__xludf.DUMMYFUNCTION("""COMPUTED_VALUE"""),"IE0")</f>
        <v>IE0</v>
      </c>
    </row>
    <row r="767" spans="1:2" ht="12.5" x14ac:dyDescent="0.25">
      <c r="A767" t="str">
        <f ca="1">IFERROR(__xludf.DUMMYFUNCTION("""COMPUTED_VALUE"""),"Isère")</f>
        <v>Isère</v>
      </c>
      <c r="B767" t="str">
        <f ca="1">IFERROR(__xludf.DUMMYFUNCTION("""COMPUTED_VALUE"""),"FR714")</f>
        <v>FR714</v>
      </c>
    </row>
    <row r="768" spans="1:2" ht="12.5" x14ac:dyDescent="0.25">
      <c r="A768" t="str">
        <f ca="1">IFERROR(__xludf.DUMMYFUNCTION("""COMPUTED_VALUE"""),"Isernia")</f>
        <v>Isernia</v>
      </c>
      <c r="B768" t="str">
        <f ca="1">IFERROR(__xludf.DUMMYFUNCTION("""COMPUTED_VALUE"""),"ITF21")</f>
        <v>ITF21</v>
      </c>
    </row>
    <row r="769" spans="1:2" ht="12.5" x14ac:dyDescent="0.25">
      <c r="A769" t="str">
        <f ca="1">IFERROR(__xludf.DUMMYFUNCTION("""COMPUTED_VALUE"""),"Ísland")</f>
        <v>Ísland</v>
      </c>
      <c r="B769" t="str">
        <f ca="1">IFERROR(__xludf.DUMMYFUNCTION("""COMPUTED_VALUE"""),"IS")</f>
        <v>IS</v>
      </c>
    </row>
    <row r="770" spans="1:2" ht="12.5" x14ac:dyDescent="0.25">
      <c r="A770" t="str">
        <f ca="1">IFERROR(__xludf.DUMMYFUNCTION("""COMPUTED_VALUE"""),"Ísland (*)")</f>
        <v>Ísland (*)</v>
      </c>
      <c r="B770" t="str">
        <f ca="1">IFERROR(__xludf.DUMMYFUNCTION("""COMPUTED_VALUE"""),"IS0")</f>
        <v>IS0</v>
      </c>
    </row>
    <row r="771" spans="1:2" ht="12.5" x14ac:dyDescent="0.25">
      <c r="A771" t="str">
        <f ca="1">IFERROR(__xludf.DUMMYFUNCTION("""COMPUTED_VALUE"""),"Ísland (**)")</f>
        <v>Ísland (**)</v>
      </c>
      <c r="B771" t="str">
        <f ca="1">IFERROR(__xludf.DUMMYFUNCTION("""COMPUTED_VALUE"""),"IS00")</f>
        <v>IS00</v>
      </c>
    </row>
    <row r="772" spans="1:2" ht="12.5" x14ac:dyDescent="0.25">
      <c r="A772" t="str">
        <f ca="1">IFERROR(__xludf.DUMMYFUNCTION("""COMPUTED_VALUE"""),"Isle Of Anglesey")</f>
        <v>Isle Of Anglesey</v>
      </c>
      <c r="B772" t="str">
        <f ca="1">IFERROR(__xludf.DUMMYFUNCTION("""COMPUTED_VALUE"""),"UKL11")</f>
        <v>UKL11</v>
      </c>
    </row>
    <row r="773" spans="1:2" ht="12.5" x14ac:dyDescent="0.25">
      <c r="A773" t="str">
        <f ca="1">IFERROR(__xludf.DUMMYFUNCTION("""COMPUTED_VALUE"""),"Isle Of Wight")</f>
        <v>Isle Of Wight</v>
      </c>
      <c r="B773" t="str">
        <f ca="1">IFERROR(__xludf.DUMMYFUNCTION("""COMPUTED_VALUE"""),"UKJ34")</f>
        <v>UKJ34</v>
      </c>
    </row>
    <row r="774" spans="1:2" ht="12.5" x14ac:dyDescent="0.25">
      <c r="A774" t="str">
        <f ca="1">IFERROR(__xludf.DUMMYFUNCTION("""COMPUTED_VALUE"""),"Isole")</f>
        <v>Isole</v>
      </c>
      <c r="B774" t="str">
        <f ca="1">IFERROR(__xludf.DUMMYFUNCTION("""COMPUTED_VALUE"""),"ITG")</f>
        <v>ITG</v>
      </c>
    </row>
    <row r="775" spans="1:2" ht="12.5" x14ac:dyDescent="0.25">
      <c r="A775" t="str">
        <f ca="1">IFERROR(__xludf.DUMMYFUNCTION("""COMPUTED_VALUE"""),"Itä-Suomi")</f>
        <v>Itä-Suomi</v>
      </c>
      <c r="B775" t="str">
        <f ca="1">IFERROR(__xludf.DUMMYFUNCTION("""COMPUTED_VALUE"""),"FI13")</f>
        <v>FI13</v>
      </c>
    </row>
    <row r="776" spans="1:2" ht="12.5" x14ac:dyDescent="0.25">
      <c r="A776" t="str">
        <f ca="1">IFERROR(__xludf.DUMMYFUNCTION("""COMPUTED_VALUE"""),"Itä-Uusimaa")</f>
        <v>Itä-Uusimaa</v>
      </c>
      <c r="B776" t="str">
        <f ca="1">IFERROR(__xludf.DUMMYFUNCTION("""COMPUTED_VALUE"""),"FI182")</f>
        <v>FI182</v>
      </c>
    </row>
    <row r="777" spans="1:2" ht="12.5" x14ac:dyDescent="0.25">
      <c r="A777" t="str">
        <f ca="1">IFERROR(__xludf.DUMMYFUNCTION("""COMPUTED_VALUE"""),"Italia")</f>
        <v>Italia</v>
      </c>
      <c r="B777" t="str">
        <f ca="1">IFERROR(__xludf.DUMMYFUNCTION("""COMPUTED_VALUE"""),"IT")</f>
        <v>IT</v>
      </c>
    </row>
    <row r="778" spans="1:2" ht="12.5" x14ac:dyDescent="0.25">
      <c r="A778" t="str">
        <f ca="1">IFERROR(__xludf.DUMMYFUNCTION("""COMPUTED_VALUE"""),"Jaén")</f>
        <v>Jaén</v>
      </c>
      <c r="B778" t="str">
        <f ca="1">IFERROR(__xludf.DUMMYFUNCTION("""COMPUTED_VALUE"""),"ES616")</f>
        <v>ES616</v>
      </c>
    </row>
    <row r="779" spans="1:2" ht="12.5" x14ac:dyDescent="0.25">
      <c r="A779" t="str">
        <f ca="1">IFERROR(__xludf.DUMMYFUNCTION("""COMPUTED_VALUE"""),"Jämtlands Län")</f>
        <v>Jämtlands Län</v>
      </c>
      <c r="B779" t="str">
        <f ca="1">IFERROR(__xludf.DUMMYFUNCTION("""COMPUTED_VALUE"""),"SE322")</f>
        <v>SE322</v>
      </c>
    </row>
    <row r="780" spans="1:2" ht="12.5" x14ac:dyDescent="0.25">
      <c r="A780" t="str">
        <f ca="1">IFERROR(__xludf.DUMMYFUNCTION("""COMPUTED_VALUE"""),"Jasz-Nagykun-Szolnok")</f>
        <v>Jasz-Nagykun-Szolnok</v>
      </c>
      <c r="B780" t="str">
        <f ca="1">IFERROR(__xludf.DUMMYFUNCTION("""COMPUTED_VALUE"""),"HU322")</f>
        <v>HU322</v>
      </c>
    </row>
    <row r="781" spans="1:2" ht="12.5" x14ac:dyDescent="0.25">
      <c r="A781" t="str">
        <f ca="1">IFERROR(__xludf.DUMMYFUNCTION("""COMPUTED_VALUE"""),"Jeleniogorski")</f>
        <v>Jeleniogorski</v>
      </c>
      <c r="B781" t="str">
        <f ca="1">IFERROR(__xludf.DUMMYFUNCTION("""COMPUTED_VALUE"""),"PL515")</f>
        <v>PL515</v>
      </c>
    </row>
    <row r="782" spans="1:2" ht="12.5" x14ac:dyDescent="0.25">
      <c r="A782" t="str">
        <f ca="1">IFERROR(__xludf.DUMMYFUNCTION("""COMPUTED_VALUE"""),"Jena, Kreisfreie Stadt")</f>
        <v>Jena, Kreisfreie Stadt</v>
      </c>
      <c r="B782" t="str">
        <f ca="1">IFERROR(__xludf.DUMMYFUNCTION("""COMPUTED_VALUE"""),"DEG03")</f>
        <v>DEG03</v>
      </c>
    </row>
    <row r="783" spans="1:2" ht="12.5" x14ac:dyDescent="0.25">
      <c r="A783" t="str">
        <f ca="1">IFERROR(__xludf.DUMMYFUNCTION("""COMPUTED_VALUE"""),"Jerichower Land")</f>
        <v>Jerichower Land</v>
      </c>
      <c r="B783" t="str">
        <f ca="1">IFERROR(__xludf.DUMMYFUNCTION("""COMPUTED_VALUE"""),"DEE06")</f>
        <v>DEE06</v>
      </c>
    </row>
    <row r="784" spans="1:2" ht="12.5" x14ac:dyDescent="0.25">
      <c r="A784" t="str">
        <f ca="1">IFERROR(__xludf.DUMMYFUNCTION("""COMPUTED_VALUE"""),"Jihocesky Kraj")</f>
        <v>Jihocesky Kraj</v>
      </c>
      <c r="B784" t="str">
        <f ca="1">IFERROR(__xludf.DUMMYFUNCTION("""COMPUTED_VALUE"""),"CZ031")</f>
        <v>CZ031</v>
      </c>
    </row>
    <row r="785" spans="1:2" ht="12.5" x14ac:dyDescent="0.25">
      <c r="A785" t="str">
        <f ca="1">IFERROR(__xludf.DUMMYFUNCTION("""COMPUTED_VALUE"""),"Jihomoravsky Kraj")</f>
        <v>Jihomoravsky Kraj</v>
      </c>
      <c r="B785" t="str">
        <f ca="1">IFERROR(__xludf.DUMMYFUNCTION("""COMPUTED_VALUE"""),"CZ064")</f>
        <v>CZ064</v>
      </c>
    </row>
    <row r="786" spans="1:2" ht="12.5" x14ac:dyDescent="0.25">
      <c r="A786" t="str">
        <f ca="1">IFERROR(__xludf.DUMMYFUNCTION("""COMPUTED_VALUE"""),"Jihovychod")</f>
        <v>Jihovychod</v>
      </c>
      <c r="B786" t="str">
        <f ca="1">IFERROR(__xludf.DUMMYFUNCTION("""COMPUTED_VALUE"""),"CZ06")</f>
        <v>CZ06</v>
      </c>
    </row>
    <row r="787" spans="1:2" ht="12.5" x14ac:dyDescent="0.25">
      <c r="A787" t="str">
        <f ca="1">IFERROR(__xludf.DUMMYFUNCTION("""COMPUTED_VALUE"""),"Jihozapad")</f>
        <v>Jihozapad</v>
      </c>
      <c r="B787" t="str">
        <f ca="1">IFERROR(__xludf.DUMMYFUNCTION("""COMPUTED_VALUE"""),"CZ03")</f>
        <v>CZ03</v>
      </c>
    </row>
    <row r="788" spans="1:2" ht="12.5" x14ac:dyDescent="0.25">
      <c r="A788" t="str">
        <f ca="1">IFERROR(__xludf.DUMMYFUNCTION("""COMPUTED_VALUE"""),"Jönköpings Län")</f>
        <v>Jönköpings Län</v>
      </c>
      <c r="B788" t="str">
        <f ca="1">IFERROR(__xludf.DUMMYFUNCTION("""COMPUTED_VALUE"""),"SE211")</f>
        <v>SE211</v>
      </c>
    </row>
    <row r="789" spans="1:2" ht="12.5" x14ac:dyDescent="0.25">
      <c r="A789" t="str">
        <f ca="1">IFERROR(__xludf.DUMMYFUNCTION("""COMPUTED_VALUE"""),"Jugovzhodna Slovenija")</f>
        <v>Jugovzhodna Slovenija</v>
      </c>
      <c r="B789" t="str">
        <f ca="1">IFERROR(__xludf.DUMMYFUNCTION("""COMPUTED_VALUE"""),"SI017")</f>
        <v>SI017</v>
      </c>
    </row>
    <row r="790" spans="1:2" ht="12.5" x14ac:dyDescent="0.25">
      <c r="A790" t="str">
        <f ca="1">IFERROR(__xludf.DUMMYFUNCTION("""COMPUTED_VALUE"""),"Jura")</f>
        <v>Jura</v>
      </c>
      <c r="B790" t="str">
        <f ca="1">IFERROR(__xludf.DUMMYFUNCTION("""COMPUTED_VALUE"""),"CH025")</f>
        <v>CH025</v>
      </c>
    </row>
    <row r="791" spans="1:2" ht="12.5" x14ac:dyDescent="0.25">
      <c r="A791" t="str">
        <f ca="1">IFERROR(__xludf.DUMMYFUNCTION("""COMPUTED_VALUE"""),"Jura (*)")</f>
        <v>Jura (*)</v>
      </c>
      <c r="B791" t="str">
        <f ca="1">IFERROR(__xludf.DUMMYFUNCTION("""COMPUTED_VALUE"""),"FR432")</f>
        <v>FR432</v>
      </c>
    </row>
    <row r="792" spans="1:2" ht="12.5" x14ac:dyDescent="0.25">
      <c r="A792" t="str">
        <f ca="1">IFERROR(__xludf.DUMMYFUNCTION("""COMPUTED_VALUE"""),"Kainuu")</f>
        <v>Kainuu</v>
      </c>
      <c r="B792" t="str">
        <f ca="1">IFERROR(__xludf.DUMMYFUNCTION("""COMPUTED_VALUE"""),"FI134")</f>
        <v>FI134</v>
      </c>
    </row>
    <row r="793" spans="1:2" ht="12.5" x14ac:dyDescent="0.25">
      <c r="A793" t="str">
        <f ca="1">IFERROR(__xludf.DUMMYFUNCTION("""COMPUTED_VALUE"""),"Kaiserslautern, Kreisfreie Stadt")</f>
        <v>Kaiserslautern, Kreisfreie Stadt</v>
      </c>
      <c r="B793" t="str">
        <f ca="1">IFERROR(__xludf.DUMMYFUNCTION("""COMPUTED_VALUE"""),"DEB32")</f>
        <v>DEB32</v>
      </c>
    </row>
    <row r="794" spans="1:2" ht="12.5" x14ac:dyDescent="0.25">
      <c r="A794" t="str">
        <f ca="1">IFERROR(__xludf.DUMMYFUNCTION("""COMPUTED_VALUE"""),"Kaiserslautern, Landkreis")</f>
        <v>Kaiserslautern, Landkreis</v>
      </c>
      <c r="B794" t="str">
        <f ca="1">IFERROR(__xludf.DUMMYFUNCTION("""COMPUTED_VALUE"""),"DEB3F")</f>
        <v>DEB3F</v>
      </c>
    </row>
    <row r="795" spans="1:2" ht="12.5" x14ac:dyDescent="0.25">
      <c r="A795" t="str">
        <f ca="1">IFERROR(__xludf.DUMMYFUNCTION("""COMPUTED_VALUE"""),"Kaliski")</f>
        <v>Kaliski</v>
      </c>
      <c r="B795" t="str">
        <f ca="1">IFERROR(__xludf.DUMMYFUNCTION("""COMPUTED_VALUE"""),"PL416")</f>
        <v>PL416</v>
      </c>
    </row>
    <row r="796" spans="1:2" ht="12.5" x14ac:dyDescent="0.25">
      <c r="A796" t="str">
        <f ca="1">IFERROR(__xludf.DUMMYFUNCTION("""COMPUTED_VALUE"""),"Kalmar Län")</f>
        <v>Kalmar Län</v>
      </c>
      <c r="B796" t="str">
        <f ca="1">IFERROR(__xludf.DUMMYFUNCTION("""COMPUTED_VALUE"""),"SE213")</f>
        <v>SE213</v>
      </c>
    </row>
    <row r="797" spans="1:2" ht="12.5" x14ac:dyDescent="0.25">
      <c r="A797" t="str">
        <f ca="1">IFERROR(__xludf.DUMMYFUNCTION("""COMPUTED_VALUE"""),"Kamenz")</f>
        <v>Kamenz</v>
      </c>
      <c r="B797" t="str">
        <f ca="1">IFERROR(__xludf.DUMMYFUNCTION("""COMPUTED_VALUE"""),"DED2B")</f>
        <v>DED2B</v>
      </c>
    </row>
    <row r="798" spans="1:2" ht="12.5" x14ac:dyDescent="0.25">
      <c r="A798" t="str">
        <f ca="1">IFERROR(__xludf.DUMMYFUNCTION("""COMPUTED_VALUE"""),"Kanta-Häme")</f>
        <v>Kanta-Häme</v>
      </c>
      <c r="B798" t="str">
        <f ca="1">IFERROR(__xludf.DUMMYFUNCTION("""COMPUTED_VALUE"""),"FI184")</f>
        <v>FI184</v>
      </c>
    </row>
    <row r="799" spans="1:2" ht="12.5" x14ac:dyDescent="0.25">
      <c r="A799" t="str">
        <f ca="1">IFERROR(__xludf.DUMMYFUNCTION("""COMPUTED_VALUE"""),"Karditsa")</f>
        <v>Karditsa</v>
      </c>
      <c r="B799" t="str">
        <f ca="1">IFERROR(__xludf.DUMMYFUNCTION("""COMPUTED_VALUE"""),"GR141")</f>
        <v>GR141</v>
      </c>
    </row>
    <row r="800" spans="1:2" ht="12.5" x14ac:dyDescent="0.25">
      <c r="A800" t="str">
        <f ca="1">IFERROR(__xludf.DUMMYFUNCTION("""COMPUTED_VALUE"""),"Kardzhali")</f>
        <v>Kardzhali</v>
      </c>
      <c r="B800" t="str">
        <f ca="1">IFERROR(__xludf.DUMMYFUNCTION("""COMPUTED_VALUE"""),"BG425")</f>
        <v>BG425</v>
      </c>
    </row>
    <row r="801" spans="1:2" ht="12.5" x14ac:dyDescent="0.25">
      <c r="A801" t="str">
        <f ca="1">IFERROR(__xludf.DUMMYFUNCTION("""COMPUTED_VALUE"""),"Karlovarsky Kraj")</f>
        <v>Karlovarsky Kraj</v>
      </c>
      <c r="B801" t="str">
        <f ca="1">IFERROR(__xludf.DUMMYFUNCTION("""COMPUTED_VALUE"""),"CZ041")</f>
        <v>CZ041</v>
      </c>
    </row>
    <row r="802" spans="1:2" ht="12.5" x14ac:dyDescent="0.25">
      <c r="A802" t="str">
        <f ca="1">IFERROR(__xludf.DUMMYFUNCTION("""COMPUTED_VALUE"""),"Karlsruhe")</f>
        <v>Karlsruhe</v>
      </c>
      <c r="B802" t="str">
        <f ca="1">IFERROR(__xludf.DUMMYFUNCTION("""COMPUTED_VALUE"""),"DE12")</f>
        <v>DE12</v>
      </c>
    </row>
    <row r="803" spans="1:2" ht="12.5" x14ac:dyDescent="0.25">
      <c r="A803" t="str">
        <f ca="1">IFERROR(__xludf.DUMMYFUNCTION("""COMPUTED_VALUE"""),"Karlsruhe, Landkreis")</f>
        <v>Karlsruhe, Landkreis</v>
      </c>
      <c r="B803" t="str">
        <f ca="1">IFERROR(__xludf.DUMMYFUNCTION("""COMPUTED_VALUE"""),"DE123")</f>
        <v>DE123</v>
      </c>
    </row>
    <row r="804" spans="1:2" ht="12.5" x14ac:dyDescent="0.25">
      <c r="A804" t="str">
        <f ca="1">IFERROR(__xludf.DUMMYFUNCTION("""COMPUTED_VALUE"""),"Karlsruhe, Stadtkreis")</f>
        <v>Karlsruhe, Stadtkreis</v>
      </c>
      <c r="B804" t="str">
        <f ca="1">IFERROR(__xludf.DUMMYFUNCTION("""COMPUTED_VALUE"""),"DE122")</f>
        <v>DE122</v>
      </c>
    </row>
    <row r="805" spans="1:2" ht="12.5" x14ac:dyDescent="0.25">
      <c r="A805" t="str">
        <f ca="1">IFERROR(__xludf.DUMMYFUNCTION("""COMPUTED_VALUE"""),"Kärnten")</f>
        <v>Kärnten</v>
      </c>
      <c r="B805" t="str">
        <f ca="1">IFERROR(__xludf.DUMMYFUNCTION("""COMPUTED_VALUE"""),"AT21")</f>
        <v>AT21</v>
      </c>
    </row>
    <row r="806" spans="1:2" ht="12.5" x14ac:dyDescent="0.25">
      <c r="A806" t="str">
        <f ca="1">IFERROR(__xludf.DUMMYFUNCTION("""COMPUTED_VALUE"""),"Kassel")</f>
        <v>Kassel</v>
      </c>
      <c r="B806" t="str">
        <f ca="1">IFERROR(__xludf.DUMMYFUNCTION("""COMPUTED_VALUE"""),"DE73")</f>
        <v>DE73</v>
      </c>
    </row>
    <row r="807" spans="1:2" ht="12.5" x14ac:dyDescent="0.25">
      <c r="A807" t="str">
        <f ca="1">IFERROR(__xludf.DUMMYFUNCTION("""COMPUTED_VALUE"""),"Kassel, Kreisfreie Stadt")</f>
        <v>Kassel, Kreisfreie Stadt</v>
      </c>
      <c r="B807" t="str">
        <f ca="1">IFERROR(__xludf.DUMMYFUNCTION("""COMPUTED_VALUE"""),"DE731")</f>
        <v>DE731</v>
      </c>
    </row>
    <row r="808" spans="1:2" ht="12.5" x14ac:dyDescent="0.25">
      <c r="A808" t="str">
        <f ca="1">IFERROR(__xludf.DUMMYFUNCTION("""COMPUTED_VALUE"""),"Kassel, Landkreis")</f>
        <v>Kassel, Landkreis</v>
      </c>
      <c r="B808" t="str">
        <f ca="1">IFERROR(__xludf.DUMMYFUNCTION("""COMPUTED_VALUE"""),"DE734")</f>
        <v>DE734</v>
      </c>
    </row>
    <row r="809" spans="1:2" ht="12.5" x14ac:dyDescent="0.25">
      <c r="A809" t="str">
        <f ca="1">IFERROR(__xludf.DUMMYFUNCTION("""COMPUTED_VALUE"""),"Kastoria")</f>
        <v>Kastoria</v>
      </c>
      <c r="B809" t="str">
        <f ca="1">IFERROR(__xludf.DUMMYFUNCTION("""COMPUTED_VALUE"""),"GR132")</f>
        <v>GR132</v>
      </c>
    </row>
    <row r="810" spans="1:2" ht="12.5" x14ac:dyDescent="0.25">
      <c r="A810" t="str">
        <f ca="1">IFERROR(__xludf.DUMMYFUNCTION("""COMPUTED_VALUE"""),"Katowicki")</f>
        <v>Katowicki</v>
      </c>
      <c r="B810" t="str">
        <f ca="1">IFERROR(__xludf.DUMMYFUNCTION("""COMPUTED_VALUE"""),"PL22A")</f>
        <v>PL22A</v>
      </c>
    </row>
    <row r="811" spans="1:2" ht="12.5" x14ac:dyDescent="0.25">
      <c r="A811" t="str">
        <f ca="1">IFERROR(__xludf.DUMMYFUNCTION("""COMPUTED_VALUE"""),"Kaufbeuren, Kreisfreie Stadt")</f>
        <v>Kaufbeuren, Kreisfreie Stadt</v>
      </c>
      <c r="B811" t="str">
        <f ca="1">IFERROR(__xludf.DUMMYFUNCTION("""COMPUTED_VALUE"""),"DE272")</f>
        <v>DE272</v>
      </c>
    </row>
    <row r="812" spans="1:2" ht="12.5" x14ac:dyDescent="0.25">
      <c r="A812" t="str">
        <f ca="1">IFERROR(__xludf.DUMMYFUNCTION("""COMPUTED_VALUE"""),"Kauno Apskritis")</f>
        <v>Kauno Apskritis</v>
      </c>
      <c r="B812" t="str">
        <f ca="1">IFERROR(__xludf.DUMMYFUNCTION("""COMPUTED_VALUE"""),"LT002")</f>
        <v>LT002</v>
      </c>
    </row>
    <row r="813" spans="1:2" ht="12.5" x14ac:dyDescent="0.25">
      <c r="A813" t="str">
        <f ca="1">IFERROR(__xludf.DUMMYFUNCTION("""COMPUTED_VALUE"""),"Kavala")</f>
        <v>Kavala</v>
      </c>
      <c r="B813" t="str">
        <f ca="1">IFERROR(__xludf.DUMMYFUNCTION("""COMPUTED_VALUE"""),"GR115")</f>
        <v>GR115</v>
      </c>
    </row>
    <row r="814" spans="1:2" ht="12.5" x14ac:dyDescent="0.25">
      <c r="A814" t="str">
        <f ca="1">IFERROR(__xludf.DUMMYFUNCTION("""COMPUTED_VALUE"""),"Kefallinia")</f>
        <v>Kefallinia</v>
      </c>
      <c r="B814" t="str">
        <f ca="1">IFERROR(__xludf.DUMMYFUNCTION("""COMPUTED_VALUE"""),"GR223")</f>
        <v>GR223</v>
      </c>
    </row>
    <row r="815" spans="1:2" ht="12.5" x14ac:dyDescent="0.25">
      <c r="A815" t="str">
        <f ca="1">IFERROR(__xludf.DUMMYFUNCTION("""COMPUTED_VALUE"""),"Kelheim")</f>
        <v>Kelheim</v>
      </c>
      <c r="B815" t="str">
        <f ca="1">IFERROR(__xludf.DUMMYFUNCTION("""COMPUTED_VALUE"""),"DE226")</f>
        <v>DE226</v>
      </c>
    </row>
    <row r="816" spans="1:2" ht="12.5" x14ac:dyDescent="0.25">
      <c r="A816" t="str">
        <f ca="1">IFERROR(__xludf.DUMMYFUNCTION("""COMPUTED_VALUE"""),"Kempten (Allgäu), Kreisfreie Stadt")</f>
        <v>Kempten (Allgäu), Kreisfreie Stadt</v>
      </c>
      <c r="B816" t="str">
        <f ca="1">IFERROR(__xludf.DUMMYFUNCTION("""COMPUTED_VALUE"""),"DE273")</f>
        <v>DE273</v>
      </c>
    </row>
    <row r="817" spans="1:2" ht="12.5" x14ac:dyDescent="0.25">
      <c r="A817" t="str">
        <f ca="1">IFERROR(__xludf.DUMMYFUNCTION("""COMPUTED_VALUE"""),"Kent")</f>
        <v>Kent</v>
      </c>
      <c r="B817" t="str">
        <f ca="1">IFERROR(__xludf.DUMMYFUNCTION("""COMPUTED_VALUE"""),"UKJ4")</f>
        <v>UKJ4</v>
      </c>
    </row>
    <row r="818" spans="1:2" ht="12.5" x14ac:dyDescent="0.25">
      <c r="A818" t="str">
        <f ca="1">IFERROR(__xludf.DUMMYFUNCTION("""COMPUTED_VALUE"""),"Kent Cc")</f>
        <v>Kent Cc</v>
      </c>
      <c r="B818" t="str">
        <f ca="1">IFERROR(__xludf.DUMMYFUNCTION("""COMPUTED_VALUE"""),"UKJ42")</f>
        <v>UKJ42</v>
      </c>
    </row>
    <row r="819" spans="1:2" ht="12.5" x14ac:dyDescent="0.25">
      <c r="A819" t="str">
        <f ca="1">IFERROR(__xludf.DUMMYFUNCTION("""COMPUTED_VALUE"""),"Kentriki Ellada")</f>
        <v>Kentriki Ellada</v>
      </c>
      <c r="B819" t="str">
        <f ca="1">IFERROR(__xludf.DUMMYFUNCTION("""COMPUTED_VALUE"""),"GR2")</f>
        <v>GR2</v>
      </c>
    </row>
    <row r="820" spans="1:2" ht="12.5" x14ac:dyDescent="0.25">
      <c r="A820" t="str">
        <f ca="1">IFERROR(__xludf.DUMMYFUNCTION("""COMPUTED_VALUE"""),"Kentriki Makedonia")</f>
        <v>Kentriki Makedonia</v>
      </c>
      <c r="B820" t="str">
        <f ca="1">IFERROR(__xludf.DUMMYFUNCTION("""COMPUTED_VALUE"""),"GR12")</f>
        <v>GR12</v>
      </c>
    </row>
    <row r="821" spans="1:2" ht="12.5" x14ac:dyDescent="0.25">
      <c r="A821" t="str">
        <f ca="1">IFERROR(__xludf.DUMMYFUNCTION("""COMPUTED_VALUE"""),"Kerkyra")</f>
        <v>Kerkyra</v>
      </c>
      <c r="B821" t="str">
        <f ca="1">IFERROR(__xludf.DUMMYFUNCTION("""COMPUTED_VALUE"""),"GR222")</f>
        <v>GR222</v>
      </c>
    </row>
    <row r="822" spans="1:2" ht="12.5" x14ac:dyDescent="0.25">
      <c r="A822" t="str">
        <f ca="1">IFERROR(__xludf.DUMMYFUNCTION("""COMPUTED_VALUE"""),"Kesk-Eesti")</f>
        <v>Kesk-Eesti</v>
      </c>
      <c r="B822" t="str">
        <f ca="1">IFERROR(__xludf.DUMMYFUNCTION("""COMPUTED_VALUE"""),"EE006")</f>
        <v>EE006</v>
      </c>
    </row>
    <row r="823" spans="1:2" ht="12.5" x14ac:dyDescent="0.25">
      <c r="A823" t="str">
        <f ca="1">IFERROR(__xludf.DUMMYFUNCTION("""COMPUTED_VALUE"""),"Keski-Pohjanmaa")</f>
        <v>Keski-Pohjanmaa</v>
      </c>
      <c r="B823" t="str">
        <f ca="1">IFERROR(__xludf.DUMMYFUNCTION("""COMPUTED_VALUE"""),"FI1A1")</f>
        <v>FI1A1</v>
      </c>
    </row>
    <row r="824" spans="1:2" ht="12.5" x14ac:dyDescent="0.25">
      <c r="A824" t="str">
        <f ca="1">IFERROR(__xludf.DUMMYFUNCTION("""COMPUTED_VALUE"""),"Keski-Suomi")</f>
        <v>Keski-Suomi</v>
      </c>
      <c r="B824" t="str">
        <f ca="1">IFERROR(__xludf.DUMMYFUNCTION("""COMPUTED_VALUE"""),"FI193")</f>
        <v>FI193</v>
      </c>
    </row>
    <row r="825" spans="1:2" ht="12.5" x14ac:dyDescent="0.25">
      <c r="A825" t="str">
        <f ca="1">IFERROR(__xludf.DUMMYFUNCTION("""COMPUTED_VALUE"""),"Kiel, Kreisfreie Stadt")</f>
        <v>Kiel, Kreisfreie Stadt</v>
      </c>
      <c r="B825" t="str">
        <f ca="1">IFERROR(__xludf.DUMMYFUNCTION("""COMPUTED_VALUE"""),"DEF02")</f>
        <v>DEF02</v>
      </c>
    </row>
    <row r="826" spans="1:2" ht="12.5" x14ac:dyDescent="0.25">
      <c r="A826" t="str">
        <f ca="1">IFERROR(__xludf.DUMMYFUNCTION("""COMPUTED_VALUE"""),"Kielecki")</f>
        <v>Kielecki</v>
      </c>
      <c r="B826" t="str">
        <f ca="1">IFERROR(__xludf.DUMMYFUNCTION("""COMPUTED_VALUE"""),"PL331")</f>
        <v>PL331</v>
      </c>
    </row>
    <row r="827" spans="1:2" ht="12.5" x14ac:dyDescent="0.25">
      <c r="A827" t="str">
        <f ca="1">IFERROR(__xludf.DUMMYFUNCTION("""COMPUTED_VALUE"""),"Kilkis")</f>
        <v>Kilkis</v>
      </c>
      <c r="B827" t="str">
        <f ca="1">IFERROR(__xludf.DUMMYFUNCTION("""COMPUTED_VALUE"""),"GR123")</f>
        <v>GR123</v>
      </c>
    </row>
    <row r="828" spans="1:2" ht="12.5" x14ac:dyDescent="0.25">
      <c r="A828" t="str">
        <f ca="1">IFERROR(__xludf.DUMMYFUNCTION("""COMPUTED_VALUE"""),"Kingston Upon Hull, City Of")</f>
        <v>Kingston Upon Hull, City Of</v>
      </c>
      <c r="B828" t="str">
        <f ca="1">IFERROR(__xludf.DUMMYFUNCTION("""COMPUTED_VALUE"""),"UKE11")</f>
        <v>UKE11</v>
      </c>
    </row>
    <row r="829" spans="1:2" ht="12.5" x14ac:dyDescent="0.25">
      <c r="A829" t="str">
        <f ca="1">IFERROR(__xludf.DUMMYFUNCTION("""COMPUTED_VALUE"""),"Kirde-Eesti")</f>
        <v>Kirde-Eesti</v>
      </c>
      <c r="B829" t="str">
        <f ca="1">IFERROR(__xludf.DUMMYFUNCTION("""COMPUTED_VALUE"""),"EE007")</f>
        <v>EE007</v>
      </c>
    </row>
    <row r="830" spans="1:2" ht="12.5" x14ac:dyDescent="0.25">
      <c r="A830" t="str">
        <f ca="1">IFERROR(__xludf.DUMMYFUNCTION("""COMPUTED_VALUE"""),"Kitzingen")</f>
        <v>Kitzingen</v>
      </c>
      <c r="B830" t="str">
        <f ca="1">IFERROR(__xludf.DUMMYFUNCTION("""COMPUTED_VALUE"""),"DE268")</f>
        <v>DE268</v>
      </c>
    </row>
    <row r="831" spans="1:2" ht="12.5" x14ac:dyDescent="0.25">
      <c r="A831" t="str">
        <f ca="1">IFERROR(__xludf.DUMMYFUNCTION("""COMPUTED_VALUE"""),"Klagenfurt-Villach")</f>
        <v>Klagenfurt-Villach</v>
      </c>
      <c r="B831" t="str">
        <f ca="1">IFERROR(__xludf.DUMMYFUNCTION("""COMPUTED_VALUE"""),"AT211")</f>
        <v>AT211</v>
      </c>
    </row>
    <row r="832" spans="1:2" ht="12.5" x14ac:dyDescent="0.25">
      <c r="A832" t="str">
        <f ca="1">IFERROR(__xludf.DUMMYFUNCTION("""COMPUTED_VALUE"""),"Klaipedos Apskritis")</f>
        <v>Klaipedos Apskritis</v>
      </c>
      <c r="B832" t="str">
        <f ca="1">IFERROR(__xludf.DUMMYFUNCTION("""COMPUTED_VALUE"""),"LT003")</f>
        <v>LT003</v>
      </c>
    </row>
    <row r="833" spans="1:2" ht="12.5" x14ac:dyDescent="0.25">
      <c r="A833" t="str">
        <f ca="1">IFERROR(__xludf.DUMMYFUNCTION("""COMPUTED_VALUE"""),"Kleve")</f>
        <v>Kleve</v>
      </c>
      <c r="B833" t="str">
        <f ca="1">IFERROR(__xludf.DUMMYFUNCTION("""COMPUTED_VALUE"""),"DEA1B")</f>
        <v>DEA1B</v>
      </c>
    </row>
    <row r="834" spans="1:2" ht="12.5" x14ac:dyDescent="0.25">
      <c r="A834" t="str">
        <f ca="1">IFERROR(__xludf.DUMMYFUNCTION("""COMPUTED_VALUE"""),"Københavns Omegn")</f>
        <v>Københavns Omegn</v>
      </c>
      <c r="B834" t="str">
        <f ca="1">IFERROR(__xludf.DUMMYFUNCTION("""COMPUTED_VALUE"""),"DK012")</f>
        <v>DK012</v>
      </c>
    </row>
    <row r="835" spans="1:2" ht="12.5" x14ac:dyDescent="0.25">
      <c r="A835" t="str">
        <f ca="1">IFERROR(__xludf.DUMMYFUNCTION("""COMPUTED_VALUE"""),"Koblenz")</f>
        <v>Koblenz</v>
      </c>
      <c r="B835" t="str">
        <f ca="1">IFERROR(__xludf.DUMMYFUNCTION("""COMPUTED_VALUE"""),"DEB1")</f>
        <v>DEB1</v>
      </c>
    </row>
    <row r="836" spans="1:2" ht="12.5" x14ac:dyDescent="0.25">
      <c r="A836" t="str">
        <f ca="1">IFERROR(__xludf.DUMMYFUNCTION("""COMPUTED_VALUE"""),"Koblenz, Kreisfreie Stadt")</f>
        <v>Koblenz, Kreisfreie Stadt</v>
      </c>
      <c r="B836" t="str">
        <f ca="1">IFERROR(__xludf.DUMMYFUNCTION("""COMPUTED_VALUE"""),"DEB11")</f>
        <v>DEB11</v>
      </c>
    </row>
    <row r="837" spans="1:2" ht="12.5" x14ac:dyDescent="0.25">
      <c r="A837" t="str">
        <f ca="1">IFERROR(__xludf.DUMMYFUNCTION("""COMPUTED_VALUE"""),"Köln")</f>
        <v>Köln</v>
      </c>
      <c r="B837" t="str">
        <f ca="1">IFERROR(__xludf.DUMMYFUNCTION("""COMPUTED_VALUE"""),"DEA2")</f>
        <v>DEA2</v>
      </c>
    </row>
    <row r="838" spans="1:2" ht="12.5" x14ac:dyDescent="0.25">
      <c r="A838" t="str">
        <f ca="1">IFERROR(__xludf.DUMMYFUNCTION("""COMPUTED_VALUE"""),"Köln, Kreisfreie Stadt")</f>
        <v>Köln, Kreisfreie Stadt</v>
      </c>
      <c r="B838" t="str">
        <f ca="1">IFERROR(__xludf.DUMMYFUNCTION("""COMPUTED_VALUE"""),"DEA23")</f>
        <v>DEA23</v>
      </c>
    </row>
    <row r="839" spans="1:2" ht="12.5" x14ac:dyDescent="0.25">
      <c r="A839" t="str">
        <f ca="1">IFERROR(__xludf.DUMMYFUNCTION("""COMPUTED_VALUE"""),"Komarom-Esztergom")</f>
        <v>Komarom-Esztergom</v>
      </c>
      <c r="B839" t="str">
        <f ca="1">IFERROR(__xludf.DUMMYFUNCTION("""COMPUTED_VALUE"""),"HU212")</f>
        <v>HU212</v>
      </c>
    </row>
    <row r="840" spans="1:2" ht="12.5" x14ac:dyDescent="0.25">
      <c r="A840" t="str">
        <f ca="1">IFERROR(__xludf.DUMMYFUNCTION("""COMPUTED_VALUE"""),"Koninski")</f>
        <v>Koninski</v>
      </c>
      <c r="B840" t="str">
        <f ca="1">IFERROR(__xludf.DUMMYFUNCTION("""COMPUTED_VALUE"""),"PL414")</f>
        <v>PL414</v>
      </c>
    </row>
    <row r="841" spans="1:2" ht="12.5" x14ac:dyDescent="0.25">
      <c r="A841" t="str">
        <f ca="1">IFERROR(__xludf.DUMMYFUNCTION("""COMPUTED_VALUE"""),"Konstanz")</f>
        <v>Konstanz</v>
      </c>
      <c r="B841" t="str">
        <f ca="1">IFERROR(__xludf.DUMMYFUNCTION("""COMPUTED_VALUE"""),"DE138")</f>
        <v>DE138</v>
      </c>
    </row>
    <row r="842" spans="1:2" ht="12.5" x14ac:dyDescent="0.25">
      <c r="A842" t="str">
        <f ca="1">IFERROR(__xludf.DUMMYFUNCTION("""COMPUTED_VALUE"""),"Kop Van Noord-Holland")</f>
        <v>Kop Van Noord-Holland</v>
      </c>
      <c r="B842" t="str">
        <f ca="1">IFERROR(__xludf.DUMMYFUNCTION("""COMPUTED_VALUE"""),"NL321")</f>
        <v>NL321</v>
      </c>
    </row>
    <row r="843" spans="1:2" ht="12.5" x14ac:dyDescent="0.25">
      <c r="A843" t="str">
        <f ca="1">IFERROR(__xludf.DUMMYFUNCTION("""COMPUTED_VALUE"""),"Korinthia")</f>
        <v>Korinthia</v>
      </c>
      <c r="B843" t="str">
        <f ca="1">IFERROR(__xludf.DUMMYFUNCTION("""COMPUTED_VALUE"""),"GR253")</f>
        <v>GR253</v>
      </c>
    </row>
    <row r="844" spans="1:2" ht="12.5" x14ac:dyDescent="0.25">
      <c r="A844" t="str">
        <f ca="1">IFERROR(__xludf.DUMMYFUNCTION("""COMPUTED_VALUE"""),"Koroska")</f>
        <v>Koroska</v>
      </c>
      <c r="B844" t="str">
        <f ca="1">IFERROR(__xludf.DUMMYFUNCTION("""COMPUTED_VALUE"""),"SI013")</f>
        <v>SI013</v>
      </c>
    </row>
    <row r="845" spans="1:2" ht="12.5" x14ac:dyDescent="0.25">
      <c r="A845" t="str">
        <f ca="1">IFERROR(__xludf.DUMMYFUNCTION("""COMPUTED_VALUE"""),"Kosicky Kraj")</f>
        <v>Kosicky Kraj</v>
      </c>
      <c r="B845" t="str">
        <f ca="1">IFERROR(__xludf.DUMMYFUNCTION("""COMPUTED_VALUE"""),"SK042")</f>
        <v>SK042</v>
      </c>
    </row>
    <row r="846" spans="1:2" ht="12.5" x14ac:dyDescent="0.25">
      <c r="A846" t="str">
        <f ca="1">IFERROR(__xludf.DUMMYFUNCTION("""COMPUTED_VALUE"""),"Koszalinski")</f>
        <v>Koszalinski</v>
      </c>
      <c r="B846" t="str">
        <f ca="1">IFERROR(__xludf.DUMMYFUNCTION("""COMPUTED_VALUE"""),"PL422")</f>
        <v>PL422</v>
      </c>
    </row>
    <row r="847" spans="1:2" ht="12.5" x14ac:dyDescent="0.25">
      <c r="A847" t="str">
        <f ca="1">IFERROR(__xludf.DUMMYFUNCTION("""COMPUTED_VALUE"""),"Kozani")</f>
        <v>Kozani</v>
      </c>
      <c r="B847" t="str">
        <f ca="1">IFERROR(__xludf.DUMMYFUNCTION("""COMPUTED_VALUE"""),"GR133")</f>
        <v>GR133</v>
      </c>
    </row>
    <row r="848" spans="1:2" ht="12.5" x14ac:dyDescent="0.25">
      <c r="A848" t="str">
        <f ca="1">IFERROR(__xludf.DUMMYFUNCTION("""COMPUTED_VALUE"""),"Kozep-Dunantul")</f>
        <v>Kozep-Dunantul</v>
      </c>
      <c r="B848" t="str">
        <f ca="1">IFERROR(__xludf.DUMMYFUNCTION("""COMPUTED_VALUE"""),"HU21")</f>
        <v>HU21</v>
      </c>
    </row>
    <row r="849" spans="1:2" ht="12.5" x14ac:dyDescent="0.25">
      <c r="A849" t="str">
        <f ca="1">IFERROR(__xludf.DUMMYFUNCTION("""COMPUTED_VALUE"""),"Kozep-Magyarorszag")</f>
        <v>Kozep-Magyarorszag</v>
      </c>
      <c r="B849" t="str">
        <f ca="1">IFERROR(__xludf.DUMMYFUNCTION("""COMPUTED_VALUE"""),"HU1")</f>
        <v>HU1</v>
      </c>
    </row>
    <row r="850" spans="1:2" ht="12.5" x14ac:dyDescent="0.25">
      <c r="A850" t="str">
        <f ca="1">IFERROR(__xludf.DUMMYFUNCTION("""COMPUTED_VALUE"""),"Kozep-Magyarorszag (*)")</f>
        <v>Kozep-Magyarorszag (*)</v>
      </c>
      <c r="B850" t="str">
        <f ca="1">IFERROR(__xludf.DUMMYFUNCTION("""COMPUTED_VALUE"""),"HU10")</f>
        <v>HU10</v>
      </c>
    </row>
    <row r="851" spans="1:2" ht="12.5" x14ac:dyDescent="0.25">
      <c r="A851" t="str">
        <f ca="1">IFERROR(__xludf.DUMMYFUNCTION("""COMPUTED_VALUE"""),"Krakowski")</f>
        <v>Krakowski</v>
      </c>
      <c r="B851" t="str">
        <f ca="1">IFERROR(__xludf.DUMMYFUNCTION("""COMPUTED_VALUE"""),"PL214")</f>
        <v>PL214</v>
      </c>
    </row>
    <row r="852" spans="1:2" ht="12.5" x14ac:dyDescent="0.25">
      <c r="A852" t="str">
        <f ca="1">IFERROR(__xludf.DUMMYFUNCTION("""COMPUTED_VALUE"""),"Kralovehradecky Kraj")</f>
        <v>Kralovehradecky Kraj</v>
      </c>
      <c r="B852" t="str">
        <f ca="1">IFERROR(__xludf.DUMMYFUNCTION("""COMPUTED_VALUE"""),"CZ052")</f>
        <v>CZ052</v>
      </c>
    </row>
    <row r="853" spans="1:2" ht="12.5" x14ac:dyDescent="0.25">
      <c r="A853" t="str">
        <f ca="1">IFERROR(__xludf.DUMMYFUNCTION("""COMPUTED_VALUE"""),"Krefeld, Kreisfreie Stadt")</f>
        <v>Krefeld, Kreisfreie Stadt</v>
      </c>
      <c r="B853" t="str">
        <f ca="1">IFERROR(__xludf.DUMMYFUNCTION("""COMPUTED_VALUE"""),"DEA14")</f>
        <v>DEA14</v>
      </c>
    </row>
    <row r="854" spans="1:2" ht="12.5" x14ac:dyDescent="0.25">
      <c r="A854" t="str">
        <f ca="1">IFERROR(__xludf.DUMMYFUNCTION("""COMPUTED_VALUE"""),"Kriti")</f>
        <v>Kriti</v>
      </c>
      <c r="B854" t="str">
        <f ca="1">IFERROR(__xludf.DUMMYFUNCTION("""COMPUTED_VALUE"""),"GR43")</f>
        <v>GR43</v>
      </c>
    </row>
    <row r="855" spans="1:2" ht="12.5" x14ac:dyDescent="0.25">
      <c r="A855" t="str">
        <f ca="1">IFERROR(__xludf.DUMMYFUNCTION("""COMPUTED_VALUE"""),"Kronach")</f>
        <v>Kronach</v>
      </c>
      <c r="B855" t="str">
        <f ca="1">IFERROR(__xludf.DUMMYFUNCTION("""COMPUTED_VALUE"""),"DE24A")</f>
        <v>DE24A</v>
      </c>
    </row>
    <row r="856" spans="1:2" ht="12.5" x14ac:dyDescent="0.25">
      <c r="A856" t="str">
        <f ca="1">IFERROR(__xludf.DUMMYFUNCTION("""COMPUTED_VALUE"""),"Kronobergs Län")</f>
        <v>Kronobergs Län</v>
      </c>
      <c r="B856" t="str">
        <f ca="1">IFERROR(__xludf.DUMMYFUNCTION("""COMPUTED_VALUE"""),"SE212")</f>
        <v>SE212</v>
      </c>
    </row>
    <row r="857" spans="1:2" ht="12.5" x14ac:dyDescent="0.25">
      <c r="A857" t="str">
        <f ca="1">IFERROR(__xludf.DUMMYFUNCTION("""COMPUTED_VALUE"""),"Krosnienski")</f>
        <v>Krosnienski</v>
      </c>
      <c r="B857" t="str">
        <f ca="1">IFERROR(__xludf.DUMMYFUNCTION("""COMPUTED_VALUE"""),"PL323")</f>
        <v>PL323</v>
      </c>
    </row>
    <row r="858" spans="1:2" ht="12.5" x14ac:dyDescent="0.25">
      <c r="A858" t="str">
        <f ca="1">IFERROR(__xludf.DUMMYFUNCTION("""COMPUTED_VALUE"""),"Kujawsko-Pomorskie")</f>
        <v>Kujawsko-Pomorskie</v>
      </c>
      <c r="B858" t="str">
        <f ca="1">IFERROR(__xludf.DUMMYFUNCTION("""COMPUTED_VALUE"""),"PL61")</f>
        <v>PL61</v>
      </c>
    </row>
    <row r="859" spans="1:2" ht="12.5" x14ac:dyDescent="0.25">
      <c r="A859" t="str">
        <f ca="1">IFERROR(__xludf.DUMMYFUNCTION("""COMPUTED_VALUE"""),"Kulmbach")</f>
        <v>Kulmbach</v>
      </c>
      <c r="B859" t="str">
        <f ca="1">IFERROR(__xludf.DUMMYFUNCTION("""COMPUTED_VALUE"""),"DE24B")</f>
        <v>DE24B</v>
      </c>
    </row>
    <row r="860" spans="1:2" ht="12.5" x14ac:dyDescent="0.25">
      <c r="A860" t="str">
        <f ca="1">IFERROR(__xludf.DUMMYFUNCTION("""COMPUTED_VALUE"""),"Kurzeme")</f>
        <v>Kurzeme</v>
      </c>
      <c r="B860" t="str">
        <f ca="1">IFERROR(__xludf.DUMMYFUNCTION("""COMPUTED_VALUE"""),"LV003")</f>
        <v>LV003</v>
      </c>
    </row>
    <row r="861" spans="1:2" ht="12.5" x14ac:dyDescent="0.25">
      <c r="A861" t="str">
        <f ca="1">IFERROR(__xludf.DUMMYFUNCTION("""COMPUTED_VALUE"""),"Kusel")</f>
        <v>Kusel</v>
      </c>
      <c r="B861" t="str">
        <f ca="1">IFERROR(__xludf.DUMMYFUNCTION("""COMPUTED_VALUE"""),"DEB3G")</f>
        <v>DEB3G</v>
      </c>
    </row>
    <row r="862" spans="1:2" ht="12.5" x14ac:dyDescent="0.25">
      <c r="A862" t="str">
        <f ca="1">IFERROR(__xludf.DUMMYFUNCTION("""COMPUTED_VALUE"""),"Kyffhäuserkreis")</f>
        <v>Kyffhäuserkreis</v>
      </c>
      <c r="B862" t="str">
        <f ca="1">IFERROR(__xludf.DUMMYFUNCTION("""COMPUTED_VALUE"""),"DEG0A")</f>
        <v>DEG0A</v>
      </c>
    </row>
    <row r="863" spans="1:2" ht="12.5" x14ac:dyDescent="0.25">
      <c r="A863" t="str">
        <f ca="1">IFERROR(__xludf.DUMMYFUNCTION("""COMPUTED_VALUE"""),"Kyklades")</f>
        <v>Kyklades</v>
      </c>
      <c r="B863" t="str">
        <f ca="1">IFERROR(__xludf.DUMMYFUNCTION("""COMPUTED_VALUE"""),"GR422")</f>
        <v>GR422</v>
      </c>
    </row>
    <row r="864" spans="1:2" ht="12.5" x14ac:dyDescent="0.25">
      <c r="A864" t="str">
        <f ca="1">IFERROR(__xludf.DUMMYFUNCTION("""COMPUTED_VALUE"""),"Kymenlaakso")</f>
        <v>Kymenlaakso</v>
      </c>
      <c r="B864" t="str">
        <f ca="1">IFERROR(__xludf.DUMMYFUNCTION("""COMPUTED_VALUE"""),"FI186")</f>
        <v>FI186</v>
      </c>
    </row>
    <row r="865" spans="1:2" ht="12.5" x14ac:dyDescent="0.25">
      <c r="A865" t="str">
        <f ca="1">IFERROR(__xludf.DUMMYFUNCTION("""COMPUTED_VALUE"""),"Kypros / Kibris")</f>
        <v>Kypros / Kibris</v>
      </c>
      <c r="B865" t="str">
        <f ca="1">IFERROR(__xludf.DUMMYFUNCTION("""COMPUTED_VALUE"""),"CY")</f>
        <v>CY</v>
      </c>
    </row>
    <row r="866" spans="1:2" ht="12.5" x14ac:dyDescent="0.25">
      <c r="A866" t="str">
        <f ca="1">IFERROR(__xludf.DUMMYFUNCTION("""COMPUTED_VALUE"""),"Kypros / Kibris (*)")</f>
        <v>Kypros / Kibris (*)</v>
      </c>
      <c r="B866" t="str">
        <f ca="1">IFERROR(__xludf.DUMMYFUNCTION("""COMPUTED_VALUE"""),"CY0")</f>
        <v>CY0</v>
      </c>
    </row>
    <row r="867" spans="1:2" ht="12.5" x14ac:dyDescent="0.25">
      <c r="A867" t="str">
        <f ca="1">IFERROR(__xludf.DUMMYFUNCTION("""COMPUTED_VALUE"""),"Kypros / Kibris (**)")</f>
        <v>Kypros / Kibris (**)</v>
      </c>
      <c r="B867" t="str">
        <f ca="1">IFERROR(__xludf.DUMMYFUNCTION("""COMPUTED_VALUE"""),"CY00")</f>
        <v>CY00</v>
      </c>
    </row>
    <row r="868" spans="1:2" ht="12.5" x14ac:dyDescent="0.25">
      <c r="A868" t="str">
        <f ca="1">IFERROR(__xludf.DUMMYFUNCTION("""COMPUTED_VALUE"""),"Kypros / Kibris (***)")</f>
        <v>Kypros / Kibris (***)</v>
      </c>
      <c r="B868" t="str">
        <f ca="1">IFERROR(__xludf.DUMMYFUNCTION("""COMPUTED_VALUE"""),"CY000")</f>
        <v>CY000</v>
      </c>
    </row>
    <row r="869" spans="1:2" ht="12.5" x14ac:dyDescent="0.25">
      <c r="A869" t="str">
        <f ca="1">IFERROR(__xludf.DUMMYFUNCTION("""COMPUTED_VALUE"""),"Kyustendil")</f>
        <v>Kyustendil</v>
      </c>
      <c r="B869" t="str">
        <f ca="1">IFERROR(__xludf.DUMMYFUNCTION("""COMPUTED_VALUE"""),"BG415")</f>
        <v>BG415</v>
      </c>
    </row>
    <row r="870" spans="1:2" ht="12.5" x14ac:dyDescent="0.25">
      <c r="A870" t="str">
        <f ca="1">IFERROR(__xludf.DUMMYFUNCTION("""COMPUTED_VALUE"""),"L'Aquila")</f>
        <v>L'Aquila</v>
      </c>
      <c r="B870" t="str">
        <f ca="1">IFERROR(__xludf.DUMMYFUNCTION("""COMPUTED_VALUE"""),"ITF11")</f>
        <v>ITF11</v>
      </c>
    </row>
    <row r="871" spans="1:2" ht="12.5" x14ac:dyDescent="0.25">
      <c r="A871" t="str">
        <f ca="1">IFERROR(__xludf.DUMMYFUNCTION("""COMPUTED_VALUE"""),"La Gomera")</f>
        <v>La Gomera</v>
      </c>
      <c r="B871" t="str">
        <f ca="1">IFERROR(__xludf.DUMMYFUNCTION("""COMPUTED_VALUE"""),"ES706")</f>
        <v>ES706</v>
      </c>
    </row>
    <row r="872" spans="1:2" ht="12.5" x14ac:dyDescent="0.25">
      <c r="A872" t="str">
        <f ca="1">IFERROR(__xludf.DUMMYFUNCTION("""COMPUTED_VALUE"""),"La Palma")</f>
        <v>La Palma</v>
      </c>
      <c r="B872" t="str">
        <f ca="1">IFERROR(__xludf.DUMMYFUNCTION("""COMPUTED_VALUE"""),"ES707")</f>
        <v>ES707</v>
      </c>
    </row>
    <row r="873" spans="1:2" ht="12.5" x14ac:dyDescent="0.25">
      <c r="A873" t="str">
        <f ca="1">IFERROR(__xludf.DUMMYFUNCTION("""COMPUTED_VALUE"""),"La Rioja")</f>
        <v>La Rioja</v>
      </c>
      <c r="B873" t="str">
        <f ca="1">IFERROR(__xludf.DUMMYFUNCTION("""COMPUTED_VALUE"""),"ES23")</f>
        <v>ES23</v>
      </c>
    </row>
    <row r="874" spans="1:2" ht="12.5" x14ac:dyDescent="0.25">
      <c r="A874" t="str">
        <f ca="1">IFERROR(__xludf.DUMMYFUNCTION("""COMPUTED_VALUE"""),"La Rioja (*)")</f>
        <v>La Rioja (*)</v>
      </c>
      <c r="B874" t="str">
        <f ca="1">IFERROR(__xludf.DUMMYFUNCTION("""COMPUTED_VALUE"""),"ES230")</f>
        <v>ES230</v>
      </c>
    </row>
    <row r="875" spans="1:2" ht="12.5" x14ac:dyDescent="0.25">
      <c r="A875" t="str">
        <f ca="1">IFERROR(__xludf.DUMMYFUNCTION("""COMPUTED_VALUE"""),"La Spezia")</f>
        <v>La Spezia</v>
      </c>
      <c r="B875" t="str">
        <f ca="1">IFERROR(__xludf.DUMMYFUNCTION("""COMPUTED_VALUE"""),"ITC34")</f>
        <v>ITC34</v>
      </c>
    </row>
    <row r="876" spans="1:2" ht="12.5" x14ac:dyDescent="0.25">
      <c r="A876" t="str">
        <f ca="1">IFERROR(__xludf.DUMMYFUNCTION("""COMPUTED_VALUE"""),"Lääne-Eesti")</f>
        <v>Lääne-Eesti</v>
      </c>
      <c r="B876" t="str">
        <f ca="1">IFERROR(__xludf.DUMMYFUNCTION("""COMPUTED_VALUE"""),"EE004")</f>
        <v>EE004</v>
      </c>
    </row>
    <row r="877" spans="1:2" ht="12.5" x14ac:dyDescent="0.25">
      <c r="A877" t="str">
        <f ca="1">IFERROR(__xludf.DUMMYFUNCTION("""COMPUTED_VALUE"""),"Lahn-Dill-Kreis")</f>
        <v>Lahn-Dill-Kreis</v>
      </c>
      <c r="B877" t="str">
        <f ca="1">IFERROR(__xludf.DUMMYFUNCTION("""COMPUTED_VALUE"""),"DE722")</f>
        <v>DE722</v>
      </c>
    </row>
    <row r="878" spans="1:2" ht="12.5" x14ac:dyDescent="0.25">
      <c r="A878" t="str">
        <f ca="1">IFERROR(__xludf.DUMMYFUNCTION("""COMPUTED_VALUE"""),"Lakonia")</f>
        <v>Lakonia</v>
      </c>
      <c r="B878" t="str">
        <f ca="1">IFERROR(__xludf.DUMMYFUNCTION("""COMPUTED_VALUE"""),"GR254")</f>
        <v>GR254</v>
      </c>
    </row>
    <row r="879" spans="1:2" ht="12.5" x14ac:dyDescent="0.25">
      <c r="A879" t="str">
        <f ca="1">IFERROR(__xludf.DUMMYFUNCTION("""COMPUTED_VALUE"""),"Lancashire")</f>
        <v>Lancashire</v>
      </c>
      <c r="B879" t="str">
        <f ca="1">IFERROR(__xludf.DUMMYFUNCTION("""COMPUTED_VALUE"""),"UKD4")</f>
        <v>UKD4</v>
      </c>
    </row>
    <row r="880" spans="1:2" ht="12.5" x14ac:dyDescent="0.25">
      <c r="A880" t="str">
        <f ca="1">IFERROR(__xludf.DUMMYFUNCTION("""COMPUTED_VALUE"""),"Lancashire Cc")</f>
        <v>Lancashire Cc</v>
      </c>
      <c r="B880" t="str">
        <f ca="1">IFERROR(__xludf.DUMMYFUNCTION("""COMPUTED_VALUE"""),"UKD43")</f>
        <v>UKD43</v>
      </c>
    </row>
    <row r="881" spans="1:2" ht="12.5" x14ac:dyDescent="0.25">
      <c r="A881" t="str">
        <f ca="1">IFERROR(__xludf.DUMMYFUNCTION("""COMPUTED_VALUE"""),"Landau In Der Pfalz, Kreisfreie Stadt")</f>
        <v>Landau In Der Pfalz, Kreisfreie Stadt</v>
      </c>
      <c r="B881" t="str">
        <f ca="1">IFERROR(__xludf.DUMMYFUNCTION("""COMPUTED_VALUE"""),"DEB33")</f>
        <v>DEB33</v>
      </c>
    </row>
    <row r="882" spans="1:2" ht="12.5" x14ac:dyDescent="0.25">
      <c r="A882" t="str">
        <f ca="1">IFERROR(__xludf.DUMMYFUNCTION("""COMPUTED_VALUE"""),"Landes")</f>
        <v>Landes</v>
      </c>
      <c r="B882" t="str">
        <f ca="1">IFERROR(__xludf.DUMMYFUNCTION("""COMPUTED_VALUE"""),"FR613")</f>
        <v>FR613</v>
      </c>
    </row>
    <row r="883" spans="1:2" ht="12.5" x14ac:dyDescent="0.25">
      <c r="A883" t="str">
        <f ca="1">IFERROR(__xludf.DUMMYFUNCTION("""COMPUTED_VALUE"""),"Landsberg A. Lech")</f>
        <v>Landsberg A. Lech</v>
      </c>
      <c r="B883" t="str">
        <f ca="1">IFERROR(__xludf.DUMMYFUNCTION("""COMPUTED_VALUE"""),"DE21E")</f>
        <v>DE21E</v>
      </c>
    </row>
    <row r="884" spans="1:2" ht="12.5" x14ac:dyDescent="0.25">
      <c r="A884" t="str">
        <f ca="1">IFERROR(__xludf.DUMMYFUNCTION("""COMPUTED_VALUE"""),"Landsbyggð")</f>
        <v>Landsbyggð</v>
      </c>
      <c r="B884" t="str">
        <f ca="1">IFERROR(__xludf.DUMMYFUNCTION("""COMPUTED_VALUE"""),"IS002")</f>
        <v>IS002</v>
      </c>
    </row>
    <row r="885" spans="1:2" ht="12.5" x14ac:dyDescent="0.25">
      <c r="A885" t="str">
        <f ca="1">IFERROR(__xludf.DUMMYFUNCTION("""COMPUTED_VALUE"""),"Landshut, Kreisfreie Stadt")</f>
        <v>Landshut, Kreisfreie Stadt</v>
      </c>
      <c r="B885" t="str">
        <f ca="1">IFERROR(__xludf.DUMMYFUNCTION("""COMPUTED_VALUE"""),"DE221")</f>
        <v>DE221</v>
      </c>
    </row>
    <row r="886" spans="1:2" ht="12.5" x14ac:dyDescent="0.25">
      <c r="A886" t="str">
        <f ca="1">IFERROR(__xludf.DUMMYFUNCTION("""COMPUTED_VALUE"""),"Landshut, Landkreis")</f>
        <v>Landshut, Landkreis</v>
      </c>
      <c r="B886" t="str">
        <f ca="1">IFERROR(__xludf.DUMMYFUNCTION("""COMPUTED_VALUE"""),"DE227")</f>
        <v>DE227</v>
      </c>
    </row>
    <row r="887" spans="1:2" ht="12.5" x14ac:dyDescent="0.25">
      <c r="A887" t="str">
        <f ca="1">IFERROR(__xludf.DUMMYFUNCTION("""COMPUTED_VALUE"""),"Languedoc-Roussillon")</f>
        <v>Languedoc-Roussillon</v>
      </c>
      <c r="B887" t="str">
        <f ca="1">IFERROR(__xludf.DUMMYFUNCTION("""COMPUTED_VALUE"""),"FR81")</f>
        <v>FR81</v>
      </c>
    </row>
    <row r="888" spans="1:2" ht="12.5" x14ac:dyDescent="0.25">
      <c r="A888" t="str">
        <f ca="1">IFERROR(__xludf.DUMMYFUNCTION("""COMPUTED_VALUE"""),"Länsi-Suomi")</f>
        <v>Länsi-Suomi</v>
      </c>
      <c r="B888" t="str">
        <f ca="1">IFERROR(__xludf.DUMMYFUNCTION("""COMPUTED_VALUE"""),"FI19")</f>
        <v>FI19</v>
      </c>
    </row>
    <row r="889" spans="1:2" ht="12.5" x14ac:dyDescent="0.25">
      <c r="A889" t="str">
        <f ca="1">IFERROR(__xludf.DUMMYFUNCTION("""COMPUTED_VALUE"""),"Lanzarote")</f>
        <v>Lanzarote</v>
      </c>
      <c r="B889" t="str">
        <f ca="1">IFERROR(__xludf.DUMMYFUNCTION("""COMPUTED_VALUE"""),"ES708")</f>
        <v>ES708</v>
      </c>
    </row>
    <row r="890" spans="1:2" ht="12.5" x14ac:dyDescent="0.25">
      <c r="A890" t="str">
        <f ca="1">IFERROR(__xludf.DUMMYFUNCTION("""COMPUTED_VALUE"""),"Lappi")</f>
        <v>Lappi</v>
      </c>
      <c r="B890" t="str">
        <f ca="1">IFERROR(__xludf.DUMMYFUNCTION("""COMPUTED_VALUE"""),"FI1A3")</f>
        <v>FI1A3</v>
      </c>
    </row>
    <row r="891" spans="1:2" ht="12.5" x14ac:dyDescent="0.25">
      <c r="A891" t="str">
        <f ca="1">IFERROR(__xludf.DUMMYFUNCTION("""COMPUTED_VALUE"""),"Larisa")</f>
        <v>Larisa</v>
      </c>
      <c r="B891" t="str">
        <f ca="1">IFERROR(__xludf.DUMMYFUNCTION("""COMPUTED_VALUE"""),"GR142")</f>
        <v>GR142</v>
      </c>
    </row>
    <row r="892" spans="1:2" ht="12.5" x14ac:dyDescent="0.25">
      <c r="A892" t="str">
        <f ca="1">IFERROR(__xludf.DUMMYFUNCTION("""COMPUTED_VALUE"""),"Lasithi")</f>
        <v>Lasithi</v>
      </c>
      <c r="B892" t="str">
        <f ca="1">IFERROR(__xludf.DUMMYFUNCTION("""COMPUTED_VALUE"""),"GR432")</f>
        <v>GR432</v>
      </c>
    </row>
    <row r="893" spans="1:2" ht="12.5" x14ac:dyDescent="0.25">
      <c r="A893" t="str">
        <f ca="1">IFERROR(__xludf.DUMMYFUNCTION("""COMPUTED_VALUE"""),"Latgale")</f>
        <v>Latgale</v>
      </c>
      <c r="B893" t="str">
        <f ca="1">IFERROR(__xludf.DUMMYFUNCTION("""COMPUTED_VALUE"""),"LV005")</f>
        <v>LV005</v>
      </c>
    </row>
    <row r="894" spans="1:2" ht="12.5" x14ac:dyDescent="0.25">
      <c r="A894" t="str">
        <f ca="1">IFERROR(__xludf.DUMMYFUNCTION("""COMPUTED_VALUE"""),"Latina")</f>
        <v>Latina</v>
      </c>
      <c r="B894" t="str">
        <f ca="1">IFERROR(__xludf.DUMMYFUNCTION("""COMPUTED_VALUE"""),"ITE44")</f>
        <v>ITE44</v>
      </c>
    </row>
    <row r="895" spans="1:2" ht="12.5" x14ac:dyDescent="0.25">
      <c r="A895" t="str">
        <f ca="1">IFERROR(__xludf.DUMMYFUNCTION("""COMPUTED_VALUE"""),"Latvija")</f>
        <v>Latvija</v>
      </c>
      <c r="B895" t="str">
        <f ca="1">IFERROR(__xludf.DUMMYFUNCTION("""COMPUTED_VALUE"""),"LV")</f>
        <v>LV</v>
      </c>
    </row>
    <row r="896" spans="1:2" ht="12.5" x14ac:dyDescent="0.25">
      <c r="A896" t="str">
        <f ca="1">IFERROR(__xludf.DUMMYFUNCTION("""COMPUTED_VALUE"""),"Latvija (*)")</f>
        <v>Latvija (*)</v>
      </c>
      <c r="B896" t="str">
        <f ca="1">IFERROR(__xludf.DUMMYFUNCTION("""COMPUTED_VALUE"""),"LV0")</f>
        <v>LV0</v>
      </c>
    </row>
    <row r="897" spans="1:2" ht="12.5" x14ac:dyDescent="0.25">
      <c r="A897" t="str">
        <f ca="1">IFERROR(__xludf.DUMMYFUNCTION("""COMPUTED_VALUE"""),"Latvija (**)")</f>
        <v>Latvija (**)</v>
      </c>
      <c r="B897" t="str">
        <f ca="1">IFERROR(__xludf.DUMMYFUNCTION("""COMPUTED_VALUE"""),"LV00")</f>
        <v>LV00</v>
      </c>
    </row>
    <row r="898" spans="1:2" ht="12.5" x14ac:dyDescent="0.25">
      <c r="A898" t="str">
        <f ca="1">IFERROR(__xludf.DUMMYFUNCTION("""COMPUTED_VALUE"""),"Lazio")</f>
        <v>Lazio</v>
      </c>
      <c r="B898" t="str">
        <f ca="1">IFERROR(__xludf.DUMMYFUNCTION("""COMPUTED_VALUE"""),"ITE4")</f>
        <v>ITE4</v>
      </c>
    </row>
    <row r="899" spans="1:2" ht="12.5" x14ac:dyDescent="0.25">
      <c r="A899" t="str">
        <f ca="1">IFERROR(__xludf.DUMMYFUNCTION("""COMPUTED_VALUE"""),"Lecce")</f>
        <v>Lecce</v>
      </c>
      <c r="B899" t="str">
        <f ca="1">IFERROR(__xludf.DUMMYFUNCTION("""COMPUTED_VALUE"""),"ITF45")</f>
        <v>ITF45</v>
      </c>
    </row>
    <row r="900" spans="1:2" ht="12.5" x14ac:dyDescent="0.25">
      <c r="A900" t="str">
        <f ca="1">IFERROR(__xludf.DUMMYFUNCTION("""COMPUTED_VALUE"""),"Lecco")</f>
        <v>Lecco</v>
      </c>
      <c r="B900" t="str">
        <f ca="1">IFERROR(__xludf.DUMMYFUNCTION("""COMPUTED_VALUE"""),"ITC43")</f>
        <v>ITC43</v>
      </c>
    </row>
    <row r="901" spans="1:2" ht="12.5" x14ac:dyDescent="0.25">
      <c r="A901" t="str">
        <f ca="1">IFERROR(__xludf.DUMMYFUNCTION("""COMPUTED_VALUE"""),"Leeds")</f>
        <v>Leeds</v>
      </c>
      <c r="B901" t="str">
        <f ca="1">IFERROR(__xludf.DUMMYFUNCTION("""COMPUTED_VALUE"""),"UKE42")</f>
        <v>UKE42</v>
      </c>
    </row>
    <row r="902" spans="1:2" ht="12.5" x14ac:dyDescent="0.25">
      <c r="A902" t="str">
        <f ca="1">IFERROR(__xludf.DUMMYFUNCTION("""COMPUTED_VALUE"""),"Leer")</f>
        <v>Leer</v>
      </c>
      <c r="B902" t="str">
        <f ca="1">IFERROR(__xludf.DUMMYFUNCTION("""COMPUTED_VALUE"""),"DE94C")</f>
        <v>DE94C</v>
      </c>
    </row>
    <row r="903" spans="1:2" ht="12.5" x14ac:dyDescent="0.25">
      <c r="A903" t="str">
        <f ca="1">IFERROR(__xludf.DUMMYFUNCTION("""COMPUTED_VALUE"""),"Lefkada")</f>
        <v>Lefkada</v>
      </c>
      <c r="B903" t="str">
        <f ca="1">IFERROR(__xludf.DUMMYFUNCTION("""COMPUTED_VALUE"""),"GR224")</f>
        <v>GR224</v>
      </c>
    </row>
    <row r="904" spans="1:2" ht="12.5" x14ac:dyDescent="0.25">
      <c r="A904" t="str">
        <f ca="1">IFERROR(__xludf.DUMMYFUNCTION("""COMPUTED_VALUE"""),"Legnicko-Glogowski")</f>
        <v>Legnicko-Glogowski</v>
      </c>
      <c r="B904" t="str">
        <f ca="1">IFERROR(__xludf.DUMMYFUNCTION("""COMPUTED_VALUE"""),"PL516")</f>
        <v>PL516</v>
      </c>
    </row>
    <row r="905" spans="1:2" ht="12.5" x14ac:dyDescent="0.25">
      <c r="A905" t="str">
        <f ca="1">IFERROR(__xludf.DUMMYFUNCTION("""COMPUTED_VALUE"""),"Leicester")</f>
        <v>Leicester</v>
      </c>
      <c r="B905" t="str">
        <f ca="1">IFERROR(__xludf.DUMMYFUNCTION("""COMPUTED_VALUE"""),"UKF21")</f>
        <v>UKF21</v>
      </c>
    </row>
    <row r="906" spans="1:2" ht="12.5" x14ac:dyDescent="0.25">
      <c r="A906" t="str">
        <f ca="1">IFERROR(__xludf.DUMMYFUNCTION("""COMPUTED_VALUE"""),"Leicestershire Cc And Rutland")</f>
        <v>Leicestershire Cc And Rutland</v>
      </c>
      <c r="B906" t="str">
        <f ca="1">IFERROR(__xludf.DUMMYFUNCTION("""COMPUTED_VALUE"""),"UKF22")</f>
        <v>UKF22</v>
      </c>
    </row>
    <row r="907" spans="1:2" ht="12.5" x14ac:dyDescent="0.25">
      <c r="A907" t="str">
        <f ca="1">IFERROR(__xludf.DUMMYFUNCTION("""COMPUTED_VALUE"""),"Leicestershire, Rutland And Northamptonshire")</f>
        <v>Leicestershire, Rutland And Northamptonshire</v>
      </c>
      <c r="B907" t="str">
        <f ca="1">IFERROR(__xludf.DUMMYFUNCTION("""COMPUTED_VALUE"""),"UKF2")</f>
        <v>UKF2</v>
      </c>
    </row>
    <row r="908" spans="1:2" ht="12.5" x14ac:dyDescent="0.25">
      <c r="A908" t="str">
        <f ca="1">IFERROR(__xludf.DUMMYFUNCTION("""COMPUTED_VALUE"""),"Leipzig")</f>
        <v>Leipzig</v>
      </c>
      <c r="B908" t="str">
        <f ca="1">IFERROR(__xludf.DUMMYFUNCTION("""COMPUTED_VALUE"""),"DED3")</f>
        <v>DED3</v>
      </c>
    </row>
    <row r="909" spans="1:2" ht="12.5" x14ac:dyDescent="0.25">
      <c r="A909" t="str">
        <f ca="1">IFERROR(__xludf.DUMMYFUNCTION("""COMPUTED_VALUE"""),"Leipzig, Kreisfreie Stadt")</f>
        <v>Leipzig, Kreisfreie Stadt</v>
      </c>
      <c r="B909" t="str">
        <f ca="1">IFERROR(__xludf.DUMMYFUNCTION("""COMPUTED_VALUE"""),"DED31")</f>
        <v>DED31</v>
      </c>
    </row>
    <row r="910" spans="1:2" ht="12.5" x14ac:dyDescent="0.25">
      <c r="A910" t="str">
        <f ca="1">IFERROR(__xludf.DUMMYFUNCTION("""COMPUTED_VALUE"""),"Leipziger Land")</f>
        <v>Leipziger Land</v>
      </c>
      <c r="B910" t="str">
        <f ca="1">IFERROR(__xludf.DUMMYFUNCTION("""COMPUTED_VALUE"""),"DED34")</f>
        <v>DED34</v>
      </c>
    </row>
    <row r="911" spans="1:2" ht="12.5" x14ac:dyDescent="0.25">
      <c r="A911" t="str">
        <f ca="1">IFERROR(__xludf.DUMMYFUNCTION("""COMPUTED_VALUE"""),"León")</f>
        <v>León</v>
      </c>
      <c r="B911" t="str">
        <f ca="1">IFERROR(__xludf.DUMMYFUNCTION("""COMPUTED_VALUE"""),"ES413")</f>
        <v>ES413</v>
      </c>
    </row>
    <row r="912" spans="1:2" ht="12.5" x14ac:dyDescent="0.25">
      <c r="A912" t="str">
        <f ca="1">IFERROR(__xludf.DUMMYFUNCTION("""COMPUTED_VALUE"""),"Lesvos")</f>
        <v>Lesvos</v>
      </c>
      <c r="B912" t="str">
        <f ca="1">IFERROR(__xludf.DUMMYFUNCTION("""COMPUTED_VALUE"""),"GR411")</f>
        <v>GR411</v>
      </c>
    </row>
    <row r="913" spans="1:2" ht="12.5" x14ac:dyDescent="0.25">
      <c r="A913" t="str">
        <f ca="1">IFERROR(__xludf.DUMMYFUNCTION("""COMPUTED_VALUE"""),"Leszczynski")</f>
        <v>Leszczynski</v>
      </c>
      <c r="B913" t="str">
        <f ca="1">IFERROR(__xludf.DUMMYFUNCTION("""COMPUTED_VALUE"""),"PL417")</f>
        <v>PL417</v>
      </c>
    </row>
    <row r="914" spans="1:2" ht="12.5" x14ac:dyDescent="0.25">
      <c r="A914" t="str">
        <f ca="1">IFERROR(__xludf.DUMMYFUNCTION("""COMPUTED_VALUE"""),"Leverkusen, Kreisfreie Stadt")</f>
        <v>Leverkusen, Kreisfreie Stadt</v>
      </c>
      <c r="B914" t="str">
        <f ca="1">IFERROR(__xludf.DUMMYFUNCTION("""COMPUTED_VALUE"""),"DEA24")</f>
        <v>DEA24</v>
      </c>
    </row>
    <row r="915" spans="1:2" ht="12.5" x14ac:dyDescent="0.25">
      <c r="A915" t="str">
        <f ca="1">IFERROR(__xludf.DUMMYFUNCTION("""COMPUTED_VALUE"""),"Lezíria Do Tejo")</f>
        <v>Lezíria Do Tejo</v>
      </c>
      <c r="B915" t="str">
        <f ca="1">IFERROR(__xludf.DUMMYFUNCTION("""COMPUTED_VALUE"""),"PT185")</f>
        <v>PT185</v>
      </c>
    </row>
    <row r="916" spans="1:2" ht="12.5" x14ac:dyDescent="0.25">
      <c r="A916" t="str">
        <f ca="1">IFERROR(__xludf.DUMMYFUNCTION("""COMPUTED_VALUE"""),"Liberecky Kraj")</f>
        <v>Liberecky Kraj</v>
      </c>
      <c r="B916" t="str">
        <f ca="1">IFERROR(__xludf.DUMMYFUNCTION("""COMPUTED_VALUE"""),"CZ051")</f>
        <v>CZ051</v>
      </c>
    </row>
    <row r="917" spans="1:2" ht="12.5" x14ac:dyDescent="0.25">
      <c r="A917" t="str">
        <f ca="1">IFERROR(__xludf.DUMMYFUNCTION("""COMPUTED_VALUE"""),"Lichtenfels")</f>
        <v>Lichtenfels</v>
      </c>
      <c r="B917" t="str">
        <f ca="1">IFERROR(__xludf.DUMMYFUNCTION("""COMPUTED_VALUE"""),"DE24C")</f>
        <v>DE24C</v>
      </c>
    </row>
    <row r="918" spans="1:2" ht="12.5" x14ac:dyDescent="0.25">
      <c r="A918" t="str">
        <f ca="1">IFERROR(__xludf.DUMMYFUNCTION("""COMPUTED_VALUE"""),"Liechtenstein")</f>
        <v>Liechtenstein</v>
      </c>
      <c r="B918" t="str">
        <f ca="1">IFERROR(__xludf.DUMMYFUNCTION("""COMPUTED_VALUE"""),"LI")</f>
        <v>LI</v>
      </c>
    </row>
    <row r="919" spans="1:2" ht="12.5" x14ac:dyDescent="0.25">
      <c r="A919" t="str">
        <f ca="1">IFERROR(__xludf.DUMMYFUNCTION("""COMPUTED_VALUE"""),"Liechtenstein (*)")</f>
        <v>Liechtenstein (*)</v>
      </c>
      <c r="B919" t="str">
        <f ca="1">IFERROR(__xludf.DUMMYFUNCTION("""COMPUTED_VALUE"""),"LI0")</f>
        <v>LI0</v>
      </c>
    </row>
    <row r="920" spans="1:2" ht="12.5" x14ac:dyDescent="0.25">
      <c r="A920" t="str">
        <f ca="1">IFERROR(__xludf.DUMMYFUNCTION("""COMPUTED_VALUE"""),"Liechtenstein (**)")</f>
        <v>Liechtenstein (**)</v>
      </c>
      <c r="B920" t="str">
        <f ca="1">IFERROR(__xludf.DUMMYFUNCTION("""COMPUTED_VALUE"""),"LI00")</f>
        <v>LI00</v>
      </c>
    </row>
    <row r="921" spans="1:2" ht="12.5" x14ac:dyDescent="0.25">
      <c r="A921" t="str">
        <f ca="1">IFERROR(__xludf.DUMMYFUNCTION("""COMPUTED_VALUE"""),"Liechtenstein (***)")</f>
        <v>Liechtenstein (***)</v>
      </c>
      <c r="B921" t="str">
        <f ca="1">IFERROR(__xludf.DUMMYFUNCTION("""COMPUTED_VALUE"""),"LI000")</f>
        <v>LI000</v>
      </c>
    </row>
    <row r="922" spans="1:2" ht="12.5" x14ac:dyDescent="0.25">
      <c r="A922" t="str">
        <f ca="1">IFERROR(__xludf.DUMMYFUNCTION("""COMPUTED_VALUE"""),"Lietuva")</f>
        <v>Lietuva</v>
      </c>
      <c r="B922" t="str">
        <f ca="1">IFERROR(__xludf.DUMMYFUNCTION("""COMPUTED_VALUE"""),"LT")</f>
        <v>LT</v>
      </c>
    </row>
    <row r="923" spans="1:2" ht="12.5" x14ac:dyDescent="0.25">
      <c r="A923" t="str">
        <f ca="1">IFERROR(__xludf.DUMMYFUNCTION("""COMPUTED_VALUE"""),"Lietuva (*)")</f>
        <v>Lietuva (*)</v>
      </c>
      <c r="B923" t="str">
        <f ca="1">IFERROR(__xludf.DUMMYFUNCTION("""COMPUTED_VALUE"""),"LT0")</f>
        <v>LT0</v>
      </c>
    </row>
    <row r="924" spans="1:2" ht="12.5" x14ac:dyDescent="0.25">
      <c r="A924" t="str">
        <f ca="1">IFERROR(__xludf.DUMMYFUNCTION("""COMPUTED_VALUE"""),"Lietuva (**)")</f>
        <v>Lietuva (**)</v>
      </c>
      <c r="B924" t="str">
        <f ca="1">IFERROR(__xludf.DUMMYFUNCTION("""COMPUTED_VALUE"""),"LT00")</f>
        <v>LT00</v>
      </c>
    </row>
    <row r="925" spans="1:2" ht="12.5" x14ac:dyDescent="0.25">
      <c r="A925" t="str">
        <f ca="1">IFERROR(__xludf.DUMMYFUNCTION("""COMPUTED_VALUE"""),"Liezen")</f>
        <v>Liezen</v>
      </c>
      <c r="B925" t="str">
        <f ca="1">IFERROR(__xludf.DUMMYFUNCTION("""COMPUTED_VALUE"""),"AT222")</f>
        <v>AT222</v>
      </c>
    </row>
    <row r="926" spans="1:2" ht="12.5" x14ac:dyDescent="0.25">
      <c r="A926" t="str">
        <f ca="1">IFERROR(__xludf.DUMMYFUNCTION("""COMPUTED_VALUE"""),"Liguria")</f>
        <v>Liguria</v>
      </c>
      <c r="B926" t="str">
        <f ca="1">IFERROR(__xludf.DUMMYFUNCTION("""COMPUTED_VALUE"""),"ITC3")</f>
        <v>ITC3</v>
      </c>
    </row>
    <row r="927" spans="1:2" ht="12.5" x14ac:dyDescent="0.25">
      <c r="A927" t="str">
        <f ca="1">IFERROR(__xludf.DUMMYFUNCTION("""COMPUTED_VALUE"""),"Limburg (Nl)")</f>
        <v>Limburg (Nl)</v>
      </c>
      <c r="B927" t="str">
        <f ca="1">IFERROR(__xludf.DUMMYFUNCTION("""COMPUTED_VALUE"""),"NL42")</f>
        <v>NL42</v>
      </c>
    </row>
    <row r="928" spans="1:2" ht="12.5" x14ac:dyDescent="0.25">
      <c r="A928" t="str">
        <f ca="1">IFERROR(__xludf.DUMMYFUNCTION("""COMPUTED_VALUE"""),"Limburg-Weilburg")</f>
        <v>Limburg-Weilburg</v>
      </c>
      <c r="B928" t="str">
        <f ca="1">IFERROR(__xludf.DUMMYFUNCTION("""COMPUTED_VALUE"""),"DE723")</f>
        <v>DE723</v>
      </c>
    </row>
    <row r="929" spans="1:2" ht="12.5" x14ac:dyDescent="0.25">
      <c r="A929" t="str">
        <f ca="1">IFERROR(__xludf.DUMMYFUNCTION("""COMPUTED_VALUE"""),"Limousin")</f>
        <v>Limousin</v>
      </c>
      <c r="B929" t="str">
        <f ca="1">IFERROR(__xludf.DUMMYFUNCTION("""COMPUTED_VALUE"""),"FR63")</f>
        <v>FR63</v>
      </c>
    </row>
    <row r="930" spans="1:2" ht="12.5" x14ac:dyDescent="0.25">
      <c r="A930" t="str">
        <f ca="1">IFERROR(__xludf.DUMMYFUNCTION("""COMPUTED_VALUE"""),"Lincolnshire")</f>
        <v>Lincolnshire</v>
      </c>
      <c r="B930" t="str">
        <f ca="1">IFERROR(__xludf.DUMMYFUNCTION("""COMPUTED_VALUE"""),"UKF3")</f>
        <v>UKF3</v>
      </c>
    </row>
    <row r="931" spans="1:2" ht="12.5" x14ac:dyDescent="0.25">
      <c r="A931" t="str">
        <f ca="1">IFERROR(__xludf.DUMMYFUNCTION("""COMPUTED_VALUE"""),"Lincolnshire (*)")</f>
        <v>Lincolnshire (*)</v>
      </c>
      <c r="B931" t="str">
        <f ca="1">IFERROR(__xludf.DUMMYFUNCTION("""COMPUTED_VALUE"""),"UKF30")</f>
        <v>UKF30</v>
      </c>
    </row>
    <row r="932" spans="1:2" ht="12.5" x14ac:dyDescent="0.25">
      <c r="A932" t="str">
        <f ca="1">IFERROR(__xludf.DUMMYFUNCTION("""COMPUTED_VALUE"""),"Lindau (Bodensee)")</f>
        <v>Lindau (Bodensee)</v>
      </c>
      <c r="B932" t="str">
        <f ca="1">IFERROR(__xludf.DUMMYFUNCTION("""COMPUTED_VALUE"""),"DE27A")</f>
        <v>DE27A</v>
      </c>
    </row>
    <row r="933" spans="1:2" ht="12.5" x14ac:dyDescent="0.25">
      <c r="A933" t="str">
        <f ca="1">IFERROR(__xludf.DUMMYFUNCTION("""COMPUTED_VALUE"""),"Linz-Wels")</f>
        <v>Linz-Wels</v>
      </c>
      <c r="B933" t="str">
        <f ca="1">IFERROR(__xludf.DUMMYFUNCTION("""COMPUTED_VALUE"""),"AT312")</f>
        <v>AT312</v>
      </c>
    </row>
    <row r="934" spans="1:2" ht="12.5" x14ac:dyDescent="0.25">
      <c r="A934" t="str">
        <f ca="1">IFERROR(__xludf.DUMMYFUNCTION("""COMPUTED_VALUE"""),"Lippe")</f>
        <v>Lippe</v>
      </c>
      <c r="B934" t="str">
        <f ca="1">IFERROR(__xludf.DUMMYFUNCTION("""COMPUTED_VALUE"""),"DEA45")</f>
        <v>DEA45</v>
      </c>
    </row>
    <row r="935" spans="1:2" ht="12.5" x14ac:dyDescent="0.25">
      <c r="A935" t="str">
        <f ca="1">IFERROR(__xludf.DUMMYFUNCTION("""COMPUTED_VALUE"""),"Lisboa")</f>
        <v>Lisboa</v>
      </c>
      <c r="B935" t="str">
        <f ca="1">IFERROR(__xludf.DUMMYFUNCTION("""COMPUTED_VALUE"""),"PT17")</f>
        <v>PT17</v>
      </c>
    </row>
    <row r="936" spans="1:2" ht="12.5" x14ac:dyDescent="0.25">
      <c r="A936" t="str">
        <f ca="1">IFERROR(__xludf.DUMMYFUNCTION("""COMPUTED_VALUE"""),"Liverpool")</f>
        <v>Liverpool</v>
      </c>
      <c r="B936" t="str">
        <f ca="1">IFERROR(__xludf.DUMMYFUNCTION("""COMPUTED_VALUE"""),"UKD52")</f>
        <v>UKD52</v>
      </c>
    </row>
    <row r="937" spans="1:2" ht="12.5" x14ac:dyDescent="0.25">
      <c r="A937" t="str">
        <f ca="1">IFERROR(__xludf.DUMMYFUNCTION("""COMPUTED_VALUE"""),"Livorno")</f>
        <v>Livorno</v>
      </c>
      <c r="B937" t="str">
        <f ca="1">IFERROR(__xludf.DUMMYFUNCTION("""COMPUTED_VALUE"""),"ITE16")</f>
        <v>ITE16</v>
      </c>
    </row>
    <row r="938" spans="1:2" ht="12.5" x14ac:dyDescent="0.25">
      <c r="A938" t="str">
        <f ca="1">IFERROR(__xludf.DUMMYFUNCTION("""COMPUTED_VALUE"""),"Lleida")</f>
        <v>Lleida</v>
      </c>
      <c r="B938" t="str">
        <f ca="1">IFERROR(__xludf.DUMMYFUNCTION("""COMPUTED_VALUE"""),"ES513")</f>
        <v>ES513</v>
      </c>
    </row>
    <row r="939" spans="1:2" ht="12.5" x14ac:dyDescent="0.25">
      <c r="A939" t="str">
        <f ca="1">IFERROR(__xludf.DUMMYFUNCTION("""COMPUTED_VALUE"""),"Löbau-Zittau")</f>
        <v>Löbau-Zittau</v>
      </c>
      <c r="B939" t="str">
        <f ca="1">IFERROR(__xludf.DUMMYFUNCTION("""COMPUTED_VALUE"""),"DED28")</f>
        <v>DED28</v>
      </c>
    </row>
    <row r="940" spans="1:2" ht="12.5" x14ac:dyDescent="0.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x14ac:dyDescent="0.25">
      <c r="A941" t="str">
        <f ca="1">IFERROR(__xludf.DUMMYFUNCTION("""COMPUTED_VALUE"""),"Lodi")</f>
        <v>Lodi</v>
      </c>
      <c r="B941" t="str">
        <f ca="1">IFERROR(__xludf.DUMMYFUNCTION("""COMPUTED_VALUE"""),"ITC49")</f>
        <v>ITC49</v>
      </c>
    </row>
    <row r="942" spans="1:2" ht="12.5" x14ac:dyDescent="0.25">
      <c r="A942" t="str">
        <f ca="1">IFERROR(__xludf.DUMMYFUNCTION("""COMPUTED_VALUE"""),"Lodzki")</f>
        <v>Lodzki</v>
      </c>
      <c r="B942" t="str">
        <f ca="1">IFERROR(__xludf.DUMMYFUNCTION("""COMPUTED_VALUE"""),"PL114")</f>
        <v>PL114</v>
      </c>
    </row>
    <row r="943" spans="1:2" ht="12.5" x14ac:dyDescent="0.25">
      <c r="A943" t="str">
        <f ca="1">IFERROR(__xludf.DUMMYFUNCTION("""COMPUTED_VALUE"""),"Lodzkie")</f>
        <v>Lodzkie</v>
      </c>
      <c r="B943" t="str">
        <f ca="1">IFERROR(__xludf.DUMMYFUNCTION("""COMPUTED_VALUE"""),"PL11")</f>
        <v>PL11</v>
      </c>
    </row>
    <row r="944" spans="1:2" ht="12.5" x14ac:dyDescent="0.25">
      <c r="A944" t="str">
        <f ca="1">IFERROR(__xludf.DUMMYFUNCTION("""COMPUTED_VALUE"""),"Loir-Et-Cher")</f>
        <v>Loir-Et-Cher</v>
      </c>
      <c r="B944" t="str">
        <f ca="1">IFERROR(__xludf.DUMMYFUNCTION("""COMPUTED_VALUE"""),"FR245")</f>
        <v>FR245</v>
      </c>
    </row>
    <row r="945" spans="1:2" ht="12.5" x14ac:dyDescent="0.25">
      <c r="A945" t="str">
        <f ca="1">IFERROR(__xludf.DUMMYFUNCTION("""COMPUTED_VALUE"""),"Loire")</f>
        <v>Loire</v>
      </c>
      <c r="B945" t="str">
        <f ca="1">IFERROR(__xludf.DUMMYFUNCTION("""COMPUTED_VALUE"""),"FR715")</f>
        <v>FR715</v>
      </c>
    </row>
    <row r="946" spans="1:2" ht="12.5" x14ac:dyDescent="0.25">
      <c r="A946" t="str">
        <f ca="1">IFERROR(__xludf.DUMMYFUNCTION("""COMPUTED_VALUE"""),"Loire-Atlantique")</f>
        <v>Loire-Atlantique</v>
      </c>
      <c r="B946" t="str">
        <f ca="1">IFERROR(__xludf.DUMMYFUNCTION("""COMPUTED_VALUE"""),"FR511")</f>
        <v>FR511</v>
      </c>
    </row>
    <row r="947" spans="1:2" ht="12.5" x14ac:dyDescent="0.25">
      <c r="A947" t="str">
        <f ca="1">IFERROR(__xludf.DUMMYFUNCTION("""COMPUTED_VALUE"""),"Loiret")</f>
        <v>Loiret</v>
      </c>
      <c r="B947" t="str">
        <f ca="1">IFERROR(__xludf.DUMMYFUNCTION("""COMPUTED_VALUE"""),"FR246")</f>
        <v>FR246</v>
      </c>
    </row>
    <row r="948" spans="1:2" ht="12.5" x14ac:dyDescent="0.25">
      <c r="A948" t="str">
        <f ca="1">IFERROR(__xludf.DUMMYFUNCTION("""COMPUTED_VALUE"""),"Lombardia")</f>
        <v>Lombardia</v>
      </c>
      <c r="B948" t="str">
        <f ca="1">IFERROR(__xludf.DUMMYFUNCTION("""COMPUTED_VALUE"""),"ITC4")</f>
        <v>ITC4</v>
      </c>
    </row>
    <row r="949" spans="1:2" ht="12.5" x14ac:dyDescent="0.25">
      <c r="A949" t="str">
        <f ca="1">IFERROR(__xludf.DUMMYFUNCTION("""COMPUTED_VALUE"""),"Lomzynski")</f>
        <v>Lomzynski</v>
      </c>
      <c r="B949" t="str">
        <f ca="1">IFERROR(__xludf.DUMMYFUNCTION("""COMPUTED_VALUE"""),"PL344")</f>
        <v>PL344</v>
      </c>
    </row>
    <row r="950" spans="1:2" ht="12.5" x14ac:dyDescent="0.25">
      <c r="A950" t="str">
        <f ca="1">IFERROR(__xludf.DUMMYFUNCTION("""COMPUTED_VALUE"""),"London")</f>
        <v>London</v>
      </c>
      <c r="B950" t="str">
        <f ca="1">IFERROR(__xludf.DUMMYFUNCTION("""COMPUTED_VALUE"""),"UKI")</f>
        <v>UKI</v>
      </c>
    </row>
    <row r="951" spans="1:2" ht="12.5" x14ac:dyDescent="0.25">
      <c r="A951" t="str">
        <f ca="1">IFERROR(__xludf.DUMMYFUNCTION("""COMPUTED_VALUE"""),"Lörrach")</f>
        <v>Lörrach</v>
      </c>
      <c r="B951" t="str">
        <f ca="1">IFERROR(__xludf.DUMMYFUNCTION("""COMPUTED_VALUE"""),"DE139")</f>
        <v>DE139</v>
      </c>
    </row>
    <row r="952" spans="1:2" ht="12.5" x14ac:dyDescent="0.25">
      <c r="A952" t="str">
        <f ca="1">IFERROR(__xludf.DUMMYFUNCTION("""COMPUTED_VALUE"""),"Lorraine")</f>
        <v>Lorraine</v>
      </c>
      <c r="B952" t="str">
        <f ca="1">IFERROR(__xludf.DUMMYFUNCTION("""COMPUTED_VALUE"""),"FR41")</f>
        <v>FR41</v>
      </c>
    </row>
    <row r="953" spans="1:2" ht="12.5" x14ac:dyDescent="0.25">
      <c r="A953" t="str">
        <f ca="1">IFERROR(__xludf.DUMMYFUNCTION("""COMPUTED_VALUE"""),"Lot")</f>
        <v>Lot</v>
      </c>
      <c r="B953" t="str">
        <f ca="1">IFERROR(__xludf.DUMMYFUNCTION("""COMPUTED_VALUE"""),"FR625")</f>
        <v>FR625</v>
      </c>
    </row>
    <row r="954" spans="1:2" ht="12.5" x14ac:dyDescent="0.25">
      <c r="A954" t="str">
        <f ca="1">IFERROR(__xludf.DUMMYFUNCTION("""COMPUTED_VALUE"""),"Lot-Et-Garonne")</f>
        <v>Lot-Et-Garonne</v>
      </c>
      <c r="B954" t="str">
        <f ca="1">IFERROR(__xludf.DUMMYFUNCTION("""COMPUTED_VALUE"""),"FR614")</f>
        <v>FR614</v>
      </c>
    </row>
    <row r="955" spans="1:2" ht="12.5" x14ac:dyDescent="0.25">
      <c r="A955" t="str">
        <f ca="1">IFERROR(__xludf.DUMMYFUNCTION("""COMPUTED_VALUE"""),"Lõuna-Eesti")</f>
        <v>Lõuna-Eesti</v>
      </c>
      <c r="B955" t="str">
        <f ca="1">IFERROR(__xludf.DUMMYFUNCTION("""COMPUTED_VALUE"""),"EE008")</f>
        <v>EE008</v>
      </c>
    </row>
    <row r="956" spans="1:2" ht="12.5" x14ac:dyDescent="0.25">
      <c r="A956" t="str">
        <f ca="1">IFERROR(__xludf.DUMMYFUNCTION("""COMPUTED_VALUE"""),"Lovech")</f>
        <v>Lovech</v>
      </c>
      <c r="B956" t="str">
        <f ca="1">IFERROR(__xludf.DUMMYFUNCTION("""COMPUTED_VALUE"""),"BG315")</f>
        <v>BG315</v>
      </c>
    </row>
    <row r="957" spans="1:2" ht="12.5" x14ac:dyDescent="0.25">
      <c r="A957" t="str">
        <f ca="1">IFERROR(__xludf.DUMMYFUNCTION("""COMPUTED_VALUE"""),"Lozère")</f>
        <v>Lozère</v>
      </c>
      <c r="B957" t="str">
        <f ca="1">IFERROR(__xludf.DUMMYFUNCTION("""COMPUTED_VALUE"""),"FR814")</f>
        <v>FR814</v>
      </c>
    </row>
    <row r="958" spans="1:2" ht="12.5" x14ac:dyDescent="0.25">
      <c r="A958" t="str">
        <f ca="1">IFERROR(__xludf.DUMMYFUNCTION("""COMPUTED_VALUE"""),"Lübeck, Kreisfreie Stadt")</f>
        <v>Lübeck, Kreisfreie Stadt</v>
      </c>
      <c r="B958" t="str">
        <f ca="1">IFERROR(__xludf.DUMMYFUNCTION("""COMPUTED_VALUE"""),"DEF03")</f>
        <v>DEF03</v>
      </c>
    </row>
    <row r="959" spans="1:2" ht="12.5" x14ac:dyDescent="0.25">
      <c r="A959" t="str">
        <f ca="1">IFERROR(__xludf.DUMMYFUNCTION("""COMPUTED_VALUE"""),"Lubelski")</f>
        <v>Lubelski</v>
      </c>
      <c r="B959" t="str">
        <f ca="1">IFERROR(__xludf.DUMMYFUNCTION("""COMPUTED_VALUE"""),"PL314")</f>
        <v>PL314</v>
      </c>
    </row>
    <row r="960" spans="1:2" ht="12.5" x14ac:dyDescent="0.25">
      <c r="A960" t="str">
        <f ca="1">IFERROR(__xludf.DUMMYFUNCTION("""COMPUTED_VALUE"""),"Lubelskie")</f>
        <v>Lubelskie</v>
      </c>
      <c r="B960" t="str">
        <f ca="1">IFERROR(__xludf.DUMMYFUNCTION("""COMPUTED_VALUE"""),"PL31")</f>
        <v>PL31</v>
      </c>
    </row>
    <row r="961" spans="1:2" ht="12.5" x14ac:dyDescent="0.25">
      <c r="A961" t="str">
        <f ca="1">IFERROR(__xludf.DUMMYFUNCTION("""COMPUTED_VALUE"""),"Lubuskie")</f>
        <v>Lubuskie</v>
      </c>
      <c r="B961" t="str">
        <f ca="1">IFERROR(__xludf.DUMMYFUNCTION("""COMPUTED_VALUE"""),"PL43")</f>
        <v>PL43</v>
      </c>
    </row>
    <row r="962" spans="1:2" ht="12.5" x14ac:dyDescent="0.25">
      <c r="A962" t="str">
        <f ca="1">IFERROR(__xludf.DUMMYFUNCTION("""COMPUTED_VALUE"""),"Lucca")</f>
        <v>Lucca</v>
      </c>
      <c r="B962" t="str">
        <f ca="1">IFERROR(__xludf.DUMMYFUNCTION("""COMPUTED_VALUE"""),"ITE12")</f>
        <v>ITE12</v>
      </c>
    </row>
    <row r="963" spans="1:2" ht="12.5" x14ac:dyDescent="0.25">
      <c r="A963" t="str">
        <f ca="1">IFERROR(__xludf.DUMMYFUNCTION("""COMPUTED_VALUE"""),"Lüchow-Dannenberg")</f>
        <v>Lüchow-Dannenberg</v>
      </c>
      <c r="B963" t="str">
        <f ca="1">IFERROR(__xludf.DUMMYFUNCTION("""COMPUTED_VALUE"""),"DE934")</f>
        <v>DE934</v>
      </c>
    </row>
    <row r="964" spans="1:2" ht="12.5" x14ac:dyDescent="0.25">
      <c r="A964" t="str">
        <f ca="1">IFERROR(__xludf.DUMMYFUNCTION("""COMPUTED_VALUE"""),"Ludwigsburg")</f>
        <v>Ludwigsburg</v>
      </c>
      <c r="B964" t="str">
        <f ca="1">IFERROR(__xludf.DUMMYFUNCTION("""COMPUTED_VALUE"""),"DE115")</f>
        <v>DE115</v>
      </c>
    </row>
    <row r="965" spans="1:2" ht="12.5" x14ac:dyDescent="0.25">
      <c r="A965" t="str">
        <f ca="1">IFERROR(__xludf.DUMMYFUNCTION("""COMPUTED_VALUE"""),"Ludwigshafen Am Rhein, Kreisfreie Stadt")</f>
        <v>Ludwigshafen Am Rhein, Kreisfreie Stadt</v>
      </c>
      <c r="B965" t="str">
        <f ca="1">IFERROR(__xludf.DUMMYFUNCTION("""COMPUTED_VALUE"""),"DEB34")</f>
        <v>DEB34</v>
      </c>
    </row>
    <row r="966" spans="1:2" ht="12.5" x14ac:dyDescent="0.25">
      <c r="A966" t="str">
        <f ca="1">IFERROR(__xludf.DUMMYFUNCTION("""COMPUTED_VALUE"""),"Ludwigslust")</f>
        <v>Ludwigslust</v>
      </c>
      <c r="B966" t="str">
        <f ca="1">IFERROR(__xludf.DUMMYFUNCTION("""COMPUTED_VALUE"""),"DE80A")</f>
        <v>DE80A</v>
      </c>
    </row>
    <row r="967" spans="1:2" ht="12.5" x14ac:dyDescent="0.25">
      <c r="A967" t="str">
        <f ca="1">IFERROR(__xludf.DUMMYFUNCTION("""COMPUTED_VALUE"""),"Lugo")</f>
        <v>Lugo</v>
      </c>
      <c r="B967" t="str">
        <f ca="1">IFERROR(__xludf.DUMMYFUNCTION("""COMPUTED_VALUE"""),"ES112")</f>
        <v>ES112</v>
      </c>
    </row>
    <row r="968" spans="1:2" ht="12.5" x14ac:dyDescent="0.25">
      <c r="A968" t="str">
        <f ca="1">IFERROR(__xludf.DUMMYFUNCTION("""COMPUTED_VALUE"""),"Lüneburg")</f>
        <v>Lüneburg</v>
      </c>
      <c r="B968" t="str">
        <f ca="1">IFERROR(__xludf.DUMMYFUNCTION("""COMPUTED_VALUE"""),"DE93")</f>
        <v>DE93</v>
      </c>
    </row>
    <row r="969" spans="1:2" ht="12.5" x14ac:dyDescent="0.25">
      <c r="A969" t="str">
        <f ca="1">IFERROR(__xludf.DUMMYFUNCTION("""COMPUTED_VALUE"""),"Lüneburg, Landkreis")</f>
        <v>Lüneburg, Landkreis</v>
      </c>
      <c r="B969" t="str">
        <f ca="1">IFERROR(__xludf.DUMMYFUNCTION("""COMPUTED_VALUE"""),"DE935")</f>
        <v>DE935</v>
      </c>
    </row>
    <row r="970" spans="1:2" ht="12.5" x14ac:dyDescent="0.25">
      <c r="A970" t="str">
        <f ca="1">IFERROR(__xludf.DUMMYFUNCTION("""COMPUTED_VALUE"""),"Lungau")</f>
        <v>Lungau</v>
      </c>
      <c r="B970" t="str">
        <f ca="1">IFERROR(__xludf.DUMMYFUNCTION("""COMPUTED_VALUE"""),"AT321")</f>
        <v>AT321</v>
      </c>
    </row>
    <row r="971" spans="1:2" ht="12.5" x14ac:dyDescent="0.25">
      <c r="A971" t="str">
        <f ca="1">IFERROR(__xludf.DUMMYFUNCTION("""COMPUTED_VALUE"""),"Luton")</f>
        <v>Luton</v>
      </c>
      <c r="B971" t="str">
        <f ca="1">IFERROR(__xludf.DUMMYFUNCTION("""COMPUTED_VALUE"""),"UKH21")</f>
        <v>UKH21</v>
      </c>
    </row>
    <row r="972" spans="1:2" ht="12.5" x14ac:dyDescent="0.25">
      <c r="A972" t="str">
        <f ca="1">IFERROR(__xludf.DUMMYFUNCTION("""COMPUTED_VALUE"""),"Luxembourg (Grand-Duché)")</f>
        <v>Luxembourg (Grand-Duché)</v>
      </c>
      <c r="B972" t="str">
        <f ca="1">IFERROR(__xludf.DUMMYFUNCTION("""COMPUTED_VALUE"""),"LU")</f>
        <v>LU</v>
      </c>
    </row>
    <row r="973" spans="1:2" ht="12.5" x14ac:dyDescent="0.25">
      <c r="A973" t="str">
        <f ca="1">IFERROR(__xludf.DUMMYFUNCTION("""COMPUTED_VALUE"""),"Luxembourg (Grand-Duché) (*)")</f>
        <v>Luxembourg (Grand-Duché) (*)</v>
      </c>
      <c r="B973" t="str">
        <f ca="1">IFERROR(__xludf.DUMMYFUNCTION("""COMPUTED_VALUE"""),"LU0")</f>
        <v>LU0</v>
      </c>
    </row>
    <row r="974" spans="1:2" ht="12.5" x14ac:dyDescent="0.25">
      <c r="A974" t="str">
        <f ca="1">IFERROR(__xludf.DUMMYFUNCTION("""COMPUTED_VALUE"""),"Luxembourg (Grand-Duché) (**)")</f>
        <v>Luxembourg (Grand-Duché) (**)</v>
      </c>
      <c r="B974" t="str">
        <f ca="1">IFERROR(__xludf.DUMMYFUNCTION("""COMPUTED_VALUE"""),"LU00")</f>
        <v>LU00</v>
      </c>
    </row>
    <row r="975" spans="1:2" ht="12.5" x14ac:dyDescent="0.25">
      <c r="A975" t="str">
        <f ca="1">IFERROR(__xludf.DUMMYFUNCTION("""COMPUTED_VALUE"""),"Luxembourg (Grand-Duché) (***)")</f>
        <v>Luxembourg (Grand-Duché) (***)</v>
      </c>
      <c r="B975" t="str">
        <f ca="1">IFERROR(__xludf.DUMMYFUNCTION("""COMPUTED_VALUE"""),"LU000")</f>
        <v>LU000</v>
      </c>
    </row>
    <row r="976" spans="1:2" ht="12.5" x14ac:dyDescent="0.25">
      <c r="A976" t="str">
        <f ca="1">IFERROR(__xludf.DUMMYFUNCTION("""COMPUTED_VALUE"""),"Luzern")</f>
        <v>Luzern</v>
      </c>
      <c r="B976" t="str">
        <f ca="1">IFERROR(__xludf.DUMMYFUNCTION("""COMPUTED_VALUE"""),"CH061")</f>
        <v>CH061</v>
      </c>
    </row>
    <row r="977" spans="1:2" ht="12.5" x14ac:dyDescent="0.25">
      <c r="A977" t="str">
        <f ca="1">IFERROR(__xludf.DUMMYFUNCTION("""COMPUTED_VALUE"""),"Macerata")</f>
        <v>Macerata</v>
      </c>
      <c r="B977" t="str">
        <f ca="1">IFERROR(__xludf.DUMMYFUNCTION("""COMPUTED_VALUE"""),"ITE33")</f>
        <v>ITE33</v>
      </c>
    </row>
    <row r="978" spans="1:2" ht="12.5" x14ac:dyDescent="0.25">
      <c r="A978" t="str">
        <f ca="1">IFERROR(__xludf.DUMMYFUNCTION("""COMPUTED_VALUE"""),"Macroregiunea Doi")</f>
        <v>Macroregiunea Doi</v>
      </c>
      <c r="B978" t="str">
        <f ca="1">IFERROR(__xludf.DUMMYFUNCTION("""COMPUTED_VALUE"""),"RO2")</f>
        <v>RO2</v>
      </c>
    </row>
    <row r="979" spans="1:2" ht="12.5" x14ac:dyDescent="0.25">
      <c r="A979" t="str">
        <f ca="1">IFERROR(__xludf.DUMMYFUNCTION("""COMPUTED_VALUE"""),"Macroregiunea Patru")</f>
        <v>Macroregiunea Patru</v>
      </c>
      <c r="B979" t="str">
        <f ca="1">IFERROR(__xludf.DUMMYFUNCTION("""COMPUTED_VALUE"""),"RO4")</f>
        <v>RO4</v>
      </c>
    </row>
    <row r="980" spans="1:2" ht="12.5" x14ac:dyDescent="0.25">
      <c r="A980" t="str">
        <f ca="1">IFERROR(__xludf.DUMMYFUNCTION("""COMPUTED_VALUE"""),"Macroregiunea Trei")</f>
        <v>Macroregiunea Trei</v>
      </c>
      <c r="B980" t="str">
        <f ca="1">IFERROR(__xludf.DUMMYFUNCTION("""COMPUTED_VALUE"""),"RO3")</f>
        <v>RO3</v>
      </c>
    </row>
    <row r="981" spans="1:2" ht="12.5" x14ac:dyDescent="0.25">
      <c r="A981" t="str">
        <f ca="1">IFERROR(__xludf.DUMMYFUNCTION("""COMPUTED_VALUE"""),"Macroregiunea Unu")</f>
        <v>Macroregiunea Unu</v>
      </c>
      <c r="B981" t="str">
        <f ca="1">IFERROR(__xludf.DUMMYFUNCTION("""COMPUTED_VALUE"""),"RO1")</f>
        <v>RO1</v>
      </c>
    </row>
    <row r="982" spans="1:2" ht="12.5" x14ac:dyDescent="0.25">
      <c r="A982" t="str">
        <f ca="1">IFERROR(__xludf.DUMMYFUNCTION("""COMPUTED_VALUE"""),"Madrid")</f>
        <v>Madrid</v>
      </c>
      <c r="B982" t="str">
        <f ca="1">IFERROR(__xludf.DUMMYFUNCTION("""COMPUTED_VALUE"""),"ES300")</f>
        <v>ES300</v>
      </c>
    </row>
    <row r="983" spans="1:2" ht="12.5" x14ac:dyDescent="0.25">
      <c r="A983" t="str">
        <f ca="1">IFERROR(__xludf.DUMMYFUNCTION("""COMPUTED_VALUE"""),"Magdeburg, Kreisfreie Stadt")</f>
        <v>Magdeburg, Kreisfreie Stadt</v>
      </c>
      <c r="B983" t="str">
        <f ca="1">IFERROR(__xludf.DUMMYFUNCTION("""COMPUTED_VALUE"""),"DEE03")</f>
        <v>DEE03</v>
      </c>
    </row>
    <row r="984" spans="1:2" ht="12.5" x14ac:dyDescent="0.25">
      <c r="A984" t="str">
        <f ca="1">IFERROR(__xludf.DUMMYFUNCTION("""COMPUTED_VALUE"""),"Magnisia")</f>
        <v>Magnisia</v>
      </c>
      <c r="B984" t="str">
        <f ca="1">IFERROR(__xludf.DUMMYFUNCTION("""COMPUTED_VALUE"""),"GR143")</f>
        <v>GR143</v>
      </c>
    </row>
    <row r="985" spans="1:2" ht="12.5" x14ac:dyDescent="0.25">
      <c r="A985" t="str">
        <f ca="1">IFERROR(__xludf.DUMMYFUNCTION("""COMPUTED_VALUE"""),"Magyarorszag")</f>
        <v>Magyarorszag</v>
      </c>
      <c r="B985" t="str">
        <f ca="1">IFERROR(__xludf.DUMMYFUNCTION("""COMPUTED_VALUE"""),"HU")</f>
        <v>HU</v>
      </c>
    </row>
    <row r="986" spans="1:2" ht="12.5" x14ac:dyDescent="0.25">
      <c r="A986" t="str">
        <f ca="1">IFERROR(__xludf.DUMMYFUNCTION("""COMPUTED_VALUE"""),"Main-Kinzig-Kreis")</f>
        <v>Main-Kinzig-Kreis</v>
      </c>
      <c r="B986" t="str">
        <f ca="1">IFERROR(__xludf.DUMMYFUNCTION("""COMPUTED_VALUE"""),"DE719")</f>
        <v>DE719</v>
      </c>
    </row>
    <row r="987" spans="1:2" ht="12.5" x14ac:dyDescent="0.25">
      <c r="A987" t="str">
        <f ca="1">IFERROR(__xludf.DUMMYFUNCTION("""COMPUTED_VALUE"""),"Main-Spessart")</f>
        <v>Main-Spessart</v>
      </c>
      <c r="B987" t="str">
        <f ca="1">IFERROR(__xludf.DUMMYFUNCTION("""COMPUTED_VALUE"""),"DE26A")</f>
        <v>DE26A</v>
      </c>
    </row>
    <row r="988" spans="1:2" ht="12.5" x14ac:dyDescent="0.25">
      <c r="A988" t="str">
        <f ca="1">IFERROR(__xludf.DUMMYFUNCTION("""COMPUTED_VALUE"""),"Main-Tauber-Kreis")</f>
        <v>Main-Tauber-Kreis</v>
      </c>
      <c r="B988" t="str">
        <f ca="1">IFERROR(__xludf.DUMMYFUNCTION("""COMPUTED_VALUE"""),"DE11B")</f>
        <v>DE11B</v>
      </c>
    </row>
    <row r="989" spans="1:2" ht="12.5" x14ac:dyDescent="0.25">
      <c r="A989" t="str">
        <f ca="1">IFERROR(__xludf.DUMMYFUNCTION("""COMPUTED_VALUE"""),"Main-Taunus-Kreis")</f>
        <v>Main-Taunus-Kreis</v>
      </c>
      <c r="B989" t="str">
        <f ca="1">IFERROR(__xludf.DUMMYFUNCTION("""COMPUTED_VALUE"""),"DE71A")</f>
        <v>DE71A</v>
      </c>
    </row>
    <row r="990" spans="1:2" ht="12.5" x14ac:dyDescent="0.25">
      <c r="A990" t="str">
        <f ca="1">IFERROR(__xludf.DUMMYFUNCTION("""COMPUTED_VALUE"""),"Maine-Et-Loire")</f>
        <v>Maine-Et-Loire</v>
      </c>
      <c r="B990" t="str">
        <f ca="1">IFERROR(__xludf.DUMMYFUNCTION("""COMPUTED_VALUE"""),"FR512")</f>
        <v>FR512</v>
      </c>
    </row>
    <row r="991" spans="1:2" ht="12.5" x14ac:dyDescent="0.25">
      <c r="A991" t="str">
        <f ca="1">IFERROR(__xludf.DUMMYFUNCTION("""COMPUTED_VALUE"""),"Mainz-Bingen")</f>
        <v>Mainz-Bingen</v>
      </c>
      <c r="B991" t="str">
        <f ca="1">IFERROR(__xludf.DUMMYFUNCTION("""COMPUTED_VALUE"""),"DEB3J")</f>
        <v>DEB3J</v>
      </c>
    </row>
    <row r="992" spans="1:2" ht="12.5" x14ac:dyDescent="0.25">
      <c r="A992" t="str">
        <f ca="1">IFERROR(__xludf.DUMMYFUNCTION("""COMPUTED_VALUE"""),"Mainz, Kreisfreie Stadt")</f>
        <v>Mainz, Kreisfreie Stadt</v>
      </c>
      <c r="B992" t="str">
        <f ca="1">IFERROR(__xludf.DUMMYFUNCTION("""COMPUTED_VALUE"""),"DEB35")</f>
        <v>DEB35</v>
      </c>
    </row>
    <row r="993" spans="1:2" ht="12.5" x14ac:dyDescent="0.25">
      <c r="A993" t="str">
        <f ca="1">IFERROR(__xludf.DUMMYFUNCTION("""COMPUTED_VALUE"""),"Málaga")</f>
        <v>Málaga</v>
      </c>
      <c r="B993" t="str">
        <f ca="1">IFERROR(__xludf.DUMMYFUNCTION("""COMPUTED_VALUE"""),"ES617")</f>
        <v>ES617</v>
      </c>
    </row>
    <row r="994" spans="1:2" ht="12.5" x14ac:dyDescent="0.25">
      <c r="A994" t="str">
        <f ca="1">IFERROR(__xludf.DUMMYFUNCTION("""COMPUTED_VALUE"""),"Mallorca")</f>
        <v>Mallorca</v>
      </c>
      <c r="B994" t="str">
        <f ca="1">IFERROR(__xludf.DUMMYFUNCTION("""COMPUTED_VALUE"""),"ES532")</f>
        <v>ES532</v>
      </c>
    </row>
    <row r="995" spans="1:2" ht="12.5" x14ac:dyDescent="0.25">
      <c r="A995" t="str">
        <f ca="1">IFERROR(__xludf.DUMMYFUNCTION("""COMPUTED_VALUE"""),"Malopolskie")</f>
        <v>Malopolskie</v>
      </c>
      <c r="B995" t="str">
        <f ca="1">IFERROR(__xludf.DUMMYFUNCTION("""COMPUTED_VALUE"""),"PL21")</f>
        <v>PL21</v>
      </c>
    </row>
    <row r="996" spans="1:2" ht="12.5" x14ac:dyDescent="0.25">
      <c r="A996" t="str">
        <f ca="1">IFERROR(__xludf.DUMMYFUNCTION("""COMPUTED_VALUE"""),"Malta")</f>
        <v>Malta</v>
      </c>
      <c r="B996" t="str">
        <f ca="1">IFERROR(__xludf.DUMMYFUNCTION("""COMPUTED_VALUE"""),"MT")</f>
        <v>MT</v>
      </c>
    </row>
    <row r="997" spans="1:2" ht="12.5" x14ac:dyDescent="0.25">
      <c r="A997" t="str">
        <f ca="1">IFERROR(__xludf.DUMMYFUNCTION("""COMPUTED_VALUE"""),"Malta (*)")</f>
        <v>Malta (*)</v>
      </c>
      <c r="B997" t="str">
        <f ca="1">IFERROR(__xludf.DUMMYFUNCTION("""COMPUTED_VALUE"""),"MT0")</f>
        <v>MT0</v>
      </c>
    </row>
    <row r="998" spans="1:2" ht="12.5" x14ac:dyDescent="0.25">
      <c r="A998" t="str">
        <f ca="1">IFERROR(__xludf.DUMMYFUNCTION("""COMPUTED_VALUE"""),"Malta (**)")</f>
        <v>Malta (**)</v>
      </c>
      <c r="B998" t="str">
        <f ca="1">IFERROR(__xludf.DUMMYFUNCTION("""COMPUTED_VALUE"""),"MT00")</f>
        <v>MT00</v>
      </c>
    </row>
    <row r="999" spans="1:2" ht="12.5" x14ac:dyDescent="0.25">
      <c r="A999" t="str">
        <f ca="1">IFERROR(__xludf.DUMMYFUNCTION("""COMPUTED_VALUE"""),"Malta (***)")</f>
        <v>Malta (***)</v>
      </c>
      <c r="B999" t="str">
        <f ca="1">IFERROR(__xludf.DUMMYFUNCTION("""COMPUTED_VALUE"""),"MT001")</f>
        <v>MT001</v>
      </c>
    </row>
    <row r="1000" spans="1:2" ht="12.5" x14ac:dyDescent="0.25">
      <c r="A1000" t="str">
        <f ca="1">IFERROR(__xludf.DUMMYFUNCTION("""COMPUTED_VALUE"""),"Manche")</f>
        <v>Manche</v>
      </c>
      <c r="B1000" t="str">
        <f ca="1">IFERROR(__xludf.DUMMYFUNCTION("""COMPUTED_VALUE"""),"FR252")</f>
        <v>FR252</v>
      </c>
    </row>
    <row r="1001" spans="1:2" ht="12.5" x14ac:dyDescent="0.25">
      <c r="A1001" t="str">
        <f ca="1">IFERROR(__xludf.DUMMYFUNCTION("""COMPUTED_VALUE"""),"Manner-Suomi")</f>
        <v>Manner-Suomi</v>
      </c>
      <c r="B1001" t="str">
        <f ca="1">IFERROR(__xludf.DUMMYFUNCTION("""COMPUTED_VALUE"""),"FI1")</f>
        <v>FI1</v>
      </c>
    </row>
    <row r="1002" spans="1:2" ht="12.5" x14ac:dyDescent="0.25">
      <c r="A1002" t="str">
        <f ca="1">IFERROR(__xludf.DUMMYFUNCTION("""COMPUTED_VALUE"""),"Mannheim, Stadtkreis")</f>
        <v>Mannheim, Stadtkreis</v>
      </c>
      <c r="B1002" t="str">
        <f ca="1">IFERROR(__xludf.DUMMYFUNCTION("""COMPUTED_VALUE"""),"DE126")</f>
        <v>DE126</v>
      </c>
    </row>
    <row r="1003" spans="1:2" ht="12.5" x14ac:dyDescent="0.25">
      <c r="A1003" t="str">
        <f ca="1">IFERROR(__xludf.DUMMYFUNCTION("""COMPUTED_VALUE"""),"Mansfeld-Südharz")</f>
        <v>Mansfeld-Südharz</v>
      </c>
      <c r="B1003" t="str">
        <f ca="1">IFERROR(__xludf.DUMMYFUNCTION("""COMPUTED_VALUE"""),"DEE0A")</f>
        <v>DEE0A</v>
      </c>
    </row>
    <row r="1004" spans="1:2" ht="12.5" x14ac:dyDescent="0.25">
      <c r="A1004" t="str">
        <f ca="1">IFERROR(__xludf.DUMMYFUNCTION("""COMPUTED_VALUE"""),"Mantova")</f>
        <v>Mantova</v>
      </c>
      <c r="B1004" t="str">
        <f ca="1">IFERROR(__xludf.DUMMYFUNCTION("""COMPUTED_VALUE"""),"ITC4B")</f>
        <v>ITC4B</v>
      </c>
    </row>
    <row r="1005" spans="1:2" ht="12.5" x14ac:dyDescent="0.25">
      <c r="A1005" t="str">
        <f ca="1">IFERROR(__xludf.DUMMYFUNCTION("""COMPUTED_VALUE"""),"Maramures")</f>
        <v>Maramures</v>
      </c>
      <c r="B1005" t="str">
        <f ca="1">IFERROR(__xludf.DUMMYFUNCTION("""COMPUTED_VALUE"""),"RO114")</f>
        <v>RO114</v>
      </c>
    </row>
    <row r="1006" spans="1:2" ht="12.5" x14ac:dyDescent="0.25">
      <c r="A1006" t="str">
        <f ca="1">IFERROR(__xludf.DUMMYFUNCTION("""COMPUTED_VALUE"""),"Marburg-Biedenkopf")</f>
        <v>Marburg-Biedenkopf</v>
      </c>
      <c r="B1006" t="str">
        <f ca="1">IFERROR(__xludf.DUMMYFUNCTION("""COMPUTED_VALUE"""),"DE724")</f>
        <v>DE724</v>
      </c>
    </row>
    <row r="1007" spans="1:2" ht="12.5" x14ac:dyDescent="0.25">
      <c r="A1007" t="str">
        <f ca="1">IFERROR(__xludf.DUMMYFUNCTION("""COMPUTED_VALUE"""),"Marche")</f>
        <v>Marche</v>
      </c>
      <c r="B1007" t="str">
        <f ca="1">IFERROR(__xludf.DUMMYFUNCTION("""COMPUTED_VALUE"""),"ITE3")</f>
        <v>ITE3</v>
      </c>
    </row>
    <row r="1008" spans="1:2" ht="12.5" x14ac:dyDescent="0.25">
      <c r="A1008" t="str">
        <f ca="1">IFERROR(__xludf.DUMMYFUNCTION("""COMPUTED_VALUE"""),"Marijampoles Apskritis")</f>
        <v>Marijampoles Apskritis</v>
      </c>
      <c r="B1008" t="str">
        <f ca="1">IFERROR(__xludf.DUMMYFUNCTION("""COMPUTED_VALUE"""),"LT004")</f>
        <v>LT004</v>
      </c>
    </row>
    <row r="1009" spans="1:2" ht="12.5" x14ac:dyDescent="0.25">
      <c r="A1009" t="str">
        <f ca="1">IFERROR(__xludf.DUMMYFUNCTION("""COMPUTED_VALUE"""),"Märkisch-Oderland")</f>
        <v>Märkisch-Oderland</v>
      </c>
      <c r="B1009" t="str">
        <f ca="1">IFERROR(__xludf.DUMMYFUNCTION("""COMPUTED_VALUE"""),"DE413")</f>
        <v>DE413</v>
      </c>
    </row>
    <row r="1010" spans="1:2" ht="12.5" x14ac:dyDescent="0.25">
      <c r="A1010" t="str">
        <f ca="1">IFERROR(__xludf.DUMMYFUNCTION("""COMPUTED_VALUE"""),"Märkischer Kreis")</f>
        <v>Märkischer Kreis</v>
      </c>
      <c r="B1010" t="str">
        <f ca="1">IFERROR(__xludf.DUMMYFUNCTION("""COMPUTED_VALUE"""),"DEA58")</f>
        <v>DEA58</v>
      </c>
    </row>
    <row r="1011" spans="1:2" ht="12.5" x14ac:dyDescent="0.25">
      <c r="A1011" t="str">
        <f ca="1">IFERROR(__xludf.DUMMYFUNCTION("""COMPUTED_VALUE"""),"Marne")</f>
        <v>Marne</v>
      </c>
      <c r="B1011" t="str">
        <f ca="1">IFERROR(__xludf.DUMMYFUNCTION("""COMPUTED_VALUE"""),"FR213")</f>
        <v>FR213</v>
      </c>
    </row>
    <row r="1012" spans="1:2" ht="12.5" x14ac:dyDescent="0.25">
      <c r="A1012" t="str">
        <f ca="1">IFERROR(__xludf.DUMMYFUNCTION("""COMPUTED_VALUE"""),"Martinique")</f>
        <v>Martinique</v>
      </c>
      <c r="B1012" t="str">
        <f ca="1">IFERROR(__xludf.DUMMYFUNCTION("""COMPUTED_VALUE"""),"FR92")</f>
        <v>FR92</v>
      </c>
    </row>
    <row r="1013" spans="1:2" ht="12.5" x14ac:dyDescent="0.25">
      <c r="A1013" t="str">
        <f ca="1">IFERROR(__xludf.DUMMYFUNCTION("""COMPUTED_VALUE"""),"Martinique (*)")</f>
        <v>Martinique (*)</v>
      </c>
      <c r="B1013" t="str">
        <f ca="1">IFERROR(__xludf.DUMMYFUNCTION("""COMPUTED_VALUE"""),"FR920")</f>
        <v>FR920</v>
      </c>
    </row>
    <row r="1014" spans="1:2" ht="12.5" x14ac:dyDescent="0.25">
      <c r="A1014" t="str">
        <f ca="1">IFERROR(__xludf.DUMMYFUNCTION("""COMPUTED_VALUE"""),"Massa-Carrara")</f>
        <v>Massa-Carrara</v>
      </c>
      <c r="B1014" t="str">
        <f ca="1">IFERROR(__xludf.DUMMYFUNCTION("""COMPUTED_VALUE"""),"ITE11")</f>
        <v>ITE11</v>
      </c>
    </row>
    <row r="1015" spans="1:2" ht="12.5" x14ac:dyDescent="0.25">
      <c r="A1015" t="str">
        <f ca="1">IFERROR(__xludf.DUMMYFUNCTION("""COMPUTED_VALUE"""),"Matera")</f>
        <v>Matera</v>
      </c>
      <c r="B1015" t="str">
        <f ca="1">IFERROR(__xludf.DUMMYFUNCTION("""COMPUTED_VALUE"""),"ITF52")</f>
        <v>ITF52</v>
      </c>
    </row>
    <row r="1016" spans="1:2" ht="12.5" x14ac:dyDescent="0.25">
      <c r="A1016" t="str">
        <f ca="1">IFERROR(__xludf.DUMMYFUNCTION("""COMPUTED_VALUE"""),"Mayen-Koblenz")</f>
        <v>Mayen-Koblenz</v>
      </c>
      <c r="B1016" t="str">
        <f ca="1">IFERROR(__xludf.DUMMYFUNCTION("""COMPUTED_VALUE"""),"DEB17")</f>
        <v>DEB17</v>
      </c>
    </row>
    <row r="1017" spans="1:2" ht="12.5" x14ac:dyDescent="0.25">
      <c r="A1017" t="str">
        <f ca="1">IFERROR(__xludf.DUMMYFUNCTION("""COMPUTED_VALUE"""),"Mayenne")</f>
        <v>Mayenne</v>
      </c>
      <c r="B1017" t="str">
        <f ca="1">IFERROR(__xludf.DUMMYFUNCTION("""COMPUTED_VALUE"""),"FR513")</f>
        <v>FR513</v>
      </c>
    </row>
    <row r="1018" spans="1:2" ht="12.5" x14ac:dyDescent="0.25">
      <c r="A1018" t="str">
        <f ca="1">IFERROR(__xludf.DUMMYFUNCTION("""COMPUTED_VALUE"""),"Mazowieckie")</f>
        <v>Mazowieckie</v>
      </c>
      <c r="B1018" t="str">
        <f ca="1">IFERROR(__xludf.DUMMYFUNCTION("""COMPUTED_VALUE"""),"PL12")</f>
        <v>PL12</v>
      </c>
    </row>
    <row r="1019" spans="1:2" ht="12.5" x14ac:dyDescent="0.25">
      <c r="A1019" t="str">
        <f ca="1">IFERROR(__xludf.DUMMYFUNCTION("""COMPUTED_VALUE"""),"Mecklenburg-Strelitz")</f>
        <v>Mecklenburg-Strelitz</v>
      </c>
      <c r="B1019" t="str">
        <f ca="1">IFERROR(__xludf.DUMMYFUNCTION("""COMPUTED_VALUE"""),"DE80B")</f>
        <v>DE80B</v>
      </c>
    </row>
    <row r="1020" spans="1:2" ht="12.5" x14ac:dyDescent="0.25">
      <c r="A1020" t="str">
        <f ca="1">IFERROR(__xludf.DUMMYFUNCTION("""COMPUTED_VALUE"""),"Mecklenburg-Vorpommern")</f>
        <v>Mecklenburg-Vorpommern</v>
      </c>
      <c r="B1020" t="str">
        <f ca="1">IFERROR(__xludf.DUMMYFUNCTION("""COMPUTED_VALUE"""),"DE8")</f>
        <v>DE8</v>
      </c>
    </row>
    <row r="1021" spans="1:2" ht="12.5" x14ac:dyDescent="0.25">
      <c r="A1021" t="str">
        <f ca="1">IFERROR(__xludf.DUMMYFUNCTION("""COMPUTED_VALUE"""),"Mecklenburg-Vorpommern (*)")</f>
        <v>Mecklenburg-Vorpommern (*)</v>
      </c>
      <c r="B1021" t="str">
        <f ca="1">IFERROR(__xludf.DUMMYFUNCTION("""COMPUTED_VALUE"""),"DE80")</f>
        <v>DE80</v>
      </c>
    </row>
    <row r="1022" spans="1:2" ht="12.5" x14ac:dyDescent="0.25">
      <c r="A1022" t="str">
        <f ca="1">IFERROR(__xludf.DUMMYFUNCTION("""COMPUTED_VALUE"""),"Medio Campidano")</f>
        <v>Medio Campidano</v>
      </c>
      <c r="B1022" t="str">
        <f ca="1">IFERROR(__xludf.DUMMYFUNCTION("""COMPUTED_VALUE"""),"ITG2B")</f>
        <v>ITG2B</v>
      </c>
    </row>
    <row r="1023" spans="1:2" ht="12.5" x14ac:dyDescent="0.25">
      <c r="A1023" t="str">
        <f ca="1">IFERROR(__xludf.DUMMYFUNCTION("""COMPUTED_VALUE"""),"Médio Tejo")</f>
        <v>Médio Tejo</v>
      </c>
      <c r="B1023" t="str">
        <f ca="1">IFERROR(__xludf.DUMMYFUNCTION("""COMPUTED_VALUE"""),"PT16C")</f>
        <v>PT16C</v>
      </c>
    </row>
    <row r="1024" spans="1:2" ht="12.5" x14ac:dyDescent="0.25">
      <c r="A1024" t="str">
        <f ca="1">IFERROR(__xludf.DUMMYFUNCTION("""COMPUTED_VALUE"""),"Méditerranée")</f>
        <v>Méditerranée</v>
      </c>
      <c r="B1024" t="str">
        <f ca="1">IFERROR(__xludf.DUMMYFUNCTION("""COMPUTED_VALUE"""),"FR8")</f>
        <v>FR8</v>
      </c>
    </row>
    <row r="1025" spans="1:2" ht="12.5" x14ac:dyDescent="0.25">
      <c r="A1025" t="str">
        <f ca="1">IFERROR(__xludf.DUMMYFUNCTION("""COMPUTED_VALUE"""),"Medway")</f>
        <v>Medway</v>
      </c>
      <c r="B1025" t="str">
        <f ca="1">IFERROR(__xludf.DUMMYFUNCTION("""COMPUTED_VALUE"""),"UKJ41")</f>
        <v>UKJ41</v>
      </c>
    </row>
    <row r="1026" spans="1:2" ht="12.5" x14ac:dyDescent="0.25">
      <c r="A1026" t="str">
        <f ca="1">IFERROR(__xludf.DUMMYFUNCTION("""COMPUTED_VALUE"""),"Mehedinti")</f>
        <v>Mehedinti</v>
      </c>
      <c r="B1026" t="str">
        <f ca="1">IFERROR(__xludf.DUMMYFUNCTION("""COMPUTED_VALUE"""),"RO413")</f>
        <v>RO413</v>
      </c>
    </row>
    <row r="1027" spans="1:2" ht="12.5" x14ac:dyDescent="0.25">
      <c r="A1027" t="str">
        <f ca="1">IFERROR(__xludf.DUMMYFUNCTION("""COMPUTED_VALUE"""),"Meißen")</f>
        <v>Meißen</v>
      </c>
      <c r="B1027" t="str">
        <f ca="1">IFERROR(__xludf.DUMMYFUNCTION("""COMPUTED_VALUE"""),"DED25")</f>
        <v>DED25</v>
      </c>
    </row>
    <row r="1028" spans="1:2" ht="12.5" x14ac:dyDescent="0.25">
      <c r="A1028" t="str">
        <f ca="1">IFERROR(__xludf.DUMMYFUNCTION("""COMPUTED_VALUE"""),"Melilla")</f>
        <v>Melilla</v>
      </c>
      <c r="B1028" t="str">
        <f ca="1">IFERROR(__xludf.DUMMYFUNCTION("""COMPUTED_VALUE"""),"ES640")</f>
        <v>ES640</v>
      </c>
    </row>
    <row r="1029" spans="1:2" ht="12.5" x14ac:dyDescent="0.25">
      <c r="A1029" t="str">
        <f ca="1">IFERROR(__xludf.DUMMYFUNCTION("""COMPUTED_VALUE"""),"Mellersta Norrland")</f>
        <v>Mellersta Norrland</v>
      </c>
      <c r="B1029" t="str">
        <f ca="1">IFERROR(__xludf.DUMMYFUNCTION("""COMPUTED_VALUE"""),"SE32")</f>
        <v>SE32</v>
      </c>
    </row>
    <row r="1030" spans="1:2" ht="12.5" x14ac:dyDescent="0.25">
      <c r="A1030" t="str">
        <f ca="1">IFERROR(__xludf.DUMMYFUNCTION("""COMPUTED_VALUE"""),"Memmingen, Kreisfreie Stadt")</f>
        <v>Memmingen, Kreisfreie Stadt</v>
      </c>
      <c r="B1030" t="str">
        <f ca="1">IFERROR(__xludf.DUMMYFUNCTION("""COMPUTED_VALUE"""),"DE274")</f>
        <v>DE274</v>
      </c>
    </row>
    <row r="1031" spans="1:2" ht="12.5" x14ac:dyDescent="0.25">
      <c r="A1031" t="str">
        <f ca="1">IFERROR(__xludf.DUMMYFUNCTION("""COMPUTED_VALUE"""),"Menorca")</f>
        <v>Menorca</v>
      </c>
      <c r="B1031" t="str">
        <f ca="1">IFERROR(__xludf.DUMMYFUNCTION("""COMPUTED_VALUE"""),"ES533")</f>
        <v>ES533</v>
      </c>
    </row>
    <row r="1032" spans="1:2" ht="12.5" x14ac:dyDescent="0.25">
      <c r="A1032" t="str">
        <f ca="1">IFERROR(__xludf.DUMMYFUNCTION("""COMPUTED_VALUE"""),"Merseyside")</f>
        <v>Merseyside</v>
      </c>
      <c r="B1032" t="str">
        <f ca="1">IFERROR(__xludf.DUMMYFUNCTION("""COMPUTED_VALUE"""),"UKD5")</f>
        <v>UKD5</v>
      </c>
    </row>
    <row r="1033" spans="1:2" ht="12.5" x14ac:dyDescent="0.25">
      <c r="A1033" t="str">
        <f ca="1">IFERROR(__xludf.DUMMYFUNCTION("""COMPUTED_VALUE"""),"Merzig-Wadern")</f>
        <v>Merzig-Wadern</v>
      </c>
      <c r="B1033" t="str">
        <f ca="1">IFERROR(__xludf.DUMMYFUNCTION("""COMPUTED_VALUE"""),"DEC02")</f>
        <v>DEC02</v>
      </c>
    </row>
    <row r="1034" spans="1:2" ht="12.5" x14ac:dyDescent="0.25">
      <c r="A1034" t="str">
        <f ca="1">IFERROR(__xludf.DUMMYFUNCTION("""COMPUTED_VALUE"""),"Messina")</f>
        <v>Messina</v>
      </c>
      <c r="B1034" t="str">
        <f ca="1">IFERROR(__xludf.DUMMYFUNCTION("""COMPUTED_VALUE"""),"ITG13")</f>
        <v>ITG13</v>
      </c>
    </row>
    <row r="1035" spans="1:2" ht="12.5" x14ac:dyDescent="0.25">
      <c r="A1035" t="str">
        <f ca="1">IFERROR(__xludf.DUMMYFUNCTION("""COMPUTED_VALUE"""),"Messinia")</f>
        <v>Messinia</v>
      </c>
      <c r="B1035" t="str">
        <f ca="1">IFERROR(__xludf.DUMMYFUNCTION("""COMPUTED_VALUE"""),"GR255")</f>
        <v>GR255</v>
      </c>
    </row>
    <row r="1036" spans="1:2" ht="12.5" x14ac:dyDescent="0.25">
      <c r="A1036" t="str">
        <f ca="1">IFERROR(__xludf.DUMMYFUNCTION("""COMPUTED_VALUE"""),"Mettmann")</f>
        <v>Mettmann</v>
      </c>
      <c r="B1036" t="str">
        <f ca="1">IFERROR(__xludf.DUMMYFUNCTION("""COMPUTED_VALUE"""),"DEA1C")</f>
        <v>DEA1C</v>
      </c>
    </row>
    <row r="1037" spans="1:2" ht="12.5" x14ac:dyDescent="0.25">
      <c r="A1037" t="str">
        <f ca="1">IFERROR(__xludf.DUMMYFUNCTION("""COMPUTED_VALUE"""),"Meurthe-Et-Moselle")</f>
        <v>Meurthe-Et-Moselle</v>
      </c>
      <c r="B1037" t="str">
        <f ca="1">IFERROR(__xludf.DUMMYFUNCTION("""COMPUTED_VALUE"""),"FR411")</f>
        <v>FR411</v>
      </c>
    </row>
    <row r="1038" spans="1:2" ht="12.5" x14ac:dyDescent="0.25">
      <c r="A1038" t="str">
        <f ca="1">IFERROR(__xludf.DUMMYFUNCTION("""COMPUTED_VALUE"""),"Meuse")</f>
        <v>Meuse</v>
      </c>
      <c r="B1038" t="str">
        <f ca="1">IFERROR(__xludf.DUMMYFUNCTION("""COMPUTED_VALUE"""),"FR412")</f>
        <v>FR412</v>
      </c>
    </row>
    <row r="1039" spans="1:2" ht="12.5" x14ac:dyDescent="0.25">
      <c r="A1039" t="str">
        <f ca="1">IFERROR(__xludf.DUMMYFUNCTION("""COMPUTED_VALUE"""),"Miasto Krakow")</f>
        <v>Miasto Krakow</v>
      </c>
      <c r="B1039" t="str">
        <f ca="1">IFERROR(__xludf.DUMMYFUNCTION("""COMPUTED_VALUE"""),"PL213")</f>
        <v>PL213</v>
      </c>
    </row>
    <row r="1040" spans="1:2" ht="12.5" x14ac:dyDescent="0.25">
      <c r="A1040" t="str">
        <f ca="1">IFERROR(__xludf.DUMMYFUNCTION("""COMPUTED_VALUE"""),"Miasto Lodz")</f>
        <v>Miasto Lodz</v>
      </c>
      <c r="B1040" t="str">
        <f ca="1">IFERROR(__xludf.DUMMYFUNCTION("""COMPUTED_VALUE"""),"PL113")</f>
        <v>PL113</v>
      </c>
    </row>
    <row r="1041" spans="1:2" ht="12.5" x14ac:dyDescent="0.25">
      <c r="A1041" t="str">
        <f ca="1">IFERROR(__xludf.DUMMYFUNCTION("""COMPUTED_VALUE"""),"Miasto Poznan")</f>
        <v>Miasto Poznan</v>
      </c>
      <c r="B1041" t="str">
        <f ca="1">IFERROR(__xludf.DUMMYFUNCTION("""COMPUTED_VALUE"""),"PL415")</f>
        <v>PL415</v>
      </c>
    </row>
    <row r="1042" spans="1:2" ht="12.5" x14ac:dyDescent="0.25">
      <c r="A1042" t="str">
        <f ca="1">IFERROR(__xludf.DUMMYFUNCTION("""COMPUTED_VALUE"""),"Miasto Szczecin")</f>
        <v>Miasto Szczecin</v>
      </c>
      <c r="B1042" t="str">
        <f ca="1">IFERROR(__xludf.DUMMYFUNCTION("""COMPUTED_VALUE"""),"PL424")</f>
        <v>PL424</v>
      </c>
    </row>
    <row r="1043" spans="1:2" ht="12.5" x14ac:dyDescent="0.25">
      <c r="A1043" t="str">
        <f ca="1">IFERROR(__xludf.DUMMYFUNCTION("""COMPUTED_VALUE"""),"Miasto Warszawa")</f>
        <v>Miasto Warszawa</v>
      </c>
      <c r="B1043" t="str">
        <f ca="1">IFERROR(__xludf.DUMMYFUNCTION("""COMPUTED_VALUE"""),"PL127")</f>
        <v>PL127</v>
      </c>
    </row>
    <row r="1044" spans="1:2" ht="12.5" x14ac:dyDescent="0.25">
      <c r="A1044" t="str">
        <f ca="1">IFERROR(__xludf.DUMMYFUNCTION("""COMPUTED_VALUE"""),"Miasto Wroclaw")</f>
        <v>Miasto Wroclaw</v>
      </c>
      <c r="B1044" t="str">
        <f ca="1">IFERROR(__xludf.DUMMYFUNCTION("""COMPUTED_VALUE"""),"PL514")</f>
        <v>PL514</v>
      </c>
    </row>
    <row r="1045" spans="1:2" ht="12.5" x14ac:dyDescent="0.25">
      <c r="A1045" t="str">
        <f ca="1">IFERROR(__xludf.DUMMYFUNCTION("""COMPUTED_VALUE"""),"Mid-East")</f>
        <v>Mid-East</v>
      </c>
      <c r="B1045" t="str">
        <f ca="1">IFERROR(__xludf.DUMMYFUNCTION("""COMPUTED_VALUE"""),"IE022")</f>
        <v>IE022</v>
      </c>
    </row>
    <row r="1046" spans="1:2" ht="12.5" x14ac:dyDescent="0.25">
      <c r="A1046" t="str">
        <f ca="1">IFERROR(__xludf.DUMMYFUNCTION("""COMPUTED_VALUE"""),"Mid-West")</f>
        <v>Mid-West</v>
      </c>
      <c r="B1046" t="str">
        <f ca="1">IFERROR(__xludf.DUMMYFUNCTION("""COMPUTED_VALUE"""),"IE023")</f>
        <v>IE023</v>
      </c>
    </row>
    <row r="1047" spans="1:2" ht="12.5" x14ac:dyDescent="0.25">
      <c r="A1047" t="str">
        <f ca="1">IFERROR(__xludf.DUMMYFUNCTION("""COMPUTED_VALUE"""),"Midden-Limburg")</f>
        <v>Midden-Limburg</v>
      </c>
      <c r="B1047" t="str">
        <f ca="1">IFERROR(__xludf.DUMMYFUNCTION("""COMPUTED_VALUE"""),"NL422")</f>
        <v>NL422</v>
      </c>
    </row>
    <row r="1048" spans="1:2" ht="12.5" x14ac:dyDescent="0.25">
      <c r="A1048" t="str">
        <f ca="1">IFERROR(__xludf.DUMMYFUNCTION("""COMPUTED_VALUE"""),"Midden-Noord-Brabant")</f>
        <v>Midden-Noord-Brabant</v>
      </c>
      <c r="B1048" t="str">
        <f ca="1">IFERROR(__xludf.DUMMYFUNCTION("""COMPUTED_VALUE"""),"NL412")</f>
        <v>NL412</v>
      </c>
    </row>
    <row r="1049" spans="1:2" ht="12.5" x14ac:dyDescent="0.25">
      <c r="A1049" t="str">
        <f ca="1">IFERROR(__xludf.DUMMYFUNCTION("""COMPUTED_VALUE"""),"Midi-Pyrénées")</f>
        <v>Midi-Pyrénées</v>
      </c>
      <c r="B1049" t="str">
        <f ca="1">IFERROR(__xludf.DUMMYFUNCTION("""COMPUTED_VALUE"""),"FR62")</f>
        <v>FR62</v>
      </c>
    </row>
    <row r="1050" spans="1:2" ht="12.5" x14ac:dyDescent="0.25">
      <c r="A1050" t="str">
        <f ca="1">IFERROR(__xludf.DUMMYFUNCTION("""COMPUTED_VALUE"""),"Midland")</f>
        <v>Midland</v>
      </c>
      <c r="B1050" t="str">
        <f ca="1">IFERROR(__xludf.DUMMYFUNCTION("""COMPUTED_VALUE"""),"IE012")</f>
        <v>IE012</v>
      </c>
    </row>
    <row r="1051" spans="1:2" ht="12.5" x14ac:dyDescent="0.25">
      <c r="A1051" t="str">
        <f ca="1">IFERROR(__xludf.DUMMYFUNCTION("""COMPUTED_VALUE"""),"Midtjylland")</f>
        <v>Midtjylland</v>
      </c>
      <c r="B1051" t="str">
        <f ca="1">IFERROR(__xludf.DUMMYFUNCTION("""COMPUTED_VALUE"""),"DK04")</f>
        <v>DK04</v>
      </c>
    </row>
    <row r="1052" spans="1:2" ht="12.5" x14ac:dyDescent="0.25">
      <c r="A1052" t="str">
        <f ca="1">IFERROR(__xludf.DUMMYFUNCTION("""COMPUTED_VALUE"""),"Miesbach")</f>
        <v>Miesbach</v>
      </c>
      <c r="B1052" t="str">
        <f ca="1">IFERROR(__xludf.DUMMYFUNCTION("""COMPUTED_VALUE"""),"DE21F")</f>
        <v>DE21F</v>
      </c>
    </row>
    <row r="1053" spans="1:2" ht="12.5" x14ac:dyDescent="0.25">
      <c r="A1053" t="str">
        <f ca="1">IFERROR(__xludf.DUMMYFUNCTION("""COMPUTED_VALUE"""),"Milano")</f>
        <v>Milano</v>
      </c>
      <c r="B1053" t="str">
        <f ca="1">IFERROR(__xludf.DUMMYFUNCTION("""COMPUTED_VALUE"""),"ITC45")</f>
        <v>ITC45</v>
      </c>
    </row>
    <row r="1054" spans="1:2" ht="12.5" x14ac:dyDescent="0.25">
      <c r="A1054" t="str">
        <f ca="1">IFERROR(__xludf.DUMMYFUNCTION("""COMPUTED_VALUE"""),"Miltenberg")</f>
        <v>Miltenberg</v>
      </c>
      <c r="B1054" t="str">
        <f ca="1">IFERROR(__xludf.DUMMYFUNCTION("""COMPUTED_VALUE"""),"DE269")</f>
        <v>DE269</v>
      </c>
    </row>
    <row r="1055" spans="1:2" ht="12.5" x14ac:dyDescent="0.25">
      <c r="A1055" t="str">
        <f ca="1">IFERROR(__xludf.DUMMYFUNCTION("""COMPUTED_VALUE"""),"Milton Keynes")</f>
        <v>Milton Keynes</v>
      </c>
      <c r="B1055" t="str">
        <f ca="1">IFERROR(__xludf.DUMMYFUNCTION("""COMPUTED_VALUE"""),"UKJ12")</f>
        <v>UKJ12</v>
      </c>
    </row>
    <row r="1056" spans="1:2" ht="12.5" x14ac:dyDescent="0.25">
      <c r="A1056" t="str">
        <f ca="1">IFERROR(__xludf.DUMMYFUNCTION("""COMPUTED_VALUE"""),"Minden-Lübbecke")</f>
        <v>Minden-Lübbecke</v>
      </c>
      <c r="B1056" t="str">
        <f ca="1">IFERROR(__xludf.DUMMYFUNCTION("""COMPUTED_VALUE"""),"DEA46")</f>
        <v>DEA46</v>
      </c>
    </row>
    <row r="1057" spans="1:2" ht="12.5" x14ac:dyDescent="0.25">
      <c r="A1057" t="str">
        <f ca="1">IFERROR(__xludf.DUMMYFUNCTION("""COMPUTED_VALUE"""),"Minho-Lima")</f>
        <v>Minho-Lima</v>
      </c>
      <c r="B1057" t="str">
        <f ca="1">IFERROR(__xludf.DUMMYFUNCTION("""COMPUTED_VALUE"""),"PT111")</f>
        <v>PT111</v>
      </c>
    </row>
    <row r="1058" spans="1:2" ht="12.5" x14ac:dyDescent="0.25">
      <c r="A1058" t="str">
        <f ca="1">IFERROR(__xludf.DUMMYFUNCTION("""COMPUTED_VALUE"""),"Mittelburgenland")</f>
        <v>Mittelburgenland</v>
      </c>
      <c r="B1058" t="str">
        <f ca="1">IFERROR(__xludf.DUMMYFUNCTION("""COMPUTED_VALUE"""),"AT111")</f>
        <v>AT111</v>
      </c>
    </row>
    <row r="1059" spans="1:2" ht="12.5" x14ac:dyDescent="0.25">
      <c r="A1059" t="str">
        <f ca="1">IFERROR(__xludf.DUMMYFUNCTION("""COMPUTED_VALUE"""),"Mittelfranken")</f>
        <v>Mittelfranken</v>
      </c>
      <c r="B1059" t="str">
        <f ca="1">IFERROR(__xludf.DUMMYFUNCTION("""COMPUTED_VALUE"""),"DE25")</f>
        <v>DE25</v>
      </c>
    </row>
    <row r="1060" spans="1:2" ht="12.5" x14ac:dyDescent="0.25">
      <c r="A1060" t="str">
        <f ca="1">IFERROR(__xludf.DUMMYFUNCTION("""COMPUTED_VALUE"""),"Mittlerer Erzgebirgskreis")</f>
        <v>Mittlerer Erzgebirgskreis</v>
      </c>
      <c r="B1060" t="str">
        <f ca="1">IFERROR(__xludf.DUMMYFUNCTION("""COMPUTED_VALUE"""),"DED18")</f>
        <v>DED18</v>
      </c>
    </row>
    <row r="1061" spans="1:2" ht="12.5" x14ac:dyDescent="0.25">
      <c r="A1061" t="str">
        <f ca="1">IFERROR(__xludf.DUMMYFUNCTION("""COMPUTED_VALUE"""),"Mittweida")</f>
        <v>Mittweida</v>
      </c>
      <c r="B1061" t="str">
        <f ca="1">IFERROR(__xludf.DUMMYFUNCTION("""COMPUTED_VALUE"""),"DED19")</f>
        <v>DED19</v>
      </c>
    </row>
    <row r="1062" spans="1:2" ht="12.5" x14ac:dyDescent="0.25">
      <c r="A1062" t="str">
        <f ca="1">IFERROR(__xludf.DUMMYFUNCTION("""COMPUTED_VALUE"""),"Modena")</f>
        <v>Modena</v>
      </c>
      <c r="B1062" t="str">
        <f ca="1">IFERROR(__xludf.DUMMYFUNCTION("""COMPUTED_VALUE"""),"ITD54")</f>
        <v>ITD54</v>
      </c>
    </row>
    <row r="1063" spans="1:2" ht="12.5" x14ac:dyDescent="0.25">
      <c r="A1063" t="str">
        <f ca="1">IFERROR(__xludf.DUMMYFUNCTION("""COMPUTED_VALUE"""),"Molise")</f>
        <v>Molise</v>
      </c>
      <c r="B1063" t="str">
        <f ca="1">IFERROR(__xludf.DUMMYFUNCTION("""COMPUTED_VALUE"""),"ITF2")</f>
        <v>ITF2</v>
      </c>
    </row>
    <row r="1064" spans="1:2" ht="12.5" x14ac:dyDescent="0.25">
      <c r="A1064" t="str">
        <f ca="1">IFERROR(__xludf.DUMMYFUNCTION("""COMPUTED_VALUE"""),"Mönchengladbach, Kreisfreie Stadt")</f>
        <v>Mönchengladbach, Kreisfreie Stadt</v>
      </c>
      <c r="B1064" t="str">
        <f ca="1">IFERROR(__xludf.DUMMYFUNCTION("""COMPUTED_VALUE"""),"DEA15")</f>
        <v>DEA15</v>
      </c>
    </row>
    <row r="1065" spans="1:2" ht="12.5" x14ac:dyDescent="0.25">
      <c r="A1065" t="str">
        <f ca="1">IFERROR(__xludf.DUMMYFUNCTION("""COMPUTED_VALUE"""),"Monmouthshire And Newport")</f>
        <v>Monmouthshire And Newport</v>
      </c>
      <c r="B1065" t="str">
        <f ca="1">IFERROR(__xludf.DUMMYFUNCTION("""COMPUTED_VALUE"""),"UKL21")</f>
        <v>UKL21</v>
      </c>
    </row>
    <row r="1066" spans="1:2" ht="12.5" x14ac:dyDescent="0.25">
      <c r="A1066" t="str">
        <f ca="1">IFERROR(__xludf.DUMMYFUNCTION("""COMPUTED_VALUE"""),"Montana")</f>
        <v>Montana</v>
      </c>
      <c r="B1066" t="str">
        <f ca="1">IFERROR(__xludf.DUMMYFUNCTION("""COMPUTED_VALUE"""),"BG312")</f>
        <v>BG312</v>
      </c>
    </row>
    <row r="1067" spans="1:2" ht="12.5" x14ac:dyDescent="0.25">
      <c r="A1067" t="str">
        <f ca="1">IFERROR(__xludf.DUMMYFUNCTION("""COMPUTED_VALUE"""),"Moravskoslezsko")</f>
        <v>Moravskoslezsko</v>
      </c>
      <c r="B1067" t="str">
        <f ca="1">IFERROR(__xludf.DUMMYFUNCTION("""COMPUTED_VALUE"""),"CZ08")</f>
        <v>CZ08</v>
      </c>
    </row>
    <row r="1068" spans="1:2" ht="12.5" x14ac:dyDescent="0.25">
      <c r="A1068" t="str">
        <f ca="1">IFERROR(__xludf.DUMMYFUNCTION("""COMPUTED_VALUE"""),"Moravskoslezsky Kraj")</f>
        <v>Moravskoslezsky Kraj</v>
      </c>
      <c r="B1068" t="str">
        <f ca="1">IFERROR(__xludf.DUMMYFUNCTION("""COMPUTED_VALUE"""),"CZ080")</f>
        <v>CZ080</v>
      </c>
    </row>
    <row r="1069" spans="1:2" ht="12.5" x14ac:dyDescent="0.25">
      <c r="A1069" t="str">
        <f ca="1">IFERROR(__xludf.DUMMYFUNCTION("""COMPUTED_VALUE"""),"Morbihan")</f>
        <v>Morbihan</v>
      </c>
      <c r="B1069" t="str">
        <f ca="1">IFERROR(__xludf.DUMMYFUNCTION("""COMPUTED_VALUE"""),"FR524")</f>
        <v>FR524</v>
      </c>
    </row>
    <row r="1070" spans="1:2" ht="12.5" x14ac:dyDescent="0.25">
      <c r="A1070" t="str">
        <f ca="1">IFERROR(__xludf.DUMMYFUNCTION("""COMPUTED_VALUE"""),"Møre Og Romsdal")</f>
        <v>Møre Og Romsdal</v>
      </c>
      <c r="B1070" t="str">
        <f ca="1">IFERROR(__xludf.DUMMYFUNCTION("""COMPUTED_VALUE"""),"NO053")</f>
        <v>NO053</v>
      </c>
    </row>
    <row r="1071" spans="1:2" ht="12.5" x14ac:dyDescent="0.25">
      <c r="A1071" t="str">
        <f ca="1">IFERROR(__xludf.DUMMYFUNCTION("""COMPUTED_VALUE"""),"Moselle")</f>
        <v>Moselle</v>
      </c>
      <c r="B1071" t="str">
        <f ca="1">IFERROR(__xludf.DUMMYFUNCTION("""COMPUTED_VALUE"""),"FR413")</f>
        <v>FR413</v>
      </c>
    </row>
    <row r="1072" spans="1:2" ht="12.5" x14ac:dyDescent="0.25">
      <c r="A1072" t="str">
        <f ca="1">IFERROR(__xludf.DUMMYFUNCTION("""COMPUTED_VALUE"""),"Mostviertel-Eisenwurzen")</f>
        <v>Mostviertel-Eisenwurzen</v>
      </c>
      <c r="B1072" t="str">
        <f ca="1">IFERROR(__xludf.DUMMYFUNCTION("""COMPUTED_VALUE"""),"AT121")</f>
        <v>AT121</v>
      </c>
    </row>
    <row r="1073" spans="1:2" ht="12.5" x14ac:dyDescent="0.25">
      <c r="A1073" t="str">
        <f ca="1">IFERROR(__xludf.DUMMYFUNCTION("""COMPUTED_VALUE"""),"Mühldorf A. Inn")</f>
        <v>Mühldorf A. Inn</v>
      </c>
      <c r="B1073" t="str">
        <f ca="1">IFERROR(__xludf.DUMMYFUNCTION("""COMPUTED_VALUE"""),"DE21G")</f>
        <v>DE21G</v>
      </c>
    </row>
    <row r="1074" spans="1:2" ht="12.5" x14ac:dyDescent="0.25">
      <c r="A1074" t="str">
        <f ca="1">IFERROR(__xludf.DUMMYFUNCTION("""COMPUTED_VALUE"""),"Mühlviertel")</f>
        <v>Mühlviertel</v>
      </c>
      <c r="B1074" t="str">
        <f ca="1">IFERROR(__xludf.DUMMYFUNCTION("""COMPUTED_VALUE"""),"AT313")</f>
        <v>AT313</v>
      </c>
    </row>
    <row r="1075" spans="1:2" ht="12.5" x14ac:dyDescent="0.25">
      <c r="A1075" t="str">
        <f ca="1">IFERROR(__xludf.DUMMYFUNCTION("""COMPUTED_VALUE"""),"Muldentalkreis")</f>
        <v>Muldentalkreis</v>
      </c>
      <c r="B1075" t="str">
        <f ca="1">IFERROR(__xludf.DUMMYFUNCTION("""COMPUTED_VALUE"""),"DED35")</f>
        <v>DED35</v>
      </c>
    </row>
    <row r="1076" spans="1:2" ht="12.5" x14ac:dyDescent="0.25">
      <c r="A1076" t="str">
        <f ca="1">IFERROR(__xludf.DUMMYFUNCTION("""COMPUTED_VALUE"""),"Mülheim An Der Ruhr,Kreisfreie Stadt")</f>
        <v>Mülheim An Der Ruhr,Kreisfreie Stadt</v>
      </c>
      <c r="B1076" t="str">
        <f ca="1">IFERROR(__xludf.DUMMYFUNCTION("""COMPUTED_VALUE"""),"DEA16")</f>
        <v>DEA16</v>
      </c>
    </row>
    <row r="1077" spans="1:2" ht="12.5" x14ac:dyDescent="0.25">
      <c r="A1077" t="str">
        <f ca="1">IFERROR(__xludf.DUMMYFUNCTION("""COMPUTED_VALUE"""),"München, Kreisfreie Stadt")</f>
        <v>München, Kreisfreie Stadt</v>
      </c>
      <c r="B1077" t="str">
        <f ca="1">IFERROR(__xludf.DUMMYFUNCTION("""COMPUTED_VALUE"""),"DE212")</f>
        <v>DE212</v>
      </c>
    </row>
    <row r="1078" spans="1:2" ht="12.5" x14ac:dyDescent="0.25">
      <c r="A1078" t="str">
        <f ca="1">IFERROR(__xludf.DUMMYFUNCTION("""COMPUTED_VALUE"""),"München, Landkreis")</f>
        <v>München, Landkreis</v>
      </c>
      <c r="B1078" t="str">
        <f ca="1">IFERROR(__xludf.DUMMYFUNCTION("""COMPUTED_VALUE"""),"DE21H")</f>
        <v>DE21H</v>
      </c>
    </row>
    <row r="1079" spans="1:2" ht="12.5" x14ac:dyDescent="0.25">
      <c r="A1079" t="str">
        <f ca="1">IFERROR(__xludf.DUMMYFUNCTION("""COMPUTED_VALUE"""),"Münster")</f>
        <v>Münster</v>
      </c>
      <c r="B1079" t="str">
        <f ca="1">IFERROR(__xludf.DUMMYFUNCTION("""COMPUTED_VALUE"""),"DEA3")</f>
        <v>DEA3</v>
      </c>
    </row>
    <row r="1080" spans="1:2" ht="12.5" x14ac:dyDescent="0.25">
      <c r="A1080" t="str">
        <f ca="1">IFERROR(__xludf.DUMMYFUNCTION("""COMPUTED_VALUE"""),"Münster, Kreisfreie Stadt")</f>
        <v>Münster, Kreisfreie Stadt</v>
      </c>
      <c r="B1080" t="str">
        <f ca="1">IFERROR(__xludf.DUMMYFUNCTION("""COMPUTED_VALUE"""),"DEA33")</f>
        <v>DEA33</v>
      </c>
    </row>
    <row r="1081" spans="1:2" ht="12.5" x14ac:dyDescent="0.25">
      <c r="A1081" t="str">
        <f ca="1">IFERROR(__xludf.DUMMYFUNCTION("""COMPUTED_VALUE"""),"Murcia")</f>
        <v>Murcia</v>
      </c>
      <c r="B1081" t="str">
        <f ca="1">IFERROR(__xludf.DUMMYFUNCTION("""COMPUTED_VALUE"""),"ES620")</f>
        <v>ES620</v>
      </c>
    </row>
    <row r="1082" spans="1:2" ht="12.5" x14ac:dyDescent="0.25">
      <c r="A1082" t="str">
        <f ca="1">IFERROR(__xludf.DUMMYFUNCTION("""COMPUTED_VALUE"""),"Mures")</f>
        <v>Mures</v>
      </c>
      <c r="B1082" t="str">
        <f ca="1">IFERROR(__xludf.DUMMYFUNCTION("""COMPUTED_VALUE"""),"RO125")</f>
        <v>RO125</v>
      </c>
    </row>
    <row r="1083" spans="1:2" ht="12.5" x14ac:dyDescent="0.25">
      <c r="A1083" t="str">
        <f ca="1">IFERROR(__xludf.DUMMYFUNCTION("""COMPUTED_VALUE"""),"Müritz")</f>
        <v>Müritz</v>
      </c>
      <c r="B1083" t="str">
        <f ca="1">IFERROR(__xludf.DUMMYFUNCTION("""COMPUTED_VALUE"""),"DE80C")</f>
        <v>DE80C</v>
      </c>
    </row>
    <row r="1084" spans="1:2" ht="12.5" x14ac:dyDescent="0.25">
      <c r="A1084" t="str">
        <f ca="1">IFERROR(__xludf.DUMMYFUNCTION("""COMPUTED_VALUE"""),"Napoli")</f>
        <v>Napoli</v>
      </c>
      <c r="B1084" t="str">
        <f ca="1">IFERROR(__xludf.DUMMYFUNCTION("""COMPUTED_VALUE"""),"ITF33")</f>
        <v>ITF33</v>
      </c>
    </row>
    <row r="1085" spans="1:2" ht="12.5" x14ac:dyDescent="0.25">
      <c r="A1085" t="str">
        <f ca="1">IFERROR(__xludf.DUMMYFUNCTION("""COMPUTED_VALUE"""),"Navarra")</f>
        <v>Navarra</v>
      </c>
      <c r="B1085" t="str">
        <f ca="1">IFERROR(__xludf.DUMMYFUNCTION("""COMPUTED_VALUE"""),"ES220")</f>
        <v>ES220</v>
      </c>
    </row>
    <row r="1086" spans="1:2" ht="12.5" x14ac:dyDescent="0.25">
      <c r="A1086" t="str">
        <f ca="1">IFERROR(__xludf.DUMMYFUNCTION("""COMPUTED_VALUE"""),"Neamt")</f>
        <v>Neamt</v>
      </c>
      <c r="B1086" t="str">
        <f ca="1">IFERROR(__xludf.DUMMYFUNCTION("""COMPUTED_VALUE"""),"RO214")</f>
        <v>RO214</v>
      </c>
    </row>
    <row r="1087" spans="1:2" ht="12.5" x14ac:dyDescent="0.25">
      <c r="A1087" t="str">
        <f ca="1">IFERROR(__xludf.DUMMYFUNCTION("""COMPUTED_VALUE"""),"Neckar-Odenwald-Kreis")</f>
        <v>Neckar-Odenwald-Kreis</v>
      </c>
      <c r="B1087" t="str">
        <f ca="1">IFERROR(__xludf.DUMMYFUNCTION("""COMPUTED_VALUE"""),"DE127")</f>
        <v>DE127</v>
      </c>
    </row>
    <row r="1088" spans="1:2" ht="12.5" x14ac:dyDescent="0.25">
      <c r="A1088" t="str">
        <f ca="1">IFERROR(__xludf.DUMMYFUNCTION("""COMPUTED_VALUE"""),"Nederland")</f>
        <v>Nederland</v>
      </c>
      <c r="B1088" t="str">
        <f ca="1">IFERROR(__xludf.DUMMYFUNCTION("""COMPUTED_VALUE"""),"NL")</f>
        <v>NL</v>
      </c>
    </row>
    <row r="1089" spans="1:2" ht="12.5" x14ac:dyDescent="0.25">
      <c r="A1089" t="str">
        <f ca="1">IFERROR(__xludf.DUMMYFUNCTION("""COMPUTED_VALUE"""),"Neu-Ulm")</f>
        <v>Neu-Ulm</v>
      </c>
      <c r="B1089" t="str">
        <f ca="1">IFERROR(__xludf.DUMMYFUNCTION("""COMPUTED_VALUE"""),"DE279")</f>
        <v>DE279</v>
      </c>
    </row>
    <row r="1090" spans="1:2" ht="12.5" x14ac:dyDescent="0.25">
      <c r="A1090" t="str">
        <f ca="1">IFERROR(__xludf.DUMMYFUNCTION("""COMPUTED_VALUE"""),"Neubrandenburg, Kreisfreie Stadt")</f>
        <v>Neubrandenburg, Kreisfreie Stadt</v>
      </c>
      <c r="B1090" t="str">
        <f ca="1">IFERROR(__xludf.DUMMYFUNCTION("""COMPUTED_VALUE"""),"DE802")</f>
        <v>DE802</v>
      </c>
    </row>
    <row r="1091" spans="1:2" ht="12.5" x14ac:dyDescent="0.25">
      <c r="A1091" t="str">
        <f ca="1">IFERROR(__xludf.DUMMYFUNCTION("""COMPUTED_VALUE"""),"Neuburg-Schrobenhausen")</f>
        <v>Neuburg-Schrobenhausen</v>
      </c>
      <c r="B1091" t="str">
        <f ca="1">IFERROR(__xludf.DUMMYFUNCTION("""COMPUTED_VALUE"""),"DE21I")</f>
        <v>DE21I</v>
      </c>
    </row>
    <row r="1092" spans="1:2" ht="12.5" x14ac:dyDescent="0.25">
      <c r="A1092" t="str">
        <f ca="1">IFERROR(__xludf.DUMMYFUNCTION("""COMPUTED_VALUE"""),"Neuchâtel")</f>
        <v>Neuchâtel</v>
      </c>
      <c r="B1092" t="str">
        <f ca="1">IFERROR(__xludf.DUMMYFUNCTION("""COMPUTED_VALUE"""),"CH024")</f>
        <v>CH024</v>
      </c>
    </row>
    <row r="1093" spans="1:2" ht="12.5" x14ac:dyDescent="0.25">
      <c r="A1093" t="str">
        <f ca="1">IFERROR(__xludf.DUMMYFUNCTION("""COMPUTED_VALUE"""),"Neumarkt I. D. Opf.")</f>
        <v>Neumarkt I. D. Opf.</v>
      </c>
      <c r="B1093" t="str">
        <f ca="1">IFERROR(__xludf.DUMMYFUNCTION("""COMPUTED_VALUE"""),"DE236")</f>
        <v>DE236</v>
      </c>
    </row>
    <row r="1094" spans="1:2" ht="12.5" x14ac:dyDescent="0.25">
      <c r="A1094" t="str">
        <f ca="1">IFERROR(__xludf.DUMMYFUNCTION("""COMPUTED_VALUE"""),"Neumünster, Kreisfreie Stadt")</f>
        <v>Neumünster, Kreisfreie Stadt</v>
      </c>
      <c r="B1094" t="str">
        <f ca="1">IFERROR(__xludf.DUMMYFUNCTION("""COMPUTED_VALUE"""),"DEF04")</f>
        <v>DEF04</v>
      </c>
    </row>
    <row r="1095" spans="1:2" ht="12.5" x14ac:dyDescent="0.25">
      <c r="A1095" t="str">
        <f ca="1">IFERROR(__xludf.DUMMYFUNCTION("""COMPUTED_VALUE"""),"Neunkirchen")</f>
        <v>Neunkirchen</v>
      </c>
      <c r="B1095" t="str">
        <f ca="1">IFERROR(__xludf.DUMMYFUNCTION("""COMPUTED_VALUE"""),"DEC03")</f>
        <v>DEC03</v>
      </c>
    </row>
    <row r="1096" spans="1:2" ht="12.5" x14ac:dyDescent="0.25">
      <c r="A1096" t="str">
        <f ca="1">IFERROR(__xludf.DUMMYFUNCTION("""COMPUTED_VALUE"""),"Neustadt A. D. Aisch-Bad Windsheim")</f>
        <v>Neustadt A. D. Aisch-Bad Windsheim</v>
      </c>
      <c r="B1096" t="str">
        <f ca="1">IFERROR(__xludf.DUMMYFUNCTION("""COMPUTED_VALUE"""),"DE25A")</f>
        <v>DE25A</v>
      </c>
    </row>
    <row r="1097" spans="1:2" ht="12.5" x14ac:dyDescent="0.25">
      <c r="A1097" t="str">
        <f ca="1">IFERROR(__xludf.DUMMYFUNCTION("""COMPUTED_VALUE"""),"Neustadt A. D. Waldnaab")</f>
        <v>Neustadt A. D. Waldnaab</v>
      </c>
      <c r="B1097" t="str">
        <f ca="1">IFERROR(__xludf.DUMMYFUNCTION("""COMPUTED_VALUE"""),"DE237")</f>
        <v>DE237</v>
      </c>
    </row>
    <row r="1098" spans="1:2" ht="12.5" x14ac:dyDescent="0.25">
      <c r="A1098" t="str">
        <f ca="1">IFERROR(__xludf.DUMMYFUNCTION("""COMPUTED_VALUE"""),"Neustadt An Der Weinstraße, Kreisfreie Stadt")</f>
        <v>Neustadt An Der Weinstraße, Kreisfreie Stadt</v>
      </c>
      <c r="B1098" t="str">
        <f ca="1">IFERROR(__xludf.DUMMYFUNCTION("""COMPUTED_VALUE"""),"DEB36")</f>
        <v>DEB36</v>
      </c>
    </row>
    <row r="1099" spans="1:2" ht="12.5" x14ac:dyDescent="0.25">
      <c r="A1099" t="str">
        <f ca="1">IFERROR(__xludf.DUMMYFUNCTION("""COMPUTED_VALUE"""),"Neuwied")</f>
        <v>Neuwied</v>
      </c>
      <c r="B1099" t="str">
        <f ca="1">IFERROR(__xludf.DUMMYFUNCTION("""COMPUTED_VALUE"""),"DEB18")</f>
        <v>DEB18</v>
      </c>
    </row>
    <row r="1100" spans="1:2" ht="12.5" x14ac:dyDescent="0.25">
      <c r="A1100" t="str">
        <f ca="1">IFERROR(__xludf.DUMMYFUNCTION("""COMPUTED_VALUE"""),"Nidwalden")</f>
        <v>Nidwalden</v>
      </c>
      <c r="B1100" t="str">
        <f ca="1">IFERROR(__xludf.DUMMYFUNCTION("""COMPUTED_VALUE"""),"CH065")</f>
        <v>CH065</v>
      </c>
    </row>
    <row r="1101" spans="1:2" ht="12.5" x14ac:dyDescent="0.25">
      <c r="A1101" t="str">
        <f ca="1">IFERROR(__xludf.DUMMYFUNCTION("""COMPUTED_VALUE"""),"Niederbayern")</f>
        <v>Niederbayern</v>
      </c>
      <c r="B1101" t="str">
        <f ca="1">IFERROR(__xludf.DUMMYFUNCTION("""COMPUTED_VALUE"""),"DE22")</f>
        <v>DE22</v>
      </c>
    </row>
    <row r="1102" spans="1:2" ht="12.5" x14ac:dyDescent="0.25">
      <c r="A1102" t="str">
        <f ca="1">IFERROR(__xludf.DUMMYFUNCTION("""COMPUTED_VALUE"""),"Niederösterreich")</f>
        <v>Niederösterreich</v>
      </c>
      <c r="B1102" t="str">
        <f ca="1">IFERROR(__xludf.DUMMYFUNCTION("""COMPUTED_VALUE"""),"AT12")</f>
        <v>AT12</v>
      </c>
    </row>
    <row r="1103" spans="1:2" ht="12.5" x14ac:dyDescent="0.25">
      <c r="A1103" t="str">
        <f ca="1">IFERROR(__xludf.DUMMYFUNCTION("""COMPUTED_VALUE"""),"Niederösterreich-Süd")</f>
        <v>Niederösterreich-Süd</v>
      </c>
      <c r="B1103" t="str">
        <f ca="1">IFERROR(__xludf.DUMMYFUNCTION("""COMPUTED_VALUE"""),"AT122")</f>
        <v>AT122</v>
      </c>
    </row>
    <row r="1104" spans="1:2" ht="12.5" x14ac:dyDescent="0.25">
      <c r="A1104" t="str">
        <f ca="1">IFERROR(__xludf.DUMMYFUNCTION("""COMPUTED_VALUE"""),"Niedersachsen")</f>
        <v>Niedersachsen</v>
      </c>
      <c r="B1104" t="str">
        <f ca="1">IFERROR(__xludf.DUMMYFUNCTION("""COMPUTED_VALUE"""),"DE9")</f>
        <v>DE9</v>
      </c>
    </row>
    <row r="1105" spans="1:2" ht="12.5" x14ac:dyDescent="0.25">
      <c r="A1105" t="str">
        <f ca="1">IFERROR(__xludf.DUMMYFUNCTION("""COMPUTED_VALUE"""),"Niederschlesischer Oberlausitzkreis")</f>
        <v>Niederschlesischer Oberlausitzkreis</v>
      </c>
      <c r="B1105" t="str">
        <f ca="1">IFERROR(__xludf.DUMMYFUNCTION("""COMPUTED_VALUE"""),"DED26")</f>
        <v>DED26</v>
      </c>
    </row>
    <row r="1106" spans="1:2" ht="12.5" x14ac:dyDescent="0.25">
      <c r="A1106" t="str">
        <f ca="1">IFERROR(__xludf.DUMMYFUNCTION("""COMPUTED_VALUE"""),"Nienburg (Weser)")</f>
        <v>Nienburg (Weser)</v>
      </c>
      <c r="B1106" t="str">
        <f ca="1">IFERROR(__xludf.DUMMYFUNCTION("""COMPUTED_VALUE"""),"DE927")</f>
        <v>DE927</v>
      </c>
    </row>
    <row r="1107" spans="1:2" ht="12.5" x14ac:dyDescent="0.25">
      <c r="A1107" t="str">
        <f ca="1">IFERROR(__xludf.DUMMYFUNCTION("""COMPUTED_VALUE"""),"Nièvre")</f>
        <v>Nièvre</v>
      </c>
      <c r="B1107" t="str">
        <f ca="1">IFERROR(__xludf.DUMMYFUNCTION("""COMPUTED_VALUE"""),"FR262")</f>
        <v>FR262</v>
      </c>
    </row>
    <row r="1108" spans="1:2" ht="12.5" x14ac:dyDescent="0.25">
      <c r="A1108" t="str">
        <f ca="1">IFERROR(__xludf.DUMMYFUNCTION("""COMPUTED_VALUE"""),"Nisia Aigaiou, Kriti")</f>
        <v>Nisia Aigaiou, Kriti</v>
      </c>
      <c r="B1108" t="str">
        <f ca="1">IFERROR(__xludf.DUMMYFUNCTION("""COMPUTED_VALUE"""),"GR4")</f>
        <v>GR4</v>
      </c>
    </row>
    <row r="1109" spans="1:2" ht="12.5" x14ac:dyDescent="0.25">
      <c r="A1109" t="str">
        <f ca="1">IFERROR(__xludf.DUMMYFUNCTION("""COMPUTED_VALUE"""),"Nitriansky Kraj")</f>
        <v>Nitriansky Kraj</v>
      </c>
      <c r="B1109" t="str">
        <f ca="1">IFERROR(__xludf.DUMMYFUNCTION("""COMPUTED_VALUE"""),"SK023")</f>
        <v>SK023</v>
      </c>
    </row>
    <row r="1110" spans="1:2" ht="12.5" x14ac:dyDescent="0.25">
      <c r="A1110" t="str">
        <f ca="1">IFERROR(__xludf.DUMMYFUNCTION("""COMPUTED_VALUE"""),"Nograd")</f>
        <v>Nograd</v>
      </c>
      <c r="B1110" t="str">
        <f ca="1">IFERROR(__xludf.DUMMYFUNCTION("""COMPUTED_VALUE"""),"HU313")</f>
        <v>HU313</v>
      </c>
    </row>
    <row r="1111" spans="1:2" ht="12.5" x14ac:dyDescent="0.25">
      <c r="A1111" t="str">
        <f ca="1">IFERROR(__xludf.DUMMYFUNCTION("""COMPUTED_VALUE"""),"Noord-Brabant")</f>
        <v>Noord-Brabant</v>
      </c>
      <c r="B1111" t="str">
        <f ca="1">IFERROR(__xludf.DUMMYFUNCTION("""COMPUTED_VALUE"""),"NL41")</f>
        <v>NL41</v>
      </c>
    </row>
    <row r="1112" spans="1:2" ht="12.5" x14ac:dyDescent="0.25">
      <c r="A1112" t="str">
        <f ca="1">IFERROR(__xludf.DUMMYFUNCTION("""COMPUTED_VALUE"""),"Noord-Drenthe")</f>
        <v>Noord-Drenthe</v>
      </c>
      <c r="B1112" t="str">
        <f ca="1">IFERROR(__xludf.DUMMYFUNCTION("""COMPUTED_VALUE"""),"NL131")</f>
        <v>NL131</v>
      </c>
    </row>
    <row r="1113" spans="1:2" ht="12.5" x14ac:dyDescent="0.25">
      <c r="A1113" t="str">
        <f ca="1">IFERROR(__xludf.DUMMYFUNCTION("""COMPUTED_VALUE"""),"Noord-Friesland")</f>
        <v>Noord-Friesland</v>
      </c>
      <c r="B1113" t="str">
        <f ca="1">IFERROR(__xludf.DUMMYFUNCTION("""COMPUTED_VALUE"""),"NL121")</f>
        <v>NL121</v>
      </c>
    </row>
    <row r="1114" spans="1:2" ht="12.5" x14ac:dyDescent="0.25">
      <c r="A1114" t="str">
        <f ca="1">IFERROR(__xludf.DUMMYFUNCTION("""COMPUTED_VALUE"""),"Noord-Holland")</f>
        <v>Noord-Holland</v>
      </c>
      <c r="B1114" t="str">
        <f ca="1">IFERROR(__xludf.DUMMYFUNCTION("""COMPUTED_VALUE"""),"NL32")</f>
        <v>NL32</v>
      </c>
    </row>
    <row r="1115" spans="1:2" ht="12.5" x14ac:dyDescent="0.25">
      <c r="A1115" t="str">
        <f ca="1">IFERROR(__xludf.DUMMYFUNCTION("""COMPUTED_VALUE"""),"Noord-Limburg")</f>
        <v>Noord-Limburg</v>
      </c>
      <c r="B1115" t="str">
        <f ca="1">IFERROR(__xludf.DUMMYFUNCTION("""COMPUTED_VALUE"""),"NL421")</f>
        <v>NL421</v>
      </c>
    </row>
    <row r="1116" spans="1:2" ht="12.5" x14ac:dyDescent="0.25">
      <c r="A1116" t="str">
        <f ca="1">IFERROR(__xludf.DUMMYFUNCTION("""COMPUTED_VALUE"""),"Noord-Nederland")</f>
        <v>Noord-Nederland</v>
      </c>
      <c r="B1116" t="str">
        <f ca="1">IFERROR(__xludf.DUMMYFUNCTION("""COMPUTED_VALUE"""),"NL1")</f>
        <v>NL1</v>
      </c>
    </row>
    <row r="1117" spans="1:2" ht="12.5" x14ac:dyDescent="0.25">
      <c r="A1117" t="str">
        <f ca="1">IFERROR(__xludf.DUMMYFUNCTION("""COMPUTED_VALUE"""),"Noord-Overijssel")</f>
        <v>Noord-Overijssel</v>
      </c>
      <c r="B1117" t="str">
        <f ca="1">IFERROR(__xludf.DUMMYFUNCTION("""COMPUTED_VALUE"""),"NL211")</f>
        <v>NL211</v>
      </c>
    </row>
    <row r="1118" spans="1:2" ht="12.5" x14ac:dyDescent="0.25">
      <c r="A1118" t="str">
        <f ca="1">IFERROR(__xludf.DUMMYFUNCTION("""COMPUTED_VALUE"""),"Noordoost-Noord-Brabant")</f>
        <v>Noordoost-Noord-Brabant</v>
      </c>
      <c r="B1118" t="str">
        <f ca="1">IFERROR(__xludf.DUMMYFUNCTION("""COMPUTED_VALUE"""),"NL413")</f>
        <v>NL413</v>
      </c>
    </row>
    <row r="1119" spans="1:2" ht="12.5" x14ac:dyDescent="0.25">
      <c r="A1119" t="str">
        <f ca="1">IFERROR(__xludf.DUMMYFUNCTION("""COMPUTED_VALUE"""),"Nord")</f>
        <v>Nord</v>
      </c>
      <c r="B1119" t="str">
        <f ca="1">IFERROR(__xludf.DUMMYFUNCTION("""COMPUTED_VALUE"""),"FR301")</f>
        <v>FR301</v>
      </c>
    </row>
    <row r="1120" spans="1:2" ht="12.5" x14ac:dyDescent="0.25">
      <c r="A1120" t="str">
        <f ca="1">IFERROR(__xludf.DUMMYFUNCTION("""COMPUTED_VALUE"""),"Nord - Pas-De-Calais")</f>
        <v>Nord - Pas-De-Calais</v>
      </c>
      <c r="B1120" t="str">
        <f ca="1">IFERROR(__xludf.DUMMYFUNCTION("""COMPUTED_VALUE"""),"FR3")</f>
        <v>FR3</v>
      </c>
    </row>
    <row r="1121" spans="1:2" ht="12.5" x14ac:dyDescent="0.25">
      <c r="A1121" t="str">
        <f ca="1">IFERROR(__xludf.DUMMYFUNCTION("""COMPUTED_VALUE"""),"Nord - Pas-De-Calais (*)")</f>
        <v>Nord - Pas-De-Calais (*)</v>
      </c>
      <c r="B1121" t="str">
        <f ca="1">IFERROR(__xludf.DUMMYFUNCTION("""COMPUTED_VALUE"""),"FR30")</f>
        <v>FR30</v>
      </c>
    </row>
    <row r="1122" spans="1:2" ht="12.5" x14ac:dyDescent="0.25">
      <c r="A1122" t="str">
        <f ca="1">IFERROR(__xludf.DUMMYFUNCTION("""COMPUTED_VALUE"""),"Nord-Est")</f>
        <v>Nord-Est</v>
      </c>
      <c r="B1122" t="str">
        <f ca="1">IFERROR(__xludf.DUMMYFUNCTION("""COMPUTED_VALUE"""),"ITD")</f>
        <v>ITD</v>
      </c>
    </row>
    <row r="1123" spans="1:2" ht="12.5" x14ac:dyDescent="0.25">
      <c r="A1123" t="str">
        <f ca="1">IFERROR(__xludf.DUMMYFUNCTION("""COMPUTED_VALUE"""),"Nord-Est (*)")</f>
        <v>Nord-Est (*)</v>
      </c>
      <c r="B1123" t="str">
        <f ca="1">IFERROR(__xludf.DUMMYFUNCTION("""COMPUTED_VALUE"""),"RO21")</f>
        <v>RO21</v>
      </c>
    </row>
    <row r="1124" spans="1:2" ht="12.5" x14ac:dyDescent="0.25">
      <c r="A1124" t="str">
        <f ca="1">IFERROR(__xludf.DUMMYFUNCTION("""COMPUTED_VALUE"""),"Nord-Norge")</f>
        <v>Nord-Norge</v>
      </c>
      <c r="B1124" t="str">
        <f ca="1">IFERROR(__xludf.DUMMYFUNCTION("""COMPUTED_VALUE"""),"NO07")</f>
        <v>NO07</v>
      </c>
    </row>
    <row r="1125" spans="1:2" ht="12.5" x14ac:dyDescent="0.25">
      <c r="A1125" t="str">
        <f ca="1">IFERROR(__xludf.DUMMYFUNCTION("""COMPUTED_VALUE"""),"Nord-Ovest")</f>
        <v>Nord-Ovest</v>
      </c>
      <c r="B1125" t="str">
        <f ca="1">IFERROR(__xludf.DUMMYFUNCTION("""COMPUTED_VALUE"""),"ITC")</f>
        <v>ITC</v>
      </c>
    </row>
    <row r="1126" spans="1:2" ht="12.5" x14ac:dyDescent="0.25">
      <c r="A1126" t="str">
        <f ca="1">IFERROR(__xludf.DUMMYFUNCTION("""COMPUTED_VALUE"""),"Nord-Trøndelag")</f>
        <v>Nord-Trøndelag</v>
      </c>
      <c r="B1126" t="str">
        <f ca="1">IFERROR(__xludf.DUMMYFUNCTION("""COMPUTED_VALUE"""),"NO062")</f>
        <v>NO062</v>
      </c>
    </row>
    <row r="1127" spans="1:2" ht="12.5" x14ac:dyDescent="0.25">
      <c r="A1127" t="str">
        <f ca="1">IFERROR(__xludf.DUMMYFUNCTION("""COMPUTED_VALUE"""),"Nord-Vest")</f>
        <v>Nord-Vest</v>
      </c>
      <c r="B1127" t="str">
        <f ca="1">IFERROR(__xludf.DUMMYFUNCTION("""COMPUTED_VALUE"""),"RO11")</f>
        <v>RO11</v>
      </c>
    </row>
    <row r="1128" spans="1:2" ht="12.5" x14ac:dyDescent="0.25">
      <c r="A1128" t="str">
        <f ca="1">IFERROR(__xludf.DUMMYFUNCTION("""COMPUTED_VALUE"""),"Nordburgenland")</f>
        <v>Nordburgenland</v>
      </c>
      <c r="B1128" t="str">
        <f ca="1">IFERROR(__xludf.DUMMYFUNCTION("""COMPUTED_VALUE"""),"AT112")</f>
        <v>AT112</v>
      </c>
    </row>
    <row r="1129" spans="1:2" ht="12.5" x14ac:dyDescent="0.25">
      <c r="A1129" t="str">
        <f ca="1">IFERROR(__xludf.DUMMYFUNCTION("""COMPUTED_VALUE"""),"Nordfriesland")</f>
        <v>Nordfriesland</v>
      </c>
      <c r="B1129" t="str">
        <f ca="1">IFERROR(__xludf.DUMMYFUNCTION("""COMPUTED_VALUE"""),"DEF07")</f>
        <v>DEF07</v>
      </c>
    </row>
    <row r="1130" spans="1:2" ht="12.5" x14ac:dyDescent="0.25">
      <c r="A1130" t="str">
        <f ca="1">IFERROR(__xludf.DUMMYFUNCTION("""COMPUTED_VALUE"""),"Nordhausen")</f>
        <v>Nordhausen</v>
      </c>
      <c r="B1130" t="str">
        <f ca="1">IFERROR(__xludf.DUMMYFUNCTION("""COMPUTED_VALUE"""),"DEG07")</f>
        <v>DEG07</v>
      </c>
    </row>
    <row r="1131" spans="1:2" ht="12.5" x14ac:dyDescent="0.25">
      <c r="A1131" t="str">
        <f ca="1">IFERROR(__xludf.DUMMYFUNCTION("""COMPUTED_VALUE"""),"Nordjylland")</f>
        <v>Nordjylland</v>
      </c>
      <c r="B1131" t="str">
        <f ca="1">IFERROR(__xludf.DUMMYFUNCTION("""COMPUTED_VALUE"""),"DK05")</f>
        <v>DK05</v>
      </c>
    </row>
    <row r="1132" spans="1:2" ht="12.5" x14ac:dyDescent="0.25">
      <c r="A1132" t="str">
        <f ca="1">IFERROR(__xludf.DUMMYFUNCTION("""COMPUTED_VALUE"""),"Nordjylland (*)")</f>
        <v>Nordjylland (*)</v>
      </c>
      <c r="B1132" t="str">
        <f ca="1">IFERROR(__xludf.DUMMYFUNCTION("""COMPUTED_VALUE"""),"DK050")</f>
        <v>DK050</v>
      </c>
    </row>
    <row r="1133" spans="1:2" ht="12.5" x14ac:dyDescent="0.25">
      <c r="A1133" t="str">
        <f ca="1">IFERROR(__xludf.DUMMYFUNCTION("""COMPUTED_VALUE"""),"Nordland")</f>
        <v>Nordland</v>
      </c>
      <c r="B1133" t="str">
        <f ca="1">IFERROR(__xludf.DUMMYFUNCTION("""COMPUTED_VALUE"""),"NO071")</f>
        <v>NO071</v>
      </c>
    </row>
    <row r="1134" spans="1:2" ht="12.5" x14ac:dyDescent="0.25">
      <c r="A1134" t="str">
        <f ca="1">IFERROR(__xludf.DUMMYFUNCTION("""COMPUTED_VALUE"""),"Nordrhein-Westfalen")</f>
        <v>Nordrhein-Westfalen</v>
      </c>
      <c r="B1134" t="str">
        <f ca="1">IFERROR(__xludf.DUMMYFUNCTION("""COMPUTED_VALUE"""),"DEA")</f>
        <v>DEA</v>
      </c>
    </row>
    <row r="1135" spans="1:2" ht="12.5" x14ac:dyDescent="0.25">
      <c r="A1135" t="str">
        <f ca="1">IFERROR(__xludf.DUMMYFUNCTION("""COMPUTED_VALUE"""),"Nordsjælland")</f>
        <v>Nordsjælland</v>
      </c>
      <c r="B1135" t="str">
        <f ca="1">IFERROR(__xludf.DUMMYFUNCTION("""COMPUTED_VALUE"""),"DK013")</f>
        <v>DK013</v>
      </c>
    </row>
    <row r="1136" spans="1:2" ht="12.5" x14ac:dyDescent="0.25">
      <c r="A1136" t="str">
        <f ca="1">IFERROR(__xludf.DUMMYFUNCTION("""COMPUTED_VALUE"""),"Nordvorpommern")</f>
        <v>Nordvorpommern</v>
      </c>
      <c r="B1136" t="str">
        <f ca="1">IFERROR(__xludf.DUMMYFUNCTION("""COMPUTED_VALUE"""),"DE80D")</f>
        <v>DE80D</v>
      </c>
    </row>
    <row r="1137" spans="1:2" ht="12.5" x14ac:dyDescent="0.25">
      <c r="A1137" t="str">
        <f ca="1">IFERROR(__xludf.DUMMYFUNCTION("""COMPUTED_VALUE"""),"Nordwestmecklenburg")</f>
        <v>Nordwestmecklenburg</v>
      </c>
      <c r="B1137" t="str">
        <f ca="1">IFERROR(__xludf.DUMMYFUNCTION("""COMPUTED_VALUE"""),"DE80E")</f>
        <v>DE80E</v>
      </c>
    </row>
    <row r="1138" spans="1:2" ht="12.5" x14ac:dyDescent="0.25">
      <c r="A1138" t="str">
        <f ca="1">IFERROR(__xludf.DUMMYFUNCTION("""COMPUTED_VALUE"""),"Nordwestschweiz")</f>
        <v>Nordwestschweiz</v>
      </c>
      <c r="B1138" t="str">
        <f ca="1">IFERROR(__xludf.DUMMYFUNCTION("""COMPUTED_VALUE"""),"CH03")</f>
        <v>CH03</v>
      </c>
    </row>
    <row r="1139" spans="1:2" ht="12.5" x14ac:dyDescent="0.25">
      <c r="A1139" t="str">
        <f ca="1">IFERROR(__xludf.DUMMYFUNCTION("""COMPUTED_VALUE"""),"Noreste")</f>
        <v>Noreste</v>
      </c>
      <c r="B1139" t="str">
        <f ca="1">IFERROR(__xludf.DUMMYFUNCTION("""COMPUTED_VALUE"""),"ES2")</f>
        <v>ES2</v>
      </c>
    </row>
    <row r="1140" spans="1:2" ht="12.5" x14ac:dyDescent="0.25">
      <c r="A1140" t="str">
        <f ca="1">IFERROR(__xludf.DUMMYFUNCTION("""COMPUTED_VALUE"""),"Norfolk")</f>
        <v>Norfolk</v>
      </c>
      <c r="B1140" t="str">
        <f ca="1">IFERROR(__xludf.DUMMYFUNCTION("""COMPUTED_VALUE"""),"UKH13")</f>
        <v>UKH13</v>
      </c>
    </row>
    <row r="1141" spans="1:2" ht="12.5" x14ac:dyDescent="0.25">
      <c r="A1141" t="str">
        <f ca="1">IFERROR(__xludf.DUMMYFUNCTION("""COMPUTED_VALUE"""),"Norge")</f>
        <v>Norge</v>
      </c>
      <c r="B1141" t="str">
        <f ca="1">IFERROR(__xludf.DUMMYFUNCTION("""COMPUTED_VALUE"""),"NO")</f>
        <v>NO</v>
      </c>
    </row>
    <row r="1142" spans="1:2" ht="12.5" x14ac:dyDescent="0.25">
      <c r="A1142" t="str">
        <f ca="1">IFERROR(__xludf.DUMMYFUNCTION("""COMPUTED_VALUE"""),"Norge (*)")</f>
        <v>Norge (*)</v>
      </c>
      <c r="B1142" t="str">
        <f ca="1">IFERROR(__xludf.DUMMYFUNCTION("""COMPUTED_VALUE"""),"NO0")</f>
        <v>NO0</v>
      </c>
    </row>
    <row r="1143" spans="1:2" ht="12.5" x14ac:dyDescent="0.25">
      <c r="A1143" t="str">
        <f ca="1">IFERROR(__xludf.DUMMYFUNCTION("""COMPUTED_VALUE"""),"Noroeste")</f>
        <v>Noroeste</v>
      </c>
      <c r="B1143" t="str">
        <f ca="1">IFERROR(__xludf.DUMMYFUNCTION("""COMPUTED_VALUE"""),"ES1")</f>
        <v>ES1</v>
      </c>
    </row>
    <row r="1144" spans="1:2" ht="12.5" x14ac:dyDescent="0.25">
      <c r="A1144" t="str">
        <f ca="1">IFERROR(__xludf.DUMMYFUNCTION("""COMPUTED_VALUE"""),"Norra Mellansverige")</f>
        <v>Norra Mellansverige</v>
      </c>
      <c r="B1144" t="str">
        <f ca="1">IFERROR(__xludf.DUMMYFUNCTION("""COMPUTED_VALUE"""),"SE31")</f>
        <v>SE31</v>
      </c>
    </row>
    <row r="1145" spans="1:2" ht="12.5" x14ac:dyDescent="0.25">
      <c r="A1145" t="str">
        <f ca="1">IFERROR(__xludf.DUMMYFUNCTION("""COMPUTED_VALUE"""),"Norra Sverige")</f>
        <v>Norra Sverige</v>
      </c>
      <c r="B1145" t="str">
        <f ca="1">IFERROR(__xludf.DUMMYFUNCTION("""COMPUTED_VALUE"""),"SE3")</f>
        <v>SE3</v>
      </c>
    </row>
    <row r="1146" spans="1:2" ht="12.5" x14ac:dyDescent="0.25">
      <c r="A1146" t="str">
        <f ca="1">IFERROR(__xludf.DUMMYFUNCTION("""COMPUTED_VALUE"""),"Norrbottens Län")</f>
        <v>Norrbottens Län</v>
      </c>
      <c r="B1146" t="str">
        <f ca="1">IFERROR(__xludf.DUMMYFUNCTION("""COMPUTED_VALUE"""),"SE332")</f>
        <v>SE332</v>
      </c>
    </row>
    <row r="1147" spans="1:2" ht="12.5" x14ac:dyDescent="0.25">
      <c r="A1147" t="str">
        <f ca="1">IFERROR(__xludf.DUMMYFUNCTION("""COMPUTED_VALUE"""),"Norte")</f>
        <v>Norte</v>
      </c>
      <c r="B1147" t="str">
        <f ca="1">IFERROR(__xludf.DUMMYFUNCTION("""COMPUTED_VALUE"""),"PT11")</f>
        <v>PT11</v>
      </c>
    </row>
    <row r="1148" spans="1:2" ht="12.5" x14ac:dyDescent="0.25">
      <c r="A1148" t="str">
        <f ca="1">IFERROR(__xludf.DUMMYFUNCTION("""COMPUTED_VALUE"""),"North And North East Lincolnshire")</f>
        <v>North And North East Lincolnshire</v>
      </c>
      <c r="B1148" t="str">
        <f ca="1">IFERROR(__xludf.DUMMYFUNCTION("""COMPUTED_VALUE"""),"UKE13")</f>
        <v>UKE13</v>
      </c>
    </row>
    <row r="1149" spans="1:2" ht="12.5" x14ac:dyDescent="0.25">
      <c r="A1149" t="str">
        <f ca="1">IFERROR(__xludf.DUMMYFUNCTION("""COMPUTED_VALUE"""),"North East (England)")</f>
        <v>North East (England)</v>
      </c>
      <c r="B1149" t="str">
        <f ca="1">IFERROR(__xludf.DUMMYFUNCTION("""COMPUTED_VALUE"""),"UKC")</f>
        <v>UKC</v>
      </c>
    </row>
    <row r="1150" spans="1:2" ht="12.5" x14ac:dyDescent="0.25">
      <c r="A1150" t="str">
        <f ca="1">IFERROR(__xludf.DUMMYFUNCTION("""COMPUTED_VALUE"""),"North Eastern Scotland")</f>
        <v>North Eastern Scotland</v>
      </c>
      <c r="B1150" t="str">
        <f ca="1">IFERROR(__xludf.DUMMYFUNCTION("""COMPUTED_VALUE"""),"UKM5")</f>
        <v>UKM5</v>
      </c>
    </row>
    <row r="1151" spans="1:2" ht="12.5" x14ac:dyDescent="0.25">
      <c r="A1151" t="str">
        <f ca="1">IFERROR(__xludf.DUMMYFUNCTION("""COMPUTED_VALUE"""),"North Lanarkshire")</f>
        <v>North Lanarkshire</v>
      </c>
      <c r="B1151" t="str">
        <f ca="1">IFERROR(__xludf.DUMMYFUNCTION("""COMPUTED_VALUE"""),"UKM36")</f>
        <v>UKM36</v>
      </c>
    </row>
    <row r="1152" spans="1:2" ht="12.5" x14ac:dyDescent="0.25">
      <c r="A1152" t="str">
        <f ca="1">IFERROR(__xludf.DUMMYFUNCTION("""COMPUTED_VALUE"""),"North Nottinghamshire")</f>
        <v>North Nottinghamshire</v>
      </c>
      <c r="B1152" t="str">
        <f ca="1">IFERROR(__xludf.DUMMYFUNCTION("""COMPUTED_VALUE"""),"UKF15")</f>
        <v>UKF15</v>
      </c>
    </row>
    <row r="1153" spans="1:2" ht="12.5" x14ac:dyDescent="0.25">
      <c r="A1153" t="str">
        <f ca="1">IFERROR(__xludf.DUMMYFUNCTION("""COMPUTED_VALUE"""),"North Of Northern Ireland")</f>
        <v>North Of Northern Ireland</v>
      </c>
      <c r="B1153" t="str">
        <f ca="1">IFERROR(__xludf.DUMMYFUNCTION("""COMPUTED_VALUE"""),"UKN04")</f>
        <v>UKN04</v>
      </c>
    </row>
    <row r="1154" spans="1:2" ht="12.5" x14ac:dyDescent="0.25">
      <c r="A1154" t="str">
        <f ca="1">IFERROR(__xludf.DUMMYFUNCTION("""COMPUTED_VALUE"""),"North West (England)")</f>
        <v>North West (England)</v>
      </c>
      <c r="B1154" t="str">
        <f ca="1">IFERROR(__xludf.DUMMYFUNCTION("""COMPUTED_VALUE"""),"UKD")</f>
        <v>UKD</v>
      </c>
    </row>
    <row r="1155" spans="1:2" ht="12.5" x14ac:dyDescent="0.25">
      <c r="A1155" t="str">
        <f ca="1">IFERROR(__xludf.DUMMYFUNCTION("""COMPUTED_VALUE"""),"North Yorkshire")</f>
        <v>North Yorkshire</v>
      </c>
      <c r="B1155" t="str">
        <f ca="1">IFERROR(__xludf.DUMMYFUNCTION("""COMPUTED_VALUE"""),"UKE2")</f>
        <v>UKE2</v>
      </c>
    </row>
    <row r="1156" spans="1:2" ht="12.5" x14ac:dyDescent="0.25">
      <c r="A1156" t="str">
        <f ca="1">IFERROR(__xludf.DUMMYFUNCTION("""COMPUTED_VALUE"""),"North Yorkshire Cc")</f>
        <v>North Yorkshire Cc</v>
      </c>
      <c r="B1156" t="str">
        <f ca="1">IFERROR(__xludf.DUMMYFUNCTION("""COMPUTED_VALUE"""),"UKE22")</f>
        <v>UKE22</v>
      </c>
    </row>
    <row r="1157" spans="1:2" ht="12.5" x14ac:dyDescent="0.25">
      <c r="A1157" t="str">
        <f ca="1">IFERROR(__xludf.DUMMYFUNCTION("""COMPUTED_VALUE"""),"Northamptonshire")</f>
        <v>Northamptonshire</v>
      </c>
      <c r="B1157" t="str">
        <f ca="1">IFERROR(__xludf.DUMMYFUNCTION("""COMPUTED_VALUE"""),"UKF23")</f>
        <v>UKF23</v>
      </c>
    </row>
    <row r="1158" spans="1:2" ht="12.5" x14ac:dyDescent="0.25">
      <c r="A1158" t="str">
        <f ca="1">IFERROR(__xludf.DUMMYFUNCTION("""COMPUTED_VALUE"""),"Northeim")</f>
        <v>Northeim</v>
      </c>
      <c r="B1158" t="str">
        <f ca="1">IFERROR(__xludf.DUMMYFUNCTION("""COMPUTED_VALUE"""),"DE918")</f>
        <v>DE918</v>
      </c>
    </row>
    <row r="1159" spans="1:2" ht="12.5" x14ac:dyDescent="0.25">
      <c r="A1159" t="str">
        <f ca="1">IFERROR(__xludf.DUMMYFUNCTION("""COMPUTED_VALUE"""),"Northern Ireland")</f>
        <v>Northern Ireland</v>
      </c>
      <c r="B1159" t="str">
        <f ca="1">IFERROR(__xludf.DUMMYFUNCTION("""COMPUTED_VALUE"""),"UKN")</f>
        <v>UKN</v>
      </c>
    </row>
    <row r="1160" spans="1:2" ht="12.5" x14ac:dyDescent="0.25">
      <c r="A1160" t="str">
        <f ca="1">IFERROR(__xludf.DUMMYFUNCTION("""COMPUTED_VALUE"""),"Northern Ireland (*)")</f>
        <v>Northern Ireland (*)</v>
      </c>
      <c r="B1160" t="str">
        <f ca="1">IFERROR(__xludf.DUMMYFUNCTION("""COMPUTED_VALUE"""),"UKN0")</f>
        <v>UKN0</v>
      </c>
    </row>
    <row r="1161" spans="1:2" ht="12.5" x14ac:dyDescent="0.25">
      <c r="A1161" t="str">
        <f ca="1">IFERROR(__xludf.DUMMYFUNCTION("""COMPUTED_VALUE"""),"Northumberland")</f>
        <v>Northumberland</v>
      </c>
      <c r="B1161" t="str">
        <f ca="1">IFERROR(__xludf.DUMMYFUNCTION("""COMPUTED_VALUE"""),"UKC21")</f>
        <v>UKC21</v>
      </c>
    </row>
    <row r="1162" spans="1:2" ht="12.5" x14ac:dyDescent="0.25">
      <c r="A1162" t="str">
        <f ca="1">IFERROR(__xludf.DUMMYFUNCTION("""COMPUTED_VALUE"""),"Northumberland And Tyne And Wear")</f>
        <v>Northumberland And Tyne And Wear</v>
      </c>
      <c r="B1162" t="str">
        <f ca="1">IFERROR(__xludf.DUMMYFUNCTION("""COMPUTED_VALUE"""),"UKC2")</f>
        <v>UKC2</v>
      </c>
    </row>
    <row r="1163" spans="1:2" ht="12.5" x14ac:dyDescent="0.25">
      <c r="A1163" t="str">
        <f ca="1">IFERROR(__xludf.DUMMYFUNCTION("""COMPUTED_VALUE"""),"Notio Aigaio")</f>
        <v>Notio Aigaio</v>
      </c>
      <c r="B1163" t="str">
        <f ca="1">IFERROR(__xludf.DUMMYFUNCTION("""COMPUTED_VALUE"""),"GR42")</f>
        <v>GR42</v>
      </c>
    </row>
    <row r="1164" spans="1:2" ht="12.5" x14ac:dyDescent="0.25">
      <c r="A1164" t="str">
        <f ca="1">IFERROR(__xludf.DUMMYFUNCTION("""COMPUTED_VALUE"""),"Notranjsko-Kraska")</f>
        <v>Notranjsko-Kraska</v>
      </c>
      <c r="B1164" t="str">
        <f ca="1">IFERROR(__xludf.DUMMYFUNCTION("""COMPUTED_VALUE"""),"SI018")</f>
        <v>SI018</v>
      </c>
    </row>
    <row r="1165" spans="1:2" ht="12.5" x14ac:dyDescent="0.25">
      <c r="A1165" t="str">
        <f ca="1">IFERROR(__xludf.DUMMYFUNCTION("""COMPUTED_VALUE"""),"Nottingham")</f>
        <v>Nottingham</v>
      </c>
      <c r="B1165" t="str">
        <f ca="1">IFERROR(__xludf.DUMMYFUNCTION("""COMPUTED_VALUE"""),"UKF14")</f>
        <v>UKF14</v>
      </c>
    </row>
    <row r="1166" spans="1:2" ht="12.5" x14ac:dyDescent="0.25">
      <c r="A1166" t="str">
        <f ca="1">IFERROR(__xludf.DUMMYFUNCTION("""COMPUTED_VALUE"""),"Novara")</f>
        <v>Novara</v>
      </c>
      <c r="B1166" t="str">
        <f ca="1">IFERROR(__xludf.DUMMYFUNCTION("""COMPUTED_VALUE"""),"ITC15")</f>
        <v>ITC15</v>
      </c>
    </row>
    <row r="1167" spans="1:2" ht="12.5" x14ac:dyDescent="0.25">
      <c r="A1167" t="str">
        <f ca="1">IFERROR(__xludf.DUMMYFUNCTION("""COMPUTED_VALUE"""),"Nowosadecki")</f>
        <v>Nowosadecki</v>
      </c>
      <c r="B1167" t="str">
        <f ca="1">IFERROR(__xludf.DUMMYFUNCTION("""COMPUTED_VALUE"""),"PL215")</f>
        <v>PL215</v>
      </c>
    </row>
    <row r="1168" spans="1:2" ht="12.5" x14ac:dyDescent="0.25">
      <c r="A1168" t="str">
        <f ca="1">IFERROR(__xludf.DUMMYFUNCTION("""COMPUTED_VALUE"""),"Nuoro")</f>
        <v>Nuoro</v>
      </c>
      <c r="B1168" t="str">
        <f ca="1">IFERROR(__xludf.DUMMYFUNCTION("""COMPUTED_VALUE"""),"ITG26")</f>
        <v>ITG26</v>
      </c>
    </row>
    <row r="1169" spans="1:2" ht="12.5" x14ac:dyDescent="0.25">
      <c r="A1169" t="str">
        <f ca="1">IFERROR(__xludf.DUMMYFUNCTION("""COMPUTED_VALUE"""),"Nürnberg, Kreisfreie Stadt")</f>
        <v>Nürnberg, Kreisfreie Stadt</v>
      </c>
      <c r="B1169" t="str">
        <f ca="1">IFERROR(__xludf.DUMMYFUNCTION("""COMPUTED_VALUE"""),"DE254")</f>
        <v>DE254</v>
      </c>
    </row>
    <row r="1170" spans="1:2" ht="12.5" x14ac:dyDescent="0.25">
      <c r="A1170" t="str">
        <f ca="1">IFERROR(__xludf.DUMMYFUNCTION("""COMPUTED_VALUE"""),"Nürnberger Land")</f>
        <v>Nürnberger Land</v>
      </c>
      <c r="B1170" t="str">
        <f ca="1">IFERROR(__xludf.DUMMYFUNCTION("""COMPUTED_VALUE"""),"DE259")</f>
        <v>DE259</v>
      </c>
    </row>
    <row r="1171" spans="1:2" ht="12.5" x14ac:dyDescent="0.25">
      <c r="A1171" t="str">
        <f ca="1">IFERROR(__xludf.DUMMYFUNCTION("""COMPUTED_VALUE"""),"Nyski")</f>
        <v>Nyski</v>
      </c>
      <c r="B1171" t="str">
        <f ca="1">IFERROR(__xludf.DUMMYFUNCTION("""COMPUTED_VALUE"""),"PL521")</f>
        <v>PL521</v>
      </c>
    </row>
    <row r="1172" spans="1:2" ht="12.5" x14ac:dyDescent="0.25">
      <c r="A1172" t="str">
        <f ca="1">IFERROR(__xludf.DUMMYFUNCTION("""COMPUTED_VALUE"""),"Nyugat-Dunantul")</f>
        <v>Nyugat-Dunantul</v>
      </c>
      <c r="B1172" t="str">
        <f ca="1">IFERROR(__xludf.DUMMYFUNCTION("""COMPUTED_VALUE"""),"HU22")</f>
        <v>HU22</v>
      </c>
    </row>
    <row r="1173" spans="1:2" ht="12.5" x14ac:dyDescent="0.25">
      <c r="A1173" t="str">
        <f ca="1">IFERROR(__xludf.DUMMYFUNCTION("""COMPUTED_VALUE"""),"Obalno-Kraska")</f>
        <v>Obalno-Kraska</v>
      </c>
      <c r="B1173" t="str">
        <f ca="1">IFERROR(__xludf.DUMMYFUNCTION("""COMPUTED_VALUE"""),"SI024")</f>
        <v>SI024</v>
      </c>
    </row>
    <row r="1174" spans="1:2" ht="12.5" x14ac:dyDescent="0.25">
      <c r="A1174" t="str">
        <f ca="1">IFERROR(__xludf.DUMMYFUNCTION("""COMPUTED_VALUE"""),"Oberallgäu")</f>
        <v>Oberallgäu</v>
      </c>
      <c r="B1174" t="str">
        <f ca="1">IFERROR(__xludf.DUMMYFUNCTION("""COMPUTED_VALUE"""),"DE27E")</f>
        <v>DE27E</v>
      </c>
    </row>
    <row r="1175" spans="1:2" ht="12.5" x14ac:dyDescent="0.25">
      <c r="A1175" t="str">
        <f ca="1">IFERROR(__xludf.DUMMYFUNCTION("""COMPUTED_VALUE"""),"Oberbayern")</f>
        <v>Oberbayern</v>
      </c>
      <c r="B1175" t="str">
        <f ca="1">IFERROR(__xludf.DUMMYFUNCTION("""COMPUTED_VALUE"""),"DE21")</f>
        <v>DE21</v>
      </c>
    </row>
    <row r="1176" spans="1:2" ht="12.5" x14ac:dyDescent="0.25">
      <c r="A1176" t="str">
        <f ca="1">IFERROR(__xludf.DUMMYFUNCTION("""COMPUTED_VALUE"""),"Oberbergischer Kreis")</f>
        <v>Oberbergischer Kreis</v>
      </c>
      <c r="B1176" t="str">
        <f ca="1">IFERROR(__xludf.DUMMYFUNCTION("""COMPUTED_VALUE"""),"DEA2A")</f>
        <v>DEA2A</v>
      </c>
    </row>
    <row r="1177" spans="1:2" ht="12.5" x14ac:dyDescent="0.25">
      <c r="A1177" t="str">
        <f ca="1">IFERROR(__xludf.DUMMYFUNCTION("""COMPUTED_VALUE"""),"Oberfranken")</f>
        <v>Oberfranken</v>
      </c>
      <c r="B1177" t="str">
        <f ca="1">IFERROR(__xludf.DUMMYFUNCTION("""COMPUTED_VALUE"""),"DE24")</f>
        <v>DE24</v>
      </c>
    </row>
    <row r="1178" spans="1:2" ht="12.5" x14ac:dyDescent="0.25">
      <c r="A1178" t="str">
        <f ca="1">IFERROR(__xludf.DUMMYFUNCTION("""COMPUTED_VALUE"""),"Oberhausen, Kreisfreie Stadt")</f>
        <v>Oberhausen, Kreisfreie Stadt</v>
      </c>
      <c r="B1178" t="str">
        <f ca="1">IFERROR(__xludf.DUMMYFUNCTION("""COMPUTED_VALUE"""),"DEA17")</f>
        <v>DEA17</v>
      </c>
    </row>
    <row r="1179" spans="1:2" ht="12.5" x14ac:dyDescent="0.25">
      <c r="A1179" t="str">
        <f ca="1">IFERROR(__xludf.DUMMYFUNCTION("""COMPUTED_VALUE"""),"Oberhavel")</f>
        <v>Oberhavel</v>
      </c>
      <c r="B1179" t="str">
        <f ca="1">IFERROR(__xludf.DUMMYFUNCTION("""COMPUTED_VALUE"""),"DE414")</f>
        <v>DE414</v>
      </c>
    </row>
    <row r="1180" spans="1:2" ht="12.5" x14ac:dyDescent="0.25">
      <c r="A1180" t="str">
        <f ca="1">IFERROR(__xludf.DUMMYFUNCTION("""COMPUTED_VALUE"""),"Oberkärnten")</f>
        <v>Oberkärnten</v>
      </c>
      <c r="B1180" t="str">
        <f ca="1">IFERROR(__xludf.DUMMYFUNCTION("""COMPUTED_VALUE"""),"AT212")</f>
        <v>AT212</v>
      </c>
    </row>
    <row r="1181" spans="1:2" ht="12.5" x14ac:dyDescent="0.25">
      <c r="A1181" t="str">
        <f ca="1">IFERROR(__xludf.DUMMYFUNCTION("""COMPUTED_VALUE"""),"Oberösterreich")</f>
        <v>Oberösterreich</v>
      </c>
      <c r="B1181" t="str">
        <f ca="1">IFERROR(__xludf.DUMMYFUNCTION("""COMPUTED_VALUE"""),"AT31")</f>
        <v>AT31</v>
      </c>
    </row>
    <row r="1182" spans="1:2" ht="12.5" x14ac:dyDescent="0.25">
      <c r="A1182" t="str">
        <f ca="1">IFERROR(__xludf.DUMMYFUNCTION("""COMPUTED_VALUE"""),"Oberpfalz")</f>
        <v>Oberpfalz</v>
      </c>
      <c r="B1182" t="str">
        <f ca="1">IFERROR(__xludf.DUMMYFUNCTION("""COMPUTED_VALUE"""),"DE23")</f>
        <v>DE23</v>
      </c>
    </row>
    <row r="1183" spans="1:2" ht="12.5" x14ac:dyDescent="0.25">
      <c r="A1183" t="str">
        <f ca="1">IFERROR(__xludf.DUMMYFUNCTION("""COMPUTED_VALUE"""),"Oberspreewald-Lausitz")</f>
        <v>Oberspreewald-Lausitz</v>
      </c>
      <c r="B1183" t="str">
        <f ca="1">IFERROR(__xludf.DUMMYFUNCTION("""COMPUTED_VALUE"""),"DE427")</f>
        <v>DE427</v>
      </c>
    </row>
    <row r="1184" spans="1:2" ht="12.5" x14ac:dyDescent="0.25">
      <c r="A1184" t="str">
        <f ca="1">IFERROR(__xludf.DUMMYFUNCTION("""COMPUTED_VALUE"""),"Obwalden")</f>
        <v>Obwalden</v>
      </c>
      <c r="B1184" t="str">
        <f ca="1">IFERROR(__xludf.DUMMYFUNCTION("""COMPUTED_VALUE"""),"CH064")</f>
        <v>CH064</v>
      </c>
    </row>
    <row r="1185" spans="1:2" ht="12.5" x14ac:dyDescent="0.25">
      <c r="A1185" t="str">
        <f ca="1">IFERROR(__xludf.DUMMYFUNCTION("""COMPUTED_VALUE"""),"Odenwaldkreis")</f>
        <v>Odenwaldkreis</v>
      </c>
      <c r="B1185" t="str">
        <f ca="1">IFERROR(__xludf.DUMMYFUNCTION("""COMPUTED_VALUE"""),"DE71B")</f>
        <v>DE71B</v>
      </c>
    </row>
    <row r="1186" spans="1:2" ht="12.5" x14ac:dyDescent="0.25">
      <c r="A1186" t="str">
        <f ca="1">IFERROR(__xludf.DUMMYFUNCTION("""COMPUTED_VALUE"""),"Oder-Spree")</f>
        <v>Oder-Spree</v>
      </c>
      <c r="B1186" t="str">
        <f ca="1">IFERROR(__xludf.DUMMYFUNCTION("""COMPUTED_VALUE"""),"DE415")</f>
        <v>DE415</v>
      </c>
    </row>
    <row r="1187" spans="1:2" ht="12.5" x14ac:dyDescent="0.25">
      <c r="A1187" t="str">
        <f ca="1">IFERROR(__xludf.DUMMYFUNCTION("""COMPUTED_VALUE"""),"Oeste")</f>
        <v>Oeste</v>
      </c>
      <c r="B1187" t="str">
        <f ca="1">IFERROR(__xludf.DUMMYFUNCTION("""COMPUTED_VALUE"""),"PT16B")</f>
        <v>PT16B</v>
      </c>
    </row>
    <row r="1188" spans="1:2" ht="12.5" x14ac:dyDescent="0.25">
      <c r="A1188" t="str">
        <f ca="1">IFERROR(__xludf.DUMMYFUNCTION("""COMPUTED_VALUE"""),"Offenbach Am Main, Kreisfreie Stadt")</f>
        <v>Offenbach Am Main, Kreisfreie Stadt</v>
      </c>
      <c r="B1188" t="str">
        <f ca="1">IFERROR(__xludf.DUMMYFUNCTION("""COMPUTED_VALUE"""),"DE713")</f>
        <v>DE713</v>
      </c>
    </row>
    <row r="1189" spans="1:2" ht="12.5" x14ac:dyDescent="0.25">
      <c r="A1189" t="str">
        <f ca="1">IFERROR(__xludf.DUMMYFUNCTION("""COMPUTED_VALUE"""),"Offenbach, Landkreis")</f>
        <v>Offenbach, Landkreis</v>
      </c>
      <c r="B1189" t="str">
        <f ca="1">IFERROR(__xludf.DUMMYFUNCTION("""COMPUTED_VALUE"""),"DE71C")</f>
        <v>DE71C</v>
      </c>
    </row>
    <row r="1190" spans="1:2" ht="12.5" x14ac:dyDescent="0.25">
      <c r="A1190" t="str">
        <f ca="1">IFERROR(__xludf.DUMMYFUNCTION("""COMPUTED_VALUE"""),"Ogliastra")</f>
        <v>Ogliastra</v>
      </c>
      <c r="B1190" t="str">
        <f ca="1">IFERROR(__xludf.DUMMYFUNCTION("""COMPUTED_VALUE"""),"ITG2A")</f>
        <v>ITG2A</v>
      </c>
    </row>
    <row r="1191" spans="1:2" ht="12.5" x14ac:dyDescent="0.25">
      <c r="A1191" t="str">
        <f ca="1">IFERROR(__xludf.DUMMYFUNCTION("""COMPUTED_VALUE"""),"Oise")</f>
        <v>Oise</v>
      </c>
      <c r="B1191" t="str">
        <f ca="1">IFERROR(__xludf.DUMMYFUNCTION("""COMPUTED_VALUE"""),"FR222")</f>
        <v>FR222</v>
      </c>
    </row>
    <row r="1192" spans="1:2" ht="12.5" x14ac:dyDescent="0.25">
      <c r="A1192" t="str">
        <f ca="1">IFERROR(__xludf.DUMMYFUNCTION("""COMPUTED_VALUE"""),"Olbia-Tempio")</f>
        <v>Olbia-Tempio</v>
      </c>
      <c r="B1192" t="str">
        <f ca="1">IFERROR(__xludf.DUMMYFUNCTION("""COMPUTED_VALUE"""),"ITG29")</f>
        <v>ITG29</v>
      </c>
    </row>
    <row r="1193" spans="1:2" ht="12.5" x14ac:dyDescent="0.25">
      <c r="A1193" t="str">
        <f ca="1">IFERROR(__xludf.DUMMYFUNCTION("""COMPUTED_VALUE"""),"Oldenburg (Oldenburg), Kreisfreie Stadt")</f>
        <v>Oldenburg (Oldenburg), Kreisfreie Stadt</v>
      </c>
      <c r="B1193" t="str">
        <f ca="1">IFERROR(__xludf.DUMMYFUNCTION("""COMPUTED_VALUE"""),"DE943")</f>
        <v>DE943</v>
      </c>
    </row>
    <row r="1194" spans="1:2" ht="12.5" x14ac:dyDescent="0.25">
      <c r="A1194" t="str">
        <f ca="1">IFERROR(__xludf.DUMMYFUNCTION("""COMPUTED_VALUE"""),"Oldenburg, Landkreis")</f>
        <v>Oldenburg, Landkreis</v>
      </c>
      <c r="B1194" t="str">
        <f ca="1">IFERROR(__xludf.DUMMYFUNCTION("""COMPUTED_VALUE"""),"DE94D")</f>
        <v>DE94D</v>
      </c>
    </row>
    <row r="1195" spans="1:2" ht="12.5" x14ac:dyDescent="0.25">
      <c r="A1195" t="str">
        <f ca="1">IFERROR(__xludf.DUMMYFUNCTION("""COMPUTED_VALUE"""),"Olomoucky Kraj")</f>
        <v>Olomoucky Kraj</v>
      </c>
      <c r="B1195" t="str">
        <f ca="1">IFERROR(__xludf.DUMMYFUNCTION("""COMPUTED_VALUE"""),"CZ071")</f>
        <v>CZ071</v>
      </c>
    </row>
    <row r="1196" spans="1:2" ht="12.5" x14ac:dyDescent="0.25">
      <c r="A1196" t="str">
        <f ca="1">IFERROR(__xludf.DUMMYFUNCTION("""COMPUTED_VALUE"""),"Olpe")</f>
        <v>Olpe</v>
      </c>
      <c r="B1196" t="str">
        <f ca="1">IFERROR(__xludf.DUMMYFUNCTION("""COMPUTED_VALUE"""),"DEA59")</f>
        <v>DEA59</v>
      </c>
    </row>
    <row r="1197" spans="1:2" ht="12.5" x14ac:dyDescent="0.25">
      <c r="A1197" t="str">
        <f ca="1">IFERROR(__xludf.DUMMYFUNCTION("""COMPUTED_VALUE"""),"Olsztynski")</f>
        <v>Olsztynski</v>
      </c>
      <c r="B1197" t="str">
        <f ca="1">IFERROR(__xludf.DUMMYFUNCTION("""COMPUTED_VALUE"""),"PL622")</f>
        <v>PL622</v>
      </c>
    </row>
    <row r="1198" spans="1:2" ht="12.5" x14ac:dyDescent="0.25">
      <c r="A1198" t="str">
        <f ca="1">IFERROR(__xludf.DUMMYFUNCTION("""COMPUTED_VALUE"""),"Olt")</f>
        <v>Olt</v>
      </c>
      <c r="B1198" t="str">
        <f ca="1">IFERROR(__xludf.DUMMYFUNCTION("""COMPUTED_VALUE"""),"RO414")</f>
        <v>RO414</v>
      </c>
    </row>
    <row r="1199" spans="1:2" ht="12.5" x14ac:dyDescent="0.25">
      <c r="A1199" t="str">
        <f ca="1">IFERROR(__xludf.DUMMYFUNCTION("""COMPUTED_VALUE"""),"Oost-Groningen")</f>
        <v>Oost-Groningen</v>
      </c>
      <c r="B1199" t="str">
        <f ca="1">IFERROR(__xludf.DUMMYFUNCTION("""COMPUTED_VALUE"""),"NL111")</f>
        <v>NL111</v>
      </c>
    </row>
    <row r="1200" spans="1:2" ht="12.5" x14ac:dyDescent="0.25">
      <c r="A1200" t="str">
        <f ca="1">IFERROR(__xludf.DUMMYFUNCTION("""COMPUTED_VALUE"""),"Oost-Nederland")</f>
        <v>Oost-Nederland</v>
      </c>
      <c r="B1200" t="str">
        <f ca="1">IFERROR(__xludf.DUMMYFUNCTION("""COMPUTED_VALUE"""),"NL2")</f>
        <v>NL2</v>
      </c>
    </row>
    <row r="1201" spans="1:2" ht="12.5" x14ac:dyDescent="0.25">
      <c r="A1201" t="str">
        <f ca="1">IFERROR(__xludf.DUMMYFUNCTION("""COMPUTED_VALUE"""),"Oost-Zuid-Holland")</f>
        <v>Oost-Zuid-Holland</v>
      </c>
      <c r="B1201" t="str">
        <f ca="1">IFERROR(__xludf.DUMMYFUNCTION("""COMPUTED_VALUE"""),"NL334")</f>
        <v>NL334</v>
      </c>
    </row>
    <row r="1202" spans="1:2" ht="12.5" x14ac:dyDescent="0.25">
      <c r="A1202" t="str">
        <f ca="1">IFERROR(__xludf.DUMMYFUNCTION("""COMPUTED_VALUE"""),"Opolski")</f>
        <v>Opolski</v>
      </c>
      <c r="B1202" t="str">
        <f ca="1">IFERROR(__xludf.DUMMYFUNCTION("""COMPUTED_VALUE"""),"PL522")</f>
        <v>PL522</v>
      </c>
    </row>
    <row r="1203" spans="1:2" ht="12.5" x14ac:dyDescent="0.25">
      <c r="A1203" t="str">
        <f ca="1">IFERROR(__xludf.DUMMYFUNCTION("""COMPUTED_VALUE"""),"Opolskie")</f>
        <v>Opolskie</v>
      </c>
      <c r="B1203" t="str">
        <f ca="1">IFERROR(__xludf.DUMMYFUNCTION("""COMPUTED_VALUE"""),"PL52")</f>
        <v>PL52</v>
      </c>
    </row>
    <row r="1204" spans="1:2" ht="12.5" x14ac:dyDescent="0.25">
      <c r="A1204" t="str">
        <f ca="1">IFERROR(__xludf.DUMMYFUNCTION("""COMPUTED_VALUE"""),"Oppland")</f>
        <v>Oppland</v>
      </c>
      <c r="B1204" t="str">
        <f ca="1">IFERROR(__xludf.DUMMYFUNCTION("""COMPUTED_VALUE"""),"NO022")</f>
        <v>NO022</v>
      </c>
    </row>
    <row r="1205" spans="1:2" ht="12.5" x14ac:dyDescent="0.25">
      <c r="A1205" t="str">
        <f ca="1">IFERROR(__xludf.DUMMYFUNCTION("""COMPUTED_VALUE"""),"Örebro Län")</f>
        <v>Örebro Län</v>
      </c>
      <c r="B1205" t="str">
        <f ca="1">IFERROR(__xludf.DUMMYFUNCTION("""COMPUTED_VALUE"""),"SE124")</f>
        <v>SE124</v>
      </c>
    </row>
    <row r="1206" spans="1:2" ht="12.5" x14ac:dyDescent="0.25">
      <c r="A1206" t="str">
        <f ca="1">IFERROR(__xludf.DUMMYFUNCTION("""COMPUTED_VALUE"""),"Oristano")</f>
        <v>Oristano</v>
      </c>
      <c r="B1206" t="str">
        <f ca="1">IFERROR(__xludf.DUMMYFUNCTION("""COMPUTED_VALUE"""),"ITG28")</f>
        <v>ITG28</v>
      </c>
    </row>
    <row r="1207" spans="1:2" ht="12.5" x14ac:dyDescent="0.25">
      <c r="A1207" t="str">
        <f ca="1">IFERROR(__xludf.DUMMYFUNCTION("""COMPUTED_VALUE"""),"Orkney Islands")</f>
        <v>Orkney Islands</v>
      </c>
      <c r="B1207" t="str">
        <f ca="1">IFERROR(__xludf.DUMMYFUNCTION("""COMPUTED_VALUE"""),"UKM65")</f>
        <v>UKM65</v>
      </c>
    </row>
    <row r="1208" spans="1:2" ht="12.5" x14ac:dyDescent="0.25">
      <c r="A1208" t="str">
        <f ca="1">IFERROR(__xludf.DUMMYFUNCTION("""COMPUTED_VALUE"""),"Orne")</f>
        <v>Orne</v>
      </c>
      <c r="B1208" t="str">
        <f ca="1">IFERROR(__xludf.DUMMYFUNCTION("""COMPUTED_VALUE"""),"FR253")</f>
        <v>FR253</v>
      </c>
    </row>
    <row r="1209" spans="1:2" ht="12.5" x14ac:dyDescent="0.25">
      <c r="A1209" t="str">
        <f ca="1">IFERROR(__xludf.DUMMYFUNCTION("""COMPUTED_VALUE"""),"Ortenaukreis")</f>
        <v>Ortenaukreis</v>
      </c>
      <c r="B1209" t="str">
        <f ca="1">IFERROR(__xludf.DUMMYFUNCTION("""COMPUTED_VALUE"""),"DE134")</f>
        <v>DE134</v>
      </c>
    </row>
    <row r="1210" spans="1:2" ht="12.5" x14ac:dyDescent="0.25">
      <c r="A1210" t="str">
        <f ca="1">IFERROR(__xludf.DUMMYFUNCTION("""COMPUTED_VALUE"""),"Oslo")</f>
        <v>Oslo</v>
      </c>
      <c r="B1210" t="str">
        <f ca="1">IFERROR(__xludf.DUMMYFUNCTION("""COMPUTED_VALUE"""),"NO011")</f>
        <v>NO011</v>
      </c>
    </row>
    <row r="1211" spans="1:2" ht="12.5" x14ac:dyDescent="0.25">
      <c r="A1211" t="str">
        <f ca="1">IFERROR(__xludf.DUMMYFUNCTION("""COMPUTED_VALUE"""),"Oslo Og Akershus")</f>
        <v>Oslo Og Akershus</v>
      </c>
      <c r="B1211" t="str">
        <f ca="1">IFERROR(__xludf.DUMMYFUNCTION("""COMPUTED_VALUE"""),"NO01")</f>
        <v>NO01</v>
      </c>
    </row>
    <row r="1212" spans="1:2" ht="12.5" x14ac:dyDescent="0.25">
      <c r="A1212" t="str">
        <f ca="1">IFERROR(__xludf.DUMMYFUNCTION("""COMPUTED_VALUE"""),"Osnabrück, Kreisfreie Stadt")</f>
        <v>Osnabrück, Kreisfreie Stadt</v>
      </c>
      <c r="B1212" t="str">
        <f ca="1">IFERROR(__xludf.DUMMYFUNCTION("""COMPUTED_VALUE"""),"DE944")</f>
        <v>DE944</v>
      </c>
    </row>
    <row r="1213" spans="1:2" ht="12.5" x14ac:dyDescent="0.25">
      <c r="A1213" t="str">
        <f ca="1">IFERROR(__xludf.DUMMYFUNCTION("""COMPUTED_VALUE"""),"Osnabrück, Landkreis")</f>
        <v>Osnabrück, Landkreis</v>
      </c>
      <c r="B1213" t="str">
        <f ca="1">IFERROR(__xludf.DUMMYFUNCTION("""COMPUTED_VALUE"""),"DE94E")</f>
        <v>DE94E</v>
      </c>
    </row>
    <row r="1214" spans="1:2" ht="12.5" x14ac:dyDescent="0.25">
      <c r="A1214" t="str">
        <f ca="1">IFERROR(__xludf.DUMMYFUNCTION("""COMPUTED_VALUE"""),"Osrednjeslovenska")</f>
        <v>Osrednjeslovenska</v>
      </c>
      <c r="B1214" t="str">
        <f ca="1">IFERROR(__xludf.DUMMYFUNCTION("""COMPUTED_VALUE"""),"SI021")</f>
        <v>SI021</v>
      </c>
    </row>
    <row r="1215" spans="1:2" ht="12.5" x14ac:dyDescent="0.25">
      <c r="A1215" t="str">
        <f ca="1">IFERROR(__xludf.DUMMYFUNCTION("""COMPUTED_VALUE"""),"Ostalbkreis")</f>
        <v>Ostalbkreis</v>
      </c>
      <c r="B1215" t="str">
        <f ca="1">IFERROR(__xludf.DUMMYFUNCTION("""COMPUTED_VALUE"""),"DE11D")</f>
        <v>DE11D</v>
      </c>
    </row>
    <row r="1216" spans="1:2" ht="12.5" x14ac:dyDescent="0.25">
      <c r="A1216" t="str">
        <f ca="1">IFERROR(__xludf.DUMMYFUNCTION("""COMPUTED_VALUE"""),"Ostallgäu")</f>
        <v>Ostallgäu</v>
      </c>
      <c r="B1216" t="str">
        <f ca="1">IFERROR(__xludf.DUMMYFUNCTION("""COMPUTED_VALUE"""),"DE27B")</f>
        <v>DE27B</v>
      </c>
    </row>
    <row r="1217" spans="1:2" ht="12.5" x14ac:dyDescent="0.25">
      <c r="A1217" t="str">
        <f ca="1">IFERROR(__xludf.DUMMYFUNCTION("""COMPUTED_VALUE"""),"Östergötlands Län")</f>
        <v>Östergötlands Län</v>
      </c>
      <c r="B1217" t="str">
        <f ca="1">IFERROR(__xludf.DUMMYFUNCTION("""COMPUTED_VALUE"""),"SE123")</f>
        <v>SE123</v>
      </c>
    </row>
    <row r="1218" spans="1:2" ht="12.5" x14ac:dyDescent="0.25">
      <c r="A1218" t="str">
        <f ca="1">IFERROR(__xludf.DUMMYFUNCTION("""COMPUTED_VALUE"""),"Osterholz")</f>
        <v>Osterholz</v>
      </c>
      <c r="B1218" t="str">
        <f ca="1">IFERROR(__xludf.DUMMYFUNCTION("""COMPUTED_VALUE"""),"DE936")</f>
        <v>DE936</v>
      </c>
    </row>
    <row r="1219" spans="1:2" ht="12.5" x14ac:dyDescent="0.25">
      <c r="A1219" t="str">
        <f ca="1">IFERROR(__xludf.DUMMYFUNCTION("""COMPUTED_VALUE"""),"Osterode Am Harz")</f>
        <v>Osterode Am Harz</v>
      </c>
      <c r="B1219" t="str">
        <f ca="1">IFERROR(__xludf.DUMMYFUNCTION("""COMPUTED_VALUE"""),"DE919")</f>
        <v>DE919</v>
      </c>
    </row>
    <row r="1220" spans="1:2" ht="12.5" x14ac:dyDescent="0.25">
      <c r="A1220" t="str">
        <f ca="1">IFERROR(__xludf.DUMMYFUNCTION("""COMPUTED_VALUE"""),"Österreich")</f>
        <v>Österreich</v>
      </c>
      <c r="B1220" t="str">
        <f ca="1">IFERROR(__xludf.DUMMYFUNCTION("""COMPUTED_VALUE"""),"AT")</f>
        <v>AT</v>
      </c>
    </row>
    <row r="1221" spans="1:2" ht="12.5" x14ac:dyDescent="0.25">
      <c r="A1221" t="str">
        <f ca="1">IFERROR(__xludf.DUMMYFUNCTION("""COMPUTED_VALUE"""),"Østfold")</f>
        <v>Østfold</v>
      </c>
      <c r="B1221" t="str">
        <f ca="1">IFERROR(__xludf.DUMMYFUNCTION("""COMPUTED_VALUE"""),"NO031")</f>
        <v>NO031</v>
      </c>
    </row>
    <row r="1222" spans="1:2" ht="12.5" x14ac:dyDescent="0.25">
      <c r="A1222" t="str">
        <f ca="1">IFERROR(__xludf.DUMMYFUNCTION("""COMPUTED_VALUE"""),"Ostholstein")</f>
        <v>Ostholstein</v>
      </c>
      <c r="B1222" t="str">
        <f ca="1">IFERROR(__xludf.DUMMYFUNCTION("""COMPUTED_VALUE"""),"DEF08")</f>
        <v>DEF08</v>
      </c>
    </row>
    <row r="1223" spans="1:2" ht="12.5" x14ac:dyDescent="0.25">
      <c r="A1223" t="str">
        <f ca="1">IFERROR(__xludf.DUMMYFUNCTION("""COMPUTED_VALUE"""),"Østjylland")</f>
        <v>Østjylland</v>
      </c>
      <c r="B1223" t="str">
        <f ca="1">IFERROR(__xludf.DUMMYFUNCTION("""COMPUTED_VALUE"""),"DK042")</f>
        <v>DK042</v>
      </c>
    </row>
    <row r="1224" spans="1:2" ht="12.5" x14ac:dyDescent="0.25">
      <c r="A1224" t="str">
        <f ca="1">IFERROR(__xludf.DUMMYFUNCTION("""COMPUTED_VALUE"""),"Östliche Obersteiermark")</f>
        <v>Östliche Obersteiermark</v>
      </c>
      <c r="B1224" t="str">
        <f ca="1">IFERROR(__xludf.DUMMYFUNCTION("""COMPUTED_VALUE"""),"AT223")</f>
        <v>AT223</v>
      </c>
    </row>
    <row r="1225" spans="1:2" ht="12.5" x14ac:dyDescent="0.25">
      <c r="A1225" t="str">
        <f ca="1">IFERROR(__xludf.DUMMYFUNCTION("""COMPUTED_VALUE"""),"Ostösterreich")</f>
        <v>Ostösterreich</v>
      </c>
      <c r="B1225" t="str">
        <f ca="1">IFERROR(__xludf.DUMMYFUNCTION("""COMPUTED_VALUE"""),"AT1")</f>
        <v>AT1</v>
      </c>
    </row>
    <row r="1226" spans="1:2" ht="12.5" x14ac:dyDescent="0.25">
      <c r="A1226" t="str">
        <f ca="1">IFERROR(__xludf.DUMMYFUNCTION("""COMPUTED_VALUE"""),"Ostprignitz-Ruppin")</f>
        <v>Ostprignitz-Ruppin</v>
      </c>
      <c r="B1226" t="str">
        <f ca="1">IFERROR(__xludf.DUMMYFUNCTION("""COMPUTED_VALUE"""),"DE416")</f>
        <v>DE416</v>
      </c>
    </row>
    <row r="1227" spans="1:2" ht="12.5" x14ac:dyDescent="0.25">
      <c r="A1227" t="str">
        <f ca="1">IFERROR(__xludf.DUMMYFUNCTION("""COMPUTED_VALUE"""),"Östra Mellansverige")</f>
        <v>Östra Mellansverige</v>
      </c>
      <c r="B1227" t="str">
        <f ca="1">IFERROR(__xludf.DUMMYFUNCTION("""COMPUTED_VALUE"""),"SE12")</f>
        <v>SE12</v>
      </c>
    </row>
    <row r="1228" spans="1:2" ht="12.5" x14ac:dyDescent="0.25">
      <c r="A1228" t="str">
        <f ca="1">IFERROR(__xludf.DUMMYFUNCTION("""COMPUTED_VALUE"""),"Östra Sverige")</f>
        <v>Östra Sverige</v>
      </c>
      <c r="B1228" t="str">
        <f ca="1">IFERROR(__xludf.DUMMYFUNCTION("""COMPUTED_VALUE"""),"SE1")</f>
        <v>SE1</v>
      </c>
    </row>
    <row r="1229" spans="1:2" ht="12.5" x14ac:dyDescent="0.25">
      <c r="A1229" t="str">
        <f ca="1">IFERROR(__xludf.DUMMYFUNCTION("""COMPUTED_VALUE"""),"Ostrolecko-Siedlecki")</f>
        <v>Ostrolecko-Siedlecki</v>
      </c>
      <c r="B1229" t="str">
        <f ca="1">IFERROR(__xludf.DUMMYFUNCTION("""COMPUTED_VALUE"""),"PL122")</f>
        <v>PL122</v>
      </c>
    </row>
    <row r="1230" spans="1:2" ht="12.5" x14ac:dyDescent="0.25">
      <c r="A1230" t="str">
        <f ca="1">IFERROR(__xludf.DUMMYFUNCTION("""COMPUTED_VALUE"""),"Ostschweiz")</f>
        <v>Ostschweiz</v>
      </c>
      <c r="B1230" t="str">
        <f ca="1">IFERROR(__xludf.DUMMYFUNCTION("""COMPUTED_VALUE"""),"CH05")</f>
        <v>CH05</v>
      </c>
    </row>
    <row r="1231" spans="1:2" ht="12.5" x14ac:dyDescent="0.25">
      <c r="A1231" t="str">
        <f ca="1">IFERROR(__xludf.DUMMYFUNCTION("""COMPUTED_VALUE"""),"Østsjælland")</f>
        <v>Østsjælland</v>
      </c>
      <c r="B1231" t="str">
        <f ca="1">IFERROR(__xludf.DUMMYFUNCTION("""COMPUTED_VALUE"""),"DK021")</f>
        <v>DK021</v>
      </c>
    </row>
    <row r="1232" spans="1:2" ht="12.5" x14ac:dyDescent="0.25">
      <c r="A1232" t="str">
        <f ca="1">IFERROR(__xludf.DUMMYFUNCTION("""COMPUTED_VALUE"""),"Oststeiermark")</f>
        <v>Oststeiermark</v>
      </c>
      <c r="B1232" t="str">
        <f ca="1">IFERROR(__xludf.DUMMYFUNCTION("""COMPUTED_VALUE"""),"AT224")</f>
        <v>AT224</v>
      </c>
    </row>
    <row r="1233" spans="1:2" ht="12.5" x14ac:dyDescent="0.25">
      <c r="A1233" t="str">
        <f ca="1">IFERROR(__xludf.DUMMYFUNCTION("""COMPUTED_VALUE"""),"Osttirol")</f>
        <v>Osttirol</v>
      </c>
      <c r="B1233" t="str">
        <f ca="1">IFERROR(__xludf.DUMMYFUNCTION("""COMPUTED_VALUE"""),"AT333")</f>
        <v>AT333</v>
      </c>
    </row>
    <row r="1234" spans="1:2" ht="12.5" x14ac:dyDescent="0.25">
      <c r="A1234" t="str">
        <f ca="1">IFERROR(__xludf.DUMMYFUNCTION("""COMPUTED_VALUE"""),"Ostvorpommern")</f>
        <v>Ostvorpommern</v>
      </c>
      <c r="B1234" t="str">
        <f ca="1">IFERROR(__xludf.DUMMYFUNCTION("""COMPUTED_VALUE"""),"DE80F")</f>
        <v>DE80F</v>
      </c>
    </row>
    <row r="1235" spans="1:2" ht="12.5" x14ac:dyDescent="0.25">
      <c r="A1235" t="str">
        <f ca="1">IFERROR(__xludf.DUMMYFUNCTION("""COMPUTED_VALUE"""),"Oswiecimski")</f>
        <v>Oswiecimski</v>
      </c>
      <c r="B1235" t="str">
        <f ca="1">IFERROR(__xludf.DUMMYFUNCTION("""COMPUTED_VALUE"""),"PL216")</f>
        <v>PL216</v>
      </c>
    </row>
    <row r="1236" spans="1:2" ht="12.5" x14ac:dyDescent="0.25">
      <c r="A1236" t="str">
        <f ca="1">IFERROR(__xludf.DUMMYFUNCTION("""COMPUTED_VALUE"""),"Ouest")</f>
        <v>Ouest</v>
      </c>
      <c r="B1236" t="str">
        <f ca="1">IFERROR(__xludf.DUMMYFUNCTION("""COMPUTED_VALUE"""),"FR5")</f>
        <v>FR5</v>
      </c>
    </row>
    <row r="1237" spans="1:2" ht="12.5" x14ac:dyDescent="0.25">
      <c r="A1237" t="str">
        <f ca="1">IFERROR(__xludf.DUMMYFUNCTION("""COMPUTED_VALUE"""),"Ourense")</f>
        <v>Ourense</v>
      </c>
      <c r="B1237" t="str">
        <f ca="1">IFERROR(__xludf.DUMMYFUNCTION("""COMPUTED_VALUE"""),"ES113")</f>
        <v>ES113</v>
      </c>
    </row>
    <row r="1238" spans="1:2" ht="12.5" x14ac:dyDescent="0.25">
      <c r="A1238" t="str">
        <f ca="1">IFERROR(__xludf.DUMMYFUNCTION("""COMPUTED_VALUE"""),"Outer Belfast")</f>
        <v>Outer Belfast</v>
      </c>
      <c r="B1238" t="str">
        <f ca="1">IFERROR(__xludf.DUMMYFUNCTION("""COMPUTED_VALUE"""),"UKN02")</f>
        <v>UKN02</v>
      </c>
    </row>
    <row r="1239" spans="1:2" ht="12.5" x14ac:dyDescent="0.25">
      <c r="A1239" t="str">
        <f ca="1">IFERROR(__xludf.DUMMYFUNCTION("""COMPUTED_VALUE"""),"Outer London")</f>
        <v>Outer London</v>
      </c>
      <c r="B1239" t="str">
        <f ca="1">IFERROR(__xludf.DUMMYFUNCTION("""COMPUTED_VALUE"""),"UKI2")</f>
        <v>UKI2</v>
      </c>
    </row>
    <row r="1240" spans="1:2" ht="12.5" x14ac:dyDescent="0.25">
      <c r="A1240" t="str">
        <f ca="1">IFERROR(__xludf.DUMMYFUNCTION("""COMPUTED_VALUE"""),"Outer London - East And North East")</f>
        <v>Outer London - East And North East</v>
      </c>
      <c r="B1240" t="str">
        <f ca="1">IFERROR(__xludf.DUMMYFUNCTION("""COMPUTED_VALUE"""),"UKI21")</f>
        <v>UKI21</v>
      </c>
    </row>
    <row r="1241" spans="1:2" ht="12.5" x14ac:dyDescent="0.25">
      <c r="A1241" t="str">
        <f ca="1">IFERROR(__xludf.DUMMYFUNCTION("""COMPUTED_VALUE"""),"Outer London - South")</f>
        <v>Outer London - South</v>
      </c>
      <c r="B1241" t="str">
        <f ca="1">IFERROR(__xludf.DUMMYFUNCTION("""COMPUTED_VALUE"""),"UKI22")</f>
        <v>UKI22</v>
      </c>
    </row>
    <row r="1242" spans="1:2" ht="12.5" x14ac:dyDescent="0.25">
      <c r="A1242" t="str">
        <f ca="1">IFERROR(__xludf.DUMMYFUNCTION("""COMPUTED_VALUE"""),"Outer London - West And North West")</f>
        <v>Outer London - West And North West</v>
      </c>
      <c r="B1242" t="str">
        <f ca="1">IFERROR(__xludf.DUMMYFUNCTION("""COMPUTED_VALUE"""),"UKI23")</f>
        <v>UKI23</v>
      </c>
    </row>
    <row r="1243" spans="1:2" ht="12.5" x14ac:dyDescent="0.25">
      <c r="A1243" t="str">
        <f ca="1">IFERROR(__xludf.DUMMYFUNCTION("""COMPUTED_VALUE"""),"Overig Groningen")</f>
        <v>Overig Groningen</v>
      </c>
      <c r="B1243" t="str">
        <f ca="1">IFERROR(__xludf.DUMMYFUNCTION("""COMPUTED_VALUE"""),"NL113")</f>
        <v>NL113</v>
      </c>
    </row>
    <row r="1244" spans="1:2" ht="12.5" x14ac:dyDescent="0.25">
      <c r="A1244" t="str">
        <f ca="1">IFERROR(__xludf.DUMMYFUNCTION("""COMPUTED_VALUE"""),"Overig Zeeland")</f>
        <v>Overig Zeeland</v>
      </c>
      <c r="B1244" t="str">
        <f ca="1">IFERROR(__xludf.DUMMYFUNCTION("""COMPUTED_VALUE"""),"NL342")</f>
        <v>NL342</v>
      </c>
    </row>
    <row r="1245" spans="1:2" ht="12.5" x14ac:dyDescent="0.25">
      <c r="A1245" t="str">
        <f ca="1">IFERROR(__xludf.DUMMYFUNCTION("""COMPUTED_VALUE"""),"Overijssel")</f>
        <v>Overijssel</v>
      </c>
      <c r="B1245" t="str">
        <f ca="1">IFERROR(__xludf.DUMMYFUNCTION("""COMPUTED_VALUE"""),"NL21")</f>
        <v>NL21</v>
      </c>
    </row>
    <row r="1246" spans="1:2" ht="12.5" x14ac:dyDescent="0.25">
      <c r="A1246" t="str">
        <f ca="1">IFERROR(__xludf.DUMMYFUNCTION("""COMPUTED_VALUE"""),"Övre Norrland")</f>
        <v>Övre Norrland</v>
      </c>
      <c r="B1246" t="str">
        <f ca="1">IFERROR(__xludf.DUMMYFUNCTION("""COMPUTED_VALUE"""),"SE33")</f>
        <v>SE33</v>
      </c>
    </row>
    <row r="1247" spans="1:2" ht="12.5" x14ac:dyDescent="0.25">
      <c r="A1247" t="str">
        <f ca="1">IFERROR(__xludf.DUMMYFUNCTION("""COMPUTED_VALUE"""),"Oxfordshire")</f>
        <v>Oxfordshire</v>
      </c>
      <c r="B1247" t="str">
        <f ca="1">IFERROR(__xludf.DUMMYFUNCTION("""COMPUTED_VALUE"""),"UKJ14")</f>
        <v>UKJ14</v>
      </c>
    </row>
    <row r="1248" spans="1:2" ht="12.5" x14ac:dyDescent="0.25">
      <c r="A1248" t="str">
        <f ca="1">IFERROR(__xludf.DUMMYFUNCTION("""COMPUTED_VALUE"""),"Paderborn")</f>
        <v>Paderborn</v>
      </c>
      <c r="B1248" t="str">
        <f ca="1">IFERROR(__xludf.DUMMYFUNCTION("""COMPUTED_VALUE"""),"DEA47")</f>
        <v>DEA47</v>
      </c>
    </row>
    <row r="1249" spans="1:2" ht="12.5" x14ac:dyDescent="0.25">
      <c r="A1249" t="str">
        <f ca="1">IFERROR(__xludf.DUMMYFUNCTION("""COMPUTED_VALUE"""),"Padova")</f>
        <v>Padova</v>
      </c>
      <c r="B1249" t="str">
        <f ca="1">IFERROR(__xludf.DUMMYFUNCTION("""COMPUTED_VALUE"""),"ITD36")</f>
        <v>ITD36</v>
      </c>
    </row>
    <row r="1250" spans="1:2" ht="12.5" x14ac:dyDescent="0.25">
      <c r="A1250" t="str">
        <f ca="1">IFERROR(__xludf.DUMMYFUNCTION("""COMPUTED_VALUE"""),"Päijät-Häme")</f>
        <v>Päijät-Häme</v>
      </c>
      <c r="B1250" t="str">
        <f ca="1">IFERROR(__xludf.DUMMYFUNCTION("""COMPUTED_VALUE"""),"FI185")</f>
        <v>FI185</v>
      </c>
    </row>
    <row r="1251" spans="1:2" ht="12.5" x14ac:dyDescent="0.25">
      <c r="A1251" t="str">
        <f ca="1">IFERROR(__xludf.DUMMYFUNCTION("""COMPUTED_VALUE"""),"País Vasco")</f>
        <v>País Vasco</v>
      </c>
      <c r="B1251" t="str">
        <f ca="1">IFERROR(__xludf.DUMMYFUNCTION("""COMPUTED_VALUE"""),"ES21")</f>
        <v>ES21</v>
      </c>
    </row>
    <row r="1252" spans="1:2" ht="12.5" x14ac:dyDescent="0.25">
      <c r="A1252" t="str">
        <f ca="1">IFERROR(__xludf.DUMMYFUNCTION("""COMPUTED_VALUE"""),"Palencia")</f>
        <v>Palencia</v>
      </c>
      <c r="B1252" t="str">
        <f ca="1">IFERROR(__xludf.DUMMYFUNCTION("""COMPUTED_VALUE"""),"ES414")</f>
        <v>ES414</v>
      </c>
    </row>
    <row r="1253" spans="1:2" ht="12.5" x14ac:dyDescent="0.25">
      <c r="A1253" t="str">
        <f ca="1">IFERROR(__xludf.DUMMYFUNCTION("""COMPUTED_VALUE"""),"Palermo")</f>
        <v>Palermo</v>
      </c>
      <c r="B1253" t="str">
        <f ca="1">IFERROR(__xludf.DUMMYFUNCTION("""COMPUTED_VALUE"""),"ITG12")</f>
        <v>ITG12</v>
      </c>
    </row>
    <row r="1254" spans="1:2" ht="12.5" x14ac:dyDescent="0.25">
      <c r="A1254" t="str">
        <f ca="1">IFERROR(__xludf.DUMMYFUNCTION("""COMPUTED_VALUE"""),"Panevezio Apskritis")</f>
        <v>Panevezio Apskritis</v>
      </c>
      <c r="B1254" t="str">
        <f ca="1">IFERROR(__xludf.DUMMYFUNCTION("""COMPUTED_VALUE"""),"LT005")</f>
        <v>LT005</v>
      </c>
    </row>
    <row r="1255" spans="1:2" ht="12.5" x14ac:dyDescent="0.25">
      <c r="A1255" t="str">
        <f ca="1">IFERROR(__xludf.DUMMYFUNCTION("""COMPUTED_VALUE"""),"Parchim")</f>
        <v>Parchim</v>
      </c>
      <c r="B1255" t="str">
        <f ca="1">IFERROR(__xludf.DUMMYFUNCTION("""COMPUTED_VALUE"""),"DE80G")</f>
        <v>DE80G</v>
      </c>
    </row>
    <row r="1256" spans="1:2" ht="12.5" x14ac:dyDescent="0.25">
      <c r="A1256" t="str">
        <f ca="1">IFERROR(__xludf.DUMMYFUNCTION("""COMPUTED_VALUE"""),"Pardubicky Kraj")</f>
        <v>Pardubicky Kraj</v>
      </c>
      <c r="B1256" t="str">
        <f ca="1">IFERROR(__xludf.DUMMYFUNCTION("""COMPUTED_VALUE"""),"CZ053")</f>
        <v>CZ053</v>
      </c>
    </row>
    <row r="1257" spans="1:2" ht="12.5" x14ac:dyDescent="0.25">
      <c r="A1257" t="str">
        <f ca="1">IFERROR(__xludf.DUMMYFUNCTION("""COMPUTED_VALUE"""),"Paris")</f>
        <v>Paris</v>
      </c>
      <c r="B1257" t="str">
        <f ca="1">IFERROR(__xludf.DUMMYFUNCTION("""COMPUTED_VALUE"""),"FR101")</f>
        <v>FR101</v>
      </c>
    </row>
    <row r="1258" spans="1:2" ht="12.5" x14ac:dyDescent="0.25">
      <c r="A1258" t="str">
        <f ca="1">IFERROR(__xludf.DUMMYFUNCTION("""COMPUTED_VALUE"""),"Parma")</f>
        <v>Parma</v>
      </c>
      <c r="B1258" t="str">
        <f ca="1">IFERROR(__xludf.DUMMYFUNCTION("""COMPUTED_VALUE"""),"ITD52")</f>
        <v>ITD52</v>
      </c>
    </row>
    <row r="1259" spans="1:2" ht="12.5" x14ac:dyDescent="0.25">
      <c r="A1259" t="str">
        <f ca="1">IFERROR(__xludf.DUMMYFUNCTION("""COMPUTED_VALUE"""),"Pas-De-Calais")</f>
        <v>Pas-De-Calais</v>
      </c>
      <c r="B1259" t="str">
        <f ca="1">IFERROR(__xludf.DUMMYFUNCTION("""COMPUTED_VALUE"""),"FR302")</f>
        <v>FR302</v>
      </c>
    </row>
    <row r="1260" spans="1:2" ht="12.5" x14ac:dyDescent="0.25">
      <c r="A1260" t="str">
        <f ca="1">IFERROR(__xludf.DUMMYFUNCTION("""COMPUTED_VALUE"""),"Passau, Kreisfreie Stadt")</f>
        <v>Passau, Kreisfreie Stadt</v>
      </c>
      <c r="B1260" t="str">
        <f ca="1">IFERROR(__xludf.DUMMYFUNCTION("""COMPUTED_VALUE"""),"DE222")</f>
        <v>DE222</v>
      </c>
    </row>
    <row r="1261" spans="1:2" ht="12.5" x14ac:dyDescent="0.25">
      <c r="A1261" t="str">
        <f ca="1">IFERROR(__xludf.DUMMYFUNCTION("""COMPUTED_VALUE"""),"Passau, Landkreis")</f>
        <v>Passau, Landkreis</v>
      </c>
      <c r="B1261" t="str">
        <f ca="1">IFERROR(__xludf.DUMMYFUNCTION("""COMPUTED_VALUE"""),"DE228")</f>
        <v>DE228</v>
      </c>
    </row>
    <row r="1262" spans="1:2" ht="12.5" x14ac:dyDescent="0.25">
      <c r="A1262" t="str">
        <f ca="1">IFERROR(__xludf.DUMMYFUNCTION("""COMPUTED_VALUE"""),"Pavia")</f>
        <v>Pavia</v>
      </c>
      <c r="B1262" t="str">
        <f ca="1">IFERROR(__xludf.DUMMYFUNCTION("""COMPUTED_VALUE"""),"ITC48")</f>
        <v>ITC48</v>
      </c>
    </row>
    <row r="1263" spans="1:2" ht="12.5" x14ac:dyDescent="0.25">
      <c r="A1263" t="str">
        <f ca="1">IFERROR(__xludf.DUMMYFUNCTION("""COMPUTED_VALUE"""),"Pays De La Loire")</f>
        <v>Pays De La Loire</v>
      </c>
      <c r="B1263" t="str">
        <f ca="1">IFERROR(__xludf.DUMMYFUNCTION("""COMPUTED_VALUE"""),"FR51")</f>
        <v>FR51</v>
      </c>
    </row>
    <row r="1264" spans="1:2" ht="12.5" x14ac:dyDescent="0.25">
      <c r="A1264" t="str">
        <f ca="1">IFERROR(__xludf.DUMMYFUNCTION("""COMPUTED_VALUE"""),"Pazardzhik")</f>
        <v>Pazardzhik</v>
      </c>
      <c r="B1264" t="str">
        <f ca="1">IFERROR(__xludf.DUMMYFUNCTION("""COMPUTED_VALUE"""),"BG423")</f>
        <v>BG423</v>
      </c>
    </row>
    <row r="1265" spans="1:2" ht="12.5" x14ac:dyDescent="0.25">
      <c r="A1265" t="str">
        <f ca="1">IFERROR(__xludf.DUMMYFUNCTION("""COMPUTED_VALUE"""),"Peine")</f>
        <v>Peine</v>
      </c>
      <c r="B1265" t="str">
        <f ca="1">IFERROR(__xludf.DUMMYFUNCTION("""COMPUTED_VALUE"""),"DE91A")</f>
        <v>DE91A</v>
      </c>
    </row>
    <row r="1266" spans="1:2" ht="12.5" x14ac:dyDescent="0.25">
      <c r="A1266" t="str">
        <f ca="1">IFERROR(__xludf.DUMMYFUNCTION("""COMPUTED_VALUE"""),"Pella")</f>
        <v>Pella</v>
      </c>
      <c r="B1266" t="str">
        <f ca="1">IFERROR(__xludf.DUMMYFUNCTION("""COMPUTED_VALUE"""),"GR124")</f>
        <v>GR124</v>
      </c>
    </row>
    <row r="1267" spans="1:2" ht="12.5" x14ac:dyDescent="0.25">
      <c r="A1267" t="str">
        <f ca="1">IFERROR(__xludf.DUMMYFUNCTION("""COMPUTED_VALUE"""),"Peloponnisos")</f>
        <v>Peloponnisos</v>
      </c>
      <c r="B1267" t="str">
        <f ca="1">IFERROR(__xludf.DUMMYFUNCTION("""COMPUTED_VALUE"""),"GR25")</f>
        <v>GR25</v>
      </c>
    </row>
    <row r="1268" spans="1:2" ht="12.5" x14ac:dyDescent="0.25">
      <c r="A1268" t="str">
        <f ca="1">IFERROR(__xludf.DUMMYFUNCTION("""COMPUTED_VALUE"""),"Península De Setúbal")</f>
        <v>Península De Setúbal</v>
      </c>
      <c r="B1268" t="str">
        <f ca="1">IFERROR(__xludf.DUMMYFUNCTION("""COMPUTED_VALUE"""),"PT172")</f>
        <v>PT172</v>
      </c>
    </row>
    <row r="1269" spans="1:2" ht="12.5" x14ac:dyDescent="0.25">
      <c r="A1269" t="str">
        <f ca="1">IFERROR(__xludf.DUMMYFUNCTION("""COMPUTED_VALUE"""),"Pernik")</f>
        <v>Pernik</v>
      </c>
      <c r="B1269" t="str">
        <f ca="1">IFERROR(__xludf.DUMMYFUNCTION("""COMPUTED_VALUE"""),"BG414")</f>
        <v>BG414</v>
      </c>
    </row>
    <row r="1270" spans="1:2" ht="12.5" x14ac:dyDescent="0.25">
      <c r="A1270" t="str">
        <f ca="1">IFERROR(__xludf.DUMMYFUNCTION("""COMPUTED_VALUE"""),"Perth &amp; Kinross And Stirling")</f>
        <v>Perth &amp; Kinross And Stirling</v>
      </c>
      <c r="B1270" t="str">
        <f ca="1">IFERROR(__xludf.DUMMYFUNCTION("""COMPUTED_VALUE"""),"UKM27")</f>
        <v>UKM27</v>
      </c>
    </row>
    <row r="1271" spans="1:2" ht="12.5" x14ac:dyDescent="0.25">
      <c r="A1271" t="str">
        <f ca="1">IFERROR(__xludf.DUMMYFUNCTION("""COMPUTED_VALUE"""),"Perugia")</f>
        <v>Perugia</v>
      </c>
      <c r="B1271" t="str">
        <f ca="1">IFERROR(__xludf.DUMMYFUNCTION("""COMPUTED_VALUE"""),"ITE21")</f>
        <v>ITE21</v>
      </c>
    </row>
    <row r="1272" spans="1:2" ht="12.5" x14ac:dyDescent="0.25">
      <c r="A1272" t="str">
        <f ca="1">IFERROR(__xludf.DUMMYFUNCTION("""COMPUTED_VALUE"""),"Pesaro E Urbino")</f>
        <v>Pesaro E Urbino</v>
      </c>
      <c r="B1272" t="str">
        <f ca="1">IFERROR(__xludf.DUMMYFUNCTION("""COMPUTED_VALUE"""),"ITE31")</f>
        <v>ITE31</v>
      </c>
    </row>
    <row r="1273" spans="1:2" ht="12.5" x14ac:dyDescent="0.25">
      <c r="A1273" t="str">
        <f ca="1">IFERROR(__xludf.DUMMYFUNCTION("""COMPUTED_VALUE"""),"Pescara")</f>
        <v>Pescara</v>
      </c>
      <c r="B1273" t="str">
        <f ca="1">IFERROR(__xludf.DUMMYFUNCTION("""COMPUTED_VALUE"""),"ITF13")</f>
        <v>ITF13</v>
      </c>
    </row>
    <row r="1274" spans="1:2" ht="12.5" x14ac:dyDescent="0.25">
      <c r="A1274" t="str">
        <f ca="1">IFERROR(__xludf.DUMMYFUNCTION("""COMPUTED_VALUE"""),"Pest")</f>
        <v>Pest</v>
      </c>
      <c r="B1274" t="str">
        <f ca="1">IFERROR(__xludf.DUMMYFUNCTION("""COMPUTED_VALUE"""),"HU102")</f>
        <v>HU102</v>
      </c>
    </row>
    <row r="1275" spans="1:2" ht="12.5" x14ac:dyDescent="0.25">
      <c r="A1275" t="str">
        <f ca="1">IFERROR(__xludf.DUMMYFUNCTION("""COMPUTED_VALUE"""),"Peterborough")</f>
        <v>Peterborough</v>
      </c>
      <c r="B1275" t="str">
        <f ca="1">IFERROR(__xludf.DUMMYFUNCTION("""COMPUTED_VALUE"""),"UKH11")</f>
        <v>UKH11</v>
      </c>
    </row>
    <row r="1276" spans="1:2" ht="12.5" x14ac:dyDescent="0.25">
      <c r="A1276" t="str">
        <f ca="1">IFERROR(__xludf.DUMMYFUNCTION("""COMPUTED_VALUE"""),"Pfaffenhofen A. D. Ilm")</f>
        <v>Pfaffenhofen A. D. Ilm</v>
      </c>
      <c r="B1276" t="str">
        <f ca="1">IFERROR(__xludf.DUMMYFUNCTION("""COMPUTED_VALUE"""),"DE21J")</f>
        <v>DE21J</v>
      </c>
    </row>
    <row r="1277" spans="1:2" ht="12.5" x14ac:dyDescent="0.25">
      <c r="A1277" t="str">
        <f ca="1">IFERROR(__xludf.DUMMYFUNCTION("""COMPUTED_VALUE"""),"Pforzheim, Stadtkreis")</f>
        <v>Pforzheim, Stadtkreis</v>
      </c>
      <c r="B1277" t="str">
        <f ca="1">IFERROR(__xludf.DUMMYFUNCTION("""COMPUTED_VALUE"""),"DE129")</f>
        <v>DE129</v>
      </c>
    </row>
    <row r="1278" spans="1:2" ht="12.5" x14ac:dyDescent="0.25">
      <c r="A1278" t="str">
        <f ca="1">IFERROR(__xludf.DUMMYFUNCTION("""COMPUTED_VALUE"""),"Piacenza")</f>
        <v>Piacenza</v>
      </c>
      <c r="B1278" t="str">
        <f ca="1">IFERROR(__xludf.DUMMYFUNCTION("""COMPUTED_VALUE"""),"ITD51")</f>
        <v>ITD51</v>
      </c>
    </row>
    <row r="1279" spans="1:2" ht="12.5" x14ac:dyDescent="0.25">
      <c r="A1279" t="str">
        <f ca="1">IFERROR(__xludf.DUMMYFUNCTION("""COMPUTED_VALUE"""),"Picardie")</f>
        <v>Picardie</v>
      </c>
      <c r="B1279" t="str">
        <f ca="1">IFERROR(__xludf.DUMMYFUNCTION("""COMPUTED_VALUE"""),"FR22")</f>
        <v>FR22</v>
      </c>
    </row>
    <row r="1280" spans="1:2" ht="12.5" x14ac:dyDescent="0.25">
      <c r="A1280" t="str">
        <f ca="1">IFERROR(__xludf.DUMMYFUNCTION("""COMPUTED_VALUE"""),"Piemonte")</f>
        <v>Piemonte</v>
      </c>
      <c r="B1280" t="str">
        <f ca="1">IFERROR(__xludf.DUMMYFUNCTION("""COMPUTED_VALUE"""),"ITC1")</f>
        <v>ITC1</v>
      </c>
    </row>
    <row r="1281" spans="1:2" ht="12.5" x14ac:dyDescent="0.25">
      <c r="A1281" t="str">
        <f ca="1">IFERROR(__xludf.DUMMYFUNCTION("""COMPUTED_VALUE"""),"Pieria")</f>
        <v>Pieria</v>
      </c>
      <c r="B1281" t="str">
        <f ca="1">IFERROR(__xludf.DUMMYFUNCTION("""COMPUTED_VALUE"""),"GR125")</f>
        <v>GR125</v>
      </c>
    </row>
    <row r="1282" spans="1:2" ht="12.5" x14ac:dyDescent="0.25">
      <c r="A1282" t="str">
        <f ca="1">IFERROR(__xludf.DUMMYFUNCTION("""COMPUTED_VALUE"""),"Pieriga")</f>
        <v>Pieriga</v>
      </c>
      <c r="B1282" t="str">
        <f ca="1">IFERROR(__xludf.DUMMYFUNCTION("""COMPUTED_VALUE"""),"LV007")</f>
        <v>LV007</v>
      </c>
    </row>
    <row r="1283" spans="1:2" ht="12.5" x14ac:dyDescent="0.25">
      <c r="A1283" t="str">
        <f ca="1">IFERROR(__xludf.DUMMYFUNCTION("""COMPUTED_VALUE"""),"Pilski")</f>
        <v>Pilski</v>
      </c>
      <c r="B1283" t="str">
        <f ca="1">IFERROR(__xludf.DUMMYFUNCTION("""COMPUTED_VALUE"""),"PL411")</f>
        <v>PL411</v>
      </c>
    </row>
    <row r="1284" spans="1:2" ht="12.5" x14ac:dyDescent="0.25">
      <c r="A1284" t="str">
        <f ca="1">IFERROR(__xludf.DUMMYFUNCTION("""COMPUTED_VALUE"""),"Pinhal Interior Norte")</f>
        <v>Pinhal Interior Norte</v>
      </c>
      <c r="B1284" t="str">
        <f ca="1">IFERROR(__xludf.DUMMYFUNCTION("""COMPUTED_VALUE"""),"PT164")</f>
        <v>PT164</v>
      </c>
    </row>
    <row r="1285" spans="1:2" ht="12.5" x14ac:dyDescent="0.25">
      <c r="A1285" t="str">
        <f ca="1">IFERROR(__xludf.DUMMYFUNCTION("""COMPUTED_VALUE"""),"Pinhal Interior Sul")</f>
        <v>Pinhal Interior Sul</v>
      </c>
      <c r="B1285" t="str">
        <f ca="1">IFERROR(__xludf.DUMMYFUNCTION("""COMPUTED_VALUE"""),"PT166")</f>
        <v>PT166</v>
      </c>
    </row>
    <row r="1286" spans="1:2" ht="12.5" x14ac:dyDescent="0.25">
      <c r="A1286" t="str">
        <f ca="1">IFERROR(__xludf.DUMMYFUNCTION("""COMPUTED_VALUE"""),"Pinhal Litoral")</f>
        <v>Pinhal Litoral</v>
      </c>
      <c r="B1286" t="str">
        <f ca="1">IFERROR(__xludf.DUMMYFUNCTION("""COMPUTED_VALUE"""),"PT163")</f>
        <v>PT163</v>
      </c>
    </row>
    <row r="1287" spans="1:2" ht="12.5" x14ac:dyDescent="0.25">
      <c r="A1287" t="str">
        <f ca="1">IFERROR(__xludf.DUMMYFUNCTION("""COMPUTED_VALUE"""),"Pinneberg")</f>
        <v>Pinneberg</v>
      </c>
      <c r="B1287" t="str">
        <f ca="1">IFERROR(__xludf.DUMMYFUNCTION("""COMPUTED_VALUE"""),"DEF09")</f>
        <v>DEF09</v>
      </c>
    </row>
    <row r="1288" spans="1:2" ht="12.5" x14ac:dyDescent="0.25">
      <c r="A1288" t="str">
        <f ca="1">IFERROR(__xludf.DUMMYFUNCTION("""COMPUTED_VALUE"""),"Pinzgau-Pongau")</f>
        <v>Pinzgau-Pongau</v>
      </c>
      <c r="B1288" t="str">
        <f ca="1">IFERROR(__xludf.DUMMYFUNCTION("""COMPUTED_VALUE"""),"AT322")</f>
        <v>AT322</v>
      </c>
    </row>
    <row r="1289" spans="1:2" ht="12.5" x14ac:dyDescent="0.25">
      <c r="A1289" t="str">
        <f ca="1">IFERROR(__xludf.DUMMYFUNCTION("""COMPUTED_VALUE"""),"Piotrkowski")</f>
        <v>Piotrkowski</v>
      </c>
      <c r="B1289" t="str">
        <f ca="1">IFERROR(__xludf.DUMMYFUNCTION("""COMPUTED_VALUE"""),"PL115")</f>
        <v>PL115</v>
      </c>
    </row>
    <row r="1290" spans="1:2" ht="12.5" x14ac:dyDescent="0.25">
      <c r="A1290" t="str">
        <f ca="1">IFERROR(__xludf.DUMMYFUNCTION("""COMPUTED_VALUE"""),"Pirkanmaa")</f>
        <v>Pirkanmaa</v>
      </c>
      <c r="B1290" t="str">
        <f ca="1">IFERROR(__xludf.DUMMYFUNCTION("""COMPUTED_VALUE"""),"FI197")</f>
        <v>FI197</v>
      </c>
    </row>
    <row r="1291" spans="1:2" ht="12.5" x14ac:dyDescent="0.25">
      <c r="A1291" t="str">
        <f ca="1">IFERROR(__xludf.DUMMYFUNCTION("""COMPUTED_VALUE"""),"Pirmasens, Kreisfreie Stadt")</f>
        <v>Pirmasens, Kreisfreie Stadt</v>
      </c>
      <c r="B1291" t="str">
        <f ca="1">IFERROR(__xludf.DUMMYFUNCTION("""COMPUTED_VALUE"""),"DEB37")</f>
        <v>DEB37</v>
      </c>
    </row>
    <row r="1292" spans="1:2" ht="12.5" x14ac:dyDescent="0.25">
      <c r="A1292" t="str">
        <f ca="1">IFERROR(__xludf.DUMMYFUNCTION("""COMPUTED_VALUE"""),"Pisa")</f>
        <v>Pisa</v>
      </c>
      <c r="B1292" t="str">
        <f ca="1">IFERROR(__xludf.DUMMYFUNCTION("""COMPUTED_VALUE"""),"ITE17")</f>
        <v>ITE17</v>
      </c>
    </row>
    <row r="1293" spans="1:2" ht="12.5" x14ac:dyDescent="0.25">
      <c r="A1293" t="str">
        <f ca="1">IFERROR(__xludf.DUMMYFUNCTION("""COMPUTED_VALUE"""),"Pistoia")</f>
        <v>Pistoia</v>
      </c>
      <c r="B1293" t="str">
        <f ca="1">IFERROR(__xludf.DUMMYFUNCTION("""COMPUTED_VALUE"""),"ITE13")</f>
        <v>ITE13</v>
      </c>
    </row>
    <row r="1294" spans="1:2" ht="12.5" x14ac:dyDescent="0.25">
      <c r="A1294" t="str">
        <f ca="1">IFERROR(__xludf.DUMMYFUNCTION("""COMPUTED_VALUE"""),"Plauen, Kreisfreie Stadt")</f>
        <v>Plauen, Kreisfreie Stadt</v>
      </c>
      <c r="B1294" t="str">
        <f ca="1">IFERROR(__xludf.DUMMYFUNCTION("""COMPUTED_VALUE"""),"DED12")</f>
        <v>DED12</v>
      </c>
    </row>
    <row r="1295" spans="1:2" ht="12.5" x14ac:dyDescent="0.25">
      <c r="A1295" t="str">
        <f ca="1">IFERROR(__xludf.DUMMYFUNCTION("""COMPUTED_VALUE"""),"Pleven")</f>
        <v>Pleven</v>
      </c>
      <c r="B1295" t="str">
        <f ca="1">IFERROR(__xludf.DUMMYFUNCTION("""COMPUTED_VALUE"""),"BG314")</f>
        <v>BG314</v>
      </c>
    </row>
    <row r="1296" spans="1:2" ht="12.5" x14ac:dyDescent="0.25">
      <c r="A1296" t="str">
        <f ca="1">IFERROR(__xludf.DUMMYFUNCTION("""COMPUTED_VALUE"""),"Plön")</f>
        <v>Plön</v>
      </c>
      <c r="B1296" t="str">
        <f ca="1">IFERROR(__xludf.DUMMYFUNCTION("""COMPUTED_VALUE"""),"DEF0A")</f>
        <v>DEF0A</v>
      </c>
    </row>
    <row r="1297" spans="1:2" ht="12.5" x14ac:dyDescent="0.25">
      <c r="A1297" t="str">
        <f ca="1">IFERROR(__xludf.DUMMYFUNCTION("""COMPUTED_VALUE"""),"Plovdiv")</f>
        <v>Plovdiv</v>
      </c>
      <c r="B1297" t="str">
        <f ca="1">IFERROR(__xludf.DUMMYFUNCTION("""COMPUTED_VALUE"""),"BG421")</f>
        <v>BG421</v>
      </c>
    </row>
    <row r="1298" spans="1:2" ht="12.5" x14ac:dyDescent="0.25">
      <c r="A1298" t="str">
        <f ca="1">IFERROR(__xludf.DUMMYFUNCTION("""COMPUTED_VALUE"""),"Plymouth")</f>
        <v>Plymouth</v>
      </c>
      <c r="B1298" t="str">
        <f ca="1">IFERROR(__xludf.DUMMYFUNCTION("""COMPUTED_VALUE"""),"UKK41")</f>
        <v>UKK41</v>
      </c>
    </row>
    <row r="1299" spans="1:2" ht="12.5" x14ac:dyDescent="0.25">
      <c r="A1299" t="str">
        <f ca="1">IFERROR(__xludf.DUMMYFUNCTION("""COMPUTED_VALUE"""),"Plzensky Kraj")</f>
        <v>Plzensky Kraj</v>
      </c>
      <c r="B1299" t="str">
        <f ca="1">IFERROR(__xludf.DUMMYFUNCTION("""COMPUTED_VALUE"""),"CZ032")</f>
        <v>CZ032</v>
      </c>
    </row>
    <row r="1300" spans="1:2" ht="12.5" x14ac:dyDescent="0.25">
      <c r="A1300" t="str">
        <f ca="1">IFERROR(__xludf.DUMMYFUNCTION("""COMPUTED_VALUE"""),"Podkarpackie")</f>
        <v>Podkarpackie</v>
      </c>
      <c r="B1300" t="str">
        <f ca="1">IFERROR(__xludf.DUMMYFUNCTION("""COMPUTED_VALUE"""),"PL32")</f>
        <v>PL32</v>
      </c>
    </row>
    <row r="1301" spans="1:2" ht="12.5" x14ac:dyDescent="0.25">
      <c r="A1301" t="str">
        <f ca="1">IFERROR(__xludf.DUMMYFUNCTION("""COMPUTED_VALUE"""),"Podlaskie")</f>
        <v>Podlaskie</v>
      </c>
      <c r="B1301" t="str">
        <f ca="1">IFERROR(__xludf.DUMMYFUNCTION("""COMPUTED_VALUE"""),"PL34")</f>
        <v>PL34</v>
      </c>
    </row>
    <row r="1302" spans="1:2" ht="12.5" x14ac:dyDescent="0.25">
      <c r="A1302" t="str">
        <f ca="1">IFERROR(__xludf.DUMMYFUNCTION("""COMPUTED_VALUE"""),"Podravska")</f>
        <v>Podravska</v>
      </c>
      <c r="B1302" t="str">
        <f ca="1">IFERROR(__xludf.DUMMYFUNCTION("""COMPUTED_VALUE"""),"SI012")</f>
        <v>SI012</v>
      </c>
    </row>
    <row r="1303" spans="1:2" ht="12.5" x14ac:dyDescent="0.25">
      <c r="A1303" t="str">
        <f ca="1">IFERROR(__xludf.DUMMYFUNCTION("""COMPUTED_VALUE"""),"Põhja-Eesti")</f>
        <v>Põhja-Eesti</v>
      </c>
      <c r="B1303" t="str">
        <f ca="1">IFERROR(__xludf.DUMMYFUNCTION("""COMPUTED_VALUE"""),"EE001")</f>
        <v>EE001</v>
      </c>
    </row>
    <row r="1304" spans="1:2" ht="12.5" x14ac:dyDescent="0.25">
      <c r="A1304" t="str">
        <f ca="1">IFERROR(__xludf.DUMMYFUNCTION("""COMPUTED_VALUE"""),"Pohjanmaa")</f>
        <v>Pohjanmaa</v>
      </c>
      <c r="B1304" t="str">
        <f ca="1">IFERROR(__xludf.DUMMYFUNCTION("""COMPUTED_VALUE"""),"FI195")</f>
        <v>FI195</v>
      </c>
    </row>
    <row r="1305" spans="1:2" ht="12.5" x14ac:dyDescent="0.25">
      <c r="A1305" t="str">
        <f ca="1">IFERROR(__xludf.DUMMYFUNCTION("""COMPUTED_VALUE"""),"Pohjois-Karjala")</f>
        <v>Pohjois-Karjala</v>
      </c>
      <c r="B1305" t="str">
        <f ca="1">IFERROR(__xludf.DUMMYFUNCTION("""COMPUTED_VALUE"""),"FI133")</f>
        <v>FI133</v>
      </c>
    </row>
    <row r="1306" spans="1:2" ht="12.5" x14ac:dyDescent="0.25">
      <c r="A1306" t="str">
        <f ca="1">IFERROR(__xludf.DUMMYFUNCTION("""COMPUTED_VALUE"""),"Pohjois-Pohjanmaa")</f>
        <v>Pohjois-Pohjanmaa</v>
      </c>
      <c r="B1306" t="str">
        <f ca="1">IFERROR(__xludf.DUMMYFUNCTION("""COMPUTED_VALUE"""),"FI1A2")</f>
        <v>FI1A2</v>
      </c>
    </row>
    <row r="1307" spans="1:2" ht="12.5" x14ac:dyDescent="0.25">
      <c r="A1307" t="str">
        <f ca="1">IFERROR(__xludf.DUMMYFUNCTION("""COMPUTED_VALUE"""),"Pohjois-Savo")</f>
        <v>Pohjois-Savo</v>
      </c>
      <c r="B1307" t="str">
        <f ca="1">IFERROR(__xludf.DUMMYFUNCTION("""COMPUTED_VALUE"""),"FI132")</f>
        <v>FI132</v>
      </c>
    </row>
    <row r="1308" spans="1:2" ht="12.5" x14ac:dyDescent="0.25">
      <c r="A1308" t="str">
        <f ca="1">IFERROR(__xludf.DUMMYFUNCTION("""COMPUTED_VALUE"""),"Pohjois-Suomi")</f>
        <v>Pohjois-Suomi</v>
      </c>
      <c r="B1308" t="str">
        <f ca="1">IFERROR(__xludf.DUMMYFUNCTION("""COMPUTED_VALUE"""),"FI1A")</f>
        <v>FI1A</v>
      </c>
    </row>
    <row r="1309" spans="1:2" ht="12.5" x14ac:dyDescent="0.25">
      <c r="A1309" t="str">
        <f ca="1">IFERROR(__xludf.DUMMYFUNCTION("""COMPUTED_VALUE"""),"Poitou-Charentes")</f>
        <v>Poitou-Charentes</v>
      </c>
      <c r="B1309" t="str">
        <f ca="1">IFERROR(__xludf.DUMMYFUNCTION("""COMPUTED_VALUE"""),"FR53")</f>
        <v>FR53</v>
      </c>
    </row>
    <row r="1310" spans="1:2" ht="12.5" x14ac:dyDescent="0.25">
      <c r="A1310" t="str">
        <f ca="1">IFERROR(__xludf.DUMMYFUNCTION("""COMPUTED_VALUE"""),"Polska")</f>
        <v>Polska</v>
      </c>
      <c r="B1310" t="str">
        <f ca="1">IFERROR(__xludf.DUMMYFUNCTION("""COMPUTED_VALUE"""),"PL")</f>
        <v>PL</v>
      </c>
    </row>
    <row r="1311" spans="1:2" ht="12.5" x14ac:dyDescent="0.25">
      <c r="A1311" t="str">
        <f ca="1">IFERROR(__xludf.DUMMYFUNCTION("""COMPUTED_VALUE"""),"Pomorskie")</f>
        <v>Pomorskie</v>
      </c>
      <c r="B1311" t="str">
        <f ca="1">IFERROR(__xludf.DUMMYFUNCTION("""COMPUTED_VALUE"""),"PL63")</f>
        <v>PL63</v>
      </c>
    </row>
    <row r="1312" spans="1:2" ht="12.5" x14ac:dyDescent="0.25">
      <c r="A1312" t="str">
        <f ca="1">IFERROR(__xludf.DUMMYFUNCTION("""COMPUTED_VALUE"""),"Pomurska")</f>
        <v>Pomurska</v>
      </c>
      <c r="B1312" t="str">
        <f ca="1">IFERROR(__xludf.DUMMYFUNCTION("""COMPUTED_VALUE"""),"SI011")</f>
        <v>SI011</v>
      </c>
    </row>
    <row r="1313" spans="1:2" ht="12.5" x14ac:dyDescent="0.25">
      <c r="A1313" t="str">
        <f ca="1">IFERROR(__xludf.DUMMYFUNCTION("""COMPUTED_VALUE"""),"Pontevedra")</f>
        <v>Pontevedra</v>
      </c>
      <c r="B1313" t="str">
        <f ca="1">IFERROR(__xludf.DUMMYFUNCTION("""COMPUTED_VALUE"""),"ES114")</f>
        <v>ES114</v>
      </c>
    </row>
    <row r="1314" spans="1:2" ht="12.5" x14ac:dyDescent="0.25">
      <c r="A1314" t="str">
        <f ca="1">IFERROR(__xludf.DUMMYFUNCTION("""COMPUTED_VALUE"""),"Pordenone")</f>
        <v>Pordenone</v>
      </c>
      <c r="B1314" t="str">
        <f ca="1">IFERROR(__xludf.DUMMYFUNCTION("""COMPUTED_VALUE"""),"ITD41")</f>
        <v>ITD41</v>
      </c>
    </row>
    <row r="1315" spans="1:2" ht="12.5" x14ac:dyDescent="0.25">
      <c r="A1315" t="str">
        <f ca="1">IFERROR(__xludf.DUMMYFUNCTION("""COMPUTED_VALUE"""),"Portsmouth")</f>
        <v>Portsmouth</v>
      </c>
      <c r="B1315" t="str">
        <f ca="1">IFERROR(__xludf.DUMMYFUNCTION("""COMPUTED_VALUE"""),"UKJ31")</f>
        <v>UKJ31</v>
      </c>
    </row>
    <row r="1316" spans="1:2" ht="12.5" x14ac:dyDescent="0.25">
      <c r="A1316" t="str">
        <f ca="1">IFERROR(__xludf.DUMMYFUNCTION("""COMPUTED_VALUE"""),"Portugal")</f>
        <v>Portugal</v>
      </c>
      <c r="B1316" t="str">
        <f ca="1">IFERROR(__xludf.DUMMYFUNCTION("""COMPUTED_VALUE"""),"PT")</f>
        <v>PT</v>
      </c>
    </row>
    <row r="1317" spans="1:2" ht="12.5" x14ac:dyDescent="0.25">
      <c r="A1317" t="str">
        <f ca="1">IFERROR(__xludf.DUMMYFUNCTION("""COMPUTED_VALUE"""),"Potenza")</f>
        <v>Potenza</v>
      </c>
      <c r="B1317" t="str">
        <f ca="1">IFERROR(__xludf.DUMMYFUNCTION("""COMPUTED_VALUE"""),"ITF51")</f>
        <v>ITF51</v>
      </c>
    </row>
    <row r="1318" spans="1:2" ht="12.5" x14ac:dyDescent="0.25">
      <c r="A1318" t="str">
        <f ca="1">IFERROR(__xludf.DUMMYFUNCTION("""COMPUTED_VALUE"""),"Potsdam-Mittelmark")</f>
        <v>Potsdam-Mittelmark</v>
      </c>
      <c r="B1318" t="str">
        <f ca="1">IFERROR(__xludf.DUMMYFUNCTION("""COMPUTED_VALUE"""),"DE428")</f>
        <v>DE428</v>
      </c>
    </row>
    <row r="1319" spans="1:2" ht="12.5" x14ac:dyDescent="0.25">
      <c r="A1319" t="str">
        <f ca="1">IFERROR(__xludf.DUMMYFUNCTION("""COMPUTED_VALUE"""),"Potsdam, Kreisfreie Stadt")</f>
        <v>Potsdam, Kreisfreie Stadt</v>
      </c>
      <c r="B1319" t="str">
        <f ca="1">IFERROR(__xludf.DUMMYFUNCTION("""COMPUTED_VALUE"""),"DE423")</f>
        <v>DE423</v>
      </c>
    </row>
    <row r="1320" spans="1:2" ht="12.5" x14ac:dyDescent="0.25">
      <c r="A1320" t="str">
        <f ca="1">IFERROR(__xludf.DUMMYFUNCTION("""COMPUTED_VALUE"""),"Powys")</f>
        <v>Powys</v>
      </c>
      <c r="B1320" t="str">
        <f ca="1">IFERROR(__xludf.DUMMYFUNCTION("""COMPUTED_VALUE"""),"UKL24")</f>
        <v>UKL24</v>
      </c>
    </row>
    <row r="1321" spans="1:2" ht="12.5" x14ac:dyDescent="0.25">
      <c r="A1321" t="str">
        <f ca="1">IFERROR(__xludf.DUMMYFUNCTION("""COMPUTED_VALUE"""),"Poznanski")</f>
        <v>Poznanski</v>
      </c>
      <c r="B1321" t="str">
        <f ca="1">IFERROR(__xludf.DUMMYFUNCTION("""COMPUTED_VALUE"""),"PL418")</f>
        <v>PL418</v>
      </c>
    </row>
    <row r="1322" spans="1:2" ht="12.5" x14ac:dyDescent="0.25">
      <c r="A1322" t="str">
        <f ca="1">IFERROR(__xludf.DUMMYFUNCTION("""COMPUTED_VALUE"""),"Praha")</f>
        <v>Praha</v>
      </c>
      <c r="B1322" t="str">
        <f ca="1">IFERROR(__xludf.DUMMYFUNCTION("""COMPUTED_VALUE"""),"CZ01")</f>
        <v>CZ01</v>
      </c>
    </row>
    <row r="1323" spans="1:2" ht="12.5" x14ac:dyDescent="0.25">
      <c r="A1323" t="str">
        <f ca="1">IFERROR(__xludf.DUMMYFUNCTION("""COMPUTED_VALUE"""),"Prahova")</f>
        <v>Prahova</v>
      </c>
      <c r="B1323" t="str">
        <f ca="1">IFERROR(__xludf.DUMMYFUNCTION("""COMPUTED_VALUE"""),"RO316")</f>
        <v>RO316</v>
      </c>
    </row>
    <row r="1324" spans="1:2" ht="12.5" x14ac:dyDescent="0.25">
      <c r="A1324" t="str">
        <f ca="1">IFERROR(__xludf.DUMMYFUNCTION("""COMPUTED_VALUE"""),"Prato")</f>
        <v>Prato</v>
      </c>
      <c r="B1324" t="str">
        <f ca="1">IFERROR(__xludf.DUMMYFUNCTION("""COMPUTED_VALUE"""),"ITE15")</f>
        <v>ITE15</v>
      </c>
    </row>
    <row r="1325" spans="1:2" ht="12.5" x14ac:dyDescent="0.25">
      <c r="A1325" t="str">
        <f ca="1">IFERROR(__xludf.DUMMYFUNCTION("""COMPUTED_VALUE"""),"Presovsky Kraj")</f>
        <v>Presovsky Kraj</v>
      </c>
      <c r="B1325" t="str">
        <f ca="1">IFERROR(__xludf.DUMMYFUNCTION("""COMPUTED_VALUE"""),"SK041")</f>
        <v>SK041</v>
      </c>
    </row>
    <row r="1326" spans="1:2" ht="12.5" x14ac:dyDescent="0.25">
      <c r="A1326" t="str">
        <f ca="1">IFERROR(__xludf.DUMMYFUNCTION("""COMPUTED_VALUE"""),"Preveza")</f>
        <v>Preveza</v>
      </c>
      <c r="B1326" t="str">
        <f ca="1">IFERROR(__xludf.DUMMYFUNCTION("""COMPUTED_VALUE"""),"GR214")</f>
        <v>GR214</v>
      </c>
    </row>
    <row r="1327" spans="1:2" ht="12.5" x14ac:dyDescent="0.25">
      <c r="A1327" t="str">
        <f ca="1">IFERROR(__xludf.DUMMYFUNCTION("""COMPUTED_VALUE"""),"Prignitz")</f>
        <v>Prignitz</v>
      </c>
      <c r="B1327" t="str">
        <f ca="1">IFERROR(__xludf.DUMMYFUNCTION("""COMPUTED_VALUE"""),"DE417")</f>
        <v>DE417</v>
      </c>
    </row>
    <row r="1328" spans="1:2" ht="12.5" x14ac:dyDescent="0.25">
      <c r="A1328" t="str">
        <f ca="1">IFERROR(__xludf.DUMMYFUNCTION("""COMPUTED_VALUE"""),"Principado De Asturias")</f>
        <v>Principado De Asturias</v>
      </c>
      <c r="B1328" t="str">
        <f ca="1">IFERROR(__xludf.DUMMYFUNCTION("""COMPUTED_VALUE"""),"ES12")</f>
        <v>ES12</v>
      </c>
    </row>
    <row r="1329" spans="1:2" ht="12.5" x14ac:dyDescent="0.25">
      <c r="A1329" t="str">
        <f ca="1">IFERROR(__xludf.DUMMYFUNCTION("""COMPUTED_VALUE"""),"Prov. Antwerpen")</f>
        <v>Prov. Antwerpen</v>
      </c>
      <c r="B1329" t="str">
        <f ca="1">IFERROR(__xludf.DUMMYFUNCTION("""COMPUTED_VALUE"""),"BE21")</f>
        <v>BE21</v>
      </c>
    </row>
    <row r="1330" spans="1:2" ht="12.5" x14ac:dyDescent="0.25">
      <c r="A1330" t="str">
        <f ca="1">IFERROR(__xludf.DUMMYFUNCTION("""COMPUTED_VALUE"""),"Prov. Brabant Wallon")</f>
        <v>Prov. Brabant Wallon</v>
      </c>
      <c r="B1330" t="str">
        <f ca="1">IFERROR(__xludf.DUMMYFUNCTION("""COMPUTED_VALUE"""),"BE31")</f>
        <v>BE31</v>
      </c>
    </row>
    <row r="1331" spans="1:2" ht="12.5" x14ac:dyDescent="0.25">
      <c r="A1331" t="str">
        <f ca="1">IFERROR(__xludf.DUMMYFUNCTION("""COMPUTED_VALUE"""),"Prov. Hainaut")</f>
        <v>Prov. Hainaut</v>
      </c>
      <c r="B1331" t="str">
        <f ca="1">IFERROR(__xludf.DUMMYFUNCTION("""COMPUTED_VALUE"""),"BE32")</f>
        <v>BE32</v>
      </c>
    </row>
    <row r="1332" spans="1:2" ht="12.5" x14ac:dyDescent="0.25">
      <c r="A1332" t="str">
        <f ca="1">IFERROR(__xludf.DUMMYFUNCTION("""COMPUTED_VALUE"""),"Prov. Liège")</f>
        <v>Prov. Liège</v>
      </c>
      <c r="B1332" t="str">
        <f ca="1">IFERROR(__xludf.DUMMYFUNCTION("""COMPUTED_VALUE"""),"BE33")</f>
        <v>BE33</v>
      </c>
    </row>
    <row r="1333" spans="1:2" ht="12.5" x14ac:dyDescent="0.25">
      <c r="A1333" t="str">
        <f ca="1">IFERROR(__xludf.DUMMYFUNCTION("""COMPUTED_VALUE"""),"Prov. Limburg (B)")</f>
        <v>Prov. Limburg (B)</v>
      </c>
      <c r="B1333" t="str">
        <f ca="1">IFERROR(__xludf.DUMMYFUNCTION("""COMPUTED_VALUE"""),"BE22")</f>
        <v>BE22</v>
      </c>
    </row>
    <row r="1334" spans="1:2" ht="12.5" x14ac:dyDescent="0.25">
      <c r="A1334" t="str">
        <f ca="1">IFERROR(__xludf.DUMMYFUNCTION("""COMPUTED_VALUE"""),"Prov. Luxembourg (B)")</f>
        <v>Prov. Luxembourg (B)</v>
      </c>
      <c r="B1334" t="str">
        <f ca="1">IFERROR(__xludf.DUMMYFUNCTION("""COMPUTED_VALUE"""),"BE34")</f>
        <v>BE34</v>
      </c>
    </row>
    <row r="1335" spans="1:2" ht="12.5" x14ac:dyDescent="0.25">
      <c r="A1335" t="str">
        <f ca="1">IFERROR(__xludf.DUMMYFUNCTION("""COMPUTED_VALUE"""),"Prov. Namur")</f>
        <v>Prov. Namur</v>
      </c>
      <c r="B1335" t="str">
        <f ca="1">IFERROR(__xludf.DUMMYFUNCTION("""COMPUTED_VALUE"""),"BE35")</f>
        <v>BE35</v>
      </c>
    </row>
    <row r="1336" spans="1:2" ht="12.5" x14ac:dyDescent="0.25">
      <c r="A1336" t="str">
        <f ca="1">IFERROR(__xludf.DUMMYFUNCTION("""COMPUTED_VALUE"""),"Prov. Oost-Vlaanderen")</f>
        <v>Prov. Oost-Vlaanderen</v>
      </c>
      <c r="B1336" t="str">
        <f ca="1">IFERROR(__xludf.DUMMYFUNCTION("""COMPUTED_VALUE"""),"BE23")</f>
        <v>BE23</v>
      </c>
    </row>
    <row r="1337" spans="1:2" ht="12.5" x14ac:dyDescent="0.25">
      <c r="A1337" t="str">
        <f ca="1">IFERROR(__xludf.DUMMYFUNCTION("""COMPUTED_VALUE"""),"Prov. Vlaams-Brabant")</f>
        <v>Prov. Vlaams-Brabant</v>
      </c>
      <c r="B1337" t="str">
        <f ca="1">IFERROR(__xludf.DUMMYFUNCTION("""COMPUTED_VALUE"""),"BE24")</f>
        <v>BE24</v>
      </c>
    </row>
    <row r="1338" spans="1:2" ht="12.5" x14ac:dyDescent="0.25">
      <c r="A1338" t="str">
        <f ca="1">IFERROR(__xludf.DUMMYFUNCTION("""COMPUTED_VALUE"""),"Prov. West-Vlaanderen")</f>
        <v>Prov. West-Vlaanderen</v>
      </c>
      <c r="B1338" t="str">
        <f ca="1">IFERROR(__xludf.DUMMYFUNCTION("""COMPUTED_VALUE"""),"BE25")</f>
        <v>BE25</v>
      </c>
    </row>
    <row r="1339" spans="1:2" ht="12.5" x14ac:dyDescent="0.25">
      <c r="A1339" t="str">
        <f ca="1">IFERROR(__xludf.DUMMYFUNCTION("""COMPUTED_VALUE"""),"Provence-Alpes-Côte D'Azur")</f>
        <v>Provence-Alpes-Côte D'Azur</v>
      </c>
      <c r="B1339" t="str">
        <f ca="1">IFERROR(__xludf.DUMMYFUNCTION("""COMPUTED_VALUE"""),"FR82")</f>
        <v>FR82</v>
      </c>
    </row>
    <row r="1340" spans="1:2" ht="12.5" x14ac:dyDescent="0.25">
      <c r="A1340" t="str">
        <f ca="1">IFERROR(__xludf.DUMMYFUNCTION("""COMPUTED_VALUE"""),"Provincia Autonoma Bolzano/Bozen")</f>
        <v>Provincia Autonoma Bolzano/Bozen</v>
      </c>
      <c r="B1340" t="str">
        <f ca="1">IFERROR(__xludf.DUMMYFUNCTION("""COMPUTED_VALUE"""),"ITD1")</f>
        <v>ITD1</v>
      </c>
    </row>
    <row r="1341" spans="1:2" ht="12.5" x14ac:dyDescent="0.25">
      <c r="A1341" t="str">
        <f ca="1">IFERROR(__xludf.DUMMYFUNCTION("""COMPUTED_VALUE"""),"Provincia Autonoma Trento")</f>
        <v>Provincia Autonoma Trento</v>
      </c>
      <c r="B1341" t="str">
        <f ca="1">IFERROR(__xludf.DUMMYFUNCTION("""COMPUTED_VALUE"""),"ITD2")</f>
        <v>ITD2</v>
      </c>
    </row>
    <row r="1342" spans="1:2" ht="12.5" x14ac:dyDescent="0.25">
      <c r="A1342" t="str">
        <f ca="1">IFERROR(__xludf.DUMMYFUNCTION("""COMPUTED_VALUE"""),"Przemyski")</f>
        <v>Przemyski</v>
      </c>
      <c r="B1342" t="str">
        <f ca="1">IFERROR(__xludf.DUMMYFUNCTION("""COMPUTED_VALUE"""),"PL324")</f>
        <v>PL324</v>
      </c>
    </row>
    <row r="1343" spans="1:2" ht="12.5" x14ac:dyDescent="0.25">
      <c r="A1343" t="str">
        <f ca="1">IFERROR(__xludf.DUMMYFUNCTION("""COMPUTED_VALUE"""),"Puglia")</f>
        <v>Puglia</v>
      </c>
      <c r="B1343" t="str">
        <f ca="1">IFERROR(__xludf.DUMMYFUNCTION("""COMPUTED_VALUE"""),"ITF4")</f>
        <v>ITF4</v>
      </c>
    </row>
    <row r="1344" spans="1:2" ht="12.5" x14ac:dyDescent="0.25">
      <c r="A1344" t="str">
        <f ca="1">IFERROR(__xludf.DUMMYFUNCTION("""COMPUTED_VALUE"""),"Pulawski")</f>
        <v>Pulawski</v>
      </c>
      <c r="B1344" t="str">
        <f ca="1">IFERROR(__xludf.DUMMYFUNCTION("""COMPUTED_VALUE"""),"PL315")</f>
        <v>PL315</v>
      </c>
    </row>
    <row r="1345" spans="1:2" ht="12.5" x14ac:dyDescent="0.25">
      <c r="A1345" t="str">
        <f ca="1">IFERROR(__xludf.DUMMYFUNCTION("""COMPUTED_VALUE"""),"Puy-De-Dôme")</f>
        <v>Puy-De-Dôme</v>
      </c>
      <c r="B1345" t="str">
        <f ca="1">IFERROR(__xludf.DUMMYFUNCTION("""COMPUTED_VALUE"""),"FR724")</f>
        <v>FR724</v>
      </c>
    </row>
    <row r="1346" spans="1:2" ht="12.5" x14ac:dyDescent="0.25">
      <c r="A1346" t="str">
        <f ca="1">IFERROR(__xludf.DUMMYFUNCTION("""COMPUTED_VALUE"""),"Pyrénées-Atlantiques")</f>
        <v>Pyrénées-Atlantiques</v>
      </c>
      <c r="B1346" t="str">
        <f ca="1">IFERROR(__xludf.DUMMYFUNCTION("""COMPUTED_VALUE"""),"FR615")</f>
        <v>FR615</v>
      </c>
    </row>
    <row r="1347" spans="1:2" ht="12.5" x14ac:dyDescent="0.25">
      <c r="A1347" t="str">
        <f ca="1">IFERROR(__xludf.DUMMYFUNCTION("""COMPUTED_VALUE"""),"Pyrénées-Orientales")</f>
        <v>Pyrénées-Orientales</v>
      </c>
      <c r="B1347" t="str">
        <f ca="1">IFERROR(__xludf.DUMMYFUNCTION("""COMPUTED_VALUE"""),"FR815")</f>
        <v>FR815</v>
      </c>
    </row>
    <row r="1348" spans="1:2" ht="12.5" x14ac:dyDescent="0.25">
      <c r="A1348" t="str">
        <f ca="1">IFERROR(__xludf.DUMMYFUNCTION("""COMPUTED_VALUE"""),"Radomski")</f>
        <v>Radomski</v>
      </c>
      <c r="B1348" t="str">
        <f ca="1">IFERROR(__xludf.DUMMYFUNCTION("""COMPUTED_VALUE"""),"PL128")</f>
        <v>PL128</v>
      </c>
    </row>
    <row r="1349" spans="1:2" ht="12.5" x14ac:dyDescent="0.25">
      <c r="A1349" t="str">
        <f ca="1">IFERROR(__xludf.DUMMYFUNCTION("""COMPUTED_VALUE"""),"Ragusa")</f>
        <v>Ragusa</v>
      </c>
      <c r="B1349" t="str">
        <f ca="1">IFERROR(__xludf.DUMMYFUNCTION("""COMPUTED_VALUE"""),"ITG18")</f>
        <v>ITG18</v>
      </c>
    </row>
    <row r="1350" spans="1:2" ht="12.5" x14ac:dyDescent="0.25">
      <c r="A1350" t="str">
        <f ca="1">IFERROR(__xludf.DUMMYFUNCTION("""COMPUTED_VALUE"""),"Rastatt")</f>
        <v>Rastatt</v>
      </c>
      <c r="B1350" t="str">
        <f ca="1">IFERROR(__xludf.DUMMYFUNCTION("""COMPUTED_VALUE"""),"DE124")</f>
        <v>DE124</v>
      </c>
    </row>
    <row r="1351" spans="1:2" ht="12.5" x14ac:dyDescent="0.25">
      <c r="A1351" t="str">
        <f ca="1">IFERROR(__xludf.DUMMYFUNCTION("""COMPUTED_VALUE"""),"Ravenna")</f>
        <v>Ravenna</v>
      </c>
      <c r="B1351" t="str">
        <f ca="1">IFERROR(__xludf.DUMMYFUNCTION("""COMPUTED_VALUE"""),"ITD57")</f>
        <v>ITD57</v>
      </c>
    </row>
    <row r="1352" spans="1:2" ht="12.5" x14ac:dyDescent="0.25">
      <c r="A1352" t="str">
        <f ca="1">IFERROR(__xludf.DUMMYFUNCTION("""COMPUTED_VALUE"""),"Ravensburg")</f>
        <v>Ravensburg</v>
      </c>
      <c r="B1352" t="str">
        <f ca="1">IFERROR(__xludf.DUMMYFUNCTION("""COMPUTED_VALUE"""),"DE148")</f>
        <v>DE148</v>
      </c>
    </row>
    <row r="1353" spans="1:2" ht="12.5" x14ac:dyDescent="0.25">
      <c r="A1353" t="str">
        <f ca="1">IFERROR(__xludf.DUMMYFUNCTION("""COMPUTED_VALUE"""),"Razgrad")</f>
        <v>Razgrad</v>
      </c>
      <c r="B1353" t="str">
        <f ca="1">IFERROR(__xludf.DUMMYFUNCTION("""COMPUTED_VALUE"""),"BG324")</f>
        <v>BG324</v>
      </c>
    </row>
    <row r="1354" spans="1:2" ht="12.5" x14ac:dyDescent="0.25">
      <c r="A1354" t="str">
        <f ca="1">IFERROR(__xludf.DUMMYFUNCTION("""COMPUTED_VALUE"""),"Recklinghausen")</f>
        <v>Recklinghausen</v>
      </c>
      <c r="B1354" t="str">
        <f ca="1">IFERROR(__xludf.DUMMYFUNCTION("""COMPUTED_VALUE"""),"DEA36")</f>
        <v>DEA36</v>
      </c>
    </row>
    <row r="1355" spans="1:2" ht="12.5" x14ac:dyDescent="0.25">
      <c r="A1355" t="str">
        <f ca="1">IFERROR(__xludf.DUMMYFUNCTION("""COMPUTED_VALUE"""),"Regen")</f>
        <v>Regen</v>
      </c>
      <c r="B1355" t="str">
        <f ca="1">IFERROR(__xludf.DUMMYFUNCTION("""COMPUTED_VALUE"""),"DE229")</f>
        <v>DE229</v>
      </c>
    </row>
    <row r="1356" spans="1:2" ht="12.5" x14ac:dyDescent="0.25">
      <c r="A1356" t="str">
        <f ca="1">IFERROR(__xludf.DUMMYFUNCTION("""COMPUTED_VALUE"""),"Regensburg, Kreisfreie Stadt")</f>
        <v>Regensburg, Kreisfreie Stadt</v>
      </c>
      <c r="B1356" t="str">
        <f ca="1">IFERROR(__xludf.DUMMYFUNCTION("""COMPUTED_VALUE"""),"DE232")</f>
        <v>DE232</v>
      </c>
    </row>
    <row r="1357" spans="1:2" ht="12.5" x14ac:dyDescent="0.25">
      <c r="A1357" t="str">
        <f ca="1">IFERROR(__xludf.DUMMYFUNCTION("""COMPUTED_VALUE"""),"Regensburg, Landkreis")</f>
        <v>Regensburg, Landkreis</v>
      </c>
      <c r="B1357" t="str">
        <f ca="1">IFERROR(__xludf.DUMMYFUNCTION("""COMPUTED_VALUE"""),"DE238")</f>
        <v>DE238</v>
      </c>
    </row>
    <row r="1358" spans="1:2" ht="12.5" x14ac:dyDescent="0.25">
      <c r="A1358" t="str">
        <f ca="1">IFERROR(__xludf.DUMMYFUNCTION("""COMPUTED_VALUE"""),"Reggio Di Calabria")</f>
        <v>Reggio Di Calabria</v>
      </c>
      <c r="B1358" t="str">
        <f ca="1">IFERROR(__xludf.DUMMYFUNCTION("""COMPUTED_VALUE"""),"ITF65")</f>
        <v>ITF65</v>
      </c>
    </row>
    <row r="1359" spans="1:2" ht="12.5" x14ac:dyDescent="0.25">
      <c r="A1359" t="str">
        <f ca="1">IFERROR(__xludf.DUMMYFUNCTION("""COMPUTED_VALUE"""),"Reggio Nell'Emilia")</f>
        <v>Reggio Nell'Emilia</v>
      </c>
      <c r="B1359" t="str">
        <f ca="1">IFERROR(__xludf.DUMMYFUNCTION("""COMPUTED_VALUE"""),"ITD53")</f>
        <v>ITD53</v>
      </c>
    </row>
    <row r="1360" spans="1:2" ht="12.5" x14ac:dyDescent="0.25">
      <c r="A1360" t="str">
        <f ca="1">IFERROR(__xludf.DUMMYFUNCTION("""COMPUTED_VALUE"""),"Região Autónoma Da Madeira")</f>
        <v>Região Autónoma Da Madeira</v>
      </c>
      <c r="B1360" t="str">
        <f ca="1">IFERROR(__xludf.DUMMYFUNCTION("""COMPUTED_VALUE"""),"PT3")</f>
        <v>PT3</v>
      </c>
    </row>
    <row r="1361" spans="1:2" ht="12.5" x14ac:dyDescent="0.25">
      <c r="A1361" t="str">
        <f ca="1">IFERROR(__xludf.DUMMYFUNCTION("""COMPUTED_VALUE"""),"Região Autónoma Da Madeira (*)")</f>
        <v>Região Autónoma Da Madeira (*)</v>
      </c>
      <c r="B1361" t="str">
        <f ca="1">IFERROR(__xludf.DUMMYFUNCTION("""COMPUTED_VALUE"""),"PT30")</f>
        <v>PT30</v>
      </c>
    </row>
    <row r="1362" spans="1:2" ht="12.5" x14ac:dyDescent="0.25">
      <c r="A1362" t="str">
        <f ca="1">IFERROR(__xludf.DUMMYFUNCTION("""COMPUTED_VALUE"""),"Região Autónoma Da Madeira (**)")</f>
        <v>Região Autónoma Da Madeira (**)</v>
      </c>
      <c r="B1362" t="str">
        <f ca="1">IFERROR(__xludf.DUMMYFUNCTION("""COMPUTED_VALUE"""),"PT300")</f>
        <v>PT300</v>
      </c>
    </row>
    <row r="1363" spans="1:2" ht="12.5" x14ac:dyDescent="0.25">
      <c r="A1363" t="str">
        <f ca="1">IFERROR(__xludf.DUMMYFUNCTION("""COMPUTED_VALUE"""),"Região Autónoma Dos Açores")</f>
        <v>Região Autónoma Dos Açores</v>
      </c>
      <c r="B1363" t="str">
        <f ca="1">IFERROR(__xludf.DUMMYFUNCTION("""COMPUTED_VALUE"""),"PT2")</f>
        <v>PT2</v>
      </c>
    </row>
    <row r="1364" spans="1:2" ht="12.5" x14ac:dyDescent="0.25">
      <c r="A1364" t="str">
        <f ca="1">IFERROR(__xludf.DUMMYFUNCTION("""COMPUTED_VALUE"""),"Região Autónoma Dos Açores (*)")</f>
        <v>Região Autónoma Dos Açores (*)</v>
      </c>
      <c r="B1364" t="str">
        <f ca="1">IFERROR(__xludf.DUMMYFUNCTION("""COMPUTED_VALUE"""),"PT20")</f>
        <v>PT20</v>
      </c>
    </row>
    <row r="1365" spans="1:2" ht="12.5" x14ac:dyDescent="0.25">
      <c r="A1365" t="str">
        <f ca="1">IFERROR(__xludf.DUMMYFUNCTION("""COMPUTED_VALUE"""),"Região Autónoma Dos Açores (**)")</f>
        <v>Região Autónoma Dos Açores (**)</v>
      </c>
      <c r="B1365" t="str">
        <f ca="1">IFERROR(__xludf.DUMMYFUNCTION("""COMPUTED_VALUE"""),"PT200")</f>
        <v>PT200</v>
      </c>
    </row>
    <row r="1366" spans="1:2" ht="12.5" x14ac:dyDescent="0.25">
      <c r="A1366" t="str">
        <f ca="1">IFERROR(__xludf.DUMMYFUNCTION("""COMPUTED_VALUE"""),"Region Centralny")</f>
        <v>Region Centralny</v>
      </c>
      <c r="B1366" t="str">
        <f ca="1">IFERROR(__xludf.DUMMYFUNCTION("""COMPUTED_VALUE"""),"PL1")</f>
        <v>PL1</v>
      </c>
    </row>
    <row r="1367" spans="1:2" ht="12.5" x14ac:dyDescent="0.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x14ac:dyDescent="0.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x14ac:dyDescent="0.25">
      <c r="A1369" t="str">
        <f ca="1">IFERROR(__xludf.DUMMYFUNCTION("""COMPUTED_VALUE"""),"Región De Murcia")</f>
        <v>Región De Murcia</v>
      </c>
      <c r="B1369" t="str">
        <f ca="1">IFERROR(__xludf.DUMMYFUNCTION("""COMPUTED_VALUE"""),"ES62")</f>
        <v>ES62</v>
      </c>
    </row>
    <row r="1370" spans="1:2" ht="12.5" x14ac:dyDescent="0.25">
      <c r="A1370" t="str">
        <f ca="1">IFERROR(__xludf.DUMMYFUNCTION("""COMPUTED_VALUE"""),"Region Hannover")</f>
        <v>Region Hannover</v>
      </c>
      <c r="B1370" t="str">
        <f ca="1">IFERROR(__xludf.DUMMYFUNCTION("""COMPUTED_VALUE"""),"DE929")</f>
        <v>DE929</v>
      </c>
    </row>
    <row r="1371" spans="1:2" ht="12.5" x14ac:dyDescent="0.25">
      <c r="A1371" t="str">
        <f ca="1">IFERROR(__xludf.DUMMYFUNCTION("""COMPUTED_VALUE"""),"Région Lémanique")</f>
        <v>Région Lémanique</v>
      </c>
      <c r="B1371" t="str">
        <f ca="1">IFERROR(__xludf.DUMMYFUNCTION("""COMPUTED_VALUE"""),"CH01")</f>
        <v>CH01</v>
      </c>
    </row>
    <row r="1372" spans="1:2" ht="12.5" x14ac:dyDescent="0.25">
      <c r="A1372" t="str">
        <f ca="1">IFERROR(__xludf.DUMMYFUNCTION("""COMPUTED_VALUE"""),"Region Polnocno-Zachodni")</f>
        <v>Region Polnocno-Zachodni</v>
      </c>
      <c r="B1372" t="str">
        <f ca="1">IFERROR(__xludf.DUMMYFUNCTION("""COMPUTED_VALUE"""),"PL4")</f>
        <v>PL4</v>
      </c>
    </row>
    <row r="1373" spans="1:2" ht="12.5" x14ac:dyDescent="0.25">
      <c r="A1373" t="str">
        <f ca="1">IFERROR(__xludf.DUMMYFUNCTION("""COMPUTED_VALUE"""),"Region Polnocny")</f>
        <v>Region Polnocny</v>
      </c>
      <c r="B1373" t="str">
        <f ca="1">IFERROR(__xludf.DUMMYFUNCTION("""COMPUTED_VALUE"""),"PL6")</f>
        <v>PL6</v>
      </c>
    </row>
    <row r="1374" spans="1:2" ht="12.5" x14ac:dyDescent="0.25">
      <c r="A1374" t="str">
        <f ca="1">IFERROR(__xludf.DUMMYFUNCTION("""COMPUTED_VALUE"""),"Region Poludniowo-Zachodni")</f>
        <v>Region Poludniowo-Zachodni</v>
      </c>
      <c r="B1374" t="str">
        <f ca="1">IFERROR(__xludf.DUMMYFUNCTION("""COMPUTED_VALUE"""),"PL5")</f>
        <v>PL5</v>
      </c>
    </row>
    <row r="1375" spans="1:2" ht="12.5" x14ac:dyDescent="0.25">
      <c r="A1375" t="str">
        <f ca="1">IFERROR(__xludf.DUMMYFUNCTION("""COMPUTED_VALUE"""),"Region Poludniowy")</f>
        <v>Region Poludniowy</v>
      </c>
      <c r="B1375" t="str">
        <f ca="1">IFERROR(__xludf.DUMMYFUNCTION("""COMPUTED_VALUE"""),"PL2")</f>
        <v>PL2</v>
      </c>
    </row>
    <row r="1376" spans="1:2" ht="12.5" x14ac:dyDescent="0.25">
      <c r="A1376" t="str">
        <f ca="1">IFERROR(__xludf.DUMMYFUNCTION("""COMPUTED_VALUE"""),"Région Wallonne")</f>
        <v>Région Wallonne</v>
      </c>
      <c r="B1376" t="str">
        <f ca="1">IFERROR(__xludf.DUMMYFUNCTION("""COMPUTED_VALUE"""),"BE3")</f>
        <v>BE3</v>
      </c>
    </row>
    <row r="1377" spans="1:2" ht="12.5" x14ac:dyDescent="0.25">
      <c r="A1377" t="str">
        <f ca="1">IFERROR(__xludf.DUMMYFUNCTION("""COMPUTED_VALUE"""),"Region Wschodni")</f>
        <v>Region Wschodni</v>
      </c>
      <c r="B1377" t="str">
        <f ca="1">IFERROR(__xludf.DUMMYFUNCTION("""COMPUTED_VALUE"""),"PL3")</f>
        <v>PL3</v>
      </c>
    </row>
    <row r="1378" spans="1:2" ht="12.5" x14ac:dyDescent="0.25">
      <c r="A1378" t="str">
        <f ca="1">IFERROR(__xludf.DUMMYFUNCTION("""COMPUTED_VALUE"""),"Rems-Murr-Kreis")</f>
        <v>Rems-Murr-Kreis</v>
      </c>
      <c r="B1378" t="str">
        <f ca="1">IFERROR(__xludf.DUMMYFUNCTION("""COMPUTED_VALUE"""),"DE116")</f>
        <v>DE116</v>
      </c>
    </row>
    <row r="1379" spans="1:2" ht="12.5" x14ac:dyDescent="0.25">
      <c r="A1379" t="str">
        <f ca="1">IFERROR(__xludf.DUMMYFUNCTION("""COMPUTED_VALUE"""),"Remscheid, Kreisfreie Stadt")</f>
        <v>Remscheid, Kreisfreie Stadt</v>
      </c>
      <c r="B1379" t="str">
        <f ca="1">IFERROR(__xludf.DUMMYFUNCTION("""COMPUTED_VALUE"""),"DEA18")</f>
        <v>DEA18</v>
      </c>
    </row>
    <row r="1380" spans="1:2" ht="12.5" x14ac:dyDescent="0.25">
      <c r="A1380" t="str">
        <f ca="1">IFERROR(__xludf.DUMMYFUNCTION("""COMPUTED_VALUE"""),"Rendsburg-Eckernförde")</f>
        <v>Rendsburg-Eckernförde</v>
      </c>
      <c r="B1380" t="str">
        <f ca="1">IFERROR(__xludf.DUMMYFUNCTION("""COMPUTED_VALUE"""),"DEF0B")</f>
        <v>DEF0B</v>
      </c>
    </row>
    <row r="1381" spans="1:2" ht="12.5" x14ac:dyDescent="0.25">
      <c r="A1381" t="str">
        <f ca="1">IFERROR(__xludf.DUMMYFUNCTION("""COMPUTED_VALUE"""),"Rethymni")</f>
        <v>Rethymni</v>
      </c>
      <c r="B1381" t="str">
        <f ca="1">IFERROR(__xludf.DUMMYFUNCTION("""COMPUTED_VALUE"""),"GR433")</f>
        <v>GR433</v>
      </c>
    </row>
    <row r="1382" spans="1:2" ht="12.5" x14ac:dyDescent="0.25">
      <c r="A1382" t="str">
        <f ca="1">IFERROR(__xludf.DUMMYFUNCTION("""COMPUTED_VALUE"""),"Réunion")</f>
        <v>Réunion</v>
      </c>
      <c r="B1382" t="str">
        <f ca="1">IFERROR(__xludf.DUMMYFUNCTION("""COMPUTED_VALUE"""),"FR94")</f>
        <v>FR94</v>
      </c>
    </row>
    <row r="1383" spans="1:2" ht="12.5" x14ac:dyDescent="0.25">
      <c r="A1383" t="str">
        <f ca="1">IFERROR(__xludf.DUMMYFUNCTION("""COMPUTED_VALUE"""),"Réunion (*)")</f>
        <v>Réunion (*)</v>
      </c>
      <c r="B1383" t="str">
        <f ca="1">IFERROR(__xludf.DUMMYFUNCTION("""COMPUTED_VALUE"""),"FR940")</f>
        <v>FR940</v>
      </c>
    </row>
    <row r="1384" spans="1:2" ht="12.5" x14ac:dyDescent="0.25">
      <c r="A1384" t="str">
        <f ca="1">IFERROR(__xludf.DUMMYFUNCTION("""COMPUTED_VALUE"""),"Reutlingen")</f>
        <v>Reutlingen</v>
      </c>
      <c r="B1384" t="str">
        <f ca="1">IFERROR(__xludf.DUMMYFUNCTION("""COMPUTED_VALUE"""),"DE141")</f>
        <v>DE141</v>
      </c>
    </row>
    <row r="1385" spans="1:2" ht="12.5" x14ac:dyDescent="0.25">
      <c r="A1385" t="str">
        <f ca="1">IFERROR(__xludf.DUMMYFUNCTION("""COMPUTED_VALUE"""),"Rhein-Erft-Kreis")</f>
        <v>Rhein-Erft-Kreis</v>
      </c>
      <c r="B1385" t="str">
        <f ca="1">IFERROR(__xludf.DUMMYFUNCTION("""COMPUTED_VALUE"""),"DEA27")</f>
        <v>DEA27</v>
      </c>
    </row>
    <row r="1386" spans="1:2" ht="12.5" x14ac:dyDescent="0.25">
      <c r="A1386" t="str">
        <f ca="1">IFERROR(__xludf.DUMMYFUNCTION("""COMPUTED_VALUE"""),"Rhein-Hunsrück-Kreis")</f>
        <v>Rhein-Hunsrück-Kreis</v>
      </c>
      <c r="B1386" t="str">
        <f ca="1">IFERROR(__xludf.DUMMYFUNCTION("""COMPUTED_VALUE"""),"DEB19")</f>
        <v>DEB19</v>
      </c>
    </row>
    <row r="1387" spans="1:2" ht="12.5" x14ac:dyDescent="0.25">
      <c r="A1387" t="str">
        <f ca="1">IFERROR(__xludf.DUMMYFUNCTION("""COMPUTED_VALUE"""),"Rhein-Kreis Neuss")</f>
        <v>Rhein-Kreis Neuss</v>
      </c>
      <c r="B1387" t="str">
        <f ca="1">IFERROR(__xludf.DUMMYFUNCTION("""COMPUTED_VALUE"""),"DEA1D")</f>
        <v>DEA1D</v>
      </c>
    </row>
    <row r="1388" spans="1:2" ht="12.5" x14ac:dyDescent="0.25">
      <c r="A1388" t="str">
        <f ca="1">IFERROR(__xludf.DUMMYFUNCTION("""COMPUTED_VALUE"""),"Rhein-Lahn-Kreis")</f>
        <v>Rhein-Lahn-Kreis</v>
      </c>
      <c r="B1388" t="str">
        <f ca="1">IFERROR(__xludf.DUMMYFUNCTION("""COMPUTED_VALUE"""),"DEB1A")</f>
        <v>DEB1A</v>
      </c>
    </row>
    <row r="1389" spans="1:2" ht="12.5" x14ac:dyDescent="0.25">
      <c r="A1389" t="str">
        <f ca="1">IFERROR(__xludf.DUMMYFUNCTION("""COMPUTED_VALUE"""),"Rhein-Neckar-Kreis")</f>
        <v>Rhein-Neckar-Kreis</v>
      </c>
      <c r="B1389" t="str">
        <f ca="1">IFERROR(__xludf.DUMMYFUNCTION("""COMPUTED_VALUE"""),"DE128")</f>
        <v>DE128</v>
      </c>
    </row>
    <row r="1390" spans="1:2" ht="12.5" x14ac:dyDescent="0.25">
      <c r="A1390" t="str">
        <f ca="1">IFERROR(__xludf.DUMMYFUNCTION("""COMPUTED_VALUE"""),"Rhein-Pfalz-Kreis")</f>
        <v>Rhein-Pfalz-Kreis</v>
      </c>
      <c r="B1390" t="str">
        <f ca="1">IFERROR(__xludf.DUMMYFUNCTION("""COMPUTED_VALUE"""),"DEB3I")</f>
        <v>DEB3I</v>
      </c>
    </row>
    <row r="1391" spans="1:2" ht="12.5" x14ac:dyDescent="0.25">
      <c r="A1391" t="str">
        <f ca="1">IFERROR(__xludf.DUMMYFUNCTION("""COMPUTED_VALUE"""),"Rhein-Sieg-Kreis")</f>
        <v>Rhein-Sieg-Kreis</v>
      </c>
      <c r="B1391" t="str">
        <f ca="1">IFERROR(__xludf.DUMMYFUNCTION("""COMPUTED_VALUE"""),"DEA2C")</f>
        <v>DEA2C</v>
      </c>
    </row>
    <row r="1392" spans="1:2" ht="12.5" x14ac:dyDescent="0.25">
      <c r="A1392" t="str">
        <f ca="1">IFERROR(__xludf.DUMMYFUNCTION("""COMPUTED_VALUE"""),"Rheingau-Taunus-Kreis")</f>
        <v>Rheingau-Taunus-Kreis</v>
      </c>
      <c r="B1392" t="str">
        <f ca="1">IFERROR(__xludf.DUMMYFUNCTION("""COMPUTED_VALUE"""),"DE71D")</f>
        <v>DE71D</v>
      </c>
    </row>
    <row r="1393" spans="1:2" ht="12.5" x14ac:dyDescent="0.25">
      <c r="A1393" t="str">
        <f ca="1">IFERROR(__xludf.DUMMYFUNCTION("""COMPUTED_VALUE"""),"Rheinhessen-Pfalz")</f>
        <v>Rheinhessen-Pfalz</v>
      </c>
      <c r="B1393" t="str">
        <f ca="1">IFERROR(__xludf.DUMMYFUNCTION("""COMPUTED_VALUE"""),"DEB3")</f>
        <v>DEB3</v>
      </c>
    </row>
    <row r="1394" spans="1:2" ht="12.5" x14ac:dyDescent="0.25">
      <c r="A1394" t="str">
        <f ca="1">IFERROR(__xludf.DUMMYFUNCTION("""COMPUTED_VALUE"""),"Rheinisch-Bergischer Kreis")</f>
        <v>Rheinisch-Bergischer Kreis</v>
      </c>
      <c r="B1394" t="str">
        <f ca="1">IFERROR(__xludf.DUMMYFUNCTION("""COMPUTED_VALUE"""),"DEA2B")</f>
        <v>DEA2B</v>
      </c>
    </row>
    <row r="1395" spans="1:2" ht="12.5" x14ac:dyDescent="0.25">
      <c r="A1395" t="str">
        <f ca="1">IFERROR(__xludf.DUMMYFUNCTION("""COMPUTED_VALUE"""),"Rheinland-Pfalz")</f>
        <v>Rheinland-Pfalz</v>
      </c>
      <c r="B1395" t="str">
        <f ca="1">IFERROR(__xludf.DUMMYFUNCTION("""COMPUTED_VALUE"""),"DEB")</f>
        <v>DEB</v>
      </c>
    </row>
    <row r="1396" spans="1:2" ht="12.5" x14ac:dyDescent="0.25">
      <c r="A1396" t="str">
        <f ca="1">IFERROR(__xludf.DUMMYFUNCTION("""COMPUTED_VALUE"""),"Rheintal-Bodenseegebiet")</f>
        <v>Rheintal-Bodenseegebiet</v>
      </c>
      <c r="B1396" t="str">
        <f ca="1">IFERROR(__xludf.DUMMYFUNCTION("""COMPUTED_VALUE"""),"AT342")</f>
        <v>AT342</v>
      </c>
    </row>
    <row r="1397" spans="1:2" ht="12.5" x14ac:dyDescent="0.25">
      <c r="A1397" t="str">
        <f ca="1">IFERROR(__xludf.DUMMYFUNCTION("""COMPUTED_VALUE"""),"Rhön-Grabfeld")</f>
        <v>Rhön-Grabfeld</v>
      </c>
      <c r="B1397" t="str">
        <f ca="1">IFERROR(__xludf.DUMMYFUNCTION("""COMPUTED_VALUE"""),"DE266")</f>
        <v>DE266</v>
      </c>
    </row>
    <row r="1398" spans="1:2" ht="12.5" x14ac:dyDescent="0.25">
      <c r="A1398" t="str">
        <f ca="1">IFERROR(__xludf.DUMMYFUNCTION("""COMPUTED_VALUE"""),"Rhône")</f>
        <v>Rhône</v>
      </c>
      <c r="B1398" t="str">
        <f ca="1">IFERROR(__xludf.DUMMYFUNCTION("""COMPUTED_VALUE"""),"FR716")</f>
        <v>FR716</v>
      </c>
    </row>
    <row r="1399" spans="1:2" ht="12.5" x14ac:dyDescent="0.25">
      <c r="A1399" t="str">
        <f ca="1">IFERROR(__xludf.DUMMYFUNCTION("""COMPUTED_VALUE"""),"Rhône-Alpes")</f>
        <v>Rhône-Alpes</v>
      </c>
      <c r="B1399" t="str">
        <f ca="1">IFERROR(__xludf.DUMMYFUNCTION("""COMPUTED_VALUE"""),"FR71")</f>
        <v>FR71</v>
      </c>
    </row>
    <row r="1400" spans="1:2" ht="12.5" x14ac:dyDescent="0.25">
      <c r="A1400" t="str">
        <f ca="1">IFERROR(__xludf.DUMMYFUNCTION("""COMPUTED_VALUE"""),"Riesa-Großenhain")</f>
        <v>Riesa-Großenhain</v>
      </c>
      <c r="B1400" t="str">
        <f ca="1">IFERROR(__xludf.DUMMYFUNCTION("""COMPUTED_VALUE"""),"DED27")</f>
        <v>DED27</v>
      </c>
    </row>
    <row r="1401" spans="1:2" ht="12.5" x14ac:dyDescent="0.25">
      <c r="A1401" t="str">
        <f ca="1">IFERROR(__xludf.DUMMYFUNCTION("""COMPUTED_VALUE"""),"Rieti")</f>
        <v>Rieti</v>
      </c>
      <c r="B1401" t="str">
        <f ca="1">IFERROR(__xludf.DUMMYFUNCTION("""COMPUTED_VALUE"""),"ITE42")</f>
        <v>ITE42</v>
      </c>
    </row>
    <row r="1402" spans="1:2" ht="12.5" x14ac:dyDescent="0.25">
      <c r="A1402" t="str">
        <f ca="1">IFERROR(__xludf.DUMMYFUNCTION("""COMPUTED_VALUE"""),"Riga")</f>
        <v>Riga</v>
      </c>
      <c r="B1402" t="str">
        <f ca="1">IFERROR(__xludf.DUMMYFUNCTION("""COMPUTED_VALUE"""),"LV006")</f>
        <v>LV006</v>
      </c>
    </row>
    <row r="1403" spans="1:2" ht="12.5" x14ac:dyDescent="0.25">
      <c r="A1403" t="str">
        <f ca="1">IFERROR(__xludf.DUMMYFUNCTION("""COMPUTED_VALUE"""),"Rimini")</f>
        <v>Rimini</v>
      </c>
      <c r="B1403" t="str">
        <f ca="1">IFERROR(__xludf.DUMMYFUNCTION("""COMPUTED_VALUE"""),"ITD59")</f>
        <v>ITD59</v>
      </c>
    </row>
    <row r="1404" spans="1:2" ht="12.5" x14ac:dyDescent="0.25">
      <c r="A1404" t="str">
        <f ca="1">IFERROR(__xludf.DUMMYFUNCTION("""COMPUTED_VALUE"""),"Rodopi")</f>
        <v>Rodopi</v>
      </c>
      <c r="B1404" t="str">
        <f ca="1">IFERROR(__xludf.DUMMYFUNCTION("""COMPUTED_VALUE"""),"GR113")</f>
        <v>GR113</v>
      </c>
    </row>
    <row r="1405" spans="1:2" ht="12.5" x14ac:dyDescent="0.25">
      <c r="A1405" t="str">
        <f ca="1">IFERROR(__xludf.DUMMYFUNCTION("""COMPUTED_VALUE"""),"Rogaland")</f>
        <v>Rogaland</v>
      </c>
      <c r="B1405" t="str">
        <f ca="1">IFERROR(__xludf.DUMMYFUNCTION("""COMPUTED_VALUE"""),"NO043")</f>
        <v>NO043</v>
      </c>
    </row>
    <row r="1406" spans="1:2" ht="12.5" x14ac:dyDescent="0.25">
      <c r="A1406" t="str">
        <f ca="1">IFERROR(__xludf.DUMMYFUNCTION("""COMPUTED_VALUE"""),"Roma")</f>
        <v>Roma</v>
      </c>
      <c r="B1406" t="str">
        <f ca="1">IFERROR(__xludf.DUMMYFUNCTION("""COMPUTED_VALUE"""),"ITE43")</f>
        <v>ITE43</v>
      </c>
    </row>
    <row r="1407" spans="1:2" ht="12.5" x14ac:dyDescent="0.25">
      <c r="A1407" t="str">
        <f ca="1">IFERROR(__xludf.DUMMYFUNCTION("""COMPUTED_VALUE"""),"Romania")</f>
        <v>Romania</v>
      </c>
      <c r="B1407" t="str">
        <f ca="1">IFERROR(__xludf.DUMMYFUNCTION("""COMPUTED_VALUE"""),"RO")</f>
        <v>RO</v>
      </c>
    </row>
    <row r="1408" spans="1:2" ht="12.5" x14ac:dyDescent="0.25">
      <c r="A1408" t="str">
        <f ca="1">IFERROR(__xludf.DUMMYFUNCTION("""COMPUTED_VALUE"""),"Rosenheim, Kreisfreie Stadt")</f>
        <v>Rosenheim, Kreisfreie Stadt</v>
      </c>
      <c r="B1408" t="str">
        <f ca="1">IFERROR(__xludf.DUMMYFUNCTION("""COMPUTED_VALUE"""),"DE213")</f>
        <v>DE213</v>
      </c>
    </row>
    <row r="1409" spans="1:2" ht="12.5" x14ac:dyDescent="0.25">
      <c r="A1409" t="str">
        <f ca="1">IFERROR(__xludf.DUMMYFUNCTION("""COMPUTED_VALUE"""),"Rosenheim, Landkreis")</f>
        <v>Rosenheim, Landkreis</v>
      </c>
      <c r="B1409" t="str">
        <f ca="1">IFERROR(__xludf.DUMMYFUNCTION("""COMPUTED_VALUE"""),"DE21K")</f>
        <v>DE21K</v>
      </c>
    </row>
    <row r="1410" spans="1:2" ht="12.5" x14ac:dyDescent="0.25">
      <c r="A1410" t="str">
        <f ca="1">IFERROR(__xludf.DUMMYFUNCTION("""COMPUTED_VALUE"""),"Rostock, Kreisfreie Stadt")</f>
        <v>Rostock, Kreisfreie Stadt</v>
      </c>
      <c r="B1410" t="str">
        <f ca="1">IFERROR(__xludf.DUMMYFUNCTION("""COMPUTED_VALUE"""),"DE803")</f>
        <v>DE803</v>
      </c>
    </row>
    <row r="1411" spans="1:2" ht="12.5" x14ac:dyDescent="0.25">
      <c r="A1411" t="str">
        <f ca="1">IFERROR(__xludf.DUMMYFUNCTION("""COMPUTED_VALUE"""),"Rotenburg (Wümme)")</f>
        <v>Rotenburg (Wümme)</v>
      </c>
      <c r="B1411" t="str">
        <f ca="1">IFERROR(__xludf.DUMMYFUNCTION("""COMPUTED_VALUE"""),"DE937")</f>
        <v>DE937</v>
      </c>
    </row>
    <row r="1412" spans="1:2" ht="12.5" x14ac:dyDescent="0.25">
      <c r="A1412" t="str">
        <f ca="1">IFERROR(__xludf.DUMMYFUNCTION("""COMPUTED_VALUE"""),"Roth")</f>
        <v>Roth</v>
      </c>
      <c r="B1412" t="str">
        <f ca="1">IFERROR(__xludf.DUMMYFUNCTION("""COMPUTED_VALUE"""),"DE25B")</f>
        <v>DE25B</v>
      </c>
    </row>
    <row r="1413" spans="1:2" ht="12.5" x14ac:dyDescent="0.25">
      <c r="A1413" t="str">
        <f ca="1">IFERROR(__xludf.DUMMYFUNCTION("""COMPUTED_VALUE"""),"Rottal-Inn")</f>
        <v>Rottal-Inn</v>
      </c>
      <c r="B1413" t="str">
        <f ca="1">IFERROR(__xludf.DUMMYFUNCTION("""COMPUTED_VALUE"""),"DE22A")</f>
        <v>DE22A</v>
      </c>
    </row>
    <row r="1414" spans="1:2" ht="12.5" x14ac:dyDescent="0.25">
      <c r="A1414" t="str">
        <f ca="1">IFERROR(__xludf.DUMMYFUNCTION("""COMPUTED_VALUE"""),"Rottweil")</f>
        <v>Rottweil</v>
      </c>
      <c r="B1414" t="str">
        <f ca="1">IFERROR(__xludf.DUMMYFUNCTION("""COMPUTED_VALUE"""),"DE135")</f>
        <v>DE135</v>
      </c>
    </row>
    <row r="1415" spans="1:2" ht="12.5" x14ac:dyDescent="0.25">
      <c r="A1415" t="str">
        <f ca="1">IFERROR(__xludf.DUMMYFUNCTION("""COMPUTED_VALUE"""),"Rovigo")</f>
        <v>Rovigo</v>
      </c>
      <c r="B1415" t="str">
        <f ca="1">IFERROR(__xludf.DUMMYFUNCTION("""COMPUTED_VALUE"""),"ITD37")</f>
        <v>ITD37</v>
      </c>
    </row>
    <row r="1416" spans="1:2" ht="12.5" x14ac:dyDescent="0.25">
      <c r="A1416" t="str">
        <f ca="1">IFERROR(__xludf.DUMMYFUNCTION("""COMPUTED_VALUE"""),"Rügen")</f>
        <v>Rügen</v>
      </c>
      <c r="B1416" t="str">
        <f ca="1">IFERROR(__xludf.DUMMYFUNCTION("""COMPUTED_VALUE"""),"DE80H")</f>
        <v>DE80H</v>
      </c>
    </row>
    <row r="1417" spans="1:2" ht="12.5" x14ac:dyDescent="0.25">
      <c r="A1417" t="str">
        <f ca="1">IFERROR(__xludf.DUMMYFUNCTION("""COMPUTED_VALUE"""),"Ruse")</f>
        <v>Ruse</v>
      </c>
      <c r="B1417" t="str">
        <f ca="1">IFERROR(__xludf.DUMMYFUNCTION("""COMPUTED_VALUE"""),"BG323")</f>
        <v>BG323</v>
      </c>
    </row>
    <row r="1418" spans="1:2" ht="12.5" x14ac:dyDescent="0.25">
      <c r="A1418" t="str">
        <f ca="1">IFERROR(__xludf.DUMMYFUNCTION("""COMPUTED_VALUE"""),"Rybnicki")</f>
        <v>Rybnicki</v>
      </c>
      <c r="B1418" t="str">
        <f ca="1">IFERROR(__xludf.DUMMYFUNCTION("""COMPUTED_VALUE"""),"PL227")</f>
        <v>PL227</v>
      </c>
    </row>
    <row r="1419" spans="1:2" ht="12.5" x14ac:dyDescent="0.25">
      <c r="A1419" t="str">
        <f ca="1">IFERROR(__xludf.DUMMYFUNCTION("""COMPUTED_VALUE"""),"Rzeszowski")</f>
        <v>Rzeszowski</v>
      </c>
      <c r="B1419" t="str">
        <f ca="1">IFERROR(__xludf.DUMMYFUNCTION("""COMPUTED_VALUE"""),"PL325")</f>
        <v>PL325</v>
      </c>
    </row>
    <row r="1420" spans="1:2" ht="12.5" x14ac:dyDescent="0.25">
      <c r="A1420" t="str">
        <f ca="1">IFERROR(__xludf.DUMMYFUNCTION("""COMPUTED_VALUE"""),"Saale-Holzland-Kreis")</f>
        <v>Saale-Holzland-Kreis</v>
      </c>
      <c r="B1420" t="str">
        <f ca="1">IFERROR(__xludf.DUMMYFUNCTION("""COMPUTED_VALUE"""),"DEG0J")</f>
        <v>DEG0J</v>
      </c>
    </row>
    <row r="1421" spans="1:2" ht="12.5" x14ac:dyDescent="0.25">
      <c r="A1421" t="str">
        <f ca="1">IFERROR(__xludf.DUMMYFUNCTION("""COMPUTED_VALUE"""),"Saale-Orla-Kreis")</f>
        <v>Saale-Orla-Kreis</v>
      </c>
      <c r="B1421" t="str">
        <f ca="1">IFERROR(__xludf.DUMMYFUNCTION("""COMPUTED_VALUE"""),"DEG0K")</f>
        <v>DEG0K</v>
      </c>
    </row>
    <row r="1422" spans="1:2" ht="12.5" x14ac:dyDescent="0.25">
      <c r="A1422" t="str">
        <f ca="1">IFERROR(__xludf.DUMMYFUNCTION("""COMPUTED_VALUE"""),"Saalekreis")</f>
        <v>Saalekreis</v>
      </c>
      <c r="B1422" t="str">
        <f ca="1">IFERROR(__xludf.DUMMYFUNCTION("""COMPUTED_VALUE"""),"DEE0B")</f>
        <v>DEE0B</v>
      </c>
    </row>
    <row r="1423" spans="1:2" ht="12.5" x14ac:dyDescent="0.25">
      <c r="A1423" t="str">
        <f ca="1">IFERROR(__xludf.DUMMYFUNCTION("""COMPUTED_VALUE"""),"Saalfeld-Rudolstadt")</f>
        <v>Saalfeld-Rudolstadt</v>
      </c>
      <c r="B1423" t="str">
        <f ca="1">IFERROR(__xludf.DUMMYFUNCTION("""COMPUTED_VALUE"""),"DEG0I")</f>
        <v>DEG0I</v>
      </c>
    </row>
    <row r="1424" spans="1:2" ht="12.5" x14ac:dyDescent="0.25">
      <c r="A1424" t="str">
        <f ca="1">IFERROR(__xludf.DUMMYFUNCTION("""COMPUTED_VALUE"""),"Saarland")</f>
        <v>Saarland</v>
      </c>
      <c r="B1424" t="str">
        <f ca="1">IFERROR(__xludf.DUMMYFUNCTION("""COMPUTED_VALUE"""),"DEC")</f>
        <v>DEC</v>
      </c>
    </row>
    <row r="1425" spans="1:2" ht="12.5" x14ac:dyDescent="0.25">
      <c r="A1425" t="str">
        <f ca="1">IFERROR(__xludf.DUMMYFUNCTION("""COMPUTED_VALUE"""),"Saarland (*)")</f>
        <v>Saarland (*)</v>
      </c>
      <c r="B1425" t="str">
        <f ca="1">IFERROR(__xludf.DUMMYFUNCTION("""COMPUTED_VALUE"""),"DEC0")</f>
        <v>DEC0</v>
      </c>
    </row>
    <row r="1426" spans="1:2" ht="12.5" x14ac:dyDescent="0.25">
      <c r="A1426" t="str">
        <f ca="1">IFERROR(__xludf.DUMMYFUNCTION("""COMPUTED_VALUE"""),"Saarlouis")</f>
        <v>Saarlouis</v>
      </c>
      <c r="B1426" t="str">
        <f ca="1">IFERROR(__xludf.DUMMYFUNCTION("""COMPUTED_VALUE"""),"DEC04")</f>
        <v>DEC04</v>
      </c>
    </row>
    <row r="1427" spans="1:2" ht="12.5" x14ac:dyDescent="0.25">
      <c r="A1427" t="str">
        <f ca="1">IFERROR(__xludf.DUMMYFUNCTION("""COMPUTED_VALUE"""),"Saarpfalz-Kreis")</f>
        <v>Saarpfalz-Kreis</v>
      </c>
      <c r="B1427" t="str">
        <f ca="1">IFERROR(__xludf.DUMMYFUNCTION("""COMPUTED_VALUE"""),"DEC05")</f>
        <v>DEC05</v>
      </c>
    </row>
    <row r="1428" spans="1:2" ht="12.5" x14ac:dyDescent="0.25">
      <c r="A1428" t="str">
        <f ca="1">IFERROR(__xludf.DUMMYFUNCTION("""COMPUTED_VALUE"""),"Sachsen")</f>
        <v>Sachsen</v>
      </c>
      <c r="B1428" t="str">
        <f ca="1">IFERROR(__xludf.DUMMYFUNCTION("""COMPUTED_VALUE"""),"DED")</f>
        <v>DED</v>
      </c>
    </row>
    <row r="1429" spans="1:2" ht="12.5" x14ac:dyDescent="0.25">
      <c r="A1429" t="str">
        <f ca="1">IFERROR(__xludf.DUMMYFUNCTION("""COMPUTED_VALUE"""),"Sachsen-Anhalt")</f>
        <v>Sachsen-Anhalt</v>
      </c>
      <c r="B1429" t="str">
        <f ca="1">IFERROR(__xludf.DUMMYFUNCTION("""COMPUTED_VALUE"""),"DEE")</f>
        <v>DEE</v>
      </c>
    </row>
    <row r="1430" spans="1:2" ht="12.5" x14ac:dyDescent="0.25">
      <c r="A1430" t="str">
        <f ca="1">IFERROR(__xludf.DUMMYFUNCTION("""COMPUTED_VALUE"""),"Sachsen-Anhalt (*)")</f>
        <v>Sachsen-Anhalt (*)</v>
      </c>
      <c r="B1430" t="str">
        <f ca="1">IFERROR(__xludf.DUMMYFUNCTION("""COMPUTED_VALUE"""),"DEE0")</f>
        <v>DEE0</v>
      </c>
    </row>
    <row r="1431" spans="1:2" ht="12.5" x14ac:dyDescent="0.25">
      <c r="A1431" t="str">
        <f ca="1">IFERROR(__xludf.DUMMYFUNCTION("""COMPUTED_VALUE"""),"Sächsische Schweiz")</f>
        <v>Sächsische Schweiz</v>
      </c>
      <c r="B1431" t="str">
        <f ca="1">IFERROR(__xludf.DUMMYFUNCTION("""COMPUTED_VALUE"""),"DED29")</f>
        <v>DED29</v>
      </c>
    </row>
    <row r="1432" spans="1:2" ht="12.5" x14ac:dyDescent="0.25">
      <c r="A1432" t="str">
        <f ca="1">IFERROR(__xludf.DUMMYFUNCTION("""COMPUTED_VALUE"""),"Salaj")</f>
        <v>Salaj</v>
      </c>
      <c r="B1432" t="str">
        <f ca="1">IFERROR(__xludf.DUMMYFUNCTION("""COMPUTED_VALUE"""),"RO116")</f>
        <v>RO116</v>
      </c>
    </row>
    <row r="1433" spans="1:2" ht="12.5" x14ac:dyDescent="0.25">
      <c r="A1433" t="str">
        <f ca="1">IFERROR(__xludf.DUMMYFUNCTION("""COMPUTED_VALUE"""),"Salamanca")</f>
        <v>Salamanca</v>
      </c>
      <c r="B1433" t="str">
        <f ca="1">IFERROR(__xludf.DUMMYFUNCTION("""COMPUTED_VALUE"""),"ES415")</f>
        <v>ES415</v>
      </c>
    </row>
    <row r="1434" spans="1:2" ht="12.5" x14ac:dyDescent="0.25">
      <c r="A1434" t="str">
        <f ca="1">IFERROR(__xludf.DUMMYFUNCTION("""COMPUTED_VALUE"""),"Salerno")</f>
        <v>Salerno</v>
      </c>
      <c r="B1434" t="str">
        <f ca="1">IFERROR(__xludf.DUMMYFUNCTION("""COMPUTED_VALUE"""),"ITF35")</f>
        <v>ITF35</v>
      </c>
    </row>
    <row r="1435" spans="1:2" ht="12.5" x14ac:dyDescent="0.25">
      <c r="A1435" t="str">
        <f ca="1">IFERROR(__xludf.DUMMYFUNCTION("""COMPUTED_VALUE"""),"Salzburg")</f>
        <v>Salzburg</v>
      </c>
      <c r="B1435" t="str">
        <f ca="1">IFERROR(__xludf.DUMMYFUNCTION("""COMPUTED_VALUE"""),"AT32")</f>
        <v>AT32</v>
      </c>
    </row>
    <row r="1436" spans="1:2" ht="12.5" x14ac:dyDescent="0.25">
      <c r="A1436" t="str">
        <f ca="1">IFERROR(__xludf.DUMMYFUNCTION("""COMPUTED_VALUE"""),"Salzburg Und Umgebung")</f>
        <v>Salzburg Und Umgebung</v>
      </c>
      <c r="B1436" t="str">
        <f ca="1">IFERROR(__xludf.DUMMYFUNCTION("""COMPUTED_VALUE"""),"AT323")</f>
        <v>AT323</v>
      </c>
    </row>
    <row r="1437" spans="1:2" ht="12.5" x14ac:dyDescent="0.25">
      <c r="A1437" t="str">
        <f ca="1">IFERROR(__xludf.DUMMYFUNCTION("""COMPUTED_VALUE"""),"Salzgitter, Kreisfreie Stadt")</f>
        <v>Salzgitter, Kreisfreie Stadt</v>
      </c>
      <c r="B1437" t="str">
        <f ca="1">IFERROR(__xludf.DUMMYFUNCTION("""COMPUTED_VALUE"""),"DE912")</f>
        <v>DE912</v>
      </c>
    </row>
    <row r="1438" spans="1:2" ht="12.5" x14ac:dyDescent="0.25">
      <c r="A1438" t="str">
        <f ca="1">IFERROR(__xludf.DUMMYFUNCTION("""COMPUTED_VALUE"""),"Salzland")</f>
        <v>Salzland</v>
      </c>
      <c r="B1438" t="str">
        <f ca="1">IFERROR(__xludf.DUMMYFUNCTION("""COMPUTED_VALUE"""),"DEE0C")</f>
        <v>DEE0C</v>
      </c>
    </row>
    <row r="1439" spans="1:2" ht="12.5" x14ac:dyDescent="0.25">
      <c r="A1439" t="str">
        <f ca="1">IFERROR(__xludf.DUMMYFUNCTION("""COMPUTED_VALUE"""),"Samos")</f>
        <v>Samos</v>
      </c>
      <c r="B1439" t="str">
        <f ca="1">IFERROR(__xludf.DUMMYFUNCTION("""COMPUTED_VALUE"""),"GR412")</f>
        <v>GR412</v>
      </c>
    </row>
    <row r="1440" spans="1:2" ht="12.5" x14ac:dyDescent="0.25">
      <c r="A1440" t="str">
        <f ca="1">IFERROR(__xludf.DUMMYFUNCTION("""COMPUTED_VALUE"""),"Sandomiersko-Jedrzejowski")</f>
        <v>Sandomiersko-Jedrzejowski</v>
      </c>
      <c r="B1440" t="str">
        <f ca="1">IFERROR(__xludf.DUMMYFUNCTION("""COMPUTED_VALUE"""),"PL332")</f>
        <v>PL332</v>
      </c>
    </row>
    <row r="1441" spans="1:2" ht="12.5" x14ac:dyDescent="0.25">
      <c r="A1441" t="str">
        <f ca="1">IFERROR(__xludf.DUMMYFUNCTION("""COMPUTED_VALUE"""),"Sankt Pölten")</f>
        <v>Sankt Pölten</v>
      </c>
      <c r="B1441" t="str">
        <f ca="1">IFERROR(__xludf.DUMMYFUNCTION("""COMPUTED_VALUE"""),"AT123")</f>
        <v>AT123</v>
      </c>
    </row>
    <row r="1442" spans="1:2" ht="12.5" x14ac:dyDescent="0.25">
      <c r="A1442" t="str">
        <f ca="1">IFERROR(__xludf.DUMMYFUNCTION("""COMPUTED_VALUE"""),"Saône-Et-Loire")</f>
        <v>Saône-Et-Loire</v>
      </c>
      <c r="B1442" t="str">
        <f ca="1">IFERROR(__xludf.DUMMYFUNCTION("""COMPUTED_VALUE"""),"FR263")</f>
        <v>FR263</v>
      </c>
    </row>
    <row r="1443" spans="1:2" ht="12.5" x14ac:dyDescent="0.25">
      <c r="A1443" t="str">
        <f ca="1">IFERROR(__xludf.DUMMYFUNCTION("""COMPUTED_VALUE"""),"Sardegna")</f>
        <v>Sardegna</v>
      </c>
      <c r="B1443" t="str">
        <f ca="1">IFERROR(__xludf.DUMMYFUNCTION("""COMPUTED_VALUE"""),"ITG2")</f>
        <v>ITG2</v>
      </c>
    </row>
    <row r="1444" spans="1:2" ht="12.5" x14ac:dyDescent="0.25">
      <c r="A1444" t="str">
        <f ca="1">IFERROR(__xludf.DUMMYFUNCTION("""COMPUTED_VALUE"""),"Sarthe")</f>
        <v>Sarthe</v>
      </c>
      <c r="B1444" t="str">
        <f ca="1">IFERROR(__xludf.DUMMYFUNCTION("""COMPUTED_VALUE"""),"FR514")</f>
        <v>FR514</v>
      </c>
    </row>
    <row r="1445" spans="1:2" ht="12.5" x14ac:dyDescent="0.25">
      <c r="A1445" t="str">
        <f ca="1">IFERROR(__xludf.DUMMYFUNCTION("""COMPUTED_VALUE"""),"Sassari")</f>
        <v>Sassari</v>
      </c>
      <c r="B1445" t="str">
        <f ca="1">IFERROR(__xludf.DUMMYFUNCTION("""COMPUTED_VALUE"""),"ITG25")</f>
        <v>ITG25</v>
      </c>
    </row>
    <row r="1446" spans="1:2" ht="12.5" x14ac:dyDescent="0.25">
      <c r="A1446" t="str">
        <f ca="1">IFERROR(__xludf.DUMMYFUNCTION("""COMPUTED_VALUE"""),"Satakunta")</f>
        <v>Satakunta</v>
      </c>
      <c r="B1446" t="str">
        <f ca="1">IFERROR(__xludf.DUMMYFUNCTION("""COMPUTED_VALUE"""),"FI196")</f>
        <v>FI196</v>
      </c>
    </row>
    <row r="1447" spans="1:2" ht="12.5" x14ac:dyDescent="0.25">
      <c r="A1447" t="str">
        <f ca="1">IFERROR(__xludf.DUMMYFUNCTION("""COMPUTED_VALUE"""),"Satu Mare")</f>
        <v>Satu Mare</v>
      </c>
      <c r="B1447" t="str">
        <f ca="1">IFERROR(__xludf.DUMMYFUNCTION("""COMPUTED_VALUE"""),"RO115")</f>
        <v>RO115</v>
      </c>
    </row>
    <row r="1448" spans="1:2" ht="12.5" x14ac:dyDescent="0.25">
      <c r="A1448" t="str">
        <f ca="1">IFERROR(__xludf.DUMMYFUNCTION("""COMPUTED_VALUE"""),"Savinjska")</f>
        <v>Savinjska</v>
      </c>
      <c r="B1448" t="str">
        <f ca="1">IFERROR(__xludf.DUMMYFUNCTION("""COMPUTED_VALUE"""),"SI014")</f>
        <v>SI014</v>
      </c>
    </row>
    <row r="1449" spans="1:2" ht="12.5" x14ac:dyDescent="0.25">
      <c r="A1449" t="str">
        <f ca="1">IFERROR(__xludf.DUMMYFUNCTION("""COMPUTED_VALUE"""),"Savoie")</f>
        <v>Savoie</v>
      </c>
      <c r="B1449" t="str">
        <f ca="1">IFERROR(__xludf.DUMMYFUNCTION("""COMPUTED_VALUE"""),"FR717")</f>
        <v>FR717</v>
      </c>
    </row>
    <row r="1450" spans="1:2" ht="12.5" x14ac:dyDescent="0.25">
      <c r="A1450" t="str">
        <f ca="1">IFERROR(__xludf.DUMMYFUNCTION("""COMPUTED_VALUE"""),"Savona")</f>
        <v>Savona</v>
      </c>
      <c r="B1450" t="str">
        <f ca="1">IFERROR(__xludf.DUMMYFUNCTION("""COMPUTED_VALUE"""),"ITC32")</f>
        <v>ITC32</v>
      </c>
    </row>
    <row r="1451" spans="1:2" ht="12.5" x14ac:dyDescent="0.25">
      <c r="A1451" t="str">
        <f ca="1">IFERROR(__xludf.DUMMYFUNCTION("""COMPUTED_VALUE"""),"Schaffhausen")</f>
        <v>Schaffhausen</v>
      </c>
      <c r="B1451" t="str">
        <f ca="1">IFERROR(__xludf.DUMMYFUNCTION("""COMPUTED_VALUE"""),"CH052")</f>
        <v>CH052</v>
      </c>
    </row>
    <row r="1452" spans="1:2" ht="12.5" x14ac:dyDescent="0.25">
      <c r="A1452" t="str">
        <f ca="1">IFERROR(__xludf.DUMMYFUNCTION("""COMPUTED_VALUE"""),"Schaumburg")</f>
        <v>Schaumburg</v>
      </c>
      <c r="B1452" t="str">
        <f ca="1">IFERROR(__xludf.DUMMYFUNCTION("""COMPUTED_VALUE"""),"DE928")</f>
        <v>DE928</v>
      </c>
    </row>
    <row r="1453" spans="1:2" ht="12.5" x14ac:dyDescent="0.25">
      <c r="A1453" t="str">
        <f ca="1">IFERROR(__xludf.DUMMYFUNCTION("""COMPUTED_VALUE"""),"Schleswig-Flensburg")</f>
        <v>Schleswig-Flensburg</v>
      </c>
      <c r="B1453" t="str">
        <f ca="1">IFERROR(__xludf.DUMMYFUNCTION("""COMPUTED_VALUE"""),"DEF0C")</f>
        <v>DEF0C</v>
      </c>
    </row>
    <row r="1454" spans="1:2" ht="12.5" x14ac:dyDescent="0.25">
      <c r="A1454" t="str">
        <f ca="1">IFERROR(__xludf.DUMMYFUNCTION("""COMPUTED_VALUE"""),"Schleswig-Holstein")</f>
        <v>Schleswig-Holstein</v>
      </c>
      <c r="B1454" t="str">
        <f ca="1">IFERROR(__xludf.DUMMYFUNCTION("""COMPUTED_VALUE"""),"DEF")</f>
        <v>DEF</v>
      </c>
    </row>
    <row r="1455" spans="1:2" ht="12.5" x14ac:dyDescent="0.25">
      <c r="A1455" t="str">
        <f ca="1">IFERROR(__xludf.DUMMYFUNCTION("""COMPUTED_VALUE"""),"Schleswig-Holstein (*)")</f>
        <v>Schleswig-Holstein (*)</v>
      </c>
      <c r="B1455" t="str">
        <f ca="1">IFERROR(__xludf.DUMMYFUNCTION("""COMPUTED_VALUE"""),"DEF0")</f>
        <v>DEF0</v>
      </c>
    </row>
    <row r="1456" spans="1:2" ht="12.5" x14ac:dyDescent="0.25">
      <c r="A1456" t="str">
        <f ca="1">IFERROR(__xludf.DUMMYFUNCTION("""COMPUTED_VALUE"""),"Schmalkalden-Meiningen")</f>
        <v>Schmalkalden-Meiningen</v>
      </c>
      <c r="B1456" t="str">
        <f ca="1">IFERROR(__xludf.DUMMYFUNCTION("""COMPUTED_VALUE"""),"DEG0B")</f>
        <v>DEG0B</v>
      </c>
    </row>
    <row r="1457" spans="1:2" ht="12.5" x14ac:dyDescent="0.25">
      <c r="A1457" t="str">
        <f ca="1">IFERROR(__xludf.DUMMYFUNCTION("""COMPUTED_VALUE"""),"Schwabach, Kreisfreie Stadt")</f>
        <v>Schwabach, Kreisfreie Stadt</v>
      </c>
      <c r="B1457" t="str">
        <f ca="1">IFERROR(__xludf.DUMMYFUNCTION("""COMPUTED_VALUE"""),"DE255")</f>
        <v>DE255</v>
      </c>
    </row>
    <row r="1458" spans="1:2" ht="12.5" x14ac:dyDescent="0.25">
      <c r="A1458" t="str">
        <f ca="1">IFERROR(__xludf.DUMMYFUNCTION("""COMPUTED_VALUE"""),"Schwaben")</f>
        <v>Schwaben</v>
      </c>
      <c r="B1458" t="str">
        <f ca="1">IFERROR(__xludf.DUMMYFUNCTION("""COMPUTED_VALUE"""),"DE27")</f>
        <v>DE27</v>
      </c>
    </row>
    <row r="1459" spans="1:2" ht="12.5" x14ac:dyDescent="0.25">
      <c r="A1459" t="str">
        <f ca="1">IFERROR(__xludf.DUMMYFUNCTION("""COMPUTED_VALUE"""),"Schwäbisch Hall")</f>
        <v>Schwäbisch Hall</v>
      </c>
      <c r="B1459" t="str">
        <f ca="1">IFERROR(__xludf.DUMMYFUNCTION("""COMPUTED_VALUE"""),"DE11A")</f>
        <v>DE11A</v>
      </c>
    </row>
    <row r="1460" spans="1:2" ht="12.5" x14ac:dyDescent="0.25">
      <c r="A1460" t="str">
        <f ca="1">IFERROR(__xludf.DUMMYFUNCTION("""COMPUTED_VALUE"""),"Schwalm-Eder-Kreis")</f>
        <v>Schwalm-Eder-Kreis</v>
      </c>
      <c r="B1460" t="str">
        <f ca="1">IFERROR(__xludf.DUMMYFUNCTION("""COMPUTED_VALUE"""),"DE735")</f>
        <v>DE735</v>
      </c>
    </row>
    <row r="1461" spans="1:2" ht="12.5" x14ac:dyDescent="0.25">
      <c r="A1461" t="str">
        <f ca="1">IFERROR(__xludf.DUMMYFUNCTION("""COMPUTED_VALUE"""),"Schwandorf")</f>
        <v>Schwandorf</v>
      </c>
      <c r="B1461" t="str">
        <f ca="1">IFERROR(__xludf.DUMMYFUNCTION("""COMPUTED_VALUE"""),"DE239")</f>
        <v>DE239</v>
      </c>
    </row>
    <row r="1462" spans="1:2" ht="12.5" x14ac:dyDescent="0.25">
      <c r="A1462" t="str">
        <f ca="1">IFERROR(__xludf.DUMMYFUNCTION("""COMPUTED_VALUE"""),"Schwarzwald-Baar-Kreis")</f>
        <v>Schwarzwald-Baar-Kreis</v>
      </c>
      <c r="B1462" t="str">
        <f ca="1">IFERROR(__xludf.DUMMYFUNCTION("""COMPUTED_VALUE"""),"DE136")</f>
        <v>DE136</v>
      </c>
    </row>
    <row r="1463" spans="1:2" ht="12.5" x14ac:dyDescent="0.25">
      <c r="A1463" t="str">
        <f ca="1">IFERROR(__xludf.DUMMYFUNCTION("""COMPUTED_VALUE"""),"Schweinfurt, Kreisfreie Stadt")</f>
        <v>Schweinfurt, Kreisfreie Stadt</v>
      </c>
      <c r="B1463" t="str">
        <f ca="1">IFERROR(__xludf.DUMMYFUNCTION("""COMPUTED_VALUE"""),"DE262")</f>
        <v>DE262</v>
      </c>
    </row>
    <row r="1464" spans="1:2" ht="12.5" x14ac:dyDescent="0.25">
      <c r="A1464" t="str">
        <f ca="1">IFERROR(__xludf.DUMMYFUNCTION("""COMPUTED_VALUE"""),"Schweinfurt, Landkreis")</f>
        <v>Schweinfurt, Landkreis</v>
      </c>
      <c r="B1464" t="str">
        <f ca="1">IFERROR(__xludf.DUMMYFUNCTION("""COMPUTED_VALUE"""),"DE26B")</f>
        <v>DE26B</v>
      </c>
    </row>
    <row r="1465" spans="1:2" ht="12.5" x14ac:dyDescent="0.25">
      <c r="A1465" t="str">
        <f ca="1">IFERROR(__xludf.DUMMYFUNCTION("""COMPUTED_VALUE"""),"Schweiz/Suisse/Svizzera")</f>
        <v>Schweiz/Suisse/Svizzera</v>
      </c>
      <c r="B1465" t="str">
        <f ca="1">IFERROR(__xludf.DUMMYFUNCTION("""COMPUTED_VALUE"""),"CH")</f>
        <v>CH</v>
      </c>
    </row>
    <row r="1466" spans="1:2" ht="12.5" x14ac:dyDescent="0.25">
      <c r="A1466" t="str">
        <f ca="1">IFERROR(__xludf.DUMMYFUNCTION("""COMPUTED_VALUE"""),"Schweiz/Suisse/Svizzera (*)")</f>
        <v>Schweiz/Suisse/Svizzera (*)</v>
      </c>
      <c r="B1466" t="str">
        <f ca="1">IFERROR(__xludf.DUMMYFUNCTION("""COMPUTED_VALUE"""),"CH0")</f>
        <v>CH0</v>
      </c>
    </row>
    <row r="1467" spans="1:2" ht="12.5" x14ac:dyDescent="0.25">
      <c r="A1467" t="str">
        <f ca="1">IFERROR(__xludf.DUMMYFUNCTION("""COMPUTED_VALUE"""),"Schwerin, Kreisfreie Stadt")</f>
        <v>Schwerin, Kreisfreie Stadt</v>
      </c>
      <c r="B1467" t="str">
        <f ca="1">IFERROR(__xludf.DUMMYFUNCTION("""COMPUTED_VALUE"""),"DE804")</f>
        <v>DE804</v>
      </c>
    </row>
    <row r="1468" spans="1:2" ht="12.5" x14ac:dyDescent="0.25">
      <c r="A1468" t="str">
        <f ca="1">IFERROR(__xludf.DUMMYFUNCTION("""COMPUTED_VALUE"""),"Schwyz")</f>
        <v>Schwyz</v>
      </c>
      <c r="B1468" t="str">
        <f ca="1">IFERROR(__xludf.DUMMYFUNCTION("""COMPUTED_VALUE"""),"CH063")</f>
        <v>CH063</v>
      </c>
    </row>
    <row r="1469" spans="1:2" ht="12.5" x14ac:dyDescent="0.25">
      <c r="A1469" t="str">
        <f ca="1">IFERROR(__xludf.DUMMYFUNCTION("""COMPUTED_VALUE"""),"Scotland")</f>
        <v>Scotland</v>
      </c>
      <c r="B1469" t="str">
        <f ca="1">IFERROR(__xludf.DUMMYFUNCTION("""COMPUTED_VALUE"""),"UKM")</f>
        <v>UKM</v>
      </c>
    </row>
    <row r="1470" spans="1:2" ht="12.5" x14ac:dyDescent="0.25">
      <c r="A1470" t="str">
        <f ca="1">IFERROR(__xludf.DUMMYFUNCTION("""COMPUTED_VALUE"""),"Scottish Borders")</f>
        <v>Scottish Borders</v>
      </c>
      <c r="B1470" t="str">
        <f ca="1">IFERROR(__xludf.DUMMYFUNCTION("""COMPUTED_VALUE"""),"UKM24")</f>
        <v>UKM24</v>
      </c>
    </row>
    <row r="1471" spans="1:2" ht="12.5" x14ac:dyDescent="0.25">
      <c r="A1471" t="str">
        <f ca="1">IFERROR(__xludf.DUMMYFUNCTION("""COMPUTED_VALUE"""),"Sefton")</f>
        <v>Sefton</v>
      </c>
      <c r="B1471" t="str">
        <f ca="1">IFERROR(__xludf.DUMMYFUNCTION("""COMPUTED_VALUE"""),"UKD53")</f>
        <v>UKD53</v>
      </c>
    </row>
    <row r="1472" spans="1:2" ht="12.5" x14ac:dyDescent="0.25">
      <c r="A1472" t="str">
        <f ca="1">IFERROR(__xludf.DUMMYFUNCTION("""COMPUTED_VALUE"""),"Segeberg")</f>
        <v>Segeberg</v>
      </c>
      <c r="B1472" t="str">
        <f ca="1">IFERROR(__xludf.DUMMYFUNCTION("""COMPUTED_VALUE"""),"DEF0D")</f>
        <v>DEF0D</v>
      </c>
    </row>
    <row r="1473" spans="1:2" ht="12.5" x14ac:dyDescent="0.25">
      <c r="A1473" t="str">
        <f ca="1">IFERROR(__xludf.DUMMYFUNCTION("""COMPUTED_VALUE"""),"Segovia")</f>
        <v>Segovia</v>
      </c>
      <c r="B1473" t="str">
        <f ca="1">IFERROR(__xludf.DUMMYFUNCTION("""COMPUTED_VALUE"""),"ES416")</f>
        <v>ES416</v>
      </c>
    </row>
    <row r="1474" spans="1:2" ht="12.5" x14ac:dyDescent="0.25">
      <c r="A1474" t="str">
        <f ca="1">IFERROR(__xludf.DUMMYFUNCTION("""COMPUTED_VALUE"""),"Seine-Et-Marne")</f>
        <v>Seine-Et-Marne</v>
      </c>
      <c r="B1474" t="str">
        <f ca="1">IFERROR(__xludf.DUMMYFUNCTION("""COMPUTED_VALUE"""),"FR102")</f>
        <v>FR102</v>
      </c>
    </row>
    <row r="1475" spans="1:2" ht="12.5" x14ac:dyDescent="0.25">
      <c r="A1475" t="str">
        <f ca="1">IFERROR(__xludf.DUMMYFUNCTION("""COMPUTED_VALUE"""),"Seine-Maritime")</f>
        <v>Seine-Maritime</v>
      </c>
      <c r="B1475" t="str">
        <f ca="1">IFERROR(__xludf.DUMMYFUNCTION("""COMPUTED_VALUE"""),"FR232")</f>
        <v>FR232</v>
      </c>
    </row>
    <row r="1476" spans="1:2" ht="12.5" x14ac:dyDescent="0.25">
      <c r="A1476" t="str">
        <f ca="1">IFERROR(__xludf.DUMMYFUNCTION("""COMPUTED_VALUE"""),"Seine-Saint-Denis")</f>
        <v>Seine-Saint-Denis</v>
      </c>
      <c r="B1476" t="str">
        <f ca="1">IFERROR(__xludf.DUMMYFUNCTION("""COMPUTED_VALUE"""),"FR106")</f>
        <v>FR106</v>
      </c>
    </row>
    <row r="1477" spans="1:2" ht="12.5" x14ac:dyDescent="0.25">
      <c r="A1477" t="str">
        <f ca="1">IFERROR(__xludf.DUMMYFUNCTION("""COMPUTED_VALUE"""),"Serra Da Estrela")</f>
        <v>Serra Da Estrela</v>
      </c>
      <c r="B1477" t="str">
        <f ca="1">IFERROR(__xludf.DUMMYFUNCTION("""COMPUTED_VALUE"""),"PT167")</f>
        <v>PT167</v>
      </c>
    </row>
    <row r="1478" spans="1:2" ht="12.5" x14ac:dyDescent="0.25">
      <c r="A1478" t="str">
        <f ca="1">IFERROR(__xludf.DUMMYFUNCTION("""COMPUTED_VALUE"""),"Serres")</f>
        <v>Serres</v>
      </c>
      <c r="B1478" t="str">
        <f ca="1">IFERROR(__xludf.DUMMYFUNCTION("""COMPUTED_VALUE"""),"GR126")</f>
        <v>GR126</v>
      </c>
    </row>
    <row r="1479" spans="1:2" ht="12.5" x14ac:dyDescent="0.25">
      <c r="A1479" t="str">
        <f ca="1">IFERROR(__xludf.DUMMYFUNCTION("""COMPUTED_VALUE"""),"Severen Tsentralen")</f>
        <v>Severen Tsentralen</v>
      </c>
      <c r="B1479" t="str">
        <f ca="1">IFERROR(__xludf.DUMMYFUNCTION("""COMPUTED_VALUE"""),"BG32")</f>
        <v>BG32</v>
      </c>
    </row>
    <row r="1480" spans="1:2" ht="12.5" x14ac:dyDescent="0.25">
      <c r="A1480" t="str">
        <f ca="1">IFERROR(__xludf.DUMMYFUNCTION("""COMPUTED_VALUE"""),"Severna I Iztochna Bulgaria")</f>
        <v>Severna I Iztochna Bulgaria</v>
      </c>
      <c r="B1480" t="str">
        <f ca="1">IFERROR(__xludf.DUMMYFUNCTION("""COMPUTED_VALUE"""),"BG3")</f>
        <v>BG3</v>
      </c>
    </row>
    <row r="1481" spans="1:2" ht="12.5" x14ac:dyDescent="0.25">
      <c r="A1481" t="str">
        <f ca="1">IFERROR(__xludf.DUMMYFUNCTION("""COMPUTED_VALUE"""),"Severoiztochen")</f>
        <v>Severoiztochen</v>
      </c>
      <c r="B1481" t="str">
        <f ca="1">IFERROR(__xludf.DUMMYFUNCTION("""COMPUTED_VALUE"""),"BG33")</f>
        <v>BG33</v>
      </c>
    </row>
    <row r="1482" spans="1:2" ht="12.5" x14ac:dyDescent="0.25">
      <c r="A1482" t="str">
        <f ca="1">IFERROR(__xludf.DUMMYFUNCTION("""COMPUTED_VALUE"""),"Severovychod")</f>
        <v>Severovychod</v>
      </c>
      <c r="B1482" t="str">
        <f ca="1">IFERROR(__xludf.DUMMYFUNCTION("""COMPUTED_VALUE"""),"CZ05")</f>
        <v>CZ05</v>
      </c>
    </row>
    <row r="1483" spans="1:2" ht="12.5" x14ac:dyDescent="0.25">
      <c r="A1483" t="str">
        <f ca="1">IFERROR(__xludf.DUMMYFUNCTION("""COMPUTED_VALUE"""),"Severozapad")</f>
        <v>Severozapad</v>
      </c>
      <c r="B1483" t="str">
        <f ca="1">IFERROR(__xludf.DUMMYFUNCTION("""COMPUTED_VALUE"""),"CZ04")</f>
        <v>CZ04</v>
      </c>
    </row>
    <row r="1484" spans="1:2" ht="12.5" x14ac:dyDescent="0.25">
      <c r="A1484" t="str">
        <f ca="1">IFERROR(__xludf.DUMMYFUNCTION("""COMPUTED_VALUE"""),"Severozapaden")</f>
        <v>Severozapaden</v>
      </c>
      <c r="B1484" t="str">
        <f ca="1">IFERROR(__xludf.DUMMYFUNCTION("""COMPUTED_VALUE"""),"BG31")</f>
        <v>BG31</v>
      </c>
    </row>
    <row r="1485" spans="1:2" ht="12.5" x14ac:dyDescent="0.25">
      <c r="A1485" t="str">
        <f ca="1">IFERROR(__xludf.DUMMYFUNCTION("""COMPUTED_VALUE"""),"Sevilla")</f>
        <v>Sevilla</v>
      </c>
      <c r="B1485" t="str">
        <f ca="1">IFERROR(__xludf.DUMMYFUNCTION("""COMPUTED_VALUE"""),"ES618")</f>
        <v>ES618</v>
      </c>
    </row>
    <row r="1486" spans="1:2" ht="12.5" x14ac:dyDescent="0.25">
      <c r="A1486" t="str">
        <f ca="1">IFERROR(__xludf.DUMMYFUNCTION("""COMPUTED_VALUE"""),"Sheffield")</f>
        <v>Sheffield</v>
      </c>
      <c r="B1486" t="str">
        <f ca="1">IFERROR(__xludf.DUMMYFUNCTION("""COMPUTED_VALUE"""),"UKE32")</f>
        <v>UKE32</v>
      </c>
    </row>
    <row r="1487" spans="1:2" ht="12.5" x14ac:dyDescent="0.25">
      <c r="A1487" t="str">
        <f ca="1">IFERROR(__xludf.DUMMYFUNCTION("""COMPUTED_VALUE"""),"Shetland Islands")</f>
        <v>Shetland Islands</v>
      </c>
      <c r="B1487" t="str">
        <f ca="1">IFERROR(__xludf.DUMMYFUNCTION("""COMPUTED_VALUE"""),"UKM66")</f>
        <v>UKM66</v>
      </c>
    </row>
    <row r="1488" spans="1:2" ht="12.5" x14ac:dyDescent="0.25">
      <c r="A1488" t="str">
        <f ca="1">IFERROR(__xludf.DUMMYFUNCTION("""COMPUTED_VALUE"""),"Shropshire And Staffordshire")</f>
        <v>Shropshire And Staffordshire</v>
      </c>
      <c r="B1488" t="str">
        <f ca="1">IFERROR(__xludf.DUMMYFUNCTION("""COMPUTED_VALUE"""),"UKG2")</f>
        <v>UKG2</v>
      </c>
    </row>
    <row r="1489" spans="1:2" ht="12.5" x14ac:dyDescent="0.25">
      <c r="A1489" t="str">
        <f ca="1">IFERROR(__xludf.DUMMYFUNCTION("""COMPUTED_VALUE"""),"Shropshire Cc")</f>
        <v>Shropshire Cc</v>
      </c>
      <c r="B1489" t="str">
        <f ca="1">IFERROR(__xludf.DUMMYFUNCTION("""COMPUTED_VALUE"""),"UKG22")</f>
        <v>UKG22</v>
      </c>
    </row>
    <row r="1490" spans="1:2" ht="12.5" x14ac:dyDescent="0.25">
      <c r="A1490" t="str">
        <f ca="1">IFERROR(__xludf.DUMMYFUNCTION("""COMPUTED_VALUE"""),"Shumen")</f>
        <v>Shumen</v>
      </c>
      <c r="B1490" t="str">
        <f ca="1">IFERROR(__xludf.DUMMYFUNCTION("""COMPUTED_VALUE"""),"BG333")</f>
        <v>BG333</v>
      </c>
    </row>
    <row r="1491" spans="1:2" ht="12.5" x14ac:dyDescent="0.25">
      <c r="A1491" t="str">
        <f ca="1">IFERROR(__xludf.DUMMYFUNCTION("""COMPUTED_VALUE"""),"Siauliu Apskritis")</f>
        <v>Siauliu Apskritis</v>
      </c>
      <c r="B1491" t="str">
        <f ca="1">IFERROR(__xludf.DUMMYFUNCTION("""COMPUTED_VALUE"""),"LT006")</f>
        <v>LT006</v>
      </c>
    </row>
    <row r="1492" spans="1:2" ht="12.5" x14ac:dyDescent="0.25">
      <c r="A1492" t="str">
        <f ca="1">IFERROR(__xludf.DUMMYFUNCTION("""COMPUTED_VALUE"""),"Sibiu")</f>
        <v>Sibiu</v>
      </c>
      <c r="B1492" t="str">
        <f ca="1">IFERROR(__xludf.DUMMYFUNCTION("""COMPUTED_VALUE"""),"RO126")</f>
        <v>RO126</v>
      </c>
    </row>
    <row r="1493" spans="1:2" ht="12.5" x14ac:dyDescent="0.25">
      <c r="A1493" t="str">
        <f ca="1">IFERROR(__xludf.DUMMYFUNCTION("""COMPUTED_VALUE"""),"Sicilia")</f>
        <v>Sicilia</v>
      </c>
      <c r="B1493" t="str">
        <f ca="1">IFERROR(__xludf.DUMMYFUNCTION("""COMPUTED_VALUE"""),"ITG1")</f>
        <v>ITG1</v>
      </c>
    </row>
    <row r="1494" spans="1:2" ht="12.5" x14ac:dyDescent="0.25">
      <c r="A1494" t="str">
        <f ca="1">IFERROR(__xludf.DUMMYFUNCTION("""COMPUTED_VALUE"""),"Siegen-Wittgenstein")</f>
        <v>Siegen-Wittgenstein</v>
      </c>
      <c r="B1494" t="str">
        <f ca="1">IFERROR(__xludf.DUMMYFUNCTION("""COMPUTED_VALUE"""),"DEA5A")</f>
        <v>DEA5A</v>
      </c>
    </row>
    <row r="1495" spans="1:2" ht="12.5" x14ac:dyDescent="0.25">
      <c r="A1495" t="str">
        <f ca="1">IFERROR(__xludf.DUMMYFUNCTION("""COMPUTED_VALUE"""),"Siena")</f>
        <v>Siena</v>
      </c>
      <c r="B1495" t="str">
        <f ca="1">IFERROR(__xludf.DUMMYFUNCTION("""COMPUTED_VALUE"""),"ITE19")</f>
        <v>ITE19</v>
      </c>
    </row>
    <row r="1496" spans="1:2" ht="12.5" x14ac:dyDescent="0.25">
      <c r="A1496" t="str">
        <f ca="1">IFERROR(__xludf.DUMMYFUNCTION("""COMPUTED_VALUE"""),"Sieradzki")</f>
        <v>Sieradzki</v>
      </c>
      <c r="B1496" t="str">
        <f ca="1">IFERROR(__xludf.DUMMYFUNCTION("""COMPUTED_VALUE"""),"PL116")</f>
        <v>PL116</v>
      </c>
    </row>
    <row r="1497" spans="1:2" ht="12.5" x14ac:dyDescent="0.25">
      <c r="A1497" t="str">
        <f ca="1">IFERROR(__xludf.DUMMYFUNCTION("""COMPUTED_VALUE"""),"Sigmaringen")</f>
        <v>Sigmaringen</v>
      </c>
      <c r="B1497" t="str">
        <f ca="1">IFERROR(__xludf.DUMMYFUNCTION("""COMPUTED_VALUE"""),"DE149")</f>
        <v>DE149</v>
      </c>
    </row>
    <row r="1498" spans="1:2" ht="12.5" x14ac:dyDescent="0.25">
      <c r="A1498" t="str">
        <f ca="1">IFERROR(__xludf.DUMMYFUNCTION("""COMPUTED_VALUE"""),"Silistra")</f>
        <v>Silistra</v>
      </c>
      <c r="B1498" t="str">
        <f ca="1">IFERROR(__xludf.DUMMYFUNCTION("""COMPUTED_VALUE"""),"BG325")</f>
        <v>BG325</v>
      </c>
    </row>
    <row r="1499" spans="1:2" ht="12.5" x14ac:dyDescent="0.25">
      <c r="A1499" t="str">
        <f ca="1">IFERROR(__xludf.DUMMYFUNCTION("""COMPUTED_VALUE"""),"Siracusa")</f>
        <v>Siracusa</v>
      </c>
      <c r="B1499" t="str">
        <f ca="1">IFERROR(__xludf.DUMMYFUNCTION("""COMPUTED_VALUE"""),"ITG19")</f>
        <v>ITG19</v>
      </c>
    </row>
    <row r="1500" spans="1:2" ht="12.5" x14ac:dyDescent="0.25">
      <c r="A1500" t="str">
        <f ca="1">IFERROR(__xludf.DUMMYFUNCTION("""COMPUTED_VALUE"""),"Sjælland")</f>
        <v>Sjælland</v>
      </c>
      <c r="B1500" t="str">
        <f ca="1">IFERROR(__xludf.DUMMYFUNCTION("""COMPUTED_VALUE"""),"DK02")</f>
        <v>DK02</v>
      </c>
    </row>
    <row r="1501" spans="1:2" ht="12.5" x14ac:dyDescent="0.25">
      <c r="A1501" t="str">
        <f ca="1">IFERROR(__xludf.DUMMYFUNCTION("""COMPUTED_VALUE"""),"Skåne Län")</f>
        <v>Skåne Län</v>
      </c>
      <c r="B1501" t="str">
        <f ca="1">IFERROR(__xludf.DUMMYFUNCTION("""COMPUTED_VALUE"""),"SE224")</f>
        <v>SE224</v>
      </c>
    </row>
    <row r="1502" spans="1:2" ht="12.5" x14ac:dyDescent="0.25">
      <c r="A1502" t="str">
        <f ca="1">IFERROR(__xludf.DUMMYFUNCTION("""COMPUTED_VALUE"""),"Skierniewicki")</f>
        <v>Skierniewicki</v>
      </c>
      <c r="B1502" t="str">
        <f ca="1">IFERROR(__xludf.DUMMYFUNCTION("""COMPUTED_VALUE"""),"PL117")</f>
        <v>PL117</v>
      </c>
    </row>
    <row r="1503" spans="1:2" ht="12.5" x14ac:dyDescent="0.25">
      <c r="A1503" t="str">
        <f ca="1">IFERROR(__xludf.DUMMYFUNCTION("""COMPUTED_VALUE"""),"Slaskie")</f>
        <v>Slaskie</v>
      </c>
      <c r="B1503" t="str">
        <f ca="1">IFERROR(__xludf.DUMMYFUNCTION("""COMPUTED_VALUE"""),"PL22")</f>
        <v>PL22</v>
      </c>
    </row>
    <row r="1504" spans="1:2" ht="12.5" x14ac:dyDescent="0.25">
      <c r="A1504" t="str">
        <f ca="1">IFERROR(__xludf.DUMMYFUNCTION("""COMPUTED_VALUE"""),"Sliven")</f>
        <v>Sliven</v>
      </c>
      <c r="B1504" t="str">
        <f ca="1">IFERROR(__xludf.DUMMYFUNCTION("""COMPUTED_VALUE"""),"BG342")</f>
        <v>BG342</v>
      </c>
    </row>
    <row r="1505" spans="1:2" ht="12.5" x14ac:dyDescent="0.25">
      <c r="A1505" t="str">
        <f ca="1">IFERROR(__xludf.DUMMYFUNCTION("""COMPUTED_VALUE"""),"Slovenija")</f>
        <v>Slovenija</v>
      </c>
      <c r="B1505" t="str">
        <f ca="1">IFERROR(__xludf.DUMMYFUNCTION("""COMPUTED_VALUE"""),"SI")</f>
        <v>SI</v>
      </c>
    </row>
    <row r="1506" spans="1:2" ht="12.5" x14ac:dyDescent="0.25">
      <c r="A1506" t="str">
        <f ca="1">IFERROR(__xludf.DUMMYFUNCTION("""COMPUTED_VALUE"""),"Slovenija (*)")</f>
        <v>Slovenija (*)</v>
      </c>
      <c r="B1506" t="str">
        <f ca="1">IFERROR(__xludf.DUMMYFUNCTION("""COMPUTED_VALUE"""),"SI0")</f>
        <v>SI0</v>
      </c>
    </row>
    <row r="1507" spans="1:2" ht="12.5" x14ac:dyDescent="0.25">
      <c r="A1507" t="str">
        <f ca="1">IFERROR(__xludf.DUMMYFUNCTION("""COMPUTED_VALUE"""),"Slovenska Republika")</f>
        <v>Slovenska Republika</v>
      </c>
      <c r="B1507" t="str">
        <f ca="1">IFERROR(__xludf.DUMMYFUNCTION("""COMPUTED_VALUE"""),"SK")</f>
        <v>SK</v>
      </c>
    </row>
    <row r="1508" spans="1:2" ht="12.5" x14ac:dyDescent="0.25">
      <c r="A1508" t="str">
        <f ca="1">IFERROR(__xludf.DUMMYFUNCTION("""COMPUTED_VALUE"""),"Slovenska Republika (*)")</f>
        <v>Slovenska Republika (*)</v>
      </c>
      <c r="B1508" t="str">
        <f ca="1">IFERROR(__xludf.DUMMYFUNCTION("""COMPUTED_VALUE"""),"SK0")</f>
        <v>SK0</v>
      </c>
    </row>
    <row r="1509" spans="1:2" ht="12.5" x14ac:dyDescent="0.25">
      <c r="A1509" t="str">
        <f ca="1">IFERROR(__xludf.DUMMYFUNCTION("""COMPUTED_VALUE"""),"Slupski")</f>
        <v>Slupski</v>
      </c>
      <c r="B1509" t="str">
        <f ca="1">IFERROR(__xludf.DUMMYFUNCTION("""COMPUTED_VALUE"""),"PL631")</f>
        <v>PL631</v>
      </c>
    </row>
    <row r="1510" spans="1:2" ht="12.5" x14ac:dyDescent="0.25">
      <c r="A1510" t="str">
        <f ca="1">IFERROR(__xludf.DUMMYFUNCTION("""COMPUTED_VALUE"""),"Småland Med Öarna")</f>
        <v>Småland Med Öarna</v>
      </c>
      <c r="B1510" t="str">
        <f ca="1">IFERROR(__xludf.DUMMYFUNCTION("""COMPUTED_VALUE"""),"SE21")</f>
        <v>SE21</v>
      </c>
    </row>
    <row r="1511" spans="1:2" ht="12.5" x14ac:dyDescent="0.25">
      <c r="A1511" t="str">
        <f ca="1">IFERROR(__xludf.DUMMYFUNCTION("""COMPUTED_VALUE"""),"Smolyan")</f>
        <v>Smolyan</v>
      </c>
      <c r="B1511" t="str">
        <f ca="1">IFERROR(__xludf.DUMMYFUNCTION("""COMPUTED_VALUE"""),"BG424")</f>
        <v>BG424</v>
      </c>
    </row>
    <row r="1512" spans="1:2" ht="12.5" x14ac:dyDescent="0.25">
      <c r="A1512" t="str">
        <f ca="1">IFERROR(__xludf.DUMMYFUNCTION("""COMPUTED_VALUE"""),"Södermanlands Län")</f>
        <v>Södermanlands Län</v>
      </c>
      <c r="B1512" t="str">
        <f ca="1">IFERROR(__xludf.DUMMYFUNCTION("""COMPUTED_VALUE"""),"SE122")</f>
        <v>SE122</v>
      </c>
    </row>
    <row r="1513" spans="1:2" ht="12.5" x14ac:dyDescent="0.25">
      <c r="A1513" t="str">
        <f ca="1">IFERROR(__xludf.DUMMYFUNCTION("""COMPUTED_VALUE"""),"Södra Sverige")</f>
        <v>Södra Sverige</v>
      </c>
      <c r="B1513" t="str">
        <f ca="1">IFERROR(__xludf.DUMMYFUNCTION("""COMPUTED_VALUE"""),"SE2")</f>
        <v>SE2</v>
      </c>
    </row>
    <row r="1514" spans="1:2" ht="12.5" x14ac:dyDescent="0.25">
      <c r="A1514" t="str">
        <f ca="1">IFERROR(__xludf.DUMMYFUNCTION("""COMPUTED_VALUE"""),"Soest")</f>
        <v>Soest</v>
      </c>
      <c r="B1514" t="str">
        <f ca="1">IFERROR(__xludf.DUMMYFUNCTION("""COMPUTED_VALUE"""),"DEA5B")</f>
        <v>DEA5B</v>
      </c>
    </row>
    <row r="1515" spans="1:2" ht="12.5" x14ac:dyDescent="0.25">
      <c r="A1515" t="str">
        <f ca="1">IFERROR(__xludf.DUMMYFUNCTION("""COMPUTED_VALUE"""),"Sofia")</f>
        <v>Sofia</v>
      </c>
      <c r="B1515" t="str">
        <f ca="1">IFERROR(__xludf.DUMMYFUNCTION("""COMPUTED_VALUE"""),"BG412")</f>
        <v>BG412</v>
      </c>
    </row>
    <row r="1516" spans="1:2" ht="12.5" x14ac:dyDescent="0.25">
      <c r="A1516" t="str">
        <f ca="1">IFERROR(__xludf.DUMMYFUNCTION("""COMPUTED_VALUE"""),"Sofia (Stolitsa)")</f>
        <v>Sofia (Stolitsa)</v>
      </c>
      <c r="B1516" t="str">
        <f ca="1">IFERROR(__xludf.DUMMYFUNCTION("""COMPUTED_VALUE"""),"BG411")</f>
        <v>BG411</v>
      </c>
    </row>
    <row r="1517" spans="1:2" ht="12.5" x14ac:dyDescent="0.25">
      <c r="A1517" t="str">
        <f ca="1">IFERROR(__xludf.DUMMYFUNCTION("""COMPUTED_VALUE"""),"Sogn Og Fjordane")</f>
        <v>Sogn Og Fjordane</v>
      </c>
      <c r="B1517" t="str">
        <f ca="1">IFERROR(__xludf.DUMMYFUNCTION("""COMPUTED_VALUE"""),"NO052")</f>
        <v>NO052</v>
      </c>
    </row>
    <row r="1518" spans="1:2" ht="12.5" x14ac:dyDescent="0.25">
      <c r="A1518" t="str">
        <f ca="1">IFERROR(__xludf.DUMMYFUNCTION("""COMPUTED_VALUE"""),"Solihull")</f>
        <v>Solihull</v>
      </c>
      <c r="B1518" t="str">
        <f ca="1">IFERROR(__xludf.DUMMYFUNCTION("""COMPUTED_VALUE"""),"UKG32")</f>
        <v>UKG32</v>
      </c>
    </row>
    <row r="1519" spans="1:2" ht="12.5" x14ac:dyDescent="0.25">
      <c r="A1519" t="str">
        <f ca="1">IFERROR(__xludf.DUMMYFUNCTION("""COMPUTED_VALUE"""),"Solingen, Kreisfreie Stadt")</f>
        <v>Solingen, Kreisfreie Stadt</v>
      </c>
      <c r="B1519" t="str">
        <f ca="1">IFERROR(__xludf.DUMMYFUNCTION("""COMPUTED_VALUE"""),"DEA19")</f>
        <v>DEA19</v>
      </c>
    </row>
    <row r="1520" spans="1:2" ht="12.5" x14ac:dyDescent="0.25">
      <c r="A1520" t="str">
        <f ca="1">IFERROR(__xludf.DUMMYFUNCTION("""COMPUTED_VALUE"""),"Solothurn")</f>
        <v>Solothurn</v>
      </c>
      <c r="B1520" t="str">
        <f ca="1">IFERROR(__xludf.DUMMYFUNCTION("""COMPUTED_VALUE"""),"CH023")</f>
        <v>CH023</v>
      </c>
    </row>
    <row r="1521" spans="1:2" ht="12.5" x14ac:dyDescent="0.25">
      <c r="A1521" t="str">
        <f ca="1">IFERROR(__xludf.DUMMYFUNCTION("""COMPUTED_VALUE"""),"Soltau-Fallingbostel")</f>
        <v>Soltau-Fallingbostel</v>
      </c>
      <c r="B1521" t="str">
        <f ca="1">IFERROR(__xludf.DUMMYFUNCTION("""COMPUTED_VALUE"""),"DE938")</f>
        <v>DE938</v>
      </c>
    </row>
    <row r="1522" spans="1:2" ht="12.5" x14ac:dyDescent="0.25">
      <c r="A1522" t="str">
        <f ca="1">IFERROR(__xludf.DUMMYFUNCTION("""COMPUTED_VALUE"""),"Somerset")</f>
        <v>Somerset</v>
      </c>
      <c r="B1522" t="str">
        <f ca="1">IFERROR(__xludf.DUMMYFUNCTION("""COMPUTED_VALUE"""),"UKK23")</f>
        <v>UKK23</v>
      </c>
    </row>
    <row r="1523" spans="1:2" ht="12.5" x14ac:dyDescent="0.25">
      <c r="A1523" t="str">
        <f ca="1">IFERROR(__xludf.DUMMYFUNCTION("""COMPUTED_VALUE"""),"Somme")</f>
        <v>Somme</v>
      </c>
      <c r="B1523" t="str">
        <f ca="1">IFERROR(__xludf.DUMMYFUNCTION("""COMPUTED_VALUE"""),"FR223")</f>
        <v>FR223</v>
      </c>
    </row>
    <row r="1524" spans="1:2" ht="12.5" x14ac:dyDescent="0.25">
      <c r="A1524" t="str">
        <f ca="1">IFERROR(__xludf.DUMMYFUNCTION("""COMPUTED_VALUE"""),"Sömmerda")</f>
        <v>Sömmerda</v>
      </c>
      <c r="B1524" t="str">
        <f ca="1">IFERROR(__xludf.DUMMYFUNCTION("""COMPUTED_VALUE"""),"DEG0D")</f>
        <v>DEG0D</v>
      </c>
    </row>
    <row r="1525" spans="1:2" ht="12.5" x14ac:dyDescent="0.25">
      <c r="A1525" t="str">
        <f ca="1">IFERROR(__xludf.DUMMYFUNCTION("""COMPUTED_VALUE"""),"Somogy")</f>
        <v>Somogy</v>
      </c>
      <c r="B1525" t="str">
        <f ca="1">IFERROR(__xludf.DUMMYFUNCTION("""COMPUTED_VALUE"""),"HU232")</f>
        <v>HU232</v>
      </c>
    </row>
    <row r="1526" spans="1:2" ht="12.5" x14ac:dyDescent="0.25">
      <c r="A1526" t="str">
        <f ca="1">IFERROR(__xludf.DUMMYFUNCTION("""COMPUTED_VALUE"""),"Sondrio")</f>
        <v>Sondrio</v>
      </c>
      <c r="B1526" t="str">
        <f ca="1">IFERROR(__xludf.DUMMYFUNCTION("""COMPUTED_VALUE"""),"ITC44")</f>
        <v>ITC44</v>
      </c>
    </row>
    <row r="1527" spans="1:2" ht="12.5" x14ac:dyDescent="0.25">
      <c r="A1527" t="str">
        <f ca="1">IFERROR(__xludf.DUMMYFUNCTION("""COMPUTED_VALUE"""),"Sonneberg")</f>
        <v>Sonneberg</v>
      </c>
      <c r="B1527" t="str">
        <f ca="1">IFERROR(__xludf.DUMMYFUNCTION("""COMPUTED_VALUE"""),"DEG0H")</f>
        <v>DEG0H</v>
      </c>
    </row>
    <row r="1528" spans="1:2" ht="12.5" x14ac:dyDescent="0.25">
      <c r="A1528" t="str">
        <f ca="1">IFERROR(__xludf.DUMMYFUNCTION("""COMPUTED_VALUE"""),"Sør-Østlandet")</f>
        <v>Sør-Østlandet</v>
      </c>
      <c r="B1528" t="str">
        <f ca="1">IFERROR(__xludf.DUMMYFUNCTION("""COMPUTED_VALUE"""),"NO03")</f>
        <v>NO03</v>
      </c>
    </row>
    <row r="1529" spans="1:2" ht="12.5" x14ac:dyDescent="0.25">
      <c r="A1529" t="str">
        <f ca="1">IFERROR(__xludf.DUMMYFUNCTION("""COMPUTED_VALUE"""),"Sør-Trøndelag")</f>
        <v>Sør-Trøndelag</v>
      </c>
      <c r="B1529" t="str">
        <f ca="1">IFERROR(__xludf.DUMMYFUNCTION("""COMPUTED_VALUE"""),"NO061")</f>
        <v>NO061</v>
      </c>
    </row>
    <row r="1530" spans="1:2" ht="12.5" x14ac:dyDescent="0.25">
      <c r="A1530" t="str">
        <f ca="1">IFERROR(__xludf.DUMMYFUNCTION("""COMPUTED_VALUE"""),"Soria")</f>
        <v>Soria</v>
      </c>
      <c r="B1530" t="str">
        <f ca="1">IFERROR(__xludf.DUMMYFUNCTION("""COMPUTED_VALUE"""),"ES417")</f>
        <v>ES417</v>
      </c>
    </row>
    <row r="1531" spans="1:2" ht="12.5" x14ac:dyDescent="0.25">
      <c r="A1531" t="str">
        <f ca="1">IFERROR(__xludf.DUMMYFUNCTION("""COMPUTED_VALUE"""),"Sosnowiecki")</f>
        <v>Sosnowiecki</v>
      </c>
      <c r="B1531" t="str">
        <f ca="1">IFERROR(__xludf.DUMMYFUNCTION("""COMPUTED_VALUE"""),"PL22B")</f>
        <v>PL22B</v>
      </c>
    </row>
    <row r="1532" spans="1:2" ht="12.5" x14ac:dyDescent="0.25">
      <c r="A1532" t="str">
        <f ca="1">IFERROR(__xludf.DUMMYFUNCTION("""COMPUTED_VALUE"""),"South And West Derbyshire")</f>
        <v>South And West Derbyshire</v>
      </c>
      <c r="B1532" t="str">
        <f ca="1">IFERROR(__xludf.DUMMYFUNCTION("""COMPUTED_VALUE"""),"UKF13")</f>
        <v>UKF13</v>
      </c>
    </row>
    <row r="1533" spans="1:2" ht="12.5" x14ac:dyDescent="0.25">
      <c r="A1533" t="str">
        <f ca="1">IFERROR(__xludf.DUMMYFUNCTION("""COMPUTED_VALUE"""),"South Ayrshire")</f>
        <v>South Ayrshire</v>
      </c>
      <c r="B1533" t="str">
        <f ca="1">IFERROR(__xludf.DUMMYFUNCTION("""COMPUTED_VALUE"""),"UKM37")</f>
        <v>UKM37</v>
      </c>
    </row>
    <row r="1534" spans="1:2" ht="12.5" x14ac:dyDescent="0.25">
      <c r="A1534" t="str">
        <f ca="1">IFERROR(__xludf.DUMMYFUNCTION("""COMPUTED_VALUE"""),"South East (England)")</f>
        <v>South East (England)</v>
      </c>
      <c r="B1534" t="str">
        <f ca="1">IFERROR(__xludf.DUMMYFUNCTION("""COMPUTED_VALUE"""),"UKJ")</f>
        <v>UKJ</v>
      </c>
    </row>
    <row r="1535" spans="1:2" ht="12.5" x14ac:dyDescent="0.25">
      <c r="A1535" t="str">
        <f ca="1">IFERROR(__xludf.DUMMYFUNCTION("""COMPUTED_VALUE"""),"South Lanarkshire")</f>
        <v>South Lanarkshire</v>
      </c>
      <c r="B1535" t="str">
        <f ca="1">IFERROR(__xludf.DUMMYFUNCTION("""COMPUTED_VALUE"""),"UKM38")</f>
        <v>UKM38</v>
      </c>
    </row>
    <row r="1536" spans="1:2" ht="12.5" x14ac:dyDescent="0.25">
      <c r="A1536" t="str">
        <f ca="1">IFERROR(__xludf.DUMMYFUNCTION("""COMPUTED_VALUE"""),"South Nottinghamshire")</f>
        <v>South Nottinghamshire</v>
      </c>
      <c r="B1536" t="str">
        <f ca="1">IFERROR(__xludf.DUMMYFUNCTION("""COMPUTED_VALUE"""),"UKF16")</f>
        <v>UKF16</v>
      </c>
    </row>
    <row r="1537" spans="1:2" ht="12.5" x14ac:dyDescent="0.25">
      <c r="A1537" t="str">
        <f ca="1">IFERROR(__xludf.DUMMYFUNCTION("""COMPUTED_VALUE"""),"South Teesside")</f>
        <v>South Teesside</v>
      </c>
      <c r="B1537" t="str">
        <f ca="1">IFERROR(__xludf.DUMMYFUNCTION("""COMPUTED_VALUE"""),"UKC12")</f>
        <v>UKC12</v>
      </c>
    </row>
    <row r="1538" spans="1:2" ht="12.5" x14ac:dyDescent="0.25">
      <c r="A1538" t="str">
        <f ca="1">IFERROR(__xludf.DUMMYFUNCTION("""COMPUTED_VALUE"""),"South West (England)")</f>
        <v>South West (England)</v>
      </c>
      <c r="B1538" t="str">
        <f ca="1">IFERROR(__xludf.DUMMYFUNCTION("""COMPUTED_VALUE"""),"UKK")</f>
        <v>UKK</v>
      </c>
    </row>
    <row r="1539" spans="1:2" ht="12.5" x14ac:dyDescent="0.25">
      <c r="A1539" t="str">
        <f ca="1">IFERROR(__xludf.DUMMYFUNCTION("""COMPUTED_VALUE"""),"South West Wales")</f>
        <v>South West Wales</v>
      </c>
      <c r="B1539" t="str">
        <f ca="1">IFERROR(__xludf.DUMMYFUNCTION("""COMPUTED_VALUE"""),"UKL14")</f>
        <v>UKL14</v>
      </c>
    </row>
    <row r="1540" spans="1:2" ht="12.5" x14ac:dyDescent="0.25">
      <c r="A1540" t="str">
        <f ca="1">IFERROR(__xludf.DUMMYFUNCTION("""COMPUTED_VALUE"""),"South Western Scotland")</f>
        <v>South Western Scotland</v>
      </c>
      <c r="B1540" t="str">
        <f ca="1">IFERROR(__xludf.DUMMYFUNCTION("""COMPUTED_VALUE"""),"UKM3")</f>
        <v>UKM3</v>
      </c>
    </row>
    <row r="1541" spans="1:2" ht="12.5" x14ac:dyDescent="0.25">
      <c r="A1541" t="str">
        <f ca="1">IFERROR(__xludf.DUMMYFUNCTION("""COMPUTED_VALUE"""),"South Yorkshire")</f>
        <v>South Yorkshire</v>
      </c>
      <c r="B1541" t="str">
        <f ca="1">IFERROR(__xludf.DUMMYFUNCTION("""COMPUTED_VALUE"""),"UKE3")</f>
        <v>UKE3</v>
      </c>
    </row>
    <row r="1542" spans="1:2" ht="12.5" x14ac:dyDescent="0.25">
      <c r="A1542" t="str">
        <f ca="1">IFERROR(__xludf.DUMMYFUNCTION("""COMPUTED_VALUE"""),"South-East (Irl)")</f>
        <v>South-East (Irl)</v>
      </c>
      <c r="B1542" t="str">
        <f ca="1">IFERROR(__xludf.DUMMYFUNCTION("""COMPUTED_VALUE"""),"IE024")</f>
        <v>IE024</v>
      </c>
    </row>
    <row r="1543" spans="1:2" ht="12.5" x14ac:dyDescent="0.25">
      <c r="A1543" t="str">
        <f ca="1">IFERROR(__xludf.DUMMYFUNCTION("""COMPUTED_VALUE"""),"South-West (Irl)")</f>
        <v>South-West (Irl)</v>
      </c>
      <c r="B1543" t="str">
        <f ca="1">IFERROR(__xludf.DUMMYFUNCTION("""COMPUTED_VALUE"""),"IE025")</f>
        <v>IE025</v>
      </c>
    </row>
    <row r="1544" spans="1:2" ht="12.5" x14ac:dyDescent="0.25">
      <c r="A1544" t="str">
        <f ca="1">IFERROR(__xludf.DUMMYFUNCTION("""COMPUTED_VALUE"""),"Southampton")</f>
        <v>Southampton</v>
      </c>
      <c r="B1544" t="str">
        <f ca="1">IFERROR(__xludf.DUMMYFUNCTION("""COMPUTED_VALUE"""),"UKJ32")</f>
        <v>UKJ32</v>
      </c>
    </row>
    <row r="1545" spans="1:2" ht="12.5" x14ac:dyDescent="0.25">
      <c r="A1545" t="str">
        <f ca="1">IFERROR(__xludf.DUMMYFUNCTION("""COMPUTED_VALUE"""),"Southend-On-Sea")</f>
        <v>Southend-On-Sea</v>
      </c>
      <c r="B1545" t="str">
        <f ca="1">IFERROR(__xludf.DUMMYFUNCTION("""COMPUTED_VALUE"""),"UKH31")</f>
        <v>UKH31</v>
      </c>
    </row>
    <row r="1546" spans="1:2" ht="12.5" x14ac:dyDescent="0.25">
      <c r="A1546" t="str">
        <f ca="1">IFERROR(__xludf.DUMMYFUNCTION("""COMPUTED_VALUE"""),"Southern And Eastern")</f>
        <v>Southern And Eastern</v>
      </c>
      <c r="B1546" t="str">
        <f ca="1">IFERROR(__xludf.DUMMYFUNCTION("""COMPUTED_VALUE"""),"IE02")</f>
        <v>IE02</v>
      </c>
    </row>
    <row r="1547" spans="1:2" ht="12.5" x14ac:dyDescent="0.25">
      <c r="A1547" t="str">
        <f ca="1">IFERROR(__xludf.DUMMYFUNCTION("""COMPUTED_VALUE"""),"Speyer, Kreisfreie Stadt")</f>
        <v>Speyer, Kreisfreie Stadt</v>
      </c>
      <c r="B1547" t="str">
        <f ca="1">IFERROR(__xludf.DUMMYFUNCTION("""COMPUTED_VALUE"""),"DEB38")</f>
        <v>DEB38</v>
      </c>
    </row>
    <row r="1548" spans="1:2" ht="12.5" x14ac:dyDescent="0.25">
      <c r="A1548" t="str">
        <f ca="1">IFERROR(__xludf.DUMMYFUNCTION("""COMPUTED_VALUE"""),"Spodnjeposavska")</f>
        <v>Spodnjeposavska</v>
      </c>
      <c r="B1548" t="str">
        <f ca="1">IFERROR(__xludf.DUMMYFUNCTION("""COMPUTED_VALUE"""),"SI016")</f>
        <v>SI016</v>
      </c>
    </row>
    <row r="1549" spans="1:2" ht="12.5" x14ac:dyDescent="0.25">
      <c r="A1549" t="str">
        <f ca="1">IFERROR(__xludf.DUMMYFUNCTION("""COMPUTED_VALUE"""),"Spree-Neiße")</f>
        <v>Spree-Neiße</v>
      </c>
      <c r="B1549" t="str">
        <f ca="1">IFERROR(__xludf.DUMMYFUNCTION("""COMPUTED_VALUE"""),"DE429")</f>
        <v>DE429</v>
      </c>
    </row>
    <row r="1550" spans="1:2" ht="12.5" x14ac:dyDescent="0.25">
      <c r="A1550" t="str">
        <f ca="1">IFERROR(__xludf.DUMMYFUNCTION("""COMPUTED_VALUE"""),"St. Gallen")</f>
        <v>St. Gallen</v>
      </c>
      <c r="B1550" t="str">
        <f ca="1">IFERROR(__xludf.DUMMYFUNCTION("""COMPUTED_VALUE"""),"CH055")</f>
        <v>CH055</v>
      </c>
    </row>
    <row r="1551" spans="1:2" ht="12.5" x14ac:dyDescent="0.25">
      <c r="A1551" t="str">
        <f ca="1">IFERROR(__xludf.DUMMYFUNCTION("""COMPUTED_VALUE"""),"St. Wendel")</f>
        <v>St. Wendel</v>
      </c>
      <c r="B1551" t="str">
        <f ca="1">IFERROR(__xludf.DUMMYFUNCTION("""COMPUTED_VALUE"""),"DEC06")</f>
        <v>DEC06</v>
      </c>
    </row>
    <row r="1552" spans="1:2" ht="12.5" x14ac:dyDescent="0.25">
      <c r="A1552" t="str">
        <f ca="1">IFERROR(__xludf.DUMMYFUNCTION("""COMPUTED_VALUE"""),"Stade")</f>
        <v>Stade</v>
      </c>
      <c r="B1552" t="str">
        <f ca="1">IFERROR(__xludf.DUMMYFUNCTION("""COMPUTED_VALUE"""),"DE939")</f>
        <v>DE939</v>
      </c>
    </row>
    <row r="1553" spans="1:2" ht="12.5" x14ac:dyDescent="0.25">
      <c r="A1553" t="str">
        <f ca="1">IFERROR(__xludf.DUMMYFUNCTION("""COMPUTED_VALUE"""),"Stadtverband Saarbrücken")</f>
        <v>Stadtverband Saarbrücken</v>
      </c>
      <c r="B1553" t="str">
        <f ca="1">IFERROR(__xludf.DUMMYFUNCTION("""COMPUTED_VALUE"""),"DEC01")</f>
        <v>DEC01</v>
      </c>
    </row>
    <row r="1554" spans="1:2" ht="12.5" x14ac:dyDescent="0.25">
      <c r="A1554" t="str">
        <f ca="1">IFERROR(__xludf.DUMMYFUNCTION("""COMPUTED_VALUE"""),"Staffordshire Cc")</f>
        <v>Staffordshire Cc</v>
      </c>
      <c r="B1554" t="str">
        <f ca="1">IFERROR(__xludf.DUMMYFUNCTION("""COMPUTED_VALUE"""),"UKG24")</f>
        <v>UKG24</v>
      </c>
    </row>
    <row r="1555" spans="1:2" ht="12.5" x14ac:dyDescent="0.25">
      <c r="A1555" t="str">
        <f ca="1">IFERROR(__xludf.DUMMYFUNCTION("""COMPUTED_VALUE"""),"Stara Zagora")</f>
        <v>Stara Zagora</v>
      </c>
      <c r="B1555" t="str">
        <f ca="1">IFERROR(__xludf.DUMMYFUNCTION("""COMPUTED_VALUE"""),"BG344")</f>
        <v>BG344</v>
      </c>
    </row>
    <row r="1556" spans="1:2" ht="12.5" x14ac:dyDescent="0.25">
      <c r="A1556" t="str">
        <f ca="1">IFERROR(__xludf.DUMMYFUNCTION("""COMPUTED_VALUE"""),"Stargardzki")</f>
        <v>Stargardzki</v>
      </c>
      <c r="B1556" t="str">
        <f ca="1">IFERROR(__xludf.DUMMYFUNCTION("""COMPUTED_VALUE"""),"PL423")</f>
        <v>PL423</v>
      </c>
    </row>
    <row r="1557" spans="1:2" ht="12.5" x14ac:dyDescent="0.25">
      <c r="A1557" t="str">
        <f ca="1">IFERROR(__xludf.DUMMYFUNCTION("""COMPUTED_VALUE"""),"Starnberg")</f>
        <v>Starnberg</v>
      </c>
      <c r="B1557" t="str">
        <f ca="1">IFERROR(__xludf.DUMMYFUNCTION("""COMPUTED_VALUE"""),"DE21L")</f>
        <v>DE21L</v>
      </c>
    </row>
    <row r="1558" spans="1:2" ht="12.5" x14ac:dyDescent="0.25">
      <c r="A1558" t="str">
        <f ca="1">IFERROR(__xludf.DUMMYFUNCTION("""COMPUTED_VALUE"""),"Starogardzki")</f>
        <v>Starogardzki</v>
      </c>
      <c r="B1558" t="str">
        <f ca="1">IFERROR(__xludf.DUMMYFUNCTION("""COMPUTED_VALUE"""),"PL635")</f>
        <v>PL635</v>
      </c>
    </row>
    <row r="1559" spans="1:2" ht="12.5" x14ac:dyDescent="0.25">
      <c r="A1559" t="str">
        <f ca="1">IFERROR(__xludf.DUMMYFUNCTION("""COMPUTED_VALUE"""),"Steiermark")</f>
        <v>Steiermark</v>
      </c>
      <c r="B1559" t="str">
        <f ca="1">IFERROR(__xludf.DUMMYFUNCTION("""COMPUTED_VALUE"""),"AT22")</f>
        <v>AT22</v>
      </c>
    </row>
    <row r="1560" spans="1:2" ht="12.5" x14ac:dyDescent="0.25">
      <c r="A1560" t="str">
        <f ca="1">IFERROR(__xludf.DUMMYFUNCTION("""COMPUTED_VALUE"""),"Steinburg")</f>
        <v>Steinburg</v>
      </c>
      <c r="B1560" t="str">
        <f ca="1">IFERROR(__xludf.DUMMYFUNCTION("""COMPUTED_VALUE"""),"DEF0E")</f>
        <v>DEF0E</v>
      </c>
    </row>
    <row r="1561" spans="1:2" ht="12.5" x14ac:dyDescent="0.25">
      <c r="A1561" t="str">
        <f ca="1">IFERROR(__xludf.DUMMYFUNCTION("""COMPUTED_VALUE"""),"Steinfurt")</f>
        <v>Steinfurt</v>
      </c>
      <c r="B1561" t="str">
        <f ca="1">IFERROR(__xludf.DUMMYFUNCTION("""COMPUTED_VALUE"""),"DEA37")</f>
        <v>DEA37</v>
      </c>
    </row>
    <row r="1562" spans="1:2" ht="12.5" x14ac:dyDescent="0.25">
      <c r="A1562" t="str">
        <f ca="1">IFERROR(__xludf.DUMMYFUNCTION("""COMPUTED_VALUE"""),"Stendal")</f>
        <v>Stendal</v>
      </c>
      <c r="B1562" t="str">
        <f ca="1">IFERROR(__xludf.DUMMYFUNCTION("""COMPUTED_VALUE"""),"DEE0D")</f>
        <v>DEE0D</v>
      </c>
    </row>
    <row r="1563" spans="1:2" ht="12.5" x14ac:dyDescent="0.25">
      <c r="A1563" t="str">
        <f ca="1">IFERROR(__xludf.DUMMYFUNCTION("""COMPUTED_VALUE"""),"Sterea Ellada")</f>
        <v>Sterea Ellada</v>
      </c>
      <c r="B1563" t="str">
        <f ca="1">IFERROR(__xludf.DUMMYFUNCTION("""COMPUTED_VALUE"""),"GR24")</f>
        <v>GR24</v>
      </c>
    </row>
    <row r="1564" spans="1:2" ht="12.5" x14ac:dyDescent="0.25">
      <c r="A1564" t="str">
        <f ca="1">IFERROR(__xludf.DUMMYFUNCTION("""COMPUTED_VALUE"""),"Steyr-Kirchdorf")</f>
        <v>Steyr-Kirchdorf</v>
      </c>
      <c r="B1564" t="str">
        <f ca="1">IFERROR(__xludf.DUMMYFUNCTION("""COMPUTED_VALUE"""),"AT314")</f>
        <v>AT314</v>
      </c>
    </row>
    <row r="1565" spans="1:2" ht="12.5" x14ac:dyDescent="0.25">
      <c r="A1565" t="str">
        <f ca="1">IFERROR(__xludf.DUMMYFUNCTION("""COMPUTED_VALUE"""),"Stockholm")</f>
        <v>Stockholm</v>
      </c>
      <c r="B1565" t="str">
        <f ca="1">IFERROR(__xludf.DUMMYFUNCTION("""COMPUTED_VALUE"""),"SE11")</f>
        <v>SE11</v>
      </c>
    </row>
    <row r="1566" spans="1:2" ht="12.5" x14ac:dyDescent="0.25">
      <c r="A1566" t="str">
        <f ca="1">IFERROR(__xludf.DUMMYFUNCTION("""COMPUTED_VALUE"""),"Stockholms Län")</f>
        <v>Stockholms Län</v>
      </c>
      <c r="B1566" t="str">
        <f ca="1">IFERROR(__xludf.DUMMYFUNCTION("""COMPUTED_VALUE"""),"SE110")</f>
        <v>SE110</v>
      </c>
    </row>
    <row r="1567" spans="1:2" ht="12.5" x14ac:dyDescent="0.25">
      <c r="A1567" t="str">
        <f ca="1">IFERROR(__xludf.DUMMYFUNCTION("""COMPUTED_VALUE"""),"Stoke-On-Trent")</f>
        <v>Stoke-On-Trent</v>
      </c>
      <c r="B1567" t="str">
        <f ca="1">IFERROR(__xludf.DUMMYFUNCTION("""COMPUTED_VALUE"""),"UKG23")</f>
        <v>UKG23</v>
      </c>
    </row>
    <row r="1568" spans="1:2" ht="12.5" x14ac:dyDescent="0.25">
      <c r="A1568" t="str">
        <f ca="1">IFERROR(__xludf.DUMMYFUNCTION("""COMPUTED_VALUE"""),"Stollberg")</f>
        <v>Stollberg</v>
      </c>
      <c r="B1568" t="str">
        <f ca="1">IFERROR(__xludf.DUMMYFUNCTION("""COMPUTED_VALUE"""),"DED1A")</f>
        <v>DED1A</v>
      </c>
    </row>
    <row r="1569" spans="1:2" ht="12.5" x14ac:dyDescent="0.25">
      <c r="A1569" t="str">
        <f ca="1">IFERROR(__xludf.DUMMYFUNCTION("""COMPUTED_VALUE"""),"Stormarn")</f>
        <v>Stormarn</v>
      </c>
      <c r="B1569" t="str">
        <f ca="1">IFERROR(__xludf.DUMMYFUNCTION("""COMPUTED_VALUE"""),"DEF0F")</f>
        <v>DEF0F</v>
      </c>
    </row>
    <row r="1570" spans="1:2" ht="12.5" x14ac:dyDescent="0.25">
      <c r="A1570" t="str">
        <f ca="1">IFERROR(__xludf.DUMMYFUNCTION("""COMPUTED_VALUE"""),"Stralsund, Kreisfreie Stadt")</f>
        <v>Stralsund, Kreisfreie Stadt</v>
      </c>
      <c r="B1570" t="str">
        <f ca="1">IFERROR(__xludf.DUMMYFUNCTION("""COMPUTED_VALUE"""),"DE805")</f>
        <v>DE805</v>
      </c>
    </row>
    <row r="1571" spans="1:2" ht="12.5" x14ac:dyDescent="0.25">
      <c r="A1571" t="str">
        <f ca="1">IFERROR(__xludf.DUMMYFUNCTION("""COMPUTED_VALUE"""),"Straubing-Bogen")</f>
        <v>Straubing-Bogen</v>
      </c>
      <c r="B1571" t="str">
        <f ca="1">IFERROR(__xludf.DUMMYFUNCTION("""COMPUTED_VALUE"""),"DE22B")</f>
        <v>DE22B</v>
      </c>
    </row>
    <row r="1572" spans="1:2" ht="12.5" x14ac:dyDescent="0.25">
      <c r="A1572" t="str">
        <f ca="1">IFERROR(__xludf.DUMMYFUNCTION("""COMPUTED_VALUE"""),"Straubing, Kreisfreie Stadt")</f>
        <v>Straubing, Kreisfreie Stadt</v>
      </c>
      <c r="B1572" t="str">
        <f ca="1">IFERROR(__xludf.DUMMYFUNCTION("""COMPUTED_VALUE"""),"DE223")</f>
        <v>DE223</v>
      </c>
    </row>
    <row r="1573" spans="1:2" ht="12.5" x14ac:dyDescent="0.25">
      <c r="A1573" t="str">
        <f ca="1">IFERROR(__xludf.DUMMYFUNCTION("""COMPUTED_VALUE"""),"Stredne Slovensko")</f>
        <v>Stredne Slovensko</v>
      </c>
      <c r="B1573" t="str">
        <f ca="1">IFERROR(__xludf.DUMMYFUNCTION("""COMPUTED_VALUE"""),"SK03")</f>
        <v>SK03</v>
      </c>
    </row>
    <row r="1574" spans="1:2" ht="12.5" x14ac:dyDescent="0.25">
      <c r="A1574" t="str">
        <f ca="1">IFERROR(__xludf.DUMMYFUNCTION("""COMPUTED_VALUE"""),"Stredni Cechy")</f>
        <v>Stredni Cechy</v>
      </c>
      <c r="B1574" t="str">
        <f ca="1">IFERROR(__xludf.DUMMYFUNCTION("""COMPUTED_VALUE"""),"CZ02")</f>
        <v>CZ02</v>
      </c>
    </row>
    <row r="1575" spans="1:2" ht="12.5" x14ac:dyDescent="0.25">
      <c r="A1575" t="str">
        <f ca="1">IFERROR(__xludf.DUMMYFUNCTION("""COMPUTED_VALUE"""),"Stredni Morava")</f>
        <v>Stredni Morava</v>
      </c>
      <c r="B1575" t="str">
        <f ca="1">IFERROR(__xludf.DUMMYFUNCTION("""COMPUTED_VALUE"""),"CZ07")</f>
        <v>CZ07</v>
      </c>
    </row>
    <row r="1576" spans="1:2" ht="12.5" x14ac:dyDescent="0.25">
      <c r="A1576" t="str">
        <f ca="1">IFERROR(__xludf.DUMMYFUNCTION("""COMPUTED_VALUE"""),"Stredocesky Kraj")</f>
        <v>Stredocesky Kraj</v>
      </c>
      <c r="B1576" t="str">
        <f ca="1">IFERROR(__xludf.DUMMYFUNCTION("""COMPUTED_VALUE"""),"CZ020")</f>
        <v>CZ020</v>
      </c>
    </row>
    <row r="1577" spans="1:2" ht="12.5" x14ac:dyDescent="0.25">
      <c r="A1577" t="str">
        <f ca="1">IFERROR(__xludf.DUMMYFUNCTION("""COMPUTED_VALUE"""),"Stuttgart")</f>
        <v>Stuttgart</v>
      </c>
      <c r="B1577" t="str">
        <f ca="1">IFERROR(__xludf.DUMMYFUNCTION("""COMPUTED_VALUE"""),"DE11")</f>
        <v>DE11</v>
      </c>
    </row>
    <row r="1578" spans="1:2" ht="12.5" x14ac:dyDescent="0.25">
      <c r="A1578" t="str">
        <f ca="1">IFERROR(__xludf.DUMMYFUNCTION("""COMPUTED_VALUE"""),"Stuttgart, Stadtkreis")</f>
        <v>Stuttgart, Stadtkreis</v>
      </c>
      <c r="B1578" t="str">
        <f ca="1">IFERROR(__xludf.DUMMYFUNCTION("""COMPUTED_VALUE"""),"DE111")</f>
        <v>DE111</v>
      </c>
    </row>
    <row r="1579" spans="1:2" ht="12.5" x14ac:dyDescent="0.25">
      <c r="A1579" t="str">
        <f ca="1">IFERROR(__xludf.DUMMYFUNCTION("""COMPUTED_VALUE"""),"Suceava")</f>
        <v>Suceava</v>
      </c>
      <c r="B1579" t="str">
        <f ca="1">IFERROR(__xludf.DUMMYFUNCTION("""COMPUTED_VALUE"""),"RO215")</f>
        <v>RO215</v>
      </c>
    </row>
    <row r="1580" spans="1:2" ht="12.5" x14ac:dyDescent="0.25">
      <c r="A1580" t="str">
        <f ca="1">IFERROR(__xludf.DUMMYFUNCTION("""COMPUTED_VALUE"""),"Sud")</f>
        <v>Sud</v>
      </c>
      <c r="B1580" t="str">
        <f ca="1">IFERROR(__xludf.DUMMYFUNCTION("""COMPUTED_VALUE"""),"ITF")</f>
        <v>ITF</v>
      </c>
    </row>
    <row r="1581" spans="1:2" ht="12.5" x14ac:dyDescent="0.25">
      <c r="A1581" t="str">
        <f ca="1">IFERROR(__xludf.DUMMYFUNCTION("""COMPUTED_VALUE"""),"Sud - Muntenia")</f>
        <v>Sud - Muntenia</v>
      </c>
      <c r="B1581" t="str">
        <f ca="1">IFERROR(__xludf.DUMMYFUNCTION("""COMPUTED_VALUE"""),"RO31")</f>
        <v>RO31</v>
      </c>
    </row>
    <row r="1582" spans="1:2" ht="12.5" x14ac:dyDescent="0.25">
      <c r="A1582" t="str">
        <f ca="1">IFERROR(__xludf.DUMMYFUNCTION("""COMPUTED_VALUE"""),"Sud-Est")</f>
        <v>Sud-Est</v>
      </c>
      <c r="B1582" t="str">
        <f ca="1">IFERROR(__xludf.DUMMYFUNCTION("""COMPUTED_VALUE"""),"RO22")</f>
        <v>RO22</v>
      </c>
    </row>
    <row r="1583" spans="1:2" ht="12.5" x14ac:dyDescent="0.25">
      <c r="A1583" t="str">
        <f ca="1">IFERROR(__xludf.DUMMYFUNCTION("""COMPUTED_VALUE"""),"Sud-Ouest")</f>
        <v>Sud-Ouest</v>
      </c>
      <c r="B1583" t="str">
        <f ca="1">IFERROR(__xludf.DUMMYFUNCTION("""COMPUTED_VALUE"""),"FR6")</f>
        <v>FR6</v>
      </c>
    </row>
    <row r="1584" spans="1:2" ht="12.5" x14ac:dyDescent="0.25">
      <c r="A1584" t="str">
        <f ca="1">IFERROR(__xludf.DUMMYFUNCTION("""COMPUTED_VALUE"""),"Sud-Vest Oltenia")</f>
        <v>Sud-Vest Oltenia</v>
      </c>
      <c r="B1584" t="str">
        <f ca="1">IFERROR(__xludf.DUMMYFUNCTION("""COMPUTED_VALUE"""),"RO41")</f>
        <v>RO41</v>
      </c>
    </row>
    <row r="1585" spans="1:2" ht="12.5" x14ac:dyDescent="0.25">
      <c r="A1585" t="str">
        <f ca="1">IFERROR(__xludf.DUMMYFUNCTION("""COMPUTED_VALUE"""),"Südburgenland")</f>
        <v>Südburgenland</v>
      </c>
      <c r="B1585" t="str">
        <f ca="1">IFERROR(__xludf.DUMMYFUNCTION("""COMPUTED_VALUE"""),"AT113")</f>
        <v>AT113</v>
      </c>
    </row>
    <row r="1586" spans="1:2" ht="12.5" x14ac:dyDescent="0.25">
      <c r="A1586" t="str">
        <f ca="1">IFERROR(__xludf.DUMMYFUNCTION("""COMPUTED_VALUE"""),"Südliche Weinstraße")</f>
        <v>Südliche Weinstraße</v>
      </c>
      <c r="B1586" t="str">
        <f ca="1">IFERROR(__xludf.DUMMYFUNCTION("""COMPUTED_VALUE"""),"DEB3H")</f>
        <v>DEB3H</v>
      </c>
    </row>
    <row r="1587" spans="1:2" ht="12.5" x14ac:dyDescent="0.25">
      <c r="A1587" t="str">
        <f ca="1">IFERROR(__xludf.DUMMYFUNCTION("""COMPUTED_VALUE"""),"Südösterreich")</f>
        <v>Südösterreich</v>
      </c>
      <c r="B1587" t="str">
        <f ca="1">IFERROR(__xludf.DUMMYFUNCTION("""COMPUTED_VALUE"""),"AT2")</f>
        <v>AT2</v>
      </c>
    </row>
    <row r="1588" spans="1:2" ht="12.5" x14ac:dyDescent="0.25">
      <c r="A1588" t="str">
        <f ca="1">IFERROR(__xludf.DUMMYFUNCTION("""COMPUTED_VALUE"""),"Südwestpfalz")</f>
        <v>Südwestpfalz</v>
      </c>
      <c r="B1588" t="str">
        <f ca="1">IFERROR(__xludf.DUMMYFUNCTION("""COMPUTED_VALUE"""),"DEB3K")</f>
        <v>DEB3K</v>
      </c>
    </row>
    <row r="1589" spans="1:2" ht="12.5" x14ac:dyDescent="0.25">
      <c r="A1589" t="str">
        <f ca="1">IFERROR(__xludf.DUMMYFUNCTION("""COMPUTED_VALUE"""),"Suffolk")</f>
        <v>Suffolk</v>
      </c>
      <c r="B1589" t="str">
        <f ca="1">IFERROR(__xludf.DUMMYFUNCTION("""COMPUTED_VALUE"""),"UKH14")</f>
        <v>UKH14</v>
      </c>
    </row>
    <row r="1590" spans="1:2" ht="12.5" x14ac:dyDescent="0.25">
      <c r="A1590" t="str">
        <f ca="1">IFERROR(__xludf.DUMMYFUNCTION("""COMPUTED_VALUE"""),"Suhl, Kreisfreie Stadt")</f>
        <v>Suhl, Kreisfreie Stadt</v>
      </c>
      <c r="B1590" t="str">
        <f ca="1">IFERROR(__xludf.DUMMYFUNCTION("""COMPUTED_VALUE"""),"DEG04")</f>
        <v>DEG04</v>
      </c>
    </row>
    <row r="1591" spans="1:2" ht="12.5" x14ac:dyDescent="0.25">
      <c r="A1591" t="str">
        <f ca="1">IFERROR(__xludf.DUMMYFUNCTION("""COMPUTED_VALUE"""),"Sunderland")</f>
        <v>Sunderland</v>
      </c>
      <c r="B1591" t="str">
        <f ca="1">IFERROR(__xludf.DUMMYFUNCTION("""COMPUTED_VALUE"""),"UKC23")</f>
        <v>UKC23</v>
      </c>
    </row>
    <row r="1592" spans="1:2" ht="12.5" x14ac:dyDescent="0.25">
      <c r="A1592" t="str">
        <f ca="1">IFERROR(__xludf.DUMMYFUNCTION("""COMPUTED_VALUE"""),"Suomi / Finland")</f>
        <v>Suomi / Finland</v>
      </c>
      <c r="B1592" t="str">
        <f ca="1">IFERROR(__xludf.DUMMYFUNCTION("""COMPUTED_VALUE"""),"FI")</f>
        <v>FI</v>
      </c>
    </row>
    <row r="1593" spans="1:2" ht="12.5" x14ac:dyDescent="0.25">
      <c r="A1593" t="str">
        <f ca="1">IFERROR(__xludf.DUMMYFUNCTION("""COMPUTED_VALUE"""),"Sur")</f>
        <v>Sur</v>
      </c>
      <c r="B1593" t="str">
        <f ca="1">IFERROR(__xludf.DUMMYFUNCTION("""COMPUTED_VALUE"""),"ES6")</f>
        <v>ES6</v>
      </c>
    </row>
    <row r="1594" spans="1:2" ht="12.5" x14ac:dyDescent="0.25">
      <c r="A1594" t="str">
        <f ca="1">IFERROR(__xludf.DUMMYFUNCTION("""COMPUTED_VALUE"""),"Surrey")</f>
        <v>Surrey</v>
      </c>
      <c r="B1594" t="str">
        <f ca="1">IFERROR(__xludf.DUMMYFUNCTION("""COMPUTED_VALUE"""),"UKJ23")</f>
        <v>UKJ23</v>
      </c>
    </row>
    <row r="1595" spans="1:2" ht="12.5" x14ac:dyDescent="0.25">
      <c r="A1595" t="str">
        <f ca="1">IFERROR(__xludf.DUMMYFUNCTION("""COMPUTED_VALUE"""),"Surrey, East And West Sussex")</f>
        <v>Surrey, East And West Sussex</v>
      </c>
      <c r="B1595" t="str">
        <f ca="1">IFERROR(__xludf.DUMMYFUNCTION("""COMPUTED_VALUE"""),"UKJ2")</f>
        <v>UKJ2</v>
      </c>
    </row>
    <row r="1596" spans="1:2" ht="12.5" x14ac:dyDescent="0.25">
      <c r="A1596" t="str">
        <f ca="1">IFERROR(__xludf.DUMMYFUNCTION("""COMPUTED_VALUE"""),"Suwalski")</f>
        <v>Suwalski</v>
      </c>
      <c r="B1596" t="str">
        <f ca="1">IFERROR(__xludf.DUMMYFUNCTION("""COMPUTED_VALUE"""),"PL345")</f>
        <v>PL345</v>
      </c>
    </row>
    <row r="1597" spans="1:2" ht="12.5" x14ac:dyDescent="0.25">
      <c r="A1597" t="str">
        <f ca="1">IFERROR(__xludf.DUMMYFUNCTION("""COMPUTED_VALUE"""),"Sverige")</f>
        <v>Sverige</v>
      </c>
      <c r="B1597" t="str">
        <f ca="1">IFERROR(__xludf.DUMMYFUNCTION("""COMPUTED_VALUE"""),"SE")</f>
        <v>SE</v>
      </c>
    </row>
    <row r="1598" spans="1:2" ht="12.5" x14ac:dyDescent="0.25">
      <c r="A1598" t="str">
        <f ca="1">IFERROR(__xludf.DUMMYFUNCTION("""COMPUTED_VALUE"""),"Swansea")</f>
        <v>Swansea</v>
      </c>
      <c r="B1598" t="str">
        <f ca="1">IFERROR(__xludf.DUMMYFUNCTION("""COMPUTED_VALUE"""),"UKL18")</f>
        <v>UKL18</v>
      </c>
    </row>
    <row r="1599" spans="1:2" ht="12.5" x14ac:dyDescent="0.25">
      <c r="A1599" t="str">
        <f ca="1">IFERROR(__xludf.DUMMYFUNCTION("""COMPUTED_VALUE"""),"Swietokrzyskie")</f>
        <v>Swietokrzyskie</v>
      </c>
      <c r="B1599" t="str">
        <f ca="1">IFERROR(__xludf.DUMMYFUNCTION("""COMPUTED_VALUE"""),"PL33")</f>
        <v>PL33</v>
      </c>
    </row>
    <row r="1600" spans="1:2" ht="12.5" x14ac:dyDescent="0.25">
      <c r="A1600" t="str">
        <f ca="1">IFERROR(__xludf.DUMMYFUNCTION("""COMPUTED_VALUE"""),"Swindon")</f>
        <v>Swindon</v>
      </c>
      <c r="B1600" t="str">
        <f ca="1">IFERROR(__xludf.DUMMYFUNCTION("""COMPUTED_VALUE"""),"UKK14")</f>
        <v>UKK14</v>
      </c>
    </row>
    <row r="1601" spans="1:2" ht="12.5" x14ac:dyDescent="0.25">
      <c r="A1601" t="str">
        <f ca="1">IFERROR(__xludf.DUMMYFUNCTION("""COMPUTED_VALUE"""),"Syddanmark")</f>
        <v>Syddanmark</v>
      </c>
      <c r="B1601" t="str">
        <f ca="1">IFERROR(__xludf.DUMMYFUNCTION("""COMPUTED_VALUE"""),"DK03")</f>
        <v>DK03</v>
      </c>
    </row>
    <row r="1602" spans="1:2" ht="12.5" x14ac:dyDescent="0.25">
      <c r="A1602" t="str">
        <f ca="1">IFERROR(__xludf.DUMMYFUNCTION("""COMPUTED_VALUE"""),"Sydjylland")</f>
        <v>Sydjylland</v>
      </c>
      <c r="B1602" t="str">
        <f ca="1">IFERROR(__xludf.DUMMYFUNCTION("""COMPUTED_VALUE"""),"DK032")</f>
        <v>DK032</v>
      </c>
    </row>
    <row r="1603" spans="1:2" ht="12.5" x14ac:dyDescent="0.25">
      <c r="A1603" t="str">
        <f ca="1">IFERROR(__xludf.DUMMYFUNCTION("""COMPUTED_VALUE"""),"Sydsverige")</f>
        <v>Sydsverige</v>
      </c>
      <c r="B1603" t="str">
        <f ca="1">IFERROR(__xludf.DUMMYFUNCTION("""COMPUTED_VALUE"""),"SE22")</f>
        <v>SE22</v>
      </c>
    </row>
    <row r="1604" spans="1:2" ht="12.5" x14ac:dyDescent="0.25">
      <c r="A1604" t="str">
        <f ca="1">IFERROR(__xludf.DUMMYFUNCTION("""COMPUTED_VALUE"""),"Szabolcs-Szatmar-Bereg")</f>
        <v>Szabolcs-Szatmar-Bereg</v>
      </c>
      <c r="B1604" t="str">
        <f ca="1">IFERROR(__xludf.DUMMYFUNCTION("""COMPUTED_VALUE"""),"HU323")</f>
        <v>HU323</v>
      </c>
    </row>
    <row r="1605" spans="1:2" ht="12.5" x14ac:dyDescent="0.25">
      <c r="A1605" t="str">
        <f ca="1">IFERROR(__xludf.DUMMYFUNCTION("""COMPUTED_VALUE"""),"Szczecinski")</f>
        <v>Szczecinski</v>
      </c>
      <c r="B1605" t="str">
        <f ca="1">IFERROR(__xludf.DUMMYFUNCTION("""COMPUTED_VALUE"""),"PL425")</f>
        <v>PL425</v>
      </c>
    </row>
    <row r="1606" spans="1:2" ht="12.5" x14ac:dyDescent="0.25">
      <c r="A1606" t="str">
        <f ca="1">IFERROR(__xludf.DUMMYFUNCTION("""COMPUTED_VALUE"""),"Tâmega")</f>
        <v>Tâmega</v>
      </c>
      <c r="B1606" t="str">
        <f ca="1">IFERROR(__xludf.DUMMYFUNCTION("""COMPUTED_VALUE"""),"PT115")</f>
        <v>PT115</v>
      </c>
    </row>
    <row r="1607" spans="1:2" ht="12.5" x14ac:dyDescent="0.25">
      <c r="A1607" t="str">
        <f ca="1">IFERROR(__xludf.DUMMYFUNCTION("""COMPUTED_VALUE"""),"Taranto")</f>
        <v>Taranto</v>
      </c>
      <c r="B1607" t="str">
        <f ca="1">IFERROR(__xludf.DUMMYFUNCTION("""COMPUTED_VALUE"""),"ITF43")</f>
        <v>ITF43</v>
      </c>
    </row>
    <row r="1608" spans="1:2" ht="12.5" x14ac:dyDescent="0.25">
      <c r="A1608" t="str">
        <f ca="1">IFERROR(__xludf.DUMMYFUNCTION("""COMPUTED_VALUE"""),"Targovishte")</f>
        <v>Targovishte</v>
      </c>
      <c r="B1608" t="str">
        <f ca="1">IFERROR(__xludf.DUMMYFUNCTION("""COMPUTED_VALUE"""),"BG334")</f>
        <v>BG334</v>
      </c>
    </row>
    <row r="1609" spans="1:2" ht="12.5" x14ac:dyDescent="0.25">
      <c r="A1609" t="str">
        <f ca="1">IFERROR(__xludf.DUMMYFUNCTION("""COMPUTED_VALUE"""),"Tarn")</f>
        <v>Tarn</v>
      </c>
      <c r="B1609" t="str">
        <f ca="1">IFERROR(__xludf.DUMMYFUNCTION("""COMPUTED_VALUE"""),"FR627")</f>
        <v>FR627</v>
      </c>
    </row>
    <row r="1610" spans="1:2" ht="12.5" x14ac:dyDescent="0.25">
      <c r="A1610" t="str">
        <f ca="1">IFERROR(__xludf.DUMMYFUNCTION("""COMPUTED_VALUE"""),"Tarn-Et-Garonne")</f>
        <v>Tarn-Et-Garonne</v>
      </c>
      <c r="B1610" t="str">
        <f ca="1">IFERROR(__xludf.DUMMYFUNCTION("""COMPUTED_VALUE"""),"FR628")</f>
        <v>FR628</v>
      </c>
    </row>
    <row r="1611" spans="1:2" ht="12.5" x14ac:dyDescent="0.25">
      <c r="A1611" t="str">
        <f ca="1">IFERROR(__xludf.DUMMYFUNCTION("""COMPUTED_VALUE"""),"Tarnobrzeski")</f>
        <v>Tarnobrzeski</v>
      </c>
      <c r="B1611" t="str">
        <f ca="1">IFERROR(__xludf.DUMMYFUNCTION("""COMPUTED_VALUE"""),"PL326")</f>
        <v>PL326</v>
      </c>
    </row>
    <row r="1612" spans="1:2" ht="12.5" x14ac:dyDescent="0.25">
      <c r="A1612" t="str">
        <f ca="1">IFERROR(__xludf.DUMMYFUNCTION("""COMPUTED_VALUE"""),"Tarnowski")</f>
        <v>Tarnowski</v>
      </c>
      <c r="B1612" t="str">
        <f ca="1">IFERROR(__xludf.DUMMYFUNCTION("""COMPUTED_VALUE"""),"PL217")</f>
        <v>PL217</v>
      </c>
    </row>
    <row r="1613" spans="1:2" ht="12.5" x14ac:dyDescent="0.25">
      <c r="A1613" t="str">
        <f ca="1">IFERROR(__xludf.DUMMYFUNCTION("""COMPUTED_VALUE"""),"Tarragona")</f>
        <v>Tarragona</v>
      </c>
      <c r="B1613" t="str">
        <f ca="1">IFERROR(__xludf.DUMMYFUNCTION("""COMPUTED_VALUE"""),"ES514")</f>
        <v>ES514</v>
      </c>
    </row>
    <row r="1614" spans="1:2" ht="12.5" x14ac:dyDescent="0.25">
      <c r="A1614" t="str">
        <f ca="1">IFERROR(__xludf.DUMMYFUNCTION("""COMPUTED_VALUE"""),"Taurages Apskritis")</f>
        <v>Taurages Apskritis</v>
      </c>
      <c r="B1614" t="str">
        <f ca="1">IFERROR(__xludf.DUMMYFUNCTION("""COMPUTED_VALUE"""),"LT007")</f>
        <v>LT007</v>
      </c>
    </row>
    <row r="1615" spans="1:2" ht="12.5" x14ac:dyDescent="0.25">
      <c r="A1615" t="str">
        <f ca="1">IFERROR(__xludf.DUMMYFUNCTION("""COMPUTED_VALUE"""),"Tees Valley And Durham")</f>
        <v>Tees Valley And Durham</v>
      </c>
      <c r="B1615" t="str">
        <f ca="1">IFERROR(__xludf.DUMMYFUNCTION("""COMPUTED_VALUE"""),"UKC1")</f>
        <v>UKC1</v>
      </c>
    </row>
    <row r="1616" spans="1:2" ht="12.5" x14ac:dyDescent="0.25">
      <c r="A1616" t="str">
        <f ca="1">IFERROR(__xludf.DUMMYFUNCTION("""COMPUTED_VALUE"""),"Telemark")</f>
        <v>Telemark</v>
      </c>
      <c r="B1616" t="str">
        <f ca="1">IFERROR(__xludf.DUMMYFUNCTION("""COMPUTED_VALUE"""),"NO034")</f>
        <v>NO034</v>
      </c>
    </row>
    <row r="1617" spans="1:2" ht="12.5" x14ac:dyDescent="0.25">
      <c r="A1617" t="str">
        <f ca="1">IFERROR(__xludf.DUMMYFUNCTION("""COMPUTED_VALUE"""),"Teleorman")</f>
        <v>Teleorman</v>
      </c>
      <c r="B1617" t="str">
        <f ca="1">IFERROR(__xludf.DUMMYFUNCTION("""COMPUTED_VALUE"""),"RO317")</f>
        <v>RO317</v>
      </c>
    </row>
    <row r="1618" spans="1:2" ht="12.5" x14ac:dyDescent="0.25">
      <c r="A1618" t="str">
        <f ca="1">IFERROR(__xludf.DUMMYFUNCTION("""COMPUTED_VALUE"""),"Telford And Wrekin")</f>
        <v>Telford And Wrekin</v>
      </c>
      <c r="B1618" t="str">
        <f ca="1">IFERROR(__xludf.DUMMYFUNCTION("""COMPUTED_VALUE"""),"UKG21")</f>
        <v>UKG21</v>
      </c>
    </row>
    <row r="1619" spans="1:2" ht="12.5" x14ac:dyDescent="0.25">
      <c r="A1619" t="str">
        <f ca="1">IFERROR(__xludf.DUMMYFUNCTION("""COMPUTED_VALUE"""),"Telsiu Apskritis")</f>
        <v>Telsiu Apskritis</v>
      </c>
      <c r="B1619" t="str">
        <f ca="1">IFERROR(__xludf.DUMMYFUNCTION("""COMPUTED_VALUE"""),"LT008")</f>
        <v>LT008</v>
      </c>
    </row>
    <row r="1620" spans="1:2" ht="12.5" x14ac:dyDescent="0.25">
      <c r="A1620" t="str">
        <f ca="1">IFERROR(__xludf.DUMMYFUNCTION("""COMPUTED_VALUE"""),"Teltow-Fläming")</f>
        <v>Teltow-Fläming</v>
      </c>
      <c r="B1620" t="str">
        <f ca="1">IFERROR(__xludf.DUMMYFUNCTION("""COMPUTED_VALUE"""),"DE42A")</f>
        <v>DE42A</v>
      </c>
    </row>
    <row r="1621" spans="1:2" ht="12.5" x14ac:dyDescent="0.25">
      <c r="A1621" t="str">
        <f ca="1">IFERROR(__xludf.DUMMYFUNCTION("""COMPUTED_VALUE"""),"Tenerife")</f>
        <v>Tenerife</v>
      </c>
      <c r="B1621" t="str">
        <f ca="1">IFERROR(__xludf.DUMMYFUNCTION("""COMPUTED_VALUE"""),"ES709")</f>
        <v>ES709</v>
      </c>
    </row>
    <row r="1622" spans="1:2" ht="12.5" x14ac:dyDescent="0.25">
      <c r="A1622" t="str">
        <f ca="1">IFERROR(__xludf.DUMMYFUNCTION("""COMPUTED_VALUE"""),"Teramo")</f>
        <v>Teramo</v>
      </c>
      <c r="B1622" t="str">
        <f ca="1">IFERROR(__xludf.DUMMYFUNCTION("""COMPUTED_VALUE"""),"ITF12")</f>
        <v>ITF12</v>
      </c>
    </row>
    <row r="1623" spans="1:2" ht="12.5" x14ac:dyDescent="0.25">
      <c r="A1623" t="str">
        <f ca="1">IFERROR(__xludf.DUMMYFUNCTION("""COMPUTED_VALUE"""),"Terni")</f>
        <v>Terni</v>
      </c>
      <c r="B1623" t="str">
        <f ca="1">IFERROR(__xludf.DUMMYFUNCTION("""COMPUTED_VALUE"""),"ITE22")</f>
        <v>ITE22</v>
      </c>
    </row>
    <row r="1624" spans="1:2" ht="12.5" x14ac:dyDescent="0.25">
      <c r="A1624" t="str">
        <f ca="1">IFERROR(__xludf.DUMMYFUNCTION("""COMPUTED_VALUE"""),"Territoire De Belfort")</f>
        <v>Territoire De Belfort</v>
      </c>
      <c r="B1624" t="str">
        <f ca="1">IFERROR(__xludf.DUMMYFUNCTION("""COMPUTED_VALUE"""),"FR434")</f>
        <v>FR434</v>
      </c>
    </row>
    <row r="1625" spans="1:2" ht="12.5" x14ac:dyDescent="0.25">
      <c r="A1625" t="str">
        <f ca="1">IFERROR(__xludf.DUMMYFUNCTION("""COMPUTED_VALUE"""),"Teruel")</f>
        <v>Teruel</v>
      </c>
      <c r="B1625" t="str">
        <f ca="1">IFERROR(__xludf.DUMMYFUNCTION("""COMPUTED_VALUE"""),"ES242")</f>
        <v>ES242</v>
      </c>
    </row>
    <row r="1626" spans="1:2" ht="12.5" x14ac:dyDescent="0.25">
      <c r="A1626" t="str">
        <f ca="1">IFERROR(__xludf.DUMMYFUNCTION("""COMPUTED_VALUE"""),"Thesprotia")</f>
        <v>Thesprotia</v>
      </c>
      <c r="B1626" t="str">
        <f ca="1">IFERROR(__xludf.DUMMYFUNCTION("""COMPUTED_VALUE"""),"GR212")</f>
        <v>GR212</v>
      </c>
    </row>
    <row r="1627" spans="1:2" ht="12.5" x14ac:dyDescent="0.25">
      <c r="A1627" t="str">
        <f ca="1">IFERROR(__xludf.DUMMYFUNCTION("""COMPUTED_VALUE"""),"Thessalia")</f>
        <v>Thessalia</v>
      </c>
      <c r="B1627" t="str">
        <f ca="1">IFERROR(__xludf.DUMMYFUNCTION("""COMPUTED_VALUE"""),"GR14")</f>
        <v>GR14</v>
      </c>
    </row>
    <row r="1628" spans="1:2" ht="12.5" x14ac:dyDescent="0.25">
      <c r="A1628" t="str">
        <f ca="1">IFERROR(__xludf.DUMMYFUNCTION("""COMPUTED_VALUE"""),"Thessaloniki")</f>
        <v>Thessaloniki</v>
      </c>
      <c r="B1628" t="str">
        <f ca="1">IFERROR(__xludf.DUMMYFUNCTION("""COMPUTED_VALUE"""),"GR122")</f>
        <v>GR122</v>
      </c>
    </row>
    <row r="1629" spans="1:2" ht="12.5" x14ac:dyDescent="0.25">
      <c r="A1629" t="str">
        <f ca="1">IFERROR(__xludf.DUMMYFUNCTION("""COMPUTED_VALUE"""),"Thurgau")</f>
        <v>Thurgau</v>
      </c>
      <c r="B1629" t="str">
        <f ca="1">IFERROR(__xludf.DUMMYFUNCTION("""COMPUTED_VALUE"""),"CH057")</f>
        <v>CH057</v>
      </c>
    </row>
    <row r="1630" spans="1:2" ht="12.5" x14ac:dyDescent="0.25">
      <c r="A1630" t="str">
        <f ca="1">IFERROR(__xludf.DUMMYFUNCTION("""COMPUTED_VALUE"""),"Thüringen")</f>
        <v>Thüringen</v>
      </c>
      <c r="B1630" t="str">
        <f ca="1">IFERROR(__xludf.DUMMYFUNCTION("""COMPUTED_VALUE"""),"DEG")</f>
        <v>DEG</v>
      </c>
    </row>
    <row r="1631" spans="1:2" ht="12.5" x14ac:dyDescent="0.25">
      <c r="A1631" t="str">
        <f ca="1">IFERROR(__xludf.DUMMYFUNCTION("""COMPUTED_VALUE"""),"Thüringen (*)")</f>
        <v>Thüringen (*)</v>
      </c>
      <c r="B1631" t="str">
        <f ca="1">IFERROR(__xludf.DUMMYFUNCTION("""COMPUTED_VALUE"""),"DEG0")</f>
        <v>DEG0</v>
      </c>
    </row>
    <row r="1632" spans="1:2" ht="12.5" x14ac:dyDescent="0.25">
      <c r="A1632" t="str">
        <f ca="1">IFERROR(__xludf.DUMMYFUNCTION("""COMPUTED_VALUE"""),"Thurrock")</f>
        <v>Thurrock</v>
      </c>
      <c r="B1632" t="str">
        <f ca="1">IFERROR(__xludf.DUMMYFUNCTION("""COMPUTED_VALUE"""),"UKH32")</f>
        <v>UKH32</v>
      </c>
    </row>
    <row r="1633" spans="1:2" ht="12.5" x14ac:dyDescent="0.25">
      <c r="A1633" t="str">
        <f ca="1">IFERROR(__xludf.DUMMYFUNCTION("""COMPUTED_VALUE"""),"Ticino")</f>
        <v>Ticino</v>
      </c>
      <c r="B1633" t="str">
        <f ca="1">IFERROR(__xludf.DUMMYFUNCTION("""COMPUTED_VALUE"""),"CH07")</f>
        <v>CH07</v>
      </c>
    </row>
    <row r="1634" spans="1:2" ht="12.5" x14ac:dyDescent="0.25">
      <c r="A1634" t="str">
        <f ca="1">IFERROR(__xludf.DUMMYFUNCTION("""COMPUTED_VALUE"""),"Ticino (*)")</f>
        <v>Ticino (*)</v>
      </c>
      <c r="B1634" t="str">
        <f ca="1">IFERROR(__xludf.DUMMYFUNCTION("""COMPUTED_VALUE"""),"CH070")</f>
        <v>CH070</v>
      </c>
    </row>
    <row r="1635" spans="1:2" ht="12.5" x14ac:dyDescent="0.25">
      <c r="A1635" t="str">
        <f ca="1">IFERROR(__xludf.DUMMYFUNCTION("""COMPUTED_VALUE"""),"Timis")</f>
        <v>Timis</v>
      </c>
      <c r="B1635" t="str">
        <f ca="1">IFERROR(__xludf.DUMMYFUNCTION("""COMPUTED_VALUE"""),"RO424")</f>
        <v>RO424</v>
      </c>
    </row>
    <row r="1636" spans="1:2" ht="12.5" x14ac:dyDescent="0.25">
      <c r="A1636" t="str">
        <f ca="1">IFERROR(__xludf.DUMMYFUNCTION("""COMPUTED_VALUE"""),"Tirol")</f>
        <v>Tirol</v>
      </c>
      <c r="B1636" t="str">
        <f ca="1">IFERROR(__xludf.DUMMYFUNCTION("""COMPUTED_VALUE"""),"AT33")</f>
        <v>AT33</v>
      </c>
    </row>
    <row r="1637" spans="1:2" ht="12.5" x14ac:dyDescent="0.25">
      <c r="A1637" t="str">
        <f ca="1">IFERROR(__xludf.DUMMYFUNCTION("""COMPUTED_VALUE"""),"Tiroler Oberland")</f>
        <v>Tiroler Oberland</v>
      </c>
      <c r="B1637" t="str">
        <f ca="1">IFERROR(__xludf.DUMMYFUNCTION("""COMPUTED_VALUE"""),"AT334")</f>
        <v>AT334</v>
      </c>
    </row>
    <row r="1638" spans="1:2" ht="12.5" x14ac:dyDescent="0.25">
      <c r="A1638" t="str">
        <f ca="1">IFERROR(__xludf.DUMMYFUNCTION("""COMPUTED_VALUE"""),"Tiroler Unterland")</f>
        <v>Tiroler Unterland</v>
      </c>
      <c r="B1638" t="str">
        <f ca="1">IFERROR(__xludf.DUMMYFUNCTION("""COMPUTED_VALUE"""),"AT335")</f>
        <v>AT335</v>
      </c>
    </row>
    <row r="1639" spans="1:2" ht="12.5" x14ac:dyDescent="0.25">
      <c r="A1639" t="str">
        <f ca="1">IFERROR(__xludf.DUMMYFUNCTION("""COMPUTED_VALUE"""),"Tirschenreuth")</f>
        <v>Tirschenreuth</v>
      </c>
      <c r="B1639" t="str">
        <f ca="1">IFERROR(__xludf.DUMMYFUNCTION("""COMPUTED_VALUE"""),"DE23A")</f>
        <v>DE23A</v>
      </c>
    </row>
    <row r="1640" spans="1:2" ht="12.5" x14ac:dyDescent="0.25">
      <c r="A1640" t="str">
        <f ca="1">IFERROR(__xludf.DUMMYFUNCTION("""COMPUTED_VALUE"""),"Toledo")</f>
        <v>Toledo</v>
      </c>
      <c r="B1640" t="str">
        <f ca="1">IFERROR(__xludf.DUMMYFUNCTION("""COMPUTED_VALUE"""),"ES425")</f>
        <v>ES425</v>
      </c>
    </row>
    <row r="1641" spans="1:2" ht="12.5" x14ac:dyDescent="0.25">
      <c r="A1641" t="str">
        <f ca="1">IFERROR(__xludf.DUMMYFUNCTION("""COMPUTED_VALUE"""),"Tolna")</f>
        <v>Tolna</v>
      </c>
      <c r="B1641" t="str">
        <f ca="1">IFERROR(__xludf.DUMMYFUNCTION("""COMPUTED_VALUE"""),"HU233")</f>
        <v>HU233</v>
      </c>
    </row>
    <row r="1642" spans="1:2" ht="12.5" x14ac:dyDescent="0.25">
      <c r="A1642" t="str">
        <f ca="1">IFERROR(__xludf.DUMMYFUNCTION("""COMPUTED_VALUE"""),"Torbay")</f>
        <v>Torbay</v>
      </c>
      <c r="B1642" t="str">
        <f ca="1">IFERROR(__xludf.DUMMYFUNCTION("""COMPUTED_VALUE"""),"UKK42")</f>
        <v>UKK42</v>
      </c>
    </row>
    <row r="1643" spans="1:2" ht="12.5" x14ac:dyDescent="0.25">
      <c r="A1643" t="str">
        <f ca="1">IFERROR(__xludf.DUMMYFUNCTION("""COMPUTED_VALUE"""),"Torgau-Oschatz")</f>
        <v>Torgau-Oschatz</v>
      </c>
      <c r="B1643" t="str">
        <f ca="1">IFERROR(__xludf.DUMMYFUNCTION("""COMPUTED_VALUE"""),"DED36")</f>
        <v>DED36</v>
      </c>
    </row>
    <row r="1644" spans="1:2" ht="12.5" x14ac:dyDescent="0.25">
      <c r="A1644" t="str">
        <f ca="1">IFERROR(__xludf.DUMMYFUNCTION("""COMPUTED_VALUE"""),"Torino")</f>
        <v>Torino</v>
      </c>
      <c r="B1644" t="str">
        <f ca="1">IFERROR(__xludf.DUMMYFUNCTION("""COMPUTED_VALUE"""),"ITC11")</f>
        <v>ITC11</v>
      </c>
    </row>
    <row r="1645" spans="1:2" ht="12.5" x14ac:dyDescent="0.25">
      <c r="A1645" t="str">
        <f ca="1">IFERROR(__xludf.DUMMYFUNCTION("""COMPUTED_VALUE"""),"Toscana")</f>
        <v>Toscana</v>
      </c>
      <c r="B1645" t="str">
        <f ca="1">IFERROR(__xludf.DUMMYFUNCTION("""COMPUTED_VALUE"""),"ITE1")</f>
        <v>ITE1</v>
      </c>
    </row>
    <row r="1646" spans="1:2" ht="12.5" x14ac:dyDescent="0.25">
      <c r="A1646" t="str">
        <f ca="1">IFERROR(__xludf.DUMMYFUNCTION("""COMPUTED_VALUE"""),"Trapani")</f>
        <v>Trapani</v>
      </c>
      <c r="B1646" t="str">
        <f ca="1">IFERROR(__xludf.DUMMYFUNCTION("""COMPUTED_VALUE"""),"ITG11")</f>
        <v>ITG11</v>
      </c>
    </row>
    <row r="1647" spans="1:2" ht="12.5" x14ac:dyDescent="0.25">
      <c r="A1647" t="str">
        <f ca="1">IFERROR(__xludf.DUMMYFUNCTION("""COMPUTED_VALUE"""),"Traunstein")</f>
        <v>Traunstein</v>
      </c>
      <c r="B1647" t="str">
        <f ca="1">IFERROR(__xludf.DUMMYFUNCTION("""COMPUTED_VALUE"""),"DE21M")</f>
        <v>DE21M</v>
      </c>
    </row>
    <row r="1648" spans="1:2" ht="12.5" x14ac:dyDescent="0.25">
      <c r="A1648" t="str">
        <f ca="1">IFERROR(__xludf.DUMMYFUNCTION("""COMPUTED_VALUE"""),"Traunviertel")</f>
        <v>Traunviertel</v>
      </c>
      <c r="B1648" t="str">
        <f ca="1">IFERROR(__xludf.DUMMYFUNCTION("""COMPUTED_VALUE"""),"AT315")</f>
        <v>AT315</v>
      </c>
    </row>
    <row r="1649" spans="1:2" ht="12.5" x14ac:dyDescent="0.25">
      <c r="A1649" t="str">
        <f ca="1">IFERROR(__xludf.DUMMYFUNCTION("""COMPUTED_VALUE"""),"Trenciansky Kraj")</f>
        <v>Trenciansky Kraj</v>
      </c>
      <c r="B1649" t="str">
        <f ca="1">IFERROR(__xludf.DUMMYFUNCTION("""COMPUTED_VALUE"""),"SK022")</f>
        <v>SK022</v>
      </c>
    </row>
    <row r="1650" spans="1:2" ht="12.5" x14ac:dyDescent="0.25">
      <c r="A1650" t="str">
        <f ca="1">IFERROR(__xludf.DUMMYFUNCTION("""COMPUTED_VALUE"""),"Trento")</f>
        <v>Trento</v>
      </c>
      <c r="B1650" t="str">
        <f ca="1">IFERROR(__xludf.DUMMYFUNCTION("""COMPUTED_VALUE"""),"ITD20")</f>
        <v>ITD20</v>
      </c>
    </row>
    <row r="1651" spans="1:2" ht="12.5" x14ac:dyDescent="0.25">
      <c r="A1651" t="str">
        <f ca="1">IFERROR(__xludf.DUMMYFUNCTION("""COMPUTED_VALUE"""),"Treviso")</f>
        <v>Treviso</v>
      </c>
      <c r="B1651" t="str">
        <f ca="1">IFERROR(__xludf.DUMMYFUNCTION("""COMPUTED_VALUE"""),"ITD34")</f>
        <v>ITD34</v>
      </c>
    </row>
    <row r="1652" spans="1:2" ht="12.5" x14ac:dyDescent="0.25">
      <c r="A1652" t="str">
        <f ca="1">IFERROR(__xludf.DUMMYFUNCTION("""COMPUTED_VALUE"""),"Trier")</f>
        <v>Trier</v>
      </c>
      <c r="B1652" t="str">
        <f ca="1">IFERROR(__xludf.DUMMYFUNCTION("""COMPUTED_VALUE"""),"DEB2")</f>
        <v>DEB2</v>
      </c>
    </row>
    <row r="1653" spans="1:2" ht="12.5" x14ac:dyDescent="0.25">
      <c r="A1653" t="str">
        <f ca="1">IFERROR(__xludf.DUMMYFUNCTION("""COMPUTED_VALUE"""),"Trier-Saarburg")</f>
        <v>Trier-Saarburg</v>
      </c>
      <c r="B1653" t="str">
        <f ca="1">IFERROR(__xludf.DUMMYFUNCTION("""COMPUTED_VALUE"""),"DEB25")</f>
        <v>DEB25</v>
      </c>
    </row>
    <row r="1654" spans="1:2" ht="12.5" x14ac:dyDescent="0.25">
      <c r="A1654" t="str">
        <f ca="1">IFERROR(__xludf.DUMMYFUNCTION("""COMPUTED_VALUE"""),"Trier, Kreisfreie Stadt")</f>
        <v>Trier, Kreisfreie Stadt</v>
      </c>
      <c r="B1654" t="str">
        <f ca="1">IFERROR(__xludf.DUMMYFUNCTION("""COMPUTED_VALUE"""),"DEB21")</f>
        <v>DEB21</v>
      </c>
    </row>
    <row r="1655" spans="1:2" ht="12.5" x14ac:dyDescent="0.25">
      <c r="A1655" t="str">
        <f ca="1">IFERROR(__xludf.DUMMYFUNCTION("""COMPUTED_VALUE"""),"Trieste")</f>
        <v>Trieste</v>
      </c>
      <c r="B1655" t="str">
        <f ca="1">IFERROR(__xludf.DUMMYFUNCTION("""COMPUTED_VALUE"""),"ITD44")</f>
        <v>ITD44</v>
      </c>
    </row>
    <row r="1656" spans="1:2" ht="12.5" x14ac:dyDescent="0.25">
      <c r="A1656" t="str">
        <f ca="1">IFERROR(__xludf.DUMMYFUNCTION("""COMPUTED_VALUE"""),"Trikala")</f>
        <v>Trikala</v>
      </c>
      <c r="B1656" t="str">
        <f ca="1">IFERROR(__xludf.DUMMYFUNCTION("""COMPUTED_VALUE"""),"GR144")</f>
        <v>GR144</v>
      </c>
    </row>
    <row r="1657" spans="1:2" ht="12.5" x14ac:dyDescent="0.25">
      <c r="A1657" t="str">
        <f ca="1">IFERROR(__xludf.DUMMYFUNCTION("""COMPUTED_VALUE"""),"Trnavsky Kraj")</f>
        <v>Trnavsky Kraj</v>
      </c>
      <c r="B1657" t="str">
        <f ca="1">IFERROR(__xludf.DUMMYFUNCTION("""COMPUTED_VALUE"""),"SK021")</f>
        <v>SK021</v>
      </c>
    </row>
    <row r="1658" spans="1:2" ht="12.5" x14ac:dyDescent="0.25">
      <c r="A1658" t="str">
        <f ca="1">IFERROR(__xludf.DUMMYFUNCTION("""COMPUTED_VALUE"""),"Trojmiejski")</f>
        <v>Trojmiejski</v>
      </c>
      <c r="B1658" t="str">
        <f ca="1">IFERROR(__xludf.DUMMYFUNCTION("""COMPUTED_VALUE"""),"PL633")</f>
        <v>PL633</v>
      </c>
    </row>
    <row r="1659" spans="1:2" ht="12.5" x14ac:dyDescent="0.25">
      <c r="A1659" t="str">
        <f ca="1">IFERROR(__xludf.DUMMYFUNCTION("""COMPUTED_VALUE"""),"Troms")</f>
        <v>Troms</v>
      </c>
      <c r="B1659" t="str">
        <f ca="1">IFERROR(__xludf.DUMMYFUNCTION("""COMPUTED_VALUE"""),"NO072")</f>
        <v>NO072</v>
      </c>
    </row>
    <row r="1660" spans="1:2" ht="12.5" x14ac:dyDescent="0.25">
      <c r="A1660" t="str">
        <f ca="1">IFERROR(__xludf.DUMMYFUNCTION("""COMPUTED_VALUE"""),"Trøndelag")</f>
        <v>Trøndelag</v>
      </c>
      <c r="B1660" t="str">
        <f ca="1">IFERROR(__xludf.DUMMYFUNCTION("""COMPUTED_VALUE"""),"NO06")</f>
        <v>NO06</v>
      </c>
    </row>
    <row r="1661" spans="1:2" ht="12.5" x14ac:dyDescent="0.25">
      <c r="A1661" t="str">
        <f ca="1">IFERROR(__xludf.DUMMYFUNCTION("""COMPUTED_VALUE"""),"Tübingen")</f>
        <v>Tübingen</v>
      </c>
      <c r="B1661" t="str">
        <f ca="1">IFERROR(__xludf.DUMMYFUNCTION("""COMPUTED_VALUE"""),"DE14")</f>
        <v>DE14</v>
      </c>
    </row>
    <row r="1662" spans="1:2" ht="12.5" x14ac:dyDescent="0.25">
      <c r="A1662" t="str">
        <f ca="1">IFERROR(__xludf.DUMMYFUNCTION("""COMPUTED_VALUE"""),"Tübingen, Landkreis")</f>
        <v>Tübingen, Landkreis</v>
      </c>
      <c r="B1662" t="str">
        <f ca="1">IFERROR(__xludf.DUMMYFUNCTION("""COMPUTED_VALUE"""),"DE142")</f>
        <v>DE142</v>
      </c>
    </row>
    <row r="1663" spans="1:2" ht="12.5" x14ac:dyDescent="0.25">
      <c r="A1663" t="str">
        <f ca="1">IFERROR(__xludf.DUMMYFUNCTION("""COMPUTED_VALUE"""),"Tulcea")</f>
        <v>Tulcea</v>
      </c>
      <c r="B1663" t="str">
        <f ca="1">IFERROR(__xludf.DUMMYFUNCTION("""COMPUTED_VALUE"""),"RO225")</f>
        <v>RO225</v>
      </c>
    </row>
    <row r="1664" spans="1:2" ht="12.5" x14ac:dyDescent="0.25">
      <c r="A1664" t="str">
        <f ca="1">IFERROR(__xludf.DUMMYFUNCTION("""COMPUTED_VALUE"""),"Tuttlingen")</f>
        <v>Tuttlingen</v>
      </c>
      <c r="B1664" t="str">
        <f ca="1">IFERROR(__xludf.DUMMYFUNCTION("""COMPUTED_VALUE"""),"DE137")</f>
        <v>DE137</v>
      </c>
    </row>
    <row r="1665" spans="1:2" ht="12.5" x14ac:dyDescent="0.25">
      <c r="A1665" t="str">
        <f ca="1">IFERROR(__xludf.DUMMYFUNCTION("""COMPUTED_VALUE"""),"Twente")</f>
        <v>Twente</v>
      </c>
      <c r="B1665" t="str">
        <f ca="1">IFERROR(__xludf.DUMMYFUNCTION("""COMPUTED_VALUE"""),"NL213")</f>
        <v>NL213</v>
      </c>
    </row>
    <row r="1666" spans="1:2" ht="12.5" x14ac:dyDescent="0.25">
      <c r="A1666" t="str">
        <f ca="1">IFERROR(__xludf.DUMMYFUNCTION("""COMPUTED_VALUE"""),"Tyneside")</f>
        <v>Tyneside</v>
      </c>
      <c r="B1666" t="str">
        <f ca="1">IFERROR(__xludf.DUMMYFUNCTION("""COMPUTED_VALUE"""),"UKC22")</f>
        <v>UKC22</v>
      </c>
    </row>
    <row r="1667" spans="1:2" ht="12.5" x14ac:dyDescent="0.25">
      <c r="A1667" t="str">
        <f ca="1">IFERROR(__xludf.DUMMYFUNCTION("""COMPUTED_VALUE"""),"Tyski")</f>
        <v>Tyski</v>
      </c>
      <c r="B1667" t="str">
        <f ca="1">IFERROR(__xludf.DUMMYFUNCTION("""COMPUTED_VALUE"""),"PL22C")</f>
        <v>PL22C</v>
      </c>
    </row>
    <row r="1668" spans="1:2" ht="12.5" x14ac:dyDescent="0.25">
      <c r="A1668" t="str">
        <f ca="1">IFERROR(__xludf.DUMMYFUNCTION("""COMPUTED_VALUE"""),"Uckermark")</f>
        <v>Uckermark</v>
      </c>
      <c r="B1668" t="str">
        <f ca="1">IFERROR(__xludf.DUMMYFUNCTION("""COMPUTED_VALUE"""),"DE418")</f>
        <v>DE418</v>
      </c>
    </row>
    <row r="1669" spans="1:2" ht="12.5" x14ac:dyDescent="0.25">
      <c r="A1669" t="str">
        <f ca="1">IFERROR(__xludf.DUMMYFUNCTION("""COMPUTED_VALUE"""),"Udine")</f>
        <v>Udine</v>
      </c>
      <c r="B1669" t="str">
        <f ca="1">IFERROR(__xludf.DUMMYFUNCTION("""COMPUTED_VALUE"""),"ITD42")</f>
        <v>ITD42</v>
      </c>
    </row>
    <row r="1670" spans="1:2" ht="12.5" x14ac:dyDescent="0.25">
      <c r="A1670" t="str">
        <f ca="1">IFERROR(__xludf.DUMMYFUNCTION("""COMPUTED_VALUE"""),"Uecker-Randow")</f>
        <v>Uecker-Randow</v>
      </c>
      <c r="B1670" t="str">
        <f ca="1">IFERROR(__xludf.DUMMYFUNCTION("""COMPUTED_VALUE"""),"DE80I")</f>
        <v>DE80I</v>
      </c>
    </row>
    <row r="1671" spans="1:2" ht="12.5" x14ac:dyDescent="0.25">
      <c r="A1671" t="str">
        <f ca="1">IFERROR(__xludf.DUMMYFUNCTION("""COMPUTED_VALUE"""),"Uelzen")</f>
        <v>Uelzen</v>
      </c>
      <c r="B1671" t="str">
        <f ca="1">IFERROR(__xludf.DUMMYFUNCTION("""COMPUTED_VALUE"""),"DE93A")</f>
        <v>DE93A</v>
      </c>
    </row>
    <row r="1672" spans="1:2" ht="12.5" x14ac:dyDescent="0.25">
      <c r="A1672" t="str">
        <f ca="1">IFERROR(__xludf.DUMMYFUNCTION("""COMPUTED_VALUE"""),"Ulm, Stadtkreis")</f>
        <v>Ulm, Stadtkreis</v>
      </c>
      <c r="B1672" t="str">
        <f ca="1">IFERROR(__xludf.DUMMYFUNCTION("""COMPUTED_VALUE"""),"DE144")</f>
        <v>DE144</v>
      </c>
    </row>
    <row r="1673" spans="1:2" ht="12.5" x14ac:dyDescent="0.25">
      <c r="A1673" t="str">
        <f ca="1">IFERROR(__xludf.DUMMYFUNCTION("""COMPUTED_VALUE"""),"Umbria")</f>
        <v>Umbria</v>
      </c>
      <c r="B1673" t="str">
        <f ca="1">IFERROR(__xludf.DUMMYFUNCTION("""COMPUTED_VALUE"""),"ITE2")</f>
        <v>ITE2</v>
      </c>
    </row>
    <row r="1674" spans="1:2" ht="12.5" x14ac:dyDescent="0.25">
      <c r="A1674" t="str">
        <f ca="1">IFERROR(__xludf.DUMMYFUNCTION("""COMPUTED_VALUE"""),"United Kingdom")</f>
        <v>United Kingdom</v>
      </c>
      <c r="B1674" t="str">
        <f ca="1">IFERROR(__xludf.DUMMYFUNCTION("""COMPUTED_VALUE"""),"UK")</f>
        <v>UK</v>
      </c>
    </row>
    <row r="1675" spans="1:2" ht="12.5" x14ac:dyDescent="0.25">
      <c r="A1675" t="str">
        <f ca="1">IFERROR(__xludf.DUMMYFUNCTION("""COMPUTED_VALUE"""),"Unna")</f>
        <v>Unna</v>
      </c>
      <c r="B1675" t="str">
        <f ca="1">IFERROR(__xludf.DUMMYFUNCTION("""COMPUTED_VALUE"""),"DEA5C")</f>
        <v>DEA5C</v>
      </c>
    </row>
    <row r="1676" spans="1:2" ht="12.5" x14ac:dyDescent="0.25">
      <c r="A1676" t="str">
        <f ca="1">IFERROR(__xludf.DUMMYFUNCTION("""COMPUTED_VALUE"""),"Unstrut-Hainich-Kreis")</f>
        <v>Unstrut-Hainich-Kreis</v>
      </c>
      <c r="B1676" t="str">
        <f ca="1">IFERROR(__xludf.DUMMYFUNCTION("""COMPUTED_VALUE"""),"DEG09")</f>
        <v>DEG09</v>
      </c>
    </row>
    <row r="1677" spans="1:2" ht="12.5" x14ac:dyDescent="0.25">
      <c r="A1677" t="str">
        <f ca="1">IFERROR(__xludf.DUMMYFUNCTION("""COMPUTED_VALUE"""),"Unterallgäu")</f>
        <v>Unterallgäu</v>
      </c>
      <c r="B1677" t="str">
        <f ca="1">IFERROR(__xludf.DUMMYFUNCTION("""COMPUTED_VALUE"""),"DE27C")</f>
        <v>DE27C</v>
      </c>
    </row>
    <row r="1678" spans="1:2" ht="12.5" x14ac:dyDescent="0.25">
      <c r="A1678" t="str">
        <f ca="1">IFERROR(__xludf.DUMMYFUNCTION("""COMPUTED_VALUE"""),"Unterfranken")</f>
        <v>Unterfranken</v>
      </c>
      <c r="B1678" t="str">
        <f ca="1">IFERROR(__xludf.DUMMYFUNCTION("""COMPUTED_VALUE"""),"DE26")</f>
        <v>DE26</v>
      </c>
    </row>
    <row r="1679" spans="1:2" ht="12.5" x14ac:dyDescent="0.25">
      <c r="A1679" t="str">
        <f ca="1">IFERROR(__xludf.DUMMYFUNCTION("""COMPUTED_VALUE"""),"Unterkärnten")</f>
        <v>Unterkärnten</v>
      </c>
      <c r="B1679" t="str">
        <f ca="1">IFERROR(__xludf.DUMMYFUNCTION("""COMPUTED_VALUE"""),"AT213")</f>
        <v>AT213</v>
      </c>
    </row>
    <row r="1680" spans="1:2" ht="12.5" x14ac:dyDescent="0.25">
      <c r="A1680" t="str">
        <f ca="1">IFERROR(__xludf.DUMMYFUNCTION("""COMPUTED_VALUE"""),"Uppsala Län")</f>
        <v>Uppsala Län</v>
      </c>
      <c r="B1680" t="str">
        <f ca="1">IFERROR(__xludf.DUMMYFUNCTION("""COMPUTED_VALUE"""),"SE121")</f>
        <v>SE121</v>
      </c>
    </row>
    <row r="1681" spans="1:2" ht="12.5" x14ac:dyDescent="0.25">
      <c r="A1681" t="str">
        <f ca="1">IFERROR(__xludf.DUMMYFUNCTION("""COMPUTED_VALUE"""),"Uri")</f>
        <v>Uri</v>
      </c>
      <c r="B1681" t="str">
        <f ca="1">IFERROR(__xludf.DUMMYFUNCTION("""COMPUTED_VALUE"""),"CH062")</f>
        <v>CH062</v>
      </c>
    </row>
    <row r="1682" spans="1:2" ht="12.5" x14ac:dyDescent="0.25">
      <c r="A1682" t="str">
        <f ca="1">IFERROR(__xludf.DUMMYFUNCTION("""COMPUTED_VALUE"""),"Ustecky Kraj")</f>
        <v>Ustecky Kraj</v>
      </c>
      <c r="B1682" t="str">
        <f ca="1">IFERROR(__xludf.DUMMYFUNCTION("""COMPUTED_VALUE"""),"CZ042")</f>
        <v>CZ042</v>
      </c>
    </row>
    <row r="1683" spans="1:2" ht="12.5" x14ac:dyDescent="0.25">
      <c r="A1683" t="str">
        <f ca="1">IFERROR(__xludf.DUMMYFUNCTION("""COMPUTED_VALUE"""),"Utenos Apskritis")</f>
        <v>Utenos Apskritis</v>
      </c>
      <c r="B1683" t="str">
        <f ca="1">IFERROR(__xludf.DUMMYFUNCTION("""COMPUTED_VALUE"""),"LT009")</f>
        <v>LT009</v>
      </c>
    </row>
    <row r="1684" spans="1:2" ht="12.5" x14ac:dyDescent="0.25">
      <c r="A1684" t="str">
        <f ca="1">IFERROR(__xludf.DUMMYFUNCTION("""COMPUTED_VALUE"""),"Utrecht")</f>
        <v>Utrecht</v>
      </c>
      <c r="B1684" t="str">
        <f ca="1">IFERROR(__xludf.DUMMYFUNCTION("""COMPUTED_VALUE"""),"NL31")</f>
        <v>NL31</v>
      </c>
    </row>
    <row r="1685" spans="1:2" ht="12.5" x14ac:dyDescent="0.25">
      <c r="A1685" t="str">
        <f ca="1">IFERROR(__xludf.DUMMYFUNCTION("""COMPUTED_VALUE"""),"Utrecht (*)")</f>
        <v>Utrecht (*)</v>
      </c>
      <c r="B1685" t="str">
        <f ca="1">IFERROR(__xludf.DUMMYFUNCTION("""COMPUTED_VALUE"""),"NL310")</f>
        <v>NL310</v>
      </c>
    </row>
    <row r="1686" spans="1:2" ht="12.5" x14ac:dyDescent="0.25">
      <c r="A1686" t="str">
        <f ca="1">IFERROR(__xludf.DUMMYFUNCTION("""COMPUTED_VALUE"""),"Uusimaa")</f>
        <v>Uusimaa</v>
      </c>
      <c r="B1686" t="str">
        <f ca="1">IFERROR(__xludf.DUMMYFUNCTION("""COMPUTED_VALUE"""),"FI181")</f>
        <v>FI181</v>
      </c>
    </row>
    <row r="1687" spans="1:2" ht="12.5" x14ac:dyDescent="0.25">
      <c r="A1687" t="str">
        <f ca="1">IFERROR(__xludf.DUMMYFUNCTION("""COMPUTED_VALUE"""),"Val-D'Oise")</f>
        <v>Val-D'Oise</v>
      </c>
      <c r="B1687" t="str">
        <f ca="1">IFERROR(__xludf.DUMMYFUNCTION("""COMPUTED_VALUE"""),"FR108")</f>
        <v>FR108</v>
      </c>
    </row>
    <row r="1688" spans="1:2" ht="12.5" x14ac:dyDescent="0.25">
      <c r="A1688" t="str">
        <f ca="1">IFERROR(__xludf.DUMMYFUNCTION("""COMPUTED_VALUE"""),"Val-De-Marne")</f>
        <v>Val-De-Marne</v>
      </c>
      <c r="B1688" t="str">
        <f ca="1">IFERROR(__xludf.DUMMYFUNCTION("""COMPUTED_VALUE"""),"FR107")</f>
        <v>FR107</v>
      </c>
    </row>
    <row r="1689" spans="1:2" ht="12.5" x14ac:dyDescent="0.25">
      <c r="A1689" t="str">
        <f ca="1">IFERROR(__xludf.DUMMYFUNCTION("""COMPUTED_VALUE"""),"Valais")</f>
        <v>Valais</v>
      </c>
      <c r="B1689" t="str">
        <f ca="1">IFERROR(__xludf.DUMMYFUNCTION("""COMPUTED_VALUE"""),"CH012")</f>
        <v>CH012</v>
      </c>
    </row>
    <row r="1690" spans="1:2" ht="12.5" x14ac:dyDescent="0.25">
      <c r="A1690" t="str">
        <f ca="1">IFERROR(__xludf.DUMMYFUNCTION("""COMPUTED_VALUE"""),"Valcea")</f>
        <v>Valcea</v>
      </c>
      <c r="B1690" t="str">
        <f ca="1">IFERROR(__xludf.DUMMYFUNCTION("""COMPUTED_VALUE"""),"RO415")</f>
        <v>RO415</v>
      </c>
    </row>
    <row r="1691" spans="1:2" ht="12.5" x14ac:dyDescent="0.25">
      <c r="A1691" t="str">
        <f ca="1">IFERROR(__xludf.DUMMYFUNCTION("""COMPUTED_VALUE"""),"Valencia / València")</f>
        <v>Valencia / València</v>
      </c>
      <c r="B1691" t="str">
        <f ca="1">IFERROR(__xludf.DUMMYFUNCTION("""COMPUTED_VALUE"""),"ES523")</f>
        <v>ES523</v>
      </c>
    </row>
    <row r="1692" spans="1:2" ht="12.5" x14ac:dyDescent="0.25">
      <c r="A1692" t="str">
        <f ca="1">IFERROR(__xludf.DUMMYFUNCTION("""COMPUTED_VALUE"""),"Valladolid")</f>
        <v>Valladolid</v>
      </c>
      <c r="B1692" t="str">
        <f ca="1">IFERROR(__xludf.DUMMYFUNCTION("""COMPUTED_VALUE"""),"ES418")</f>
        <v>ES418</v>
      </c>
    </row>
    <row r="1693" spans="1:2" ht="12.5" x14ac:dyDescent="0.25">
      <c r="A1693" t="str">
        <f ca="1">IFERROR(__xludf.DUMMYFUNCTION("""COMPUTED_VALUE"""),"Valle D'Aosta/Vallée D'Aoste")</f>
        <v>Valle D'Aosta/Vallée D'Aoste</v>
      </c>
      <c r="B1693" t="str">
        <f ca="1">IFERROR(__xludf.DUMMYFUNCTION("""COMPUTED_VALUE"""),"ITC2")</f>
        <v>ITC2</v>
      </c>
    </row>
    <row r="1694" spans="1:2" ht="12.5" x14ac:dyDescent="0.25">
      <c r="A1694" t="str">
        <f ca="1">IFERROR(__xludf.DUMMYFUNCTION("""COMPUTED_VALUE"""),"Valle D'Aosta/Vallée D'Aoste (*)")</f>
        <v>Valle D'Aosta/Vallée D'Aoste (*)</v>
      </c>
      <c r="B1694" t="str">
        <f ca="1">IFERROR(__xludf.DUMMYFUNCTION("""COMPUTED_VALUE"""),"ITC20")</f>
        <v>ITC20</v>
      </c>
    </row>
    <row r="1695" spans="1:2" ht="12.5" x14ac:dyDescent="0.25">
      <c r="A1695" t="str">
        <f ca="1">IFERROR(__xludf.DUMMYFUNCTION("""COMPUTED_VALUE"""),"Var")</f>
        <v>Var</v>
      </c>
      <c r="B1695" t="str">
        <f ca="1">IFERROR(__xludf.DUMMYFUNCTION("""COMPUTED_VALUE"""),"FR825")</f>
        <v>FR825</v>
      </c>
    </row>
    <row r="1696" spans="1:2" ht="12.5" x14ac:dyDescent="0.25">
      <c r="A1696" t="str">
        <f ca="1">IFERROR(__xludf.DUMMYFUNCTION("""COMPUTED_VALUE"""),"Varese")</f>
        <v>Varese</v>
      </c>
      <c r="B1696" t="str">
        <f ca="1">IFERROR(__xludf.DUMMYFUNCTION("""COMPUTED_VALUE"""),"ITC41")</f>
        <v>ITC41</v>
      </c>
    </row>
    <row r="1697" spans="1:2" ht="12.5" x14ac:dyDescent="0.25">
      <c r="A1697" t="str">
        <f ca="1">IFERROR(__xludf.DUMMYFUNCTION("""COMPUTED_VALUE"""),"Värmlands Län")</f>
        <v>Värmlands Län</v>
      </c>
      <c r="B1697" t="str">
        <f ca="1">IFERROR(__xludf.DUMMYFUNCTION("""COMPUTED_VALUE"""),"SE311")</f>
        <v>SE311</v>
      </c>
    </row>
    <row r="1698" spans="1:2" ht="12.5" x14ac:dyDescent="0.25">
      <c r="A1698" t="str">
        <f ca="1">IFERROR(__xludf.DUMMYFUNCTION("""COMPUTED_VALUE"""),"Varna")</f>
        <v>Varna</v>
      </c>
      <c r="B1698" t="str">
        <f ca="1">IFERROR(__xludf.DUMMYFUNCTION("""COMPUTED_VALUE"""),"BG331")</f>
        <v>BG331</v>
      </c>
    </row>
    <row r="1699" spans="1:2" ht="12.5" x14ac:dyDescent="0.25">
      <c r="A1699" t="str">
        <f ca="1">IFERROR(__xludf.DUMMYFUNCTION("""COMPUTED_VALUE"""),"Varsinais-Suomi")</f>
        <v>Varsinais-Suomi</v>
      </c>
      <c r="B1699" t="str">
        <f ca="1">IFERROR(__xludf.DUMMYFUNCTION("""COMPUTED_VALUE"""),"FI183")</f>
        <v>FI183</v>
      </c>
    </row>
    <row r="1700" spans="1:2" ht="12.5" x14ac:dyDescent="0.25">
      <c r="A1700" t="str">
        <f ca="1">IFERROR(__xludf.DUMMYFUNCTION("""COMPUTED_VALUE"""),"Vas")</f>
        <v>Vas</v>
      </c>
      <c r="B1700" t="str">
        <f ca="1">IFERROR(__xludf.DUMMYFUNCTION("""COMPUTED_VALUE"""),"HU222")</f>
        <v>HU222</v>
      </c>
    </row>
    <row r="1701" spans="1:2" ht="12.5" x14ac:dyDescent="0.25">
      <c r="A1701" t="str">
        <f ca="1">IFERROR(__xludf.DUMMYFUNCTION("""COMPUTED_VALUE"""),"Vaslui")</f>
        <v>Vaslui</v>
      </c>
      <c r="B1701" t="str">
        <f ca="1">IFERROR(__xludf.DUMMYFUNCTION("""COMPUTED_VALUE"""),"RO216")</f>
        <v>RO216</v>
      </c>
    </row>
    <row r="1702" spans="1:2" ht="12.5" x14ac:dyDescent="0.25">
      <c r="A1702" t="str">
        <f ca="1">IFERROR(__xludf.DUMMYFUNCTION("""COMPUTED_VALUE"""),"Västerbottens Län")</f>
        <v>Västerbottens Län</v>
      </c>
      <c r="B1702" t="str">
        <f ca="1">IFERROR(__xludf.DUMMYFUNCTION("""COMPUTED_VALUE"""),"SE331")</f>
        <v>SE331</v>
      </c>
    </row>
    <row r="1703" spans="1:2" ht="12.5" x14ac:dyDescent="0.25">
      <c r="A1703" t="str">
        <f ca="1">IFERROR(__xludf.DUMMYFUNCTION("""COMPUTED_VALUE"""),"Västernorrlands Län")</f>
        <v>Västernorrlands Län</v>
      </c>
      <c r="B1703" t="str">
        <f ca="1">IFERROR(__xludf.DUMMYFUNCTION("""COMPUTED_VALUE"""),"SE321")</f>
        <v>SE321</v>
      </c>
    </row>
    <row r="1704" spans="1:2" ht="12.5" x14ac:dyDescent="0.25">
      <c r="A1704" t="str">
        <f ca="1">IFERROR(__xludf.DUMMYFUNCTION("""COMPUTED_VALUE"""),"Västmanlands Län")</f>
        <v>Västmanlands Län</v>
      </c>
      <c r="B1704" t="str">
        <f ca="1">IFERROR(__xludf.DUMMYFUNCTION("""COMPUTED_VALUE"""),"SE125")</f>
        <v>SE125</v>
      </c>
    </row>
    <row r="1705" spans="1:2" ht="12.5" x14ac:dyDescent="0.25">
      <c r="A1705" t="str">
        <f ca="1">IFERROR(__xludf.DUMMYFUNCTION("""COMPUTED_VALUE"""),"Västra Götalands Län")</f>
        <v>Västra Götalands Län</v>
      </c>
      <c r="B1705" t="str">
        <f ca="1">IFERROR(__xludf.DUMMYFUNCTION("""COMPUTED_VALUE"""),"SE232")</f>
        <v>SE232</v>
      </c>
    </row>
    <row r="1706" spans="1:2" ht="12.5" x14ac:dyDescent="0.25">
      <c r="A1706" t="str">
        <f ca="1">IFERROR(__xludf.DUMMYFUNCTION("""COMPUTED_VALUE"""),"Västsverige")</f>
        <v>Västsverige</v>
      </c>
      <c r="B1706" t="str">
        <f ca="1">IFERROR(__xludf.DUMMYFUNCTION("""COMPUTED_VALUE"""),"SE23")</f>
        <v>SE23</v>
      </c>
    </row>
    <row r="1707" spans="1:2" ht="12.5" x14ac:dyDescent="0.25">
      <c r="A1707" t="str">
        <f ca="1">IFERROR(__xludf.DUMMYFUNCTION("""COMPUTED_VALUE"""),"Vaucluse")</f>
        <v>Vaucluse</v>
      </c>
      <c r="B1707" t="str">
        <f ca="1">IFERROR(__xludf.DUMMYFUNCTION("""COMPUTED_VALUE"""),"FR826")</f>
        <v>FR826</v>
      </c>
    </row>
    <row r="1708" spans="1:2" ht="12.5" x14ac:dyDescent="0.25">
      <c r="A1708" t="str">
        <f ca="1">IFERROR(__xludf.DUMMYFUNCTION("""COMPUTED_VALUE"""),"Vaud")</f>
        <v>Vaud</v>
      </c>
      <c r="B1708" t="str">
        <f ca="1">IFERROR(__xludf.DUMMYFUNCTION("""COMPUTED_VALUE"""),"CH011")</f>
        <v>CH011</v>
      </c>
    </row>
    <row r="1709" spans="1:2" ht="12.5" x14ac:dyDescent="0.25">
      <c r="A1709" t="str">
        <f ca="1">IFERROR(__xludf.DUMMYFUNCTION("""COMPUTED_VALUE"""),"Vechta")</f>
        <v>Vechta</v>
      </c>
      <c r="B1709" t="str">
        <f ca="1">IFERROR(__xludf.DUMMYFUNCTION("""COMPUTED_VALUE"""),"DE94F")</f>
        <v>DE94F</v>
      </c>
    </row>
    <row r="1710" spans="1:2" ht="12.5" x14ac:dyDescent="0.25">
      <c r="A1710" t="str">
        <f ca="1">IFERROR(__xludf.DUMMYFUNCTION("""COMPUTED_VALUE"""),"Veliko Tarnovo")</f>
        <v>Veliko Tarnovo</v>
      </c>
      <c r="B1710" t="str">
        <f ca="1">IFERROR(__xludf.DUMMYFUNCTION("""COMPUTED_VALUE"""),"BG321")</f>
        <v>BG321</v>
      </c>
    </row>
    <row r="1711" spans="1:2" ht="12.5" x14ac:dyDescent="0.25">
      <c r="A1711" t="str">
        <f ca="1">IFERROR(__xludf.DUMMYFUNCTION("""COMPUTED_VALUE"""),"Veluwe")</f>
        <v>Veluwe</v>
      </c>
      <c r="B1711" t="str">
        <f ca="1">IFERROR(__xludf.DUMMYFUNCTION("""COMPUTED_VALUE"""),"NL221")</f>
        <v>NL221</v>
      </c>
    </row>
    <row r="1712" spans="1:2" ht="12.5" x14ac:dyDescent="0.25">
      <c r="A1712" t="str">
        <f ca="1">IFERROR(__xludf.DUMMYFUNCTION("""COMPUTED_VALUE"""),"Vendée")</f>
        <v>Vendée</v>
      </c>
      <c r="B1712" t="str">
        <f ca="1">IFERROR(__xludf.DUMMYFUNCTION("""COMPUTED_VALUE"""),"FR515")</f>
        <v>FR515</v>
      </c>
    </row>
    <row r="1713" spans="1:2" ht="12.5" x14ac:dyDescent="0.25">
      <c r="A1713" t="str">
        <f ca="1">IFERROR(__xludf.DUMMYFUNCTION("""COMPUTED_VALUE"""),"Veneto")</f>
        <v>Veneto</v>
      </c>
      <c r="B1713" t="str">
        <f ca="1">IFERROR(__xludf.DUMMYFUNCTION("""COMPUTED_VALUE"""),"ITD3")</f>
        <v>ITD3</v>
      </c>
    </row>
    <row r="1714" spans="1:2" ht="12.5" x14ac:dyDescent="0.25">
      <c r="A1714" t="str">
        <f ca="1">IFERROR(__xludf.DUMMYFUNCTION("""COMPUTED_VALUE"""),"Venezia")</f>
        <v>Venezia</v>
      </c>
      <c r="B1714" t="str">
        <f ca="1">IFERROR(__xludf.DUMMYFUNCTION("""COMPUTED_VALUE"""),"ITD35")</f>
        <v>ITD35</v>
      </c>
    </row>
    <row r="1715" spans="1:2" ht="12.5" x14ac:dyDescent="0.25">
      <c r="A1715" t="str">
        <f ca="1">IFERROR(__xludf.DUMMYFUNCTION("""COMPUTED_VALUE"""),"Verbano-Cusio-Ossola")</f>
        <v>Verbano-Cusio-Ossola</v>
      </c>
      <c r="B1715" t="str">
        <f ca="1">IFERROR(__xludf.DUMMYFUNCTION("""COMPUTED_VALUE"""),"ITC14")</f>
        <v>ITC14</v>
      </c>
    </row>
    <row r="1716" spans="1:2" ht="12.5" x14ac:dyDescent="0.25">
      <c r="A1716" t="str">
        <f ca="1">IFERROR(__xludf.DUMMYFUNCTION("""COMPUTED_VALUE"""),"Vercelli")</f>
        <v>Vercelli</v>
      </c>
      <c r="B1716" t="str">
        <f ca="1">IFERROR(__xludf.DUMMYFUNCTION("""COMPUTED_VALUE"""),"ITC12")</f>
        <v>ITC12</v>
      </c>
    </row>
    <row r="1717" spans="1:2" ht="12.5" x14ac:dyDescent="0.25">
      <c r="A1717" t="str">
        <f ca="1">IFERROR(__xludf.DUMMYFUNCTION("""COMPUTED_VALUE"""),"Verden")</f>
        <v>Verden</v>
      </c>
      <c r="B1717" t="str">
        <f ca="1">IFERROR(__xludf.DUMMYFUNCTION("""COMPUTED_VALUE"""),"DE93B")</f>
        <v>DE93B</v>
      </c>
    </row>
    <row r="1718" spans="1:2" ht="12.5" x14ac:dyDescent="0.25">
      <c r="A1718" t="str">
        <f ca="1">IFERROR(__xludf.DUMMYFUNCTION("""COMPUTED_VALUE"""),"Verona")</f>
        <v>Verona</v>
      </c>
      <c r="B1718" t="str">
        <f ca="1">IFERROR(__xludf.DUMMYFUNCTION("""COMPUTED_VALUE"""),"ITD31")</f>
        <v>ITD31</v>
      </c>
    </row>
    <row r="1719" spans="1:2" ht="12.5" x14ac:dyDescent="0.25">
      <c r="A1719" t="str">
        <f ca="1">IFERROR(__xludf.DUMMYFUNCTION("""COMPUTED_VALUE"""),"Vest")</f>
        <v>Vest</v>
      </c>
      <c r="B1719" t="str">
        <f ca="1">IFERROR(__xludf.DUMMYFUNCTION("""COMPUTED_VALUE"""),"RO42")</f>
        <v>RO42</v>
      </c>
    </row>
    <row r="1720" spans="1:2" ht="12.5" x14ac:dyDescent="0.25">
      <c r="A1720" t="str">
        <f ca="1">IFERROR(__xludf.DUMMYFUNCTION("""COMPUTED_VALUE"""),"Vest- Og Sydsjælland")</f>
        <v>Vest- Og Sydsjælland</v>
      </c>
      <c r="B1720" t="str">
        <f ca="1">IFERROR(__xludf.DUMMYFUNCTION("""COMPUTED_VALUE"""),"DK022")</f>
        <v>DK022</v>
      </c>
    </row>
    <row r="1721" spans="1:2" ht="12.5" x14ac:dyDescent="0.25">
      <c r="A1721" t="str">
        <f ca="1">IFERROR(__xludf.DUMMYFUNCTION("""COMPUTED_VALUE"""),"Vest-Agder")</f>
        <v>Vest-Agder</v>
      </c>
      <c r="B1721" t="str">
        <f ca="1">IFERROR(__xludf.DUMMYFUNCTION("""COMPUTED_VALUE"""),"NO042")</f>
        <v>NO042</v>
      </c>
    </row>
    <row r="1722" spans="1:2" ht="12.5" x14ac:dyDescent="0.25">
      <c r="A1722" t="str">
        <f ca="1">IFERROR(__xludf.DUMMYFUNCTION("""COMPUTED_VALUE"""),"Vestfold")</f>
        <v>Vestfold</v>
      </c>
      <c r="B1722" t="str">
        <f ca="1">IFERROR(__xludf.DUMMYFUNCTION("""COMPUTED_VALUE"""),"NO033")</f>
        <v>NO033</v>
      </c>
    </row>
    <row r="1723" spans="1:2" ht="12.5" x14ac:dyDescent="0.25">
      <c r="A1723" t="str">
        <f ca="1">IFERROR(__xludf.DUMMYFUNCTION("""COMPUTED_VALUE"""),"Vestjylland")</f>
        <v>Vestjylland</v>
      </c>
      <c r="B1723" t="str">
        <f ca="1">IFERROR(__xludf.DUMMYFUNCTION("""COMPUTED_VALUE"""),"DK041")</f>
        <v>DK041</v>
      </c>
    </row>
    <row r="1724" spans="1:2" ht="12.5" x14ac:dyDescent="0.25">
      <c r="A1724" t="str">
        <f ca="1">IFERROR(__xludf.DUMMYFUNCTION("""COMPUTED_VALUE"""),"Vestlandet")</f>
        <v>Vestlandet</v>
      </c>
      <c r="B1724" t="str">
        <f ca="1">IFERROR(__xludf.DUMMYFUNCTION("""COMPUTED_VALUE"""),"NO05")</f>
        <v>NO05</v>
      </c>
    </row>
    <row r="1725" spans="1:2" ht="12.5" x14ac:dyDescent="0.25">
      <c r="A1725" t="str">
        <f ca="1">IFERROR(__xludf.DUMMYFUNCTION("""COMPUTED_VALUE"""),"Veszprem")</f>
        <v>Veszprem</v>
      </c>
      <c r="B1725" t="str">
        <f ca="1">IFERROR(__xludf.DUMMYFUNCTION("""COMPUTED_VALUE"""),"HU213")</f>
        <v>HU213</v>
      </c>
    </row>
    <row r="1726" spans="1:2" ht="12.5" x14ac:dyDescent="0.25">
      <c r="A1726" t="str">
        <f ca="1">IFERROR(__xludf.DUMMYFUNCTION("""COMPUTED_VALUE"""),"Vibo Valentia")</f>
        <v>Vibo Valentia</v>
      </c>
      <c r="B1726" t="str">
        <f ca="1">IFERROR(__xludf.DUMMYFUNCTION("""COMPUTED_VALUE"""),"ITF64")</f>
        <v>ITF64</v>
      </c>
    </row>
    <row r="1727" spans="1:2" ht="12.5" x14ac:dyDescent="0.25">
      <c r="A1727" t="str">
        <f ca="1">IFERROR(__xludf.DUMMYFUNCTION("""COMPUTED_VALUE"""),"Vicenza")</f>
        <v>Vicenza</v>
      </c>
      <c r="B1727" t="str">
        <f ca="1">IFERROR(__xludf.DUMMYFUNCTION("""COMPUTED_VALUE"""),"ITD32")</f>
        <v>ITD32</v>
      </c>
    </row>
    <row r="1728" spans="1:2" ht="12.5" x14ac:dyDescent="0.25">
      <c r="A1728" t="str">
        <f ca="1">IFERROR(__xludf.DUMMYFUNCTION("""COMPUTED_VALUE"""),"Vidin")</f>
        <v>Vidin</v>
      </c>
      <c r="B1728" t="str">
        <f ca="1">IFERROR(__xludf.DUMMYFUNCTION("""COMPUTED_VALUE"""),"BG311")</f>
        <v>BG311</v>
      </c>
    </row>
    <row r="1729" spans="1:2" ht="12.5" x14ac:dyDescent="0.25">
      <c r="A1729" t="str">
        <f ca="1">IFERROR(__xludf.DUMMYFUNCTION("""COMPUTED_VALUE"""),"Vidzeme")</f>
        <v>Vidzeme</v>
      </c>
      <c r="B1729" t="str">
        <f ca="1">IFERROR(__xludf.DUMMYFUNCTION("""COMPUTED_VALUE"""),"LV008")</f>
        <v>LV008</v>
      </c>
    </row>
    <row r="1730" spans="1:2" ht="12.5" x14ac:dyDescent="0.25">
      <c r="A1730" t="str">
        <f ca="1">IFERROR(__xludf.DUMMYFUNCTION("""COMPUTED_VALUE"""),"Vienne")</f>
        <v>Vienne</v>
      </c>
      <c r="B1730" t="str">
        <f ca="1">IFERROR(__xludf.DUMMYFUNCTION("""COMPUTED_VALUE"""),"FR534")</f>
        <v>FR534</v>
      </c>
    </row>
    <row r="1731" spans="1:2" ht="12.5" x14ac:dyDescent="0.25">
      <c r="A1731" t="str">
        <f ca="1">IFERROR(__xludf.DUMMYFUNCTION("""COMPUTED_VALUE"""),"Viersen")</f>
        <v>Viersen</v>
      </c>
      <c r="B1731" t="str">
        <f ca="1">IFERROR(__xludf.DUMMYFUNCTION("""COMPUTED_VALUE"""),"DEA1E")</f>
        <v>DEA1E</v>
      </c>
    </row>
    <row r="1732" spans="1:2" ht="12.5" x14ac:dyDescent="0.25">
      <c r="A1732" t="str">
        <f ca="1">IFERROR(__xludf.DUMMYFUNCTION("""COMPUTED_VALUE"""),"Vilniaus Apskritis")</f>
        <v>Vilniaus Apskritis</v>
      </c>
      <c r="B1732" t="str">
        <f ca="1">IFERROR(__xludf.DUMMYFUNCTION("""COMPUTED_VALUE"""),"LT00A")</f>
        <v>LT00A</v>
      </c>
    </row>
    <row r="1733" spans="1:2" ht="12.5" x14ac:dyDescent="0.25">
      <c r="A1733" t="str">
        <f ca="1">IFERROR(__xludf.DUMMYFUNCTION("""COMPUTED_VALUE"""),"Viterbo")</f>
        <v>Viterbo</v>
      </c>
      <c r="B1733" t="str">
        <f ca="1">IFERROR(__xludf.DUMMYFUNCTION("""COMPUTED_VALUE"""),"ITE41")</f>
        <v>ITE41</v>
      </c>
    </row>
    <row r="1734" spans="1:2" ht="12.5" x14ac:dyDescent="0.25">
      <c r="A1734" t="str">
        <f ca="1">IFERROR(__xludf.DUMMYFUNCTION("""COMPUTED_VALUE"""),"Vizcaya")</f>
        <v>Vizcaya</v>
      </c>
      <c r="B1734" t="str">
        <f ca="1">IFERROR(__xludf.DUMMYFUNCTION("""COMPUTED_VALUE"""),"ES213")</f>
        <v>ES213</v>
      </c>
    </row>
    <row r="1735" spans="1:2" ht="12.5" x14ac:dyDescent="0.25">
      <c r="A1735" t="str">
        <f ca="1">IFERROR(__xludf.DUMMYFUNCTION("""COMPUTED_VALUE"""),"Vlaams Gewest")</f>
        <v>Vlaams Gewest</v>
      </c>
      <c r="B1735" t="str">
        <f ca="1">IFERROR(__xludf.DUMMYFUNCTION("""COMPUTED_VALUE"""),"BE2")</f>
        <v>BE2</v>
      </c>
    </row>
    <row r="1736" spans="1:2" ht="12.5" x14ac:dyDescent="0.25">
      <c r="A1736" t="str">
        <f ca="1">IFERROR(__xludf.DUMMYFUNCTION("""COMPUTED_VALUE"""),"Vogelsbergkreis")</f>
        <v>Vogelsbergkreis</v>
      </c>
      <c r="B1736" t="str">
        <f ca="1">IFERROR(__xludf.DUMMYFUNCTION("""COMPUTED_VALUE"""),"DE725")</f>
        <v>DE725</v>
      </c>
    </row>
    <row r="1737" spans="1:2" ht="12.5" x14ac:dyDescent="0.25">
      <c r="A1737" t="str">
        <f ca="1">IFERROR(__xludf.DUMMYFUNCTION("""COMPUTED_VALUE"""),"Vogtlandkreis")</f>
        <v>Vogtlandkreis</v>
      </c>
      <c r="B1737" t="str">
        <f ca="1">IFERROR(__xludf.DUMMYFUNCTION("""COMPUTED_VALUE"""),"DED17")</f>
        <v>DED17</v>
      </c>
    </row>
    <row r="1738" spans="1:2" ht="12.5" x14ac:dyDescent="0.25">
      <c r="A1738" t="str">
        <f ca="1">IFERROR(__xludf.DUMMYFUNCTION("""COMPUTED_VALUE"""),"Voiotia")</f>
        <v>Voiotia</v>
      </c>
      <c r="B1738" t="str">
        <f ca="1">IFERROR(__xludf.DUMMYFUNCTION("""COMPUTED_VALUE"""),"GR241")</f>
        <v>GR241</v>
      </c>
    </row>
    <row r="1739" spans="1:2" ht="12.5" x14ac:dyDescent="0.25">
      <c r="A1739" t="str">
        <f ca="1">IFERROR(__xludf.DUMMYFUNCTION("""COMPUTED_VALUE"""),"Vorarlberg")</f>
        <v>Vorarlberg</v>
      </c>
      <c r="B1739" t="str">
        <f ca="1">IFERROR(__xludf.DUMMYFUNCTION("""COMPUTED_VALUE"""),"AT34")</f>
        <v>AT34</v>
      </c>
    </row>
    <row r="1740" spans="1:2" ht="12.5" x14ac:dyDescent="0.25">
      <c r="A1740" t="str">
        <f ca="1">IFERROR(__xludf.DUMMYFUNCTION("""COMPUTED_VALUE"""),"Voreia Ellada")</f>
        <v>Voreia Ellada</v>
      </c>
      <c r="B1740" t="str">
        <f ca="1">IFERROR(__xludf.DUMMYFUNCTION("""COMPUTED_VALUE"""),"GR1")</f>
        <v>GR1</v>
      </c>
    </row>
    <row r="1741" spans="1:2" ht="12.5" x14ac:dyDescent="0.25">
      <c r="A1741" t="str">
        <f ca="1">IFERROR(__xludf.DUMMYFUNCTION("""COMPUTED_VALUE"""),"Voreio Aigaio")</f>
        <v>Voreio Aigaio</v>
      </c>
      <c r="B1741" t="str">
        <f ca="1">IFERROR(__xludf.DUMMYFUNCTION("""COMPUTED_VALUE"""),"GR41")</f>
        <v>GR41</v>
      </c>
    </row>
    <row r="1742" spans="1:2" ht="12.5" x14ac:dyDescent="0.25">
      <c r="A1742" t="str">
        <f ca="1">IFERROR(__xludf.DUMMYFUNCTION("""COMPUTED_VALUE"""),"Vosges")</f>
        <v>Vosges</v>
      </c>
      <c r="B1742" t="str">
        <f ca="1">IFERROR(__xludf.DUMMYFUNCTION("""COMPUTED_VALUE"""),"FR414")</f>
        <v>FR414</v>
      </c>
    </row>
    <row r="1743" spans="1:2" ht="12.5" x14ac:dyDescent="0.25">
      <c r="A1743" t="str">
        <f ca="1">IFERROR(__xludf.DUMMYFUNCTION("""COMPUTED_VALUE"""),"Vrancea")</f>
        <v>Vrancea</v>
      </c>
      <c r="B1743" t="str">
        <f ca="1">IFERROR(__xludf.DUMMYFUNCTION("""COMPUTED_VALUE"""),"RO226")</f>
        <v>RO226</v>
      </c>
    </row>
    <row r="1744" spans="1:2" ht="12.5" x14ac:dyDescent="0.25">
      <c r="A1744" t="str">
        <f ca="1">IFERROR(__xludf.DUMMYFUNCTION("""COMPUTED_VALUE"""),"Vratsa")</f>
        <v>Vratsa</v>
      </c>
      <c r="B1744" t="str">
        <f ca="1">IFERROR(__xludf.DUMMYFUNCTION("""COMPUTED_VALUE"""),"BG313")</f>
        <v>BG313</v>
      </c>
    </row>
    <row r="1745" spans="1:2" ht="12.5" x14ac:dyDescent="0.25">
      <c r="A1745" t="str">
        <f ca="1">IFERROR(__xludf.DUMMYFUNCTION("""COMPUTED_VALUE"""),"Vychodne Slovensko")</f>
        <v>Vychodne Slovensko</v>
      </c>
      <c r="B1745" t="str">
        <f ca="1">IFERROR(__xludf.DUMMYFUNCTION("""COMPUTED_VALUE"""),"SK04")</f>
        <v>SK04</v>
      </c>
    </row>
    <row r="1746" spans="1:2" ht="12.5" x14ac:dyDescent="0.25">
      <c r="A1746" t="str">
        <f ca="1">IFERROR(__xludf.DUMMYFUNCTION("""COMPUTED_VALUE"""),"Vysocina")</f>
        <v>Vysocina</v>
      </c>
      <c r="B1746" t="str">
        <f ca="1">IFERROR(__xludf.DUMMYFUNCTION("""COMPUTED_VALUE"""),"CZ063")</f>
        <v>CZ063</v>
      </c>
    </row>
    <row r="1747" spans="1:2" ht="12.5" x14ac:dyDescent="0.25">
      <c r="A1747" t="str">
        <f ca="1">IFERROR(__xludf.DUMMYFUNCTION("""COMPUTED_VALUE"""),"Vzhodna Slovenija")</f>
        <v>Vzhodna Slovenija</v>
      </c>
      <c r="B1747" t="str">
        <f ca="1">IFERROR(__xludf.DUMMYFUNCTION("""COMPUTED_VALUE"""),"SI01")</f>
        <v>SI01</v>
      </c>
    </row>
    <row r="1748" spans="1:2" ht="12.5" x14ac:dyDescent="0.25">
      <c r="A1748" t="str">
        <f ca="1">IFERROR(__xludf.DUMMYFUNCTION("""COMPUTED_VALUE"""),"Walbrzyski")</f>
        <v>Walbrzyski</v>
      </c>
      <c r="B1748" t="str">
        <f ca="1">IFERROR(__xludf.DUMMYFUNCTION("""COMPUTED_VALUE"""),"PL517")</f>
        <v>PL517</v>
      </c>
    </row>
    <row r="1749" spans="1:2" ht="12.5" x14ac:dyDescent="0.25">
      <c r="A1749" t="str">
        <f ca="1">IFERROR(__xludf.DUMMYFUNCTION("""COMPUTED_VALUE"""),"Waldeck-Frankenberg")</f>
        <v>Waldeck-Frankenberg</v>
      </c>
      <c r="B1749" t="str">
        <f ca="1">IFERROR(__xludf.DUMMYFUNCTION("""COMPUTED_VALUE"""),"DE736")</f>
        <v>DE736</v>
      </c>
    </row>
    <row r="1750" spans="1:2" ht="12.5" x14ac:dyDescent="0.25">
      <c r="A1750" t="str">
        <f ca="1">IFERROR(__xludf.DUMMYFUNCTION("""COMPUTED_VALUE"""),"Waldshut")</f>
        <v>Waldshut</v>
      </c>
      <c r="B1750" t="str">
        <f ca="1">IFERROR(__xludf.DUMMYFUNCTION("""COMPUTED_VALUE"""),"DE13A")</f>
        <v>DE13A</v>
      </c>
    </row>
    <row r="1751" spans="1:2" ht="12.5" x14ac:dyDescent="0.25">
      <c r="A1751" t="str">
        <f ca="1">IFERROR(__xludf.DUMMYFUNCTION("""COMPUTED_VALUE"""),"Waldviertel")</f>
        <v>Waldviertel</v>
      </c>
      <c r="B1751" t="str">
        <f ca="1">IFERROR(__xludf.DUMMYFUNCTION("""COMPUTED_VALUE"""),"AT124")</f>
        <v>AT124</v>
      </c>
    </row>
    <row r="1752" spans="1:2" ht="12.5" x14ac:dyDescent="0.25">
      <c r="A1752" t="str">
        <f ca="1">IFERROR(__xludf.DUMMYFUNCTION("""COMPUTED_VALUE"""),"Wales")</f>
        <v>Wales</v>
      </c>
      <c r="B1752" t="str">
        <f ca="1">IFERROR(__xludf.DUMMYFUNCTION("""COMPUTED_VALUE"""),"UKL")</f>
        <v>UKL</v>
      </c>
    </row>
    <row r="1753" spans="1:2" ht="12.5" x14ac:dyDescent="0.25">
      <c r="A1753" t="str">
        <f ca="1">IFERROR(__xludf.DUMMYFUNCTION("""COMPUTED_VALUE"""),"Walsall And Wolverhampton")</f>
        <v>Walsall And Wolverhampton</v>
      </c>
      <c r="B1753" t="str">
        <f ca="1">IFERROR(__xludf.DUMMYFUNCTION("""COMPUTED_VALUE"""),"UKG35")</f>
        <v>UKG35</v>
      </c>
    </row>
    <row r="1754" spans="1:2" ht="12.5" x14ac:dyDescent="0.25">
      <c r="A1754" t="str">
        <f ca="1">IFERROR(__xludf.DUMMYFUNCTION("""COMPUTED_VALUE"""),"Warendorf")</f>
        <v>Warendorf</v>
      </c>
      <c r="B1754" t="str">
        <f ca="1">IFERROR(__xludf.DUMMYFUNCTION("""COMPUTED_VALUE"""),"DEA38")</f>
        <v>DEA38</v>
      </c>
    </row>
    <row r="1755" spans="1:2" ht="12.5" x14ac:dyDescent="0.25">
      <c r="A1755" t="str">
        <f ca="1">IFERROR(__xludf.DUMMYFUNCTION("""COMPUTED_VALUE"""),"Warminsko-Mazurskie")</f>
        <v>Warminsko-Mazurskie</v>
      </c>
      <c r="B1755" t="str">
        <f ca="1">IFERROR(__xludf.DUMMYFUNCTION("""COMPUTED_VALUE"""),"PL62")</f>
        <v>PL62</v>
      </c>
    </row>
    <row r="1756" spans="1:2" ht="12.5" x14ac:dyDescent="0.25">
      <c r="A1756" t="str">
        <f ca="1">IFERROR(__xludf.DUMMYFUNCTION("""COMPUTED_VALUE"""),"Warszawski-Wschodni")</f>
        <v>Warszawski-Wschodni</v>
      </c>
      <c r="B1756" t="str">
        <f ca="1">IFERROR(__xludf.DUMMYFUNCTION("""COMPUTED_VALUE"""),"PL129")</f>
        <v>PL129</v>
      </c>
    </row>
    <row r="1757" spans="1:2" ht="12.5" x14ac:dyDescent="0.25">
      <c r="A1757" t="str">
        <f ca="1">IFERROR(__xludf.DUMMYFUNCTION("""COMPUTED_VALUE"""),"Warszawski-Zachodni")</f>
        <v>Warszawski-Zachodni</v>
      </c>
      <c r="B1757" t="str">
        <f ca="1">IFERROR(__xludf.DUMMYFUNCTION("""COMPUTED_VALUE"""),"PL12A")</f>
        <v>PL12A</v>
      </c>
    </row>
    <row r="1758" spans="1:2" ht="12.5" x14ac:dyDescent="0.25">
      <c r="A1758" t="str">
        <f ca="1">IFERROR(__xludf.DUMMYFUNCTION("""COMPUTED_VALUE"""),"Wartburgkreis")</f>
        <v>Wartburgkreis</v>
      </c>
      <c r="B1758" t="str">
        <f ca="1">IFERROR(__xludf.DUMMYFUNCTION("""COMPUTED_VALUE"""),"DEG0P")</f>
        <v>DEG0P</v>
      </c>
    </row>
    <row r="1759" spans="1:2" ht="12.5" x14ac:dyDescent="0.25">
      <c r="A1759" t="str">
        <f ca="1">IFERROR(__xludf.DUMMYFUNCTION("""COMPUTED_VALUE"""),"Warwickshire")</f>
        <v>Warwickshire</v>
      </c>
      <c r="B1759" t="str">
        <f ca="1">IFERROR(__xludf.DUMMYFUNCTION("""COMPUTED_VALUE"""),"UKG13")</f>
        <v>UKG13</v>
      </c>
    </row>
    <row r="1760" spans="1:2" ht="12.5" x14ac:dyDescent="0.25">
      <c r="A1760" t="str">
        <f ca="1">IFERROR(__xludf.DUMMYFUNCTION("""COMPUTED_VALUE"""),"Weiden I. D. Opf, Kreisfreie Stadt")</f>
        <v>Weiden I. D. Opf, Kreisfreie Stadt</v>
      </c>
      <c r="B1760" t="str">
        <f ca="1">IFERROR(__xludf.DUMMYFUNCTION("""COMPUTED_VALUE"""),"DE233")</f>
        <v>DE233</v>
      </c>
    </row>
    <row r="1761" spans="1:2" ht="12.5" x14ac:dyDescent="0.25">
      <c r="A1761" t="str">
        <f ca="1">IFERROR(__xludf.DUMMYFUNCTION("""COMPUTED_VALUE"""),"Weilheim-Schongau")</f>
        <v>Weilheim-Schongau</v>
      </c>
      <c r="B1761" t="str">
        <f ca="1">IFERROR(__xludf.DUMMYFUNCTION("""COMPUTED_VALUE"""),"DE21N")</f>
        <v>DE21N</v>
      </c>
    </row>
    <row r="1762" spans="1:2" ht="12.5" x14ac:dyDescent="0.25">
      <c r="A1762" t="str">
        <f ca="1">IFERROR(__xludf.DUMMYFUNCTION("""COMPUTED_VALUE"""),"Weimar, Kreisfreie Stadt")</f>
        <v>Weimar, Kreisfreie Stadt</v>
      </c>
      <c r="B1762" t="str">
        <f ca="1">IFERROR(__xludf.DUMMYFUNCTION("""COMPUTED_VALUE"""),"DEG05")</f>
        <v>DEG05</v>
      </c>
    </row>
    <row r="1763" spans="1:2" ht="12.5" x14ac:dyDescent="0.25">
      <c r="A1763" t="str">
        <f ca="1">IFERROR(__xludf.DUMMYFUNCTION("""COMPUTED_VALUE"""),"Weimarer Land")</f>
        <v>Weimarer Land</v>
      </c>
      <c r="B1763" t="str">
        <f ca="1">IFERROR(__xludf.DUMMYFUNCTION("""COMPUTED_VALUE"""),"DEG0G")</f>
        <v>DEG0G</v>
      </c>
    </row>
    <row r="1764" spans="1:2" ht="12.5" x14ac:dyDescent="0.25">
      <c r="A1764" t="str">
        <f ca="1">IFERROR(__xludf.DUMMYFUNCTION("""COMPUTED_VALUE"""),"Weinviertel")</f>
        <v>Weinviertel</v>
      </c>
      <c r="B1764" t="str">
        <f ca="1">IFERROR(__xludf.DUMMYFUNCTION("""COMPUTED_VALUE"""),"AT125")</f>
        <v>AT125</v>
      </c>
    </row>
    <row r="1765" spans="1:2" ht="12.5" x14ac:dyDescent="0.25">
      <c r="A1765" t="str">
        <f ca="1">IFERROR(__xludf.DUMMYFUNCTION("""COMPUTED_VALUE"""),"Weißenburg-Gunzenhausen")</f>
        <v>Weißenburg-Gunzenhausen</v>
      </c>
      <c r="B1765" t="str">
        <f ca="1">IFERROR(__xludf.DUMMYFUNCTION("""COMPUTED_VALUE"""),"DE25C")</f>
        <v>DE25C</v>
      </c>
    </row>
    <row r="1766" spans="1:2" ht="12.5" x14ac:dyDescent="0.25">
      <c r="A1766" t="str">
        <f ca="1">IFERROR(__xludf.DUMMYFUNCTION("""COMPUTED_VALUE"""),"Weißeritzkreis")</f>
        <v>Weißeritzkreis</v>
      </c>
      <c r="B1766" t="str">
        <f ca="1">IFERROR(__xludf.DUMMYFUNCTION("""COMPUTED_VALUE"""),"DED2A")</f>
        <v>DED2A</v>
      </c>
    </row>
    <row r="1767" spans="1:2" ht="12.5" x14ac:dyDescent="0.25">
      <c r="A1767" t="str">
        <f ca="1">IFERROR(__xludf.DUMMYFUNCTION("""COMPUTED_VALUE"""),"Werra-Meißner-Kreis")</f>
        <v>Werra-Meißner-Kreis</v>
      </c>
      <c r="B1767" t="str">
        <f ca="1">IFERROR(__xludf.DUMMYFUNCTION("""COMPUTED_VALUE"""),"DE737")</f>
        <v>DE737</v>
      </c>
    </row>
    <row r="1768" spans="1:2" ht="12.5" x14ac:dyDescent="0.25">
      <c r="A1768" t="str">
        <f ca="1">IFERROR(__xludf.DUMMYFUNCTION("""COMPUTED_VALUE"""),"Wesel")</f>
        <v>Wesel</v>
      </c>
      <c r="B1768" t="str">
        <f ca="1">IFERROR(__xludf.DUMMYFUNCTION("""COMPUTED_VALUE"""),"DEA1F")</f>
        <v>DEA1F</v>
      </c>
    </row>
    <row r="1769" spans="1:2" ht="12.5" x14ac:dyDescent="0.25">
      <c r="A1769" t="str">
        <f ca="1">IFERROR(__xludf.DUMMYFUNCTION("""COMPUTED_VALUE"""),"Weser-Ems")</f>
        <v>Weser-Ems</v>
      </c>
      <c r="B1769" t="str">
        <f ca="1">IFERROR(__xludf.DUMMYFUNCTION("""COMPUTED_VALUE"""),"DE94")</f>
        <v>DE94</v>
      </c>
    </row>
    <row r="1770" spans="1:2" ht="12.5" x14ac:dyDescent="0.25">
      <c r="A1770" t="str">
        <f ca="1">IFERROR(__xludf.DUMMYFUNCTION("""COMPUTED_VALUE"""),"Wesermarsch")</f>
        <v>Wesermarsch</v>
      </c>
      <c r="B1770" t="str">
        <f ca="1">IFERROR(__xludf.DUMMYFUNCTION("""COMPUTED_VALUE"""),"DE94G")</f>
        <v>DE94G</v>
      </c>
    </row>
    <row r="1771" spans="1:2" ht="12.5" x14ac:dyDescent="0.25">
      <c r="A1771" t="str">
        <f ca="1">IFERROR(__xludf.DUMMYFUNCTION("""COMPUTED_VALUE"""),"West")</f>
        <v>West</v>
      </c>
      <c r="B1771" t="str">
        <f ca="1">IFERROR(__xludf.DUMMYFUNCTION("""COMPUTED_VALUE"""),"IE013")</f>
        <v>IE013</v>
      </c>
    </row>
    <row r="1772" spans="1:2" ht="12.5" x14ac:dyDescent="0.25">
      <c r="A1772" t="str">
        <f ca="1">IFERROR(__xludf.DUMMYFUNCTION("""COMPUTED_VALUE"""),"West And South Of Northern Ireland")</f>
        <v>West And South Of Northern Ireland</v>
      </c>
      <c r="B1772" t="str">
        <f ca="1">IFERROR(__xludf.DUMMYFUNCTION("""COMPUTED_VALUE"""),"UKN05")</f>
        <v>UKN05</v>
      </c>
    </row>
    <row r="1773" spans="1:2" ht="12.5" x14ac:dyDescent="0.25">
      <c r="A1773" t="str">
        <f ca="1">IFERROR(__xludf.DUMMYFUNCTION("""COMPUTED_VALUE"""),"West Cumbria")</f>
        <v>West Cumbria</v>
      </c>
      <c r="B1773" t="str">
        <f ca="1">IFERROR(__xludf.DUMMYFUNCTION("""COMPUTED_VALUE"""),"UKD11")</f>
        <v>UKD11</v>
      </c>
    </row>
    <row r="1774" spans="1:2" ht="12.5" x14ac:dyDescent="0.25">
      <c r="A1774" t="str">
        <f ca="1">IFERROR(__xludf.DUMMYFUNCTION("""COMPUTED_VALUE"""),"West Lothian")</f>
        <v>West Lothian</v>
      </c>
      <c r="B1774" t="str">
        <f ca="1">IFERROR(__xludf.DUMMYFUNCTION("""COMPUTED_VALUE"""),"UKM28")</f>
        <v>UKM28</v>
      </c>
    </row>
    <row r="1775" spans="1:2" ht="12.5" x14ac:dyDescent="0.25">
      <c r="A1775" t="str">
        <f ca="1">IFERROR(__xludf.DUMMYFUNCTION("""COMPUTED_VALUE"""),"West Midlands")</f>
        <v>West Midlands</v>
      </c>
      <c r="B1775" t="str">
        <f ca="1">IFERROR(__xludf.DUMMYFUNCTION("""COMPUTED_VALUE"""),"UKG3")</f>
        <v>UKG3</v>
      </c>
    </row>
    <row r="1776" spans="1:2" ht="12.5" x14ac:dyDescent="0.25">
      <c r="A1776" t="str">
        <f ca="1">IFERROR(__xludf.DUMMYFUNCTION("""COMPUTED_VALUE"""),"West Midlands (England)")</f>
        <v>West Midlands (England)</v>
      </c>
      <c r="B1776" t="str">
        <f ca="1">IFERROR(__xludf.DUMMYFUNCTION("""COMPUTED_VALUE"""),"UKG")</f>
        <v>UKG</v>
      </c>
    </row>
    <row r="1777" spans="1:2" ht="12.5" x14ac:dyDescent="0.25">
      <c r="A1777" t="str">
        <f ca="1">IFERROR(__xludf.DUMMYFUNCTION("""COMPUTED_VALUE"""),"West Sussex")</f>
        <v>West Sussex</v>
      </c>
      <c r="B1777" t="str">
        <f ca="1">IFERROR(__xludf.DUMMYFUNCTION("""COMPUTED_VALUE"""),"UKJ24")</f>
        <v>UKJ24</v>
      </c>
    </row>
    <row r="1778" spans="1:2" ht="12.5" x14ac:dyDescent="0.25">
      <c r="A1778" t="str">
        <f ca="1">IFERROR(__xludf.DUMMYFUNCTION("""COMPUTED_VALUE"""),"West Wales And The Valleys")</f>
        <v>West Wales And The Valleys</v>
      </c>
      <c r="B1778" t="str">
        <f ca="1">IFERROR(__xludf.DUMMYFUNCTION("""COMPUTED_VALUE"""),"UKL1")</f>
        <v>UKL1</v>
      </c>
    </row>
    <row r="1779" spans="1:2" ht="12.5" x14ac:dyDescent="0.25">
      <c r="A1779" t="str">
        <f ca="1">IFERROR(__xludf.DUMMYFUNCTION("""COMPUTED_VALUE"""),"West Yorkshire")</f>
        <v>West Yorkshire</v>
      </c>
      <c r="B1779" t="str">
        <f ca="1">IFERROR(__xludf.DUMMYFUNCTION("""COMPUTED_VALUE"""),"UKE4")</f>
        <v>UKE4</v>
      </c>
    </row>
    <row r="1780" spans="1:2" ht="12.5" x14ac:dyDescent="0.25">
      <c r="A1780" t="str">
        <f ca="1">IFERROR(__xludf.DUMMYFUNCTION("""COMPUTED_VALUE"""),"West- Und Südsteiermark")</f>
        <v>West- Und Südsteiermark</v>
      </c>
      <c r="B1780" t="str">
        <f ca="1">IFERROR(__xludf.DUMMYFUNCTION("""COMPUTED_VALUE"""),"AT225")</f>
        <v>AT225</v>
      </c>
    </row>
    <row r="1781" spans="1:2" ht="12.5" x14ac:dyDescent="0.25">
      <c r="A1781" t="str">
        <f ca="1">IFERROR(__xludf.DUMMYFUNCTION("""COMPUTED_VALUE"""),"West-Nederland")</f>
        <v>West-Nederland</v>
      </c>
      <c r="B1781" t="str">
        <f ca="1">IFERROR(__xludf.DUMMYFUNCTION("""COMPUTED_VALUE"""),"NL3")</f>
        <v>NL3</v>
      </c>
    </row>
    <row r="1782" spans="1:2" ht="12.5" x14ac:dyDescent="0.25">
      <c r="A1782" t="str">
        <f ca="1">IFERROR(__xludf.DUMMYFUNCTION("""COMPUTED_VALUE"""),"West-Noord-Brabant")</f>
        <v>West-Noord-Brabant</v>
      </c>
      <c r="B1782" t="str">
        <f ca="1">IFERROR(__xludf.DUMMYFUNCTION("""COMPUTED_VALUE"""),"NL411")</f>
        <v>NL411</v>
      </c>
    </row>
    <row r="1783" spans="1:2" ht="12.5" x14ac:dyDescent="0.25">
      <c r="A1783" t="str">
        <f ca="1">IFERROR(__xludf.DUMMYFUNCTION("""COMPUTED_VALUE"""),"Westerwaldkreis")</f>
        <v>Westerwaldkreis</v>
      </c>
      <c r="B1783" t="str">
        <f ca="1">IFERROR(__xludf.DUMMYFUNCTION("""COMPUTED_VALUE"""),"DEB1B")</f>
        <v>DEB1B</v>
      </c>
    </row>
    <row r="1784" spans="1:2" ht="12.5" x14ac:dyDescent="0.25">
      <c r="A1784" t="str">
        <f ca="1">IFERROR(__xludf.DUMMYFUNCTION("""COMPUTED_VALUE"""),"Westliche Obersteiermark")</f>
        <v>Westliche Obersteiermark</v>
      </c>
      <c r="B1784" t="str">
        <f ca="1">IFERROR(__xludf.DUMMYFUNCTION("""COMPUTED_VALUE"""),"AT226")</f>
        <v>AT226</v>
      </c>
    </row>
    <row r="1785" spans="1:2" ht="12.5" x14ac:dyDescent="0.25">
      <c r="A1785" t="str">
        <f ca="1">IFERROR(__xludf.DUMMYFUNCTION("""COMPUTED_VALUE"""),"Westösterreich")</f>
        <v>Westösterreich</v>
      </c>
      <c r="B1785" t="str">
        <f ca="1">IFERROR(__xludf.DUMMYFUNCTION("""COMPUTED_VALUE"""),"AT3")</f>
        <v>AT3</v>
      </c>
    </row>
    <row r="1786" spans="1:2" ht="12.5" x14ac:dyDescent="0.25">
      <c r="A1786" t="str">
        <f ca="1">IFERROR(__xludf.DUMMYFUNCTION("""COMPUTED_VALUE"""),"Wetteraukreis")</f>
        <v>Wetteraukreis</v>
      </c>
      <c r="B1786" t="str">
        <f ca="1">IFERROR(__xludf.DUMMYFUNCTION("""COMPUTED_VALUE"""),"DE71E")</f>
        <v>DE71E</v>
      </c>
    </row>
    <row r="1787" spans="1:2" ht="12.5" x14ac:dyDescent="0.25">
      <c r="A1787" t="str">
        <f ca="1">IFERROR(__xludf.DUMMYFUNCTION("""COMPUTED_VALUE"""),"Wielkopolskie")</f>
        <v>Wielkopolskie</v>
      </c>
      <c r="B1787" t="str">
        <f ca="1">IFERROR(__xludf.DUMMYFUNCTION("""COMPUTED_VALUE"""),"PL41")</f>
        <v>PL41</v>
      </c>
    </row>
    <row r="1788" spans="1:2" ht="12.5" x14ac:dyDescent="0.25">
      <c r="A1788" t="str">
        <f ca="1">IFERROR(__xludf.DUMMYFUNCTION("""COMPUTED_VALUE"""),"Wien")</f>
        <v>Wien</v>
      </c>
      <c r="B1788" t="str">
        <f ca="1">IFERROR(__xludf.DUMMYFUNCTION("""COMPUTED_VALUE"""),"AT13")</f>
        <v>AT13</v>
      </c>
    </row>
    <row r="1789" spans="1:2" ht="12.5" x14ac:dyDescent="0.25">
      <c r="A1789" t="str">
        <f ca="1">IFERROR(__xludf.DUMMYFUNCTION("""COMPUTED_VALUE"""),"Wien (*)")</f>
        <v>Wien (*)</v>
      </c>
      <c r="B1789" t="str">
        <f ca="1">IFERROR(__xludf.DUMMYFUNCTION("""COMPUTED_VALUE"""),"AT130")</f>
        <v>AT130</v>
      </c>
    </row>
    <row r="1790" spans="1:2" ht="12.5" x14ac:dyDescent="0.25">
      <c r="A1790" t="str">
        <f ca="1">IFERROR(__xludf.DUMMYFUNCTION("""COMPUTED_VALUE"""),"Wiener Umland/Nordteil")</f>
        <v>Wiener Umland/Nordteil</v>
      </c>
      <c r="B1790" t="str">
        <f ca="1">IFERROR(__xludf.DUMMYFUNCTION("""COMPUTED_VALUE"""),"AT126")</f>
        <v>AT126</v>
      </c>
    </row>
    <row r="1791" spans="1:2" ht="12.5" x14ac:dyDescent="0.25">
      <c r="A1791" t="str">
        <f ca="1">IFERROR(__xludf.DUMMYFUNCTION("""COMPUTED_VALUE"""),"Wiener Umland/Südteil")</f>
        <v>Wiener Umland/Südteil</v>
      </c>
      <c r="B1791" t="str">
        <f ca="1">IFERROR(__xludf.DUMMYFUNCTION("""COMPUTED_VALUE"""),"AT127")</f>
        <v>AT127</v>
      </c>
    </row>
    <row r="1792" spans="1:2" ht="12.5" x14ac:dyDescent="0.25">
      <c r="A1792" t="str">
        <f ca="1">IFERROR(__xludf.DUMMYFUNCTION("""COMPUTED_VALUE"""),"Wiesbaden, Kreisfreie Stadt")</f>
        <v>Wiesbaden, Kreisfreie Stadt</v>
      </c>
      <c r="B1792" t="str">
        <f ca="1">IFERROR(__xludf.DUMMYFUNCTION("""COMPUTED_VALUE"""),"DE714")</f>
        <v>DE714</v>
      </c>
    </row>
    <row r="1793" spans="1:2" ht="12.5" x14ac:dyDescent="0.25">
      <c r="A1793" t="str">
        <f ca="1">IFERROR(__xludf.DUMMYFUNCTION("""COMPUTED_VALUE"""),"Wilhelmshaven, Kreisfreie Stadt")</f>
        <v>Wilhelmshaven, Kreisfreie Stadt</v>
      </c>
      <c r="B1793" t="str">
        <f ca="1">IFERROR(__xludf.DUMMYFUNCTION("""COMPUTED_VALUE"""),"DE945")</f>
        <v>DE945</v>
      </c>
    </row>
    <row r="1794" spans="1:2" ht="12.5" x14ac:dyDescent="0.25">
      <c r="A1794" t="str">
        <f ca="1">IFERROR(__xludf.DUMMYFUNCTION("""COMPUTED_VALUE"""),"Wiltshire Cc")</f>
        <v>Wiltshire Cc</v>
      </c>
      <c r="B1794" t="str">
        <f ca="1">IFERROR(__xludf.DUMMYFUNCTION("""COMPUTED_VALUE"""),"UKK15")</f>
        <v>UKK15</v>
      </c>
    </row>
    <row r="1795" spans="1:2" ht="12.5" x14ac:dyDescent="0.25">
      <c r="A1795" t="str">
        <f ca="1">IFERROR(__xludf.DUMMYFUNCTION("""COMPUTED_VALUE"""),"Wirral")</f>
        <v>Wirral</v>
      </c>
      <c r="B1795" t="str">
        <f ca="1">IFERROR(__xludf.DUMMYFUNCTION("""COMPUTED_VALUE"""),"UKD54")</f>
        <v>UKD54</v>
      </c>
    </row>
    <row r="1796" spans="1:2" ht="12.5" x14ac:dyDescent="0.25">
      <c r="A1796" t="str">
        <f ca="1">IFERROR(__xludf.DUMMYFUNCTION("""COMPUTED_VALUE"""),"Wismar, Kreisfreie Stadt")</f>
        <v>Wismar, Kreisfreie Stadt</v>
      </c>
      <c r="B1796" t="str">
        <f ca="1">IFERROR(__xludf.DUMMYFUNCTION("""COMPUTED_VALUE"""),"DE806")</f>
        <v>DE806</v>
      </c>
    </row>
    <row r="1797" spans="1:2" ht="12.5" x14ac:dyDescent="0.25">
      <c r="A1797" t="str">
        <f ca="1">IFERROR(__xludf.DUMMYFUNCTION("""COMPUTED_VALUE"""),"Wittenberg")</f>
        <v>Wittenberg</v>
      </c>
      <c r="B1797" t="str">
        <f ca="1">IFERROR(__xludf.DUMMYFUNCTION("""COMPUTED_VALUE"""),"DEE0E")</f>
        <v>DEE0E</v>
      </c>
    </row>
    <row r="1798" spans="1:2" ht="12.5" x14ac:dyDescent="0.25">
      <c r="A1798" t="str">
        <f ca="1">IFERROR(__xludf.DUMMYFUNCTION("""COMPUTED_VALUE"""),"Wittmund")</f>
        <v>Wittmund</v>
      </c>
      <c r="B1798" t="str">
        <f ca="1">IFERROR(__xludf.DUMMYFUNCTION("""COMPUTED_VALUE"""),"DE94H")</f>
        <v>DE94H</v>
      </c>
    </row>
    <row r="1799" spans="1:2" ht="12.5" x14ac:dyDescent="0.25">
      <c r="A1799" t="str">
        <f ca="1">IFERROR(__xludf.DUMMYFUNCTION("""COMPUTED_VALUE"""),"Wloclawski")</f>
        <v>Wloclawski</v>
      </c>
      <c r="B1799" t="str">
        <f ca="1">IFERROR(__xludf.DUMMYFUNCTION("""COMPUTED_VALUE"""),"PL615")</f>
        <v>PL615</v>
      </c>
    </row>
    <row r="1800" spans="1:2" ht="12.5" x14ac:dyDescent="0.25">
      <c r="A1800" t="str">
        <f ca="1">IFERROR(__xludf.DUMMYFUNCTION("""COMPUTED_VALUE"""),"Wolfenbüttel")</f>
        <v>Wolfenbüttel</v>
      </c>
      <c r="B1800" t="str">
        <f ca="1">IFERROR(__xludf.DUMMYFUNCTION("""COMPUTED_VALUE"""),"DE91B")</f>
        <v>DE91B</v>
      </c>
    </row>
    <row r="1801" spans="1:2" ht="12.5" x14ac:dyDescent="0.25">
      <c r="A1801" t="str">
        <f ca="1">IFERROR(__xludf.DUMMYFUNCTION("""COMPUTED_VALUE"""),"Wolfsburg, Kreisfreie Stadt")</f>
        <v>Wolfsburg, Kreisfreie Stadt</v>
      </c>
      <c r="B1801" t="str">
        <f ca="1">IFERROR(__xludf.DUMMYFUNCTION("""COMPUTED_VALUE"""),"DE913")</f>
        <v>DE913</v>
      </c>
    </row>
    <row r="1802" spans="1:2" ht="12.5" x14ac:dyDescent="0.25">
      <c r="A1802" t="str">
        <f ca="1">IFERROR(__xludf.DUMMYFUNCTION("""COMPUTED_VALUE"""),"Worcestershire")</f>
        <v>Worcestershire</v>
      </c>
      <c r="B1802" t="str">
        <f ca="1">IFERROR(__xludf.DUMMYFUNCTION("""COMPUTED_VALUE"""),"UKG12")</f>
        <v>UKG12</v>
      </c>
    </row>
    <row r="1803" spans="1:2" ht="12.5" x14ac:dyDescent="0.25">
      <c r="A1803" t="str">
        <f ca="1">IFERROR(__xludf.DUMMYFUNCTION("""COMPUTED_VALUE"""),"Worms, Kreisfreie Stadt")</f>
        <v>Worms, Kreisfreie Stadt</v>
      </c>
      <c r="B1803" t="str">
        <f ca="1">IFERROR(__xludf.DUMMYFUNCTION("""COMPUTED_VALUE"""),"DEB39")</f>
        <v>DEB39</v>
      </c>
    </row>
    <row r="1804" spans="1:2" ht="12.5" x14ac:dyDescent="0.25">
      <c r="A1804" t="str">
        <f ca="1">IFERROR(__xludf.DUMMYFUNCTION("""COMPUTED_VALUE"""),"Wroclawski")</f>
        <v>Wroclawski</v>
      </c>
      <c r="B1804" t="str">
        <f ca="1">IFERROR(__xludf.DUMMYFUNCTION("""COMPUTED_VALUE"""),"PL518")</f>
        <v>PL518</v>
      </c>
    </row>
    <row r="1805" spans="1:2" ht="12.5" x14ac:dyDescent="0.25">
      <c r="A1805" t="str">
        <f ca="1">IFERROR(__xludf.DUMMYFUNCTION("""COMPUTED_VALUE"""),"Wunsiedel I. Fichtelgebirge")</f>
        <v>Wunsiedel I. Fichtelgebirge</v>
      </c>
      <c r="B1805" t="str">
        <f ca="1">IFERROR(__xludf.DUMMYFUNCTION("""COMPUTED_VALUE"""),"DE24D")</f>
        <v>DE24D</v>
      </c>
    </row>
    <row r="1806" spans="1:2" ht="12.5" x14ac:dyDescent="0.25">
      <c r="A1806" t="str">
        <f ca="1">IFERROR(__xludf.DUMMYFUNCTION("""COMPUTED_VALUE"""),"Wuppertal, Kreisfreie Stadt")</f>
        <v>Wuppertal, Kreisfreie Stadt</v>
      </c>
      <c r="B1806" t="str">
        <f ca="1">IFERROR(__xludf.DUMMYFUNCTION("""COMPUTED_VALUE"""),"DEA1A")</f>
        <v>DEA1A</v>
      </c>
    </row>
    <row r="1807" spans="1:2" ht="12.5" x14ac:dyDescent="0.25">
      <c r="A1807" t="str">
        <f ca="1">IFERROR(__xludf.DUMMYFUNCTION("""COMPUTED_VALUE"""),"Würzburg, Kreisfreie Stadt")</f>
        <v>Würzburg, Kreisfreie Stadt</v>
      </c>
      <c r="B1807" t="str">
        <f ca="1">IFERROR(__xludf.DUMMYFUNCTION("""COMPUTED_VALUE"""),"DE263")</f>
        <v>DE263</v>
      </c>
    </row>
    <row r="1808" spans="1:2" ht="12.5" x14ac:dyDescent="0.25">
      <c r="A1808" t="str">
        <f ca="1">IFERROR(__xludf.DUMMYFUNCTION("""COMPUTED_VALUE"""),"Würzburg, Landkreis")</f>
        <v>Würzburg, Landkreis</v>
      </c>
      <c r="B1808" t="str">
        <f ca="1">IFERROR(__xludf.DUMMYFUNCTION("""COMPUTED_VALUE"""),"DE26C")</f>
        <v>DE26C</v>
      </c>
    </row>
    <row r="1809" spans="1:2" ht="12.5" x14ac:dyDescent="0.25">
      <c r="A1809" t="str">
        <f ca="1">IFERROR(__xludf.DUMMYFUNCTION("""COMPUTED_VALUE"""),"Xanthi")</f>
        <v>Xanthi</v>
      </c>
      <c r="B1809" t="str">
        <f ca="1">IFERROR(__xludf.DUMMYFUNCTION("""COMPUTED_VALUE"""),"GR112")</f>
        <v>GR112</v>
      </c>
    </row>
    <row r="1810" spans="1:2" ht="12.5" x14ac:dyDescent="0.25">
      <c r="A1810" t="str">
        <f ca="1">IFERROR(__xludf.DUMMYFUNCTION("""COMPUTED_VALUE"""),"Yambol")</f>
        <v>Yambol</v>
      </c>
      <c r="B1810" t="str">
        <f ca="1">IFERROR(__xludf.DUMMYFUNCTION("""COMPUTED_VALUE"""),"BG343")</f>
        <v>BG343</v>
      </c>
    </row>
    <row r="1811" spans="1:2" ht="12.5" x14ac:dyDescent="0.25">
      <c r="A1811" t="str">
        <f ca="1">IFERROR(__xludf.DUMMYFUNCTION("""COMPUTED_VALUE"""),"Yonne")</f>
        <v>Yonne</v>
      </c>
      <c r="B1811" t="str">
        <f ca="1">IFERROR(__xludf.DUMMYFUNCTION("""COMPUTED_VALUE"""),"FR264")</f>
        <v>FR264</v>
      </c>
    </row>
    <row r="1812" spans="1:2" ht="12.5" x14ac:dyDescent="0.25">
      <c r="A1812" t="str">
        <f ca="1">IFERROR(__xludf.DUMMYFUNCTION("""COMPUTED_VALUE"""),"York")</f>
        <v>York</v>
      </c>
      <c r="B1812" t="str">
        <f ca="1">IFERROR(__xludf.DUMMYFUNCTION("""COMPUTED_VALUE"""),"UKE21")</f>
        <v>UKE21</v>
      </c>
    </row>
    <row r="1813" spans="1:2" ht="12.5" x14ac:dyDescent="0.25">
      <c r="A1813" t="str">
        <f ca="1">IFERROR(__xludf.DUMMYFUNCTION("""COMPUTED_VALUE"""),"Yorkshire And The Humber")</f>
        <v>Yorkshire And The Humber</v>
      </c>
      <c r="B1813" t="str">
        <f ca="1">IFERROR(__xludf.DUMMYFUNCTION("""COMPUTED_VALUE"""),"UKE")</f>
        <v>UKE</v>
      </c>
    </row>
    <row r="1814" spans="1:2" ht="12.5" x14ac:dyDescent="0.25">
      <c r="A1814" t="str">
        <f ca="1">IFERROR(__xludf.DUMMYFUNCTION("""COMPUTED_VALUE"""),"Yugoiztochen")</f>
        <v>Yugoiztochen</v>
      </c>
      <c r="B1814" t="str">
        <f ca="1">IFERROR(__xludf.DUMMYFUNCTION("""COMPUTED_VALUE"""),"BG34")</f>
        <v>BG34</v>
      </c>
    </row>
    <row r="1815" spans="1:2" ht="12.5" x14ac:dyDescent="0.25">
      <c r="A1815" t="str">
        <f ca="1">IFERROR(__xludf.DUMMYFUNCTION("""COMPUTED_VALUE"""),"Yugozapaden")</f>
        <v>Yugozapaden</v>
      </c>
      <c r="B1815" t="str">
        <f ca="1">IFERROR(__xludf.DUMMYFUNCTION("""COMPUTED_VALUE"""),"BG41")</f>
        <v>BG41</v>
      </c>
    </row>
    <row r="1816" spans="1:2" ht="12.5" x14ac:dyDescent="0.25">
      <c r="A1816" t="str">
        <f ca="1">IFERROR(__xludf.DUMMYFUNCTION("""COMPUTED_VALUE"""),"Yugozapadna I Yuzhna Tsentralna Bulgaria")</f>
        <v>Yugozapadna I Yuzhna Tsentralna Bulgaria</v>
      </c>
      <c r="B1816" t="str">
        <f ca="1">IFERROR(__xludf.DUMMYFUNCTION("""COMPUTED_VALUE"""),"BG4")</f>
        <v>BG4</v>
      </c>
    </row>
    <row r="1817" spans="1:2" ht="12.5" x14ac:dyDescent="0.25">
      <c r="A1817" t="str">
        <f ca="1">IFERROR(__xludf.DUMMYFUNCTION("""COMPUTED_VALUE"""),"Yuzhen Tsentralen")</f>
        <v>Yuzhen Tsentralen</v>
      </c>
      <c r="B1817" t="str">
        <f ca="1">IFERROR(__xludf.DUMMYFUNCTION("""COMPUTED_VALUE"""),"BG42")</f>
        <v>BG42</v>
      </c>
    </row>
    <row r="1818" spans="1:2" ht="12.5" x14ac:dyDescent="0.25">
      <c r="A1818" t="str">
        <f ca="1">IFERROR(__xludf.DUMMYFUNCTION("""COMPUTED_VALUE"""),"Yvelines")</f>
        <v>Yvelines</v>
      </c>
      <c r="B1818" t="str">
        <f ca="1">IFERROR(__xludf.DUMMYFUNCTION("""COMPUTED_VALUE"""),"FR103")</f>
        <v>FR103</v>
      </c>
    </row>
    <row r="1819" spans="1:2" ht="12.5" x14ac:dyDescent="0.25">
      <c r="A1819" t="str">
        <f ca="1">IFERROR(__xludf.DUMMYFUNCTION("""COMPUTED_VALUE"""),"Zaanstreek")</f>
        <v>Zaanstreek</v>
      </c>
      <c r="B1819" t="str">
        <f ca="1">IFERROR(__xludf.DUMMYFUNCTION("""COMPUTED_VALUE"""),"NL325")</f>
        <v>NL325</v>
      </c>
    </row>
    <row r="1820" spans="1:2" ht="12.5" x14ac:dyDescent="0.25">
      <c r="A1820" t="str">
        <f ca="1">IFERROR(__xludf.DUMMYFUNCTION("""COMPUTED_VALUE"""),"Zachodniopomorskie")</f>
        <v>Zachodniopomorskie</v>
      </c>
      <c r="B1820" t="str">
        <f ca="1">IFERROR(__xludf.DUMMYFUNCTION("""COMPUTED_VALUE"""),"PL42")</f>
        <v>PL42</v>
      </c>
    </row>
    <row r="1821" spans="1:2" ht="12.5" x14ac:dyDescent="0.25">
      <c r="A1821" t="str">
        <f ca="1">IFERROR(__xludf.DUMMYFUNCTION("""COMPUTED_VALUE"""),"Zahodna Slovenija")</f>
        <v>Zahodna Slovenija</v>
      </c>
      <c r="B1821" t="str">
        <f ca="1">IFERROR(__xludf.DUMMYFUNCTION("""COMPUTED_VALUE"""),"SI02")</f>
        <v>SI02</v>
      </c>
    </row>
    <row r="1822" spans="1:2" ht="12.5" x14ac:dyDescent="0.25">
      <c r="A1822" t="str">
        <f ca="1">IFERROR(__xludf.DUMMYFUNCTION("""COMPUTED_VALUE"""),"Zakynthos")</f>
        <v>Zakynthos</v>
      </c>
      <c r="B1822" t="str">
        <f ca="1">IFERROR(__xludf.DUMMYFUNCTION("""COMPUTED_VALUE"""),"GR221")</f>
        <v>GR221</v>
      </c>
    </row>
    <row r="1823" spans="1:2" ht="12.5" x14ac:dyDescent="0.25">
      <c r="A1823" t="str">
        <f ca="1">IFERROR(__xludf.DUMMYFUNCTION("""COMPUTED_VALUE"""),"Zala")</f>
        <v>Zala</v>
      </c>
      <c r="B1823" t="str">
        <f ca="1">IFERROR(__xludf.DUMMYFUNCTION("""COMPUTED_VALUE"""),"HU223")</f>
        <v>HU223</v>
      </c>
    </row>
    <row r="1824" spans="1:2" ht="12.5" x14ac:dyDescent="0.25">
      <c r="A1824" t="str">
        <f ca="1">IFERROR(__xludf.DUMMYFUNCTION("""COMPUTED_VALUE"""),"Zamora")</f>
        <v>Zamora</v>
      </c>
      <c r="B1824" t="str">
        <f ca="1">IFERROR(__xludf.DUMMYFUNCTION("""COMPUTED_VALUE"""),"ES419")</f>
        <v>ES419</v>
      </c>
    </row>
    <row r="1825" spans="1:2" ht="12.5" x14ac:dyDescent="0.25">
      <c r="A1825" t="str">
        <f ca="1">IFERROR(__xludf.DUMMYFUNCTION("""COMPUTED_VALUE"""),"Zapadne Slovensko")</f>
        <v>Zapadne Slovensko</v>
      </c>
      <c r="B1825" t="str">
        <f ca="1">IFERROR(__xludf.DUMMYFUNCTION("""COMPUTED_VALUE"""),"SK02")</f>
        <v>SK02</v>
      </c>
    </row>
    <row r="1826" spans="1:2" ht="12.5" x14ac:dyDescent="0.25">
      <c r="A1826" t="str">
        <f ca="1">IFERROR(__xludf.DUMMYFUNCTION("""COMPUTED_VALUE"""),"Zaragoza")</f>
        <v>Zaragoza</v>
      </c>
      <c r="B1826" t="str">
        <f ca="1">IFERROR(__xludf.DUMMYFUNCTION("""COMPUTED_VALUE"""),"ES243")</f>
        <v>ES243</v>
      </c>
    </row>
    <row r="1827" spans="1:2" ht="12.5" x14ac:dyDescent="0.25">
      <c r="A1827" t="str">
        <f ca="1">IFERROR(__xludf.DUMMYFUNCTION("""COMPUTED_VALUE"""),"Zasavska")</f>
        <v>Zasavska</v>
      </c>
      <c r="B1827" t="str">
        <f ca="1">IFERROR(__xludf.DUMMYFUNCTION("""COMPUTED_VALUE"""),"SI015")</f>
        <v>SI015</v>
      </c>
    </row>
    <row r="1828" spans="1:2" ht="12.5" x14ac:dyDescent="0.25">
      <c r="A1828" t="str">
        <f ca="1">IFERROR(__xludf.DUMMYFUNCTION("""COMPUTED_VALUE"""),"Zeeland")</f>
        <v>Zeeland</v>
      </c>
      <c r="B1828" t="str">
        <f ca="1">IFERROR(__xludf.DUMMYFUNCTION("""COMPUTED_VALUE"""),"NL34")</f>
        <v>NL34</v>
      </c>
    </row>
    <row r="1829" spans="1:2" ht="12.5" x14ac:dyDescent="0.25">
      <c r="A1829" t="str">
        <f ca="1">IFERROR(__xludf.DUMMYFUNCTION("""COMPUTED_VALUE"""),"Zeeuwsch-Vlaanderen")</f>
        <v>Zeeuwsch-Vlaanderen</v>
      </c>
      <c r="B1829" t="str">
        <f ca="1">IFERROR(__xludf.DUMMYFUNCTION("""COMPUTED_VALUE"""),"NL341")</f>
        <v>NL341</v>
      </c>
    </row>
    <row r="1830" spans="1:2" ht="12.5" x14ac:dyDescent="0.25">
      <c r="A1830" t="str">
        <f ca="1">IFERROR(__xludf.DUMMYFUNCTION("""COMPUTED_VALUE"""),"Zemgale")</f>
        <v>Zemgale</v>
      </c>
      <c r="B1830" t="str">
        <f ca="1">IFERROR(__xludf.DUMMYFUNCTION("""COMPUTED_VALUE"""),"LV009")</f>
        <v>LV009</v>
      </c>
    </row>
    <row r="1831" spans="1:2" ht="12.5" x14ac:dyDescent="0.25">
      <c r="A1831" t="str">
        <f ca="1">IFERROR(__xludf.DUMMYFUNCTION("""COMPUTED_VALUE"""),"Zentralschweiz")</f>
        <v>Zentralschweiz</v>
      </c>
      <c r="B1831" t="str">
        <f ca="1">IFERROR(__xludf.DUMMYFUNCTION("""COMPUTED_VALUE"""),"CH06")</f>
        <v>CH06</v>
      </c>
    </row>
    <row r="1832" spans="1:2" ht="12.5" x14ac:dyDescent="0.25">
      <c r="A1832" t="str">
        <f ca="1">IFERROR(__xludf.DUMMYFUNCTION("""COMPUTED_VALUE"""),"Zielonogorski")</f>
        <v>Zielonogorski</v>
      </c>
      <c r="B1832" t="str">
        <f ca="1">IFERROR(__xludf.DUMMYFUNCTION("""COMPUTED_VALUE"""),"PL432")</f>
        <v>PL432</v>
      </c>
    </row>
    <row r="1833" spans="1:2" ht="12.5" x14ac:dyDescent="0.25">
      <c r="A1833" t="str">
        <f ca="1">IFERROR(__xludf.DUMMYFUNCTION("""COMPUTED_VALUE"""),"Zilinsky Kraj")</f>
        <v>Zilinsky Kraj</v>
      </c>
      <c r="B1833" t="str">
        <f ca="1">IFERROR(__xludf.DUMMYFUNCTION("""COMPUTED_VALUE"""),"SK031")</f>
        <v>SK031</v>
      </c>
    </row>
    <row r="1834" spans="1:2" ht="12.5" x14ac:dyDescent="0.25">
      <c r="A1834" t="str">
        <f ca="1">IFERROR(__xludf.DUMMYFUNCTION("""COMPUTED_VALUE"""),"Zlinsky Kraj")</f>
        <v>Zlinsky Kraj</v>
      </c>
      <c r="B1834" t="str">
        <f ca="1">IFERROR(__xludf.DUMMYFUNCTION("""COMPUTED_VALUE"""),"CZ072")</f>
        <v>CZ072</v>
      </c>
    </row>
    <row r="1835" spans="1:2" ht="12.5" x14ac:dyDescent="0.25">
      <c r="A1835" t="str">
        <f ca="1">IFERROR(__xludf.DUMMYFUNCTION("""COMPUTED_VALUE"""),"Zollernalbkreis")</f>
        <v>Zollernalbkreis</v>
      </c>
      <c r="B1835" t="str">
        <f ca="1">IFERROR(__xludf.DUMMYFUNCTION("""COMPUTED_VALUE"""),"DE143")</f>
        <v>DE143</v>
      </c>
    </row>
    <row r="1836" spans="1:2" ht="12.5" x14ac:dyDescent="0.25">
      <c r="A1836" t="str">
        <f ca="1">IFERROR(__xludf.DUMMYFUNCTION("""COMPUTED_VALUE"""),"Zug")</f>
        <v>Zug</v>
      </c>
      <c r="B1836" t="str">
        <f ca="1">IFERROR(__xludf.DUMMYFUNCTION("""COMPUTED_VALUE"""),"CH066")</f>
        <v>CH066</v>
      </c>
    </row>
    <row r="1837" spans="1:2" ht="12.5" x14ac:dyDescent="0.25">
      <c r="A1837" t="str">
        <f ca="1">IFERROR(__xludf.DUMMYFUNCTION("""COMPUTED_VALUE"""),"Zuid-Holland")</f>
        <v>Zuid-Holland</v>
      </c>
      <c r="B1837" t="str">
        <f ca="1">IFERROR(__xludf.DUMMYFUNCTION("""COMPUTED_VALUE"""),"NL33")</f>
        <v>NL33</v>
      </c>
    </row>
    <row r="1838" spans="1:2" ht="12.5" x14ac:dyDescent="0.25">
      <c r="A1838" t="str">
        <f ca="1">IFERROR(__xludf.DUMMYFUNCTION("""COMPUTED_VALUE"""),"Zuid-Limburg")</f>
        <v>Zuid-Limburg</v>
      </c>
      <c r="B1838" t="str">
        <f ca="1">IFERROR(__xludf.DUMMYFUNCTION("""COMPUTED_VALUE"""),"NL423")</f>
        <v>NL423</v>
      </c>
    </row>
    <row r="1839" spans="1:2" ht="12.5" x14ac:dyDescent="0.25">
      <c r="A1839" t="str">
        <f ca="1">IFERROR(__xludf.DUMMYFUNCTION("""COMPUTED_VALUE"""),"Zuid-Nederland")</f>
        <v>Zuid-Nederland</v>
      </c>
      <c r="B1839" t="str">
        <f ca="1">IFERROR(__xludf.DUMMYFUNCTION("""COMPUTED_VALUE"""),"NL4")</f>
        <v>NL4</v>
      </c>
    </row>
    <row r="1840" spans="1:2" ht="12.5" x14ac:dyDescent="0.25">
      <c r="A1840" t="str">
        <f ca="1">IFERROR(__xludf.DUMMYFUNCTION("""COMPUTED_VALUE"""),"Zuidoost-Drenthe")</f>
        <v>Zuidoost-Drenthe</v>
      </c>
      <c r="B1840" t="str">
        <f ca="1">IFERROR(__xludf.DUMMYFUNCTION("""COMPUTED_VALUE"""),"NL132")</f>
        <v>NL132</v>
      </c>
    </row>
    <row r="1841" spans="1:2" ht="12.5" x14ac:dyDescent="0.25">
      <c r="A1841" t="str">
        <f ca="1">IFERROR(__xludf.DUMMYFUNCTION("""COMPUTED_VALUE"""),"Zuidoost-Friesland")</f>
        <v>Zuidoost-Friesland</v>
      </c>
      <c r="B1841" t="str">
        <f ca="1">IFERROR(__xludf.DUMMYFUNCTION("""COMPUTED_VALUE"""),"NL123")</f>
        <v>NL123</v>
      </c>
    </row>
    <row r="1842" spans="1:2" ht="12.5" x14ac:dyDescent="0.25">
      <c r="A1842" t="str">
        <f ca="1">IFERROR(__xludf.DUMMYFUNCTION("""COMPUTED_VALUE"""),"Zuidoost-Noord-Brabant")</f>
        <v>Zuidoost-Noord-Brabant</v>
      </c>
      <c r="B1842" t="str">
        <f ca="1">IFERROR(__xludf.DUMMYFUNCTION("""COMPUTED_VALUE"""),"NL414")</f>
        <v>NL414</v>
      </c>
    </row>
    <row r="1843" spans="1:2" ht="12.5" x14ac:dyDescent="0.25">
      <c r="A1843" t="str">
        <f ca="1">IFERROR(__xludf.DUMMYFUNCTION("""COMPUTED_VALUE"""),"Zuidoost-Zuid-Holland")</f>
        <v>Zuidoost-Zuid-Holland</v>
      </c>
      <c r="B1843" t="str">
        <f ca="1">IFERROR(__xludf.DUMMYFUNCTION("""COMPUTED_VALUE"""),"NL336")</f>
        <v>NL336</v>
      </c>
    </row>
    <row r="1844" spans="1:2" ht="12.5" x14ac:dyDescent="0.25">
      <c r="A1844" t="str">
        <f ca="1">IFERROR(__xludf.DUMMYFUNCTION("""COMPUTED_VALUE"""),"Zuidwest-Drenthe")</f>
        <v>Zuidwest-Drenthe</v>
      </c>
      <c r="B1844" t="str">
        <f ca="1">IFERROR(__xludf.DUMMYFUNCTION("""COMPUTED_VALUE"""),"NL133")</f>
        <v>NL133</v>
      </c>
    </row>
    <row r="1845" spans="1:2" ht="12.5" x14ac:dyDescent="0.25">
      <c r="A1845" t="str">
        <f ca="1">IFERROR(__xludf.DUMMYFUNCTION("""COMPUTED_VALUE"""),"Zuidwest-Friesland")</f>
        <v>Zuidwest-Friesland</v>
      </c>
      <c r="B1845" t="str">
        <f ca="1">IFERROR(__xludf.DUMMYFUNCTION("""COMPUTED_VALUE"""),"NL122")</f>
        <v>NL122</v>
      </c>
    </row>
    <row r="1846" spans="1:2" ht="12.5" x14ac:dyDescent="0.25">
      <c r="A1846" t="str">
        <f ca="1">IFERROR(__xludf.DUMMYFUNCTION("""COMPUTED_VALUE"""),"Zuidwest-Gelderland")</f>
        <v>Zuidwest-Gelderland</v>
      </c>
      <c r="B1846" t="str">
        <f ca="1">IFERROR(__xludf.DUMMYFUNCTION("""COMPUTED_VALUE"""),"NL224")</f>
        <v>NL224</v>
      </c>
    </row>
    <row r="1847" spans="1:2" ht="12.5" x14ac:dyDescent="0.25">
      <c r="A1847" t="str">
        <f ca="1">IFERROR(__xludf.DUMMYFUNCTION("""COMPUTED_VALUE"""),"Zuidwest-Overijssel")</f>
        <v>Zuidwest-Overijssel</v>
      </c>
      <c r="B1847" t="str">
        <f ca="1">IFERROR(__xludf.DUMMYFUNCTION("""COMPUTED_VALUE"""),"NL212")</f>
        <v>NL212</v>
      </c>
    </row>
    <row r="1848" spans="1:2" ht="12.5" x14ac:dyDescent="0.25">
      <c r="A1848" t="str">
        <f ca="1">IFERROR(__xludf.DUMMYFUNCTION("""COMPUTED_VALUE"""),"Zürich")</f>
        <v>Zürich</v>
      </c>
      <c r="B1848" t="str">
        <f ca="1">IFERROR(__xludf.DUMMYFUNCTION("""COMPUTED_VALUE"""),"CH04")</f>
        <v>CH04</v>
      </c>
    </row>
    <row r="1849" spans="1:2" ht="12.5" x14ac:dyDescent="0.25">
      <c r="A1849" t="str">
        <f ca="1">IFERROR(__xludf.DUMMYFUNCTION("""COMPUTED_VALUE"""),"Zürich (*)")</f>
        <v>Zürich (*)</v>
      </c>
      <c r="B1849" t="str">
        <f ca="1">IFERROR(__xludf.DUMMYFUNCTION("""COMPUTED_VALUE"""),"CH040")</f>
        <v>CH040</v>
      </c>
    </row>
    <row r="1850" spans="1:2" ht="12.5" x14ac:dyDescent="0.25">
      <c r="A1850" t="str">
        <f ca="1">IFERROR(__xludf.DUMMYFUNCTION("""COMPUTED_VALUE"""),"Zweibrücken, Kreisfreie Stadt")</f>
        <v>Zweibrücken, Kreisfreie Stadt</v>
      </c>
      <c r="B1850" t="str">
        <f ca="1">IFERROR(__xludf.DUMMYFUNCTION("""COMPUTED_VALUE"""),"DEB3A")</f>
        <v>DEB3A</v>
      </c>
    </row>
    <row r="1851" spans="1:2" ht="12.5" x14ac:dyDescent="0.25">
      <c r="A1851" t="str">
        <f ca="1">IFERROR(__xludf.DUMMYFUNCTION("""COMPUTED_VALUE"""),"Zwickau, Kreisfreie Stadt")</f>
        <v>Zwickau, Kreisfreie Stadt</v>
      </c>
      <c r="B1851" t="str">
        <f ca="1">IFERROR(__xludf.DUMMYFUNCTION("""COMPUTED_VALUE"""),"DED13")</f>
        <v>DED13</v>
      </c>
    </row>
    <row r="1852" spans="1:2" ht="12.5" x14ac:dyDescent="0.25">
      <c r="A1852" t="str">
        <f ca="1">IFERROR(__xludf.DUMMYFUNCTION("""COMPUTED_VALUE"""),"Zwickauer Land")</f>
        <v>Zwickauer Land</v>
      </c>
      <c r="B1852" t="str">
        <f ca="1">IFERROR(__xludf.DUMMYFUNCTION("""COMPUTED_VALUE"""),"DED1C")</f>
        <v>DED1C</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8"/>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IFERROR(__xludf.DUMMYFUNCTION("importrange(""https://docs.google.com/spreadsheets/d/1C6N4-YWX9OMmNStd2rYlSUaVys-aiJGLj00cD44aVc8/edit#gid=1894320575"",""Packaging!A1:O500"")"),"Value")</f>
        <v>Value</v>
      </c>
      <c r="B1" t="str">
        <f ca="1">IFERROR(__xludf.DUMMYFUNCTION("""COMPUTED_VALUE"""),"ID")</f>
        <v>ID</v>
      </c>
      <c r="C1" t="str">
        <f ca="1">IFERROR(__xludf.DUMMYFUNCTION("""COMPUTED_VALUE"""),"Comment")</f>
        <v>Comment</v>
      </c>
    </row>
    <row r="2" spans="1:3" ht="12.5" x14ac:dyDescent="0.25">
      <c r="A2" t="str">
        <f ca="1">IFERROR(__xludf.DUMMYFUNCTION("""COMPUTED_VALUE"""),"Aluminium foil - aluminium sheet")</f>
        <v>Aluminium foil - aluminium sheet</v>
      </c>
      <c r="B2" t="str">
        <f ca="1">IFERROR(__xludf.DUMMYFUNCTION("""COMPUTED_VALUE"""),"H510A")</f>
        <v>H510A</v>
      </c>
    </row>
    <row r="3" spans="1:3" ht="12.5" x14ac:dyDescent="0.25">
      <c r="A3" t="str">
        <f ca="1">IFERROR(__xludf.DUMMYFUNCTION("""COMPUTED_VALUE"""),"Artificial casing")</f>
        <v>Artificial casing</v>
      </c>
      <c r="B3" t="str">
        <f ca="1">IFERROR(__xludf.DUMMYFUNCTION("""COMPUTED_VALUE"""),"H066A")</f>
        <v>H066A</v>
      </c>
    </row>
    <row r="4" spans="1:3" ht="12.5" x14ac:dyDescent="0.25">
      <c r="A4" t="str">
        <f ca="1">IFERROR(__xludf.DUMMYFUNCTION("""COMPUTED_VALUE"""),"Artificial fibre fabric")</f>
        <v>Artificial fibre fabric</v>
      </c>
      <c r="B4" t="str">
        <f ca="1">IFERROR(__xludf.DUMMYFUNCTION("""COMPUTED_VALUE"""),"H032A")</f>
        <v>H032A</v>
      </c>
    </row>
    <row r="5" spans="1:3" ht="12.5" x14ac:dyDescent="0.25">
      <c r="A5" t="str">
        <f ca="1">IFERROR(__xludf.DUMMYFUNCTION("""COMPUTED_VALUE"""),"Blister (film)")</f>
        <v>Blister (film)</v>
      </c>
      <c r="B5" t="str">
        <f ca="1">IFERROR(__xludf.DUMMYFUNCTION("""COMPUTED_VALUE"""),"H600A")</f>
        <v>H600A</v>
      </c>
    </row>
    <row r="6" spans="1:3" ht="12.5" x14ac:dyDescent="0.25">
      <c r="A6" t="str">
        <f ca="1">IFERROR(__xludf.DUMMYFUNCTION("""COMPUTED_VALUE"""),"Cardboard - paperboard")</f>
        <v>Cardboard - paperboard</v>
      </c>
      <c r="B6" t="str">
        <f ca="1">IFERROR(__xludf.DUMMYFUNCTION("""COMPUTED_VALUE"""),"H012A")</f>
        <v>H012A</v>
      </c>
    </row>
    <row r="7" spans="1:3" ht="12.5" x14ac:dyDescent="0.25">
      <c r="A7" t="str">
        <f ca="1">IFERROR(__xludf.DUMMYFUNCTION("""COMPUTED_VALUE"""),"Cellophane")</f>
        <v>Cellophane</v>
      </c>
      <c r="B7" t="str">
        <f ca="1">IFERROR(__xludf.DUMMYFUNCTION("""COMPUTED_VALUE"""),"H011A")</f>
        <v>H011A</v>
      </c>
    </row>
    <row r="8" spans="1:3" ht="12.5" x14ac:dyDescent="0.25">
      <c r="A8" t="str">
        <f ca="1">IFERROR(__xludf.DUMMYFUNCTION("""COMPUTED_VALUE"""),"Combined aluminium and film packaging")</f>
        <v>Combined aluminium and film packaging</v>
      </c>
      <c r="B8" t="str">
        <f ca="1">IFERROR(__xludf.DUMMYFUNCTION("""COMPUTED_VALUE"""),"H161A")</f>
        <v>H161A</v>
      </c>
    </row>
    <row r="9" spans="1:3" ht="12.5" x14ac:dyDescent="0.25">
      <c r="A9" t="str">
        <f ca="1">IFERROR(__xludf.DUMMYFUNCTION("""COMPUTED_VALUE"""),"Combined material")</f>
        <v>Combined material</v>
      </c>
      <c r="B9" t="str">
        <f ca="1">IFERROR(__xludf.DUMMYFUNCTION("""COMPUTED_VALUE"""),"H150A")</f>
        <v>H150A</v>
      </c>
    </row>
    <row r="10" spans="1:3" ht="12.5" x14ac:dyDescent="0.25">
      <c r="A10" t="str">
        <f ca="1">IFERROR(__xludf.DUMMYFUNCTION("""COMPUTED_VALUE"""),"Combined paper and film packaging")</f>
        <v>Combined paper and film packaging</v>
      </c>
      <c r="B10" t="str">
        <f ca="1">IFERROR(__xludf.DUMMYFUNCTION("""COMPUTED_VALUE"""),"H160A")</f>
        <v>H160A</v>
      </c>
    </row>
    <row r="11" spans="1:3" ht="12.5" x14ac:dyDescent="0.25">
      <c r="A11" t="str">
        <f ca="1">IFERROR(__xludf.DUMMYFUNCTION("""COMPUTED_VALUE"""),"Combined styropor and film packaging")</f>
        <v>Combined styropor and film packaging</v>
      </c>
      <c r="B11" t="str">
        <f ca="1">IFERROR(__xludf.DUMMYFUNCTION("""COMPUTED_VALUE"""),"H162A")</f>
        <v>H162A</v>
      </c>
    </row>
    <row r="12" spans="1:3" ht="12.5" x14ac:dyDescent="0.25">
      <c r="A12" t="str">
        <f ca="1">IFERROR(__xludf.DUMMYFUNCTION("""COMPUTED_VALUE"""),"Fabric - textile material")</f>
        <v>Fabric - textile material</v>
      </c>
      <c r="B12" t="str">
        <f ca="1">IFERROR(__xludf.DUMMYFUNCTION("""COMPUTED_VALUE"""),"H030A")</f>
        <v>H030A</v>
      </c>
    </row>
    <row r="13" spans="1:3" ht="12.5" x14ac:dyDescent="0.25">
      <c r="A13" t="str">
        <f ca="1">IFERROR(__xludf.DUMMYFUNCTION("""COMPUTED_VALUE"""),"Glass")</f>
        <v>Glass</v>
      </c>
      <c r="B13" t="str">
        <f ca="1">IFERROR(__xludf.DUMMYFUNCTION("""COMPUTED_VALUE"""),"H200A")</f>
        <v>H200A</v>
      </c>
    </row>
    <row r="14" spans="1:3" ht="12.5" x14ac:dyDescent="0.25">
      <c r="A14" t="str">
        <f ca="1">IFERROR(__xludf.DUMMYFUNCTION("""COMPUTED_VALUE"""),"High-grade steel or stainless steel or: Fine steel")</f>
        <v>High-grade steel or stainless steel or: Fine steel</v>
      </c>
      <c r="B14" t="str">
        <f ca="1">IFERROR(__xludf.DUMMYFUNCTION("""COMPUTED_VALUE"""),"H534A")</f>
        <v>H534A</v>
      </c>
    </row>
    <row r="15" spans="1:3" ht="12.5" x14ac:dyDescent="0.25">
      <c r="A15" t="str">
        <f ca="1">IFERROR(__xludf.DUMMYFUNCTION("""COMPUTED_VALUE"""),"Jute")</f>
        <v>Jute</v>
      </c>
      <c r="B15" t="str">
        <f ca="1">IFERROR(__xludf.DUMMYFUNCTION("""COMPUTED_VALUE"""),"H034A")</f>
        <v>H034A</v>
      </c>
    </row>
    <row r="16" spans="1:3" ht="12.5" x14ac:dyDescent="0.25">
      <c r="A16" t="str">
        <f ca="1">IFERROR(__xludf.DUMMYFUNCTION("""COMPUTED_VALUE"""),"Laminated film; composite film")</f>
        <v>Laminated film; composite film</v>
      </c>
      <c r="B16" t="str">
        <f ca="1">IFERROR(__xludf.DUMMYFUNCTION("""COMPUTED_VALUE"""),"H151A")</f>
        <v>H151A</v>
      </c>
    </row>
    <row r="17" spans="1:2" ht="12.5" x14ac:dyDescent="0.25">
      <c r="A17" t="str">
        <f ca="1">IFERROR(__xludf.DUMMYFUNCTION("""COMPUTED_VALUE"""),"Metal")</f>
        <v>Metal</v>
      </c>
      <c r="B17" t="str">
        <f ca="1">IFERROR(__xludf.DUMMYFUNCTION("""COMPUTED_VALUE"""),"H500A")</f>
        <v>H500A</v>
      </c>
    </row>
    <row r="18" spans="1:2" ht="12.5" x14ac:dyDescent="0.25">
      <c r="A18" t="str">
        <f ca="1">IFERROR(__xludf.DUMMYFUNCTION("""COMPUTED_VALUE"""),"Metal alloy")</f>
        <v>Metal alloy</v>
      </c>
      <c r="B18" t="str">
        <f ca="1">IFERROR(__xludf.DUMMYFUNCTION("""COMPUTED_VALUE"""),"H501A")</f>
        <v>H501A</v>
      </c>
    </row>
    <row r="19" spans="1:2" ht="12.5" x14ac:dyDescent="0.25">
      <c r="A19" t="str">
        <f ca="1">IFERROR(__xludf.DUMMYFUNCTION("""COMPUTED_VALUE"""),"Mixed fibre fabric")</f>
        <v>Mixed fibre fabric</v>
      </c>
      <c r="B19" t="str">
        <f ca="1">IFERROR(__xludf.DUMMYFUNCTION("""COMPUTED_VALUE"""),"H033A")</f>
        <v>H033A</v>
      </c>
    </row>
    <row r="20" spans="1:2" ht="12.5" x14ac:dyDescent="0.25">
      <c r="A20" t="str">
        <f ca="1">IFERROR(__xludf.DUMMYFUNCTION("""COMPUTED_VALUE"""),"Natural fibre fabric")</f>
        <v>Natural fibre fabric</v>
      </c>
      <c r="B20" t="str">
        <f ca="1">IFERROR(__xludf.DUMMYFUNCTION("""COMPUTED_VALUE"""),"H031A")</f>
        <v>H031A</v>
      </c>
    </row>
    <row r="21" spans="1:2" ht="12.5" x14ac:dyDescent="0.25">
      <c r="A21" t="str">
        <f ca="1">IFERROR(__xludf.DUMMYFUNCTION("""COMPUTED_VALUE"""),"No information")</f>
        <v>No information</v>
      </c>
      <c r="B21" t="str">
        <f ca="1">IFERROR(__xludf.DUMMYFUNCTION("""COMPUTED_VALUE"""),"H999A")</f>
        <v>H999A</v>
      </c>
    </row>
    <row r="22" spans="1:2" ht="12.5" x14ac:dyDescent="0.25">
      <c r="A22" t="str">
        <f ca="1">IFERROR(__xludf.DUMMYFUNCTION("""COMPUTED_VALUE"""),"Not packed (loose; open)")</f>
        <v>Not packed (loose; open)</v>
      </c>
      <c r="B22" t="str">
        <f ca="1">IFERROR(__xludf.DUMMYFUNCTION("""COMPUTED_VALUE"""),"H001A")</f>
        <v>H001A</v>
      </c>
    </row>
    <row r="23" spans="1:2" ht="12.5" x14ac:dyDescent="0.25">
      <c r="A23" t="str">
        <f ca="1">IFERROR(__xludf.DUMMYFUNCTION("""COMPUTED_VALUE"""),"Other")</f>
        <v>Other</v>
      </c>
      <c r="B23" t="str">
        <f ca="1">IFERROR(__xludf.DUMMYFUNCTION("""COMPUTED_VALUE"""),"Other")</f>
        <v>Other</v>
      </c>
    </row>
    <row r="24" spans="1:2" ht="12.5" x14ac:dyDescent="0.25">
      <c r="A24" t="str">
        <f ca="1">IFERROR(__xludf.DUMMYFUNCTION("""COMPUTED_VALUE"""),"Packed")</f>
        <v>Packed</v>
      </c>
      <c r="B24" t="str">
        <f ca="1">IFERROR(__xludf.DUMMYFUNCTION("""COMPUTED_VALUE"""),"H003A")</f>
        <v>H003A</v>
      </c>
    </row>
    <row r="25" spans="1:2" ht="12.5" x14ac:dyDescent="0.25">
      <c r="A25" t="str">
        <f ca="1">IFERROR(__xludf.DUMMYFUNCTION("""COMPUTED_VALUE"""),"Paper")</f>
        <v>Paper</v>
      </c>
      <c r="B25" t="str">
        <f ca="1">IFERROR(__xludf.DUMMYFUNCTION("""COMPUTED_VALUE"""),"H010A")</f>
        <v>H010A</v>
      </c>
    </row>
    <row r="26" spans="1:2" ht="12.5" x14ac:dyDescent="0.25">
      <c r="A26" t="str">
        <f ca="1">IFERROR(__xludf.DUMMYFUNCTION("""COMPUTED_VALUE"""),"Parchment")</f>
        <v>Parchment</v>
      </c>
      <c r="B26" t="str">
        <f ca="1">IFERROR(__xludf.DUMMYFUNCTION("""COMPUTED_VALUE"""),"H015A")</f>
        <v>H015A</v>
      </c>
    </row>
    <row r="27" spans="1:2" ht="12.5" x14ac:dyDescent="0.25">
      <c r="A27" t="str">
        <f ca="1">IFERROR(__xludf.DUMMYFUNCTION("""COMPUTED_VALUE"""),"PET Polyethylene terephthalate")</f>
        <v>PET Polyethylene terephthalate</v>
      </c>
      <c r="B27" t="str">
        <f ca="1">IFERROR(__xludf.DUMMYFUNCTION("""COMPUTED_VALUE"""),"H125A")</f>
        <v>H125A</v>
      </c>
    </row>
    <row r="28" spans="1:2" ht="12.5" x14ac:dyDescent="0.25">
      <c r="A28" t="str">
        <f ca="1">IFERROR(__xludf.DUMMYFUNCTION("""COMPUTED_VALUE"""),"Plastic - plastic film")</f>
        <v>Plastic - plastic film</v>
      </c>
      <c r="B28" t="str">
        <f ca="1">IFERROR(__xludf.DUMMYFUNCTION("""COMPUTED_VALUE"""),"H100A")</f>
        <v>H100A</v>
      </c>
    </row>
    <row r="29" spans="1:2" ht="12.5" x14ac:dyDescent="0.25">
      <c r="A29" t="str">
        <f ca="1">IFERROR(__xludf.DUMMYFUNCTION("""COMPUTED_VALUE"""),"Polyacryl")</f>
        <v>Polyacryl</v>
      </c>
      <c r="B29" t="str">
        <f ca="1">IFERROR(__xludf.DUMMYFUNCTION("""COMPUTED_VALUE"""),"H124A")</f>
        <v>H124A</v>
      </c>
    </row>
    <row r="30" spans="1:2" ht="12.5" x14ac:dyDescent="0.25">
      <c r="A30" t="str">
        <f ca="1">IFERROR(__xludf.DUMMYFUNCTION("""COMPUTED_VALUE"""),"Polyamide")</f>
        <v>Polyamide</v>
      </c>
      <c r="B30" t="str">
        <f ca="1">IFERROR(__xludf.DUMMYFUNCTION("""COMPUTED_VALUE"""),"H115A")</f>
        <v>H115A</v>
      </c>
    </row>
    <row r="31" spans="1:2" ht="12.5" x14ac:dyDescent="0.25">
      <c r="A31" t="str">
        <f ca="1">IFERROR(__xludf.DUMMYFUNCTION("""COMPUTED_VALUE"""),"Polycarbonate")</f>
        <v>Polycarbonate</v>
      </c>
      <c r="B31" t="str">
        <f ca="1">IFERROR(__xludf.DUMMYFUNCTION("""COMPUTED_VALUE"""),"H118A")</f>
        <v>H118A</v>
      </c>
    </row>
    <row r="32" spans="1:2" ht="12.5" x14ac:dyDescent="0.25">
      <c r="A32" t="str">
        <f ca="1">IFERROR(__xludf.DUMMYFUNCTION("""COMPUTED_VALUE"""),"Polyethylene")</f>
        <v>Polyethylene</v>
      </c>
      <c r="B32" t="str">
        <f ca="1">IFERROR(__xludf.DUMMYFUNCTION("""COMPUTED_VALUE"""),"H106A")</f>
        <v>H106A</v>
      </c>
    </row>
    <row r="33" spans="1:2" ht="12.5" x14ac:dyDescent="0.25">
      <c r="A33" t="str">
        <f ca="1">IFERROR(__xludf.DUMMYFUNCTION("""COMPUTED_VALUE"""),"Polymethane")</f>
        <v>Polymethane</v>
      </c>
      <c r="B33" t="str">
        <f ca="1">IFERROR(__xludf.DUMMYFUNCTION("""COMPUTED_VALUE"""),"H121A")</f>
        <v>H121A</v>
      </c>
    </row>
    <row r="34" spans="1:2" ht="12.5" x14ac:dyDescent="0.25">
      <c r="A34" t="str">
        <f ca="1">IFERROR(__xludf.DUMMYFUNCTION("""COMPUTED_VALUE"""),"Polypropylene")</f>
        <v>Polypropylene</v>
      </c>
      <c r="B34" t="str">
        <f ca="1">IFERROR(__xludf.DUMMYFUNCTION("""COMPUTED_VALUE"""),"H107A")</f>
        <v>H107A</v>
      </c>
    </row>
    <row r="35" spans="1:2" ht="12.5" x14ac:dyDescent="0.25">
      <c r="A35" t="str">
        <f ca="1">IFERROR(__xludf.DUMMYFUNCTION("""COMPUTED_VALUE"""),"Polystyrene")</f>
        <v>Polystyrene</v>
      </c>
      <c r="B35" t="str">
        <f ca="1">IFERROR(__xludf.DUMMYFUNCTION("""COMPUTED_VALUE"""),"H109A")</f>
        <v>H109A</v>
      </c>
    </row>
    <row r="36" spans="1:2" ht="12.5" x14ac:dyDescent="0.25">
      <c r="A36" t="str">
        <f ca="1">IFERROR(__xludf.DUMMYFUNCTION("""COMPUTED_VALUE"""),"Polyvinyl chloride")</f>
        <v>Polyvinyl chloride</v>
      </c>
      <c r="B36" t="str">
        <f ca="1">IFERROR(__xludf.DUMMYFUNCTION("""COMPUTED_VALUE"""),"H103A")</f>
        <v>H103A</v>
      </c>
    </row>
    <row r="37" spans="1:2" ht="12.5" x14ac:dyDescent="0.25">
      <c r="A37" t="str">
        <f ca="1">IFERROR(__xludf.DUMMYFUNCTION("""COMPUTED_VALUE"""),"Porcelain - earthenware - ceramics")</f>
        <v>Porcelain - earthenware - ceramics</v>
      </c>
      <c r="B37" t="str">
        <f ca="1">IFERROR(__xludf.DUMMYFUNCTION("""COMPUTED_VALUE"""),"H210A")</f>
        <v>H210A</v>
      </c>
    </row>
    <row r="38" spans="1:2" ht="12.5" x14ac:dyDescent="0.25">
      <c r="A38" t="str">
        <f ca="1">IFERROR(__xludf.DUMMYFUNCTION("""COMPUTED_VALUE"""),"Protective gas package")</f>
        <v>Protective gas package</v>
      </c>
      <c r="B38" t="str">
        <f ca="1">IFERROR(__xludf.DUMMYFUNCTION("""COMPUTED_VALUE"""),"H004A")</f>
        <v>H004A</v>
      </c>
    </row>
    <row r="39" spans="1:2" ht="12.5" x14ac:dyDescent="0.25">
      <c r="A39" t="str">
        <f ca="1">IFERROR(__xludf.DUMMYFUNCTION("""COMPUTED_VALUE"""),"Steel")</f>
        <v>Steel</v>
      </c>
      <c r="B39" t="str">
        <f ca="1">IFERROR(__xludf.DUMMYFUNCTION("""COMPUTED_VALUE"""),"H530A")</f>
        <v>H530A</v>
      </c>
    </row>
    <row r="40" spans="1:2" ht="12.5" x14ac:dyDescent="0.25">
      <c r="A40" t="str">
        <f ca="1">IFERROR(__xludf.DUMMYFUNCTION("""COMPUTED_VALUE"""),"Tin Free Steel (TFS - sheets- steel sheets with chromium plating)")</f>
        <v>Tin Free Steel (TFS - sheets- steel sheets with chromium plating)</v>
      </c>
      <c r="B40" t="str">
        <f ca="1">IFERROR(__xludf.DUMMYFUNCTION("""COMPUTED_VALUE"""),"H535A")</f>
        <v>H535A</v>
      </c>
    </row>
    <row r="41" spans="1:2" ht="12.5" x14ac:dyDescent="0.25">
      <c r="A41" t="str">
        <f ca="1">IFERROR(__xludf.DUMMYFUNCTION("""COMPUTED_VALUE"""),"Tinplate")</f>
        <v>Tinplate</v>
      </c>
      <c r="B41" t="str">
        <f ca="1">IFERROR(__xludf.DUMMYFUNCTION("""COMPUTED_VALUE"""),"H520A")</f>
        <v>H520A</v>
      </c>
    </row>
    <row r="42" spans="1:2" ht="12.5" x14ac:dyDescent="0.25">
      <c r="A42" t="str">
        <f ca="1">IFERROR(__xludf.DUMMYFUNCTION("""COMPUTED_VALUE"""),"Tinplate soldered, not varnished")</f>
        <v>Tinplate soldered, not varnished</v>
      </c>
      <c r="B42" t="str">
        <f ca="1">IFERROR(__xludf.DUMMYFUNCTION("""COMPUTED_VALUE"""),"H524A")</f>
        <v>H524A</v>
      </c>
    </row>
    <row r="43" spans="1:2" ht="12.5" x14ac:dyDescent="0.25">
      <c r="A43" t="str">
        <f ca="1">IFERROR(__xludf.DUMMYFUNCTION("""COMPUTED_VALUE"""),"Tinplate, soldered")</f>
        <v>Tinplate, soldered</v>
      </c>
      <c r="B43" t="str">
        <f ca="1">IFERROR(__xludf.DUMMYFUNCTION("""COMPUTED_VALUE"""),"H522A")</f>
        <v>H522A</v>
      </c>
    </row>
    <row r="44" spans="1:2" ht="12.5" x14ac:dyDescent="0.25">
      <c r="A44" t="str">
        <f ca="1">IFERROR(__xludf.DUMMYFUNCTION("""COMPUTED_VALUE"""),"Tinplate, varnished - partly varnished")</f>
        <v>Tinplate, varnished - partly varnished</v>
      </c>
      <c r="B44" t="str">
        <f ca="1">IFERROR(__xludf.DUMMYFUNCTION("""COMPUTED_VALUE"""),"H523A")</f>
        <v>H523A</v>
      </c>
    </row>
    <row r="45" spans="1:2" ht="12.5" x14ac:dyDescent="0.25">
      <c r="A45" t="str">
        <f ca="1">IFERROR(__xludf.DUMMYFUNCTION("""COMPUTED_VALUE"""),"Vacuum package")</f>
        <v>Vacuum package</v>
      </c>
      <c r="B45" t="str">
        <f ca="1">IFERROR(__xludf.DUMMYFUNCTION("""COMPUTED_VALUE"""),"H005A")</f>
        <v>H005A</v>
      </c>
    </row>
    <row r="46" spans="1:2" ht="12.5" x14ac:dyDescent="0.25">
      <c r="A46" t="str">
        <f ca="1">IFERROR(__xludf.DUMMYFUNCTION("""COMPUTED_VALUE"""),"Wax paper - wax cardboard")</f>
        <v>Wax paper - wax cardboard</v>
      </c>
      <c r="B46" t="str">
        <f ca="1">IFERROR(__xludf.DUMMYFUNCTION("""COMPUTED_VALUE"""),"H013A")</f>
        <v>H013A</v>
      </c>
    </row>
    <row r="47" spans="1:2" ht="12.5" x14ac:dyDescent="0.25">
      <c r="A47" t="str">
        <f ca="1">IFERROR(__xludf.DUMMYFUNCTION("""COMPUTED_VALUE"""),"Wood - wood wool")</f>
        <v>Wood - wood wool</v>
      </c>
      <c r="B47" t="str">
        <f ca="1">IFERROR(__xludf.DUMMYFUNCTION("""COMPUTED_VALUE"""),"H020A")</f>
        <v>H020A</v>
      </c>
    </row>
    <row r="48" spans="1:2" ht="12.5" x14ac:dyDescent="0.25">
      <c r="A48" t="str">
        <f ca="1">IFERROR(__xludf.DUMMYFUNCTION("""COMPUTED_VALUE"""),"Wrapped")</f>
        <v>Wrapped</v>
      </c>
      <c r="B48" t="str">
        <f ca="1">IFERROR(__xludf.DUMMYFUNCTION("""COMPUTED_VALUE"""),"H002A")</f>
        <v>H002A</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8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IFERROR(__xludf.DUMMYFUNCTION("importrange(""https://docs.google.com/spreadsheets/d/1C6N4-YWX9OMmNStd2rYlSUaVys-aiJGLj00cD44aVc8/edit#gid=1894320575"",""Parameter distribution!A1:O500"")"),"Value")</f>
        <v>Value</v>
      </c>
      <c r="B1" t="str">
        <f ca="1">IFERROR(__xludf.DUMMYFUNCTION("""COMPUTED_VALUE"""),"ID")</f>
        <v>ID</v>
      </c>
      <c r="C1" t="str">
        <f ca="1">IFERROR(__xludf.DUMMYFUNCTION("""COMPUTED_VALUE"""),"Comment")</f>
        <v>Comment</v>
      </c>
    </row>
    <row r="2" spans="1:3" ht="12.5" x14ac:dyDescent="0.25">
      <c r="A2" t="str">
        <f ca="1">IFERROR(__xludf.DUMMYFUNCTION("""COMPUTED_VALUE"""),"Normal 1")</f>
        <v>Normal 1</v>
      </c>
      <c r="B2" t="str">
        <f ca="1">IFERROR(__xludf.DUMMYFUNCTION("""COMPUTED_VALUE"""),"Parameter distribution_103")</f>
        <v>Parameter distribution_103</v>
      </c>
      <c r="C2" t="str">
        <f ca="1">IFERROR(__xludf.DUMMYFUNCTION("""COMPUTED_VALUE"""),"Normal distribution as used in iRISK: Syntax: [mean= ..; stdev= ...] e.g. [mean= 1.4; stdev= 2]""")</f>
        <v>Normal distribution as used in iRISK: Syntax: [mean= ..; stdev= ...] e.g. [mean= 1.4; stdev= 2]"</v>
      </c>
    </row>
    <row r="3" spans="1:3" ht="12.5" x14ac:dyDescent="0.25">
      <c r="A3" t="str">
        <f ca="1">IFERROR(__xludf.DUMMYFUNCTION("""COMPUTED_VALUE"""),"Amoroso 1")</f>
        <v>Amoroso 1</v>
      </c>
      <c r="B3" t="str">
        <f ca="1">IFERROR(__xludf.DUMMYFUNCTION("""COMPUTED_VALUE"""),"Parameter distribution_1")</f>
        <v>Parameter distribution_1</v>
      </c>
      <c r="C3" t="str">
        <f ca="1">IFERROR(__xludf.DUMMYFUNCTION("""COMPUTED_VALUE"""),"[Crooks, 2010]")</f>
        <v>[Crooks, 2010]</v>
      </c>
    </row>
    <row r="4" spans="1:3" ht="12.5" x14ac:dyDescent="0.25">
      <c r="A4" t="str">
        <f ca="1">IFERROR(__xludf.DUMMYFUNCTION("""COMPUTED_VALUE"""),"Arcsine 1")</f>
        <v>Arcsine 1</v>
      </c>
      <c r="B4" t="str">
        <f ca="1">IFERROR(__xludf.DUMMYFUNCTION("""COMPUTED_VALUE"""),"Parameter distribution_2")</f>
        <v>Parameter distribution_2</v>
      </c>
      <c r="C4" s="82" t="str">
        <f ca="1">IFERROR(__xludf.DUMMYFUNCTION("""COMPUTED_VALUE"""),"https://en.wikipedia.org/wiki/Arcsine_distribution")</f>
        <v>https://en.wikipedia.org/wiki/Arcsine_distribution</v>
      </c>
    </row>
    <row r="5" spans="1:3" ht="12.5" x14ac:dyDescent="0.25">
      <c r="A5" t="str">
        <f ca="1">IFERROR(__xludf.DUMMYFUNCTION("""COMPUTED_VALUE"""),"Arcsine 2")</f>
        <v>Arcsine 2</v>
      </c>
      <c r="B5" t="str">
        <f ca="1">IFERROR(__xludf.DUMMYFUNCTION("""COMPUTED_VALUE"""),"Parameter distribution_3")</f>
        <v>Parameter distribution_3</v>
      </c>
      <c r="C5" s="82" t="str">
        <f ca="1">IFERROR(__xludf.DUMMYFUNCTION("""COMPUTED_VALUE"""),"http://doc.openturns.org/openturns-1.6/sphinx/user_manual/_generated/openturns.Arcsine.html")</f>
        <v>http://doc.openturns.org/openturns-1.6/sphinx/user_manual/_generated/openturns.Arcsine.html</v>
      </c>
    </row>
    <row r="6" spans="1:3" ht="12.5" x14ac:dyDescent="0.25">
      <c r="A6" t="str">
        <f ca="1">IFERROR(__xludf.DUMMYFUNCTION("""COMPUTED_VALUE"""),"Asymmetric Laplace 1")</f>
        <v>Asymmetric Laplace 1</v>
      </c>
      <c r="B6" t="str">
        <f ca="1">IFERROR(__xludf.DUMMYFUNCTION("""COMPUTED_VALUE"""),"Parameter distribution_4")</f>
        <v>Parameter distribution_4</v>
      </c>
      <c r="C6" t="str">
        <f ca="1">IFERROR(__xludf.DUMMYFUNCTION("""COMPUTED_VALUE"""),"[Kozubowski and Podgórski, 1999]")</f>
        <v>[Kozubowski and Podgórski, 1999]</v>
      </c>
    </row>
    <row r="7" spans="1:3" ht="12.5" x14ac:dyDescent="0.25">
      <c r="A7" t="str">
        <f ca="1">IFERROR(__xludf.DUMMYFUNCTION("""COMPUTED_VALUE"""),"Benford 1")</f>
        <v>Benford 1</v>
      </c>
      <c r="B7" t="str">
        <f ca="1">IFERROR(__xludf.DUMMYFUNCTION("""COMPUTED_VALUE"""),"Parameter distribution_5")</f>
        <v>Parameter distribution_5</v>
      </c>
      <c r="C7" t="str">
        <f ca="1">IFERROR(__xludf.DUMMYFUNCTION("""COMPUTED_VALUE"""),"http://www.math.wm.edu/~leemis/chart/UDR/PDFs/Benford.pdf 10 [Marichev and Trott, 2013]")</f>
        <v>http://www.math.wm.edu/~leemis/chart/UDR/PDFs/Benford.pdf 10 [Marichev and Trott, 2013]</v>
      </c>
    </row>
    <row r="8" spans="1:3" ht="12.5" x14ac:dyDescent="0.25">
      <c r="A8" t="str">
        <f ca="1">IFERROR(__xludf.DUMMYFUNCTION("""COMPUTED_VALUE"""),"Bernoulli 1")</f>
        <v>Bernoulli 1</v>
      </c>
      <c r="B8" t="str">
        <f ca="1">IFERROR(__xludf.DUMMYFUNCTION("""COMPUTED_VALUE"""),"Parameter distribution_6")</f>
        <v>Parameter distribution_6</v>
      </c>
      <c r="C8" s="82" t="str">
        <f ca="1">IFERROR(__xludf.DUMMYFUNCTION("""COMPUTED_VALUE"""),"https://en.wikipedia.org/wiki/Bernoulli_distribution")</f>
        <v>https://en.wikipedia.org/wiki/Bernoulli_distribution</v>
      </c>
    </row>
    <row r="9" spans="1:3" ht="12.5" x14ac:dyDescent="0.25">
      <c r="A9" t="str">
        <f ca="1">IFERROR(__xludf.DUMMYFUNCTION("""COMPUTED_VALUE"""),"Bernoulli 2")</f>
        <v>Bernoulli 2</v>
      </c>
      <c r="B9" t="str">
        <f ca="1">IFERROR(__xludf.DUMMYFUNCTION("""COMPUTED_VALUE"""),"Parameter distribution_7")</f>
        <v>Parameter distribution_7</v>
      </c>
      <c r="C9" t="str">
        <f ca="1">IFERROR(__xludf.DUMMYFUNCTION("""COMPUTED_VALUE"""),"[STAN Development Team, 2015b]")</f>
        <v>[STAN Development Team, 2015b]</v>
      </c>
    </row>
    <row r="10" spans="1:3" ht="12.5" x14ac:dyDescent="0.25">
      <c r="A10" t="str">
        <f ca="1">IFERROR(__xludf.DUMMYFUNCTION("""COMPUTED_VALUE"""),"Beta 1")</f>
        <v>Beta 1</v>
      </c>
      <c r="B10" t="str">
        <f ca="1">IFERROR(__xludf.DUMMYFUNCTION("""COMPUTED_VALUE"""),"Parameter distribution_8")</f>
        <v>Parameter distribution_8</v>
      </c>
      <c r="C10" s="82" t="str">
        <f ca="1">IFERROR(__xludf.DUMMYFUNCTION("""COMPUTED_VALUE"""),"http://en.wikipedia.org/wiki/Beta_distribution")</f>
        <v>http://en.wikipedia.org/wiki/Beta_distribution</v>
      </c>
    </row>
    <row r="11" spans="1:3" ht="12.5" x14ac:dyDescent="0.25">
      <c r="A11" t="str">
        <f ca="1">IFERROR(__xludf.DUMMYFUNCTION("""COMPUTED_VALUE"""),"Beta-binomial 1")</f>
        <v>Beta-binomial 1</v>
      </c>
      <c r="B11" t="str">
        <f ca="1">IFERROR(__xludf.DUMMYFUNCTION("""COMPUTED_VALUE"""),"Parameter distribution_9")</f>
        <v>Parameter distribution_9</v>
      </c>
      <c r="C11" s="82" t="str">
        <f ca="1">IFERROR(__xludf.DUMMYFUNCTION("""COMPUTED_VALUE"""),"https://en.wikipedia.org/wiki/Beta-binomial_distribution")</f>
        <v>https://en.wikipedia.org/wiki/Beta-binomial_distribution</v>
      </c>
    </row>
    <row r="12" spans="1:3" ht="12.5" x14ac:dyDescent="0.25">
      <c r="A12" t="str">
        <f ca="1">IFERROR(__xludf.DUMMYFUNCTION("""COMPUTED_VALUE"""),"Beta Negative Binomial1")</f>
        <v>Beta Negative Binomial1</v>
      </c>
      <c r="B12" t="str">
        <f ca="1">IFERROR(__xludf.DUMMYFUNCTION("""COMPUTED_VALUE"""),"Parameter distribution_10")</f>
        <v>Parameter distribution_10</v>
      </c>
      <c r="C12" s="82" t="str">
        <f ca="1">IFERROR(__xludf.DUMMYFUNCTION("""COMPUTED_VALUE"""),"https://en.wikipedia.org/wiki/Beta_negative_binomial_distribution")</f>
        <v>https://en.wikipedia.org/wiki/Beta_negative_binomial_distribution</v>
      </c>
    </row>
    <row r="13" spans="1:3" ht="12.5" x14ac:dyDescent="0.25">
      <c r="A13" t="str">
        <f ca="1">IFERROR(__xludf.DUMMYFUNCTION("""COMPUTED_VALUE"""),"Binomial 1")</f>
        <v>Binomial 1</v>
      </c>
      <c r="B13" t="str">
        <f ca="1">IFERROR(__xludf.DUMMYFUNCTION("""COMPUTED_VALUE"""),"Parameter distribution_11")</f>
        <v>Parameter distribution_11</v>
      </c>
      <c r="C13" s="82" t="str">
        <f ca="1">IFERROR(__xludf.DUMMYFUNCTION("""COMPUTED_VALUE"""),"https://en.wikipedia.org/wiki/Binomial_distribution")</f>
        <v>https://en.wikipedia.org/wiki/Binomial_distribution</v>
      </c>
    </row>
    <row r="14" spans="1:3" ht="12.5" x14ac:dyDescent="0.25">
      <c r="A14" t="str">
        <f ca="1">IFERROR(__xludf.DUMMYFUNCTION("""COMPUTED_VALUE"""),"Binomial 2")</f>
        <v>Binomial 2</v>
      </c>
      <c r="B14" t="str">
        <f ca="1">IFERROR(__xludf.DUMMYFUNCTION("""COMPUTED_VALUE"""),"Parameter distribution_12")</f>
        <v>Parameter distribution_12</v>
      </c>
      <c r="C14" t="str">
        <f ca="1">IFERROR(__xludf.DUMMYFUNCTION("""COMPUTED_VALUE"""),"[STAN Development Team, 2015b]")</f>
        <v>[STAN Development Team, 2015b]</v>
      </c>
    </row>
    <row r="15" spans="1:3" ht="12.5" x14ac:dyDescent="0.25">
      <c r="A15" t="str">
        <f ca="1">IFERROR(__xludf.DUMMYFUNCTION("""COMPUTED_VALUE"""),"Birnbaum-Saunders 1")</f>
        <v>Birnbaum-Saunders 1</v>
      </c>
      <c r="B15" t="str">
        <f ca="1">IFERROR(__xludf.DUMMYFUNCTION("""COMPUTED_VALUE"""),"Parameter distribution_13")</f>
        <v>Parameter distribution_13</v>
      </c>
      <c r="C15" t="str">
        <f ca="1">IFERROR(__xludf.DUMMYFUNCTION("""COMPUTED_VALUE"""),"[MathWorks, 2015] https://en.wikipedia.org/wiki/Birnbaum%E2%80%93Saunders_distribution")</f>
        <v>[MathWorks, 2015] https://en.wikipedia.org/wiki/Birnbaum%E2%80%93Saunders_distribution</v>
      </c>
    </row>
    <row r="16" spans="1:3" ht="12.5" x14ac:dyDescent="0.25">
      <c r="A16" t="str">
        <f ca="1">IFERROR(__xludf.DUMMYFUNCTION("""COMPUTED_VALUE"""),"Borel 1")</f>
        <v>Borel 1</v>
      </c>
      <c r="B16" t="str">
        <f ca="1">IFERROR(__xludf.DUMMYFUNCTION("""COMPUTED_VALUE"""),"Parameter distribution_14")</f>
        <v>Parameter distribution_14</v>
      </c>
      <c r="C16" s="82" t="str">
        <f ca="1">IFERROR(__xludf.DUMMYFUNCTION("""COMPUTED_VALUE"""),"https://en.wikipedia.org/wiki/Borel_distribution")</f>
        <v>https://en.wikipedia.org/wiki/Borel_distribution</v>
      </c>
    </row>
    <row r="17" spans="1:3" ht="12.5" x14ac:dyDescent="0.25">
      <c r="A17" t="str">
        <f ca="1">IFERROR(__xludf.DUMMYFUNCTION("""COMPUTED_VALUE"""),"Burr 1")</f>
        <v>Burr 1</v>
      </c>
      <c r="B17" t="str">
        <f ca="1">IFERROR(__xludf.DUMMYFUNCTION("""COMPUTED_VALUE"""),"Parameter distribution_15")</f>
        <v>Parameter distribution_15</v>
      </c>
      <c r="C17" s="82" t="str">
        <f ca="1">IFERROR(__xludf.DUMMYFUNCTION("""COMPUTED_VALUE"""),"http://nl.mathworks.com/help/stats/burr-type-xii-distribution.html")</f>
        <v>http://nl.mathworks.com/help/stats/burr-type-xii-distribution.html</v>
      </c>
    </row>
    <row r="18" spans="1:3" ht="12.5" x14ac:dyDescent="0.25">
      <c r="A18" t="str">
        <f ca="1">IFERROR(__xludf.DUMMYFUNCTION("""COMPUTED_VALUE"""),"Categorical Nonordered 1")</f>
        <v>Categorical Nonordered 1</v>
      </c>
      <c r="B18" t="str">
        <f ca="1">IFERROR(__xludf.DUMMYFUNCTION("""COMPUTED_VALUE"""),"Parameter distribution_16")</f>
        <v>Parameter distribution_16</v>
      </c>
      <c r="C18" t="str">
        <f ca="1">IFERROR(__xludf.DUMMYFUNCTION("""COMPUTED_VALUE"""),"10 http://en.wikipedia.org/wiki/Categorical_distribution")</f>
        <v>10 http://en.wikipedia.org/wiki/Categorical_distribution</v>
      </c>
    </row>
    <row r="19" spans="1:3" ht="12.5" x14ac:dyDescent="0.25">
      <c r="A19" t="str">
        <f ca="1">IFERROR(__xludf.DUMMYFUNCTION("""COMPUTED_VALUE"""),"Categorical Ordered 1")</f>
        <v>Categorical Ordered 1</v>
      </c>
      <c r="B19" t="str">
        <f ca="1">IFERROR(__xludf.DUMMYFUNCTION("""COMPUTED_VALUE"""),"Parameter distribution_17")</f>
        <v>Parameter distribution_17</v>
      </c>
      <c r="C19" s="82" t="str">
        <f ca="1">IFERROR(__xludf.DUMMYFUNCTION("""COMPUTED_VALUE"""),"http://en.wikipedia.org/wiki/Categorical_distribution")</f>
        <v>http://en.wikipedia.org/wiki/Categorical_distribution</v>
      </c>
    </row>
    <row r="20" spans="1:3" ht="12.5" x14ac:dyDescent="0.25">
      <c r="A20" t="str">
        <f ca="1">IFERROR(__xludf.DUMMYFUNCTION("""COMPUTED_VALUE"""),"Cauchy 1")</f>
        <v>Cauchy 1</v>
      </c>
      <c r="B20" t="str">
        <f ca="1">IFERROR(__xludf.DUMMYFUNCTION("""COMPUTED_VALUE"""),"Parameter distribution_18")</f>
        <v>Parameter distribution_18</v>
      </c>
      <c r="C20" s="82" t="str">
        <f ca="1">IFERROR(__xludf.DUMMYFUNCTION("""COMPUTED_VALUE"""),"http://en.wikipedia.org/wiki/Cauchy_distribution")</f>
        <v>http://en.wikipedia.org/wiki/Cauchy_distribution</v>
      </c>
    </row>
    <row r="21" spans="1:3" ht="12.5" x14ac:dyDescent="0.25">
      <c r="A21" t="str">
        <f ca="1">IFERROR(__xludf.DUMMYFUNCTION("""COMPUTED_VALUE"""),"Chi 1")</f>
        <v>Chi 1</v>
      </c>
      <c r="B21" t="str">
        <f ca="1">IFERROR(__xludf.DUMMYFUNCTION("""COMPUTED_VALUE"""),"Parameter distribution_19")</f>
        <v>Parameter distribution_19</v>
      </c>
      <c r="C21" s="82" t="str">
        <f ca="1">IFERROR(__xludf.DUMMYFUNCTION("""COMPUTED_VALUE"""),"https://en.wikipedia.org/wiki/Chi_distribution")</f>
        <v>https://en.wikipedia.org/wiki/Chi_distribution</v>
      </c>
    </row>
    <row r="22" spans="1:3" ht="12.5" x14ac:dyDescent="0.25">
      <c r="A22" t="str">
        <f ca="1">IFERROR(__xludf.DUMMYFUNCTION("""COMPUTED_VALUE"""),"Chi-squared 1")</f>
        <v>Chi-squared 1</v>
      </c>
      <c r="B22" t="str">
        <f ca="1">IFERROR(__xludf.DUMMYFUNCTION("""COMPUTED_VALUE"""),"Parameter distribution_20")</f>
        <v>Parameter distribution_20</v>
      </c>
      <c r="C22" s="82" t="str">
        <f ca="1">IFERROR(__xludf.DUMMYFUNCTION("""COMPUTED_VALUE"""),"http://en.wikipedia.org/wiki/Chi-squared_distribution")</f>
        <v>http://en.wikipedia.org/wiki/Chi-squared_distribution</v>
      </c>
    </row>
    <row r="23" spans="1:3" ht="12.5" x14ac:dyDescent="0.25">
      <c r="A23" t="str">
        <f ca="1">IFERROR(__xludf.DUMMYFUNCTION("""COMPUTED_VALUE"""),"Conway-Maxwell-Poisson 1")</f>
        <v>Conway-Maxwell-Poisson 1</v>
      </c>
      <c r="B23" t="str">
        <f ca="1">IFERROR(__xludf.DUMMYFUNCTION("""COMPUTED_VALUE"""),"Parameter distribution_21")</f>
        <v>Parameter distribution_21</v>
      </c>
      <c r="C23" t="str">
        <f ca="1">IFERROR(__xludf.DUMMYFUNCTION("""COMPUTED_VALUE"""),"[Shmueli et al., 2005] https://en.wikipedia.org/wiki/Conway%E2%80%93Maxwell%E2%80%93Poisson_distribution")</f>
        <v>[Shmueli et al., 2005] https://en.wikipedia.org/wiki/Conway%E2%80%93Maxwell%E2%80%93Poisson_distribution</v>
      </c>
    </row>
    <row r="24" spans="1:3" ht="12.5" x14ac:dyDescent="0.25">
      <c r="A24" t="str">
        <f ca="1">IFERROR(__xludf.DUMMYFUNCTION("""COMPUTED_VALUE"""),"Dagum 1")</f>
        <v>Dagum 1</v>
      </c>
      <c r="B24" t="str">
        <f ca="1">IFERROR(__xludf.DUMMYFUNCTION("""COMPUTED_VALUE"""),"Parameter distribution_22")</f>
        <v>Parameter distribution_22</v>
      </c>
      <c r="C24" s="82" t="str">
        <f ca="1">IFERROR(__xludf.DUMMYFUNCTION("""COMPUTED_VALUE"""),"https://en.wikipedia.org/wiki/Dagum_distribution")</f>
        <v>https://en.wikipedia.org/wiki/Dagum_distribution</v>
      </c>
    </row>
    <row r="25" spans="1:3" ht="12.5" x14ac:dyDescent="0.25">
      <c r="A25" t="str">
        <f ca="1">IFERROR(__xludf.DUMMYFUNCTION("""COMPUTED_VALUE"""),"Dirichlet 1")</f>
        <v>Dirichlet 1</v>
      </c>
      <c r="B25" t="str">
        <f ca="1">IFERROR(__xludf.DUMMYFUNCTION("""COMPUTED_VALUE"""),"Parameter distribution_23")</f>
        <v>Parameter distribution_23</v>
      </c>
      <c r="C25" t="str">
        <f ca="1">IFERROR(__xludf.DUMMYFUNCTION("""COMPUTED_VALUE"""),"http://en.wikipedia.org/wiki/Dirichlet_distribution http://www.uncertml.org/distributions/dirichlet")</f>
        <v>http://en.wikipedia.org/wiki/Dirichlet_distribution http://www.uncertml.org/distributions/dirichlet</v>
      </c>
    </row>
    <row r="26" spans="1:3" ht="12.5" x14ac:dyDescent="0.25">
      <c r="A26" t="str">
        <f ca="1">IFERROR(__xludf.DUMMYFUNCTION("""COMPUTED_VALUE"""),"Double Poisson 1")</f>
        <v>Double Poisson 1</v>
      </c>
      <c r="B26" t="str">
        <f ca="1">IFERROR(__xludf.DUMMYFUNCTION("""COMPUTED_VALUE"""),"Parameter distribution_24")</f>
        <v>Parameter distribution_24</v>
      </c>
      <c r="C26" s="82" t="str">
        <f ca="1">IFERROR(__xludf.DUMMYFUNCTION("""COMPUTED_VALUE"""),"http://support.sas.com/resources/papers/proceedings09/250-2009.pdf")</f>
        <v>http://support.sas.com/resources/papers/proceedings09/250-2009.pdf</v>
      </c>
    </row>
    <row r="27" spans="1:3" ht="12.5" x14ac:dyDescent="0.25">
      <c r="A27" t="str">
        <f ca="1">IFERROR(__xludf.DUMMYFUNCTION("""COMPUTED_VALUE"""),"Epanechnikov 1")</f>
        <v>Epanechnikov 1</v>
      </c>
      <c r="B27" t="str">
        <f ca="1">IFERROR(__xludf.DUMMYFUNCTION("""COMPUTED_VALUE"""),"Parameter distribution_25")</f>
        <v>Parameter distribution_25</v>
      </c>
      <c r="C27" t="str">
        <f ca="1">IFERROR(__xludf.DUMMYFUNCTION("""COMPUTED_VALUE"""),"10 http://doc.openturns.org/openturns-1.6/sphinx/user_manual/_generated/openturns.Epanechnikov.")</f>
        <v>10 http://doc.openturns.org/openturns-1.6/sphinx/user_manual/_generated/openturns.Epanechnikov.</v>
      </c>
    </row>
    <row r="28" spans="1:3" ht="12.5" x14ac:dyDescent="0.25">
      <c r="A28" t="str">
        <f ca="1">IFERROR(__xludf.DUMMYFUNCTION("""COMPUTED_VALUE"""),"Erlang 1")</f>
        <v>Erlang 1</v>
      </c>
      <c r="B28" t="str">
        <f ca="1">IFERROR(__xludf.DUMMYFUNCTION("""COMPUTED_VALUE"""),"Parameter distribution_26")</f>
        <v>Parameter distribution_26</v>
      </c>
      <c r="C28" t="str">
        <f ca="1">IFERROR(__xludf.DUMMYFUNCTION("""COMPUTED_VALUE"""),"[Forbes et al., 2011] [Leemis and Mcqueston, 2008] http://www.math.wm.edu/~leemis/chart/UDR/PDFs/Erlang.pdf")</f>
        <v>[Forbes et al., 2011] [Leemis and Mcqueston, 2008] http://www.math.wm.edu/~leemis/chart/UDR/PDFs/Erlang.pdf</v>
      </c>
    </row>
    <row r="29" spans="1:3" ht="12.5" x14ac:dyDescent="0.25">
      <c r="A29" t="str">
        <f ca="1">IFERROR(__xludf.DUMMYFUNCTION("""COMPUTED_VALUE"""),"Exponential 1")</f>
        <v>Exponential 1</v>
      </c>
      <c r="B29" t="str">
        <f ca="1">IFERROR(__xludf.DUMMYFUNCTION("""COMPUTED_VALUE"""),"Parameter distribution_27")</f>
        <v>Parameter distribution_27</v>
      </c>
      <c r="C29" s="82" t="str">
        <f ca="1">IFERROR(__xludf.DUMMYFUNCTION("""COMPUTED_VALUE"""),"http://en.wikipedia.org/wiki/Exponential_distribution")</f>
        <v>http://en.wikipedia.org/wiki/Exponential_distribution</v>
      </c>
    </row>
    <row r="30" spans="1:3" ht="12.5" x14ac:dyDescent="0.25">
      <c r="A30" t="str">
        <f ca="1">IFERROR(__xludf.DUMMYFUNCTION("""COMPUTED_VALUE"""),"Exponential 2")</f>
        <v>Exponential 2</v>
      </c>
      <c r="B30" t="str">
        <f ca="1">IFERROR(__xludf.DUMMYFUNCTION("""COMPUTED_VALUE"""),"Parameter distribution_28")</f>
        <v>Parameter distribution_28</v>
      </c>
      <c r="C30" s="82" t="str">
        <f ca="1">IFERROR(__xludf.DUMMYFUNCTION("""COMPUTED_VALUE"""),"http://www.itl.nist.gov/div898/handbook/eda/section3/eda3667.htm")</f>
        <v>http://www.itl.nist.gov/div898/handbook/eda/section3/eda3667.htm</v>
      </c>
    </row>
    <row r="31" spans="1:3" ht="12.5" x14ac:dyDescent="0.25">
      <c r="A31" t="str">
        <f ca="1">IFERROR(__xludf.DUMMYFUNCTION("""COMPUTED_VALUE"""),"Exponentially modified Gaussian 1")</f>
        <v>Exponentially modified Gaussian 1</v>
      </c>
      <c r="B31" t="str">
        <f ca="1">IFERROR(__xludf.DUMMYFUNCTION("""COMPUTED_VALUE"""),"Parameter distribution_29")</f>
        <v>Parameter distribution_29</v>
      </c>
      <c r="C31" s="82" t="str">
        <f ca="1">IFERROR(__xludf.DUMMYFUNCTION("""COMPUTED_VALUE"""),"https://en.wikipedia.org/wiki/Exponentially_modified_Gaussian_distribution")</f>
        <v>https://en.wikipedia.org/wiki/Exponentially_modified_Gaussian_distribution</v>
      </c>
    </row>
    <row r="32" spans="1:3" ht="12.5" x14ac:dyDescent="0.25">
      <c r="A32" t="str">
        <f ca="1">IFERROR(__xludf.DUMMYFUNCTION("""COMPUTED_VALUE"""),"F 1")</f>
        <v>F 1</v>
      </c>
      <c r="B32" t="str">
        <f ca="1">IFERROR(__xludf.DUMMYFUNCTION("""COMPUTED_VALUE"""),"Parameter distribution_30")</f>
        <v>Parameter distribution_30</v>
      </c>
      <c r="C32" t="str">
        <f ca="1">IFERROR(__xludf.DUMMYFUNCTION("""COMPUTED_VALUE"""),"[Forbes et al., 2011] http://www.math.wm.edu/~leemis/chart/UDR/PDFs/F.pdf")</f>
        <v>[Forbes et al., 2011] http://www.math.wm.edu/~leemis/chart/UDR/PDFs/F.pdf</v>
      </c>
    </row>
    <row r="33" spans="1:3" ht="12.5" x14ac:dyDescent="0.25">
      <c r="A33" t="str">
        <f ca="1">IFERROR(__xludf.DUMMYFUNCTION("""COMPUTED_VALUE"""),"Folded Normal 1")</f>
        <v>Folded Normal 1</v>
      </c>
      <c r="B33" t="str">
        <f ca="1">IFERROR(__xludf.DUMMYFUNCTION("""COMPUTED_VALUE"""),"Parameter distribution_31")</f>
        <v>Parameter distribution_31</v>
      </c>
      <c r="C33" t="str">
        <f ca="1">IFERROR(__xludf.DUMMYFUNCTION("""COMPUTED_VALUE"""),"https://en.wikipedia.org/wiki/Folded_normal_distribution 10")</f>
        <v>https://en.wikipedia.org/wiki/Folded_normal_distribution 10</v>
      </c>
    </row>
    <row r="34" spans="1:3" ht="12.5" x14ac:dyDescent="0.25">
      <c r="A34" t="str">
        <f ca="1">IFERROR(__xludf.DUMMYFUNCTION("""COMPUTED_VALUE"""),"Frechet 1")</f>
        <v>Frechet 1</v>
      </c>
      <c r="B34" t="str">
        <f ca="1">IFERROR(__xludf.DUMMYFUNCTION("""COMPUTED_VALUE"""),"Parameter distribution_32")</f>
        <v>Parameter distribution_32</v>
      </c>
      <c r="C34" s="82" t="str">
        <f ca="1">IFERROR(__xludf.DUMMYFUNCTION("""COMPUTED_VALUE"""),"http://www.mathwave.com/help/easyfit/html/analyses/distributions/frechet.html")</f>
        <v>http://www.mathwave.com/help/easyfit/html/analyses/distributions/frechet.html</v>
      </c>
    </row>
    <row r="35" spans="1:3" ht="12.5" x14ac:dyDescent="0.25">
      <c r="A35" t="str">
        <f ca="1">IFERROR(__xludf.DUMMYFUNCTION("""COMPUTED_VALUE"""),"Frechet 2")</f>
        <v>Frechet 2</v>
      </c>
      <c r="B35" t="str">
        <f ca="1">IFERROR(__xludf.DUMMYFUNCTION("""COMPUTED_VALUE"""),"Parameter distribution_33")</f>
        <v>Parameter distribution_33</v>
      </c>
      <c r="C35" s="82" t="str">
        <f ca="1">IFERROR(__xludf.DUMMYFUNCTION("""COMPUTED_VALUE"""),"http://www.mathwave.com/help/easyfit/html/analyses/distributions/frechet.html")</f>
        <v>http://www.mathwave.com/help/easyfit/html/analyses/distributions/frechet.html</v>
      </c>
    </row>
    <row r="36" spans="1:3" ht="12.5" x14ac:dyDescent="0.25">
      <c r="A36" t="str">
        <f ca="1">IFERROR(__xludf.DUMMYFUNCTION("""COMPUTED_VALUE"""),"Gamma 1")</f>
        <v>Gamma 1</v>
      </c>
      <c r="B36" t="str">
        <f ca="1">IFERROR(__xludf.DUMMYFUNCTION("""COMPUTED_VALUE"""),"Parameter distribution_34")</f>
        <v>Parameter distribution_34</v>
      </c>
      <c r="C36" s="82" t="str">
        <f ca="1">IFERROR(__xludf.DUMMYFUNCTION("""COMPUTED_VALUE"""),"http://en.wikipedia.org/wiki/Gamma_distribution")</f>
        <v>http://en.wikipedia.org/wiki/Gamma_distribution</v>
      </c>
    </row>
    <row r="37" spans="1:3" ht="12.5" x14ac:dyDescent="0.25">
      <c r="A37" t="str">
        <f ca="1">IFERROR(__xludf.DUMMYFUNCTION("""COMPUTED_VALUE"""),"Gamma 2")</f>
        <v>Gamma 2</v>
      </c>
      <c r="B37" t="str">
        <f ca="1">IFERROR(__xludf.DUMMYFUNCTION("""COMPUTED_VALUE"""),"Parameter distribution_35")</f>
        <v>Parameter distribution_35</v>
      </c>
      <c r="C37" t="str">
        <f ca="1">IFERROR(__xludf.DUMMYFUNCTION("""COMPUTED_VALUE"""),"[Spiegelhalter et al., 2003]")</f>
        <v>[Spiegelhalter et al., 2003]</v>
      </c>
    </row>
    <row r="38" spans="1:3" ht="12.5" x14ac:dyDescent="0.25">
      <c r="A38" t="str">
        <f ca="1">IFERROR(__xludf.DUMMYFUNCTION("""COMPUTED_VALUE"""),"Generalized Gamma 1")</f>
        <v>Generalized Gamma 1</v>
      </c>
      <c r="B38" t="str">
        <f ca="1">IFERROR(__xludf.DUMMYFUNCTION("""COMPUTED_VALUE"""),"Parameter distribution_36")</f>
        <v>Parameter distribution_36</v>
      </c>
      <c r="C38" s="82" t="str">
        <f ca="1">IFERROR(__xludf.DUMMYFUNCTION("""COMPUTED_VALUE"""),"http://en.wikipedia.org/wiki/Generalized_gamma_distribution")</f>
        <v>http://en.wikipedia.org/wiki/Generalized_gamma_distribution</v>
      </c>
    </row>
    <row r="39" spans="1:3" ht="12.5" x14ac:dyDescent="0.25">
      <c r="A39" t="str">
        <f ca="1">IFERROR(__xludf.DUMMYFUNCTION("""COMPUTED_VALUE"""),"Generalized Gamma 2")</f>
        <v>Generalized Gamma 2</v>
      </c>
      <c r="B39" t="str">
        <f ca="1">IFERROR(__xludf.DUMMYFUNCTION("""COMPUTED_VALUE"""),"Parameter distribution_37")</f>
        <v>Parameter distribution_37</v>
      </c>
      <c r="C39" t="str">
        <f ca="1">IFERROR(__xludf.DUMMYFUNCTION("""COMPUTED_VALUE"""),"[Forbes et al., 2011] http://www.mathwave.com/help/easyfit/html/analyses/distributions/gen_gamma.html")</f>
        <v>[Forbes et al., 2011] http://www.mathwave.com/help/easyfit/html/analyses/distributions/gen_gamma.html</v>
      </c>
    </row>
    <row r="40" spans="1:3" ht="12.5" x14ac:dyDescent="0.25">
      <c r="A40" t="str">
        <f ca="1">IFERROR(__xludf.DUMMYFUNCTION("""COMPUTED_VALUE"""),"Generalized Gamma 3")</f>
        <v>Generalized Gamma 3</v>
      </c>
      <c r="B40" t="str">
        <f ca="1">IFERROR(__xludf.DUMMYFUNCTION("""COMPUTED_VALUE"""),"Parameter distribution_38")</f>
        <v>Parameter distribution_38</v>
      </c>
      <c r="C40" t="str">
        <f ca="1">IFERROR(__xludf.DUMMYFUNCTION("""COMPUTED_VALUE"""),"[Spiegelhalter et al., 2003]")</f>
        <v>[Spiegelhalter et al., 2003]</v>
      </c>
    </row>
    <row r="41" spans="1:3" ht="12.5" x14ac:dyDescent="0.25">
      <c r="A41" t="str">
        <f ca="1">IFERROR(__xludf.DUMMYFUNCTION("""COMPUTED_VALUE"""),"Generalized Negative Binomial 1")</f>
        <v>Generalized Negative Binomial 1</v>
      </c>
      <c r="B41" t="str">
        <f ca="1">IFERROR(__xludf.DUMMYFUNCTION("""COMPUTED_VALUE"""),"Parameter distribution_39")</f>
        <v>Parameter distribution_39</v>
      </c>
      <c r="C41" t="str">
        <f ca="1">IFERROR(__xludf.DUMMYFUNCTION("""COMPUTED_VALUE"""),"[Consul and Famoye, 2006]")</f>
        <v>[Consul and Famoye, 2006]</v>
      </c>
    </row>
    <row r="42" spans="1:3" ht="12.5" x14ac:dyDescent="0.25">
      <c r="A42" t="str">
        <f ca="1">IFERROR(__xludf.DUMMYFUNCTION("""COMPUTED_VALUE"""),"Generalized Poisson 1")</f>
        <v>Generalized Poisson 1</v>
      </c>
      <c r="B42" t="str">
        <f ca="1">IFERROR(__xludf.DUMMYFUNCTION("""COMPUTED_VALUE"""),"Parameter distribution_40")</f>
        <v>Parameter distribution_40</v>
      </c>
      <c r="C42" t="str">
        <f ca="1">IFERROR(__xludf.DUMMYFUNCTION("""COMPUTED_VALUE"""),"[Yang et al., 2007] [Consul and Famoye, 2006] http://finzi.psych.upenn.edu/library/VGAM/html/genpoisson.html")</f>
        <v>[Yang et al., 2007] [Consul and Famoye, 2006] http://finzi.psych.upenn.edu/library/VGAM/html/genpoisson.html</v>
      </c>
    </row>
    <row r="43" spans="1:3" ht="12.5" x14ac:dyDescent="0.25">
      <c r="A43" t="str">
        <f ca="1">IFERROR(__xludf.DUMMYFUNCTION("""COMPUTED_VALUE"""),"Generalized Poisson 3")</f>
        <v>Generalized Poisson 3</v>
      </c>
      <c r="B43" t="str">
        <f ca="1">IFERROR(__xludf.DUMMYFUNCTION("""COMPUTED_VALUE"""),"Parameter distribution_41")</f>
        <v>Parameter distribution_41</v>
      </c>
      <c r="C43" t="str">
        <f ca="1">IFERROR(__xludf.DUMMYFUNCTION("""COMPUTED_VALUE"""),"[Famoye and Singh, 2006] [Hilbe, 2011] [Ismail and Zamani, 2013]")</f>
        <v>[Famoye and Singh, 2006] [Hilbe, 2011] [Ismail and Zamani, 2013]</v>
      </c>
    </row>
    <row r="44" spans="1:3" ht="12.5" x14ac:dyDescent="0.25">
      <c r="A44" t="str">
        <f ca="1">IFERROR(__xludf.DUMMYFUNCTION("""COMPUTED_VALUE"""),"GeneralizedPoisson2")</f>
        <v>GeneralizedPoisson2</v>
      </c>
      <c r="B44" t="str">
        <f ca="1">IFERROR(__xludf.DUMMYFUNCTION("""COMPUTED_VALUE"""),"Parameter distribution_42")</f>
        <v>Parameter distribution_42</v>
      </c>
      <c r="C44" t="str">
        <f ca="1">IFERROR(__xludf.DUMMYFUNCTION("""COMPUTED_VALUE"""),"[Yang et al., 2007] [Plan, 2014]")</f>
        <v>[Yang et al., 2007] [Plan, 2014]</v>
      </c>
    </row>
    <row r="45" spans="1:3" ht="12.5" x14ac:dyDescent="0.25">
      <c r="A45" t="str">
        <f ca="1">IFERROR(__xludf.DUMMYFUNCTION("""COMPUTED_VALUE"""),"Geometric 1")</f>
        <v>Geometric 1</v>
      </c>
      <c r="B45" t="str">
        <f ca="1">IFERROR(__xludf.DUMMYFUNCTION("""COMPUTED_VALUE"""),"Parameter distribution_43")</f>
        <v>Parameter distribution_43</v>
      </c>
      <c r="C45" t="str">
        <f ca="1">IFERROR(__xludf.DUMMYFUNCTION("""COMPUTED_VALUE"""),"[Forbes et al., 2011] http://en.wikipedia.org/wiki/Geometric_distribution")</f>
        <v>[Forbes et al., 2011] http://en.wikipedia.org/wiki/Geometric_distribution</v>
      </c>
    </row>
    <row r="46" spans="1:3" ht="12.5" x14ac:dyDescent="0.25">
      <c r="A46" t="str">
        <f ca="1">IFERROR(__xludf.DUMMYFUNCTION("""COMPUTED_VALUE"""),"Gompertz 1")</f>
        <v>Gompertz 1</v>
      </c>
      <c r="B46" t="str">
        <f ca="1">IFERROR(__xludf.DUMMYFUNCTION("""COMPUTED_VALUE"""),"Parameter distribution_44")</f>
        <v>Parameter distribution_44</v>
      </c>
      <c r="C46" s="82" t="str">
        <f ca="1">IFERROR(__xludf.DUMMYFUNCTION("""COMPUTED_VALUE"""),"https://en.wikipedia.org/wiki/Gompertz_distribution")</f>
        <v>https://en.wikipedia.org/wiki/Gompertz_distribution</v>
      </c>
    </row>
    <row r="47" spans="1:3" ht="12.5" x14ac:dyDescent="0.25">
      <c r="A47" t="str">
        <f ca="1">IFERROR(__xludf.DUMMYFUNCTION("""COMPUTED_VALUE"""),"Gumbel 1")</f>
        <v>Gumbel 1</v>
      </c>
      <c r="B47" t="str">
        <f ca="1">IFERROR(__xludf.DUMMYFUNCTION("""COMPUTED_VALUE"""),"Parameter distribution_45")</f>
        <v>Parameter distribution_45</v>
      </c>
      <c r="C47" s="82" t="str">
        <f ca="1">IFERROR(__xludf.DUMMYFUNCTION("""COMPUTED_VALUE"""),"https://en.wikipedia.org/wiki/Gumbel_distribution")</f>
        <v>https://en.wikipedia.org/wiki/Gumbel_distribution</v>
      </c>
    </row>
    <row r="48" spans="1:3" ht="12.5" x14ac:dyDescent="0.25">
      <c r="A48" t="str">
        <f ca="1">IFERROR(__xludf.DUMMYFUNCTION("""COMPUTED_VALUE"""),"Half Cauchy 1")</f>
        <v>Half Cauchy 1</v>
      </c>
      <c r="B48" t="str">
        <f ca="1">IFERROR(__xludf.DUMMYFUNCTION("""COMPUTED_VALUE"""),"Parameter distribution_46")</f>
        <v>Parameter distribution_46</v>
      </c>
      <c r="C48" s="82" t="str">
        <f ca="1">IFERROR(__xludf.DUMMYFUNCTION("""COMPUTED_VALUE"""),"http://statperson.com/Journal/StatisticsAndMathematics/Article/Volume3Issue2/3_2_8.pdf")</f>
        <v>http://statperson.com/Journal/StatisticsAndMathematics/Article/Volume3Issue2/3_2_8.pdf</v>
      </c>
    </row>
    <row r="49" spans="1:3" ht="12.5" x14ac:dyDescent="0.25">
      <c r="A49" t="str">
        <f ca="1">IFERROR(__xludf.DUMMYFUNCTION("""COMPUTED_VALUE"""),"Half-normal 1")</f>
        <v>Half-normal 1</v>
      </c>
      <c r="B49" t="str">
        <f ca="1">IFERROR(__xludf.DUMMYFUNCTION("""COMPUTED_VALUE"""),"Parameter distribution_47")</f>
        <v>Parameter distribution_47</v>
      </c>
      <c r="C49" s="82" t="str">
        <f ca="1">IFERROR(__xludf.DUMMYFUNCTION("""COMPUTED_VALUE"""),"http://mathworld.wolfram.com/Half-NormalDistribution.html")</f>
        <v>http://mathworld.wolfram.com/Half-NormalDistribution.html</v>
      </c>
    </row>
    <row r="50" spans="1:3" ht="12.5" x14ac:dyDescent="0.25">
      <c r="A50" t="str">
        <f ca="1">IFERROR(__xludf.DUMMYFUNCTION("""COMPUTED_VALUE"""),"Half-normal 2")</f>
        <v>Half-normal 2</v>
      </c>
      <c r="B50" t="str">
        <f ca="1">IFERROR(__xludf.DUMMYFUNCTION("""COMPUTED_VALUE"""),"Parameter distribution_48")</f>
        <v>Parameter distribution_48</v>
      </c>
      <c r="C50" s="82" t="str">
        <f ca="1">IFERROR(__xludf.DUMMYFUNCTION("""COMPUTED_VALUE"""),"http://nl.mathworks.com/help/stats/half-normal-distribution.html")</f>
        <v>http://nl.mathworks.com/help/stats/half-normal-distribution.html</v>
      </c>
    </row>
    <row r="51" spans="1:3" ht="12.5" x14ac:dyDescent="0.25">
      <c r="A51" t="str">
        <f ca="1">IFERROR(__xludf.DUMMYFUNCTION("""COMPUTED_VALUE"""),"Hyperbolic secant 1")</f>
        <v>Hyperbolic secant 1</v>
      </c>
      <c r="B51" t="str">
        <f ca="1">IFERROR(__xludf.DUMMYFUNCTION("""COMPUTED_VALUE"""),"Parameter distribution_49")</f>
        <v>Parameter distribution_49</v>
      </c>
      <c r="C51" s="82" t="str">
        <f ca="1">IFERROR(__xludf.DUMMYFUNCTION("""COMPUTED_VALUE"""),"http://www.math.wm.edu/~leemis/chart/UDR/PDFs/Hyperbolicsecant.pdf")</f>
        <v>http://www.math.wm.edu/~leemis/chart/UDR/PDFs/Hyperbolicsecant.pdf</v>
      </c>
    </row>
    <row r="52" spans="1:3" ht="12.5" x14ac:dyDescent="0.25">
      <c r="A52" t="str">
        <f ca="1">IFERROR(__xludf.DUMMYFUNCTION("""COMPUTED_VALUE"""),"Hypergeometric 1")</f>
        <v>Hypergeometric 1</v>
      </c>
      <c r="B52" t="str">
        <f ca="1">IFERROR(__xludf.DUMMYFUNCTION("""COMPUTED_VALUE"""),"Parameter distribution_50")</f>
        <v>Parameter distribution_50</v>
      </c>
      <c r="C52" s="82" t="str">
        <f ca="1">IFERROR(__xludf.DUMMYFUNCTION("""COMPUTED_VALUE"""),"http://en.wikipedia.org/wiki/Hypergeometric_distribution")</f>
        <v>http://en.wikipedia.org/wiki/Hypergeometric_distribution</v>
      </c>
    </row>
    <row r="53" spans="1:3" ht="12.5" x14ac:dyDescent="0.25">
      <c r="A53" t="str">
        <f ca="1">IFERROR(__xludf.DUMMYFUNCTION("""COMPUTED_VALUE"""),"Inverse Binomial 1")</f>
        <v>Inverse Binomial 1</v>
      </c>
      <c r="B53" t="str">
        <f ca="1">IFERROR(__xludf.DUMMYFUNCTION("""COMPUTED_VALUE"""),"Parameter distribution_51")</f>
        <v>Parameter distribution_51</v>
      </c>
      <c r="C53" t="str">
        <f ca="1">IFERROR(__xludf.DUMMYFUNCTION("""COMPUTED_VALUE"""),"[Yanagimoto, 1989] https://cran.r-project.org/web/packages/VGAM/VGAM.pdf")</f>
        <v>[Yanagimoto, 1989] https://cran.r-project.org/web/packages/VGAM/VGAM.pdf</v>
      </c>
    </row>
    <row r="54" spans="1:3" ht="12.5" x14ac:dyDescent="0.25">
      <c r="A54" t="str">
        <f ca="1">IFERROR(__xludf.DUMMYFUNCTION("""COMPUTED_VALUE"""),"Inverse Chi-Square")</f>
        <v>Inverse Chi-Square</v>
      </c>
      <c r="B54" t="str">
        <f ca="1">IFERROR(__xludf.DUMMYFUNCTION("""COMPUTED_VALUE"""),"Parameter distribution_52")</f>
        <v>Parameter distribution_52</v>
      </c>
      <c r="C54" t="str">
        <f ca="1">IFERROR(__xludf.DUMMYFUNCTION("""COMPUTED_VALUE"""),"[STAN Development Team, 2015b] https://en.wikipedia.org/wiki/Inverse-chi-squared_distribution")</f>
        <v>[STAN Development Team, 2015b] https://en.wikipedia.org/wiki/Inverse-chi-squared_distribution</v>
      </c>
    </row>
    <row r="55" spans="1:3" ht="12.5" x14ac:dyDescent="0.25">
      <c r="A55" t="str">
        <f ca="1">IFERROR(__xludf.DUMMYFUNCTION("""COMPUTED_VALUE"""),"Inverse-Gamma 1")</f>
        <v>Inverse-Gamma 1</v>
      </c>
      <c r="B55" t="str">
        <f ca="1">IFERROR(__xludf.DUMMYFUNCTION("""COMPUTED_VALUE"""),"Parameter distribution_53")</f>
        <v>Parameter distribution_53</v>
      </c>
      <c r="C55" s="82" t="str">
        <f ca="1">IFERROR(__xludf.DUMMYFUNCTION("""COMPUTED_VALUE"""),"http://en.wikipedia.org/wiki/Inverse-gamma_distribution")</f>
        <v>http://en.wikipedia.org/wiki/Inverse-gamma_distribution</v>
      </c>
    </row>
    <row r="56" spans="1:3" ht="12.5" x14ac:dyDescent="0.25">
      <c r="A56" t="str">
        <f ca="1">IFERROR(__xludf.DUMMYFUNCTION("""COMPUTED_VALUE"""),"Inverse Gaussian 1")</f>
        <v>Inverse Gaussian 1</v>
      </c>
      <c r="B56" t="str">
        <f ca="1">IFERROR(__xludf.DUMMYFUNCTION("""COMPUTED_VALUE"""),"Parameter distribution_54")</f>
        <v>Parameter distribution_54</v>
      </c>
      <c r="C56" s="82" t="str">
        <f ca="1">IFERROR(__xludf.DUMMYFUNCTION("""COMPUTED_VALUE"""),"https://en.wikipedia.org/wiki/Inverse_Gaussian_distribution")</f>
        <v>https://en.wikipedia.org/wiki/Inverse_Gaussian_distribution</v>
      </c>
    </row>
    <row r="57" spans="1:3" ht="12.5" x14ac:dyDescent="0.25">
      <c r="A57" t="str">
        <f ca="1">IFERROR(__xludf.DUMMYFUNCTION("""COMPUTED_VALUE"""),"Inverse-Wishart 1")</f>
        <v>Inverse-Wishart 1</v>
      </c>
      <c r="B57" t="str">
        <f ca="1">IFERROR(__xludf.DUMMYFUNCTION("""COMPUTED_VALUE"""),"Parameter distribution_55")</f>
        <v>Parameter distribution_55</v>
      </c>
      <c r="C57" s="82" t="str">
        <f ca="1">IFERROR(__xludf.DUMMYFUNCTION("""COMPUTED_VALUE"""),"https://en.wikipedia.org/wiki/Inverse-Wishart_distribution")</f>
        <v>https://en.wikipedia.org/wiki/Inverse-Wishart_distribution</v>
      </c>
    </row>
    <row r="58" spans="1:3" ht="12.5" x14ac:dyDescent="0.25">
      <c r="A58" t="str">
        <f ca="1">IFERROR(__xludf.DUMMYFUNCTION("""COMPUTED_VALUE"""),"Johnson SB 1")</f>
        <v>Johnson SB 1</v>
      </c>
      <c r="B58" t="str">
        <f ca="1">IFERROR(__xludf.DUMMYFUNCTION("""COMPUTED_VALUE"""),"Parameter distribution_56")</f>
        <v>Parameter distribution_56</v>
      </c>
      <c r="C58" s="82" t="str">
        <f ca="1">IFERROR(__xludf.DUMMYFUNCTION("""COMPUTED_VALUE"""),"https://reference.wolfram.com/language/ref/JohnsonDistribution.html")</f>
        <v>https://reference.wolfram.com/language/ref/JohnsonDistribution.html</v>
      </c>
    </row>
    <row r="59" spans="1:3" ht="12.5" x14ac:dyDescent="0.25">
      <c r="A59" t="str">
        <f ca="1">IFERROR(__xludf.DUMMYFUNCTION("""COMPUTED_VALUE"""),"Johnson SL 1")</f>
        <v>Johnson SL 1</v>
      </c>
      <c r="B59" t="str">
        <f ca="1">IFERROR(__xludf.DUMMYFUNCTION("""COMPUTED_VALUE"""),"Parameter distribution_57")</f>
        <v>Parameter distribution_57</v>
      </c>
      <c r="C59" s="82" t="str">
        <f ca="1">IFERROR(__xludf.DUMMYFUNCTION("""COMPUTED_VALUE"""),"https://reference.wolfram.com/language/ref/JohnsonDistribution.html")</f>
        <v>https://reference.wolfram.com/language/ref/JohnsonDistribution.html</v>
      </c>
    </row>
    <row r="60" spans="1:3" ht="12.5" x14ac:dyDescent="0.25">
      <c r="A60" t="str">
        <f ca="1">IFERROR(__xludf.DUMMYFUNCTION("""COMPUTED_VALUE"""),"Johnson SN 1")</f>
        <v>Johnson SN 1</v>
      </c>
      <c r="B60" t="str">
        <f ca="1">IFERROR(__xludf.DUMMYFUNCTION("""COMPUTED_VALUE"""),"Parameter distribution_58")</f>
        <v>Parameter distribution_58</v>
      </c>
      <c r="C60" s="82" t="str">
        <f ca="1">IFERROR(__xludf.DUMMYFUNCTION("""COMPUTED_VALUE"""),"https://reference.wolfram.com/language/ref/JohnsonDistribution.html")</f>
        <v>https://reference.wolfram.com/language/ref/JohnsonDistribution.html</v>
      </c>
    </row>
    <row r="61" spans="1:3" ht="12.5" x14ac:dyDescent="0.25">
      <c r="A61" t="str">
        <f ca="1">IFERROR(__xludf.DUMMYFUNCTION("""COMPUTED_VALUE"""),"Johnson SU 1")</f>
        <v>Johnson SU 1</v>
      </c>
      <c r="B61" t="str">
        <f ca="1">IFERROR(__xludf.DUMMYFUNCTION("""COMPUTED_VALUE"""),"Parameter distribution_59")</f>
        <v>Parameter distribution_59</v>
      </c>
      <c r="C61" s="82" t="str">
        <f ca="1">IFERROR(__xludf.DUMMYFUNCTION("""COMPUTED_VALUE"""),"https://reference.wolfram.com/language/ref/JohnsonDistribution.html")</f>
        <v>https://reference.wolfram.com/language/ref/JohnsonDistribution.html</v>
      </c>
    </row>
    <row r="62" spans="1:3" ht="12.5" x14ac:dyDescent="0.25">
      <c r="A62" t="str">
        <f ca="1">IFERROR(__xludf.DUMMYFUNCTION("""COMPUTED_VALUE"""),"Kumaraswamy 1")</f>
        <v>Kumaraswamy 1</v>
      </c>
      <c r="B62" t="str">
        <f ca="1">IFERROR(__xludf.DUMMYFUNCTION("""COMPUTED_VALUE"""),"Parameter distribution_60")</f>
        <v>Parameter distribution_60</v>
      </c>
      <c r="C62" s="82" t="str">
        <f ca="1">IFERROR(__xludf.DUMMYFUNCTION("""COMPUTED_VALUE"""),"http://www.itl.nist.gov/div898/software/dataplot/refman2/auxillar/kumcdf.htm")</f>
        <v>http://www.itl.nist.gov/div898/software/dataplot/refman2/auxillar/kumcdf.htm</v>
      </c>
    </row>
    <row r="63" spans="1:3" ht="12.5" x14ac:dyDescent="0.25">
      <c r="A63" t="str">
        <f ca="1">IFERROR(__xludf.DUMMYFUNCTION("""COMPUTED_VALUE"""),"Laplace 1")</f>
        <v>Laplace 1</v>
      </c>
      <c r="B63" t="str">
        <f ca="1">IFERROR(__xludf.DUMMYFUNCTION("""COMPUTED_VALUE"""),"Parameter distribution_61")</f>
        <v>Parameter distribution_61</v>
      </c>
      <c r="C63" s="82" t="str">
        <f ca="1">IFERROR(__xludf.DUMMYFUNCTION("""COMPUTED_VALUE"""),"https://en.wikipedia.org/wiki/Laplace_distribution")</f>
        <v>https://en.wikipedia.org/wiki/Laplace_distribution</v>
      </c>
    </row>
    <row r="64" spans="1:3" ht="12.5" x14ac:dyDescent="0.25">
      <c r="A64" t="str">
        <f ca="1">IFERROR(__xludf.DUMMYFUNCTION("""COMPUTED_VALUE"""),"Laplace 2")</f>
        <v>Laplace 2</v>
      </c>
      <c r="B64" t="str">
        <f ca="1">IFERROR(__xludf.DUMMYFUNCTION("""COMPUTED_VALUE"""),"Parameter distribution_62")</f>
        <v>Parameter distribution_62</v>
      </c>
      <c r="C64" t="str">
        <f ca="1">IFERROR(__xludf.DUMMYFUNCTION("""COMPUTED_VALUE"""),"[Spiegelhalter et al., 2003] [Lunn, 2012]")</f>
        <v>[Spiegelhalter et al., 2003] [Lunn, 2012]</v>
      </c>
    </row>
    <row r="65" spans="1:3" ht="12.5" x14ac:dyDescent="0.25">
      <c r="A65" t="str">
        <f ca="1">IFERROR(__xludf.DUMMYFUNCTION("""COMPUTED_VALUE"""),"Levy 1")</f>
        <v>Levy 1</v>
      </c>
      <c r="B65" t="str">
        <f ca="1">IFERROR(__xludf.DUMMYFUNCTION("""COMPUTED_VALUE"""),"Parameter distribution_63")</f>
        <v>Parameter distribution_63</v>
      </c>
      <c r="C65" s="82" t="str">
        <f ca="1">IFERROR(__xludf.DUMMYFUNCTION("""COMPUTED_VALUE"""),"https://en.wikipedia.org/wiki/L%C3%A9vy_distribution")</f>
        <v>https://en.wikipedia.org/wiki/L%C3%A9vy_distribution</v>
      </c>
    </row>
    <row r="66" spans="1:3" ht="12.5" x14ac:dyDescent="0.25">
      <c r="A66" t="str">
        <f ca="1">IFERROR(__xludf.DUMMYFUNCTION("""COMPUTED_VALUE"""),"LKJ Correlation 1")</f>
        <v>LKJ Correlation 1</v>
      </c>
      <c r="B66" t="str">
        <f ca="1">IFERROR(__xludf.DUMMYFUNCTION("""COMPUTED_VALUE"""),"Parameter distribution_64")</f>
        <v>Parameter distribution_64</v>
      </c>
      <c r="C66" t="str">
        <f ca="1">IFERROR(__xludf.DUMMYFUNCTION("""COMPUTED_VALUE"""),"[STAN Development Team, 2015b]")</f>
        <v>[STAN Development Team, 2015b]</v>
      </c>
    </row>
    <row r="67" spans="1:3" ht="12.5" x14ac:dyDescent="0.25">
      <c r="A67" t="str">
        <f ca="1">IFERROR(__xludf.DUMMYFUNCTION("""COMPUTED_VALUE"""),"LKJ Correlation 2")</f>
        <v>LKJ Correlation 2</v>
      </c>
      <c r="B67" t="str">
        <f ca="1">IFERROR(__xludf.DUMMYFUNCTION("""COMPUTED_VALUE"""),"Parameter distribution_65")</f>
        <v>Parameter distribution_65</v>
      </c>
      <c r="C67" t="str">
        <f ca="1">IFERROR(__xludf.DUMMYFUNCTION("""COMPUTED_VALUE"""),"[STAN Development Team, 2015b]")</f>
        <v>[STAN Development Team, 2015b]</v>
      </c>
    </row>
    <row r="68" spans="1:3" ht="12.5" x14ac:dyDescent="0.25">
      <c r="A68" t="str">
        <f ca="1">IFERROR(__xludf.DUMMYFUNCTION("""COMPUTED_VALUE"""),"Log-Logistic 1")</f>
        <v>Log-Logistic 1</v>
      </c>
      <c r="B68" t="str">
        <f ca="1">IFERROR(__xludf.DUMMYFUNCTION("""COMPUTED_VALUE"""),"Parameter distribution_66")</f>
        <v>Parameter distribution_66</v>
      </c>
      <c r="C68" s="82" t="str">
        <f ca="1">IFERROR(__xludf.DUMMYFUNCTION("""COMPUTED_VALUE"""),"https://en.wikipedia.org/wiki/Log-logistic_distribution")</f>
        <v>https://en.wikipedia.org/wiki/Log-logistic_distribution</v>
      </c>
    </row>
    <row r="69" spans="1:3" ht="12.5" x14ac:dyDescent="0.25">
      <c r="A69" t="str">
        <f ca="1">IFERROR(__xludf.DUMMYFUNCTION("""COMPUTED_VALUE"""),"Log-Logistic 2")</f>
        <v>Log-Logistic 2</v>
      </c>
      <c r="B69" t="str">
        <f ca="1">IFERROR(__xludf.DUMMYFUNCTION("""COMPUTED_VALUE"""),"Parameter distribution_67")</f>
        <v>Parameter distribution_67</v>
      </c>
      <c r="C69" t="str">
        <f ca="1">IFERROR(__xludf.DUMMYFUNCTION("""COMPUTED_VALUE"""),"[Leemis and Mcqueston, 2008] http://www.math.wm.edu/~leemis/chart/UDR/PDFs/Loglogistic.pdf")</f>
        <v>[Leemis and Mcqueston, 2008] http://www.math.wm.edu/~leemis/chart/UDR/PDFs/Loglogistic.pdf</v>
      </c>
    </row>
    <row r="70" spans="1:3" ht="12.5" x14ac:dyDescent="0.25">
      <c r="A70" t="str">
        <f ca="1">IFERROR(__xludf.DUMMYFUNCTION("""COMPUTED_VALUE"""),"Log-Normal 1")</f>
        <v>Log-Normal 1</v>
      </c>
      <c r="B70" t="str">
        <f ca="1">IFERROR(__xludf.DUMMYFUNCTION("""COMPUTED_VALUE"""),"Parameter distribution_68")</f>
        <v>Parameter distribution_68</v>
      </c>
      <c r="C70" s="82" t="str">
        <f ca="1">IFERROR(__xludf.DUMMYFUNCTION("""COMPUTED_VALUE"""),"http://en.wikipedia.org/wiki/Log-normal_distribution")</f>
        <v>http://en.wikipedia.org/wiki/Log-normal_distribution</v>
      </c>
    </row>
    <row r="71" spans="1:3" ht="12.5" x14ac:dyDescent="0.25">
      <c r="A71" t="str">
        <f ca="1">IFERROR(__xludf.DUMMYFUNCTION("""COMPUTED_VALUE"""),"Log-Normal 2")</f>
        <v>Log-Normal 2</v>
      </c>
      <c r="B71" t="str">
        <f ca="1">IFERROR(__xludf.DUMMYFUNCTION("""COMPUTED_VALUE"""),"Parameter distribution_69")</f>
        <v>Parameter distribution_69</v>
      </c>
      <c r="C71" s="82" t="str">
        <f ca="1">IFERROR(__xludf.DUMMYFUNCTION("""COMPUTED_VALUE"""),"http://en.wikipedia.org/wiki/Log-normal_distribution")</f>
        <v>http://en.wikipedia.org/wiki/Log-normal_distribution</v>
      </c>
    </row>
    <row r="72" spans="1:3" ht="12.5" x14ac:dyDescent="0.25">
      <c r="A72" t="str">
        <f ca="1">IFERROR(__xludf.DUMMYFUNCTION("""COMPUTED_VALUE"""),"Log-Normal 3")</f>
        <v>Log-Normal 3</v>
      </c>
      <c r="B72" t="str">
        <f ca="1">IFERROR(__xludf.DUMMYFUNCTION("""COMPUTED_VALUE"""),"Parameter distribution_70")</f>
        <v>Parameter distribution_70</v>
      </c>
      <c r="C72" t="str">
        <f ca="1">IFERROR(__xludf.DUMMYFUNCTION("""COMPUTED_VALUE"""),"[Leemis and Mcqueston, 2008] http://www.math.wm.edu/~leemis/chart/UDR/PDFs/Lognormal.pdf")</f>
        <v>[Leemis and Mcqueston, 2008] http://www.math.wm.edu/~leemis/chart/UDR/PDFs/Lognormal.pdf</v>
      </c>
    </row>
    <row r="73" spans="1:3" ht="12.5" x14ac:dyDescent="0.25">
      <c r="A73" t="str">
        <f ca="1">IFERROR(__xludf.DUMMYFUNCTION("""COMPUTED_VALUE"""),"Log-Normal 4")</f>
        <v>Log-Normal 4</v>
      </c>
      <c r="B73" t="str">
        <f ca="1">IFERROR(__xludf.DUMMYFUNCTION("""COMPUTED_VALUE"""),"Parameter distribution_71")</f>
        <v>Parameter distribution_71</v>
      </c>
      <c r="C73" t="str">
        <f ca="1">IFERROR(__xludf.DUMMYFUNCTION("""COMPUTED_VALUE"""),"no source recorded.")</f>
        <v>no source recorded.</v>
      </c>
    </row>
    <row r="74" spans="1:3" ht="12.5" x14ac:dyDescent="0.25">
      <c r="A74" t="str">
        <f ca="1">IFERROR(__xludf.DUMMYFUNCTION("""COMPUTED_VALUE"""),"Log-Normal 5")</f>
        <v>Log-Normal 5</v>
      </c>
      <c r="B74" t="str">
        <f ca="1">IFERROR(__xludf.DUMMYFUNCTION("""COMPUTED_VALUE"""),"Parameter distribution_72")</f>
        <v>Parameter distribution_72</v>
      </c>
      <c r="C74" t="str">
        <f ca="1">IFERROR(__xludf.DUMMYFUNCTION("""COMPUTED_VALUE"""),"[Spiegelhalter et al., 2003] [Lunn, 2012] 25 [Plummer, 2003] http://www2.uaem.mx/r-mirror/web/packages/LaplacesDemon/LaplacesDemon.pdf")</f>
        <v>[Spiegelhalter et al., 2003] [Lunn, 2012] 25 [Plummer, 2003] http://www2.uaem.mx/r-mirror/web/packages/LaplacesDemon/LaplacesDemon.pdf</v>
      </c>
    </row>
    <row r="75" spans="1:3" ht="12.5" x14ac:dyDescent="0.25">
      <c r="A75" t="str">
        <f ca="1">IFERROR(__xludf.DUMMYFUNCTION("""COMPUTED_VALUE"""),"Log-Normal 6")</f>
        <v>Log-Normal 6</v>
      </c>
      <c r="B75" t="str">
        <f ca="1">IFERROR(__xludf.DUMMYFUNCTION("""COMPUTED_VALUE"""),"Parameter distribution_73")</f>
        <v>Parameter distribution_73</v>
      </c>
      <c r="C75" t="str">
        <f ca="1">IFERROR(__xludf.DUMMYFUNCTION("""COMPUTED_VALUE"""),"[Limpert et al., 2001]")</f>
        <v>[Limpert et al., 2001]</v>
      </c>
    </row>
    <row r="76" spans="1:3" ht="12.5" x14ac:dyDescent="0.25">
      <c r="A76" t="str">
        <f ca="1">IFERROR(__xludf.DUMMYFUNCTION("""COMPUTED_VALUE"""),"Log-Normal 7")</f>
        <v>Log-Normal 7</v>
      </c>
      <c r="B76" t="str">
        <f ca="1">IFERROR(__xludf.DUMMYFUNCTION("""COMPUTED_VALUE"""),"Parameter distribution_74")</f>
        <v>Parameter distribution_74</v>
      </c>
      <c r="C76" t="str">
        <f ca="1">IFERROR(__xludf.DUMMYFUNCTION("""COMPUTED_VALUE"""),"[The PopED Development Team, 2016]")</f>
        <v>[The PopED Development Team, 2016]</v>
      </c>
    </row>
    <row r="77" spans="1:3" ht="12.5" x14ac:dyDescent="0.25">
      <c r="A77" t="str">
        <f ca="1">IFERROR(__xludf.DUMMYFUNCTION("""COMPUTED_VALUE"""),"Log-Uniform 1")</f>
        <v>Log-Uniform 1</v>
      </c>
      <c r="B77" t="str">
        <f ca="1">IFERROR(__xludf.DUMMYFUNCTION("""COMPUTED_VALUE"""),"Parameter distribution_75")</f>
        <v>Parameter distribution_75</v>
      </c>
      <c r="C77" t="str">
        <f ca="1">IFERROR(__xludf.DUMMYFUNCTION("""COMPUTED_VALUE"""),"http://www.vosesoftware.com/ModelRiskHelp/index.htm#Distributions/Continuous_distributions/ 10 LogUniform_distribution.htm")</f>
        <v>http://www.vosesoftware.com/ModelRiskHelp/index.htm#Distributions/Continuous_distributions/ 10 LogUniform_distribution.htm</v>
      </c>
    </row>
    <row r="78" spans="1:3" ht="12.5" x14ac:dyDescent="0.25">
      <c r="A78" t="str">
        <f ca="1">IFERROR(__xludf.DUMMYFUNCTION("""COMPUTED_VALUE"""),"Logistic 1")</f>
        <v>Logistic 1</v>
      </c>
      <c r="B78" t="str">
        <f ca="1">IFERROR(__xludf.DUMMYFUNCTION("""COMPUTED_VALUE"""),"Parameter distribution_76")</f>
        <v>Parameter distribution_76</v>
      </c>
      <c r="C78" s="82" t="str">
        <f ca="1">IFERROR(__xludf.DUMMYFUNCTION("""COMPUTED_VALUE"""),"http://en.wikipedia.org/wiki/Logistic_distribution")</f>
        <v>http://en.wikipedia.org/wiki/Logistic_distribution</v>
      </c>
    </row>
    <row r="79" spans="1:3" ht="12.5" x14ac:dyDescent="0.25">
      <c r="A79" t="str">
        <f ca="1">IFERROR(__xludf.DUMMYFUNCTION("""COMPUTED_VALUE"""),"Logistic 2")</f>
        <v>Logistic 2</v>
      </c>
      <c r="B79" t="str">
        <f ca="1">IFERROR(__xludf.DUMMYFUNCTION("""COMPUTED_VALUE"""),"Parameter distribution_77")</f>
        <v>Parameter distribution_77</v>
      </c>
      <c r="C79" t="str">
        <f ca="1">IFERROR(__xludf.DUMMYFUNCTION("""COMPUTED_VALUE"""),"[Spiegelhalter et al., 2003]")</f>
        <v>[Spiegelhalter et al., 2003]</v>
      </c>
    </row>
    <row r="80" spans="1:3" ht="12.5" x14ac:dyDescent="0.25">
      <c r="A80" t="str">
        <f ca="1">IFERROR(__xludf.DUMMYFUNCTION("""COMPUTED_VALUE"""),"Logit Normal 1")</f>
        <v>Logit Normal 1</v>
      </c>
      <c r="B80" t="str">
        <f ca="1">IFERROR(__xludf.DUMMYFUNCTION("""COMPUTED_VALUE"""),"Parameter distribution_78")</f>
        <v>Parameter distribution_78</v>
      </c>
      <c r="C80" s="82" t="str">
        <f ca="1">IFERROR(__xludf.DUMMYFUNCTION("""COMPUTED_VALUE"""),"https://en.wikipedia.org/wiki/Logit-normal_distribution")</f>
        <v>https://en.wikipedia.org/wiki/Logit-normal_distribution</v>
      </c>
    </row>
    <row r="81" spans="1:3" ht="12.5" x14ac:dyDescent="0.25">
      <c r="A81" t="str">
        <f ca="1">IFERROR(__xludf.DUMMYFUNCTION("""COMPUTED_VALUE"""),"Lomax 1")</f>
        <v>Lomax 1</v>
      </c>
      <c r="B81" t="str">
        <f ca="1">IFERROR(__xludf.DUMMYFUNCTION("""COMPUTED_VALUE"""),"Parameter distribution_79")</f>
        <v>Parameter distribution_79</v>
      </c>
      <c r="C81" s="82" t="str">
        <f ca="1">IFERROR(__xludf.DUMMYFUNCTION("""COMPUTED_VALUE"""),"https://en.wikipedia.org/wiki/Lomax_distribution")</f>
        <v>https://en.wikipedia.org/wiki/Lomax_distribution</v>
      </c>
    </row>
    <row r="82" spans="1:3" ht="12.5" x14ac:dyDescent="0.25">
      <c r="A82" t="str">
        <f ca="1">IFERROR(__xludf.DUMMYFUNCTION("""COMPUTED_VALUE"""),"Makeham 1")</f>
        <v>Makeham 1</v>
      </c>
      <c r="B82" t="str">
        <f ca="1">IFERROR(__xludf.DUMMYFUNCTION("""COMPUTED_VALUE"""),"Parameter distribution_80")</f>
        <v>Parameter distribution_80</v>
      </c>
      <c r="C82" s="82" t="str">
        <f ca="1">IFERROR(__xludf.DUMMYFUNCTION("""COMPUTED_VALUE"""),"http://www.math.wm.edu/~leemis/chart/UDR/PDFs/Makeham.pdf")</f>
        <v>http://www.math.wm.edu/~leemis/chart/UDR/PDFs/Makeham.pdf</v>
      </c>
    </row>
    <row r="83" spans="1:3" ht="12.5" x14ac:dyDescent="0.25">
      <c r="A83" t="str">
        <f ca="1">IFERROR(__xludf.DUMMYFUNCTION("""COMPUTED_VALUE"""),"Maxwell Boltzmann 1")</f>
        <v>Maxwell Boltzmann 1</v>
      </c>
      <c r="B83" t="str">
        <f ca="1">IFERROR(__xludf.DUMMYFUNCTION("""COMPUTED_VALUE"""),"Parameter distribution_81")</f>
        <v>Parameter distribution_81</v>
      </c>
      <c r="C83" t="str">
        <f ca="1">IFERROR(__xludf.DUMMYFUNCTION("""COMPUTED_VALUE"""),"http://mathworld.wolfram.com/MaxwellDistribution.html https://en.wikipedia.org/wiki/Maxwell%E2%80%93Boltzmann_distribution")</f>
        <v>http://mathworld.wolfram.com/MaxwellDistribution.html https://en.wikipedia.org/wiki/Maxwell%E2%80%93Boltzmann_distribution</v>
      </c>
    </row>
    <row r="84" spans="1:3" ht="12.5" x14ac:dyDescent="0.25">
      <c r="A84" t="str">
        <f ca="1">IFERROR(__xludf.DUMMYFUNCTION("""COMPUTED_VALUE"""),"Mixture Distribution 1")</f>
        <v>Mixture Distribution 1</v>
      </c>
      <c r="B84" t="str">
        <f ca="1">IFERROR(__xludf.DUMMYFUNCTION("""COMPUTED_VALUE"""),"Parameter distribution_82")</f>
        <v>Parameter distribution_82</v>
      </c>
      <c r="C84" s="82" t="str">
        <f ca="1">IFERROR(__xludf.DUMMYFUNCTION("""COMPUTED_VALUE"""),"https://en.wikipedia.org/wiki/Mixture_distribution")</f>
        <v>https://en.wikipedia.org/wiki/Mixture_distribution</v>
      </c>
    </row>
    <row r="85" spans="1:3" ht="12.5" x14ac:dyDescent="0.25">
      <c r="A85" t="str">
        <f ca="1">IFERROR(__xludf.DUMMYFUNCTION("""COMPUTED_VALUE"""),"Multinomial 1")</f>
        <v>Multinomial 1</v>
      </c>
      <c r="B85" t="str">
        <f ca="1">IFERROR(__xludf.DUMMYFUNCTION("""COMPUTED_VALUE"""),"Parameter distribution_83")</f>
        <v>Parameter distribution_83</v>
      </c>
      <c r="C85" s="82" t="str">
        <f ca="1">IFERROR(__xludf.DUMMYFUNCTION("""COMPUTED_VALUE"""),"http://en.wikipedia.org/wiki/Multinomial_distribution")</f>
        <v>http://en.wikipedia.org/wiki/Multinomial_distribution</v>
      </c>
    </row>
    <row r="86" spans="1:3" ht="12.5" x14ac:dyDescent="0.25">
      <c r="A86" t="str">
        <f ca="1">IFERROR(__xludf.DUMMYFUNCTION("""COMPUTED_VALUE"""),"Multivariate Gaussian Process Distribution 1")</f>
        <v>Multivariate Gaussian Process Distribution 1</v>
      </c>
      <c r="B86" t="str">
        <f ca="1">IFERROR(__xludf.DUMMYFUNCTION("""COMPUTED_VALUE"""),"Parameter distribution_84")</f>
        <v>Parameter distribution_84</v>
      </c>
      <c r="C86" t="str">
        <f ca="1">IFERROR(__xludf.DUMMYFUNCTION("""COMPUTED_VALUE"""),"[STAN Development Team, 2015b]")</f>
        <v>[STAN Development Team, 2015b]</v>
      </c>
    </row>
    <row r="87" spans="1:3" ht="12.5" x14ac:dyDescent="0.25">
      <c r="A87" t="str">
        <f ca="1">IFERROR(__xludf.DUMMYFUNCTION("""COMPUTED_VALUE"""),"Multivariate Gaussian Process Distribution 2")</f>
        <v>Multivariate Gaussian Process Distribution 2</v>
      </c>
      <c r="B87" t="str">
        <f ca="1">IFERROR(__xludf.DUMMYFUNCTION("""COMPUTED_VALUE"""),"Parameter distribution_85")</f>
        <v>Parameter distribution_85</v>
      </c>
      <c r="C87" t="str">
        <f ca="1">IFERROR(__xludf.DUMMYFUNCTION("""COMPUTED_VALUE"""),"[STAN Development Team, 2015b]")</f>
        <v>[STAN Development Team, 2015b]</v>
      </c>
    </row>
    <row r="88" spans="1:3" ht="12.5" x14ac:dyDescent="0.25">
      <c r="A88" t="str">
        <f ca="1">IFERROR(__xludf.DUMMYFUNCTION("""COMPUTED_VALUE"""),"Multivariate Normal 1")</f>
        <v>Multivariate Normal 1</v>
      </c>
      <c r="B88" t="str">
        <f ca="1">IFERROR(__xludf.DUMMYFUNCTION("""COMPUTED_VALUE"""),"Parameter distribution_86")</f>
        <v>Parameter distribution_86</v>
      </c>
      <c r="C88" s="82" t="str">
        <f ca="1">IFERROR(__xludf.DUMMYFUNCTION("""COMPUTED_VALUE"""),"http://en.wikipedia.org/wiki/Multivariate_normal_distribution")</f>
        <v>http://en.wikipedia.org/wiki/Multivariate_normal_distribution</v>
      </c>
    </row>
    <row r="89" spans="1:3" ht="12.5" x14ac:dyDescent="0.25">
      <c r="A89" t="str">
        <f ca="1">IFERROR(__xludf.DUMMYFUNCTION("""COMPUTED_VALUE"""),"Multivariate Normal 2")</f>
        <v>Multivariate Normal 2</v>
      </c>
      <c r="B89" t="str">
        <f ca="1">IFERROR(__xludf.DUMMYFUNCTION("""COMPUTED_VALUE"""),"Parameter distribution_87")</f>
        <v>Parameter distribution_87</v>
      </c>
      <c r="C89" t="str">
        <f ca="1">IFERROR(__xludf.DUMMYFUNCTION("""COMPUTED_VALUE"""),"[Spiegelhalter et al., 2003]")</f>
        <v>[Spiegelhalter et al., 2003]</v>
      </c>
    </row>
    <row r="90" spans="1:3" ht="12.5" x14ac:dyDescent="0.25">
      <c r="A90" t="str">
        <f ca="1">IFERROR(__xludf.DUMMYFUNCTION("""COMPUTED_VALUE"""),"Multivariate Normal 3")</f>
        <v>Multivariate Normal 3</v>
      </c>
      <c r="B90" t="str">
        <f ca="1">IFERROR(__xludf.DUMMYFUNCTION("""COMPUTED_VALUE"""),"Parameter distribution_88")</f>
        <v>Parameter distribution_88</v>
      </c>
      <c r="C90" t="str">
        <f ca="1">IFERROR(__xludf.DUMMYFUNCTION("""COMPUTED_VALUE"""),"[STAN Development Team, 2015b]")</f>
        <v>[STAN Development Team, 2015b]</v>
      </c>
    </row>
    <row r="91" spans="1:3" ht="12.5" x14ac:dyDescent="0.25">
      <c r="A91" t="str">
        <f ca="1">IFERROR(__xludf.DUMMYFUNCTION("""COMPUTED_VALUE"""),"Multivariate (Student) T 1")</f>
        <v>Multivariate (Student) T 1</v>
      </c>
      <c r="B91" t="str">
        <f ca="1">IFERROR(__xludf.DUMMYFUNCTION("""COMPUTED_VALUE"""),"Parameter distribution_89")</f>
        <v>Parameter distribution_89</v>
      </c>
      <c r="C91" t="str">
        <f ca="1">IFERROR(__xludf.DUMMYFUNCTION("""COMPUTED_VALUE"""),"http://en.wikipedia.org/wiki/Multivariate_t-distribution http://www.uncertml.org/distributions/multivariate-student-t")</f>
        <v>http://en.wikipedia.org/wiki/Multivariate_t-distribution http://www.uncertml.org/distributions/multivariate-student-t</v>
      </c>
    </row>
    <row r="92" spans="1:3" ht="12.5" x14ac:dyDescent="0.25">
      <c r="A92" t="str">
        <f ca="1">IFERROR(__xludf.DUMMYFUNCTION("""COMPUTED_VALUE"""),"Multivariate (Student) T 2")</f>
        <v>Multivariate (Student) T 2</v>
      </c>
      <c r="B92" t="str">
        <f ca="1">IFERROR(__xludf.DUMMYFUNCTION("""COMPUTED_VALUE"""),"Parameter distribution_90")</f>
        <v>Parameter distribution_90</v>
      </c>
      <c r="C92" t="str">
        <f ca="1">IFERROR(__xludf.DUMMYFUNCTION("""COMPUTED_VALUE"""),"[Spiegelhalter et al., 2003]")</f>
        <v>[Spiegelhalter et al., 2003]</v>
      </c>
    </row>
    <row r="93" spans="1:3" ht="12.5" x14ac:dyDescent="0.25">
      <c r="A93" t="str">
        <f ca="1">IFERROR(__xludf.DUMMYFUNCTION("""COMPUTED_VALUE"""),"Muth 1")</f>
        <v>Muth 1</v>
      </c>
      <c r="B93" t="str">
        <f ca="1">IFERROR(__xludf.DUMMYFUNCTION("""COMPUTED_VALUE"""),"Parameter distribution_91")</f>
        <v>Parameter distribution_91</v>
      </c>
      <c r="C93" s="82" t="str">
        <f ca="1">IFERROR(__xludf.DUMMYFUNCTION("""COMPUTED_VALUE"""),"http://www.itl.nist.gov/div898/software/dataplot/refman2/auxillar/mutpdf.htm")</f>
        <v>http://www.itl.nist.gov/div898/software/dataplot/refman2/auxillar/mutpdf.htm</v>
      </c>
    </row>
    <row r="94" spans="1:3" ht="12.5" x14ac:dyDescent="0.25">
      <c r="A94" t="str">
        <f ca="1">IFERROR(__xludf.DUMMYFUNCTION("""COMPUTED_VALUE"""),"Nakagami 1")</f>
        <v>Nakagami 1</v>
      </c>
      <c r="B94" t="str">
        <f ca="1">IFERROR(__xludf.DUMMYFUNCTION("""COMPUTED_VALUE"""),"Parameter distribution_92")</f>
        <v>Parameter distribution_92</v>
      </c>
      <c r="C94" s="82" t="str">
        <f ca="1">IFERROR(__xludf.DUMMYFUNCTION("""COMPUTED_VALUE"""),"https://en.wikipedia.org/wiki/Nakagami_distribution")</f>
        <v>https://en.wikipedia.org/wiki/Nakagami_distribution</v>
      </c>
    </row>
    <row r="95" spans="1:3" ht="12.5" x14ac:dyDescent="0.25">
      <c r="A95" t="str">
        <f ca="1">IFERROR(__xludf.DUMMYFUNCTION("""COMPUTED_VALUE"""),"Negative Binomial 1")</f>
        <v>Negative Binomial 1</v>
      </c>
      <c r="B95" t="str">
        <f ca="1">IFERROR(__xludf.DUMMYFUNCTION("""COMPUTED_VALUE"""),"Parameter distribution_93")</f>
        <v>Parameter distribution_93</v>
      </c>
      <c r="C95" t="str">
        <f ca="1">IFERROR(__xludf.DUMMYFUNCTION("""COMPUTED_VALUE"""),"[Leemis and Mcqueston, 2008]")</f>
        <v>[Leemis and Mcqueston, 2008]</v>
      </c>
    </row>
    <row r="96" spans="1:3" ht="12.5" x14ac:dyDescent="0.25">
      <c r="A96" t="str">
        <f ca="1">IFERROR(__xludf.DUMMYFUNCTION("""COMPUTED_VALUE"""),"Negative Binomial 2")</f>
        <v>Negative Binomial 2</v>
      </c>
      <c r="B96" t="str">
        <f ca="1">IFERROR(__xludf.DUMMYFUNCTION("""COMPUTED_VALUE"""),"Parameter distribution_94")</f>
        <v>Parameter distribution_94</v>
      </c>
      <c r="C96" t="str">
        <f ca="1">IFERROR(__xludf.DUMMYFUNCTION("""COMPUTED_VALUE"""),"[Hilbe, 2011] [Cameron and Trivedi, 2013]")</f>
        <v>[Hilbe, 2011] [Cameron and Trivedi, 2013]</v>
      </c>
    </row>
    <row r="97" spans="1:3" ht="12.5" x14ac:dyDescent="0.25">
      <c r="A97" t="str">
        <f ca="1">IFERROR(__xludf.DUMMYFUNCTION("""COMPUTED_VALUE"""),"Negative Binomial 3")</f>
        <v>Negative Binomial 3</v>
      </c>
      <c r="B97" t="str">
        <f ca="1">IFERROR(__xludf.DUMMYFUNCTION("""COMPUTED_VALUE"""),"Parameter distribution_95")</f>
        <v>Parameter distribution_95</v>
      </c>
      <c r="C97" s="82" t="str">
        <f ca="1">IFERROR(__xludf.DUMMYFUNCTION("""COMPUTED_VALUE"""),"cran.r-project.org/web/packages/VGAM/VGAM.pdf")</f>
        <v>cran.r-project.org/web/packages/VGAM/VGAM.pdf</v>
      </c>
    </row>
    <row r="98" spans="1:3" ht="12.5" x14ac:dyDescent="0.25">
      <c r="A98" t="str">
        <f ca="1">IFERROR(__xludf.DUMMYFUNCTION("""COMPUTED_VALUE"""),"Negative Binomial 4")</f>
        <v>Negative Binomial 4</v>
      </c>
      <c r="B98" t="str">
        <f ca="1">IFERROR(__xludf.DUMMYFUNCTION("""COMPUTED_VALUE"""),"Parameter distribution_96")</f>
        <v>Parameter distribution_96</v>
      </c>
      <c r="C98" s="82" t="str">
        <f ca="1">IFERROR(__xludf.DUMMYFUNCTION("""COMPUTED_VALUE"""),"https://en.wikipedia.org/wiki/Binomial_distribution")</f>
        <v>https://en.wikipedia.org/wiki/Binomial_distribution</v>
      </c>
    </row>
    <row r="99" spans="1:3" ht="12.5" x14ac:dyDescent="0.25">
      <c r="A99" t="str">
        <f ca="1">IFERROR(__xludf.DUMMYFUNCTION("""COMPUTED_VALUE"""),"Negative Binomial 5")</f>
        <v>Negative Binomial 5</v>
      </c>
      <c r="B99" t="str">
        <f ca="1">IFERROR(__xludf.DUMMYFUNCTION("""COMPUTED_VALUE"""),"Parameter distribution_97")</f>
        <v>Parameter distribution_97</v>
      </c>
      <c r="C99" t="str">
        <f ca="1">IFERROR(__xludf.DUMMYFUNCTION("""COMPUTED_VALUE"""),"[Gelman et al., 2014]")</f>
        <v>[Gelman et al., 2014]</v>
      </c>
    </row>
    <row r="100" spans="1:3" ht="12.5" x14ac:dyDescent="0.25">
      <c r="A100" t="str">
        <f ca="1">IFERROR(__xludf.DUMMYFUNCTION("""COMPUTED_VALUE"""),"Negative Binomial 6")</f>
        <v>Negative Binomial 6</v>
      </c>
      <c r="B100" t="str">
        <f ca="1">IFERROR(__xludf.DUMMYFUNCTION("""COMPUTED_VALUE"""),"Parameter distribution_98")</f>
        <v>Parameter distribution_98</v>
      </c>
      <c r="C100" t="str">
        <f ca="1">IFERROR(__xludf.DUMMYFUNCTION("""COMPUTED_VALUE"""),"[STAN Development Team, 2015b]")</f>
        <v>[STAN Development Team, 2015b]</v>
      </c>
    </row>
    <row r="101" spans="1:3" ht="12.5" x14ac:dyDescent="0.25">
      <c r="A101" t="str">
        <f ca="1">IFERROR(__xludf.DUMMYFUNCTION("""COMPUTED_VALUE"""),"Noncentral Beta 1")</f>
        <v>Noncentral Beta 1</v>
      </c>
      <c r="B101" t="str">
        <f ca="1">IFERROR(__xludf.DUMMYFUNCTION("""COMPUTED_VALUE"""),"Parameter distribution_99")</f>
        <v>Parameter distribution_99</v>
      </c>
      <c r="C101" t="str">
        <f ca="1">IFERROR(__xludf.DUMMYFUNCTION("""COMPUTED_VALUE"""),"[Walck, 2007]")</f>
        <v>[Walck, 2007]</v>
      </c>
    </row>
    <row r="102" spans="1:3" ht="12.5" x14ac:dyDescent="0.25">
      <c r="A102" t="str">
        <f ca="1">IFERROR(__xludf.DUMMYFUNCTION("""COMPUTED_VALUE"""),"Noncentral chi-squared 1")</f>
        <v>Noncentral chi-squared 1</v>
      </c>
      <c r="B102" t="str">
        <f ca="1">IFERROR(__xludf.DUMMYFUNCTION("""COMPUTED_VALUE"""),"Parameter distribution_100")</f>
        <v>Parameter distribution_100</v>
      </c>
      <c r="C102" s="82" t="str">
        <f ca="1">IFERROR(__xludf.DUMMYFUNCTION("""COMPUTED_VALUE"""),"http://www.math.wm.edu/~leemis/chart/UDR/PDFs/Noncentralchisquare.pdf")</f>
        <v>http://www.math.wm.edu/~leemis/chart/UDR/PDFs/Noncentralchisquare.pdf</v>
      </c>
    </row>
    <row r="103" spans="1:3" ht="12.5" x14ac:dyDescent="0.25">
      <c r="A103" t="str">
        <f ca="1">IFERROR(__xludf.DUMMYFUNCTION("""COMPUTED_VALUE"""),"Noncentral F 1")</f>
        <v>Noncentral F 1</v>
      </c>
      <c r="B103" t="str">
        <f ca="1">IFERROR(__xludf.DUMMYFUNCTION("""COMPUTED_VALUE"""),"Parameter distribution_101")</f>
        <v>Parameter distribution_101</v>
      </c>
      <c r="C103" t="str">
        <f ca="1">IFERROR(__xludf.DUMMYFUNCTION("""COMPUTED_VALUE"""),"[Walck, 2007]")</f>
        <v>[Walck, 2007]</v>
      </c>
    </row>
    <row r="104" spans="1:3" ht="12.5" x14ac:dyDescent="0.25">
      <c r="A104" t="str">
        <f ca="1">IFERROR(__xludf.DUMMYFUNCTION("""COMPUTED_VALUE"""),"NoncentralT")</f>
        <v>NoncentralT</v>
      </c>
      <c r="B104" t="str">
        <f ca="1">IFERROR(__xludf.DUMMYFUNCTION("""COMPUTED_VALUE"""),"Parameter distribution_102")</f>
        <v>Parameter distribution_102</v>
      </c>
      <c r="C104" t="str">
        <f ca="1">IFERROR(__xludf.DUMMYFUNCTION("""COMPUTED_VALUE"""),"[Walck, 2007] https://en.wikipedia.org/wiki/Noncentral_t-distribution")</f>
        <v>[Walck, 2007] https://en.wikipedia.org/wiki/Noncentral_t-distribution</v>
      </c>
    </row>
    <row r="106" spans="1:3" ht="12.5" x14ac:dyDescent="0.25">
      <c r="A106" t="str">
        <f ca="1">IFERROR(__xludf.DUMMYFUNCTION("""COMPUTED_VALUE"""),"Normal 2")</f>
        <v>Normal 2</v>
      </c>
      <c r="B106" t="str">
        <f ca="1">IFERROR(__xludf.DUMMYFUNCTION("""COMPUTED_VALUE"""),"Parameter distribution_104")</f>
        <v>Parameter distribution_104</v>
      </c>
      <c r="C106" s="82" t="str">
        <f ca="1">IFERROR(__xludf.DUMMYFUNCTION("""COMPUTED_VALUE"""),"http://en.wikipedia.org/wiki/Normal_distribution")</f>
        <v>http://en.wikipedia.org/wiki/Normal_distribution</v>
      </c>
    </row>
    <row r="107" spans="1:3" ht="12.5" x14ac:dyDescent="0.25">
      <c r="A107" t="str">
        <f ca="1">IFERROR(__xludf.DUMMYFUNCTION("""COMPUTED_VALUE"""),"Normal 3")</f>
        <v>Normal 3</v>
      </c>
      <c r="B107" t="str">
        <f ca="1">IFERROR(__xludf.DUMMYFUNCTION("""COMPUTED_VALUE"""),"Parameter distribution_105")</f>
        <v>Parameter distribution_105</v>
      </c>
      <c r="C107" t="str">
        <f ca="1">IFERROR(__xludf.DUMMYFUNCTION("""COMPUTED_VALUE"""),"[Spiegelhalter et al., 2003] http://artax.karlin.mff.cuni.cz/r-help/library/LaplacesDemon/html/dist.Normal.Precision.html")</f>
        <v>[Spiegelhalter et al., 2003] http://artax.karlin.mff.cuni.cz/r-help/library/LaplacesDemon/html/dist.Normal.Precision.html</v>
      </c>
    </row>
    <row r="108" spans="1:3" ht="12.5" x14ac:dyDescent="0.25">
      <c r="A108" t="str">
        <f ca="1">IFERROR(__xludf.DUMMYFUNCTION("""COMPUTED_VALUE"""),"Normal-inverse-gamma 1")</f>
        <v>Normal-inverse-gamma 1</v>
      </c>
      <c r="B108" t="str">
        <f ca="1">IFERROR(__xludf.DUMMYFUNCTION("""COMPUTED_VALUE"""),"Parameter distribution_106")</f>
        <v>Parameter distribution_106</v>
      </c>
      <c r="C108" s="82" t="str">
        <f ca="1">IFERROR(__xludf.DUMMYFUNCTION("""COMPUTED_VALUE"""),"http://en.wikipedia.org/wiki/Normal-inverse-gamma_distribution")</f>
        <v>http://en.wikipedia.org/wiki/Normal-inverse-gamma_distribution</v>
      </c>
    </row>
    <row r="109" spans="1:3" ht="12.5" x14ac:dyDescent="0.25">
      <c r="A109" t="str">
        <f ca="1">IFERROR(__xludf.DUMMYFUNCTION("""COMPUTED_VALUE"""),"Ordered Logistic 1")</f>
        <v>Ordered Logistic 1</v>
      </c>
      <c r="B109" t="str">
        <f ca="1">IFERROR(__xludf.DUMMYFUNCTION("""COMPUTED_VALUE"""),"Parameter distribution_107")</f>
        <v>Parameter distribution_107</v>
      </c>
      <c r="C109" t="str">
        <f ca="1">IFERROR(__xludf.DUMMYFUNCTION("""COMPUTED_VALUE"""),"[STAN Development Team, 2015b]")</f>
        <v>[STAN Development Team, 2015b]</v>
      </c>
    </row>
    <row r="110" spans="1:3" ht="12.5" x14ac:dyDescent="0.25">
      <c r="A110" t="str">
        <f ca="1">IFERROR(__xludf.DUMMYFUNCTION("""COMPUTED_VALUE"""),"Pareto Type I")</f>
        <v>Pareto Type I</v>
      </c>
      <c r="B110" t="str">
        <f ca="1">IFERROR(__xludf.DUMMYFUNCTION("""COMPUTED_VALUE"""),"Parameter distribution_108")</f>
        <v>Parameter distribution_108</v>
      </c>
      <c r="C110" s="82" t="str">
        <f ca="1">IFERROR(__xludf.DUMMYFUNCTION("""COMPUTED_VALUE"""),"http://en.wikipedia.org/wiki/Pareto_distribution")</f>
        <v>http://en.wikipedia.org/wiki/Pareto_distribution</v>
      </c>
    </row>
    <row r="111" spans="1:3" ht="12.5" x14ac:dyDescent="0.25">
      <c r="A111" t="str">
        <f ca="1">IFERROR(__xludf.DUMMYFUNCTION("""COMPUTED_VALUE"""),"Pareto Type II")</f>
        <v>Pareto Type II</v>
      </c>
      <c r="B111" t="str">
        <f ca="1">IFERROR(__xludf.DUMMYFUNCTION("""COMPUTED_VALUE"""),"Parameter distribution_109")</f>
        <v>Parameter distribution_109</v>
      </c>
      <c r="C111" s="82" t="str">
        <f ca="1">IFERROR(__xludf.DUMMYFUNCTION("""COMPUTED_VALUE"""),"https://en.wikipedia.org/wiki/Pareto_distribution")</f>
        <v>https://en.wikipedia.org/wiki/Pareto_distribution</v>
      </c>
    </row>
    <row r="112" spans="1:3" ht="12.5" x14ac:dyDescent="0.25">
      <c r="A112" t="str">
        <f ca="1">IFERROR(__xludf.DUMMYFUNCTION("""COMPUTED_VALUE"""),"Poisson 1")</f>
        <v>Poisson 1</v>
      </c>
      <c r="B112" t="str">
        <f ca="1">IFERROR(__xludf.DUMMYFUNCTION("""COMPUTED_VALUE"""),"Parameter distribution_110")</f>
        <v>Parameter distribution_110</v>
      </c>
      <c r="C112" s="82" t="str">
        <f ca="1">IFERROR(__xludf.DUMMYFUNCTION("""COMPUTED_VALUE"""),"http://en.wikipedia.org/wiki/Poisson_distribution")</f>
        <v>http://en.wikipedia.org/wiki/Poisson_distribution</v>
      </c>
    </row>
    <row r="113" spans="1:3" ht="12.5" x14ac:dyDescent="0.25">
      <c r="A113" t="str">
        <f ca="1">IFERROR(__xludf.DUMMYFUNCTION("""COMPUTED_VALUE"""),"Poisson 2")</f>
        <v>Poisson 2</v>
      </c>
      <c r="B113" t="str">
        <f ca="1">IFERROR(__xludf.DUMMYFUNCTION("""COMPUTED_VALUE"""),"Parameter distribution_111")</f>
        <v>Parameter distribution_111</v>
      </c>
      <c r="C113" t="str">
        <f ca="1">IFERROR(__xludf.DUMMYFUNCTION("""COMPUTED_VALUE"""),"[STAN Development Team, 2015b]")</f>
        <v>[STAN Development Team, 2015b]</v>
      </c>
    </row>
    <row r="114" spans="1:3" ht="12.5" x14ac:dyDescent="0.25">
      <c r="A114" t="str">
        <f ca="1">IFERROR(__xludf.DUMMYFUNCTION("""COMPUTED_VALUE"""),"Power 1")</f>
        <v>Power 1</v>
      </c>
      <c r="B114" t="str">
        <f ca="1">IFERROR(__xludf.DUMMYFUNCTION("""COMPUTED_VALUE"""),"Parameter distribution_112")</f>
        <v>Parameter distribution_112</v>
      </c>
      <c r="C114" s="82" t="str">
        <f ca="1">IFERROR(__xludf.DUMMYFUNCTION("""COMPUTED_VALUE"""),"http://www.math.wm.edu/~leemis/chart/UDR/PDFs/Power.pdf")</f>
        <v>http://www.math.wm.edu/~leemis/chart/UDR/PDFs/Power.pdf</v>
      </c>
    </row>
    <row r="115" spans="1:3" ht="12.5" x14ac:dyDescent="0.25">
      <c r="A115" t="str">
        <f ca="1">IFERROR(__xludf.DUMMYFUNCTION("""COMPUTED_VALUE"""),"Power-Normal 1")</f>
        <v>Power-Normal 1</v>
      </c>
      <c r="B115" t="str">
        <f ca="1">IFERROR(__xludf.DUMMYFUNCTION("""COMPUTED_VALUE"""),"Parameter distribution_113")</f>
        <v>Parameter distribution_113</v>
      </c>
      <c r="C115" t="str">
        <f ca="1">IFERROR(__xludf.DUMMYFUNCTION("""COMPUTED_VALUE"""),"[Freeman and Modarres, 2002]")</f>
        <v>[Freeman and Modarres, 2002]</v>
      </c>
    </row>
    <row r="116" spans="1:3" ht="12.5" x14ac:dyDescent="0.25">
      <c r="A116" t="str">
        <f ca="1">IFERROR(__xludf.DUMMYFUNCTION("""COMPUTED_VALUE"""),"Rayleigh 1")</f>
        <v>Rayleigh 1</v>
      </c>
      <c r="B116" t="str">
        <f ca="1">IFERROR(__xludf.DUMMYFUNCTION("""COMPUTED_VALUE"""),"Parameter distribution_114")</f>
        <v>Parameter distribution_114</v>
      </c>
      <c r="C116" s="82" t="str">
        <f ca="1">IFERROR(__xludf.DUMMYFUNCTION("""COMPUTED_VALUE"""),"https://en.wikipedia.org/wiki/Rayleigh_distribution")</f>
        <v>https://en.wikipedia.org/wiki/Rayleigh_distribution</v>
      </c>
    </row>
    <row r="117" spans="1:3" ht="12.5" x14ac:dyDescent="0.25">
      <c r="A117" t="str">
        <f ca="1">IFERROR(__xludf.DUMMYFUNCTION("""COMPUTED_VALUE"""),"Rice 1")</f>
        <v>Rice 1</v>
      </c>
      <c r="B117" t="str">
        <f ca="1">IFERROR(__xludf.DUMMYFUNCTION("""COMPUTED_VALUE"""),"Parameter distribution_115")</f>
        <v>Parameter distribution_115</v>
      </c>
      <c r="C117" s="82" t="str">
        <f ca="1">IFERROR(__xludf.DUMMYFUNCTION("""COMPUTED_VALUE"""),"http://nl.mathworks.com/help/stats/rician-distribution.html")</f>
        <v>http://nl.mathworks.com/help/stats/rician-distribution.html</v>
      </c>
    </row>
    <row r="118" spans="1:3" ht="12.5" x14ac:dyDescent="0.25">
      <c r="A118" t="str">
        <f ca="1">IFERROR(__xludf.DUMMYFUNCTION("""COMPUTED_VALUE"""),"Scaled Inverse Chi-Square")</f>
        <v>Scaled Inverse Chi-Square</v>
      </c>
      <c r="B118" t="str">
        <f ca="1">IFERROR(__xludf.DUMMYFUNCTION("""COMPUTED_VALUE"""),"Parameter distribution_116")</f>
        <v>Parameter distribution_116</v>
      </c>
      <c r="C118" t="str">
        <f ca="1">IFERROR(__xludf.DUMMYFUNCTION("""COMPUTED_VALUE"""),"[STAN Development Team, 2015b] https://en.wikipedia.org/wiki/Scaled_inverse_chi-squared_distribution")</f>
        <v>[STAN Development Team, 2015b] https://en.wikipedia.org/wiki/Scaled_inverse_chi-squared_distribution</v>
      </c>
    </row>
    <row r="119" spans="1:3" ht="12.5" x14ac:dyDescent="0.25">
      <c r="A119" t="str">
        <f ca="1">IFERROR(__xludf.DUMMYFUNCTION("""COMPUTED_VALUE"""),"Sinh-Arcsinh 1")</f>
        <v>Sinh-Arcsinh 1</v>
      </c>
      <c r="B119" t="str">
        <f ca="1">IFERROR(__xludf.DUMMYFUNCTION("""COMPUTED_VALUE"""),"Parameter distribution_117")</f>
        <v>Parameter distribution_117</v>
      </c>
      <c r="C119" s="82" t="str">
        <f ca="1">IFERROR(__xludf.DUMMYFUNCTION("""COMPUTED_VALUE"""),"https://cran.r-project.org/web/packages/gamlss.dist/gamlss.dist.pdf")</f>
        <v>https://cran.r-project.org/web/packages/gamlss.dist/gamlss.dist.pdf</v>
      </c>
    </row>
    <row r="120" spans="1:3" ht="12.5" x14ac:dyDescent="0.25">
      <c r="A120" t="str">
        <f ca="1">IFERROR(__xludf.DUMMYFUNCTION("""COMPUTED_VALUE"""),"Sinh-Arcsinh 2")</f>
        <v>Sinh-Arcsinh 2</v>
      </c>
      <c r="B120" t="str">
        <f ca="1">IFERROR(__xludf.DUMMYFUNCTION("""COMPUTED_VALUE"""),"Parameter distribution_118")</f>
        <v>Parameter distribution_118</v>
      </c>
      <c r="C120" t="str">
        <f ca="1">IFERROR(__xludf.DUMMYFUNCTION("""COMPUTED_VALUE"""),"[Rubio et al., 2013]")</f>
        <v>[Rubio et al., 2013]</v>
      </c>
    </row>
    <row r="121" spans="1:3" ht="12.5" x14ac:dyDescent="0.25">
      <c r="A121" t="str">
        <f ca="1">IFERROR(__xludf.DUMMYFUNCTION("""COMPUTED_VALUE"""),"Skew Normal")</f>
        <v>Skew Normal</v>
      </c>
      <c r="B121" t="str">
        <f ca="1">IFERROR(__xludf.DUMMYFUNCTION("""COMPUTED_VALUE"""),"Parameter distribution_119")</f>
        <v>Parameter distribution_119</v>
      </c>
      <c r="C121" t="str">
        <f ca="1">IFERROR(__xludf.DUMMYFUNCTION("""COMPUTED_VALUE"""),"[STAN Development Team, 2015b] https://en.wikipedia.org/wiki/Skew_normal_distribution")</f>
        <v>[STAN Development Team, 2015b] https://en.wikipedia.org/wiki/Skew_normal_distribution</v>
      </c>
    </row>
    <row r="122" spans="1:3" ht="12.5" x14ac:dyDescent="0.25">
      <c r="A122" t="str">
        <f ca="1">IFERROR(__xludf.DUMMYFUNCTION("""COMPUTED_VALUE"""),"Standard Cauchy 1")</f>
        <v>Standard Cauchy 1</v>
      </c>
      <c r="B122" t="str">
        <f ca="1">IFERROR(__xludf.DUMMYFUNCTION("""COMPUTED_VALUE"""),"Parameter distribution_120")</f>
        <v>Parameter distribution_120</v>
      </c>
      <c r="C122" s="82" t="str">
        <f ca="1">IFERROR(__xludf.DUMMYFUNCTION("""COMPUTED_VALUE"""),"http://www.math.wm.edu/~leemis/chart/UDR/PDFs/Standardcauchy.pdf")</f>
        <v>http://www.math.wm.edu/~leemis/chart/UDR/PDFs/Standardcauchy.pdf</v>
      </c>
    </row>
    <row r="123" spans="1:3" ht="12.5" x14ac:dyDescent="0.25">
      <c r="A123" t="str">
        <f ca="1">IFERROR(__xludf.DUMMYFUNCTION("""COMPUTED_VALUE"""),"Standard Logistic 1")</f>
        <v>Standard Logistic 1</v>
      </c>
      <c r="B123" t="str">
        <f ca="1">IFERROR(__xludf.DUMMYFUNCTION("""COMPUTED_VALUE"""),"Parameter distribution_121")</f>
        <v>Parameter distribution_121</v>
      </c>
      <c r="C123" s="82" t="str">
        <f ca="1">IFERROR(__xludf.DUMMYFUNCTION("""COMPUTED_VALUE"""),"http://www.math.uah.edu/stat/special/Logistic.html")</f>
        <v>http://www.math.uah.edu/stat/special/Logistic.html</v>
      </c>
    </row>
    <row r="124" spans="1:3" ht="12.5" x14ac:dyDescent="0.25">
      <c r="A124" t="str">
        <f ca="1">IFERROR(__xludf.DUMMYFUNCTION("""COMPUTED_VALUE"""),"Standard Normal 1")</f>
        <v>Standard Normal 1</v>
      </c>
      <c r="B124" t="str">
        <f ca="1">IFERROR(__xludf.DUMMYFUNCTION("""COMPUTED_VALUE"""),"Parameter distribution_122")</f>
        <v>Parameter distribution_122</v>
      </c>
      <c r="C124" s="82" t="str">
        <f ca="1">IFERROR(__xludf.DUMMYFUNCTION("""COMPUTED_VALUE"""),"https://en.wikipedia.org/wiki/Normal_distribution#Standard_normal_distribution")</f>
        <v>https://en.wikipedia.org/wiki/Normal_distribution#Standard_normal_distribution</v>
      </c>
    </row>
    <row r="125" spans="1:3" ht="12.5" x14ac:dyDescent="0.25">
      <c r="A125" t="str">
        <f ca="1">IFERROR(__xludf.DUMMYFUNCTION("""COMPUTED_VALUE"""),"Standard Power 1")</f>
        <v>Standard Power 1</v>
      </c>
      <c r="B125" t="str">
        <f ca="1">IFERROR(__xludf.DUMMYFUNCTION("""COMPUTED_VALUE"""),"Parameter distribution_123")</f>
        <v>Parameter distribution_123</v>
      </c>
      <c r="C125" s="82" t="str">
        <f ca="1">IFERROR(__xludf.DUMMYFUNCTION("""COMPUTED_VALUE"""),"http://www.math.wm.edu/~leemis/chart/UDR/PDFs/Power.pdf")</f>
        <v>http://www.math.wm.edu/~leemis/chart/UDR/PDFs/Power.pdf</v>
      </c>
    </row>
    <row r="126" spans="1:3" ht="12.5" x14ac:dyDescent="0.25">
      <c r="A126" t="str">
        <f ca="1">IFERROR(__xludf.DUMMYFUNCTION("""COMPUTED_VALUE"""),"Standard Triangular 1")</f>
        <v>Standard Triangular 1</v>
      </c>
      <c r="B126" t="str">
        <f ca="1">IFERROR(__xludf.DUMMYFUNCTION("""COMPUTED_VALUE"""),"Parameter distribution_124")</f>
        <v>Parameter distribution_124</v>
      </c>
      <c r="C126" s="82" t="str">
        <f ca="1">IFERROR(__xludf.DUMMYFUNCTION("""COMPUTED_VALUE"""),"http://www.math.wm.edu/~leemis/chart/UDR/PDFs/Standardtriangular.pdf")</f>
        <v>http://www.math.wm.edu/~leemis/chart/UDR/PDFs/Standardtriangular.pdf</v>
      </c>
    </row>
    <row r="127" spans="1:3" ht="12.5" x14ac:dyDescent="0.25">
      <c r="A127" t="str">
        <f ca="1">IFERROR(__xludf.DUMMYFUNCTION("""COMPUTED_VALUE"""),"Standard Two-Sided Power 1")</f>
        <v>Standard Two-Sided Power 1</v>
      </c>
      <c r="B127" t="str">
        <f ca="1">IFERROR(__xludf.DUMMYFUNCTION("""COMPUTED_VALUE"""),"Parameter distribution_125")</f>
        <v>Parameter distribution_125</v>
      </c>
      <c r="C127" t="str">
        <f ca="1">IFERROR(__xludf.DUMMYFUNCTION("""COMPUTED_VALUE"""),"[Van Dorp and Kotz, 2002]")</f>
        <v>[Van Dorp and Kotz, 2002]</v>
      </c>
    </row>
    <row r="128" spans="1:3" ht="12.5" x14ac:dyDescent="0.25">
      <c r="A128" t="str">
        <f ca="1">IFERROR(__xludf.DUMMYFUNCTION("""COMPUTED_VALUE"""),"Standard Uniform 1")</f>
        <v>Standard Uniform 1</v>
      </c>
      <c r="B128" t="str">
        <f ca="1">IFERROR(__xludf.DUMMYFUNCTION("""COMPUTED_VALUE"""),"Parameter distribution_126")</f>
        <v>Parameter distribution_126</v>
      </c>
      <c r="C128" s="82" t="str">
        <f ca="1">IFERROR(__xludf.DUMMYFUNCTION("""COMPUTED_VALUE"""),"http://www.math.wm.edu/~leemis/chart/UDR/PDFs/Standarduniform.pdf")</f>
        <v>http://www.math.wm.edu/~leemis/chart/UDR/PDFs/Standarduniform.pdf</v>
      </c>
    </row>
    <row r="129" spans="1:3" ht="12.5" x14ac:dyDescent="0.25">
      <c r="A129" t="str">
        <f ca="1">IFERROR(__xludf.DUMMYFUNCTION("""COMPUTED_VALUE"""),"Student’s t-distribution 1")</f>
        <v>Student’s t-distribution 1</v>
      </c>
      <c r="B129" t="str">
        <f ca="1">IFERROR(__xludf.DUMMYFUNCTION("""COMPUTED_VALUE"""),"Parameter distribution_127")</f>
        <v>Parameter distribution_127</v>
      </c>
      <c r="C129" t="str">
        <f ca="1">IFERROR(__xludf.DUMMYFUNCTION("""COMPUTED_VALUE"""),"http://en.wikipedia.org/wiki/Student’s_t-distribution")</f>
        <v>http://en.wikipedia.org/wiki/Student’s_t-distribution</v>
      </c>
    </row>
    <row r="130" spans="1:3" ht="12.5" x14ac:dyDescent="0.25">
      <c r="A130" t="str">
        <f ca="1">IFERROR(__xludf.DUMMYFUNCTION("""COMPUTED_VALUE"""),"Student’s t-distribution 2")</f>
        <v>Student’s t-distribution 2</v>
      </c>
      <c r="B130" t="str">
        <f ca="1">IFERROR(__xludf.DUMMYFUNCTION("""COMPUTED_VALUE"""),"Parameter distribution_128")</f>
        <v>Parameter distribution_128</v>
      </c>
      <c r="C130" t="str">
        <f ca="1">IFERROR(__xludf.DUMMYFUNCTION("""COMPUTED_VALUE"""),"[Spiegelhalter et al., 2003]")</f>
        <v>[Spiegelhalter et al., 2003]</v>
      </c>
    </row>
    <row r="131" spans="1:3" ht="12.5" x14ac:dyDescent="0.25">
      <c r="A131" t="str">
        <f ca="1">IFERROR(__xludf.DUMMYFUNCTION("""COMPUTED_VALUE"""),"Student’s t-distribution 3")</f>
        <v>Student’s t-distribution 3</v>
      </c>
      <c r="B131" t="str">
        <f ca="1">IFERROR(__xludf.DUMMYFUNCTION("""COMPUTED_VALUE"""),"Parameter distribution_129")</f>
        <v>Parameter distribution_129</v>
      </c>
      <c r="C131" t="str">
        <f ca="1">IFERROR(__xludf.DUMMYFUNCTION("""COMPUTED_VALUE"""),"[STAN Development Team, 2015b] https://en.wikipedia.org/wiki/Student%27s_t-distribution#Non-standardized_Student.27s_t-distribution")</f>
        <v>[STAN Development Team, 2015b] https://en.wikipedia.org/wiki/Student%27s_t-distribution#Non-standardized_Student.27s_t-distribution</v>
      </c>
    </row>
    <row r="132" spans="1:3" ht="12.5" x14ac:dyDescent="0.25">
      <c r="A132" t="str">
        <f ca="1">IFERROR(__xludf.DUMMYFUNCTION("""COMPUTED_VALUE"""),"Trapezoidal 1")</f>
        <v>Trapezoidal 1</v>
      </c>
      <c r="B132" t="str">
        <f ca="1">IFERROR(__xludf.DUMMYFUNCTION("""COMPUTED_VALUE"""),"Parameter distribution_130")</f>
        <v>Parameter distribution_130</v>
      </c>
      <c r="C132" s="82" t="str">
        <f ca="1">IFERROR(__xludf.DUMMYFUNCTION("""COMPUTED_VALUE"""),"http://doc.openturns.org/openturns-1.6/sphinx/user_manual/_generated/openturns.Trapezoidal.")</f>
        <v>http://doc.openturns.org/openturns-1.6/sphinx/user_manual/_generated/openturns.Trapezoidal.</v>
      </c>
    </row>
    <row r="133" spans="1:3" ht="12.5" x14ac:dyDescent="0.25">
      <c r="A133" t="str">
        <f ca="1">IFERROR(__xludf.DUMMYFUNCTION("""COMPUTED_VALUE"""),"Triangular 1")</f>
        <v>Triangular 1</v>
      </c>
      <c r="B133" t="str">
        <f ca="1">IFERROR(__xludf.DUMMYFUNCTION("""COMPUTED_VALUE"""),"Parameter distribution_131")</f>
        <v>Parameter distribution_131</v>
      </c>
      <c r="C133" t="str">
        <f ca="1">IFERROR(__xludf.DUMMYFUNCTION("""COMPUTED_VALUE"""),"[Forbes et al., 2011]")</f>
        <v>[Forbes et al., 2011]</v>
      </c>
    </row>
    <row r="134" spans="1:3" ht="12.5" x14ac:dyDescent="0.25">
      <c r="A134" t="str">
        <f ca="1">IFERROR(__xludf.DUMMYFUNCTION("""COMPUTED_VALUE"""),"Truncated Normal 1")</f>
        <v>Truncated Normal 1</v>
      </c>
      <c r="B134" t="str">
        <f ca="1">IFERROR(__xludf.DUMMYFUNCTION("""COMPUTED_VALUE"""),"Parameter distribution_132")</f>
        <v>Parameter distribution_132</v>
      </c>
      <c r="C134" s="82" t="str">
        <f ca="1">IFERROR(__xludf.DUMMYFUNCTION("""COMPUTED_VALUE"""),"https://en.wikipedia.org/wiki/Truncated_normal_distribution")</f>
        <v>https://en.wikipedia.org/wiki/Truncated_normal_distribution</v>
      </c>
    </row>
    <row r="135" spans="1:3" ht="12.5" x14ac:dyDescent="0.25">
      <c r="A135" t="str">
        <f ca="1">IFERROR(__xludf.DUMMYFUNCTION("""COMPUTED_VALUE"""),"Two-Sided Power 1")</f>
        <v>Two-Sided Power 1</v>
      </c>
      <c r="B135" t="str">
        <f ca="1">IFERROR(__xludf.DUMMYFUNCTION("""COMPUTED_VALUE"""),"Parameter distribution_133")</f>
        <v>Parameter distribution_133</v>
      </c>
      <c r="C135" s="82" t="str">
        <f ca="1">IFERROR(__xludf.DUMMYFUNCTION("""COMPUTED_VALUE"""),"http://www.math.wm.edu/~leemis/chart/UDR/PDFs/TSP.pdf")</f>
        <v>http://www.math.wm.edu/~leemis/chart/UDR/PDFs/TSP.pdf</v>
      </c>
    </row>
    <row r="136" spans="1:3" ht="12.5" x14ac:dyDescent="0.25">
      <c r="A136" t="str">
        <f ca="1">IFERROR(__xludf.DUMMYFUNCTION("""COMPUTED_VALUE"""),"Uniform 1")</f>
        <v>Uniform 1</v>
      </c>
      <c r="B136" t="str">
        <f ca="1">IFERROR(__xludf.DUMMYFUNCTION("""COMPUTED_VALUE"""),"Parameter distribution_134")</f>
        <v>Parameter distribution_134</v>
      </c>
      <c r="C136" s="82" t="str">
        <f ca="1">IFERROR(__xludf.DUMMYFUNCTION("""COMPUTED_VALUE"""),"http://en.wikipedia.org/wiki/Uniform_distribution_(continuous)")</f>
        <v>http://en.wikipedia.org/wiki/Uniform_distribution_(continuous)</v>
      </c>
    </row>
    <row r="137" spans="1:3" ht="12.5" x14ac:dyDescent="0.25">
      <c r="A137" t="str">
        <f ca="1">IFERROR(__xludf.DUMMYFUNCTION("""COMPUTED_VALUE"""),"Uniform Discrete 1")</f>
        <v>Uniform Discrete 1</v>
      </c>
      <c r="B137" t="str">
        <f ca="1">IFERROR(__xludf.DUMMYFUNCTION("""COMPUTED_VALUE"""),"Parameter distribution_135")</f>
        <v>Parameter distribution_135</v>
      </c>
      <c r="C137" t="str">
        <f ca="1">IFERROR(__xludf.DUMMYFUNCTION("""COMPUTED_VALUE"""),"[Leemis and Mcqueston, 2008] 15 [Marichev and Trott, 2013]")</f>
        <v>[Leemis and Mcqueston, 2008] 15 [Marichev and Trott, 2013]</v>
      </c>
    </row>
    <row r="138" spans="1:3" ht="12.5" x14ac:dyDescent="0.25">
      <c r="A138" t="str">
        <f ca="1">IFERROR(__xludf.DUMMYFUNCTION("""COMPUTED_VALUE"""),"Uniform Discrete 2")</f>
        <v>Uniform Discrete 2</v>
      </c>
      <c r="B138" t="str">
        <f ca="1">IFERROR(__xludf.DUMMYFUNCTION("""COMPUTED_VALUE"""),"Parameter distribution_136")</f>
        <v>Parameter distribution_136</v>
      </c>
      <c r="C138" s="82" t="str">
        <f ca="1">IFERROR(__xludf.DUMMYFUNCTION("""COMPUTED_VALUE"""),"http://www.math.wm.edu/~leemis/chart/UDR/PDFs/Rectangular.pdf")</f>
        <v>http://www.math.wm.edu/~leemis/chart/UDR/PDFs/Rectangular.pdf</v>
      </c>
    </row>
    <row r="139" spans="1:3" ht="12.5" x14ac:dyDescent="0.25">
      <c r="A139" t="str">
        <f ca="1">IFERROR(__xludf.DUMMYFUNCTION("""COMPUTED_VALUE"""),"Von Mises 1")</f>
        <v>Von Mises 1</v>
      </c>
      <c r="B139" t="str">
        <f ca="1">IFERROR(__xludf.DUMMYFUNCTION("""COMPUTED_VALUE"""),"Parameter distribution_137")</f>
        <v>Parameter distribution_137</v>
      </c>
      <c r="C139" s="82" t="str">
        <f ca="1">IFERROR(__xludf.DUMMYFUNCTION("""COMPUTED_VALUE"""),"https://en.wikipedia.org/wiki/Von_Mises_distribution")</f>
        <v>https://en.wikipedia.org/wiki/Von_Mises_distribution</v>
      </c>
    </row>
    <row r="140" spans="1:3" ht="12.5" x14ac:dyDescent="0.25">
      <c r="A140" t="str">
        <f ca="1">IFERROR(__xludf.DUMMYFUNCTION("""COMPUTED_VALUE"""),"Weibull 1")</f>
        <v>Weibull 1</v>
      </c>
      <c r="B140" t="str">
        <f ca="1">IFERROR(__xludf.DUMMYFUNCTION("""COMPUTED_VALUE"""),"Parameter distribution_138")</f>
        <v>Parameter distribution_138</v>
      </c>
      <c r="C140" s="82" t="str">
        <f ca="1">IFERROR(__xludf.DUMMYFUNCTION("""COMPUTED_VALUE"""),"http://en.wikipedia.org/wiki/Weibull_distribution")</f>
        <v>http://en.wikipedia.org/wiki/Weibull_distribution</v>
      </c>
    </row>
    <row r="141" spans="1:3" ht="12.5" x14ac:dyDescent="0.25">
      <c r="A141" t="str">
        <f ca="1">IFERROR(__xludf.DUMMYFUNCTION("""COMPUTED_VALUE"""),"Weibull 2")</f>
        <v>Weibull 2</v>
      </c>
      <c r="B141" t="str">
        <f ca="1">IFERROR(__xludf.DUMMYFUNCTION("""COMPUTED_VALUE"""),"Parameter distribution_139")</f>
        <v>Parameter distribution_139</v>
      </c>
      <c r="C141" t="str">
        <f ca="1">IFERROR(__xludf.DUMMYFUNCTION("""COMPUTED_VALUE"""),"[Spiegelhalter et al., 2003]")</f>
        <v>[Spiegelhalter et al., 2003]</v>
      </c>
    </row>
    <row r="142" spans="1:3" ht="12.5" x14ac:dyDescent="0.25">
      <c r="A142" t="str">
        <f ca="1">IFERROR(__xludf.DUMMYFUNCTION("""COMPUTED_VALUE"""),"Weibull Discrete 1")</f>
        <v>Weibull Discrete 1</v>
      </c>
      <c r="B142" t="str">
        <f ca="1">IFERROR(__xludf.DUMMYFUNCTION("""COMPUTED_VALUE"""),"Parameter distribution_140")</f>
        <v>Parameter distribution_140</v>
      </c>
      <c r="C142" s="82" t="str">
        <f ca="1">IFERROR(__xludf.DUMMYFUNCTION("""COMPUTED_VALUE"""),"http://www.math.wm.edu/~leemis/chart/UDR/PDFs/Discreteweibull.pdf")</f>
        <v>http://www.math.wm.edu/~leemis/chart/UDR/PDFs/Discreteweibull.pdf</v>
      </c>
    </row>
    <row r="143" spans="1:3" ht="12.5" x14ac:dyDescent="0.25">
      <c r="A143" t="str">
        <f ca="1">IFERROR(__xludf.DUMMYFUNCTION("""COMPUTED_VALUE"""),"Wiener Diffusion Model 1")</f>
        <v>Wiener Diffusion Model 1</v>
      </c>
      <c r="B143" t="str">
        <f ca="1">IFERROR(__xludf.DUMMYFUNCTION("""COMPUTED_VALUE"""),"Parameter distribution_141")</f>
        <v>Parameter distribution_141</v>
      </c>
      <c r="C143" t="str">
        <f ca="1">IFERROR(__xludf.DUMMYFUNCTION("""COMPUTED_VALUE"""),"[STAN Development Team, 2015b] [Blurton et al., 2012]")</f>
        <v>[STAN Development Team, 2015b] [Blurton et al., 2012]</v>
      </c>
    </row>
    <row r="144" spans="1:3" ht="12.5" x14ac:dyDescent="0.25">
      <c r="A144" t="str">
        <f ca="1">IFERROR(__xludf.DUMMYFUNCTION("""COMPUTED_VALUE"""),"Wigner Semicircle 1")</f>
        <v>Wigner Semicircle 1</v>
      </c>
      <c r="B144" t="str">
        <f ca="1">IFERROR(__xludf.DUMMYFUNCTION("""COMPUTED_VALUE"""),"Parameter distribution_142")</f>
        <v>Parameter distribution_142</v>
      </c>
      <c r="C144" s="82" t="str">
        <f ca="1">IFERROR(__xludf.DUMMYFUNCTION("""COMPUTED_VALUE"""),"https://en.wikipedia.org/wiki/Wigner_semicircle_distribution")</f>
        <v>https://en.wikipedia.org/wiki/Wigner_semicircle_distribution</v>
      </c>
    </row>
    <row r="145" spans="1:3" ht="12.5" x14ac:dyDescent="0.25">
      <c r="A145" t="str">
        <f ca="1">IFERROR(__xludf.DUMMYFUNCTION("""COMPUTED_VALUE"""),"Wishart 1")</f>
        <v>Wishart 1</v>
      </c>
      <c r="B145" t="str">
        <f ca="1">IFERROR(__xludf.DUMMYFUNCTION("""COMPUTED_VALUE"""),"Parameter distribution_143")</f>
        <v>Parameter distribution_143</v>
      </c>
      <c r="C145" s="82" t="str">
        <f ca="1">IFERROR(__xludf.DUMMYFUNCTION("""COMPUTED_VALUE"""),"http://en.wikipedia.org/wiki/Wishart_distribution")</f>
        <v>http://en.wikipedia.org/wiki/Wishart_distribution</v>
      </c>
    </row>
    <row r="146" spans="1:3" ht="12.5" x14ac:dyDescent="0.25">
      <c r="A146" t="str">
        <f ca="1">IFERROR(__xludf.DUMMYFUNCTION("""COMPUTED_VALUE"""),"Wishart 2")</f>
        <v>Wishart 2</v>
      </c>
      <c r="B146" t="str">
        <f ca="1">IFERROR(__xludf.DUMMYFUNCTION("""COMPUTED_VALUE"""),"Parameter distribution_144")</f>
        <v>Parameter distribution_144</v>
      </c>
      <c r="C146" t="str">
        <f ca="1">IFERROR(__xludf.DUMMYFUNCTION("""COMPUTED_VALUE"""),"[Spiegelhalter et al., 2003]")</f>
        <v>[Spiegelhalter et al., 2003]</v>
      </c>
    </row>
    <row r="147" spans="1:3" ht="12.5" x14ac:dyDescent="0.25">
      <c r="A147" t="str">
        <f ca="1">IFERROR(__xludf.DUMMYFUNCTION("""COMPUTED_VALUE"""),"YuleSimon1")</f>
        <v>YuleSimon1</v>
      </c>
      <c r="B147" t="str">
        <f ca="1">IFERROR(__xludf.DUMMYFUNCTION("""COMPUTED_VALUE"""),"Parameter distribution_145")</f>
        <v>Parameter distribution_145</v>
      </c>
      <c r="C147" s="82" t="str">
        <f ca="1">IFERROR(__xludf.DUMMYFUNCTION("""COMPUTED_VALUE"""),"https://artax.karlin.mff.cuni.cz/r-help/library/VGAM/html/yulesimon.html")</f>
        <v>https://artax.karlin.mff.cuni.cz/r-help/library/VGAM/html/yulesimon.html</v>
      </c>
    </row>
    <row r="148" spans="1:3" ht="12.5" x14ac:dyDescent="0.25">
      <c r="A148" t="str">
        <f ca="1">IFERROR(__xludf.DUMMYFUNCTION("""COMPUTED_VALUE"""),"Zero-Inflated Generalized Poisson 1")</f>
        <v>Zero-Inflated Generalized Poisson 1</v>
      </c>
      <c r="B148" t="str">
        <f ca="1">IFERROR(__xludf.DUMMYFUNCTION("""COMPUTED_VALUE"""),"Parameter distribution_146")</f>
        <v>Parameter distribution_146</v>
      </c>
      <c r="C148" t="str">
        <f ca="1">IFERROR(__xludf.DUMMYFUNCTION("""COMPUTED_VALUE"""),"[Famoye and Singh, 2006]")</f>
        <v>[Famoye and Singh, 2006]</v>
      </c>
    </row>
    <row r="149" spans="1:3" ht="12.5" x14ac:dyDescent="0.25">
      <c r="A149" t="str">
        <f ca="1">IFERROR(__xludf.DUMMYFUNCTION("""COMPUTED_VALUE"""),"Zero-Inflated Negative Binomial 1")</f>
        <v>Zero-Inflated Negative Binomial 1</v>
      </c>
      <c r="B149" t="str">
        <f ca="1">IFERROR(__xludf.DUMMYFUNCTION("""COMPUTED_VALUE"""),"Parameter distribution_147")</f>
        <v>Parameter distribution_147</v>
      </c>
      <c r="C149" t="str">
        <f ca="1">IFERROR(__xludf.DUMMYFUNCTION("""COMPUTED_VALUE"""),"[Famoye and Singh, 2006] [Trocóniz et al., 2009]")</f>
        <v>[Famoye and Singh, 2006] [Trocóniz et al., 2009]</v>
      </c>
    </row>
    <row r="150" spans="1:3" ht="12.5" x14ac:dyDescent="0.25">
      <c r="A150" t="str">
        <f ca="1">IFERROR(__xludf.DUMMYFUNCTION("""COMPUTED_VALUE"""),"Zero-inflated Poisson 1")</f>
        <v>Zero-inflated Poisson 1</v>
      </c>
      <c r="B150" t="str">
        <f ca="1">IFERROR(__xludf.DUMMYFUNCTION("""COMPUTED_VALUE"""),"Parameter distribution_148")</f>
        <v>Parameter distribution_148</v>
      </c>
      <c r="C150" s="82" t="str">
        <f ca="1">IFERROR(__xludf.DUMMYFUNCTION("""COMPUTED_VALUE"""),"http://en.wikipedia.org/wiki/Zero-inflated_model#Zero-inflated_Poisson")</f>
        <v>http://en.wikipedia.org/wiki/Zero-inflated_model#Zero-inflated_Poisson</v>
      </c>
    </row>
    <row r="151" spans="1:3" ht="12.5" x14ac:dyDescent="0.25">
      <c r="A151" t="str">
        <f ca="1">IFERROR(__xludf.DUMMYFUNCTION("""COMPUTED_VALUE"""),"Zeta 1")</f>
        <v>Zeta 1</v>
      </c>
      <c r="B151" t="str">
        <f ca="1">IFERROR(__xludf.DUMMYFUNCTION("""COMPUTED_VALUE"""),"Parameter distribution_149")</f>
        <v>Parameter distribution_149</v>
      </c>
      <c r="C151" s="82" t="str">
        <f ca="1">IFERROR(__xludf.DUMMYFUNCTION("""COMPUTED_VALUE"""),"http://www.math.wm.edu/~leemis/chart/UDR/PDFs/Zipf.pdf")</f>
        <v>http://www.math.wm.edu/~leemis/chart/UDR/PDFs/Zipf.pdf</v>
      </c>
    </row>
    <row r="152" spans="1:3" ht="12.5" x14ac:dyDescent="0.25">
      <c r="A152" t="str">
        <f ca="1">IFERROR(__xludf.DUMMYFUNCTION("""COMPUTED_VALUE"""),"Zipf 1")</f>
        <v>Zipf 1</v>
      </c>
      <c r="B152" t="str">
        <f ca="1">IFERROR(__xludf.DUMMYFUNCTION("""COMPUTED_VALUE"""),"Parameter distribution_150")</f>
        <v>Parameter distribution_150</v>
      </c>
      <c r="C152" s="82" t="str">
        <f ca="1">IFERROR(__xludf.DUMMYFUNCTION("""COMPUTED_VALUE"""),"http://www.math.wm.edu/~leemis/chart/UDR/PDFs/Zipf.pdf")</f>
        <v>http://www.math.wm.edu/~leemis/chart/UDR/PDFs/Zipf.pdf</v>
      </c>
    </row>
    <row r="153" spans="1:3" ht="12.5" x14ac:dyDescent="0.25">
      <c r="A153" t="str">
        <f ca="1">IFERROR(__xludf.DUMMYFUNCTION("""COMPUTED_VALUE"""),"Empirical distribution")</f>
        <v>Empirical distribution</v>
      </c>
      <c r="B153" t="str">
        <f ca="1">IFERROR(__xludf.DUMMYFUNCTION("""COMPUTED_VALUE"""),"Parameter distribution_151")</f>
        <v>Parameter distribution_151</v>
      </c>
    </row>
    <row r="186" spans="6:6" ht="12.5" x14ac:dyDescent="0.25">
      <c r="F186" t="str">
        <f ca="1">IFERROR(__xludf.DUMMYFUNCTION("""COMPUTED_VALUE"""),"CP: I already deteled this sheet, as it was agreed previously with Miguel in the RAKIP weekly call")</f>
        <v>CP: I already deteled this sheet, as it was agreed previously with Miguel in the RAKIP weekly call</v>
      </c>
    </row>
  </sheetData>
  <hyperlinks>
    <hyperlink ref="C4" r:id="rId1" display="https://en.wikipedia.org/wiki/Arcsine_distribution"/>
    <hyperlink ref="C5" r:id="rId2" display="http://doc.openturns.org/openturns-1.6/sphinx/user_manual/_generated/openturns.Arcsine.html"/>
    <hyperlink ref="C8" r:id="rId3" display="https://en.wikipedia.org/wiki/Bernoulli_distribution"/>
    <hyperlink ref="C10" r:id="rId4" display="http://en.wikipedia.org/wiki/Beta_distribution"/>
    <hyperlink ref="C11" r:id="rId5" display="https://en.wikipedia.org/wiki/Beta-binomial_distribution"/>
    <hyperlink ref="C12" r:id="rId6" display="https://en.wikipedia.org/wiki/Beta_negative_binomial_distribution"/>
    <hyperlink ref="C13" r:id="rId7" display="https://en.wikipedia.org/wiki/Binomial_distribution"/>
    <hyperlink ref="C16" r:id="rId8" display="https://en.wikipedia.org/wiki/Borel_distribution"/>
    <hyperlink ref="C17" r:id="rId9" display="http://nl.mathworks.com/help/stats/burr-type-xii-distribution.html"/>
    <hyperlink ref="C19" r:id="rId10" display="http://en.wikipedia.org/wiki/Categorical_distribution"/>
    <hyperlink ref="C20" r:id="rId11" display="http://en.wikipedia.org/wiki/Cauchy_distribution"/>
    <hyperlink ref="C21" r:id="rId12" display="https://en.wikipedia.org/wiki/Chi_distribution"/>
    <hyperlink ref="C22" r:id="rId13" display="http://en.wikipedia.org/wiki/Chi-squared_distribution"/>
    <hyperlink ref="C24" r:id="rId14" display="https://en.wikipedia.org/wiki/Dagum_distribution"/>
    <hyperlink ref="C26" r:id="rId15" display="http://support.sas.com/resources/papers/proceedings09/250-2009.pdf"/>
    <hyperlink ref="C29" r:id="rId16" display="http://en.wikipedia.org/wiki/Exponential_distribution"/>
    <hyperlink ref="C30" r:id="rId17" display="http://www.itl.nist.gov/div898/handbook/eda/section3/eda3667.htm"/>
    <hyperlink ref="C31" r:id="rId18" display="https://en.wikipedia.org/wiki/Exponentially_modified_Gaussian_distribution"/>
    <hyperlink ref="C34" r:id="rId19" display="http://www.mathwave.com/help/easyfit/html/analyses/distributions/frechet.html"/>
    <hyperlink ref="C35" r:id="rId20" display="http://www.mathwave.com/help/easyfit/html/analyses/distributions/frechet.html"/>
    <hyperlink ref="C36" r:id="rId21" display="http://en.wikipedia.org/wiki/Gamma_distribution"/>
    <hyperlink ref="C38" r:id="rId22" display="http://en.wikipedia.org/wiki/Generalized_gamma_distribution"/>
    <hyperlink ref="C46" r:id="rId23" display="https://en.wikipedia.org/wiki/Gompertz_distribution"/>
    <hyperlink ref="C47" r:id="rId24" display="https://en.wikipedia.org/wiki/Gumbel_distribution"/>
    <hyperlink ref="C48" r:id="rId25" display="http://statperson.com/Journal/StatisticsAndMathematics/Article/Volume3Issue2/3_2_8.pdf"/>
    <hyperlink ref="C49" r:id="rId26" display="http://mathworld.wolfram.com/Half-NormalDistribution.html"/>
    <hyperlink ref="C50" r:id="rId27" display="http://nl.mathworks.com/help/stats/half-normal-distribution.html"/>
    <hyperlink ref="C51" r:id="rId28" display="http://www.math.wm.edu/~leemis/chart/UDR/PDFs/Hyperbolicsecant.pdf"/>
    <hyperlink ref="C52" r:id="rId29" display="http://en.wikipedia.org/wiki/Hypergeometric_distribution"/>
    <hyperlink ref="C55" r:id="rId30" display="http://en.wikipedia.org/wiki/Inverse-gamma_distribution"/>
    <hyperlink ref="C56" r:id="rId31" display="https://en.wikipedia.org/wiki/Inverse_Gaussian_distribution"/>
    <hyperlink ref="C57" r:id="rId32" display="https://en.wikipedia.org/wiki/Inverse-Wishart_distribution"/>
    <hyperlink ref="C58" r:id="rId33" display="https://reference.wolfram.com/language/ref/JohnsonDistribution.html"/>
    <hyperlink ref="C59" r:id="rId34" display="https://reference.wolfram.com/language/ref/JohnsonDistribution.html"/>
    <hyperlink ref="C60" r:id="rId35" display="https://reference.wolfram.com/language/ref/JohnsonDistribution.html"/>
    <hyperlink ref="C61" r:id="rId36" display="https://reference.wolfram.com/language/ref/JohnsonDistribution.html"/>
    <hyperlink ref="C62" r:id="rId37" display="http://www.itl.nist.gov/div898/software/dataplot/refman2/auxillar/kumcdf.htm"/>
    <hyperlink ref="C63" r:id="rId38" display="https://en.wikipedia.org/wiki/Laplace_distribution"/>
    <hyperlink ref="C65" r:id="rId39" display="https://en.wikipedia.org/wiki/L%C3%A9vy_distribution"/>
    <hyperlink ref="C68" r:id="rId40" display="https://en.wikipedia.org/wiki/Log-logistic_distribution"/>
    <hyperlink ref="C70" r:id="rId41" display="http://en.wikipedia.org/wiki/Log-normal_distribution"/>
    <hyperlink ref="C71" r:id="rId42" display="http://en.wikipedia.org/wiki/Log-normal_distribution"/>
    <hyperlink ref="C78" r:id="rId43" display="http://en.wikipedia.org/wiki/Logistic_distribution"/>
    <hyperlink ref="C80" r:id="rId44" display="https://en.wikipedia.org/wiki/Logit-normal_distribution"/>
    <hyperlink ref="C81" r:id="rId45" display="https://en.wikipedia.org/wiki/Lomax_distribution"/>
    <hyperlink ref="C82" r:id="rId46" display="http://www.math.wm.edu/~leemis/chart/UDR/PDFs/Makeham.pdf"/>
    <hyperlink ref="C84" r:id="rId47" display="https://en.wikipedia.org/wiki/Mixture_distribution"/>
    <hyperlink ref="C85" r:id="rId48" display="http://en.wikipedia.org/wiki/Multinomial_distribution"/>
    <hyperlink ref="C88" r:id="rId49" display="http://en.wikipedia.org/wiki/Multivariate_normal_distribution"/>
    <hyperlink ref="C93" r:id="rId50" display="http://www.itl.nist.gov/div898/software/dataplot/refman2/auxillar/mutpdf.htm"/>
    <hyperlink ref="C94" r:id="rId51" display="https://en.wikipedia.org/wiki/Nakagami_distribution"/>
    <hyperlink ref="C97" r:id="rId52" display="http://cran.r-project.org/web/packages/VGAM/VGAM.pdf"/>
    <hyperlink ref="C98" r:id="rId53" display="https://en.wikipedia.org/wiki/Binomial_distribution"/>
    <hyperlink ref="C102" r:id="rId54" display="http://www.math.wm.edu/~leemis/chart/UDR/PDFs/Noncentralchisquare.pdf"/>
    <hyperlink ref="C106" r:id="rId55" display="http://en.wikipedia.org/wiki/Normal_distribution"/>
    <hyperlink ref="C108" r:id="rId56" display="http://en.wikipedia.org/wiki/Normal-inverse-gamma_distribution"/>
    <hyperlink ref="C110" r:id="rId57" display="http://en.wikipedia.org/wiki/Pareto_distribution"/>
    <hyperlink ref="C111" r:id="rId58" display="https://en.wikipedia.org/wiki/Pareto_distribution"/>
    <hyperlink ref="C112" r:id="rId59" display="http://en.wikipedia.org/wiki/Poisson_distribution"/>
    <hyperlink ref="C114" r:id="rId60" display="http://www.math.wm.edu/~leemis/chart/UDR/PDFs/Power.pdf"/>
    <hyperlink ref="C116" r:id="rId61" display="https://en.wikipedia.org/wiki/Rayleigh_distribution"/>
    <hyperlink ref="C117" r:id="rId62" display="http://nl.mathworks.com/help/stats/rician-distribution.html"/>
    <hyperlink ref="C119" r:id="rId63" display="https://cran.r-project.org/web/packages/gamlss.dist/gamlss.dist.pdf"/>
    <hyperlink ref="C122" r:id="rId64" display="http://www.math.wm.edu/~leemis/chart/UDR/PDFs/Standardcauchy.pdf"/>
    <hyperlink ref="C123" r:id="rId65" display="http://www.math.uah.edu/stat/special/Logistic.html"/>
    <hyperlink ref="C124" r:id="rId66" location="Standard_normal_distribution" display="https://en.wikipedia.org/wiki/Normal_distribution - Standard_normal_distribution"/>
    <hyperlink ref="C125" r:id="rId67" display="http://www.math.wm.edu/~leemis/chart/UDR/PDFs/Power.pdf"/>
    <hyperlink ref="C126" r:id="rId68" display="http://www.math.wm.edu/~leemis/chart/UDR/PDFs/Standardtriangular.pdf"/>
    <hyperlink ref="C128" r:id="rId69" display="http://www.math.wm.edu/~leemis/chart/UDR/PDFs/Standarduniform.pdf"/>
    <hyperlink ref="C132" r:id="rId70" display="http://doc.openturns.org/openturns-1.6/sphinx/user_manual/_generated/openturns.Trapezoidal."/>
    <hyperlink ref="C134" r:id="rId71" display="https://en.wikipedia.org/wiki/Truncated_normal_distribution"/>
    <hyperlink ref="C135" r:id="rId72" display="http://www.math.wm.edu/~leemis/chart/UDR/PDFs/TSP.pdf"/>
    <hyperlink ref="C136" r:id="rId73" display="http://en.wikipedia.org/wiki/Uniform_distribution_(continuous)"/>
    <hyperlink ref="C138" r:id="rId74" display="http://www.math.wm.edu/~leemis/chart/UDR/PDFs/Rectangular.pdf"/>
    <hyperlink ref="C139" r:id="rId75" display="https://en.wikipedia.org/wiki/Von_Mises_distribution"/>
    <hyperlink ref="C140" r:id="rId76" display="http://en.wikipedia.org/wiki/Weibull_distribution"/>
    <hyperlink ref="C142" r:id="rId77" display="http://www.math.wm.edu/~leemis/chart/UDR/PDFs/Discreteweibull.pdf"/>
    <hyperlink ref="C144" r:id="rId78" display="https://en.wikipedia.org/wiki/Wigner_semicircle_distribution"/>
    <hyperlink ref="C145" r:id="rId79" display="http://en.wikipedia.org/wiki/Wishart_distribution"/>
    <hyperlink ref="C147" r:id="rId80" display="https://artax.karlin.mff.cuni.cz/r-help/library/VGAM/html/yulesimon.html"/>
    <hyperlink ref="C150" r:id="rId81" location="Zero-inflated_Poisson" display="http://en.wikipedia.org/wiki/Zero-inflated_model - Zero-inflated_Poisson"/>
    <hyperlink ref="C151" r:id="rId82" display="http://www.math.wm.edu/~leemis/chart/UDR/PDFs/Zipf.pdf"/>
    <hyperlink ref="C152" r:id="rId83" display="http://www.math.wm.edu/~leemis/chart/UDR/PDFs/Zipf.pdf"/>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83"/>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IFERROR(__xludf.DUMMYFUNCTION("importrange(""https://docs.google.com/spreadsheets/d/1C6N4-YWX9OMmNStd2rYlSUaVys-aiJGLj00cD44aVc8/edit#gid=1894320575"",""Fisheries area!A1:O500"")"),"Value")</f>
        <v>Value</v>
      </c>
      <c r="B1" t="str">
        <f ca="1">IFERROR(__xludf.DUMMYFUNCTION("""COMPUTED_VALUE"""),"ID")</f>
        <v>ID</v>
      </c>
      <c r="C1" t="str">
        <f ca="1">IFERROR(__xludf.DUMMYFUNCTION("""COMPUTED_VALUE"""),"Comment")</f>
        <v>Comment</v>
      </c>
    </row>
    <row r="2" spans="1:3" ht="12.5" x14ac:dyDescent="0.25">
      <c r="A2" t="str">
        <f ca="1">IFERROR(__xludf.DUMMYFUNCTION("""COMPUTED_VALUE"""),"Adriatic")</f>
        <v>Adriatic</v>
      </c>
      <c r="B2" t="str">
        <f ca="1">IFERROR(__xludf.DUMMYFUNCTION("""COMPUTED_VALUE"""),"M3721")</f>
        <v>M3721</v>
      </c>
    </row>
    <row r="3" spans="1:3" ht="12.5" x14ac:dyDescent="0.25">
      <c r="A3" t="str">
        <f ca="1">IFERROR(__xludf.DUMMYFUNCTION("""COMPUTED_VALUE"""),"Aegean")</f>
        <v>Aegean</v>
      </c>
      <c r="B3" t="str">
        <f ca="1">IFERROR(__xludf.DUMMYFUNCTION("""COMPUTED_VALUE"""),"M3731")</f>
        <v>M3731</v>
      </c>
    </row>
    <row r="4" spans="1:3" ht="12.5" x14ac:dyDescent="0.25">
      <c r="A4" t="str">
        <f ca="1">IFERROR(__xludf.DUMMYFUNCTION("""COMPUTED_VALUE"""),"Amazon")</f>
        <v>Amazon</v>
      </c>
      <c r="B4" t="str">
        <f ca="1">IFERROR(__xludf.DUMMYFUNCTION("""COMPUTED_VALUE"""),"M4111")</f>
        <v>M4111</v>
      </c>
    </row>
    <row r="5" spans="1:3" ht="12.5" x14ac:dyDescent="0.25">
      <c r="A5" t="str">
        <f ca="1">IFERROR(__xludf.DUMMYFUNCTION("""COMPUTED_VALUE"""),"Amundsen Sea")</f>
        <v>Amundsen Sea</v>
      </c>
      <c r="B5" t="str">
        <f ca="1">IFERROR(__xludf.DUMMYFUNCTION("""COMPUTED_VALUE"""),"M883")</f>
        <v>M883</v>
      </c>
    </row>
    <row r="6" spans="1:3" ht="12.5" x14ac:dyDescent="0.25">
      <c r="A6" t="str">
        <f ca="1">IFERROR(__xludf.DUMMYFUNCTION("""COMPUTED_VALUE"""),"Archipelago Sea")</f>
        <v>Archipelago Sea</v>
      </c>
      <c r="B6" t="str">
        <f ca="1">IFERROR(__xludf.DUMMYFUNCTION("""COMPUTED_VALUE"""),"M27IIId29")</f>
        <v>M27IIId29</v>
      </c>
    </row>
    <row r="7" spans="1:3" ht="12.5" x14ac:dyDescent="0.25">
      <c r="A7" t="str">
        <f ca="1">IFERROR(__xludf.DUMMYFUNCTION("""COMPUTED_VALUE"""),"Arctic Sea")</f>
        <v>Arctic Sea</v>
      </c>
      <c r="B7" t="str">
        <f ca="1">IFERROR(__xludf.DUMMYFUNCTION("""COMPUTED_VALUE"""),"M18")</f>
        <v>M18</v>
      </c>
    </row>
    <row r="8" spans="1:3" ht="12.5" x14ac:dyDescent="0.25">
      <c r="A8" t="str">
        <f ca="1">IFERROR(__xludf.DUMMYFUNCTION("""COMPUTED_VALUE"""),"Atlantic Ocean")</f>
        <v>Atlantic Ocean</v>
      </c>
      <c r="B8" t="str">
        <f ca="1">IFERROR(__xludf.DUMMYFUNCTION("""COMPUTED_VALUE"""),"M40")</f>
        <v>M40</v>
      </c>
    </row>
    <row r="9" spans="1:3" ht="12.5" x14ac:dyDescent="0.25">
      <c r="A9" t="str">
        <f ca="1">IFERROR(__xludf.DUMMYFUNCTION("""COMPUTED_VALUE"""),"Atlantic, Antarctic")</f>
        <v>Atlantic, Antarctic</v>
      </c>
      <c r="B9" t="str">
        <f ca="1">IFERROR(__xludf.DUMMYFUNCTION("""COMPUTED_VALUE"""),"M48")</f>
        <v>M48</v>
      </c>
    </row>
    <row r="10" spans="1:3" ht="12.5" x14ac:dyDescent="0.25">
      <c r="A10" t="str">
        <f ca="1">IFERROR(__xludf.DUMMYFUNCTION("""COMPUTED_VALUE"""),"Atlantic, Eastern-central")</f>
        <v>Atlantic, Eastern-central</v>
      </c>
      <c r="B10" t="str">
        <f ca="1">IFERROR(__xludf.DUMMYFUNCTION("""COMPUTED_VALUE"""),"M34")</f>
        <v>M34</v>
      </c>
    </row>
    <row r="11" spans="1:3" ht="12.5" x14ac:dyDescent="0.25">
      <c r="A11" t="str">
        <f ca="1">IFERROR(__xludf.DUMMYFUNCTION("""COMPUTED_VALUE"""),"Atlantic, Northeast")</f>
        <v>Atlantic, Northeast</v>
      </c>
      <c r="B11" t="str">
        <f ca="1">IFERROR(__xludf.DUMMYFUNCTION("""COMPUTED_VALUE"""),"M27")</f>
        <v>M27</v>
      </c>
    </row>
    <row r="12" spans="1:3" ht="12.5" x14ac:dyDescent="0.25">
      <c r="A12" t="str">
        <f ca="1">IFERROR(__xludf.DUMMYFUNCTION("""COMPUTED_VALUE"""),"Atlantic, Northwest")</f>
        <v>Atlantic, Northwest</v>
      </c>
      <c r="B12" t="str">
        <f ca="1">IFERROR(__xludf.DUMMYFUNCTION("""COMPUTED_VALUE"""),"M21")</f>
        <v>M21</v>
      </c>
    </row>
    <row r="13" spans="1:3" ht="12.5" x14ac:dyDescent="0.25">
      <c r="A13" t="str">
        <f ca="1">IFERROR(__xludf.DUMMYFUNCTION("""COMPUTED_VALUE"""),"Atlantic, Southeast")</f>
        <v>Atlantic, Southeast</v>
      </c>
      <c r="B13" t="str">
        <f ca="1">IFERROR(__xludf.DUMMYFUNCTION("""COMPUTED_VALUE"""),"M47")</f>
        <v>M47</v>
      </c>
    </row>
    <row r="14" spans="1:3" ht="12.5" x14ac:dyDescent="0.25">
      <c r="A14" t="str">
        <f ca="1">IFERROR(__xludf.DUMMYFUNCTION("""COMPUTED_VALUE"""),"Atlantic, Southwest")</f>
        <v>Atlantic, Southwest</v>
      </c>
      <c r="B14" t="str">
        <f ca="1">IFERROR(__xludf.DUMMYFUNCTION("""COMPUTED_VALUE"""),"M41")</f>
        <v>M41</v>
      </c>
    </row>
    <row r="15" spans="1:3" ht="12.5" x14ac:dyDescent="0.25">
      <c r="A15" t="str">
        <f ca="1">IFERROR(__xludf.DUMMYFUNCTION("""COMPUTED_VALUE"""),"Atlantic, Western-central")</f>
        <v>Atlantic, Western-central</v>
      </c>
      <c r="B15" t="str">
        <f ca="1">IFERROR(__xludf.DUMMYFUNCTION("""COMPUTED_VALUE"""),"M31")</f>
        <v>M31</v>
      </c>
    </row>
    <row r="16" spans="1:3" ht="12.5" x14ac:dyDescent="0.25">
      <c r="A16" t="str">
        <f ca="1">IFERROR(__xludf.DUMMYFUNCTION("""COMPUTED_VALUE"""),"Azores Grounds")</f>
        <v>Azores Grounds</v>
      </c>
      <c r="B16" t="str">
        <f ca="1">IFERROR(__xludf.DUMMYFUNCTION("""COMPUTED_VALUE"""),"M27X")</f>
        <v>M27X</v>
      </c>
    </row>
    <row r="17" spans="1:2" ht="12.5" x14ac:dyDescent="0.25">
      <c r="A17" t="str">
        <f ca="1">IFERROR(__xludf.DUMMYFUNCTION("""COMPUTED_VALUE"""),"Azores Grounds - Neafc Reg. Area")</f>
        <v>Azores Grounds - Neafc Reg. Area</v>
      </c>
      <c r="B17" t="str">
        <f ca="1">IFERROR(__xludf.DUMMYFUNCTION("""COMPUTED_VALUE"""),"M27Xa1")</f>
        <v>M27Xa1</v>
      </c>
    </row>
    <row r="18" spans="1:2" ht="12.5" x14ac:dyDescent="0.25">
      <c r="A18" t="str">
        <f ca="1">IFERROR(__xludf.DUMMYFUNCTION("""COMPUTED_VALUE"""),"Azores Grounds - Non-Neafc Reg. Area")</f>
        <v>Azores Grounds - Non-Neafc Reg. Area</v>
      </c>
      <c r="B18" t="str">
        <f ca="1">IFERROR(__xludf.DUMMYFUNCTION("""COMPUTED_VALUE"""),"M27Xa2")</f>
        <v>M27Xa2</v>
      </c>
    </row>
    <row r="19" spans="1:2" ht="12.5" x14ac:dyDescent="0.25">
      <c r="A19" t="str">
        <f ca="1">IFERROR(__xludf.DUMMYFUNCTION("""COMPUTED_VALUE"""),"Azores Grounds (Division)")</f>
        <v>Azores Grounds (Division)</v>
      </c>
      <c r="B19" t="str">
        <f ca="1">IFERROR(__xludf.DUMMYFUNCTION("""COMPUTED_VALUE"""),"M27Xa")</f>
        <v>M27Xa</v>
      </c>
    </row>
    <row r="20" spans="1:2" ht="12.5" x14ac:dyDescent="0.25">
      <c r="A20" t="str">
        <f ca="1">IFERROR(__xludf.DUMMYFUNCTION("""COMPUTED_VALUE"""),"Azov Sea")</f>
        <v>Azov Sea</v>
      </c>
      <c r="B20" t="str">
        <f ca="1">IFERROR(__xludf.DUMMYFUNCTION("""COMPUTED_VALUE"""),"M3743")</f>
        <v>M3743</v>
      </c>
    </row>
    <row r="21" spans="1:2" ht="12.5" x14ac:dyDescent="0.25">
      <c r="A21" t="str">
        <f ca="1">IFERROR(__xludf.DUMMYFUNCTION("""COMPUTED_VALUE"""),"Balearic")</f>
        <v>Balearic</v>
      </c>
      <c r="B21" t="str">
        <f ca="1">IFERROR(__xludf.DUMMYFUNCTION("""COMPUTED_VALUE"""),"M3711")</f>
        <v>M3711</v>
      </c>
    </row>
    <row r="22" spans="1:2" ht="12.5" x14ac:dyDescent="0.25">
      <c r="A22" t="str">
        <f ca="1">IFERROR(__xludf.DUMMYFUNCTION("""COMPUTED_VALUE"""),"Baltic West Of Bornholm")</f>
        <v>Baltic West Of Bornholm</v>
      </c>
      <c r="B22" t="str">
        <f ca="1">IFERROR(__xludf.DUMMYFUNCTION("""COMPUTED_VALUE"""),"M27IIId24")</f>
        <v>M27IIId24</v>
      </c>
    </row>
    <row r="23" spans="1:2" ht="12.5" x14ac:dyDescent="0.25">
      <c r="A23" t="str">
        <f ca="1">IFERROR(__xludf.DUMMYFUNCTION("""COMPUTED_VALUE"""),"Banzare Bank")</f>
        <v>Banzare Bank</v>
      </c>
      <c r="B23" t="str">
        <f ca="1">IFERROR(__xludf.DUMMYFUNCTION("""COMPUTED_VALUE"""),"M5843")</f>
        <v>M5843</v>
      </c>
    </row>
    <row r="24" spans="1:2" ht="12.5" x14ac:dyDescent="0.25">
      <c r="A24" t="str">
        <f ca="1">IFERROR(__xludf.DUMMYFUNCTION("""COMPUTED_VALUE"""),"Barents Sea")</f>
        <v>Barents Sea</v>
      </c>
      <c r="B24" t="str">
        <f ca="1">IFERROR(__xludf.DUMMYFUNCTION("""COMPUTED_VALUE"""),"M27I")</f>
        <v>M27I</v>
      </c>
    </row>
    <row r="25" spans="1:2" ht="12.5" x14ac:dyDescent="0.25">
      <c r="A25" t="str">
        <f ca="1">IFERROR(__xludf.DUMMYFUNCTION("""COMPUTED_VALUE"""),"Barents Sea - Neafc Regulatory Area")</f>
        <v>Barents Sea - Neafc Regulatory Area</v>
      </c>
      <c r="B25" t="str">
        <f ca="1">IFERROR(__xludf.DUMMYFUNCTION("""COMPUTED_VALUE"""),"M27Ia")</f>
        <v>M27Ia</v>
      </c>
    </row>
    <row r="26" spans="1:2" ht="12.5" x14ac:dyDescent="0.25">
      <c r="A26" t="str">
        <f ca="1">IFERROR(__xludf.DUMMYFUNCTION("""COMPUTED_VALUE"""),"Barents Sea Non-Neafc Regulatory Area")</f>
        <v>Barents Sea Non-Neafc Regulatory Area</v>
      </c>
      <c r="B26" t="str">
        <f ca="1">IFERROR(__xludf.DUMMYFUNCTION("""COMPUTED_VALUE"""),"M27Ib")</f>
        <v>M27Ib</v>
      </c>
    </row>
    <row r="27" spans="1:2" ht="12.5" x14ac:dyDescent="0.25">
      <c r="A27" t="str">
        <f ca="1">IFERROR(__xludf.DUMMYFUNCTION("""COMPUTED_VALUE"""),"Bay Of Bengal")</f>
        <v>Bay Of Bengal</v>
      </c>
      <c r="B27" t="str">
        <f ca="1">IFERROR(__xludf.DUMMYFUNCTION("""COMPUTED_VALUE"""),"M571")</f>
        <v>M571</v>
      </c>
    </row>
    <row r="28" spans="1:2" ht="12.5" x14ac:dyDescent="0.25">
      <c r="A28" t="str">
        <f ca="1">IFERROR(__xludf.DUMMYFUNCTION("""COMPUTED_VALUE"""),"Bay Of Biscay")</f>
        <v>Bay Of Biscay</v>
      </c>
      <c r="B28" t="str">
        <f ca="1">IFERROR(__xludf.DUMMYFUNCTION("""COMPUTED_VALUE"""),"M27VIII")</f>
        <v>M27VIII</v>
      </c>
    </row>
    <row r="29" spans="1:2" ht="12.5" x14ac:dyDescent="0.25">
      <c r="A29" t="str">
        <f ca="1">IFERROR(__xludf.DUMMYFUNCTION("""COMPUTED_VALUE"""),"Bay Of Biscay - Central")</f>
        <v>Bay Of Biscay - Central</v>
      </c>
      <c r="B29" t="str">
        <f ca="1">IFERROR(__xludf.DUMMYFUNCTION("""COMPUTED_VALUE"""),"M27VIIIb")</f>
        <v>M27VIIIb</v>
      </c>
    </row>
    <row r="30" spans="1:2" ht="12.5" x14ac:dyDescent="0.25">
      <c r="A30" t="str">
        <f ca="1">IFERROR(__xludf.DUMMYFUNCTION("""COMPUTED_VALUE"""),"Bay Of Biscay - North")</f>
        <v>Bay Of Biscay - North</v>
      </c>
      <c r="B30" t="str">
        <f ca="1">IFERROR(__xludf.DUMMYFUNCTION("""COMPUTED_VALUE"""),"M27VIIIa")</f>
        <v>M27VIIIa</v>
      </c>
    </row>
    <row r="31" spans="1:2" ht="12.5" x14ac:dyDescent="0.25">
      <c r="A31" t="str">
        <f ca="1">IFERROR(__xludf.DUMMYFUNCTION("""COMPUTED_VALUE"""),"Bay Of Biscay - Offshore")</f>
        <v>Bay Of Biscay - Offshore</v>
      </c>
      <c r="B31" t="str">
        <f ca="1">IFERROR(__xludf.DUMMYFUNCTION("""COMPUTED_VALUE"""),"M27VIIId")</f>
        <v>M27VIIId</v>
      </c>
    </row>
    <row r="32" spans="1:2" ht="12.5" x14ac:dyDescent="0.25">
      <c r="A32" t="str">
        <f ca="1">IFERROR(__xludf.DUMMYFUNCTION("""COMPUTED_VALUE"""),"Bay Of Biscay - Offshore - Neafc Reg. Area")</f>
        <v>Bay Of Biscay - Offshore - Neafc Reg. Area</v>
      </c>
      <c r="B32" t="str">
        <f ca="1">IFERROR(__xludf.DUMMYFUNCTION("""COMPUTED_VALUE"""),"M27VIIId1")</f>
        <v>M27VIIId1</v>
      </c>
    </row>
    <row r="33" spans="1:2" ht="12.5" x14ac:dyDescent="0.25">
      <c r="A33" t="str">
        <f ca="1">IFERROR(__xludf.DUMMYFUNCTION("""COMPUTED_VALUE"""),"Bay Of Biscay - Offshore - Non-Neafc Reg. Area")</f>
        <v>Bay Of Biscay - Offshore - Non-Neafc Reg. Area</v>
      </c>
      <c r="B33" t="str">
        <f ca="1">IFERROR(__xludf.DUMMYFUNCTION("""COMPUTED_VALUE"""),"M27VIIId2")</f>
        <v>M27VIIId2</v>
      </c>
    </row>
    <row r="34" spans="1:2" ht="12.5" x14ac:dyDescent="0.25">
      <c r="A34" t="str">
        <f ca="1">IFERROR(__xludf.DUMMYFUNCTION("""COMPUTED_VALUE"""),"Bay Of Biscay - South")</f>
        <v>Bay Of Biscay - South</v>
      </c>
      <c r="B34" t="str">
        <f ca="1">IFERROR(__xludf.DUMMYFUNCTION("""COMPUTED_VALUE"""),"M27VIIIc")</f>
        <v>M27VIIIc</v>
      </c>
    </row>
    <row r="35" spans="1:2" ht="12.5" x14ac:dyDescent="0.25">
      <c r="A35" t="str">
        <f ca="1">IFERROR(__xludf.DUMMYFUNCTION("""COMPUTED_VALUE"""),"Belt Sea")</f>
        <v>Belt Sea</v>
      </c>
      <c r="B35" t="str">
        <f ca="1">IFERROR(__xludf.DUMMYFUNCTION("""COMPUTED_VALUE"""),"M27III22")</f>
        <v>M27III22</v>
      </c>
    </row>
    <row r="36" spans="1:2" ht="12.5" x14ac:dyDescent="0.25">
      <c r="A36" t="str">
        <f ca="1">IFERROR(__xludf.DUMMYFUNCTION("""COMPUTED_VALUE"""),"Black Sea")</f>
        <v>Black Sea</v>
      </c>
      <c r="B36" t="str">
        <f ca="1">IFERROR(__xludf.DUMMYFUNCTION("""COMPUTED_VALUE"""),"M374")</f>
        <v>M374</v>
      </c>
    </row>
    <row r="37" spans="1:2" ht="12.5" x14ac:dyDescent="0.25">
      <c r="A37" t="str">
        <f ca="1">IFERROR(__xludf.DUMMYFUNCTION("""COMPUTED_VALUE"""),"Black Sea (Division)")</f>
        <v>Black Sea (Division)</v>
      </c>
      <c r="B37" t="str">
        <f ca="1">IFERROR(__xludf.DUMMYFUNCTION("""COMPUTED_VALUE"""),"M3742")</f>
        <v>M3742</v>
      </c>
    </row>
    <row r="38" spans="1:2" ht="12.5" x14ac:dyDescent="0.25">
      <c r="A38" t="str">
        <f ca="1">IFERROR(__xludf.DUMMYFUNCTION("""COMPUTED_VALUE"""),"Bothnian Bay")</f>
        <v>Bothnian Bay</v>
      </c>
      <c r="B38" t="str">
        <f ca="1">IFERROR(__xludf.DUMMYFUNCTION("""COMPUTED_VALUE"""),"M27IIId31")</f>
        <v>M27IIId31</v>
      </c>
    </row>
    <row r="39" spans="1:2" ht="12.5" x14ac:dyDescent="0.25">
      <c r="A39" t="str">
        <f ca="1">IFERROR(__xludf.DUMMYFUNCTION("""COMPUTED_VALUE"""),"Bothnian Sea")</f>
        <v>Bothnian Sea</v>
      </c>
      <c r="B39" t="str">
        <f ca="1">IFERROR(__xludf.DUMMYFUNCTION("""COMPUTED_VALUE"""),"M27IIId30")</f>
        <v>M27IIId30</v>
      </c>
    </row>
    <row r="40" spans="1:2" ht="12.5" x14ac:dyDescent="0.25">
      <c r="A40" t="str">
        <f ca="1">IFERROR(__xludf.DUMMYFUNCTION("""COMPUTED_VALUE"""),"Bouvet")</f>
        <v>Bouvet</v>
      </c>
      <c r="B40" t="str">
        <f ca="1">IFERROR(__xludf.DUMMYFUNCTION("""COMPUTED_VALUE"""),"M486")</f>
        <v>M486</v>
      </c>
    </row>
    <row r="41" spans="1:2" ht="12.5" x14ac:dyDescent="0.25">
      <c r="A41" t="str">
        <f ca="1">IFERROR(__xludf.DUMMYFUNCTION("""COMPUTED_VALUE"""),"Bristol Channel")</f>
        <v>Bristol Channel</v>
      </c>
      <c r="B41" t="str">
        <f ca="1">IFERROR(__xludf.DUMMYFUNCTION("""COMPUTED_VALUE"""),"M27VIIf")</f>
        <v>M27VIIf</v>
      </c>
    </row>
    <row r="42" spans="1:2" ht="12.5" x14ac:dyDescent="0.25">
      <c r="A42" t="str">
        <f ca="1">IFERROR(__xludf.DUMMYFUNCTION("""COMPUTED_VALUE"""),"Canadian Waters")</f>
        <v>Canadian Waters</v>
      </c>
      <c r="B42" t="str">
        <f ca="1">IFERROR(__xludf.DUMMYFUNCTION("""COMPUTED_VALUE"""),"M215Zc")</f>
        <v>M215Zc</v>
      </c>
    </row>
    <row r="43" spans="1:2" ht="12.5" x14ac:dyDescent="0.25">
      <c r="A43" t="str">
        <f ca="1">IFERROR(__xludf.DUMMYFUNCTION("""COMPUTED_VALUE"""),"Canaries/Madeira Insular")</f>
        <v>Canaries/Madeira Insular</v>
      </c>
      <c r="B43" t="str">
        <f ca="1">IFERROR(__xludf.DUMMYFUNCTION("""COMPUTED_VALUE"""),"M3412")</f>
        <v>M3412</v>
      </c>
    </row>
    <row r="44" spans="1:2" ht="12.5" x14ac:dyDescent="0.25">
      <c r="A44" t="str">
        <f ca="1">IFERROR(__xludf.DUMMYFUNCTION("""COMPUTED_VALUE"""),"Cape Cross")</f>
        <v>Cape Cross</v>
      </c>
      <c r="B44" t="str">
        <f ca="1">IFERROR(__xludf.DUMMYFUNCTION("""COMPUTED_VALUE"""),"M4714")</f>
        <v>M4714</v>
      </c>
    </row>
    <row r="45" spans="1:2" ht="12.5" x14ac:dyDescent="0.25">
      <c r="A45" t="str">
        <f ca="1">IFERROR(__xludf.DUMMYFUNCTION("""COMPUTED_VALUE"""),"Cape Of Good Hope")</f>
        <v>Cape Of Good Hope</v>
      </c>
      <c r="B45" t="str">
        <f ca="1">IFERROR(__xludf.DUMMYFUNCTION("""COMPUTED_VALUE"""),"M4716")</f>
        <v>M4716</v>
      </c>
    </row>
    <row r="46" spans="1:2" ht="12.5" x14ac:dyDescent="0.25">
      <c r="A46" t="str">
        <f ca="1">IFERROR(__xludf.DUMMYFUNCTION("""COMPUTED_VALUE"""),"Cape Palmeirinhas")</f>
        <v>Cape Palmeirinhas</v>
      </c>
      <c r="B46" t="str">
        <f ca="1">IFERROR(__xludf.DUMMYFUNCTION("""COMPUTED_VALUE"""),"M4711")</f>
        <v>M4711</v>
      </c>
    </row>
    <row r="47" spans="1:2" ht="12.5" x14ac:dyDescent="0.25">
      <c r="A47" t="str">
        <f ca="1">IFERROR(__xludf.DUMMYFUNCTION("""COMPUTED_VALUE"""),"Cape Salinas")</f>
        <v>Cape Salinas</v>
      </c>
      <c r="B47" t="str">
        <f ca="1">IFERROR(__xludf.DUMMYFUNCTION("""COMPUTED_VALUE"""),"M4712")</f>
        <v>M4712</v>
      </c>
    </row>
    <row r="48" spans="1:2" ht="12.5" x14ac:dyDescent="0.25">
      <c r="A48" t="str">
        <f ca="1">IFERROR(__xludf.DUMMYFUNCTION("""COMPUTED_VALUE"""),"Cape Verde Coastal")</f>
        <v>Cape Verde Coastal</v>
      </c>
      <c r="B48" t="str">
        <f ca="1">IFERROR(__xludf.DUMMYFUNCTION("""COMPUTED_VALUE"""),"M3431")</f>
        <v>M3431</v>
      </c>
    </row>
    <row r="49" spans="1:2" ht="12.5" x14ac:dyDescent="0.25">
      <c r="A49" t="str">
        <f ca="1">IFERROR(__xludf.DUMMYFUNCTION("""COMPUTED_VALUE"""),"Cape Verde Insular")</f>
        <v>Cape Verde Insular</v>
      </c>
      <c r="B49" t="str">
        <f ca="1">IFERROR(__xludf.DUMMYFUNCTION("""COMPUTED_VALUE"""),"M3432")</f>
        <v>M3432</v>
      </c>
    </row>
    <row r="50" spans="1:2" ht="12.5" x14ac:dyDescent="0.25">
      <c r="A50" t="str">
        <f ca="1">IFERROR(__xludf.DUMMYFUNCTION("""COMPUTED_VALUE"""),"Celtic Sea North")</f>
        <v>Celtic Sea North</v>
      </c>
      <c r="B50" t="str">
        <f ca="1">IFERROR(__xludf.DUMMYFUNCTION("""COMPUTED_VALUE"""),"M27VIIg")</f>
        <v>M27VIIg</v>
      </c>
    </row>
    <row r="51" spans="1:2" ht="12.5" x14ac:dyDescent="0.25">
      <c r="A51" t="str">
        <f ca="1">IFERROR(__xludf.DUMMYFUNCTION("""COMPUTED_VALUE"""),"Celtic Sea South")</f>
        <v>Celtic Sea South</v>
      </c>
      <c r="B51" t="str">
        <f ca="1">IFERROR(__xludf.DUMMYFUNCTION("""COMPUTED_VALUE"""),"M27VIIh")</f>
        <v>M27VIIh</v>
      </c>
    </row>
    <row r="52" spans="1:2" ht="12.5" x14ac:dyDescent="0.25">
      <c r="A52" t="str">
        <f ca="1">IFERROR(__xludf.DUMMYFUNCTION("""COMPUTED_VALUE"""),"Central (Atlantic)")</f>
        <v>Central (Atlantic)</v>
      </c>
      <c r="B52" t="str">
        <f ca="1">IFERROR(__xludf.DUMMYFUNCTION("""COMPUTED_VALUE"""),"M412")</f>
        <v>M412</v>
      </c>
    </row>
    <row r="53" spans="1:2" ht="12.5" x14ac:dyDescent="0.25">
      <c r="A53" t="str">
        <f ca="1">IFERROR(__xludf.DUMMYFUNCTION("""COMPUTED_VALUE"""),"Central (Indian)")</f>
        <v>Central (Indian)</v>
      </c>
      <c r="B53" t="str">
        <f ca="1">IFERROR(__xludf.DUMMYFUNCTION("""COMPUTED_VALUE"""),"M573")</f>
        <v>M573</v>
      </c>
    </row>
    <row r="54" spans="1:2" ht="12.5" x14ac:dyDescent="0.25">
      <c r="A54" t="str">
        <f ca="1">IFERROR(__xludf.DUMMYFUNCTION("""COMPUTED_VALUE"""),"Central (Pacific)")</f>
        <v>Central (Pacific)</v>
      </c>
      <c r="B54" t="str">
        <f ca="1">IFERROR(__xludf.DUMMYFUNCTION("""COMPUTED_VALUE"""),"M872")</f>
        <v>M872</v>
      </c>
    </row>
    <row r="55" spans="1:2" ht="12.5" x14ac:dyDescent="0.25">
      <c r="A55" t="str">
        <f ca="1">IFERROR(__xludf.DUMMYFUNCTION("""COMPUTED_VALUE"""),"Central Coastal")</f>
        <v>Central Coastal</v>
      </c>
      <c r="B55" t="str">
        <f ca="1">IFERROR(__xludf.DUMMYFUNCTION("""COMPUTED_VALUE"""),"M8721")</f>
        <v>M8721</v>
      </c>
    </row>
    <row r="56" spans="1:2" ht="12.5" x14ac:dyDescent="0.25">
      <c r="A56" t="str">
        <f ca="1">IFERROR(__xludf.DUMMYFUNCTION("""COMPUTED_VALUE"""),"Central Gulf Of Guinea")</f>
        <v>Central Gulf Of Guinea</v>
      </c>
      <c r="B56" t="str">
        <f ca="1">IFERROR(__xludf.DUMMYFUNCTION("""COMPUTED_VALUE"""),"M3435")</f>
        <v>M3435</v>
      </c>
    </row>
    <row r="57" spans="1:2" ht="12.5" x14ac:dyDescent="0.25">
      <c r="A57" t="str">
        <f ca="1">IFERROR(__xludf.DUMMYFUNCTION("""COMPUTED_VALUE"""),"Central Intermediate")</f>
        <v>Central Intermediate</v>
      </c>
      <c r="B57" t="str">
        <f ca="1">IFERROR(__xludf.DUMMYFUNCTION("""COMPUTED_VALUE"""),"M8722")</f>
        <v>M8722</v>
      </c>
    </row>
    <row r="58" spans="1:2" ht="12.5" x14ac:dyDescent="0.25">
      <c r="A58" t="str">
        <f ca="1">IFERROR(__xludf.DUMMYFUNCTION("""COMPUTED_VALUE"""),"Central Mediterranean")</f>
        <v>Central Mediterranean</v>
      </c>
      <c r="B58" t="str">
        <f ca="1">IFERROR(__xludf.DUMMYFUNCTION("""COMPUTED_VALUE"""),"M372")</f>
        <v>M372</v>
      </c>
    </row>
    <row r="59" spans="1:2" ht="12.5" x14ac:dyDescent="0.25">
      <c r="A59" t="str">
        <f ca="1">IFERROR(__xludf.DUMMYFUNCTION("""COMPUTED_VALUE"""),"Central North Sea")</f>
        <v>Central North Sea</v>
      </c>
      <c r="B59" t="str">
        <f ca="1">IFERROR(__xludf.DUMMYFUNCTION("""COMPUTED_VALUE"""),"M27IVb")</f>
        <v>M27IVb</v>
      </c>
    </row>
    <row r="60" spans="1:2" ht="12.5" x14ac:dyDescent="0.25">
      <c r="A60" t="str">
        <f ca="1">IFERROR(__xludf.DUMMYFUNCTION("""COMPUTED_VALUE"""),"Central Northeast Atlantic - South")</f>
        <v>Central Northeast Atlantic - South</v>
      </c>
      <c r="B60" t="str">
        <f ca="1">IFERROR(__xludf.DUMMYFUNCTION("""COMPUTED_VALUE"""),"M27XIIc")</f>
        <v>M27XIIc</v>
      </c>
    </row>
    <row r="61" spans="1:2" ht="12.5" x14ac:dyDescent="0.25">
      <c r="A61" t="str">
        <f ca="1">IFERROR(__xludf.DUMMYFUNCTION("""COMPUTED_VALUE"""),"Central Oceanic (Atlantic)")</f>
        <v>Central Oceanic (Atlantic)</v>
      </c>
      <c r="B61" t="str">
        <f ca="1">IFERROR(__xludf.DUMMYFUNCTION("""COMPUTED_VALUE"""),"M4124")</f>
        <v>M4124</v>
      </c>
    </row>
    <row r="62" spans="1:2" ht="12.5" x14ac:dyDescent="0.25">
      <c r="A62" t="str">
        <f ca="1">IFERROR(__xludf.DUMMYFUNCTION("""COMPUTED_VALUE"""),"Central Oceanic (Pacific)")</f>
        <v>Central Oceanic (Pacific)</v>
      </c>
      <c r="B62" t="str">
        <f ca="1">IFERROR(__xludf.DUMMYFUNCTION("""COMPUTED_VALUE"""),"M8726")</f>
        <v>M8726</v>
      </c>
    </row>
    <row r="63" spans="1:2" ht="12.5" x14ac:dyDescent="0.25">
      <c r="A63" t="str">
        <f ca="1">IFERROR(__xludf.DUMMYFUNCTION("""COMPUTED_VALUE"""),"Crozet")</f>
        <v>Crozet</v>
      </c>
      <c r="B63" t="str">
        <f ca="1">IFERROR(__xludf.DUMMYFUNCTION("""COMPUTED_VALUE"""),"M586")</f>
        <v>M586</v>
      </c>
    </row>
    <row r="64" spans="1:2" ht="12.5" x14ac:dyDescent="0.25">
      <c r="A64" t="str">
        <f ca="1">IFERROR(__xludf.DUMMYFUNCTION("""COMPUTED_VALUE"""),"Cunene")</f>
        <v>Cunene</v>
      </c>
      <c r="B64" t="str">
        <f ca="1">IFERROR(__xludf.DUMMYFUNCTION("""COMPUTED_VALUE"""),"M4713")</f>
        <v>M4713</v>
      </c>
    </row>
    <row r="65" spans="1:2" ht="12.5" x14ac:dyDescent="0.25">
      <c r="A65" t="str">
        <f ca="1">IFERROR(__xludf.DUMMYFUNCTION("""COMPUTED_VALUE"""),"East Greenland")</f>
        <v>East Greenland</v>
      </c>
      <c r="B65" t="str">
        <f ca="1">IFERROR(__xludf.DUMMYFUNCTION("""COMPUTED_VALUE"""),"M27XIV")</f>
        <v>M27XIV</v>
      </c>
    </row>
    <row r="66" spans="1:2" ht="12.5" x14ac:dyDescent="0.25">
      <c r="A66" t="str">
        <f ca="1">IFERROR(__xludf.DUMMYFUNCTION("""COMPUTED_VALUE"""),"East Of Gotland (Open Sea)")</f>
        <v>East Of Gotland (Open Sea)</v>
      </c>
      <c r="B66" t="str">
        <f ca="1">IFERROR(__xludf.DUMMYFUNCTION("""COMPUTED_VALUE"""),"M27IIId282")</f>
        <v>M27IIId282</v>
      </c>
    </row>
    <row r="67" spans="1:2" ht="12.5" x14ac:dyDescent="0.25">
      <c r="A67" t="str">
        <f ca="1">IFERROR(__xludf.DUMMYFUNCTION("""COMPUTED_VALUE"""),"East Of Gotland Or Gulf Of Riga")</f>
        <v>East Of Gotland Or Gulf Of Riga</v>
      </c>
      <c r="B67" t="str">
        <f ca="1">IFERROR(__xludf.DUMMYFUNCTION("""COMPUTED_VALUE"""),"M27IIId28")</f>
        <v>M27IIId28</v>
      </c>
    </row>
    <row r="68" spans="1:2" ht="12.5" x14ac:dyDescent="0.25">
      <c r="A68" t="str">
        <f ca="1">IFERROR(__xludf.DUMMYFUNCTION("""COMPUTED_VALUE"""),"Eastern Agulhas")</f>
        <v>Eastern Agulhas</v>
      </c>
      <c r="B68" t="str">
        <f ca="1">IFERROR(__xludf.DUMMYFUNCTION("""COMPUTED_VALUE"""),"M4722")</f>
        <v>M4722</v>
      </c>
    </row>
    <row r="69" spans="1:2" ht="12.5" x14ac:dyDescent="0.25">
      <c r="A69" t="str">
        <f ca="1">IFERROR(__xludf.DUMMYFUNCTION("""COMPUTED_VALUE"""),"Eastern Arabian Sea, Laccadives")</f>
        <v>Eastern Arabian Sea, Laccadives</v>
      </c>
      <c r="B69" t="str">
        <f ca="1">IFERROR(__xludf.DUMMYFUNCTION("""COMPUTED_VALUE"""),"M514")</f>
        <v>M514</v>
      </c>
    </row>
    <row r="70" spans="1:2" ht="12.5" x14ac:dyDescent="0.25">
      <c r="A70" t="str">
        <f ca="1">IFERROR(__xludf.DUMMYFUNCTION("""COMPUTED_VALUE"""),"Eastern English Channel")</f>
        <v>Eastern English Channel</v>
      </c>
      <c r="B70" t="str">
        <f ca="1">IFERROR(__xludf.DUMMYFUNCTION("""COMPUTED_VALUE"""),"M27VIId")</f>
        <v>M27VIId</v>
      </c>
    </row>
    <row r="71" spans="1:2" ht="12.5" x14ac:dyDescent="0.25">
      <c r="A71" t="str">
        <f ca="1">IFERROR(__xludf.DUMMYFUNCTION("""COMPUTED_VALUE"""),"Eastern Mediterranean")</f>
        <v>Eastern Mediterranean</v>
      </c>
      <c r="B71" t="str">
        <f ca="1">IFERROR(__xludf.DUMMYFUNCTION("""COMPUTED_VALUE"""),"M373")</f>
        <v>M373</v>
      </c>
    </row>
    <row r="72" spans="1:2" ht="12.5" x14ac:dyDescent="0.25">
      <c r="A72" t="str">
        <f ca="1">IFERROR(__xludf.DUMMYFUNCTION("""COMPUTED_VALUE"""),"Eastern Ross Sea")</f>
        <v>Eastern Ross Sea</v>
      </c>
      <c r="B72" t="str">
        <f ca="1">IFERROR(__xludf.DUMMYFUNCTION("""COMPUTED_VALUE"""),"M881")</f>
        <v>M881</v>
      </c>
    </row>
    <row r="73" spans="1:2" ht="12.5" x14ac:dyDescent="0.25">
      <c r="A73" t="str">
        <f ca="1">IFERROR(__xludf.DUMMYFUNCTION("""COMPUTED_VALUE"""),"Eastern Subdivision")</f>
        <v>Eastern Subdivision</v>
      </c>
      <c r="B73" t="str">
        <f ca="1">IFERROR(__xludf.DUMMYFUNCTION("""COMPUTED_VALUE"""),"M215Ze")</f>
        <v>M215Ze</v>
      </c>
    </row>
    <row r="74" spans="1:2" ht="12.5" x14ac:dyDescent="0.25">
      <c r="A74" t="str">
        <f ca="1">IFERROR(__xludf.DUMMYFUNCTION("""COMPUTED_VALUE"""),"Enderby-Wilkes")</f>
        <v>Enderby-Wilkes</v>
      </c>
      <c r="B74" t="str">
        <f ca="1">IFERROR(__xludf.DUMMYFUNCTION("""COMPUTED_VALUE"""),"M584")</f>
        <v>M584</v>
      </c>
    </row>
    <row r="75" spans="1:2" ht="12.5" x14ac:dyDescent="0.25">
      <c r="A75" t="str">
        <f ca="1">IFERROR(__xludf.DUMMYFUNCTION("""COMPUTED_VALUE"""),"Faeroe Plateau - Part Of Neafc Regulatory Area")</f>
        <v>Faeroe Plateau - Part Of Neafc Regulatory Area</v>
      </c>
      <c r="B75" t="str">
        <f ca="1">IFERROR(__xludf.DUMMYFUNCTION("""COMPUTED_VALUE"""),"M27Vb1a")</f>
        <v>M27Vb1a</v>
      </c>
    </row>
    <row r="76" spans="1:2" ht="12.5" x14ac:dyDescent="0.25">
      <c r="A76" t="str">
        <f ca="1">IFERROR(__xludf.DUMMYFUNCTION("""COMPUTED_VALUE"""),"Faeroe Plateau - Part Of Non-Neafc Regulatory Area")</f>
        <v>Faeroe Plateau - Part Of Non-Neafc Regulatory Area</v>
      </c>
      <c r="B76" t="str">
        <f ca="1">IFERROR(__xludf.DUMMYFUNCTION("""COMPUTED_VALUE"""),"M27Vb1b")</f>
        <v>M27Vb1b</v>
      </c>
    </row>
    <row r="77" spans="1:2" ht="12.5" x14ac:dyDescent="0.25">
      <c r="A77" t="str">
        <f ca="1">IFERROR(__xludf.DUMMYFUNCTION("""COMPUTED_VALUE"""),"Fao - Proposed Division  _31.10.1")</f>
        <v>Fao - Proposed Division  _31.10.1</v>
      </c>
      <c r="B77" t="str">
        <f ca="1">IFERROR(__xludf.DUMMYFUNCTION("""COMPUTED_VALUE"""),"M31101")</f>
        <v>M31101</v>
      </c>
    </row>
    <row r="78" spans="1:2" ht="12.5" x14ac:dyDescent="0.25">
      <c r="A78" t="str">
        <f ca="1">IFERROR(__xludf.DUMMYFUNCTION("""COMPUTED_VALUE"""),"Fao - Proposed Division  _31.10.2")</f>
        <v>Fao - Proposed Division  _31.10.2</v>
      </c>
      <c r="B78" t="str">
        <f ca="1">IFERROR(__xludf.DUMMYFUNCTION("""COMPUTED_VALUE"""),"M31102")</f>
        <v>M31102</v>
      </c>
    </row>
    <row r="79" spans="1:2" ht="12.5" x14ac:dyDescent="0.25">
      <c r="A79" t="str">
        <f ca="1">IFERROR(__xludf.DUMMYFUNCTION("""COMPUTED_VALUE"""),"Fao - Proposed Division  _31.10.3")</f>
        <v>Fao - Proposed Division  _31.10.3</v>
      </c>
      <c r="B79" t="str">
        <f ca="1">IFERROR(__xludf.DUMMYFUNCTION("""COMPUTED_VALUE"""),"M31103")</f>
        <v>M31103</v>
      </c>
    </row>
    <row r="80" spans="1:2" ht="12.5" x14ac:dyDescent="0.25">
      <c r="A80" t="str">
        <f ca="1">IFERROR(__xludf.DUMMYFUNCTION("""COMPUTED_VALUE"""),"Fao - Proposed Division  _31.10.4")</f>
        <v>Fao - Proposed Division  _31.10.4</v>
      </c>
      <c r="B80" t="str">
        <f ca="1">IFERROR(__xludf.DUMMYFUNCTION("""COMPUTED_VALUE"""),"M31104")</f>
        <v>M31104</v>
      </c>
    </row>
    <row r="81" spans="1:2" ht="12.5" x14ac:dyDescent="0.25">
      <c r="A81" t="str">
        <f ca="1">IFERROR(__xludf.DUMMYFUNCTION("""COMPUTED_VALUE"""),"Fao - Proposed Division  _31.2.1")</f>
        <v>Fao - Proposed Division  _31.2.1</v>
      </c>
      <c r="B81" t="str">
        <f ca="1">IFERROR(__xludf.DUMMYFUNCTION("""COMPUTED_VALUE"""),"M3121")</f>
        <v>M3121</v>
      </c>
    </row>
    <row r="82" spans="1:2" ht="12.5" x14ac:dyDescent="0.25">
      <c r="A82" t="str">
        <f ca="1">IFERROR(__xludf.DUMMYFUNCTION("""COMPUTED_VALUE"""),"Fao - Proposed Division  _31.2.2")</f>
        <v>Fao - Proposed Division  _31.2.2</v>
      </c>
      <c r="B82" t="str">
        <f ca="1">IFERROR(__xludf.DUMMYFUNCTION("""COMPUTED_VALUE"""),"M3122")</f>
        <v>M3122</v>
      </c>
    </row>
    <row r="83" spans="1:2" ht="12.5" x14ac:dyDescent="0.25">
      <c r="A83" t="str">
        <f ca="1">IFERROR(__xludf.DUMMYFUNCTION("""COMPUTED_VALUE"""),"Fao - Proposed Division  _31.2.3")</f>
        <v>Fao - Proposed Division  _31.2.3</v>
      </c>
      <c r="B83" t="str">
        <f ca="1">IFERROR(__xludf.DUMMYFUNCTION("""COMPUTED_VALUE"""),"M3123")</f>
        <v>M3123</v>
      </c>
    </row>
    <row r="84" spans="1:2" ht="12.5" x14ac:dyDescent="0.25">
      <c r="A84" t="str">
        <f ca="1">IFERROR(__xludf.DUMMYFUNCTION("""COMPUTED_VALUE"""),"Fao - Proposed Division  _31.2.4")</f>
        <v>Fao - Proposed Division  _31.2.4</v>
      </c>
      <c r="B84" t="str">
        <f ca="1">IFERROR(__xludf.DUMMYFUNCTION("""COMPUTED_VALUE"""),"M3124")</f>
        <v>M3124</v>
      </c>
    </row>
    <row r="85" spans="1:2" ht="12.5" x14ac:dyDescent="0.25">
      <c r="A85" t="str">
        <f ca="1">IFERROR(__xludf.DUMMYFUNCTION("""COMPUTED_VALUE"""),"Fao - Proposed Division  _31.2.5")</f>
        <v>Fao - Proposed Division  _31.2.5</v>
      </c>
      <c r="B85" t="str">
        <f ca="1">IFERROR(__xludf.DUMMYFUNCTION("""COMPUTED_VALUE"""),"M3125")</f>
        <v>M3125</v>
      </c>
    </row>
    <row r="86" spans="1:2" ht="12.5" x14ac:dyDescent="0.25">
      <c r="A86" t="str">
        <f ca="1">IFERROR(__xludf.DUMMYFUNCTION("""COMPUTED_VALUE"""),"Fao - Proposed Division  _31.2.6")</f>
        <v>Fao - Proposed Division  _31.2.6</v>
      </c>
      <c r="B86" t="str">
        <f ca="1">IFERROR(__xludf.DUMMYFUNCTION("""COMPUTED_VALUE"""),"M3126")</f>
        <v>M3126</v>
      </c>
    </row>
    <row r="87" spans="1:2" ht="12.5" x14ac:dyDescent="0.25">
      <c r="A87" t="str">
        <f ca="1">IFERROR(__xludf.DUMMYFUNCTION("""COMPUTED_VALUE"""),"Fao - Proposed Division  _31.3.1")</f>
        <v>Fao - Proposed Division  _31.3.1</v>
      </c>
      <c r="B87" t="str">
        <f ca="1">IFERROR(__xludf.DUMMYFUNCTION("""COMPUTED_VALUE"""),"M3131")</f>
        <v>M3131</v>
      </c>
    </row>
    <row r="88" spans="1:2" ht="12.5" x14ac:dyDescent="0.25">
      <c r="A88" t="str">
        <f ca="1">IFERROR(__xludf.DUMMYFUNCTION("""COMPUTED_VALUE"""),"Fao - Proposed Division  _31.3.2")</f>
        <v>Fao - Proposed Division  _31.3.2</v>
      </c>
      <c r="B88" t="str">
        <f ca="1">IFERROR(__xludf.DUMMYFUNCTION("""COMPUTED_VALUE"""),"M3132")</f>
        <v>M3132</v>
      </c>
    </row>
    <row r="89" spans="1:2" ht="12.5" x14ac:dyDescent="0.25">
      <c r="A89" t="str">
        <f ca="1">IFERROR(__xludf.DUMMYFUNCTION("""COMPUTED_VALUE"""),"Fao - Proposed Division  _31.3.3")</f>
        <v>Fao - Proposed Division  _31.3.3</v>
      </c>
      <c r="B89" t="str">
        <f ca="1">IFERROR(__xludf.DUMMYFUNCTION("""COMPUTED_VALUE"""),"M3133")</f>
        <v>M3133</v>
      </c>
    </row>
    <row r="90" spans="1:2" ht="12.5" x14ac:dyDescent="0.25">
      <c r="A90" t="str">
        <f ca="1">IFERROR(__xludf.DUMMYFUNCTION("""COMPUTED_VALUE"""),"Fao - Proposed Division  _31.4.1")</f>
        <v>Fao - Proposed Division  _31.4.1</v>
      </c>
      <c r="B90" t="str">
        <f ca="1">IFERROR(__xludf.DUMMYFUNCTION("""COMPUTED_VALUE"""),"M3141")</f>
        <v>M3141</v>
      </c>
    </row>
    <row r="91" spans="1:2" ht="12.5" x14ac:dyDescent="0.25">
      <c r="A91" t="str">
        <f ca="1">IFERROR(__xludf.DUMMYFUNCTION("""COMPUTED_VALUE"""),"Fao - Proposed Division  _31.4.2")</f>
        <v>Fao - Proposed Division  _31.4.2</v>
      </c>
      <c r="B91" t="str">
        <f ca="1">IFERROR(__xludf.DUMMYFUNCTION("""COMPUTED_VALUE"""),"M3142")</f>
        <v>M3142</v>
      </c>
    </row>
    <row r="92" spans="1:2" ht="12.5" x14ac:dyDescent="0.25">
      <c r="A92" t="str">
        <f ca="1">IFERROR(__xludf.DUMMYFUNCTION("""COMPUTED_VALUE"""),"Fao - Proposed Division  _31.7.1")</f>
        <v>Fao - Proposed Division  _31.7.1</v>
      </c>
      <c r="B92" t="str">
        <f ca="1">IFERROR(__xludf.DUMMYFUNCTION("""COMPUTED_VALUE"""),"M3171")</f>
        <v>M3171</v>
      </c>
    </row>
    <row r="93" spans="1:2" ht="12.5" x14ac:dyDescent="0.25">
      <c r="A93" t="str">
        <f ca="1">IFERROR(__xludf.DUMMYFUNCTION("""COMPUTED_VALUE"""),"Fao - Proposed Division  _31.7.2")</f>
        <v>Fao - Proposed Division  _31.7.2</v>
      </c>
      <c r="B93" t="str">
        <f ca="1">IFERROR(__xludf.DUMMYFUNCTION("""COMPUTED_VALUE"""),"M3172")</f>
        <v>M3172</v>
      </c>
    </row>
    <row r="94" spans="1:2" ht="12.5" x14ac:dyDescent="0.25">
      <c r="A94" t="str">
        <f ca="1">IFERROR(__xludf.DUMMYFUNCTION("""COMPUTED_VALUE"""),"Fao - Proposed Division  _31.7.3")</f>
        <v>Fao - Proposed Division  _31.7.3</v>
      </c>
      <c r="B94" t="str">
        <f ca="1">IFERROR(__xludf.DUMMYFUNCTION("""COMPUTED_VALUE"""),"M3173")</f>
        <v>M3173</v>
      </c>
    </row>
    <row r="95" spans="1:2" ht="12.5" x14ac:dyDescent="0.25">
      <c r="A95" t="str">
        <f ca="1">IFERROR(__xludf.DUMMYFUNCTION("""COMPUTED_VALUE"""),"Fao - Proposed Division  _31.8.1")</f>
        <v>Fao - Proposed Division  _31.8.1</v>
      </c>
      <c r="B95" t="str">
        <f ca="1">IFERROR(__xludf.DUMMYFUNCTION("""COMPUTED_VALUE"""),"M3181")</f>
        <v>M3181</v>
      </c>
    </row>
    <row r="96" spans="1:2" ht="12.5" x14ac:dyDescent="0.25">
      <c r="A96" t="str">
        <f ca="1">IFERROR(__xludf.DUMMYFUNCTION("""COMPUTED_VALUE"""),"Fao - Proposed Division  _31.8.2")</f>
        <v>Fao - Proposed Division  _31.8.2</v>
      </c>
      <c r="B96" t="str">
        <f ca="1">IFERROR(__xludf.DUMMYFUNCTION("""COMPUTED_VALUE"""),"M3182")</f>
        <v>M3182</v>
      </c>
    </row>
    <row r="97" spans="1:2" ht="12.5" x14ac:dyDescent="0.25">
      <c r="A97" t="str">
        <f ca="1">IFERROR(__xludf.DUMMYFUNCTION("""COMPUTED_VALUE"""),"Fao - Proposed Division  _81.1.1")</f>
        <v>Fao - Proposed Division  _81.1.1</v>
      </c>
      <c r="B97" t="str">
        <f ca="1">IFERROR(__xludf.DUMMYFUNCTION("""COMPUTED_VALUE"""),"M8111")</f>
        <v>M8111</v>
      </c>
    </row>
    <row r="98" spans="1:2" ht="12.5" x14ac:dyDescent="0.25">
      <c r="A98" t="str">
        <f ca="1">IFERROR(__xludf.DUMMYFUNCTION("""COMPUTED_VALUE"""),"Fao - Proposed Division  _81.1.2")</f>
        <v>Fao - Proposed Division  _81.1.2</v>
      </c>
      <c r="B98" t="str">
        <f ca="1">IFERROR(__xludf.DUMMYFUNCTION("""COMPUTED_VALUE"""),"M8112")</f>
        <v>M8112</v>
      </c>
    </row>
    <row r="99" spans="1:2" ht="12.5" x14ac:dyDescent="0.25">
      <c r="A99" t="str">
        <f ca="1">IFERROR(__xludf.DUMMYFUNCTION("""COMPUTED_VALUE"""),"Fao - Proposed Sub Area  _31.1")</f>
        <v>Fao - Proposed Sub Area  _31.1</v>
      </c>
      <c r="B99" t="str">
        <f ca="1">IFERROR(__xludf.DUMMYFUNCTION("""COMPUTED_VALUE"""),"M311")</f>
        <v>M311</v>
      </c>
    </row>
    <row r="100" spans="1:2" ht="12.5" x14ac:dyDescent="0.25">
      <c r="A100" t="str">
        <f ca="1">IFERROR(__xludf.DUMMYFUNCTION("""COMPUTED_VALUE"""),"Fao - Proposed Sub Area  _31.10")</f>
        <v>Fao - Proposed Sub Area  _31.10</v>
      </c>
      <c r="B100" t="str">
        <f ca="1">IFERROR(__xludf.DUMMYFUNCTION("""COMPUTED_VALUE"""),"M3110")</f>
        <v>M3110</v>
      </c>
    </row>
    <row r="101" spans="1:2" ht="12.5" x14ac:dyDescent="0.25">
      <c r="A101" t="str">
        <f ca="1">IFERROR(__xludf.DUMMYFUNCTION("""COMPUTED_VALUE"""),"Fao - Proposed Sub Area  _31.11")</f>
        <v>Fao - Proposed Sub Area  _31.11</v>
      </c>
      <c r="B101" t="str">
        <f ca="1">IFERROR(__xludf.DUMMYFUNCTION("""COMPUTED_VALUE"""),"M3111")</f>
        <v>M3111</v>
      </c>
    </row>
    <row r="102" spans="1:2" ht="12.5" x14ac:dyDescent="0.25">
      <c r="A102" t="str">
        <f ca="1">IFERROR(__xludf.DUMMYFUNCTION("""COMPUTED_VALUE"""),"Fao - Proposed Sub Area  _31.2")</f>
        <v>Fao - Proposed Sub Area  _31.2</v>
      </c>
      <c r="B102" t="str">
        <f ca="1">IFERROR(__xludf.DUMMYFUNCTION("""COMPUTED_VALUE"""),"M312")</f>
        <v>M312</v>
      </c>
    </row>
    <row r="103" spans="1:2" ht="12.5" x14ac:dyDescent="0.25">
      <c r="A103" t="str">
        <f ca="1">IFERROR(__xludf.DUMMYFUNCTION("""COMPUTED_VALUE"""),"Fao - Proposed Sub Area  _31.3")</f>
        <v>Fao - Proposed Sub Area  _31.3</v>
      </c>
      <c r="B103" t="str">
        <f ca="1">IFERROR(__xludf.DUMMYFUNCTION("""COMPUTED_VALUE"""),"M313")</f>
        <v>M313</v>
      </c>
    </row>
    <row r="104" spans="1:2" ht="12.5" x14ac:dyDescent="0.25">
      <c r="A104" t="str">
        <f ca="1">IFERROR(__xludf.DUMMYFUNCTION("""COMPUTED_VALUE"""),"Fao - Proposed Sub Area  _31.4")</f>
        <v>Fao - Proposed Sub Area  _31.4</v>
      </c>
      <c r="B104" t="str">
        <f ca="1">IFERROR(__xludf.DUMMYFUNCTION("""COMPUTED_VALUE"""),"M314")</f>
        <v>M314</v>
      </c>
    </row>
    <row r="105" spans="1:2" ht="12.5" x14ac:dyDescent="0.25">
      <c r="A105" t="str">
        <f ca="1">IFERROR(__xludf.DUMMYFUNCTION("""COMPUTED_VALUE"""),"Fao - Proposed Sub Area  _31.5")</f>
        <v>Fao - Proposed Sub Area  _31.5</v>
      </c>
      <c r="B105" t="str">
        <f ca="1">IFERROR(__xludf.DUMMYFUNCTION("""COMPUTED_VALUE"""),"M315")</f>
        <v>M315</v>
      </c>
    </row>
    <row r="106" spans="1:2" ht="12.5" x14ac:dyDescent="0.25">
      <c r="A106" t="str">
        <f ca="1">IFERROR(__xludf.DUMMYFUNCTION("""COMPUTED_VALUE"""),"Fao - Proposed Sub Area  _31.6")</f>
        <v>Fao - Proposed Sub Area  _31.6</v>
      </c>
      <c r="B106" t="str">
        <f ca="1">IFERROR(__xludf.DUMMYFUNCTION("""COMPUTED_VALUE"""),"M316")</f>
        <v>M316</v>
      </c>
    </row>
    <row r="107" spans="1:2" ht="12.5" x14ac:dyDescent="0.25">
      <c r="A107" t="str">
        <f ca="1">IFERROR(__xludf.DUMMYFUNCTION("""COMPUTED_VALUE"""),"Fao - Proposed Sub Area  _31.7")</f>
        <v>Fao - Proposed Sub Area  _31.7</v>
      </c>
      <c r="B107" t="str">
        <f ca="1">IFERROR(__xludf.DUMMYFUNCTION("""COMPUTED_VALUE"""),"M317")</f>
        <v>M317</v>
      </c>
    </row>
    <row r="108" spans="1:2" ht="12.5" x14ac:dyDescent="0.25">
      <c r="A108" t="str">
        <f ca="1">IFERROR(__xludf.DUMMYFUNCTION("""COMPUTED_VALUE"""),"Fao - Proposed Sub Area  _31.8")</f>
        <v>Fao - Proposed Sub Area  _31.8</v>
      </c>
      <c r="B108" t="str">
        <f ca="1">IFERROR(__xludf.DUMMYFUNCTION("""COMPUTED_VALUE"""),"M318")</f>
        <v>M318</v>
      </c>
    </row>
    <row r="109" spans="1:2" ht="12.5" x14ac:dyDescent="0.25">
      <c r="A109" t="str">
        <f ca="1">IFERROR(__xludf.DUMMYFUNCTION("""COMPUTED_VALUE"""),"Fao - Proposed Sub Area  _31.9")</f>
        <v>Fao - Proposed Sub Area  _31.9</v>
      </c>
      <c r="B109" t="str">
        <f ca="1">IFERROR(__xludf.DUMMYFUNCTION("""COMPUTED_VALUE"""),"M319")</f>
        <v>M319</v>
      </c>
    </row>
    <row r="110" spans="1:2" ht="12.5" x14ac:dyDescent="0.25">
      <c r="A110" t="str">
        <f ca="1">IFERROR(__xludf.DUMMYFUNCTION("""COMPUTED_VALUE"""),"Fao - Proposed Sub Area  _71.1")</f>
        <v>Fao - Proposed Sub Area  _71.1</v>
      </c>
      <c r="B110" t="str">
        <f ca="1">IFERROR(__xludf.DUMMYFUNCTION("""COMPUTED_VALUE"""),"M711")</f>
        <v>M711</v>
      </c>
    </row>
    <row r="111" spans="1:2" ht="12.5" x14ac:dyDescent="0.25">
      <c r="A111" t="str">
        <f ca="1">IFERROR(__xludf.DUMMYFUNCTION("""COMPUTED_VALUE"""),"Fao - Proposed Sub Area  _71.2")</f>
        <v>Fao - Proposed Sub Area  _71.2</v>
      </c>
      <c r="B111" t="str">
        <f ca="1">IFERROR(__xludf.DUMMYFUNCTION("""COMPUTED_VALUE"""),"M712")</f>
        <v>M712</v>
      </c>
    </row>
    <row r="112" spans="1:2" ht="12.5" x14ac:dyDescent="0.25">
      <c r="A112" t="str">
        <f ca="1">IFERROR(__xludf.DUMMYFUNCTION("""COMPUTED_VALUE"""),"Fao - Proposed Sub Area  _71.3")</f>
        <v>Fao - Proposed Sub Area  _71.3</v>
      </c>
      <c r="B112" t="str">
        <f ca="1">IFERROR(__xludf.DUMMYFUNCTION("""COMPUTED_VALUE"""),"M713")</f>
        <v>M713</v>
      </c>
    </row>
    <row r="113" spans="1:2" ht="12.5" x14ac:dyDescent="0.25">
      <c r="A113" t="str">
        <f ca="1">IFERROR(__xludf.DUMMYFUNCTION("""COMPUTED_VALUE"""),"Fao - Proposed Sub Area  _71.4")</f>
        <v>Fao - Proposed Sub Area  _71.4</v>
      </c>
      <c r="B113" t="str">
        <f ca="1">IFERROR(__xludf.DUMMYFUNCTION("""COMPUTED_VALUE"""),"M714")</f>
        <v>M714</v>
      </c>
    </row>
    <row r="114" spans="1:2" ht="12.5" x14ac:dyDescent="0.25">
      <c r="A114" t="str">
        <f ca="1">IFERROR(__xludf.DUMMYFUNCTION("""COMPUTED_VALUE"""),"Fao - Proposed Sub Area  _71.5")</f>
        <v>Fao - Proposed Sub Area  _71.5</v>
      </c>
      <c r="B114" t="str">
        <f ca="1">IFERROR(__xludf.DUMMYFUNCTION("""COMPUTED_VALUE"""),"M715")</f>
        <v>M715</v>
      </c>
    </row>
    <row r="115" spans="1:2" ht="12.5" x14ac:dyDescent="0.25">
      <c r="A115" t="str">
        <f ca="1">IFERROR(__xludf.DUMMYFUNCTION("""COMPUTED_VALUE"""),"Fao - Proposed Sub Area  _71.6")</f>
        <v>Fao - Proposed Sub Area  _71.6</v>
      </c>
      <c r="B115" t="str">
        <f ca="1">IFERROR(__xludf.DUMMYFUNCTION("""COMPUTED_VALUE"""),"M716")</f>
        <v>M716</v>
      </c>
    </row>
    <row r="116" spans="1:2" ht="12.5" x14ac:dyDescent="0.25">
      <c r="A116" t="str">
        <f ca="1">IFERROR(__xludf.DUMMYFUNCTION("""COMPUTED_VALUE"""),"Fao - Proposed Sub Area  _71.7")</f>
        <v>Fao - Proposed Sub Area  _71.7</v>
      </c>
      <c r="B116" t="str">
        <f ca="1">IFERROR(__xludf.DUMMYFUNCTION("""COMPUTED_VALUE"""),"M717")</f>
        <v>M717</v>
      </c>
    </row>
    <row r="117" spans="1:2" ht="12.5" x14ac:dyDescent="0.25">
      <c r="A117" t="str">
        <f ca="1">IFERROR(__xludf.DUMMYFUNCTION("""COMPUTED_VALUE"""),"Fao - Proposed Sub Area  _71.8")</f>
        <v>Fao - Proposed Sub Area  _71.8</v>
      </c>
      <c r="B117" t="str">
        <f ca="1">IFERROR(__xludf.DUMMYFUNCTION("""COMPUTED_VALUE"""),"M718")</f>
        <v>M718</v>
      </c>
    </row>
    <row r="118" spans="1:2" ht="12.5" x14ac:dyDescent="0.25">
      <c r="A118" t="str">
        <f ca="1">IFERROR(__xludf.DUMMYFUNCTION("""COMPUTED_VALUE"""),"Fao - Proposed Sub Area  _81.1")</f>
        <v>Fao - Proposed Sub Area  _81.1</v>
      </c>
      <c r="B118" t="str">
        <f ca="1">IFERROR(__xludf.DUMMYFUNCTION("""COMPUTED_VALUE"""),"M811")</f>
        <v>M811</v>
      </c>
    </row>
    <row r="119" spans="1:2" ht="12.5" x14ac:dyDescent="0.25">
      <c r="A119" t="str">
        <f ca="1">IFERROR(__xludf.DUMMYFUNCTION("""COMPUTED_VALUE"""),"Fao - Proposed Sub Area  _81.2")</f>
        <v>Fao - Proposed Sub Area  _81.2</v>
      </c>
      <c r="B119" t="str">
        <f ca="1">IFERROR(__xludf.DUMMYFUNCTION("""COMPUTED_VALUE"""),"M812")</f>
        <v>M812</v>
      </c>
    </row>
    <row r="120" spans="1:2" ht="12.5" x14ac:dyDescent="0.25">
      <c r="A120" t="str">
        <f ca="1">IFERROR(__xludf.DUMMYFUNCTION("""COMPUTED_VALUE"""),"Fao - Proposed Sub Area  _81.3")</f>
        <v>Fao - Proposed Sub Area  _81.3</v>
      </c>
      <c r="B120" t="str">
        <f ca="1">IFERROR(__xludf.DUMMYFUNCTION("""COMPUTED_VALUE"""),"M813")</f>
        <v>M813</v>
      </c>
    </row>
    <row r="121" spans="1:2" ht="12.5" x14ac:dyDescent="0.25">
      <c r="A121" t="str">
        <f ca="1">IFERROR(__xludf.DUMMYFUNCTION("""COMPUTED_VALUE"""),"Fao - Proposed Sub Area  _81.4")</f>
        <v>Fao - Proposed Sub Area  _81.4</v>
      </c>
      <c r="B121" t="str">
        <f ca="1">IFERROR(__xludf.DUMMYFUNCTION("""COMPUTED_VALUE"""),"M814")</f>
        <v>M814</v>
      </c>
    </row>
    <row r="122" spans="1:2" ht="12.5" x14ac:dyDescent="0.25">
      <c r="A122" t="str">
        <f ca="1">IFERROR(__xludf.DUMMYFUNCTION("""COMPUTED_VALUE"""),"Fao - Proposed Sub Area  _81.5")</f>
        <v>Fao - Proposed Sub Area  _81.5</v>
      </c>
      <c r="B122" t="str">
        <f ca="1">IFERROR(__xludf.DUMMYFUNCTION("""COMPUTED_VALUE"""),"M815")</f>
        <v>M815</v>
      </c>
    </row>
    <row r="123" spans="1:2" ht="12.5" x14ac:dyDescent="0.25">
      <c r="A123" t="str">
        <f ca="1">IFERROR(__xludf.DUMMYFUNCTION("""COMPUTED_VALUE"""),"Fao - Proposed Sub Area  _81.6")</f>
        <v>Fao - Proposed Sub Area  _81.6</v>
      </c>
      <c r="B123" t="str">
        <f ca="1">IFERROR(__xludf.DUMMYFUNCTION("""COMPUTED_VALUE"""),"M816")</f>
        <v>M816</v>
      </c>
    </row>
    <row r="124" spans="1:2" ht="12.5" x14ac:dyDescent="0.25">
      <c r="A124" t="str">
        <f ca="1">IFERROR(__xludf.DUMMYFUNCTION("""COMPUTED_VALUE"""),"Fao - Proposed Sub Area  _81.7")</f>
        <v>Fao - Proposed Sub Area  _81.7</v>
      </c>
      <c r="B124" t="str">
        <f ca="1">IFERROR(__xludf.DUMMYFUNCTION("""COMPUTED_VALUE"""),"M817")</f>
        <v>M817</v>
      </c>
    </row>
    <row r="125" spans="1:2" ht="12.5" x14ac:dyDescent="0.25">
      <c r="A125" t="str">
        <f ca="1">IFERROR(__xludf.DUMMYFUNCTION("""COMPUTED_VALUE"""),"Fao Division 21.0.A")</f>
        <v>Fao Division 21.0.A</v>
      </c>
      <c r="B125" t="str">
        <f ca="1">IFERROR(__xludf.DUMMYFUNCTION("""COMPUTED_VALUE"""),"M210A")</f>
        <v>M210A</v>
      </c>
    </row>
    <row r="126" spans="1:2" ht="12.5" x14ac:dyDescent="0.25">
      <c r="A126" t="str">
        <f ca="1">IFERROR(__xludf.DUMMYFUNCTION("""COMPUTED_VALUE"""),"Fao Division 21.0.B")</f>
        <v>Fao Division 21.0.B</v>
      </c>
      <c r="B126" t="str">
        <f ca="1">IFERROR(__xludf.DUMMYFUNCTION("""COMPUTED_VALUE"""),"M210B")</f>
        <v>M210B</v>
      </c>
    </row>
    <row r="127" spans="1:2" ht="12.5" x14ac:dyDescent="0.25">
      <c r="A127" t="str">
        <f ca="1">IFERROR(__xludf.DUMMYFUNCTION("""COMPUTED_VALUE"""),"Fao Division 21.1.A")</f>
        <v>Fao Division 21.1.A</v>
      </c>
      <c r="B127" t="str">
        <f ca="1">IFERROR(__xludf.DUMMYFUNCTION("""COMPUTED_VALUE"""),"M211A")</f>
        <v>M211A</v>
      </c>
    </row>
    <row r="128" spans="1:2" ht="12.5" x14ac:dyDescent="0.25">
      <c r="A128" t="str">
        <f ca="1">IFERROR(__xludf.DUMMYFUNCTION("""COMPUTED_VALUE"""),"Fao Division 21.1.B")</f>
        <v>Fao Division 21.1.B</v>
      </c>
      <c r="B128" t="str">
        <f ca="1">IFERROR(__xludf.DUMMYFUNCTION("""COMPUTED_VALUE"""),"M211B")</f>
        <v>M211B</v>
      </c>
    </row>
    <row r="129" spans="1:2" ht="12.5" x14ac:dyDescent="0.25">
      <c r="A129" t="str">
        <f ca="1">IFERROR(__xludf.DUMMYFUNCTION("""COMPUTED_VALUE"""),"Fao Division 21.1.C")</f>
        <v>Fao Division 21.1.C</v>
      </c>
      <c r="B129" t="str">
        <f ca="1">IFERROR(__xludf.DUMMYFUNCTION("""COMPUTED_VALUE"""),"M211C")</f>
        <v>M211C</v>
      </c>
    </row>
    <row r="130" spans="1:2" ht="12.5" x14ac:dyDescent="0.25">
      <c r="A130" t="str">
        <f ca="1">IFERROR(__xludf.DUMMYFUNCTION("""COMPUTED_VALUE"""),"Fao Division 21.1.D")</f>
        <v>Fao Division 21.1.D</v>
      </c>
      <c r="B130" t="str">
        <f ca="1">IFERROR(__xludf.DUMMYFUNCTION("""COMPUTED_VALUE"""),"M211D")</f>
        <v>M211D</v>
      </c>
    </row>
    <row r="131" spans="1:2" ht="12.5" x14ac:dyDescent="0.25">
      <c r="A131" t="str">
        <f ca="1">IFERROR(__xludf.DUMMYFUNCTION("""COMPUTED_VALUE"""),"Fao Division 21.1.E")</f>
        <v>Fao Division 21.1.E</v>
      </c>
      <c r="B131" t="str">
        <f ca="1">IFERROR(__xludf.DUMMYFUNCTION("""COMPUTED_VALUE"""),"M211E")</f>
        <v>M211E</v>
      </c>
    </row>
    <row r="132" spans="1:2" ht="12.5" x14ac:dyDescent="0.25">
      <c r="A132" t="str">
        <f ca="1">IFERROR(__xludf.DUMMYFUNCTION("""COMPUTED_VALUE"""),"Fao Division 21.1.F")</f>
        <v>Fao Division 21.1.F</v>
      </c>
      <c r="B132" t="str">
        <f ca="1">IFERROR(__xludf.DUMMYFUNCTION("""COMPUTED_VALUE"""),"M211F")</f>
        <v>M211F</v>
      </c>
    </row>
    <row r="133" spans="1:2" ht="12.5" x14ac:dyDescent="0.25">
      <c r="A133" t="str">
        <f ca="1">IFERROR(__xludf.DUMMYFUNCTION("""COMPUTED_VALUE"""),"Fao Division 21.2.G")</f>
        <v>Fao Division 21.2.G</v>
      </c>
      <c r="B133" t="str">
        <f ca="1">IFERROR(__xludf.DUMMYFUNCTION("""COMPUTED_VALUE"""),"M212G")</f>
        <v>M212G</v>
      </c>
    </row>
    <row r="134" spans="1:2" ht="12.5" x14ac:dyDescent="0.25">
      <c r="A134" t="str">
        <f ca="1">IFERROR(__xludf.DUMMYFUNCTION("""COMPUTED_VALUE"""),"Fao Division 21.2.H")</f>
        <v>Fao Division 21.2.H</v>
      </c>
      <c r="B134" t="str">
        <f ca="1">IFERROR(__xludf.DUMMYFUNCTION("""COMPUTED_VALUE"""),"M212H")</f>
        <v>M212H</v>
      </c>
    </row>
    <row r="135" spans="1:2" ht="12.5" x14ac:dyDescent="0.25">
      <c r="A135" t="str">
        <f ca="1">IFERROR(__xludf.DUMMYFUNCTION("""COMPUTED_VALUE"""),"Fao Division 21.2.J")</f>
        <v>Fao Division 21.2.J</v>
      </c>
      <c r="B135" t="str">
        <f ca="1">IFERROR(__xludf.DUMMYFUNCTION("""COMPUTED_VALUE"""),"M212J")</f>
        <v>M212J</v>
      </c>
    </row>
    <row r="136" spans="1:2" ht="12.5" x14ac:dyDescent="0.25">
      <c r="A136" t="str">
        <f ca="1">IFERROR(__xludf.DUMMYFUNCTION("""COMPUTED_VALUE"""),"Fao Division 21.3.K")</f>
        <v>Fao Division 21.3.K</v>
      </c>
      <c r="B136" t="str">
        <f ca="1">IFERROR(__xludf.DUMMYFUNCTION("""COMPUTED_VALUE"""),"M213K")</f>
        <v>M213K</v>
      </c>
    </row>
    <row r="137" spans="1:2" ht="12.5" x14ac:dyDescent="0.25">
      <c r="A137" t="str">
        <f ca="1">IFERROR(__xludf.DUMMYFUNCTION("""COMPUTED_VALUE"""),"Fao Division 21.3.L")</f>
        <v>Fao Division 21.3.L</v>
      </c>
      <c r="B137" t="str">
        <f ca="1">IFERROR(__xludf.DUMMYFUNCTION("""COMPUTED_VALUE"""),"M213L")</f>
        <v>M213L</v>
      </c>
    </row>
    <row r="138" spans="1:2" ht="12.5" x14ac:dyDescent="0.25">
      <c r="A138" t="str">
        <f ca="1">IFERROR(__xludf.DUMMYFUNCTION("""COMPUTED_VALUE"""),"Fao Division 21.3.M")</f>
        <v>Fao Division 21.3.M</v>
      </c>
      <c r="B138" t="str">
        <f ca="1">IFERROR(__xludf.DUMMYFUNCTION("""COMPUTED_VALUE"""),"M213M")</f>
        <v>M213M</v>
      </c>
    </row>
    <row r="139" spans="1:2" ht="12.5" x14ac:dyDescent="0.25">
      <c r="A139" t="str">
        <f ca="1">IFERROR(__xludf.DUMMYFUNCTION("""COMPUTED_VALUE"""),"Fao Division 21.3.N")</f>
        <v>Fao Division 21.3.N</v>
      </c>
      <c r="B139" t="str">
        <f ca="1">IFERROR(__xludf.DUMMYFUNCTION("""COMPUTED_VALUE"""),"M213N")</f>
        <v>M213N</v>
      </c>
    </row>
    <row r="140" spans="1:2" ht="12.5" x14ac:dyDescent="0.25">
      <c r="A140" t="str">
        <f ca="1">IFERROR(__xludf.DUMMYFUNCTION("""COMPUTED_VALUE"""),"Fao Division 21.3.O")</f>
        <v>Fao Division 21.3.O</v>
      </c>
      <c r="B140" t="str">
        <f ca="1">IFERROR(__xludf.DUMMYFUNCTION("""COMPUTED_VALUE"""),"M213O")</f>
        <v>M213O</v>
      </c>
    </row>
    <row r="141" spans="1:2" ht="12.5" x14ac:dyDescent="0.25">
      <c r="A141" t="str">
        <f ca="1">IFERROR(__xludf.DUMMYFUNCTION("""COMPUTED_VALUE"""),"Fao Division 21.3.P")</f>
        <v>Fao Division 21.3.P</v>
      </c>
      <c r="B141" t="str">
        <f ca="1">IFERROR(__xludf.DUMMYFUNCTION("""COMPUTED_VALUE"""),"M213P")</f>
        <v>M213P</v>
      </c>
    </row>
    <row r="142" spans="1:2" ht="12.5" x14ac:dyDescent="0.25">
      <c r="A142" t="str">
        <f ca="1">IFERROR(__xludf.DUMMYFUNCTION("""COMPUTED_VALUE"""),"Fao Division 21.4.R")</f>
        <v>Fao Division 21.4.R</v>
      </c>
      <c r="B142" t="str">
        <f ca="1">IFERROR(__xludf.DUMMYFUNCTION("""COMPUTED_VALUE"""),"M214R")</f>
        <v>M214R</v>
      </c>
    </row>
    <row r="143" spans="1:2" ht="12.5" x14ac:dyDescent="0.25">
      <c r="A143" t="str">
        <f ca="1">IFERROR(__xludf.DUMMYFUNCTION("""COMPUTED_VALUE"""),"Fao Division 21.4.S")</f>
        <v>Fao Division 21.4.S</v>
      </c>
      <c r="B143" t="str">
        <f ca="1">IFERROR(__xludf.DUMMYFUNCTION("""COMPUTED_VALUE"""),"M214S")</f>
        <v>M214S</v>
      </c>
    </row>
    <row r="144" spans="1:2" ht="12.5" x14ac:dyDescent="0.25">
      <c r="A144" t="str">
        <f ca="1">IFERROR(__xludf.DUMMYFUNCTION("""COMPUTED_VALUE"""),"Fao Division 21.4.T")</f>
        <v>Fao Division 21.4.T</v>
      </c>
      <c r="B144" t="str">
        <f ca="1">IFERROR(__xludf.DUMMYFUNCTION("""COMPUTED_VALUE"""),"M214T")</f>
        <v>M214T</v>
      </c>
    </row>
    <row r="145" spans="1:2" ht="12.5" x14ac:dyDescent="0.25">
      <c r="A145" t="str">
        <f ca="1">IFERROR(__xludf.DUMMYFUNCTION("""COMPUTED_VALUE"""),"Fao Division 21.4.V")</f>
        <v>Fao Division 21.4.V</v>
      </c>
      <c r="B145" t="str">
        <f ca="1">IFERROR(__xludf.DUMMYFUNCTION("""COMPUTED_VALUE"""),"M214V")</f>
        <v>M214V</v>
      </c>
    </row>
    <row r="146" spans="1:2" ht="12.5" x14ac:dyDescent="0.25">
      <c r="A146" t="str">
        <f ca="1">IFERROR(__xludf.DUMMYFUNCTION("""COMPUTED_VALUE"""),"Fao Division 21.4.W")</f>
        <v>Fao Division 21.4.W</v>
      </c>
      <c r="B146" t="str">
        <f ca="1">IFERROR(__xludf.DUMMYFUNCTION("""COMPUTED_VALUE"""),"M214W")</f>
        <v>M214W</v>
      </c>
    </row>
    <row r="147" spans="1:2" ht="12.5" x14ac:dyDescent="0.25">
      <c r="A147" t="str">
        <f ca="1">IFERROR(__xludf.DUMMYFUNCTION("""COMPUTED_VALUE"""),"Fao Division 21.4.X")</f>
        <v>Fao Division 21.4.X</v>
      </c>
      <c r="B147" t="str">
        <f ca="1">IFERROR(__xludf.DUMMYFUNCTION("""COMPUTED_VALUE"""),"M214X")</f>
        <v>M214X</v>
      </c>
    </row>
    <row r="148" spans="1:2" ht="12.5" x14ac:dyDescent="0.25">
      <c r="A148" t="str">
        <f ca="1">IFERROR(__xludf.DUMMYFUNCTION("""COMPUTED_VALUE"""),"Fao Division 21.5.Y")</f>
        <v>Fao Division 21.5.Y</v>
      </c>
      <c r="B148" t="str">
        <f ca="1">IFERROR(__xludf.DUMMYFUNCTION("""COMPUTED_VALUE"""),"M215Y")</f>
        <v>M215Y</v>
      </c>
    </row>
    <row r="149" spans="1:2" ht="12.5" x14ac:dyDescent="0.25">
      <c r="A149" t="str">
        <f ca="1">IFERROR(__xludf.DUMMYFUNCTION("""COMPUTED_VALUE"""),"Fao Division 21.5.Z")</f>
        <v>Fao Division 21.5.Z</v>
      </c>
      <c r="B149" t="str">
        <f ca="1">IFERROR(__xludf.DUMMYFUNCTION("""COMPUTED_VALUE"""),"M215Z")</f>
        <v>M215Z</v>
      </c>
    </row>
    <row r="150" spans="1:2" ht="12.5" x14ac:dyDescent="0.25">
      <c r="A150" t="str">
        <f ca="1">IFERROR(__xludf.DUMMYFUNCTION("""COMPUTED_VALUE"""),"Fao Division 21.6.A")</f>
        <v>Fao Division 21.6.A</v>
      </c>
      <c r="B150" t="str">
        <f ca="1">IFERROR(__xludf.DUMMYFUNCTION("""COMPUTED_VALUE"""),"M216A")</f>
        <v>M216A</v>
      </c>
    </row>
    <row r="151" spans="1:2" ht="12.5" x14ac:dyDescent="0.25">
      <c r="A151" t="str">
        <f ca="1">IFERROR(__xludf.DUMMYFUNCTION("""COMPUTED_VALUE"""),"Fao Division 21.6.B")</f>
        <v>Fao Division 21.6.B</v>
      </c>
      <c r="B151" t="str">
        <f ca="1">IFERROR(__xludf.DUMMYFUNCTION("""COMPUTED_VALUE"""),"M216B")</f>
        <v>M216B</v>
      </c>
    </row>
    <row r="152" spans="1:2" ht="12.5" x14ac:dyDescent="0.25">
      <c r="A152" t="str">
        <f ca="1">IFERROR(__xludf.DUMMYFUNCTION("""COMPUTED_VALUE"""),"Fao Division 21.6.C")</f>
        <v>Fao Division 21.6.C</v>
      </c>
      <c r="B152" t="str">
        <f ca="1">IFERROR(__xludf.DUMMYFUNCTION("""COMPUTED_VALUE"""),"M216C")</f>
        <v>M216C</v>
      </c>
    </row>
    <row r="153" spans="1:2" ht="12.5" x14ac:dyDescent="0.25">
      <c r="A153" t="str">
        <f ca="1">IFERROR(__xludf.DUMMYFUNCTION("""COMPUTED_VALUE"""),"Fao Division 21.6.D")</f>
        <v>Fao Division 21.6.D</v>
      </c>
      <c r="B153" t="str">
        <f ca="1">IFERROR(__xludf.DUMMYFUNCTION("""COMPUTED_VALUE"""),"M216D")</f>
        <v>M216D</v>
      </c>
    </row>
    <row r="154" spans="1:2" ht="12.5" x14ac:dyDescent="0.25">
      <c r="A154" t="str">
        <f ca="1">IFERROR(__xludf.DUMMYFUNCTION("""COMPUTED_VALUE"""),"Fao Division 21.6.E")</f>
        <v>Fao Division 21.6.E</v>
      </c>
      <c r="B154" t="str">
        <f ca="1">IFERROR(__xludf.DUMMYFUNCTION("""COMPUTED_VALUE"""),"M216E")</f>
        <v>M216E</v>
      </c>
    </row>
    <row r="155" spans="1:2" ht="12.5" x14ac:dyDescent="0.25">
      <c r="A155" t="str">
        <f ca="1">IFERROR(__xludf.DUMMYFUNCTION("""COMPUTED_VALUE"""),"Fao Division 21.6.F")</f>
        <v>Fao Division 21.6.F</v>
      </c>
      <c r="B155" t="str">
        <f ca="1">IFERROR(__xludf.DUMMYFUNCTION("""COMPUTED_VALUE"""),"M216F")</f>
        <v>M216F</v>
      </c>
    </row>
    <row r="156" spans="1:2" ht="12.5" x14ac:dyDescent="0.25">
      <c r="A156" t="str">
        <f ca="1">IFERROR(__xludf.DUMMYFUNCTION("""COMPUTED_VALUE"""),"Fao Division 21.6.G")</f>
        <v>Fao Division 21.6.G</v>
      </c>
      <c r="B156" t="str">
        <f ca="1">IFERROR(__xludf.DUMMYFUNCTION("""COMPUTED_VALUE"""),"M216G")</f>
        <v>M216G</v>
      </c>
    </row>
    <row r="157" spans="1:2" ht="12.5" x14ac:dyDescent="0.25">
      <c r="A157" t="str">
        <f ca="1">IFERROR(__xludf.DUMMYFUNCTION("""COMPUTED_VALUE"""),"Fao Division 21.6.H")</f>
        <v>Fao Division 21.6.H</v>
      </c>
      <c r="B157" t="str">
        <f ca="1">IFERROR(__xludf.DUMMYFUNCTION("""COMPUTED_VALUE"""),"M216H")</f>
        <v>M216H</v>
      </c>
    </row>
    <row r="158" spans="1:2" ht="12.5" x14ac:dyDescent="0.25">
      <c r="A158" t="str">
        <f ca="1">IFERROR(__xludf.DUMMYFUNCTION("""COMPUTED_VALUE"""),"Fao Division 27.Iii.D")</f>
        <v>Fao Division 27.Iii.D</v>
      </c>
      <c r="B158" t="str">
        <f ca="1">IFERROR(__xludf.DUMMYFUNCTION("""COMPUTED_VALUE"""),"M27IIId")</f>
        <v>M27IIId</v>
      </c>
    </row>
    <row r="159" spans="1:2" ht="12.5" x14ac:dyDescent="0.25">
      <c r="A159" t="str">
        <f ca="1">IFERROR(__xludf.DUMMYFUNCTION("""COMPUTED_VALUE"""),"Fao Division 71.6.1")</f>
        <v>Fao Division 71.6.1</v>
      </c>
      <c r="B159" t="str">
        <f ca="1">IFERROR(__xludf.DUMMYFUNCTION("""COMPUTED_VALUE"""),"M7161")</f>
        <v>M7161</v>
      </c>
    </row>
    <row r="160" spans="1:2" ht="12.5" x14ac:dyDescent="0.25">
      <c r="A160" t="str">
        <f ca="1">IFERROR(__xludf.DUMMYFUNCTION("""COMPUTED_VALUE"""),"Fao Division 71.6.2")</f>
        <v>Fao Division 71.6.2</v>
      </c>
      <c r="B160" t="str">
        <f ca="1">IFERROR(__xludf.DUMMYFUNCTION("""COMPUTED_VALUE"""),"M7162")</f>
        <v>M7162</v>
      </c>
    </row>
    <row r="161" spans="1:2" ht="12.5" x14ac:dyDescent="0.25">
      <c r="A161" t="str">
        <f ca="1">IFERROR(__xludf.DUMMYFUNCTION("""COMPUTED_VALUE"""),"Fao Sub Area 21.0")</f>
        <v>Fao Sub Area 21.0</v>
      </c>
      <c r="B161" t="str">
        <f ca="1">IFERROR(__xludf.DUMMYFUNCTION("""COMPUTED_VALUE"""),"M210")</f>
        <v>M210</v>
      </c>
    </row>
    <row r="162" spans="1:2" ht="12.5" x14ac:dyDescent="0.25">
      <c r="A162" t="str">
        <f ca="1">IFERROR(__xludf.DUMMYFUNCTION("""COMPUTED_VALUE"""),"Fao Sub Area 21.1")</f>
        <v>Fao Sub Area 21.1</v>
      </c>
      <c r="B162" t="str">
        <f ca="1">IFERROR(__xludf.DUMMYFUNCTION("""COMPUTED_VALUE"""),"M211")</f>
        <v>M211</v>
      </c>
    </row>
    <row r="163" spans="1:2" ht="12.5" x14ac:dyDescent="0.25">
      <c r="A163" t="str">
        <f ca="1">IFERROR(__xludf.DUMMYFUNCTION("""COMPUTED_VALUE"""),"Fao Sub Area 21.2")</f>
        <v>Fao Sub Area 21.2</v>
      </c>
      <c r="B163" t="str">
        <f ca="1">IFERROR(__xludf.DUMMYFUNCTION("""COMPUTED_VALUE"""),"M212")</f>
        <v>M212</v>
      </c>
    </row>
    <row r="164" spans="1:2" ht="12.5" x14ac:dyDescent="0.25">
      <c r="A164" t="str">
        <f ca="1">IFERROR(__xludf.DUMMYFUNCTION("""COMPUTED_VALUE"""),"Fao Sub Area 21.3")</f>
        <v>Fao Sub Area 21.3</v>
      </c>
      <c r="B164" t="str">
        <f ca="1">IFERROR(__xludf.DUMMYFUNCTION("""COMPUTED_VALUE"""),"M213")</f>
        <v>M213</v>
      </c>
    </row>
    <row r="165" spans="1:2" ht="12.5" x14ac:dyDescent="0.25">
      <c r="A165" t="str">
        <f ca="1">IFERROR(__xludf.DUMMYFUNCTION("""COMPUTED_VALUE"""),"Fao Sub Area 21.4")</f>
        <v>Fao Sub Area 21.4</v>
      </c>
      <c r="B165" t="str">
        <f ca="1">IFERROR(__xludf.DUMMYFUNCTION("""COMPUTED_VALUE"""),"M214")</f>
        <v>M214</v>
      </c>
    </row>
    <row r="166" spans="1:2" ht="12.5" x14ac:dyDescent="0.25">
      <c r="A166" t="str">
        <f ca="1">IFERROR(__xludf.DUMMYFUNCTION("""COMPUTED_VALUE"""),"Fao Sub Area 21.5")</f>
        <v>Fao Sub Area 21.5</v>
      </c>
      <c r="B166" t="str">
        <f ca="1">IFERROR(__xludf.DUMMYFUNCTION("""COMPUTED_VALUE"""),"M215")</f>
        <v>M215</v>
      </c>
    </row>
    <row r="167" spans="1:2" ht="12.5" x14ac:dyDescent="0.25">
      <c r="A167" t="str">
        <f ca="1">IFERROR(__xludf.DUMMYFUNCTION("""COMPUTED_VALUE"""),"Fao Sub Area 21.6")</f>
        <v>Fao Sub Area 21.6</v>
      </c>
      <c r="B167" t="str">
        <f ca="1">IFERROR(__xludf.DUMMYFUNCTION("""COMPUTED_VALUE"""),"M216")</f>
        <v>M216</v>
      </c>
    </row>
    <row r="168" spans="1:2" ht="12.5" x14ac:dyDescent="0.25">
      <c r="A168" t="str">
        <f ca="1">IFERROR(__xludf.DUMMYFUNCTION("""COMPUTED_VALUE"""),"Fao Sub Area 27.Vii")</f>
        <v>Fao Sub Area 27.Vii</v>
      </c>
      <c r="B168" t="str">
        <f ca="1">IFERROR(__xludf.DUMMYFUNCTION("""COMPUTED_VALUE"""),"M27VII")</f>
        <v>M27VII</v>
      </c>
    </row>
    <row r="169" spans="1:2" ht="12.5" x14ac:dyDescent="0.25">
      <c r="A169" t="str">
        <f ca="1">IFERROR(__xludf.DUMMYFUNCTION("""COMPUTED_VALUE"""),"Fao Sub Area 47.1")</f>
        <v>Fao Sub Area 47.1</v>
      </c>
      <c r="B169" t="str">
        <f ca="1">IFERROR(__xludf.DUMMYFUNCTION("""COMPUTED_VALUE"""),"M471")</f>
        <v>M471</v>
      </c>
    </row>
    <row r="170" spans="1:2" ht="12.5" x14ac:dyDescent="0.25">
      <c r="A170" t="str">
        <f ca="1">IFERROR(__xludf.DUMMYFUNCTION("""COMPUTED_VALUE"""),"Fao Sub Area 47.2")</f>
        <v>Fao Sub Area 47.2</v>
      </c>
      <c r="B170" t="str">
        <f ca="1">IFERROR(__xludf.DUMMYFUNCTION("""COMPUTED_VALUE"""),"M472")</f>
        <v>M472</v>
      </c>
    </row>
    <row r="171" spans="1:2" ht="12.5" x14ac:dyDescent="0.25">
      <c r="A171" t="str">
        <f ca="1">IFERROR(__xludf.DUMMYFUNCTION("""COMPUTED_VALUE"""),"Fao Sub Area 47.A")</f>
        <v>Fao Sub Area 47.A</v>
      </c>
      <c r="B171" t="str">
        <f ca="1">IFERROR(__xludf.DUMMYFUNCTION("""COMPUTED_VALUE"""),"M47A")</f>
        <v>M47A</v>
      </c>
    </row>
    <row r="172" spans="1:2" ht="12.5" x14ac:dyDescent="0.25">
      <c r="A172" t="str">
        <f ca="1">IFERROR(__xludf.DUMMYFUNCTION("""COMPUTED_VALUE"""),"Fao Sub Area 47.B")</f>
        <v>Fao Sub Area 47.B</v>
      </c>
      <c r="B172" t="str">
        <f ca="1">IFERROR(__xludf.DUMMYFUNCTION("""COMPUTED_VALUE"""),"M47B")</f>
        <v>M47B</v>
      </c>
    </row>
    <row r="173" spans="1:2" ht="12.5" x14ac:dyDescent="0.25">
      <c r="A173" t="str">
        <f ca="1">IFERROR(__xludf.DUMMYFUNCTION("""COMPUTED_VALUE"""),"Fao Sub Area 47.C")</f>
        <v>Fao Sub Area 47.C</v>
      </c>
      <c r="B173" t="str">
        <f ca="1">IFERROR(__xludf.DUMMYFUNCTION("""COMPUTED_VALUE"""),"M47C")</f>
        <v>M47C</v>
      </c>
    </row>
    <row r="174" spans="1:2" ht="12.5" x14ac:dyDescent="0.25">
      <c r="A174" t="str">
        <f ca="1">IFERROR(__xludf.DUMMYFUNCTION("""COMPUTED_VALUE"""),"Fao Sub Area 47.D")</f>
        <v>Fao Sub Area 47.D</v>
      </c>
      <c r="B174" t="str">
        <f ca="1">IFERROR(__xludf.DUMMYFUNCTION("""COMPUTED_VALUE"""),"M47D")</f>
        <v>M47D</v>
      </c>
    </row>
    <row r="175" spans="1:2" ht="12.5" x14ac:dyDescent="0.25">
      <c r="A175" t="str">
        <f ca="1">IFERROR(__xludf.DUMMYFUNCTION("""COMPUTED_VALUE"""),"Fao Sub Division 34.1.11")</f>
        <v>Fao Sub Division 34.1.11</v>
      </c>
      <c r="B175" t="str">
        <f ca="1">IFERROR(__xludf.DUMMYFUNCTION("""COMPUTED_VALUE"""),"M34111")</f>
        <v>M34111</v>
      </c>
    </row>
    <row r="176" spans="1:2" ht="12.5" x14ac:dyDescent="0.25">
      <c r="A176" t="str">
        <f ca="1">IFERROR(__xludf.DUMMYFUNCTION("""COMPUTED_VALUE"""),"Fao Sub Division 34.1.12")</f>
        <v>Fao Sub Division 34.1.12</v>
      </c>
      <c r="B176" t="str">
        <f ca="1">IFERROR(__xludf.DUMMYFUNCTION("""COMPUTED_VALUE"""),"M34112")</f>
        <v>M34112</v>
      </c>
    </row>
    <row r="177" spans="1:2" ht="12.5" x14ac:dyDescent="0.25">
      <c r="A177" t="str">
        <f ca="1">IFERROR(__xludf.DUMMYFUNCTION("""COMPUTED_VALUE"""),"Fao Sub Division 34.1.13")</f>
        <v>Fao Sub Division 34.1.13</v>
      </c>
      <c r="B177" t="str">
        <f ca="1">IFERROR(__xludf.DUMMYFUNCTION("""COMPUTED_VALUE"""),"M34113")</f>
        <v>M34113</v>
      </c>
    </row>
    <row r="178" spans="1:2" ht="12.5" x14ac:dyDescent="0.25">
      <c r="A178" t="str">
        <f ca="1">IFERROR(__xludf.DUMMYFUNCTION("""COMPUTED_VALUE"""),"Fao Sub Division 34.1.31")</f>
        <v>Fao Sub Division 34.1.31</v>
      </c>
      <c r="B178" t="str">
        <f ca="1">IFERROR(__xludf.DUMMYFUNCTION("""COMPUTED_VALUE"""),"M34131")</f>
        <v>M34131</v>
      </c>
    </row>
    <row r="179" spans="1:2" ht="12.5" x14ac:dyDescent="0.25">
      <c r="A179" t="str">
        <f ca="1">IFERROR(__xludf.DUMMYFUNCTION("""COMPUTED_VALUE"""),"Fao Sub Division 34.1.32")</f>
        <v>Fao Sub Division 34.1.32</v>
      </c>
      <c r="B179" t="str">
        <f ca="1">IFERROR(__xludf.DUMMYFUNCTION("""COMPUTED_VALUE"""),"M34132")</f>
        <v>M34132</v>
      </c>
    </row>
    <row r="180" spans="1:2" ht="12.5" x14ac:dyDescent="0.25">
      <c r="A180" t="str">
        <f ca="1">IFERROR(__xludf.DUMMYFUNCTION("""COMPUTED_VALUE"""),"Fao Sub Division 34.3.11")</f>
        <v>Fao Sub Division 34.3.11</v>
      </c>
      <c r="B180" t="str">
        <f ca="1">IFERROR(__xludf.DUMMYFUNCTION("""COMPUTED_VALUE"""),"M34311")</f>
        <v>M34311</v>
      </c>
    </row>
    <row r="181" spans="1:2" ht="12.5" x14ac:dyDescent="0.25">
      <c r="A181" t="str">
        <f ca="1">IFERROR(__xludf.DUMMYFUNCTION("""COMPUTED_VALUE"""),"Fao Sub Division 34.3.12")</f>
        <v>Fao Sub Division 34.3.12</v>
      </c>
      <c r="B181" t="str">
        <f ca="1">IFERROR(__xludf.DUMMYFUNCTION("""COMPUTED_VALUE"""),"M34312")</f>
        <v>M34312</v>
      </c>
    </row>
    <row r="182" spans="1:2" ht="12.5" x14ac:dyDescent="0.25">
      <c r="A182" t="str">
        <f ca="1">IFERROR(__xludf.DUMMYFUNCTION("""COMPUTED_VALUE"""),"Fao Sub Division 34.3.13")</f>
        <v>Fao Sub Division 34.3.13</v>
      </c>
      <c r="B182" t="str">
        <f ca="1">IFERROR(__xludf.DUMMYFUNCTION("""COMPUTED_VALUE"""),"M34313")</f>
        <v>M34313</v>
      </c>
    </row>
    <row r="183" spans="1:2" ht="12.5" x14ac:dyDescent="0.25">
      <c r="A183" t="str">
        <f ca="1">IFERROR(__xludf.DUMMYFUNCTION("""COMPUTED_VALUE"""),"Fao Sub Division 58.4.3.A")</f>
        <v>Fao Sub Division 58.4.3.A</v>
      </c>
      <c r="B183" t="str">
        <f ca="1">IFERROR(__xludf.DUMMYFUNCTION("""COMPUTED_VALUE"""),"M5843a")</f>
        <v>M5843a</v>
      </c>
    </row>
    <row r="184" spans="1:2" ht="12.5" x14ac:dyDescent="0.25">
      <c r="A184" t="str">
        <f ca="1">IFERROR(__xludf.DUMMYFUNCTION("""COMPUTED_VALUE"""),"Fao Sub Division 58.4.3.B")</f>
        <v>Fao Sub Division 58.4.3.B</v>
      </c>
      <c r="B184" t="str">
        <f ca="1">IFERROR(__xludf.DUMMYFUNCTION("""COMPUTED_VALUE"""),"M5843b")</f>
        <v>M5843b</v>
      </c>
    </row>
    <row r="185" spans="1:2" ht="12.5" x14ac:dyDescent="0.25">
      <c r="A185" t="str">
        <f ca="1">IFERROR(__xludf.DUMMYFUNCTION("""COMPUTED_VALUE"""),"Fao Sub Division 87.1.11")</f>
        <v>Fao Sub Division 87.1.11</v>
      </c>
      <c r="B185" t="str">
        <f ca="1">IFERROR(__xludf.DUMMYFUNCTION("""COMPUTED_VALUE"""),"M87111")</f>
        <v>M87111</v>
      </c>
    </row>
    <row r="186" spans="1:2" ht="12.5" x14ac:dyDescent="0.25">
      <c r="A186" t="str">
        <f ca="1">IFERROR(__xludf.DUMMYFUNCTION("""COMPUTED_VALUE"""),"Fao Sub Division 87.1.12")</f>
        <v>Fao Sub Division 87.1.12</v>
      </c>
      <c r="B186" t="str">
        <f ca="1">IFERROR(__xludf.DUMMYFUNCTION("""COMPUTED_VALUE"""),"M87112")</f>
        <v>M87112</v>
      </c>
    </row>
    <row r="187" spans="1:2" ht="12.5" x14ac:dyDescent="0.25">
      <c r="A187" t="str">
        <f ca="1">IFERROR(__xludf.DUMMYFUNCTION("""COMPUTED_VALUE"""),"Fao Sub Division 87.1.13")</f>
        <v>Fao Sub Division 87.1.13</v>
      </c>
      <c r="B187" t="str">
        <f ca="1">IFERROR(__xludf.DUMMYFUNCTION("""COMPUTED_VALUE"""),"M87113")</f>
        <v>M87113</v>
      </c>
    </row>
    <row r="188" spans="1:2" ht="12.5" x14ac:dyDescent="0.25">
      <c r="A188" t="str">
        <f ca="1">IFERROR(__xludf.DUMMYFUNCTION("""COMPUTED_VALUE"""),"Fao Sub Division 87.1.14")</f>
        <v>Fao Sub Division 87.1.14</v>
      </c>
      <c r="B188" t="str">
        <f ca="1">IFERROR(__xludf.DUMMYFUNCTION("""COMPUTED_VALUE"""),"M87114")</f>
        <v>M87114</v>
      </c>
    </row>
    <row r="189" spans="1:2" ht="12.5" x14ac:dyDescent="0.25">
      <c r="A189" t="str">
        <f ca="1">IFERROR(__xludf.DUMMYFUNCTION("""COMPUTED_VALUE"""),"Fao Sub Division 87.1.15")</f>
        <v>Fao Sub Division 87.1.15</v>
      </c>
      <c r="B189" t="str">
        <f ca="1">IFERROR(__xludf.DUMMYFUNCTION("""COMPUTED_VALUE"""),"M87115")</f>
        <v>M87115</v>
      </c>
    </row>
    <row r="190" spans="1:2" ht="12.5" x14ac:dyDescent="0.25">
      <c r="A190" t="str">
        <f ca="1">IFERROR(__xludf.DUMMYFUNCTION("""COMPUTED_VALUE"""),"Fao Sub Division 87.1.21")</f>
        <v>Fao Sub Division 87.1.21</v>
      </c>
      <c r="B190" t="str">
        <f ca="1">IFERROR(__xludf.DUMMYFUNCTION("""COMPUTED_VALUE"""),"M87121")</f>
        <v>M87121</v>
      </c>
    </row>
    <row r="191" spans="1:2" ht="12.5" x14ac:dyDescent="0.25">
      <c r="A191" t="str">
        <f ca="1">IFERROR(__xludf.DUMMYFUNCTION("""COMPUTED_VALUE"""),"Fao Sub Division 87.1.22")</f>
        <v>Fao Sub Division 87.1.22</v>
      </c>
      <c r="B191" t="str">
        <f ca="1">IFERROR(__xludf.DUMMYFUNCTION("""COMPUTED_VALUE"""),"M87122")</f>
        <v>M87122</v>
      </c>
    </row>
    <row r="192" spans="1:2" ht="12.5" x14ac:dyDescent="0.25">
      <c r="A192" t="str">
        <f ca="1">IFERROR(__xludf.DUMMYFUNCTION("""COMPUTED_VALUE"""),"Fao Sub Division 87.1.23")</f>
        <v>Fao Sub Division 87.1.23</v>
      </c>
      <c r="B192" t="str">
        <f ca="1">IFERROR(__xludf.DUMMYFUNCTION("""COMPUTED_VALUE"""),"M87123")</f>
        <v>M87123</v>
      </c>
    </row>
    <row r="193" spans="1:2" ht="12.5" x14ac:dyDescent="0.25">
      <c r="A193" t="str">
        <f ca="1">IFERROR(__xludf.DUMMYFUNCTION("""COMPUTED_VALUE"""),"Fao Sub Division 87.1.24")</f>
        <v>Fao Sub Division 87.1.24</v>
      </c>
      <c r="B193" t="str">
        <f ca="1">IFERROR(__xludf.DUMMYFUNCTION("""COMPUTED_VALUE"""),"M87124")</f>
        <v>M87124</v>
      </c>
    </row>
    <row r="194" spans="1:2" ht="12.5" x14ac:dyDescent="0.25">
      <c r="A194" t="str">
        <f ca="1">IFERROR(__xludf.DUMMYFUNCTION("""COMPUTED_VALUE"""),"Fao Sub Division 87.1.25")</f>
        <v>Fao Sub Division 87.1.25</v>
      </c>
      <c r="B194" t="str">
        <f ca="1">IFERROR(__xludf.DUMMYFUNCTION("""COMPUTED_VALUE"""),"M87125")</f>
        <v>M87125</v>
      </c>
    </row>
    <row r="195" spans="1:2" ht="12.5" x14ac:dyDescent="0.25">
      <c r="A195" t="str">
        <f ca="1">IFERROR(__xludf.DUMMYFUNCTION("""COMPUTED_VALUE"""),"Fao Sub Division 87.2.11")</f>
        <v>Fao Sub Division 87.2.11</v>
      </c>
      <c r="B195" t="str">
        <f ca="1">IFERROR(__xludf.DUMMYFUNCTION("""COMPUTED_VALUE"""),"M87211")</f>
        <v>M87211</v>
      </c>
    </row>
    <row r="196" spans="1:2" ht="12.5" x14ac:dyDescent="0.25">
      <c r="A196" t="str">
        <f ca="1">IFERROR(__xludf.DUMMYFUNCTION("""COMPUTED_VALUE"""),"Fao Sub Division 87.2.12")</f>
        <v>Fao Sub Division 87.2.12</v>
      </c>
      <c r="B196" t="str">
        <f ca="1">IFERROR(__xludf.DUMMYFUNCTION("""COMPUTED_VALUE"""),"M87212")</f>
        <v>M87212</v>
      </c>
    </row>
    <row r="197" spans="1:2" ht="12.5" x14ac:dyDescent="0.25">
      <c r="A197" t="str">
        <f ca="1">IFERROR(__xludf.DUMMYFUNCTION("""COMPUTED_VALUE"""),"Fao Sub Division 87.2.13")</f>
        <v>Fao Sub Division 87.2.13</v>
      </c>
      <c r="B197" t="str">
        <f ca="1">IFERROR(__xludf.DUMMYFUNCTION("""COMPUTED_VALUE"""),"M87213")</f>
        <v>M87213</v>
      </c>
    </row>
    <row r="198" spans="1:2" ht="12.5" x14ac:dyDescent="0.25">
      <c r="A198" t="str">
        <f ca="1">IFERROR(__xludf.DUMMYFUNCTION("""COMPUTED_VALUE"""),"Fao Sub Division 87.2.14")</f>
        <v>Fao Sub Division 87.2.14</v>
      </c>
      <c r="B198" t="str">
        <f ca="1">IFERROR(__xludf.DUMMYFUNCTION("""COMPUTED_VALUE"""),"M87214")</f>
        <v>M87214</v>
      </c>
    </row>
    <row r="199" spans="1:2" ht="12.5" x14ac:dyDescent="0.25">
      <c r="A199" t="str">
        <f ca="1">IFERROR(__xludf.DUMMYFUNCTION("""COMPUTED_VALUE"""),"Fao Sub Division 87.2.15")</f>
        <v>Fao Sub Division 87.2.15</v>
      </c>
      <c r="B199" t="str">
        <f ca="1">IFERROR(__xludf.DUMMYFUNCTION("""COMPUTED_VALUE"""),"M87215")</f>
        <v>M87215</v>
      </c>
    </row>
    <row r="200" spans="1:2" ht="12.5" x14ac:dyDescent="0.25">
      <c r="A200" t="str">
        <f ca="1">IFERROR(__xludf.DUMMYFUNCTION("""COMPUTED_VALUE"""),"Fao Sub Division 87.2.16")</f>
        <v>Fao Sub Division 87.2.16</v>
      </c>
      <c r="B200" t="str">
        <f ca="1">IFERROR(__xludf.DUMMYFUNCTION("""COMPUTED_VALUE"""),"M87216")</f>
        <v>M87216</v>
      </c>
    </row>
    <row r="201" spans="1:2" ht="12.5" x14ac:dyDescent="0.25">
      <c r="A201" t="str">
        <f ca="1">IFERROR(__xludf.DUMMYFUNCTION("""COMPUTED_VALUE"""),"Fao Sub Division 87.2.17")</f>
        <v>Fao Sub Division 87.2.17</v>
      </c>
      <c r="B201" t="str">
        <f ca="1">IFERROR(__xludf.DUMMYFUNCTION("""COMPUTED_VALUE"""),"M87217")</f>
        <v>M87217</v>
      </c>
    </row>
    <row r="202" spans="1:2" ht="12.5" x14ac:dyDescent="0.25">
      <c r="A202" t="str">
        <f ca="1">IFERROR(__xludf.DUMMYFUNCTION("""COMPUTED_VALUE"""),"Fao Sub Division 87.2.21")</f>
        <v>Fao Sub Division 87.2.21</v>
      </c>
      <c r="B202" t="str">
        <f ca="1">IFERROR(__xludf.DUMMYFUNCTION("""COMPUTED_VALUE"""),"M87221")</f>
        <v>M87221</v>
      </c>
    </row>
    <row r="203" spans="1:2" ht="12.5" x14ac:dyDescent="0.25">
      <c r="A203" t="str">
        <f ca="1">IFERROR(__xludf.DUMMYFUNCTION("""COMPUTED_VALUE"""),"Fao Sub Division 87.2.22")</f>
        <v>Fao Sub Division 87.2.22</v>
      </c>
      <c r="B203" t="str">
        <f ca="1">IFERROR(__xludf.DUMMYFUNCTION("""COMPUTED_VALUE"""),"M87222")</f>
        <v>M87222</v>
      </c>
    </row>
    <row r="204" spans="1:2" ht="12.5" x14ac:dyDescent="0.25">
      <c r="A204" t="str">
        <f ca="1">IFERROR(__xludf.DUMMYFUNCTION("""COMPUTED_VALUE"""),"Fao Sub Division 87.2.23")</f>
        <v>Fao Sub Division 87.2.23</v>
      </c>
      <c r="B204" t="str">
        <f ca="1">IFERROR(__xludf.DUMMYFUNCTION("""COMPUTED_VALUE"""),"M87223")</f>
        <v>M87223</v>
      </c>
    </row>
    <row r="205" spans="1:2" ht="12.5" x14ac:dyDescent="0.25">
      <c r="A205" t="str">
        <f ca="1">IFERROR(__xludf.DUMMYFUNCTION("""COMPUTED_VALUE"""),"Fao Sub Division 87.2.24")</f>
        <v>Fao Sub Division 87.2.24</v>
      </c>
      <c r="B205" t="str">
        <f ca="1">IFERROR(__xludf.DUMMYFUNCTION("""COMPUTED_VALUE"""),"M87224")</f>
        <v>M87224</v>
      </c>
    </row>
    <row r="206" spans="1:2" ht="12.5" x14ac:dyDescent="0.25">
      <c r="A206" t="str">
        <f ca="1">IFERROR(__xludf.DUMMYFUNCTION("""COMPUTED_VALUE"""),"Fao Sub Division 87.2.25")</f>
        <v>Fao Sub Division 87.2.25</v>
      </c>
      <c r="B206" t="str">
        <f ca="1">IFERROR(__xludf.DUMMYFUNCTION("""COMPUTED_VALUE"""),"M87225")</f>
        <v>M87225</v>
      </c>
    </row>
    <row r="207" spans="1:2" ht="12.5" x14ac:dyDescent="0.25">
      <c r="A207" t="str">
        <f ca="1">IFERROR(__xludf.DUMMYFUNCTION("""COMPUTED_VALUE"""),"Fao Sub Division 87.2.26")</f>
        <v>Fao Sub Division 87.2.26</v>
      </c>
      <c r="B207" t="str">
        <f ca="1">IFERROR(__xludf.DUMMYFUNCTION("""COMPUTED_VALUE"""),"M87226")</f>
        <v>M87226</v>
      </c>
    </row>
    <row r="208" spans="1:2" ht="12.5" x14ac:dyDescent="0.25">
      <c r="A208" t="str">
        <f ca="1">IFERROR(__xludf.DUMMYFUNCTION("""COMPUTED_VALUE"""),"Fao Sub Division 87.2.27")</f>
        <v>Fao Sub Division 87.2.27</v>
      </c>
      <c r="B208" t="str">
        <f ca="1">IFERROR(__xludf.DUMMYFUNCTION("""COMPUTED_VALUE"""),"M87227")</f>
        <v>M87227</v>
      </c>
    </row>
    <row r="209" spans="1:2" ht="12.5" x14ac:dyDescent="0.25">
      <c r="A209" t="str">
        <f ca="1">IFERROR(__xludf.DUMMYFUNCTION("""COMPUTED_VALUE"""),"Fao Sub Division 87.3.11")</f>
        <v>Fao Sub Division 87.3.11</v>
      </c>
      <c r="B209" t="str">
        <f ca="1">IFERROR(__xludf.DUMMYFUNCTION("""COMPUTED_VALUE"""),"M87311")</f>
        <v>M87311</v>
      </c>
    </row>
    <row r="210" spans="1:2" ht="12.5" x14ac:dyDescent="0.25">
      <c r="A210" t="str">
        <f ca="1">IFERROR(__xludf.DUMMYFUNCTION("""COMPUTED_VALUE"""),"Fao Sub Division 87.3.12")</f>
        <v>Fao Sub Division 87.3.12</v>
      </c>
      <c r="B210" t="str">
        <f ca="1">IFERROR(__xludf.DUMMYFUNCTION("""COMPUTED_VALUE"""),"M87312")</f>
        <v>M87312</v>
      </c>
    </row>
    <row r="211" spans="1:2" ht="12.5" x14ac:dyDescent="0.25">
      <c r="A211" t="str">
        <f ca="1">IFERROR(__xludf.DUMMYFUNCTION("""COMPUTED_VALUE"""),"Fao Sub Division 87.3.13")</f>
        <v>Fao Sub Division 87.3.13</v>
      </c>
      <c r="B211" t="str">
        <f ca="1">IFERROR(__xludf.DUMMYFUNCTION("""COMPUTED_VALUE"""),"M87313")</f>
        <v>M87313</v>
      </c>
    </row>
    <row r="212" spans="1:2" ht="12.5" x14ac:dyDescent="0.25">
      <c r="A212" t="str">
        <f ca="1">IFERROR(__xludf.DUMMYFUNCTION("""COMPUTED_VALUE"""),"Fao Sub Division 87.3.21")</f>
        <v>Fao Sub Division 87.3.21</v>
      </c>
      <c r="B212" t="str">
        <f ca="1">IFERROR(__xludf.DUMMYFUNCTION("""COMPUTED_VALUE"""),"M87321")</f>
        <v>M87321</v>
      </c>
    </row>
    <row r="213" spans="1:2" ht="12.5" x14ac:dyDescent="0.25">
      <c r="A213" t="str">
        <f ca="1">IFERROR(__xludf.DUMMYFUNCTION("""COMPUTED_VALUE"""),"Fao Sub Division 87.3.22")</f>
        <v>Fao Sub Division 87.3.22</v>
      </c>
      <c r="B213" t="str">
        <f ca="1">IFERROR(__xludf.DUMMYFUNCTION("""COMPUTED_VALUE"""),"M87322")</f>
        <v>M87322</v>
      </c>
    </row>
    <row r="214" spans="1:2" ht="12.5" x14ac:dyDescent="0.25">
      <c r="A214" t="str">
        <f ca="1">IFERROR(__xludf.DUMMYFUNCTION("""COMPUTED_VALUE"""),"Fao Sub Division 87.3.23")</f>
        <v>Fao Sub Division 87.3.23</v>
      </c>
      <c r="B214" t="str">
        <f ca="1">IFERROR(__xludf.DUMMYFUNCTION("""COMPUTED_VALUE"""),"M87323")</f>
        <v>M87323</v>
      </c>
    </row>
    <row r="215" spans="1:2" ht="12.5" x14ac:dyDescent="0.25">
      <c r="A215" t="str">
        <f ca="1">IFERROR(__xludf.DUMMYFUNCTION("""COMPUTED_VALUE"""),"Faroe Bank")</f>
        <v>Faroe Bank</v>
      </c>
      <c r="B215" t="str">
        <f ca="1">IFERROR(__xludf.DUMMYFUNCTION("""COMPUTED_VALUE"""),"M27Vb2")</f>
        <v>M27Vb2</v>
      </c>
    </row>
    <row r="216" spans="1:2" ht="12.5" x14ac:dyDescent="0.25">
      <c r="A216" t="str">
        <f ca="1">IFERROR(__xludf.DUMMYFUNCTION("""COMPUTED_VALUE"""),"Faroe Plateau")</f>
        <v>Faroe Plateau</v>
      </c>
      <c r="B216" t="str">
        <f ca="1">IFERROR(__xludf.DUMMYFUNCTION("""COMPUTED_VALUE"""),"M27Vb1")</f>
        <v>M27Vb1</v>
      </c>
    </row>
    <row r="217" spans="1:2" ht="12.5" x14ac:dyDescent="0.25">
      <c r="A217" t="str">
        <f ca="1">IFERROR(__xludf.DUMMYFUNCTION("""COMPUTED_VALUE"""),"Faroes Grounds")</f>
        <v>Faroes Grounds</v>
      </c>
      <c r="B217" t="str">
        <f ca="1">IFERROR(__xludf.DUMMYFUNCTION("""COMPUTED_VALUE"""),"M27Vb")</f>
        <v>M27Vb</v>
      </c>
    </row>
    <row r="218" spans="1:2" ht="12.5" x14ac:dyDescent="0.25">
      <c r="A218" t="str">
        <f ca="1">IFERROR(__xludf.DUMMYFUNCTION("""COMPUTED_VALUE"""),"Galapagos")</f>
        <v>Galapagos</v>
      </c>
      <c r="B218" t="str">
        <f ca="1">IFERROR(__xludf.DUMMYFUNCTION("""COMPUTED_VALUE"""),"M8713")</f>
        <v>M8713</v>
      </c>
    </row>
    <row r="219" spans="1:2" ht="12.5" x14ac:dyDescent="0.25">
      <c r="A219" t="str">
        <f ca="1">IFERROR(__xludf.DUMMYFUNCTION("""COMPUTED_VALUE"""),"Gulf")</f>
        <v>Gulf</v>
      </c>
      <c r="B219" t="str">
        <f ca="1">IFERROR(__xludf.DUMMYFUNCTION("""COMPUTED_VALUE"""),"M512")</f>
        <v>M512</v>
      </c>
    </row>
    <row r="220" spans="1:2" ht="12.5" x14ac:dyDescent="0.25">
      <c r="A220" t="str">
        <f ca="1">IFERROR(__xludf.DUMMYFUNCTION("""COMPUTED_VALUE"""),"Gulf Of Finland")</f>
        <v>Gulf Of Finland</v>
      </c>
      <c r="B220" t="str">
        <f ca="1">IFERROR(__xludf.DUMMYFUNCTION("""COMPUTED_VALUE"""),"M27IIId32")</f>
        <v>M27IIId32</v>
      </c>
    </row>
    <row r="221" spans="1:2" ht="12.5" x14ac:dyDescent="0.25">
      <c r="A221" t="str">
        <f ca="1">IFERROR(__xludf.DUMMYFUNCTION("""COMPUTED_VALUE"""),"Gulf Of Lions")</f>
        <v>Gulf Of Lions</v>
      </c>
      <c r="B221" t="str">
        <f ca="1">IFERROR(__xludf.DUMMYFUNCTION("""COMPUTED_VALUE"""),"M3712")</f>
        <v>M3712</v>
      </c>
    </row>
    <row r="222" spans="1:2" ht="12.5" x14ac:dyDescent="0.25">
      <c r="A222" t="str">
        <f ca="1">IFERROR(__xludf.DUMMYFUNCTION("""COMPUTED_VALUE"""),"Gulf Of Riga")</f>
        <v>Gulf Of Riga</v>
      </c>
      <c r="B222" t="str">
        <f ca="1">IFERROR(__xludf.DUMMYFUNCTION("""COMPUTED_VALUE"""),"M27IIId281")</f>
        <v>M27IIId281</v>
      </c>
    </row>
    <row r="223" spans="1:2" ht="12.5" x14ac:dyDescent="0.25">
      <c r="A223" t="str">
        <f ca="1">IFERROR(__xludf.DUMMYFUNCTION("""COMPUTED_VALUE"""),"Iceland And Faroes Grounds")</f>
        <v>Iceland And Faroes Grounds</v>
      </c>
      <c r="B223" t="str">
        <f ca="1">IFERROR(__xludf.DUMMYFUNCTION("""COMPUTED_VALUE"""),"M27V")</f>
        <v>M27V</v>
      </c>
    </row>
    <row r="224" spans="1:2" ht="12.5" x14ac:dyDescent="0.25">
      <c r="A224" t="str">
        <f ca="1">IFERROR(__xludf.DUMMYFUNCTION("""COMPUTED_VALUE"""),"Iceland Grounds")</f>
        <v>Iceland Grounds</v>
      </c>
      <c r="B224" t="str">
        <f ca="1">IFERROR(__xludf.DUMMYFUNCTION("""COMPUTED_VALUE"""),"M27Va")</f>
        <v>M27Va</v>
      </c>
    </row>
    <row r="225" spans="1:2" ht="12.5" x14ac:dyDescent="0.25">
      <c r="A225" t="str">
        <f ca="1">IFERROR(__xludf.DUMMYFUNCTION("""COMPUTED_VALUE"""),"Icelandic Shelf")</f>
        <v>Icelandic Shelf</v>
      </c>
      <c r="B225" t="str">
        <f ca="1">IFERROR(__xludf.DUMMYFUNCTION("""COMPUTED_VALUE"""),"M27Va2")</f>
        <v>M27Va2</v>
      </c>
    </row>
    <row r="226" spans="1:2" ht="12.5" x14ac:dyDescent="0.25">
      <c r="A226" t="str">
        <f ca="1">IFERROR(__xludf.DUMMYFUNCTION("""COMPUTED_VALUE"""),"Indian Ocean")</f>
        <v>Indian Ocean</v>
      </c>
      <c r="B226" t="str">
        <f ca="1">IFERROR(__xludf.DUMMYFUNCTION("""COMPUTED_VALUE"""),"M50")</f>
        <v>M50</v>
      </c>
    </row>
    <row r="227" spans="1:2" ht="12.5" x14ac:dyDescent="0.25">
      <c r="A227" t="str">
        <f ca="1">IFERROR(__xludf.DUMMYFUNCTION("""COMPUTED_VALUE"""),"Indian Ocean, Antarctic and Southern")</f>
        <v>Indian Ocean, Antarctic and Southern</v>
      </c>
      <c r="B227" t="str">
        <f ca="1">IFERROR(__xludf.DUMMYFUNCTION("""COMPUTED_VALUE"""),"M58")</f>
        <v>M58</v>
      </c>
    </row>
    <row r="228" spans="1:2" ht="12.5" x14ac:dyDescent="0.25">
      <c r="A228" t="str">
        <f ca="1">IFERROR(__xludf.DUMMYFUNCTION("""COMPUTED_VALUE"""),"Indian Ocean, Eastern")</f>
        <v>Indian Ocean, Eastern</v>
      </c>
      <c r="B228" t="str">
        <f ca="1">IFERROR(__xludf.DUMMYFUNCTION("""COMPUTED_VALUE"""),"M57")</f>
        <v>M57</v>
      </c>
    </row>
    <row r="229" spans="1:2" ht="12.5" x14ac:dyDescent="0.25">
      <c r="A229" t="str">
        <f ca="1">IFERROR(__xludf.DUMMYFUNCTION("""COMPUTED_VALUE"""),"Indian Ocean, Western")</f>
        <v>Indian Ocean, Western</v>
      </c>
      <c r="B229" t="str">
        <f ca="1">IFERROR(__xludf.DUMMYFUNCTION("""COMPUTED_VALUE"""),"M51")</f>
        <v>M51</v>
      </c>
    </row>
    <row r="230" spans="1:2" ht="12.5" x14ac:dyDescent="0.25">
      <c r="A230" t="str">
        <f ca="1">IFERROR(__xludf.DUMMYFUNCTION("""COMPUTED_VALUE"""),"Inland waters - Antarctica")</f>
        <v>Inland waters - Antarctica</v>
      </c>
      <c r="B230" t="str">
        <f ca="1">IFERROR(__xludf.DUMMYFUNCTION("""COMPUTED_VALUE"""),"M08")</f>
        <v>M08</v>
      </c>
    </row>
    <row r="231" spans="1:2" ht="12.5" x14ac:dyDescent="0.25">
      <c r="A231" t="str">
        <f ca="1">IFERROR(__xludf.DUMMYFUNCTION("""COMPUTED_VALUE"""),"Inland waters - Asia")</f>
        <v>Inland waters - Asia</v>
      </c>
      <c r="B231" t="str">
        <f ca="1">IFERROR(__xludf.DUMMYFUNCTION("""COMPUTED_VALUE"""),"M04")</f>
        <v>M04</v>
      </c>
    </row>
    <row r="232" spans="1:2" ht="12.5" x14ac:dyDescent="0.25">
      <c r="A232" t="str">
        <f ca="1">IFERROR(__xludf.DUMMYFUNCTION("""COMPUTED_VALUE"""),"Inland waters - Europe")</f>
        <v>Inland waters - Europe</v>
      </c>
      <c r="B232" t="str">
        <f ca="1">IFERROR(__xludf.DUMMYFUNCTION("""COMPUTED_VALUE"""),"M05")</f>
        <v>M05</v>
      </c>
    </row>
    <row r="233" spans="1:2" ht="12.5" x14ac:dyDescent="0.25">
      <c r="A233" t="str">
        <f ca="1">IFERROR(__xludf.DUMMYFUNCTION("""COMPUTED_VALUE"""),"Inland waters - Former Ussr Area")</f>
        <v>Inland waters - Former Ussr Area</v>
      </c>
      <c r="B233" t="str">
        <f ca="1">IFERROR(__xludf.DUMMYFUNCTION("""COMPUTED_VALUE"""),"M07")</f>
        <v>M07</v>
      </c>
    </row>
    <row r="234" spans="1:2" ht="12.5" x14ac:dyDescent="0.25">
      <c r="A234" t="str">
        <f ca="1">IFERROR(__xludf.DUMMYFUNCTION("""COMPUTED_VALUE"""),"Inland waters - North America")</f>
        <v>Inland waters - North America</v>
      </c>
      <c r="B234" t="str">
        <f ca="1">IFERROR(__xludf.DUMMYFUNCTION("""COMPUTED_VALUE"""),"M02")</f>
        <v>M02</v>
      </c>
    </row>
    <row r="235" spans="1:2" ht="12.5" x14ac:dyDescent="0.25">
      <c r="A235" t="str">
        <f ca="1">IFERROR(__xludf.DUMMYFUNCTION("""COMPUTED_VALUE"""),"Inland waters - Oceania")</f>
        <v>Inland waters - Oceania</v>
      </c>
      <c r="B235" t="str">
        <f ca="1">IFERROR(__xludf.DUMMYFUNCTION("""COMPUTED_VALUE"""),"M06")</f>
        <v>M06</v>
      </c>
    </row>
    <row r="236" spans="1:2" ht="12.5" x14ac:dyDescent="0.25">
      <c r="A236" t="str">
        <f ca="1">IFERROR(__xludf.DUMMYFUNCTION("""COMPUTED_VALUE"""),"Inland waters - South America")</f>
        <v>Inland waters - South America</v>
      </c>
      <c r="B236" t="str">
        <f ca="1">IFERROR(__xludf.DUMMYFUNCTION("""COMPUTED_VALUE"""),"M03")</f>
        <v>M03</v>
      </c>
    </row>
    <row r="237" spans="1:2" ht="12.5" x14ac:dyDescent="0.25">
      <c r="A237" t="str">
        <f ca="1">IFERROR(__xludf.DUMMYFUNCTION("""COMPUTED_VALUE"""),"Inland waters – Africa")</f>
        <v>Inland waters – Africa</v>
      </c>
      <c r="B237" t="str">
        <f ca="1">IFERROR(__xludf.DUMMYFUNCTION("""COMPUTED_VALUE"""),"M01")</f>
        <v>M01</v>
      </c>
    </row>
    <row r="238" spans="1:2" ht="12.5" x14ac:dyDescent="0.25">
      <c r="A238" t="str">
        <f ca="1">IFERROR(__xludf.DUMMYFUNCTION("""COMPUTED_VALUE"""),"Ionian")</f>
        <v>Ionian</v>
      </c>
      <c r="B238" t="str">
        <f ca="1">IFERROR(__xludf.DUMMYFUNCTION("""COMPUTED_VALUE"""),"M3722")</f>
        <v>M3722</v>
      </c>
    </row>
    <row r="239" spans="1:2" ht="12.5" x14ac:dyDescent="0.25">
      <c r="A239" t="str">
        <f ca="1">IFERROR(__xludf.DUMMYFUNCTION("""COMPUTED_VALUE"""),"Irish Sea")</f>
        <v>Irish Sea</v>
      </c>
      <c r="B239" t="str">
        <f ca="1">IFERROR(__xludf.DUMMYFUNCTION("""COMPUTED_VALUE"""),"M27VIIa")</f>
        <v>M27VIIa</v>
      </c>
    </row>
    <row r="240" spans="1:2" ht="12.5" x14ac:dyDescent="0.25">
      <c r="A240" t="str">
        <f ca="1">IFERROR(__xludf.DUMMYFUNCTION("""COMPUTED_VALUE"""),"Juan Fernandez")</f>
        <v>Juan Fernandez</v>
      </c>
      <c r="B240" t="str">
        <f ca="1">IFERROR(__xludf.DUMMYFUNCTION("""COMPUTED_VALUE"""),"M8724")</f>
        <v>M8724</v>
      </c>
    </row>
    <row r="241" spans="1:2" ht="12.5" x14ac:dyDescent="0.25">
      <c r="A241" t="str">
        <f ca="1">IFERROR(__xludf.DUMMYFUNCTION("""COMPUTED_VALUE"""),"Kerguelen")</f>
        <v>Kerguelen</v>
      </c>
      <c r="B241" t="str">
        <f ca="1">IFERROR(__xludf.DUMMYFUNCTION("""COMPUTED_VALUE"""),"M5851")</f>
        <v>M5851</v>
      </c>
    </row>
    <row r="242" spans="1:2" ht="12.5" x14ac:dyDescent="0.25">
      <c r="A242" t="str">
        <f ca="1">IFERROR(__xludf.DUMMYFUNCTION("""COMPUTED_VALUE"""),"Kerguelen, Mcdonald")</f>
        <v>Kerguelen, Mcdonald</v>
      </c>
      <c r="B242" t="str">
        <f ca="1">IFERROR(__xludf.DUMMYFUNCTION("""COMPUTED_VALUE"""),"M585")</f>
        <v>M585</v>
      </c>
    </row>
    <row r="243" spans="1:2" ht="12.5" x14ac:dyDescent="0.25">
      <c r="A243" t="str">
        <f ca="1">IFERROR(__xludf.DUMMYFUNCTION("""COMPUTED_VALUE"""),"Lena Bank")</f>
        <v>Lena Bank</v>
      </c>
      <c r="B243" t="str">
        <f ca="1">IFERROR(__xludf.DUMMYFUNCTION("""COMPUTED_VALUE"""),"M5844b")</f>
        <v>M5844b</v>
      </c>
    </row>
    <row r="244" spans="1:2" ht="12.5" x14ac:dyDescent="0.25">
      <c r="A244" t="str">
        <f ca="1">IFERROR(__xludf.DUMMYFUNCTION("""COMPUTED_VALUE"""),"Levant")</f>
        <v>Levant</v>
      </c>
      <c r="B244" t="str">
        <f ca="1">IFERROR(__xludf.DUMMYFUNCTION("""COMPUTED_VALUE"""),"M3732")</f>
        <v>M3732</v>
      </c>
    </row>
    <row r="245" spans="1:2" ht="12.5" x14ac:dyDescent="0.25">
      <c r="A245" t="str">
        <f ca="1">IFERROR(__xludf.DUMMYFUNCTION("""COMPUTED_VALUE"""),"Madagascar And Mozambique Channel")</f>
        <v>Madagascar And Mozambique Channel</v>
      </c>
      <c r="B245" t="str">
        <f ca="1">IFERROR(__xludf.DUMMYFUNCTION("""COMPUTED_VALUE"""),"M516")</f>
        <v>M516</v>
      </c>
    </row>
    <row r="246" spans="1:2" ht="12.5" x14ac:dyDescent="0.25">
      <c r="A246" t="str">
        <f ca="1">IFERROR(__xludf.DUMMYFUNCTION("""COMPUTED_VALUE"""),"Marion-Edward")</f>
        <v>Marion-Edward</v>
      </c>
      <c r="B246" t="str">
        <f ca="1">IFERROR(__xludf.DUMMYFUNCTION("""COMPUTED_VALUE"""),"M587")</f>
        <v>M587</v>
      </c>
    </row>
    <row r="247" spans="1:2" ht="12.5" x14ac:dyDescent="0.25">
      <c r="A247" t="str">
        <f ca="1">IFERROR(__xludf.DUMMYFUNCTION("""COMPUTED_VALUE"""),"Marmara Sea")</f>
        <v>Marmara Sea</v>
      </c>
      <c r="B247" t="str">
        <f ca="1">IFERROR(__xludf.DUMMYFUNCTION("""COMPUTED_VALUE"""),"M3741")</f>
        <v>M3741</v>
      </c>
    </row>
    <row r="248" spans="1:2" ht="12.5" x14ac:dyDescent="0.25">
      <c r="A248" t="str">
        <f ca="1">IFERROR(__xludf.DUMMYFUNCTION("""COMPUTED_VALUE"""),"Mcdonald And Heard")</f>
        <v>Mcdonald And Heard</v>
      </c>
      <c r="B248" t="str">
        <f ca="1">IFERROR(__xludf.DUMMYFUNCTION("""COMPUTED_VALUE"""),"M5852")</f>
        <v>M5852</v>
      </c>
    </row>
    <row r="249" spans="1:2" ht="12.5" x14ac:dyDescent="0.25">
      <c r="A249" t="str">
        <f ca="1">IFERROR(__xludf.DUMMYFUNCTION("""COMPUTED_VALUE"""),"Mediterranean and Black Sea")</f>
        <v>Mediterranean and Black Sea</v>
      </c>
      <c r="B249" t="str">
        <f ca="1">IFERROR(__xludf.DUMMYFUNCTION("""COMPUTED_VALUE"""),"M37")</f>
        <v>M37</v>
      </c>
    </row>
    <row r="250" spans="1:2" ht="12.5" x14ac:dyDescent="0.25">
      <c r="A250" t="str">
        <f ca="1">IFERROR(__xludf.DUMMYFUNCTION("""COMPUTED_VALUE"""),"Middle Agulhas")</f>
        <v>Middle Agulhas</v>
      </c>
      <c r="B250" t="str">
        <f ca="1">IFERROR(__xludf.DUMMYFUNCTION("""COMPUTED_VALUE"""),"M4721")</f>
        <v>M4721</v>
      </c>
    </row>
    <row r="251" spans="1:2" ht="12.5" x14ac:dyDescent="0.25">
      <c r="A251" t="str">
        <f ca="1">IFERROR(__xludf.DUMMYFUNCTION("""COMPUTED_VALUE"""),"Morocco Coastal")</f>
        <v>Morocco Coastal</v>
      </c>
      <c r="B251" t="str">
        <f ca="1">IFERROR(__xludf.DUMMYFUNCTION("""COMPUTED_VALUE"""),"M3411")</f>
        <v>M3411</v>
      </c>
    </row>
    <row r="252" spans="1:2" ht="12.5" x14ac:dyDescent="0.25">
      <c r="A252" t="str">
        <f ca="1">IFERROR(__xludf.DUMMYFUNCTION("""COMPUTED_VALUE"""),"Mozambique")</f>
        <v>Mozambique</v>
      </c>
      <c r="B252" t="str">
        <f ca="1">IFERROR(__xludf.DUMMYFUNCTION("""COMPUTED_VALUE"""),"M518")</f>
        <v>M518</v>
      </c>
    </row>
    <row r="253" spans="1:2" ht="12.5" x14ac:dyDescent="0.25">
      <c r="A253" t="str">
        <f ca="1">IFERROR(__xludf.DUMMYFUNCTION("""COMPUTED_VALUE"""),"Natal")</f>
        <v>Natal</v>
      </c>
      <c r="B253" t="str">
        <f ca="1">IFERROR(__xludf.DUMMYFUNCTION("""COMPUTED_VALUE"""),"M4112")</f>
        <v>M4112</v>
      </c>
    </row>
    <row r="254" spans="1:2" ht="12.5" x14ac:dyDescent="0.25">
      <c r="A254" t="str">
        <f ca="1">IFERROR(__xludf.DUMMYFUNCTION("""COMPUTED_VALUE"""),"North Of Azores")</f>
        <v>North Of Azores</v>
      </c>
      <c r="B254" t="str">
        <f ca="1">IFERROR(__xludf.DUMMYFUNCTION("""COMPUTED_VALUE"""),"M27XII")</f>
        <v>M27XII</v>
      </c>
    </row>
    <row r="255" spans="1:2" ht="12.5" x14ac:dyDescent="0.25">
      <c r="A255" t="str">
        <f ca="1">IFERROR(__xludf.DUMMYFUNCTION("""COMPUTED_VALUE"""),"North Sea")</f>
        <v>North Sea</v>
      </c>
      <c r="B255" t="str">
        <f ca="1">IFERROR(__xludf.DUMMYFUNCTION("""COMPUTED_VALUE"""),"M27IV")</f>
        <v>M27IV</v>
      </c>
    </row>
    <row r="256" spans="1:2" ht="12.5" x14ac:dyDescent="0.25">
      <c r="A256" t="str">
        <f ca="1">IFERROR(__xludf.DUMMYFUNCTION("""COMPUTED_VALUE"""),"Northeast Atlantic South")</f>
        <v>Northeast Atlantic South</v>
      </c>
      <c r="B256" t="str">
        <f ca="1">IFERROR(__xludf.DUMMYFUNCTION("""COMPUTED_VALUE"""),"M27Xb")</f>
        <v>M27Xb</v>
      </c>
    </row>
    <row r="257" spans="1:2" ht="12.5" x14ac:dyDescent="0.25">
      <c r="A257" t="str">
        <f ca="1">IFERROR(__xludf.DUMMYFUNCTION("""COMPUTED_VALUE"""),"Northeast Greenland")</f>
        <v>Northeast Greenland</v>
      </c>
      <c r="B257" t="str">
        <f ca="1">IFERROR(__xludf.DUMMYFUNCTION("""COMPUTED_VALUE"""),"M27XIVa")</f>
        <v>M27XIVa</v>
      </c>
    </row>
    <row r="258" spans="1:2" ht="12.5" x14ac:dyDescent="0.25">
      <c r="A258" t="str">
        <f ca="1">IFERROR(__xludf.DUMMYFUNCTION("""COMPUTED_VALUE"""),"Northern (Atlantic)")</f>
        <v>Northern (Atlantic)</v>
      </c>
      <c r="B258" t="str">
        <f ca="1">IFERROR(__xludf.DUMMYFUNCTION("""COMPUTED_VALUE"""),"M411")</f>
        <v>M411</v>
      </c>
    </row>
    <row r="259" spans="1:2" ht="12.5" x14ac:dyDescent="0.25">
      <c r="A259" t="str">
        <f ca="1">IFERROR(__xludf.DUMMYFUNCTION("""COMPUTED_VALUE"""),"Northern (Indian)")</f>
        <v>Northern (Indian)</v>
      </c>
      <c r="B259" t="str">
        <f ca="1">IFERROR(__xludf.DUMMYFUNCTION("""COMPUTED_VALUE"""),"M572")</f>
        <v>M572</v>
      </c>
    </row>
    <row r="260" spans="1:2" ht="12.5" x14ac:dyDescent="0.25">
      <c r="A260" t="str">
        <f ca="1">IFERROR(__xludf.DUMMYFUNCTION("""COMPUTED_VALUE"""),"Northern (Pacific)")</f>
        <v>Northern (Pacific)</v>
      </c>
      <c r="B260" t="str">
        <f ca="1">IFERROR(__xludf.DUMMYFUNCTION("""COMPUTED_VALUE"""),"M871")</f>
        <v>M871</v>
      </c>
    </row>
    <row r="261" spans="1:2" ht="12.5" x14ac:dyDescent="0.25">
      <c r="A261" t="str">
        <f ca="1">IFERROR(__xludf.DUMMYFUNCTION("""COMPUTED_VALUE"""),"Northern Coastal (Atlantic)")</f>
        <v>Northern Coastal (Atlantic)</v>
      </c>
      <c r="B261" t="str">
        <f ca="1">IFERROR(__xludf.DUMMYFUNCTION("""COMPUTED_VALUE"""),"M341")</f>
        <v>M341</v>
      </c>
    </row>
    <row r="262" spans="1:2" ht="12.5" x14ac:dyDescent="0.25">
      <c r="A262" t="str">
        <f ca="1">IFERROR(__xludf.DUMMYFUNCTION("""COMPUTED_VALUE"""),"Northern Coastal (Pacific)")</f>
        <v>Northern Coastal (Pacific)</v>
      </c>
      <c r="B262" t="str">
        <f ca="1">IFERROR(__xludf.DUMMYFUNCTION("""COMPUTED_VALUE"""),"M8711")</f>
        <v>M8711</v>
      </c>
    </row>
    <row r="263" spans="1:2" ht="12.5" x14ac:dyDescent="0.25">
      <c r="A263" t="str">
        <f ca="1">IFERROR(__xludf.DUMMYFUNCTION("""COMPUTED_VALUE"""),"Northern Intermediate")</f>
        <v>Northern Intermediate</v>
      </c>
      <c r="B263" t="str">
        <f ca="1">IFERROR(__xludf.DUMMYFUNCTION("""COMPUTED_VALUE"""),"M8712")</f>
        <v>M8712</v>
      </c>
    </row>
    <row r="264" spans="1:2" ht="12.5" x14ac:dyDescent="0.25">
      <c r="A264" t="str">
        <f ca="1">IFERROR(__xludf.DUMMYFUNCTION("""COMPUTED_VALUE"""),"Northern North Sea")</f>
        <v>Northern North Sea</v>
      </c>
      <c r="B264" t="str">
        <f ca="1">IFERROR(__xludf.DUMMYFUNCTION("""COMPUTED_VALUE"""),"M27IVa")</f>
        <v>M27IVa</v>
      </c>
    </row>
    <row r="265" spans="1:2" ht="12.5" x14ac:dyDescent="0.25">
      <c r="A265" t="str">
        <f ca="1">IFERROR(__xludf.DUMMYFUNCTION("""COMPUTED_VALUE"""),"Northern Oceanic (Atlantic)")</f>
        <v>Northern Oceanic (Atlantic)</v>
      </c>
      <c r="B265" t="str">
        <f ca="1">IFERROR(__xludf.DUMMYFUNCTION("""COMPUTED_VALUE"""),"M342")</f>
        <v>M342</v>
      </c>
    </row>
    <row r="266" spans="1:2" ht="12.5" x14ac:dyDescent="0.25">
      <c r="A266" t="str">
        <f ca="1">IFERROR(__xludf.DUMMYFUNCTION("""COMPUTED_VALUE"""),"Northern Oceanic (Pacific)")</f>
        <v>Northern Oceanic (Pacific)</v>
      </c>
      <c r="B266" t="str">
        <f ca="1">IFERROR(__xludf.DUMMYFUNCTION("""COMPUTED_VALUE"""),"M8714")</f>
        <v>M8714</v>
      </c>
    </row>
    <row r="267" spans="1:2" ht="12.5" x14ac:dyDescent="0.25">
      <c r="A267" t="str">
        <f ca="1">IFERROR(__xludf.DUMMYFUNCTION("""COMPUTED_VALUE"""),"Northern Patagonian")</f>
        <v>Northern Patagonian</v>
      </c>
      <c r="B267" t="str">
        <f ca="1">IFERROR(__xludf.DUMMYFUNCTION("""COMPUTED_VALUE"""),"M4131")</f>
        <v>M4131</v>
      </c>
    </row>
    <row r="268" spans="1:2" ht="12.5" x14ac:dyDescent="0.25">
      <c r="A268" t="str">
        <f ca="1">IFERROR(__xludf.DUMMYFUNCTION("""COMPUTED_VALUE"""),"Northern Reykjanes Ridge")</f>
        <v>Northern Reykjanes Ridge</v>
      </c>
      <c r="B268" t="str">
        <f ca="1">IFERROR(__xludf.DUMMYFUNCTION("""COMPUTED_VALUE"""),"M27Va1")</f>
        <v>M27Va1</v>
      </c>
    </row>
    <row r="269" spans="1:2" ht="12.5" x14ac:dyDescent="0.25">
      <c r="A269" t="str">
        <f ca="1">IFERROR(__xludf.DUMMYFUNCTION("""COMPUTED_VALUE"""),"Northern Subdivision")</f>
        <v>Northern Subdivision</v>
      </c>
      <c r="B269" t="str">
        <f ca="1">IFERROR(__xludf.DUMMYFUNCTION("""COMPUTED_VALUE"""),"M214Vn")</f>
        <v>M214Vn</v>
      </c>
    </row>
    <row r="270" spans="1:2" ht="12.5" x14ac:dyDescent="0.25">
      <c r="A270" t="str">
        <f ca="1">IFERROR(__xludf.DUMMYFUNCTION("""COMPUTED_VALUE"""),"Northwest Australia")</f>
        <v>Northwest Australia</v>
      </c>
      <c r="B270" t="str">
        <f ca="1">IFERROR(__xludf.DUMMYFUNCTION("""COMPUTED_VALUE"""),"M5752")</f>
        <v>M5752</v>
      </c>
    </row>
    <row r="271" spans="1:2" ht="12.5" x14ac:dyDescent="0.25">
      <c r="A271" t="str">
        <f ca="1">IFERROR(__xludf.DUMMYFUNCTION("""COMPUTED_VALUE"""),"Northwest Coast Of Scotland And North Ireland")</f>
        <v>Northwest Coast Of Scotland And North Ireland</v>
      </c>
      <c r="B271" t="str">
        <f ca="1">IFERROR(__xludf.DUMMYFUNCTION("""COMPUTED_VALUE"""),"M27VIa")</f>
        <v>M27VIa</v>
      </c>
    </row>
    <row r="272" spans="1:2" ht="12.5" x14ac:dyDescent="0.25">
      <c r="A272" t="str">
        <f ca="1">IFERROR(__xludf.DUMMYFUNCTION("""COMPUTED_VALUE"""),"Northwestern Subdivision")</f>
        <v>Northwestern Subdivision</v>
      </c>
      <c r="B272" t="str">
        <f ca="1">IFERROR(__xludf.DUMMYFUNCTION("""COMPUTED_VALUE"""),"M213Pn")</f>
        <v>M213Pn</v>
      </c>
    </row>
    <row r="273" spans="1:2" ht="12.5" x14ac:dyDescent="0.25">
      <c r="A273" t="str">
        <f ca="1">IFERROR(__xludf.DUMMYFUNCTION("""COMPUTED_VALUE"""),"Norwegian Sea")</f>
        <v>Norwegian Sea</v>
      </c>
      <c r="B273" t="str">
        <f ca="1">IFERROR(__xludf.DUMMYFUNCTION("""COMPUTED_VALUE"""),"M27IIa")</f>
        <v>M27IIa</v>
      </c>
    </row>
    <row r="274" spans="1:2" ht="12.5" x14ac:dyDescent="0.25">
      <c r="A274" t="str">
        <f ca="1">IFERROR(__xludf.DUMMYFUNCTION("""COMPUTED_VALUE"""),"Norwegian Sea - Neafc Regulatory Area")</f>
        <v>Norwegian Sea - Neafc Regulatory Area</v>
      </c>
      <c r="B274" t="str">
        <f ca="1">IFERROR(__xludf.DUMMYFUNCTION("""COMPUTED_VALUE"""),"M27IIa1")</f>
        <v>M27IIa1</v>
      </c>
    </row>
    <row r="275" spans="1:2" ht="12.5" x14ac:dyDescent="0.25">
      <c r="A275" t="str">
        <f ca="1">IFERROR(__xludf.DUMMYFUNCTION("""COMPUTED_VALUE"""),"Norwegian Sea Non-Neafc Regulatory Area")</f>
        <v>Norwegian Sea Non-Neafc Regulatory Area</v>
      </c>
      <c r="B275" t="str">
        <f ca="1">IFERROR(__xludf.DUMMYFUNCTION("""COMPUTED_VALUE"""),"M27IIa2")</f>
        <v>M27IIa2</v>
      </c>
    </row>
    <row r="276" spans="1:2" ht="12.5" x14ac:dyDescent="0.25">
      <c r="A276" t="str">
        <f ca="1">IFERROR(__xludf.DUMMYFUNCTION("""COMPUTED_VALUE"""),"Norwegian Sea, Spitzbergen, And Bear Island")</f>
        <v>Norwegian Sea, Spitzbergen, And Bear Island</v>
      </c>
      <c r="B276" t="str">
        <f ca="1">IFERROR(__xludf.DUMMYFUNCTION("""COMPUTED_VALUE"""),"M27II")</f>
        <v>M27II</v>
      </c>
    </row>
    <row r="277" spans="1:2" ht="12.5" x14ac:dyDescent="0.25">
      <c r="A277" t="str">
        <f ca="1">IFERROR(__xludf.DUMMYFUNCTION("""COMPUTED_VALUE"""),"Nothern Oceanic")</f>
        <v>Nothern Oceanic</v>
      </c>
      <c r="B277" t="str">
        <f ca="1">IFERROR(__xludf.DUMMYFUNCTION("""COMPUTED_VALUE"""),"M4114")</f>
        <v>M4114</v>
      </c>
    </row>
    <row r="278" spans="1:2" ht="12.5" x14ac:dyDescent="0.25">
      <c r="A278" t="str">
        <f ca="1">IFERROR(__xludf.DUMMYFUNCTION("""COMPUTED_VALUE"""),"Ob And Lena Banks")</f>
        <v>Ob And Lena Banks</v>
      </c>
      <c r="B278" t="str">
        <f ca="1">IFERROR(__xludf.DUMMYFUNCTION("""COMPUTED_VALUE"""),"M5844")</f>
        <v>M5844</v>
      </c>
    </row>
    <row r="279" spans="1:2" ht="12.5" x14ac:dyDescent="0.25">
      <c r="A279" t="str">
        <f ca="1">IFERROR(__xludf.DUMMYFUNCTION("""COMPUTED_VALUE"""),"Ob Bank")</f>
        <v>Ob Bank</v>
      </c>
      <c r="B279" t="str">
        <f ca="1">IFERROR(__xludf.DUMMYFUNCTION("""COMPUTED_VALUE"""),"M5844a")</f>
        <v>M5844a</v>
      </c>
    </row>
    <row r="280" spans="1:2" ht="12.5" x14ac:dyDescent="0.25">
      <c r="A280" t="str">
        <f ca="1">IFERROR(__xludf.DUMMYFUNCTION("""COMPUTED_VALUE"""),"Oceanic (M51.7)")</f>
        <v>Oceanic (M51.7)</v>
      </c>
      <c r="B280" t="str">
        <f ca="1">IFERROR(__xludf.DUMMYFUNCTION("""COMPUTED_VALUE"""),"M517")</f>
        <v>M517</v>
      </c>
    </row>
    <row r="281" spans="1:2" ht="12.5" x14ac:dyDescent="0.25">
      <c r="A281" t="str">
        <f ca="1">IFERROR(__xludf.DUMMYFUNCTION("""COMPUTED_VALUE"""),"Oceanic (M57.4)")</f>
        <v>Oceanic (M57.4)</v>
      </c>
      <c r="B281" t="str">
        <f ca="1">IFERROR(__xludf.DUMMYFUNCTION("""COMPUTED_VALUE"""),"M574")</f>
        <v>M574</v>
      </c>
    </row>
    <row r="282" spans="1:2" ht="12.5" x14ac:dyDescent="0.25">
      <c r="A282" t="str">
        <f ca="1">IFERROR(__xludf.DUMMYFUNCTION("""COMPUTED_VALUE"""),"Orange River")</f>
        <v>Orange River</v>
      </c>
      <c r="B282" t="str">
        <f ca="1">IFERROR(__xludf.DUMMYFUNCTION("""COMPUTED_VALUE"""),"M4715")</f>
        <v>M4715</v>
      </c>
    </row>
    <row r="283" spans="1:2" ht="12.5" x14ac:dyDescent="0.25">
      <c r="A283" t="str">
        <f ca="1">IFERROR(__xludf.DUMMYFUNCTION("""COMPUTED_VALUE"""),"Pacifc Ocean")</f>
        <v>Pacifc Ocean</v>
      </c>
      <c r="B283" t="str">
        <f ca="1">IFERROR(__xludf.DUMMYFUNCTION("""COMPUTED_VALUE"""),"M80")</f>
        <v>M80</v>
      </c>
    </row>
    <row r="284" spans="1:2" ht="12.5" x14ac:dyDescent="0.25">
      <c r="A284" t="str">
        <f ca="1">IFERROR(__xludf.DUMMYFUNCTION("""COMPUTED_VALUE"""),"Pacific, Antarctic")</f>
        <v>Pacific, Antarctic</v>
      </c>
      <c r="B284" t="str">
        <f ca="1">IFERROR(__xludf.DUMMYFUNCTION("""COMPUTED_VALUE"""),"M88")</f>
        <v>M88</v>
      </c>
    </row>
    <row r="285" spans="1:2" ht="12.5" x14ac:dyDescent="0.25">
      <c r="A285" t="str">
        <f ca="1">IFERROR(__xludf.DUMMYFUNCTION("""COMPUTED_VALUE"""),"Pacific, Eastern Central")</f>
        <v>Pacific, Eastern Central</v>
      </c>
      <c r="B285" t="str">
        <f ca="1">IFERROR(__xludf.DUMMYFUNCTION("""COMPUTED_VALUE"""),"M77")</f>
        <v>M77</v>
      </c>
    </row>
    <row r="286" spans="1:2" ht="12.5" x14ac:dyDescent="0.25">
      <c r="A286" t="str">
        <f ca="1">IFERROR(__xludf.DUMMYFUNCTION("""COMPUTED_VALUE"""),"Pacific, Northeast")</f>
        <v>Pacific, Northeast</v>
      </c>
      <c r="B286" t="str">
        <f ca="1">IFERROR(__xludf.DUMMYFUNCTION("""COMPUTED_VALUE"""),"M67")</f>
        <v>M67</v>
      </c>
    </row>
    <row r="287" spans="1:2" ht="12.5" x14ac:dyDescent="0.25">
      <c r="A287" t="str">
        <f ca="1">IFERROR(__xludf.DUMMYFUNCTION("""COMPUTED_VALUE"""),"Pacific, Northwest")</f>
        <v>Pacific, Northwest</v>
      </c>
      <c r="B287" t="str">
        <f ca="1">IFERROR(__xludf.DUMMYFUNCTION("""COMPUTED_VALUE"""),"M61")</f>
        <v>M61</v>
      </c>
    </row>
    <row r="288" spans="1:2" ht="12.5" x14ac:dyDescent="0.25">
      <c r="A288" t="str">
        <f ca="1">IFERROR(__xludf.DUMMYFUNCTION("""COMPUTED_VALUE"""),"Pacific, Southeast")</f>
        <v>Pacific, Southeast</v>
      </c>
      <c r="B288" t="str">
        <f ca="1">IFERROR(__xludf.DUMMYFUNCTION("""COMPUTED_VALUE"""),"M87")</f>
        <v>M87</v>
      </c>
    </row>
    <row r="289" spans="1:2" ht="12.5" x14ac:dyDescent="0.25">
      <c r="A289" t="str">
        <f ca="1">IFERROR(__xludf.DUMMYFUNCTION("""COMPUTED_VALUE"""),"Pacific, Southwest")</f>
        <v>Pacific, Southwest</v>
      </c>
      <c r="B289" t="str">
        <f ca="1">IFERROR(__xludf.DUMMYFUNCTION("""COMPUTED_VALUE"""),"M81")</f>
        <v>M81</v>
      </c>
    </row>
    <row r="290" spans="1:2" ht="12.5" x14ac:dyDescent="0.25">
      <c r="A290" t="str">
        <f ca="1">IFERROR(__xludf.DUMMYFUNCTION("""COMPUTED_VALUE"""),"Pacific, Western Central")</f>
        <v>Pacific, Western Central</v>
      </c>
      <c r="B290" t="str">
        <f ca="1">IFERROR(__xludf.DUMMYFUNCTION("""COMPUTED_VALUE"""),"M71")</f>
        <v>M71</v>
      </c>
    </row>
    <row r="291" spans="1:2" ht="12.5" x14ac:dyDescent="0.25">
      <c r="A291" t="str">
        <f ca="1">IFERROR(__xludf.DUMMYFUNCTION("""COMPUTED_VALUE"""),"Pascua")</f>
        <v>Pascua</v>
      </c>
      <c r="B291" t="str">
        <f ca="1">IFERROR(__xludf.DUMMYFUNCTION("""COMPUTED_VALUE"""),"M8725")</f>
        <v>M8725</v>
      </c>
    </row>
    <row r="292" spans="1:2" ht="12.5" x14ac:dyDescent="0.25">
      <c r="A292" t="str">
        <f ca="1">IFERROR(__xludf.DUMMYFUNCTION("""COMPUTED_VALUE"""),"Peninsular")</f>
        <v>Peninsular</v>
      </c>
      <c r="B292" t="str">
        <f ca="1">IFERROR(__xludf.DUMMYFUNCTION("""COMPUTED_VALUE"""),"M481")</f>
        <v>M481</v>
      </c>
    </row>
    <row r="293" spans="1:2" ht="12.5" x14ac:dyDescent="0.25">
      <c r="A293" t="str">
        <f ca="1">IFERROR(__xludf.DUMMYFUNCTION("""COMPUTED_VALUE"""),"Platense")</f>
        <v>Platense</v>
      </c>
      <c r="B293" t="str">
        <f ca="1">IFERROR(__xludf.DUMMYFUNCTION("""COMPUTED_VALUE"""),"M4123")</f>
        <v>M4123</v>
      </c>
    </row>
    <row r="294" spans="1:2" ht="12.5" x14ac:dyDescent="0.25">
      <c r="A294" t="str">
        <f ca="1">IFERROR(__xludf.DUMMYFUNCTION("""COMPUTED_VALUE"""),"Porcupine Bank")</f>
        <v>Porcupine Bank</v>
      </c>
      <c r="B294" t="str">
        <f ca="1">IFERROR(__xludf.DUMMYFUNCTION("""COMPUTED_VALUE"""),"M27VIIc")</f>
        <v>M27VIIc</v>
      </c>
    </row>
    <row r="295" spans="1:2" ht="12.5" x14ac:dyDescent="0.25">
      <c r="A295" t="str">
        <f ca="1">IFERROR(__xludf.DUMMYFUNCTION("""COMPUTED_VALUE"""),"Porcupine Bank - Neafc Regulatory Area")</f>
        <v>Porcupine Bank - Neafc Regulatory Area</v>
      </c>
      <c r="B295" t="str">
        <f ca="1">IFERROR(__xludf.DUMMYFUNCTION("""COMPUTED_VALUE"""),"M27VIIc1")</f>
        <v>M27VIIc1</v>
      </c>
    </row>
    <row r="296" spans="1:2" ht="12.5" x14ac:dyDescent="0.25">
      <c r="A296" t="str">
        <f ca="1">IFERROR(__xludf.DUMMYFUNCTION("""COMPUTED_VALUE"""),"Porcupine Bank Non-Neafc Regulatory Area")</f>
        <v>Porcupine Bank Non-Neafc Regulatory Area</v>
      </c>
      <c r="B296" t="str">
        <f ca="1">IFERROR(__xludf.DUMMYFUNCTION("""COMPUTED_VALUE"""),"M27VIIc2")</f>
        <v>M27VIIc2</v>
      </c>
    </row>
    <row r="297" spans="1:2" ht="12.5" x14ac:dyDescent="0.25">
      <c r="A297" t="str">
        <f ca="1">IFERROR(__xludf.DUMMYFUNCTION("""COMPUTED_VALUE"""),"Portuguese Waters")</f>
        <v>Portuguese Waters</v>
      </c>
      <c r="B297" t="str">
        <f ca="1">IFERROR(__xludf.DUMMYFUNCTION("""COMPUTED_VALUE"""),"M27IX")</f>
        <v>M27IX</v>
      </c>
    </row>
    <row r="298" spans="1:2" ht="12.5" x14ac:dyDescent="0.25">
      <c r="A298" t="str">
        <f ca="1">IFERROR(__xludf.DUMMYFUNCTION("""COMPUTED_VALUE"""),"Portuguese Waters - East")</f>
        <v>Portuguese Waters - East</v>
      </c>
      <c r="B298" t="str">
        <f ca="1">IFERROR(__xludf.DUMMYFUNCTION("""COMPUTED_VALUE"""),"M27IXa")</f>
        <v>M27IXa</v>
      </c>
    </row>
    <row r="299" spans="1:2" ht="12.5" x14ac:dyDescent="0.25">
      <c r="A299" t="str">
        <f ca="1">IFERROR(__xludf.DUMMYFUNCTION("""COMPUTED_VALUE"""),"Portuguese Waters - West")</f>
        <v>Portuguese Waters - West</v>
      </c>
      <c r="B299" t="str">
        <f ca="1">IFERROR(__xludf.DUMMYFUNCTION("""COMPUTED_VALUE"""),"M27IXb")</f>
        <v>M27IXb</v>
      </c>
    </row>
    <row r="300" spans="1:2" ht="12.5" x14ac:dyDescent="0.25">
      <c r="A300" t="str">
        <f ca="1">IFERROR(__xludf.DUMMYFUNCTION("""COMPUTED_VALUE"""),"Portuguese Waters - West - Neafc Reg. Area")</f>
        <v>Portuguese Waters - West - Neafc Reg. Area</v>
      </c>
      <c r="B300" t="str">
        <f ca="1">IFERROR(__xludf.DUMMYFUNCTION("""COMPUTED_VALUE"""),"M27IXb1")</f>
        <v>M27IXb1</v>
      </c>
    </row>
    <row r="301" spans="1:2" ht="12.5" x14ac:dyDescent="0.25">
      <c r="A301" t="str">
        <f ca="1">IFERROR(__xludf.DUMMYFUNCTION("""COMPUTED_VALUE"""),"Portuguese Waters - West - Non-Neafc Reg. Area")</f>
        <v>Portuguese Waters - West - Non-Neafc Reg. Area</v>
      </c>
      <c r="B301" t="str">
        <f ca="1">IFERROR(__xludf.DUMMYFUNCTION("""COMPUTED_VALUE"""),"M27IXb2")</f>
        <v>M27IXb2</v>
      </c>
    </row>
    <row r="302" spans="1:2" ht="12.5" x14ac:dyDescent="0.25">
      <c r="A302" t="str">
        <f ca="1">IFERROR(__xludf.DUMMYFUNCTION("""COMPUTED_VALUE"""),"Prydz Bay")</f>
        <v>Prydz Bay</v>
      </c>
      <c r="B302" t="str">
        <f ca="1">IFERROR(__xludf.DUMMYFUNCTION("""COMPUTED_VALUE"""),"M5842")</f>
        <v>M5842</v>
      </c>
    </row>
    <row r="303" spans="1:2" ht="12.5" x14ac:dyDescent="0.25">
      <c r="A303" t="str">
        <f ca="1">IFERROR(__xludf.DUMMYFUNCTION("""COMPUTED_VALUE"""),"Red Sea")</f>
        <v>Red Sea</v>
      </c>
      <c r="B303" t="str">
        <f ca="1">IFERROR(__xludf.DUMMYFUNCTION("""COMPUTED_VALUE"""),"M511")</f>
        <v>M511</v>
      </c>
    </row>
    <row r="304" spans="1:2" ht="12.5" x14ac:dyDescent="0.25">
      <c r="A304" t="str">
        <f ca="1">IFERROR(__xludf.DUMMYFUNCTION("""COMPUTED_VALUE"""),"Rio Grande")</f>
        <v>Rio Grande</v>
      </c>
      <c r="B304" t="str">
        <f ca="1">IFERROR(__xludf.DUMMYFUNCTION("""COMPUTED_VALUE"""),"M4122")</f>
        <v>M4122</v>
      </c>
    </row>
    <row r="305" spans="1:2" ht="12.5" x14ac:dyDescent="0.25">
      <c r="A305" t="str">
        <f ca="1">IFERROR(__xludf.DUMMYFUNCTION("""COMPUTED_VALUE"""),"Rockall")</f>
        <v>Rockall</v>
      </c>
      <c r="B305" t="str">
        <f ca="1">IFERROR(__xludf.DUMMYFUNCTION("""COMPUTED_VALUE"""),"M27VIb")</f>
        <v>M27VIb</v>
      </c>
    </row>
    <row r="306" spans="1:2" ht="12.5" x14ac:dyDescent="0.25">
      <c r="A306" t="str">
        <f ca="1">IFERROR(__xludf.DUMMYFUNCTION("""COMPUTED_VALUE"""),"Rockall - Part Of Neafc Area")</f>
        <v>Rockall - Part Of Neafc Area</v>
      </c>
      <c r="B306" t="str">
        <f ca="1">IFERROR(__xludf.DUMMYFUNCTION("""COMPUTED_VALUE"""),"M27VIb1")</f>
        <v>M27VIb1</v>
      </c>
    </row>
    <row r="307" spans="1:2" ht="12.5" x14ac:dyDescent="0.25">
      <c r="A307" t="str">
        <f ca="1">IFERROR(__xludf.DUMMYFUNCTION("""COMPUTED_VALUE"""),"Rockall Non-Neafc Area")</f>
        <v>Rockall Non-Neafc Area</v>
      </c>
      <c r="B307" t="str">
        <f ca="1">IFERROR(__xludf.DUMMYFUNCTION("""COMPUTED_VALUE"""),"M27VIb2")</f>
        <v>M27VIb2</v>
      </c>
    </row>
    <row r="308" spans="1:2" ht="12.5" x14ac:dyDescent="0.25">
      <c r="A308" t="str">
        <f ca="1">IFERROR(__xludf.DUMMYFUNCTION("""COMPUTED_VALUE"""),"Rockall, Nw Coast Of Scotland And North Ireland")</f>
        <v>Rockall, Nw Coast Of Scotland And North Ireland</v>
      </c>
      <c r="B308" t="str">
        <f ca="1">IFERROR(__xludf.DUMMYFUNCTION("""COMPUTED_VALUE"""),"M27VI")</f>
        <v>M27VI</v>
      </c>
    </row>
    <row r="309" spans="1:2" ht="12.5" x14ac:dyDescent="0.25">
      <c r="A309" t="str">
        <f ca="1">IFERROR(__xludf.DUMMYFUNCTION("""COMPUTED_VALUE"""),"Sahara Coastal")</f>
        <v>Sahara Coastal</v>
      </c>
      <c r="B309" t="str">
        <f ca="1">IFERROR(__xludf.DUMMYFUNCTION("""COMPUTED_VALUE"""),"M3413")</f>
        <v>M3413</v>
      </c>
    </row>
    <row r="310" spans="1:2" ht="12.5" x14ac:dyDescent="0.25">
      <c r="A310" t="str">
        <f ca="1">IFERROR(__xludf.DUMMYFUNCTION("""COMPUTED_VALUE"""),"Salvador")</f>
        <v>Salvador</v>
      </c>
      <c r="B310" t="str">
        <f ca="1">IFERROR(__xludf.DUMMYFUNCTION("""COMPUTED_VALUE"""),"M4113")</f>
        <v>M4113</v>
      </c>
    </row>
    <row r="311" spans="1:2" ht="12.5" x14ac:dyDescent="0.25">
      <c r="A311" t="str">
        <f ca="1">IFERROR(__xludf.DUMMYFUNCTION("""COMPUTED_VALUE"""),"San Felix")</f>
        <v>San Felix</v>
      </c>
      <c r="B311" t="str">
        <f ca="1">IFERROR(__xludf.DUMMYFUNCTION("""COMPUTED_VALUE"""),"M8723")</f>
        <v>M8723</v>
      </c>
    </row>
    <row r="312" spans="1:2" ht="12.5" x14ac:dyDescent="0.25">
      <c r="A312" t="str">
        <f ca="1">IFERROR(__xludf.DUMMYFUNCTION("""COMPUTED_VALUE"""),"Santos")</f>
        <v>Santos</v>
      </c>
      <c r="B312" t="str">
        <f ca="1">IFERROR(__xludf.DUMMYFUNCTION("""COMPUTED_VALUE"""),"M4121")</f>
        <v>M4121</v>
      </c>
    </row>
    <row r="313" spans="1:2" ht="12.5" x14ac:dyDescent="0.25">
      <c r="A313" t="str">
        <f ca="1">IFERROR(__xludf.DUMMYFUNCTION("""COMPUTED_VALUE"""),"Sardinia")</f>
        <v>Sardinia</v>
      </c>
      <c r="B313" t="str">
        <f ca="1">IFERROR(__xludf.DUMMYFUNCTION("""COMPUTED_VALUE"""),"M3713")</f>
        <v>M3713</v>
      </c>
    </row>
    <row r="314" spans="1:2" ht="12.5" x14ac:dyDescent="0.25">
      <c r="A314" t="str">
        <f ca="1">IFERROR(__xludf.DUMMYFUNCTION("""COMPUTED_VALUE"""),"Seafo (47.A.0)")</f>
        <v>Seafo (47.A.0)</v>
      </c>
      <c r="B314" t="str">
        <f ca="1">IFERROR(__xludf.DUMMYFUNCTION("""COMPUTED_VALUE"""),"M47A0")</f>
        <v>M47A0</v>
      </c>
    </row>
    <row r="315" spans="1:2" ht="12.5" x14ac:dyDescent="0.25">
      <c r="A315" t="str">
        <f ca="1">IFERROR(__xludf.DUMMYFUNCTION("""COMPUTED_VALUE"""),"Seafo (47.A.1)")</f>
        <v>Seafo (47.A.1)</v>
      </c>
      <c r="B315" t="str">
        <f ca="1">IFERROR(__xludf.DUMMYFUNCTION("""COMPUTED_VALUE"""),"M47A1")</f>
        <v>M47A1</v>
      </c>
    </row>
    <row r="316" spans="1:2" ht="12.5" x14ac:dyDescent="0.25">
      <c r="A316" t="str">
        <f ca="1">IFERROR(__xludf.DUMMYFUNCTION("""COMPUTED_VALUE"""),"Seafo (47.B.0)")</f>
        <v>Seafo (47.B.0)</v>
      </c>
      <c r="B316" t="str">
        <f ca="1">IFERROR(__xludf.DUMMYFUNCTION("""COMPUTED_VALUE"""),"M47B0")</f>
        <v>M47B0</v>
      </c>
    </row>
    <row r="317" spans="1:2" ht="12.5" x14ac:dyDescent="0.25">
      <c r="A317" t="str">
        <f ca="1">IFERROR(__xludf.DUMMYFUNCTION("""COMPUTED_VALUE"""),"Seafo (47.B.1)")</f>
        <v>Seafo (47.B.1)</v>
      </c>
      <c r="B317" t="str">
        <f ca="1">IFERROR(__xludf.DUMMYFUNCTION("""COMPUTED_VALUE"""),"M47B1")</f>
        <v>M47B1</v>
      </c>
    </row>
    <row r="318" spans="1:2" ht="12.5" x14ac:dyDescent="0.25">
      <c r="A318" t="str">
        <f ca="1">IFERROR(__xludf.DUMMYFUNCTION("""COMPUTED_VALUE"""),"Seafo (47.C.0)")</f>
        <v>Seafo (47.C.0)</v>
      </c>
      <c r="B318" t="str">
        <f ca="1">IFERROR(__xludf.DUMMYFUNCTION("""COMPUTED_VALUE"""),"M47C0")</f>
        <v>M47C0</v>
      </c>
    </row>
    <row r="319" spans="1:2" ht="12.5" x14ac:dyDescent="0.25">
      <c r="A319" t="str">
        <f ca="1">IFERROR(__xludf.DUMMYFUNCTION("""COMPUTED_VALUE"""),"Seafo (47.C.1)")</f>
        <v>Seafo (47.C.1)</v>
      </c>
      <c r="B319" t="str">
        <f ca="1">IFERROR(__xludf.DUMMYFUNCTION("""COMPUTED_VALUE"""),"M47C1")</f>
        <v>M47C1</v>
      </c>
    </row>
    <row r="320" spans="1:2" ht="12.5" x14ac:dyDescent="0.25">
      <c r="A320" t="str">
        <f ca="1">IFERROR(__xludf.DUMMYFUNCTION("""COMPUTED_VALUE"""),"Seafo (47.D.0)")</f>
        <v>Seafo (47.D.0)</v>
      </c>
      <c r="B320" t="str">
        <f ca="1">IFERROR(__xludf.DUMMYFUNCTION("""COMPUTED_VALUE"""),"M47D0")</f>
        <v>M47D0</v>
      </c>
    </row>
    <row r="321" spans="1:2" ht="12.5" x14ac:dyDescent="0.25">
      <c r="A321" t="str">
        <f ca="1">IFERROR(__xludf.DUMMYFUNCTION("""COMPUTED_VALUE"""),"Seafo (47.D.1)")</f>
        <v>Seafo (47.D.1)</v>
      </c>
      <c r="B321" t="str">
        <f ca="1">IFERROR(__xludf.DUMMYFUNCTION("""COMPUTED_VALUE"""),"M47D1")</f>
        <v>M47D1</v>
      </c>
    </row>
    <row r="322" spans="1:2" ht="12.5" x14ac:dyDescent="0.25">
      <c r="A322" t="str">
        <f ca="1">IFERROR(__xludf.DUMMYFUNCTION("""COMPUTED_VALUE"""),"Sherbro")</f>
        <v>Sherbro</v>
      </c>
      <c r="B322" t="str">
        <f ca="1">IFERROR(__xludf.DUMMYFUNCTION("""COMPUTED_VALUE"""),"M3433")</f>
        <v>M3433</v>
      </c>
    </row>
    <row r="323" spans="1:2" ht="12.5" x14ac:dyDescent="0.25">
      <c r="A323" t="str">
        <f ca="1">IFERROR(__xludf.DUMMYFUNCTION("""COMPUTED_VALUE"""),"Skagerrak And Kattegat")</f>
        <v>Skagerrak And Kattegat</v>
      </c>
      <c r="B323" t="str">
        <f ca="1">IFERROR(__xludf.DUMMYFUNCTION("""COMPUTED_VALUE"""),"M27IIIa")</f>
        <v>M27IIIa</v>
      </c>
    </row>
    <row r="324" spans="1:2" ht="12.5" x14ac:dyDescent="0.25">
      <c r="A324" t="str">
        <f ca="1">IFERROR(__xludf.DUMMYFUNCTION("""COMPUTED_VALUE"""),"Skagerrak, Kattegat, Sound, Belt S., And Baltic S.")</f>
        <v>Skagerrak, Kattegat, Sound, Belt S., And Baltic S.</v>
      </c>
      <c r="B324" t="str">
        <f ca="1">IFERROR(__xludf.DUMMYFUNCTION("""COMPUTED_VALUE"""),"M27III")</f>
        <v>M27III</v>
      </c>
    </row>
    <row r="325" spans="1:2" ht="12.5" x14ac:dyDescent="0.25">
      <c r="A325" t="str">
        <f ca="1">IFERROR(__xludf.DUMMYFUNCTION("""COMPUTED_VALUE"""),"Somalia, Kenya And Tanzania")</f>
        <v>Somalia, Kenya And Tanzania</v>
      </c>
      <c r="B325" t="str">
        <f ca="1">IFERROR(__xludf.DUMMYFUNCTION("""COMPUTED_VALUE"""),"M515")</f>
        <v>M515</v>
      </c>
    </row>
    <row r="326" spans="1:2" ht="12.5" x14ac:dyDescent="0.25">
      <c r="A326" t="str">
        <f ca="1">IFERROR(__xludf.DUMMYFUNCTION("""COMPUTED_VALUE"""),"Sound")</f>
        <v>Sound</v>
      </c>
      <c r="B326" t="str">
        <f ca="1">IFERROR(__xludf.DUMMYFUNCTION("""COMPUTED_VALUE"""),"M27III23")</f>
        <v>M27III23</v>
      </c>
    </row>
    <row r="327" spans="1:2" ht="12.5" x14ac:dyDescent="0.25">
      <c r="A327" t="str">
        <f ca="1">IFERROR(__xludf.DUMMYFUNCTION("""COMPUTED_VALUE"""),"Sound And Belt Sea Or The Transition Area")</f>
        <v>Sound And Belt Sea Or The Transition Area</v>
      </c>
      <c r="B327" t="str">
        <f ca="1">IFERROR(__xludf.DUMMYFUNCTION("""COMPUTED_VALUE"""),"M27IIIb c")</f>
        <v>M27IIIb c</v>
      </c>
    </row>
    <row r="328" spans="1:2" ht="12.5" x14ac:dyDescent="0.25">
      <c r="A328" t="str">
        <f ca="1">IFERROR(__xludf.DUMMYFUNCTION("""COMPUTED_VALUE"""),"South Georgia")</f>
        <v>South Georgia</v>
      </c>
      <c r="B328" t="str">
        <f ca="1">IFERROR(__xludf.DUMMYFUNCTION("""COMPUTED_VALUE"""),"M483")</f>
        <v>M483</v>
      </c>
    </row>
    <row r="329" spans="1:2" ht="12.5" x14ac:dyDescent="0.25">
      <c r="A329" t="str">
        <f ca="1">IFERROR(__xludf.DUMMYFUNCTION("""COMPUTED_VALUE"""),"South Orkney")</f>
        <v>South Orkney</v>
      </c>
      <c r="B329" t="str">
        <f ca="1">IFERROR(__xludf.DUMMYFUNCTION("""COMPUTED_VALUE"""),"M482")</f>
        <v>M482</v>
      </c>
    </row>
    <row r="330" spans="1:2" ht="12.5" x14ac:dyDescent="0.25">
      <c r="A330" t="str">
        <f ca="1">IFERROR(__xludf.DUMMYFUNCTION("""COMPUTED_VALUE"""),"South Sandwich")</f>
        <v>South Sandwich</v>
      </c>
      <c r="B330" t="str">
        <f ca="1">IFERROR(__xludf.DUMMYFUNCTION("""COMPUTED_VALUE"""),"M484")</f>
        <v>M484</v>
      </c>
    </row>
    <row r="331" spans="1:2" ht="12.5" x14ac:dyDescent="0.25">
      <c r="A331" t="str">
        <f ca="1">IFERROR(__xludf.DUMMYFUNCTION("""COMPUTED_VALUE"""),"Southeast Greenland")</f>
        <v>Southeast Greenland</v>
      </c>
      <c r="B331" t="str">
        <f ca="1">IFERROR(__xludf.DUMMYFUNCTION("""COMPUTED_VALUE"""),"M27XIVb")</f>
        <v>M27XIVb</v>
      </c>
    </row>
    <row r="332" spans="1:2" ht="12.5" x14ac:dyDescent="0.25">
      <c r="A332" t="str">
        <f ca="1">IFERROR(__xludf.DUMMYFUNCTION("""COMPUTED_VALUE"""),"Southeast Greenland - Neafc Regulatory Area")</f>
        <v>Southeast Greenland - Neafc Regulatory Area</v>
      </c>
      <c r="B332" t="str">
        <f ca="1">IFERROR(__xludf.DUMMYFUNCTION("""COMPUTED_VALUE"""),"M27XIVb1")</f>
        <v>M27XIVb1</v>
      </c>
    </row>
    <row r="333" spans="1:2" ht="12.5" x14ac:dyDescent="0.25">
      <c r="A333" t="str">
        <f ca="1">IFERROR(__xludf.DUMMYFUNCTION("""COMPUTED_VALUE"""),"Southeast Greenland Non-Neafc Regulatory Area")</f>
        <v>Southeast Greenland Non-Neafc Regulatory Area</v>
      </c>
      <c r="B333" t="str">
        <f ca="1">IFERROR(__xludf.DUMMYFUNCTION("""COMPUTED_VALUE"""),"M27XIVb2")</f>
        <v>M27XIVb2</v>
      </c>
    </row>
    <row r="334" spans="1:2" ht="12.5" x14ac:dyDescent="0.25">
      <c r="A334" t="str">
        <f ca="1">IFERROR(__xludf.DUMMYFUNCTION("""COMPUTED_VALUE"""),"Southeastern Subdivision")</f>
        <v>Southeastern Subdivision</v>
      </c>
      <c r="B334" t="str">
        <f ca="1">IFERROR(__xludf.DUMMYFUNCTION("""COMPUTED_VALUE"""),"M213Ps")</f>
        <v>M213Ps</v>
      </c>
    </row>
    <row r="335" spans="1:2" ht="12.5" x14ac:dyDescent="0.25">
      <c r="A335" t="str">
        <f ca="1">IFERROR(__xludf.DUMMYFUNCTION("""COMPUTED_VALUE"""),"Southern (Atlantic)")</f>
        <v>Southern (Atlantic)</v>
      </c>
      <c r="B335" t="str">
        <f ca="1">IFERROR(__xludf.DUMMYFUNCTION("""COMPUTED_VALUE"""),"M413")</f>
        <v>M413</v>
      </c>
    </row>
    <row r="336" spans="1:2" ht="12.5" x14ac:dyDescent="0.25">
      <c r="A336" t="str">
        <f ca="1">IFERROR(__xludf.DUMMYFUNCTION("""COMPUTED_VALUE"""),"Southern (Pacific)")</f>
        <v>Southern (Pacific)</v>
      </c>
      <c r="B336" t="str">
        <f ca="1">IFERROR(__xludf.DUMMYFUNCTION("""COMPUTED_VALUE"""),"M873")</f>
        <v>M873</v>
      </c>
    </row>
    <row r="337" spans="1:2" ht="12.5" x14ac:dyDescent="0.25">
      <c r="A337" t="str">
        <f ca="1">IFERROR(__xludf.DUMMYFUNCTION("""COMPUTED_VALUE"""),"Southern Australia")</f>
        <v>Southern Australia</v>
      </c>
      <c r="B337" t="str">
        <f ca="1">IFERROR(__xludf.DUMMYFUNCTION("""COMPUTED_VALUE"""),"M576")</f>
        <v>M576</v>
      </c>
    </row>
    <row r="338" spans="1:2" ht="12.5" x14ac:dyDescent="0.25">
      <c r="A338" t="str">
        <f ca="1">IFERROR(__xludf.DUMMYFUNCTION("""COMPUTED_VALUE"""),"Southern Central Baltic - East")</f>
        <v>Southern Central Baltic - East</v>
      </c>
      <c r="B338" t="str">
        <f ca="1">IFERROR(__xludf.DUMMYFUNCTION("""COMPUTED_VALUE"""),"M27IIId26")</f>
        <v>M27IIId26</v>
      </c>
    </row>
    <row r="339" spans="1:2" ht="12.5" x14ac:dyDescent="0.25">
      <c r="A339" t="str">
        <f ca="1">IFERROR(__xludf.DUMMYFUNCTION("""COMPUTED_VALUE"""),"Southern Central Baltic - West")</f>
        <v>Southern Central Baltic - West</v>
      </c>
      <c r="B339" t="str">
        <f ca="1">IFERROR(__xludf.DUMMYFUNCTION("""COMPUTED_VALUE"""),"M27IIId25")</f>
        <v>M27IIId25</v>
      </c>
    </row>
    <row r="340" spans="1:2" ht="12.5" x14ac:dyDescent="0.25">
      <c r="A340" t="str">
        <f ca="1">IFERROR(__xludf.DUMMYFUNCTION("""COMPUTED_VALUE"""),"Southern Coastal (Atlantic)")</f>
        <v>Southern Coastal (Atlantic)</v>
      </c>
      <c r="B340" t="str">
        <f ca="1">IFERROR(__xludf.DUMMYFUNCTION("""COMPUTED_VALUE"""),"M343")</f>
        <v>M343</v>
      </c>
    </row>
    <row r="341" spans="1:2" ht="12.5" x14ac:dyDescent="0.25">
      <c r="A341" t="str">
        <f ca="1">IFERROR(__xludf.DUMMYFUNCTION("""COMPUTED_VALUE"""),"Southern Coastal (Pacific)")</f>
        <v>Southern Coastal (Pacific)</v>
      </c>
      <c r="B341" t="str">
        <f ca="1">IFERROR(__xludf.DUMMYFUNCTION("""COMPUTED_VALUE"""),"M8731")</f>
        <v>M8731</v>
      </c>
    </row>
    <row r="342" spans="1:2" ht="12.5" x14ac:dyDescent="0.25">
      <c r="A342" t="str">
        <f ca="1">IFERROR(__xludf.DUMMYFUNCTION("""COMPUTED_VALUE"""),"Southern Gulf Of Guinea")</f>
        <v>Southern Gulf Of Guinea</v>
      </c>
      <c r="B342" t="str">
        <f ca="1">IFERROR(__xludf.DUMMYFUNCTION("""COMPUTED_VALUE"""),"M3436")</f>
        <v>M3436</v>
      </c>
    </row>
    <row r="343" spans="1:2" ht="12.5" x14ac:dyDescent="0.25">
      <c r="A343" t="str">
        <f ca="1">IFERROR(__xludf.DUMMYFUNCTION("""COMPUTED_VALUE"""),"Southern Intermediate")</f>
        <v>Southern Intermediate</v>
      </c>
      <c r="B343" t="str">
        <f ca="1">IFERROR(__xludf.DUMMYFUNCTION("""COMPUTED_VALUE"""),"M8732")</f>
        <v>M8732</v>
      </c>
    </row>
    <row r="344" spans="1:2" ht="12.5" x14ac:dyDescent="0.25">
      <c r="A344" t="str">
        <f ca="1">IFERROR(__xludf.DUMMYFUNCTION("""COMPUTED_VALUE"""),"Southern Mid-Atlantic Ridge")</f>
        <v>Southern Mid-Atlantic Ridge</v>
      </c>
      <c r="B344" t="str">
        <f ca="1">IFERROR(__xludf.DUMMYFUNCTION("""COMPUTED_VALUE"""),"M27XIIa")</f>
        <v>M27XIIa</v>
      </c>
    </row>
    <row r="345" spans="1:2" ht="12.5" x14ac:dyDescent="0.25">
      <c r="A345" t="str">
        <f ca="1">IFERROR(__xludf.DUMMYFUNCTION("""COMPUTED_VALUE"""),"Southern North Sea")</f>
        <v>Southern North Sea</v>
      </c>
      <c r="B345" t="str">
        <f ca="1">IFERROR(__xludf.DUMMYFUNCTION("""COMPUTED_VALUE"""),"M27IVc")</f>
        <v>M27IVc</v>
      </c>
    </row>
    <row r="346" spans="1:2" ht="12.5" x14ac:dyDescent="0.25">
      <c r="A346" t="str">
        <f ca="1">IFERROR(__xludf.DUMMYFUNCTION("""COMPUTED_VALUE"""),"Southern Oceanic")</f>
        <v>Southern Oceanic</v>
      </c>
      <c r="B346" t="str">
        <f ca="1">IFERROR(__xludf.DUMMYFUNCTION("""COMPUTED_VALUE"""),"M4133")</f>
        <v>M4133</v>
      </c>
    </row>
    <row r="347" spans="1:2" ht="12.5" x14ac:dyDescent="0.25">
      <c r="A347" t="str">
        <f ca="1">IFERROR(__xludf.DUMMYFUNCTION("""COMPUTED_VALUE"""),"Southern Oceanic (Atlantic)")</f>
        <v>Southern Oceanic (Atlantic)</v>
      </c>
      <c r="B347" t="str">
        <f ca="1">IFERROR(__xludf.DUMMYFUNCTION("""COMPUTED_VALUE"""),"M344")</f>
        <v>M344</v>
      </c>
    </row>
    <row r="348" spans="1:2" ht="12.5" x14ac:dyDescent="0.25">
      <c r="A348" t="str">
        <f ca="1">IFERROR(__xludf.DUMMYFUNCTION("""COMPUTED_VALUE"""),"Southern Oceanic (Pacific)")</f>
        <v>Southern Oceanic (Pacific)</v>
      </c>
      <c r="B348" t="str">
        <f ca="1">IFERROR(__xludf.DUMMYFUNCTION("""COMPUTED_VALUE"""),"M8733")</f>
        <v>M8733</v>
      </c>
    </row>
    <row r="349" spans="1:2" ht="12.5" x14ac:dyDescent="0.25">
      <c r="A349" t="str">
        <f ca="1">IFERROR(__xludf.DUMMYFUNCTION("""COMPUTED_VALUE"""),"Southern Patagonian")</f>
        <v>Southern Patagonian</v>
      </c>
      <c r="B349" t="str">
        <f ca="1">IFERROR(__xludf.DUMMYFUNCTION("""COMPUTED_VALUE"""),"M4132")</f>
        <v>M4132</v>
      </c>
    </row>
    <row r="350" spans="1:2" ht="12.5" x14ac:dyDescent="0.25">
      <c r="A350" t="str">
        <f ca="1">IFERROR(__xludf.DUMMYFUNCTION("""COMPUTED_VALUE"""),"Southern Subdivision")</f>
        <v>Southern Subdivision</v>
      </c>
      <c r="B350" t="str">
        <f ca="1">IFERROR(__xludf.DUMMYFUNCTION("""COMPUTED_VALUE"""),"M214Vs")</f>
        <v>M214Vs</v>
      </c>
    </row>
    <row r="351" spans="1:2" ht="12.5" x14ac:dyDescent="0.25">
      <c r="A351" t="str">
        <f ca="1">IFERROR(__xludf.DUMMYFUNCTION("""COMPUTED_VALUE"""),"Southwest Australia")</f>
        <v>Southwest Australia</v>
      </c>
      <c r="B351" t="str">
        <f ca="1">IFERROR(__xludf.DUMMYFUNCTION("""COMPUTED_VALUE"""),"M5751")</f>
        <v>M5751</v>
      </c>
    </row>
    <row r="352" spans="1:2" ht="12.5" x14ac:dyDescent="0.25">
      <c r="A352" t="str">
        <f ca="1">IFERROR(__xludf.DUMMYFUNCTION("""COMPUTED_VALUE"""),"Southwest Gulf Of Guinea")</f>
        <v>Southwest Gulf Of Guinea</v>
      </c>
      <c r="B352" t="str">
        <f ca="1">IFERROR(__xludf.DUMMYFUNCTION("""COMPUTED_VALUE"""),"M3441")</f>
        <v>M3441</v>
      </c>
    </row>
    <row r="353" spans="1:2" ht="12.5" x14ac:dyDescent="0.25">
      <c r="A353" t="str">
        <f ca="1">IFERROR(__xludf.DUMMYFUNCTION("""COMPUTED_VALUE"""),"Southwest Oceanic")</f>
        <v>Southwest Oceanic</v>
      </c>
      <c r="B353" t="str">
        <f ca="1">IFERROR(__xludf.DUMMYFUNCTION("""COMPUTED_VALUE"""),"M3442")</f>
        <v>M3442</v>
      </c>
    </row>
    <row r="354" spans="1:2" ht="12.5" x14ac:dyDescent="0.25">
      <c r="A354" t="str">
        <f ca="1">IFERROR(__xludf.DUMMYFUNCTION("""COMPUTED_VALUE"""),"Southwest Of Ireland - East")</f>
        <v>Southwest Of Ireland - East</v>
      </c>
      <c r="B354" t="str">
        <f ca="1">IFERROR(__xludf.DUMMYFUNCTION("""COMPUTED_VALUE"""),"M27VIIj")</f>
        <v>M27VIIj</v>
      </c>
    </row>
    <row r="355" spans="1:2" ht="12.5" x14ac:dyDescent="0.25">
      <c r="A355" t="str">
        <f ca="1">IFERROR(__xludf.DUMMYFUNCTION("""COMPUTED_VALUE"""),"Southwest Of Ireland - West")</f>
        <v>Southwest Of Ireland - West</v>
      </c>
      <c r="B355" t="str">
        <f ca="1">IFERROR(__xludf.DUMMYFUNCTION("""COMPUTED_VALUE"""),"M27VIIk")</f>
        <v>M27VIIk</v>
      </c>
    </row>
    <row r="356" spans="1:2" ht="12.5" x14ac:dyDescent="0.25">
      <c r="A356" t="str">
        <f ca="1">IFERROR(__xludf.DUMMYFUNCTION("""COMPUTED_VALUE"""),"Spitzbergen And Bear Island")</f>
        <v>Spitzbergen And Bear Island</v>
      </c>
      <c r="B356" t="str">
        <f ca="1">IFERROR(__xludf.DUMMYFUNCTION("""COMPUTED_VALUE"""),"M27IIb")</f>
        <v>M27IIb</v>
      </c>
    </row>
    <row r="357" spans="1:2" ht="12.5" x14ac:dyDescent="0.25">
      <c r="A357" t="str">
        <f ca="1">IFERROR(__xludf.DUMMYFUNCTION("""COMPUTED_VALUE"""),"Spitzbergen And Bear Island - Neafc Reg. Area (27.II.b.1)")</f>
        <v>Spitzbergen And Bear Island - Neafc Reg. Area (27.II.b.1)</v>
      </c>
      <c r="B357" t="str">
        <f ca="1">IFERROR(__xludf.DUMMYFUNCTION("""COMPUTED_VALUE"""),"M27IIb1")</f>
        <v>M27IIb1</v>
      </c>
    </row>
    <row r="358" spans="1:2" ht="12.5" x14ac:dyDescent="0.25">
      <c r="A358" t="str">
        <f ca="1">IFERROR(__xludf.DUMMYFUNCTION("""COMPUTED_VALUE"""),"Spitzbergen And Bear Island - Neafc Reg. Area (27.II.b.2)")</f>
        <v>Spitzbergen And Bear Island - Neafc Reg. Area (27.II.b.2)</v>
      </c>
      <c r="B358" t="str">
        <f ca="1">IFERROR(__xludf.DUMMYFUNCTION("""COMPUTED_VALUE"""),"M27IIb2")</f>
        <v>M27IIb2</v>
      </c>
    </row>
    <row r="359" spans="1:2" ht="12.5" x14ac:dyDescent="0.25">
      <c r="A359" t="str">
        <f ca="1">IFERROR(__xludf.DUMMYFUNCTION("""COMPUTED_VALUE"""),"Subdivision Xiia1 - Neafc Regulatory Area")</f>
        <v>Subdivision Xiia1 - Neafc Regulatory Area</v>
      </c>
      <c r="B359" t="str">
        <f ca="1">IFERROR(__xludf.DUMMYFUNCTION("""COMPUTED_VALUE"""),"M27XIIa1")</f>
        <v>M27XIIa1</v>
      </c>
    </row>
    <row r="360" spans="1:2" ht="12.5" x14ac:dyDescent="0.25">
      <c r="A360" t="str">
        <f ca="1">IFERROR(__xludf.DUMMYFUNCTION("""COMPUTED_VALUE"""),"Subdivision Xiia2 - Neafc Regulatory Area")</f>
        <v>Subdivision Xiia2 - Neafc Regulatory Area</v>
      </c>
      <c r="B360" t="str">
        <f ca="1">IFERROR(__xludf.DUMMYFUNCTION("""COMPUTED_VALUE"""),"M27XIIa2")</f>
        <v>M27XIIa2</v>
      </c>
    </row>
    <row r="361" spans="1:2" ht="12.5" x14ac:dyDescent="0.25">
      <c r="A361" t="str">
        <f ca="1">IFERROR(__xludf.DUMMYFUNCTION("""COMPUTED_VALUE"""),"Subdivision Xiia3 Non-Neafc Regulatory Area")</f>
        <v>Subdivision Xiia3 Non-Neafc Regulatory Area</v>
      </c>
      <c r="B361" t="str">
        <f ca="1">IFERROR(__xludf.DUMMYFUNCTION("""COMPUTED_VALUE"""),"M27XIIa3")</f>
        <v>M27XIIa3</v>
      </c>
    </row>
    <row r="362" spans="1:2" ht="12.5" x14ac:dyDescent="0.25">
      <c r="A362" t="str">
        <f ca="1">IFERROR(__xludf.DUMMYFUNCTION("""COMPUTED_VALUE"""),"Subdivision Xiia4 Non-Neafc Regulatory Area")</f>
        <v>Subdivision Xiia4 Non-Neafc Regulatory Area</v>
      </c>
      <c r="B362" t="str">
        <f ca="1">IFERROR(__xludf.DUMMYFUNCTION("""COMPUTED_VALUE"""),"M27XIIa4")</f>
        <v>M27XIIa4</v>
      </c>
    </row>
    <row r="363" spans="1:2" ht="12.5" x14ac:dyDescent="0.25">
      <c r="A363" t="str">
        <f ca="1">IFERROR(__xludf.DUMMYFUNCTION("""COMPUTED_VALUE"""),"Sw Of Ireland - East - Neafc Regulatory")</f>
        <v>Sw Of Ireland - East - Neafc Regulatory</v>
      </c>
      <c r="B363" t="str">
        <f ca="1">IFERROR(__xludf.DUMMYFUNCTION("""COMPUTED_VALUE"""),"M27VIIj1")</f>
        <v>M27VIIj1</v>
      </c>
    </row>
    <row r="364" spans="1:2" ht="12.5" x14ac:dyDescent="0.25">
      <c r="A364" t="str">
        <f ca="1">IFERROR(__xludf.DUMMYFUNCTION("""COMPUTED_VALUE"""),"Sw Of Ireland - East - Non-Neafc Regulatory")</f>
        <v>Sw Of Ireland - East - Non-Neafc Regulatory</v>
      </c>
      <c r="B364" t="str">
        <f ca="1">IFERROR(__xludf.DUMMYFUNCTION("""COMPUTED_VALUE"""),"M27VIIj2")</f>
        <v>M27VIIj2</v>
      </c>
    </row>
    <row r="365" spans="1:2" ht="12.5" x14ac:dyDescent="0.25">
      <c r="A365" t="str">
        <f ca="1">IFERROR(__xludf.DUMMYFUNCTION("""COMPUTED_VALUE"""),"Sw Of Ireland - West - Neafc Regulatory Area")</f>
        <v>Sw Of Ireland - West - Neafc Regulatory Area</v>
      </c>
      <c r="B365" t="str">
        <f ca="1">IFERROR(__xludf.DUMMYFUNCTION("""COMPUTED_VALUE"""),"M27VIIk1")</f>
        <v>M27VIIk1</v>
      </c>
    </row>
    <row r="366" spans="1:2" ht="12.5" x14ac:dyDescent="0.25">
      <c r="A366" t="str">
        <f ca="1">IFERROR(__xludf.DUMMYFUNCTION("""COMPUTED_VALUE"""),"Sw Of Ireland - West - Non-Neafc Regulatory Area")</f>
        <v>Sw Of Ireland - West - Non-Neafc Regulatory Area</v>
      </c>
      <c r="B366" t="str">
        <f ca="1">IFERROR(__xludf.DUMMYFUNCTION("""COMPUTED_VALUE"""),"M27VIIk2")</f>
        <v>M27VIIk2</v>
      </c>
    </row>
    <row r="367" spans="1:2" ht="12.5" x14ac:dyDescent="0.25">
      <c r="A367" t="str">
        <f ca="1">IFERROR(__xludf.DUMMYFUNCTION("""COMPUTED_VALUE"""),"United States Waters")</f>
        <v>United States Waters</v>
      </c>
      <c r="B367" t="str">
        <f ca="1">IFERROR(__xludf.DUMMYFUNCTION("""COMPUTED_VALUE"""),"M215Zu")</f>
        <v>M215Zu</v>
      </c>
    </row>
    <row r="368" spans="1:2" ht="12.5" x14ac:dyDescent="0.25">
      <c r="A368" t="str">
        <f ca="1">IFERROR(__xludf.DUMMYFUNCTION("""COMPUTED_VALUE"""),"Unknown Area")</f>
        <v>Unknown Area</v>
      </c>
      <c r="B368" t="str">
        <f ca="1">IFERROR(__xludf.DUMMYFUNCTION("""COMPUTED_VALUE"""),"M99")</f>
        <v>M99</v>
      </c>
    </row>
    <row r="369" spans="1:2" ht="12.5" x14ac:dyDescent="0.25">
      <c r="A369" t="str">
        <f ca="1">IFERROR(__xludf.DUMMYFUNCTION("""COMPUTED_VALUE"""),"Weddel Sea")</f>
        <v>Weddel Sea</v>
      </c>
      <c r="B369" t="str">
        <f ca="1">IFERROR(__xludf.DUMMYFUNCTION("""COMPUTED_VALUE"""),"M485")</f>
        <v>M485</v>
      </c>
    </row>
    <row r="370" spans="1:2" ht="12.5" x14ac:dyDescent="0.25">
      <c r="A370" t="str">
        <f ca="1">IFERROR(__xludf.DUMMYFUNCTION("""COMPUTED_VALUE"""),"West Of Bay Of Biscay")</f>
        <v>West Of Bay Of Biscay</v>
      </c>
      <c r="B370" t="str">
        <f ca="1">IFERROR(__xludf.DUMMYFUNCTION("""COMPUTED_VALUE"""),"M27VIIIe")</f>
        <v>M27VIIIe</v>
      </c>
    </row>
    <row r="371" spans="1:2" ht="12.5" x14ac:dyDescent="0.25">
      <c r="A371" t="str">
        <f ca="1">IFERROR(__xludf.DUMMYFUNCTION("""COMPUTED_VALUE"""),"West Of Bay Of Biscay - Neafc Reg. Area")</f>
        <v>West Of Bay Of Biscay - Neafc Reg. Area</v>
      </c>
      <c r="B371" t="str">
        <f ca="1">IFERROR(__xludf.DUMMYFUNCTION("""COMPUTED_VALUE"""),"M27VIIIe1")</f>
        <v>M27VIIIe1</v>
      </c>
    </row>
    <row r="372" spans="1:2" ht="12.5" x14ac:dyDescent="0.25">
      <c r="A372" t="str">
        <f ca="1">IFERROR(__xludf.DUMMYFUNCTION("""COMPUTED_VALUE"""),"West Of Bay Of Biscay - Non-Neafc Reg. Area")</f>
        <v>West Of Bay Of Biscay - Non-Neafc Reg. Area</v>
      </c>
      <c r="B372" t="str">
        <f ca="1">IFERROR(__xludf.DUMMYFUNCTION("""COMPUTED_VALUE"""),"M27VIIIe2")</f>
        <v>M27VIIIe2</v>
      </c>
    </row>
    <row r="373" spans="1:2" ht="12.5" x14ac:dyDescent="0.25">
      <c r="A373" t="str">
        <f ca="1">IFERROR(__xludf.DUMMYFUNCTION("""COMPUTED_VALUE"""),"West Of Gotland")</f>
        <v>West Of Gotland</v>
      </c>
      <c r="B373" t="str">
        <f ca="1">IFERROR(__xludf.DUMMYFUNCTION("""COMPUTED_VALUE"""),"M27IIId27")</f>
        <v>M27IIId27</v>
      </c>
    </row>
    <row r="374" spans="1:2" ht="12.5" x14ac:dyDescent="0.25">
      <c r="A374" t="str">
        <f ca="1">IFERROR(__xludf.DUMMYFUNCTION("""COMPUTED_VALUE"""),"West Of Ireland")</f>
        <v>West Of Ireland</v>
      </c>
      <c r="B374" t="str">
        <f ca="1">IFERROR(__xludf.DUMMYFUNCTION("""COMPUTED_VALUE"""),"M27VIIb")</f>
        <v>M27VIIb</v>
      </c>
    </row>
    <row r="375" spans="1:2" ht="12.5" x14ac:dyDescent="0.25">
      <c r="A375" t="str">
        <f ca="1">IFERROR(__xludf.DUMMYFUNCTION("""COMPUTED_VALUE"""),"Western Arabian Sea")</f>
        <v>Western Arabian Sea</v>
      </c>
      <c r="B375" t="str">
        <f ca="1">IFERROR(__xludf.DUMMYFUNCTION("""COMPUTED_VALUE"""),"M513")</f>
        <v>M513</v>
      </c>
    </row>
    <row r="376" spans="1:2" ht="12.5" x14ac:dyDescent="0.25">
      <c r="A376" t="str">
        <f ca="1">IFERROR(__xludf.DUMMYFUNCTION("""COMPUTED_VALUE"""),"Western Australia")</f>
        <v>Western Australia</v>
      </c>
      <c r="B376" t="str">
        <f ca="1">IFERROR(__xludf.DUMMYFUNCTION("""COMPUTED_VALUE"""),"M575")</f>
        <v>M575</v>
      </c>
    </row>
    <row r="377" spans="1:2" ht="12.5" x14ac:dyDescent="0.25">
      <c r="A377" t="str">
        <f ca="1">IFERROR(__xludf.DUMMYFUNCTION("""COMPUTED_VALUE"""),"Western English Channel")</f>
        <v>Western English Channel</v>
      </c>
      <c r="B377" t="str">
        <f ca="1">IFERROR(__xludf.DUMMYFUNCTION("""COMPUTED_VALUE"""),"M27VIIe")</f>
        <v>M27VIIe</v>
      </c>
    </row>
    <row r="378" spans="1:2" ht="12.5" x14ac:dyDescent="0.25">
      <c r="A378" t="str">
        <f ca="1">IFERROR(__xludf.DUMMYFUNCTION("""COMPUTED_VALUE"""),"Western Gulf Of Guinea")</f>
        <v>Western Gulf Of Guinea</v>
      </c>
      <c r="B378" t="str">
        <f ca="1">IFERROR(__xludf.DUMMYFUNCTION("""COMPUTED_VALUE"""),"M3434")</f>
        <v>M3434</v>
      </c>
    </row>
    <row r="379" spans="1:2" ht="12.5" x14ac:dyDescent="0.25">
      <c r="A379" t="str">
        <f ca="1">IFERROR(__xludf.DUMMYFUNCTION("""COMPUTED_VALUE"""),"Western Hatton Bank")</f>
        <v>Western Hatton Bank</v>
      </c>
      <c r="B379" t="str">
        <f ca="1">IFERROR(__xludf.DUMMYFUNCTION("""COMPUTED_VALUE"""),"M27XIIb")</f>
        <v>M27XIIb</v>
      </c>
    </row>
    <row r="380" spans="1:2" ht="12.5" x14ac:dyDescent="0.25">
      <c r="A380" t="str">
        <f ca="1">IFERROR(__xludf.DUMMYFUNCTION("""COMPUTED_VALUE"""),"Western Mediterranean")</f>
        <v>Western Mediterranean</v>
      </c>
      <c r="B380" t="str">
        <f ca="1">IFERROR(__xludf.DUMMYFUNCTION("""COMPUTED_VALUE"""),"M371")</f>
        <v>M371</v>
      </c>
    </row>
    <row r="381" spans="1:2" ht="12.5" x14ac:dyDescent="0.25">
      <c r="A381" t="str">
        <f ca="1">IFERROR(__xludf.DUMMYFUNCTION("""COMPUTED_VALUE"""),"Western Ross Sea")</f>
        <v>Western Ross Sea</v>
      </c>
      <c r="B381" t="str">
        <f ca="1">IFERROR(__xludf.DUMMYFUNCTION("""COMPUTED_VALUE"""),"M882")</f>
        <v>M882</v>
      </c>
    </row>
    <row r="382" spans="1:2" ht="12.5" x14ac:dyDescent="0.25">
      <c r="A382" t="str">
        <f ca="1">IFERROR(__xludf.DUMMYFUNCTION("""COMPUTED_VALUE"""),"Western Subdivision")</f>
        <v>Western Subdivision</v>
      </c>
      <c r="B382" t="str">
        <f ca="1">IFERROR(__xludf.DUMMYFUNCTION("""COMPUTED_VALUE"""),"M215Zw")</f>
        <v>M215Zw</v>
      </c>
    </row>
    <row r="383" spans="1:2" ht="12.5" x14ac:dyDescent="0.25">
      <c r="A383" t="str">
        <f ca="1">IFERROR(__xludf.DUMMYFUNCTION("""COMPUTED_VALUE"""),"Wilkes Land")</f>
        <v>Wilkes Land</v>
      </c>
      <c r="B383" t="str">
        <f ca="1">IFERROR(__xludf.DUMMYFUNCTION("""COMPUTED_VALUE"""),"M5841")</f>
        <v>M5841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136"/>
  <sheetViews>
    <sheetView workbookViewId="0"/>
  </sheetViews>
  <sheetFormatPr defaultColWidth="14.453125" defaultRowHeight="15.75" customHeight="1" x14ac:dyDescent="0.25"/>
  <cols>
    <col min="1" max="1" width="47.1796875" customWidth="1"/>
  </cols>
  <sheetData>
    <row r="1" spans="1:3" ht="15.75" customHeight="1" x14ac:dyDescent="0.3">
      <c r="A1" s="22" t="str">
        <f ca="1">IFERROR(__xludf.DUMMYFUNCTION("importrange(""https://docs.google.com/spreadsheets/d/1C6N4-YWX9OMmNStd2rYlSUaVys-aiJGLj00cD44aVc8/edit#gid=1894320575"",""Hazard name!A1:O20000"")"),"Value")</f>
        <v>Value</v>
      </c>
      <c r="B1" t="str">
        <f ca="1">IFERROR(__xludf.DUMMYFUNCTION("""COMPUTED_VALUE"""),"ID")</f>
        <v>ID</v>
      </c>
      <c r="C1" t="str">
        <f ca="1">IFERROR(__xludf.DUMMYFUNCTION("""COMPUTED_VALUE"""),"Comment")</f>
        <v>Comment</v>
      </c>
    </row>
    <row r="2" spans="1:3" ht="12.5" x14ac:dyDescent="0.25">
      <c r="A2" t="str">
        <f ca="1">IFERROR(__xludf.DUMMYFUNCTION("""COMPUTED_VALUE"""),"'Prohexadione (prohexadione (acid) and its salts expressed as prohexadione-calcium)")</f>
        <v>'Prohexadione (prohexadione (acid) and its salts expressed as prohexadione-calcium)</v>
      </c>
      <c r="B2" t="str">
        <f ca="1">IFERROR(__xludf.DUMMYFUNCTION("""COMPUTED_VALUE"""),"RF-0352-001-PPP")</f>
        <v>RF-0352-001-PPP</v>
      </c>
    </row>
    <row r="3" spans="1:3" ht="12.5" x14ac:dyDescent="0.25">
      <c r="A3" t="str">
        <f ca="1">IFERROR(__xludf.DUMMYFUNCTION("""COMPUTED_VALUE"""),"(Z)-erucifoline")</f>
        <v>(Z)-erucifoline</v>
      </c>
      <c r="B3" t="str">
        <f ca="1">IFERROR(__xludf.DUMMYFUNCTION("""COMPUTED_VALUE"""),"RF-00000259-TOX")</f>
        <v>RF-00000259-TOX</v>
      </c>
    </row>
    <row r="4" spans="1:3" ht="12.5" x14ac:dyDescent="0.25">
      <c r="A4" t="str">
        <f ca="1">IFERROR(__xludf.DUMMYFUNCTION("""COMPUTED_VALUE"""),"1-(2,4 dichlorophenyl)-2-Imidazol-1-yl-ethanol")</f>
        <v>1-(2,4 dichlorophenyl)-2-Imidazol-1-yl-ethanol</v>
      </c>
      <c r="B4" t="str">
        <f ca="1">IFERROR(__xludf.DUMMYFUNCTION("""COMPUTED_VALUE"""),"RF-00000007-PAR")</f>
        <v>RF-00000007-PAR</v>
      </c>
    </row>
    <row r="5" spans="1:3" ht="12.5" x14ac:dyDescent="0.25">
      <c r="A5" t="str">
        <f ca="1">IFERROR(__xludf.DUMMYFUNCTION("""COMPUTED_VALUE"""),"1-methylcyclopropene")</f>
        <v>1-methylcyclopropene</v>
      </c>
      <c r="B5" t="str">
        <f ca="1">IFERROR(__xludf.DUMMYFUNCTION("""COMPUTED_VALUE"""),"RF-0005-001-PPP")</f>
        <v>RF-0005-001-PPP</v>
      </c>
    </row>
    <row r="6" spans="1:3" ht="12.5" x14ac:dyDescent="0.25">
      <c r="A6" t="str">
        <f ca="1">IFERROR(__xludf.DUMMYFUNCTION("""COMPUTED_VALUE"""),"1-Naphthol")</f>
        <v>1-Naphthol</v>
      </c>
      <c r="B6" t="str">
        <f ca="1">IFERROR(__xludf.DUMMYFUNCTION("""COMPUTED_VALUE"""),"RF-00000067-ORG")</f>
        <v>RF-00000067-ORG</v>
      </c>
    </row>
    <row r="7" spans="1:3" ht="12.5" x14ac:dyDescent="0.25">
      <c r="A7" t="str">
        <f ca="1">IFERROR(__xludf.DUMMYFUNCTION("""COMPUTED_VALUE"""),"1-naphthylacetamide")</f>
        <v>1-naphthylacetamide</v>
      </c>
      <c r="B7" t="str">
        <f ca="1">IFERROR(__xludf.DUMMYFUNCTION("""COMPUTED_VALUE"""),"RF-0006-001-PPP")</f>
        <v>RF-0006-001-PPP</v>
      </c>
    </row>
    <row r="8" spans="1:3" ht="12.5" x14ac:dyDescent="0.25">
      <c r="A8" t="str">
        <f ca="1">IFERROR(__xludf.DUMMYFUNCTION("""COMPUTED_VALUE"""),"1-naphthylacetic acid")</f>
        <v>1-naphthylacetic acid</v>
      </c>
      <c r="B8" t="str">
        <f ca="1">IFERROR(__xludf.DUMMYFUNCTION("""COMPUTED_VALUE"""),"RF-0007-001-PPP")</f>
        <v>RF-0007-001-PPP</v>
      </c>
    </row>
    <row r="9" spans="1:3" ht="12.5" x14ac:dyDescent="0.25">
      <c r="A9" t="str">
        <f ca="1">IFERROR(__xludf.DUMMYFUNCTION("""COMPUTED_VALUE"""),"1,1-dichloro-2,2-bis(4-ethylphenyl)ethane")</f>
        <v>1,1-dichloro-2,2-bis(4-ethylphenyl)ethane</v>
      </c>
      <c r="B9" t="str">
        <f ca="1">IFERROR(__xludf.DUMMYFUNCTION("""COMPUTED_VALUE"""),"RF-0001-001-PPP")</f>
        <v>RF-0001-001-PPP</v>
      </c>
    </row>
    <row r="10" spans="1:3" ht="12.5" x14ac:dyDescent="0.25">
      <c r="A10" t="str">
        <f ca="1">IFERROR(__xludf.DUMMYFUNCTION("""COMPUTED_VALUE"""),"1,2-Dibromo-3-chloropropane")</f>
        <v>1,2-Dibromo-3-chloropropane</v>
      </c>
      <c r="B10" t="str">
        <f ca="1">IFERROR(__xludf.DUMMYFUNCTION("""COMPUTED_VALUE"""),"RF-1052-001-PPP")</f>
        <v>RF-1052-001-PPP</v>
      </c>
    </row>
    <row r="11" spans="1:3" ht="12.5" x14ac:dyDescent="0.25">
      <c r="A11" t="str">
        <f ca="1">IFERROR(__xludf.DUMMYFUNCTION("""COMPUTED_VALUE"""),"1,2-dibromoethane (ethylene dibromide)")</f>
        <v>1,2-dibromoethane (ethylene dibromide)</v>
      </c>
      <c r="B11" t="str">
        <f ca="1">IFERROR(__xludf.DUMMYFUNCTION("""COMPUTED_VALUE"""),"RF-0002-001-PPP")</f>
        <v>RF-0002-001-PPP</v>
      </c>
    </row>
    <row r="12" spans="1:3" ht="12.5" x14ac:dyDescent="0.25">
      <c r="A12" t="str">
        <f ca="1">IFERROR(__xludf.DUMMYFUNCTION("""COMPUTED_VALUE"""),"1,2-dichloroethane (ethylene dichloride)")</f>
        <v>1,2-dichloroethane (ethylene dichloride)</v>
      </c>
      <c r="B12" t="str">
        <f ca="1">IFERROR(__xludf.DUMMYFUNCTION("""COMPUTED_VALUE"""),"RF-0003-001-PPP")</f>
        <v>RF-0003-001-PPP</v>
      </c>
    </row>
    <row r="13" spans="1:3" ht="12.5" x14ac:dyDescent="0.25">
      <c r="A13" t="str">
        <f ca="1">IFERROR(__xludf.DUMMYFUNCTION("""COMPUTED_VALUE"""),"1,2,3,4,6,7,8-HeptaBDF")</f>
        <v>1,2,3,4,6,7,8-HeptaBDF</v>
      </c>
      <c r="B13" t="str">
        <f ca="1">IFERROR(__xludf.DUMMYFUNCTION("""COMPUTED_VALUE"""),"RF-00000420-ORG")</f>
        <v>RF-00000420-ORG</v>
      </c>
    </row>
    <row r="14" spans="1:3" ht="12.5" x14ac:dyDescent="0.25">
      <c r="A14" t="str">
        <f ca="1">IFERROR(__xludf.DUMMYFUNCTION("""COMPUTED_VALUE"""),"1,2,3,4,6,7,8-HpCDD")</f>
        <v>1,2,3,4,6,7,8-HpCDD</v>
      </c>
      <c r="B14" t="str">
        <f ca="1">IFERROR(__xludf.DUMMYFUNCTION("""COMPUTED_VALUE"""),"RF-00000341-ORG")</f>
        <v>RF-00000341-ORG</v>
      </c>
    </row>
    <row r="15" spans="1:3" ht="12.5" x14ac:dyDescent="0.25">
      <c r="A15" t="str">
        <f ca="1">IFERROR(__xludf.DUMMYFUNCTION("""COMPUTED_VALUE"""),"1,2,3,4,6,7,8-HpCDF")</f>
        <v>1,2,3,4,6,7,8-HpCDF</v>
      </c>
      <c r="B15" t="str">
        <f ca="1">IFERROR(__xludf.DUMMYFUNCTION("""COMPUTED_VALUE"""),"RF-00000330-ORG")</f>
        <v>RF-00000330-ORG</v>
      </c>
    </row>
    <row r="16" spans="1:3" ht="12.5" x14ac:dyDescent="0.25">
      <c r="A16" t="str">
        <f ca="1">IFERROR(__xludf.DUMMYFUNCTION("""COMPUTED_VALUE"""),"1,2,3,4,7,8-1,2,3,6,7,8-HexaBDD")</f>
        <v>1,2,3,4,7,8-1,2,3,6,7,8-HexaBDD</v>
      </c>
      <c r="B16" t="str">
        <f ca="1">IFERROR(__xludf.DUMMYFUNCTION("""COMPUTED_VALUE"""),"RF-00000422-ORG")</f>
        <v>RF-00000422-ORG</v>
      </c>
    </row>
    <row r="17" spans="1:2" ht="12.5" x14ac:dyDescent="0.25">
      <c r="A17" t="str">
        <f ca="1">IFERROR(__xludf.DUMMYFUNCTION("""COMPUTED_VALUE"""),"1,2,3,4,7,8-HexaBDF")</f>
        <v>1,2,3,4,7,8-HexaBDF</v>
      </c>
      <c r="B17" t="str">
        <f ca="1">IFERROR(__xludf.DUMMYFUNCTION("""COMPUTED_VALUE"""),"RF-00000421-ORG")</f>
        <v>RF-00000421-ORG</v>
      </c>
    </row>
    <row r="18" spans="1:2" ht="12.5" x14ac:dyDescent="0.25">
      <c r="A18" t="str">
        <f ca="1">IFERROR(__xludf.DUMMYFUNCTION("""COMPUTED_VALUE"""),"1,2,3,4,7,8-HxCDD")</f>
        <v>1,2,3,4,7,8-HxCDD</v>
      </c>
      <c r="B18" t="str">
        <f ca="1">IFERROR(__xludf.DUMMYFUNCTION("""COMPUTED_VALUE"""),"RF-00000347-ORG")</f>
        <v>RF-00000347-ORG</v>
      </c>
    </row>
    <row r="19" spans="1:2" ht="12.5" x14ac:dyDescent="0.25">
      <c r="A19" t="str">
        <f ca="1">IFERROR(__xludf.DUMMYFUNCTION("""COMPUTED_VALUE"""),"1,2,3,4,7,8-HxCDF")</f>
        <v>1,2,3,4,7,8-HxCDF</v>
      </c>
      <c r="B19" t="str">
        <f ca="1">IFERROR(__xludf.DUMMYFUNCTION("""COMPUTED_VALUE"""),"RF-00000332-ORG")</f>
        <v>RF-00000332-ORG</v>
      </c>
    </row>
    <row r="20" spans="1:2" ht="12.5" x14ac:dyDescent="0.25">
      <c r="A20" t="str">
        <f ca="1">IFERROR(__xludf.DUMMYFUNCTION("""COMPUTED_VALUE"""),"1,2,3,4,7,8,9-HpCDF")</f>
        <v>1,2,3,4,7,8,9-HpCDF</v>
      </c>
      <c r="B20" t="str">
        <f ca="1">IFERROR(__xludf.DUMMYFUNCTION("""COMPUTED_VALUE"""),"RF-00000331-ORG")</f>
        <v>RF-00000331-ORG</v>
      </c>
    </row>
    <row r="21" spans="1:2" ht="12.5" x14ac:dyDescent="0.25">
      <c r="A21" t="str">
        <f ca="1">IFERROR(__xludf.DUMMYFUNCTION("""COMPUTED_VALUE"""),"1,2,3,6,7,8-HxCDD")</f>
        <v>1,2,3,6,7,8-HxCDD</v>
      </c>
      <c r="B21" t="str">
        <f ca="1">IFERROR(__xludf.DUMMYFUNCTION("""COMPUTED_VALUE"""),"RF-00000342-ORG")</f>
        <v>RF-00000342-ORG</v>
      </c>
    </row>
    <row r="22" spans="1:2" ht="12.5" x14ac:dyDescent="0.25">
      <c r="A22" t="str">
        <f ca="1">IFERROR(__xludf.DUMMYFUNCTION("""COMPUTED_VALUE"""),"1,2,3,6,7,8-HxCDF")</f>
        <v>1,2,3,6,7,8-HxCDF</v>
      </c>
      <c r="B22" t="str">
        <f ca="1">IFERROR(__xludf.DUMMYFUNCTION("""COMPUTED_VALUE"""),"RF-00000333-ORG")</f>
        <v>RF-00000333-ORG</v>
      </c>
    </row>
    <row r="23" spans="1:2" ht="12.5" x14ac:dyDescent="0.25">
      <c r="A23" t="str">
        <f ca="1">IFERROR(__xludf.DUMMYFUNCTION("""COMPUTED_VALUE"""),"1,2,3,7,8-PeCDD")</f>
        <v>1,2,3,7,8-PeCDD</v>
      </c>
      <c r="B23" t="str">
        <f ca="1">IFERROR(__xludf.DUMMYFUNCTION("""COMPUTED_VALUE"""),"RF-00000344-ORG")</f>
        <v>RF-00000344-ORG</v>
      </c>
    </row>
    <row r="24" spans="1:2" ht="12.5" x14ac:dyDescent="0.25">
      <c r="A24" t="str">
        <f ca="1">IFERROR(__xludf.DUMMYFUNCTION("""COMPUTED_VALUE"""),"1,2,3,7,8-PeCDF")</f>
        <v>1,2,3,7,8-PeCDF</v>
      </c>
      <c r="B24" t="str">
        <f ca="1">IFERROR(__xludf.DUMMYFUNCTION("""COMPUTED_VALUE"""),"RF-00000335-ORG")</f>
        <v>RF-00000335-ORG</v>
      </c>
    </row>
    <row r="25" spans="1:2" ht="12.5" x14ac:dyDescent="0.25">
      <c r="A25" t="str">
        <f ca="1">IFERROR(__xludf.DUMMYFUNCTION("""COMPUTED_VALUE"""),"1,2,3,7,8-PentaBDD")</f>
        <v>1,2,3,7,8-PentaBDD</v>
      </c>
      <c r="B25" t="str">
        <f ca="1">IFERROR(__xludf.DUMMYFUNCTION("""COMPUTED_VALUE"""),"RF-00000423-ORG")</f>
        <v>RF-00000423-ORG</v>
      </c>
    </row>
    <row r="26" spans="1:2" ht="12.5" x14ac:dyDescent="0.25">
      <c r="A26" t="str">
        <f ca="1">IFERROR(__xludf.DUMMYFUNCTION("""COMPUTED_VALUE"""),"1,2,3,7,8-PentaBDF")</f>
        <v>1,2,3,7,8-PentaBDF</v>
      </c>
      <c r="B26" t="str">
        <f ca="1">IFERROR(__xludf.DUMMYFUNCTION("""COMPUTED_VALUE"""),"RF-00000424-ORG")</f>
        <v>RF-00000424-ORG</v>
      </c>
    </row>
    <row r="27" spans="1:2" ht="12.5" x14ac:dyDescent="0.25">
      <c r="A27" t="str">
        <f ca="1">IFERROR(__xludf.DUMMYFUNCTION("""COMPUTED_VALUE"""),"1,2,3,7,8,9-HexaBDD")</f>
        <v>1,2,3,7,8,9-HexaBDD</v>
      </c>
      <c r="B27" t="str">
        <f ca="1">IFERROR(__xludf.DUMMYFUNCTION("""COMPUTED_VALUE"""),"RF-00000425-ORG")</f>
        <v>RF-00000425-ORG</v>
      </c>
    </row>
    <row r="28" spans="1:2" ht="12.5" x14ac:dyDescent="0.25">
      <c r="A28" t="str">
        <f ca="1">IFERROR(__xludf.DUMMYFUNCTION("""COMPUTED_VALUE"""),"1,2,3,7,8,9-HxCDD")</f>
        <v>1,2,3,7,8,9-HxCDD</v>
      </c>
      <c r="B28" t="str">
        <f ca="1">IFERROR(__xludf.DUMMYFUNCTION("""COMPUTED_VALUE"""),"RF-00000343-ORG")</f>
        <v>RF-00000343-ORG</v>
      </c>
    </row>
    <row r="29" spans="1:2" ht="12.5" x14ac:dyDescent="0.25">
      <c r="A29" t="str">
        <f ca="1">IFERROR(__xludf.DUMMYFUNCTION("""COMPUTED_VALUE"""),"1,2,3,7,8,9-HxCDF")</f>
        <v>1,2,3,7,8,9-HxCDF</v>
      </c>
      <c r="B29" t="str">
        <f ca="1">IFERROR(__xludf.DUMMYFUNCTION("""COMPUTED_VALUE"""),"RF-00000334-ORG")</f>
        <v>RF-00000334-ORG</v>
      </c>
    </row>
    <row r="30" spans="1:2" ht="12.5" x14ac:dyDescent="0.25">
      <c r="A30" t="str">
        <f ca="1">IFERROR(__xludf.DUMMYFUNCTION("""COMPUTED_VALUE"""),"1,3-dichloropropene")</f>
        <v>1,3-dichloropropene</v>
      </c>
      <c r="B30" t="str">
        <f ca="1">IFERROR(__xludf.DUMMYFUNCTION("""COMPUTED_VALUE"""),"RF-0004-001-PPP")</f>
        <v>RF-0004-001-PPP</v>
      </c>
    </row>
    <row r="31" spans="1:2" ht="12.5" x14ac:dyDescent="0.25">
      <c r="A31" t="str">
        <f ca="1">IFERROR(__xludf.DUMMYFUNCTION("""COMPUTED_VALUE"""),"12-acetylheliosupine")</f>
        <v>12-acetylheliosupine</v>
      </c>
      <c r="B31" t="str">
        <f ca="1">IFERROR(__xludf.DUMMYFUNCTION("""COMPUTED_VALUE"""),"RF-00000260-TOX")</f>
        <v>RF-00000260-TOX</v>
      </c>
    </row>
    <row r="32" spans="1:2" ht="12.5" x14ac:dyDescent="0.25">
      <c r="A32" t="str">
        <f ca="1">IFERROR(__xludf.DUMMYFUNCTION("""COMPUTED_VALUE"""),"12-acetylindicine")</f>
        <v>12-acetylindicine</v>
      </c>
      <c r="B32" t="str">
        <f ca="1">IFERROR(__xludf.DUMMYFUNCTION("""COMPUTED_VALUE"""),"RF-00000261-TOX")</f>
        <v>RF-00000261-TOX</v>
      </c>
    </row>
    <row r="33" spans="1:2" ht="12.5" x14ac:dyDescent="0.25">
      <c r="A33" t="str">
        <f ca="1">IFERROR(__xludf.DUMMYFUNCTION("""COMPUTED_VALUE"""),"12-acetyllithosenine")</f>
        <v>12-acetyllithosenine</v>
      </c>
      <c r="B33" t="str">
        <f ca="1">IFERROR(__xludf.DUMMYFUNCTION("""COMPUTED_VALUE"""),"RF-00000262-TOX")</f>
        <v>RF-00000262-TOX</v>
      </c>
    </row>
    <row r="34" spans="1:2" ht="12.5" x14ac:dyDescent="0.25">
      <c r="A34" t="str">
        <f ca="1">IFERROR(__xludf.DUMMYFUNCTION("""COMPUTED_VALUE"""),"13-cis retinol")</f>
        <v>13-cis retinol</v>
      </c>
      <c r="B34" t="str">
        <f ca="1">IFERROR(__xludf.DUMMYFUNCTION("""COMPUTED_VALUE"""),"RF-00000002-NTR")</f>
        <v>RF-00000002-NTR</v>
      </c>
    </row>
    <row r="35" spans="1:2" ht="12.5" x14ac:dyDescent="0.25">
      <c r="A35" t="str">
        <f ca="1">IFERROR(__xludf.DUMMYFUNCTION("""COMPUTED_VALUE"""),"15-acetyldeoxynivalenol")</f>
        <v>15-acetyldeoxynivalenol</v>
      </c>
      <c r="B35" t="str">
        <f ca="1">IFERROR(__xludf.DUMMYFUNCTION("""COMPUTED_VALUE"""),"RF-00000169-TOX")</f>
        <v>RF-00000169-TOX</v>
      </c>
    </row>
    <row r="36" spans="1:2" ht="12.5" x14ac:dyDescent="0.25">
      <c r="A36" t="str">
        <f ca="1">IFERROR(__xludf.DUMMYFUNCTION("""COMPUTED_VALUE"""),"17-Alpha-Methyl-5-Beta-Androstan-3-Alpha-17-Beta-Diol")</f>
        <v>17-Alpha-Methyl-5-Beta-Androstan-3-Alpha-17-Beta-Diol</v>
      </c>
      <c r="B36" t="str">
        <f ca="1">IFERROR(__xludf.DUMMYFUNCTION("""COMPUTED_VALUE"""),"RF-00000376-VET")</f>
        <v>RF-00000376-VET</v>
      </c>
    </row>
    <row r="37" spans="1:2" ht="12.5" x14ac:dyDescent="0.25">
      <c r="A37" t="str">
        <f ca="1">IFERROR(__xludf.DUMMYFUNCTION("""COMPUTED_VALUE"""),"1a-homoYTX")</f>
        <v>1a-homoYTX</v>
      </c>
      <c r="B37" t="str">
        <f ca="1">IFERROR(__xludf.DUMMYFUNCTION("""COMPUTED_VALUE"""),"RF-00000120-TOX")</f>
        <v>RF-00000120-TOX</v>
      </c>
    </row>
    <row r="38" spans="1:2" ht="12.5" x14ac:dyDescent="0.25">
      <c r="A38" t="str">
        <f ca="1">IFERROR(__xludf.DUMMYFUNCTION("""COMPUTED_VALUE"""),"1st generation cephalosporins")</f>
        <v>1st generation cephalosporins</v>
      </c>
      <c r="B38" t="str">
        <f ca="1">IFERROR(__xludf.DUMMYFUNCTION("""COMPUTED_VALUE"""),"RF-00000807-VET")</f>
        <v>RF-00000807-VET</v>
      </c>
    </row>
    <row r="39" spans="1:2" ht="12.5" x14ac:dyDescent="0.25">
      <c r="A39" t="str">
        <f ca="1">IFERROR(__xludf.DUMMYFUNCTION("""COMPUTED_VALUE"""),"2-anilino-4-(2-hydroxypropyl)- 6-methylpyrimidin")</f>
        <v>2-anilino-4-(2-hydroxypropyl)- 6-methylpyrimidin</v>
      </c>
      <c r="B39" t="str">
        <f ca="1">IFERROR(__xludf.DUMMYFUNCTION("""COMPUTED_VALUE"""),"RF-0274-003-PPP")</f>
        <v>RF-0274-003-PPP</v>
      </c>
    </row>
    <row r="40" spans="1:2" ht="12.5" x14ac:dyDescent="0.25">
      <c r="A40" t="str">
        <f ca="1">IFERROR(__xludf.DUMMYFUNCTION("""COMPUTED_VALUE"""),"2-Chloorphenol")</f>
        <v>2-Chloorphenol</v>
      </c>
      <c r="B40" t="str">
        <f ca="1">IFERROR(__xludf.DUMMYFUNCTION("""COMPUTED_VALUE"""),"RF-00000020-ORG")</f>
        <v>RF-00000020-ORG</v>
      </c>
    </row>
    <row r="41" spans="1:2" ht="12.5" x14ac:dyDescent="0.25">
      <c r="A41" t="str">
        <f ca="1">IFERROR(__xludf.DUMMYFUNCTION("""COMPUTED_VALUE"""),"2-Hydroxyethylphosphonic acid")</f>
        <v>2-Hydroxyethylphosphonic acid</v>
      </c>
      <c r="B41" t="str">
        <f ca="1">IFERROR(__xludf.DUMMYFUNCTION("""COMPUTED_VALUE"""),"RF-1061-001-PPP")</f>
        <v>RF-1061-001-PPP</v>
      </c>
    </row>
    <row r="42" spans="1:2" ht="12.5" x14ac:dyDescent="0.25">
      <c r="A42" t="str">
        <f ca="1">IFERROR(__xludf.DUMMYFUNCTION("""COMPUTED_VALUE"""),"2-Mercaptoimidazole")</f>
        <v>2-Mercaptoimidazole</v>
      </c>
      <c r="B42" t="str">
        <f ca="1">IFERROR(__xludf.DUMMYFUNCTION("""COMPUTED_VALUE"""),"RF-00000298-VET")</f>
        <v>RF-00000298-VET</v>
      </c>
    </row>
    <row r="43" spans="1:2" ht="12.5" x14ac:dyDescent="0.25">
      <c r="A43" t="str">
        <f ca="1">IFERROR(__xludf.DUMMYFUNCTION("""COMPUTED_VALUE"""),"2-methyl naphthalene")</f>
        <v>2-methyl naphthalene</v>
      </c>
      <c r="B43" t="str">
        <f ca="1">IFERROR(__xludf.DUMMYFUNCTION("""COMPUTED_VALUE"""),"RF-00000068-ORG")</f>
        <v>RF-00000068-ORG</v>
      </c>
    </row>
    <row r="44" spans="1:2" ht="12.5" x14ac:dyDescent="0.25">
      <c r="A44" t="str">
        <f ca="1">IFERROR(__xludf.DUMMYFUNCTION("""COMPUTED_VALUE"""),"2-methyl,4,6-dinitrophenol")</f>
        <v>2-methyl,4,6-dinitrophenol</v>
      </c>
      <c r="B44" t="str">
        <f ca="1">IFERROR(__xludf.DUMMYFUNCTION("""COMPUTED_VALUE"""),"RF-00000021-ORG")</f>
        <v>RF-00000021-ORG</v>
      </c>
    </row>
    <row r="45" spans="1:2" ht="12.5" x14ac:dyDescent="0.25">
      <c r="A45" t="str">
        <f ca="1">IFERROR(__xludf.DUMMYFUNCTION("""COMPUTED_VALUE"""),"2-phenylphenol")</f>
        <v>2-phenylphenol</v>
      </c>
      <c r="B45" t="str">
        <f ca="1">IFERROR(__xludf.DUMMYFUNCTION("""COMPUTED_VALUE"""),"RF-0823-001-PPP")</f>
        <v>RF-0823-001-PPP</v>
      </c>
    </row>
    <row r="46" spans="1:2" ht="12.5" x14ac:dyDescent="0.25">
      <c r="A46" t="str">
        <f ca="1">IFERROR(__xludf.DUMMYFUNCTION("""COMPUTED_VALUE"""),"2-Propylphenol")</f>
        <v>2-Propylphenol</v>
      </c>
      <c r="B46" t="str">
        <f ca="1">IFERROR(__xludf.DUMMYFUNCTION("""COMPUTED_VALUE"""),"RF-00000022-ORG")</f>
        <v>RF-00000022-ORG</v>
      </c>
    </row>
    <row r="47" spans="1:2" ht="12.5" x14ac:dyDescent="0.25">
      <c r="A47" t="str">
        <f ca="1">IFERROR(__xludf.DUMMYFUNCTION("""COMPUTED_VALUE"""),"2,2,2-Trichloro-1-(3,4-dichlorophenyl)ethyl acetate")</f>
        <v>2,2,2-Trichloro-1-(3,4-dichlorophenyl)ethyl acetate</v>
      </c>
      <c r="B47" t="str">
        <f ca="1">IFERROR(__xludf.DUMMYFUNCTION("""COMPUTED_VALUE"""),"RF-0990-001-PPP")</f>
        <v>RF-0990-001-PPP</v>
      </c>
    </row>
    <row r="48" spans="1:2" ht="12.5" x14ac:dyDescent="0.25">
      <c r="A48" t="str">
        <f ca="1">IFERROR(__xludf.DUMMYFUNCTION("""COMPUTED_VALUE"""),"2,3,4-Trichloorphenol")</f>
        <v>2,3,4-Trichloorphenol</v>
      </c>
      <c r="B48" t="str">
        <f ca="1">IFERROR(__xludf.DUMMYFUNCTION("""COMPUTED_VALUE"""),"RF-00000013-ORG")</f>
        <v>RF-00000013-ORG</v>
      </c>
    </row>
    <row r="49" spans="1:2" ht="12.5" x14ac:dyDescent="0.25">
      <c r="A49" t="str">
        <f ca="1">IFERROR(__xludf.DUMMYFUNCTION("""COMPUTED_VALUE"""),"2,3,4,5-Tetrachloorphenol")</f>
        <v>2,3,4,5-Tetrachloorphenol</v>
      </c>
      <c r="B49" t="str">
        <f ca="1">IFERROR(__xludf.DUMMYFUNCTION("""COMPUTED_VALUE"""),"RF-00000011-ORG")</f>
        <v>RF-00000011-ORG</v>
      </c>
    </row>
    <row r="50" spans="1:2" ht="12.5" x14ac:dyDescent="0.25">
      <c r="A50" t="str">
        <f ca="1">IFERROR(__xludf.DUMMYFUNCTION("""COMPUTED_VALUE"""),"2,3,4,6-Tetrachloorphenol")</f>
        <v>2,3,4,6-Tetrachloorphenol</v>
      </c>
      <c r="B50" t="str">
        <f ca="1">IFERROR(__xludf.DUMMYFUNCTION("""COMPUTED_VALUE"""),"RF-00000012-ORG")</f>
        <v>RF-00000012-ORG</v>
      </c>
    </row>
    <row r="51" spans="1:2" ht="12.5" x14ac:dyDescent="0.25">
      <c r="A51" t="str">
        <f ca="1">IFERROR(__xludf.DUMMYFUNCTION("""COMPUTED_VALUE"""),"2,3,4,6,7,8-HxCDF")</f>
        <v>2,3,4,6,7,8-HxCDF</v>
      </c>
      <c r="B51" t="str">
        <f ca="1">IFERROR(__xludf.DUMMYFUNCTION("""COMPUTED_VALUE"""),"RF-00000336-ORG")</f>
        <v>RF-00000336-ORG</v>
      </c>
    </row>
    <row r="52" spans="1:2" ht="12.5" x14ac:dyDescent="0.25">
      <c r="A52" t="str">
        <f ca="1">IFERROR(__xludf.DUMMYFUNCTION("""COMPUTED_VALUE"""),"2,3,4,7,8-PeCDF")</f>
        <v>2,3,4,7,8-PeCDF</v>
      </c>
      <c r="B52" t="str">
        <f ca="1">IFERROR(__xludf.DUMMYFUNCTION("""COMPUTED_VALUE"""),"RF-00000337-ORG")</f>
        <v>RF-00000337-ORG</v>
      </c>
    </row>
    <row r="53" spans="1:2" ht="12.5" x14ac:dyDescent="0.25">
      <c r="A53" t="str">
        <f ca="1">IFERROR(__xludf.DUMMYFUNCTION("""COMPUTED_VALUE"""),"2,3,4,7,8-PentaBDF")</f>
        <v>2,3,4,7,8-PentaBDF</v>
      </c>
      <c r="B53" t="str">
        <f ca="1">IFERROR(__xludf.DUMMYFUNCTION("""COMPUTED_VALUE"""),"RF-00000426-ORG")</f>
        <v>RF-00000426-ORG</v>
      </c>
    </row>
    <row r="54" spans="1:2" ht="12.5" x14ac:dyDescent="0.25">
      <c r="A54" t="str">
        <f ca="1">IFERROR(__xludf.DUMMYFUNCTION("""COMPUTED_VALUE"""),"2,3,5-Trichloorphenol")</f>
        <v>2,3,5-Trichloorphenol</v>
      </c>
      <c r="B54" t="str">
        <f ca="1">IFERROR(__xludf.DUMMYFUNCTION("""COMPUTED_VALUE"""),"RF-00000015-ORG")</f>
        <v>RF-00000015-ORG</v>
      </c>
    </row>
    <row r="55" spans="1:2" ht="12.5" x14ac:dyDescent="0.25">
      <c r="A55" t="str">
        <f ca="1">IFERROR(__xludf.DUMMYFUNCTION("""COMPUTED_VALUE"""),"2,3,5-Trimethacarb")</f>
        <v>2,3,5-Trimethacarb</v>
      </c>
      <c r="B55" t="str">
        <f ca="1">IFERROR(__xludf.DUMMYFUNCTION("""COMPUTED_VALUE"""),"RF-0962-002-PPP")</f>
        <v>RF-0962-002-PPP</v>
      </c>
    </row>
    <row r="56" spans="1:2" ht="12.5" x14ac:dyDescent="0.25">
      <c r="A56" t="str">
        <f ca="1">IFERROR(__xludf.DUMMYFUNCTION("""COMPUTED_VALUE"""),"2,3,5,6-Tetrachloorphenol")</f>
        <v>2,3,5,6-Tetrachloorphenol</v>
      </c>
      <c r="B56" t="str">
        <f ca="1">IFERROR(__xludf.DUMMYFUNCTION("""COMPUTED_VALUE"""),"RF-00000014-ORG")</f>
        <v>RF-00000014-ORG</v>
      </c>
    </row>
    <row r="57" spans="1:2" ht="12.5" x14ac:dyDescent="0.25">
      <c r="A57" t="str">
        <f ca="1">IFERROR(__xludf.DUMMYFUNCTION("""COMPUTED_VALUE"""),"2,3,6-Trichloorphenol")</f>
        <v>2,3,6-Trichloorphenol</v>
      </c>
      <c r="B57" t="str">
        <f ca="1">IFERROR(__xludf.DUMMYFUNCTION("""COMPUTED_VALUE"""),"RF-00000016-ORG")</f>
        <v>RF-00000016-ORG</v>
      </c>
    </row>
    <row r="58" spans="1:2" ht="12.5" x14ac:dyDescent="0.25">
      <c r="A58" t="str">
        <f ca="1">IFERROR(__xludf.DUMMYFUNCTION("""COMPUTED_VALUE"""),"2,3,7-TriBDD")</f>
        <v>2,3,7-TriBDD</v>
      </c>
      <c r="B58" t="str">
        <f ca="1">IFERROR(__xludf.DUMMYFUNCTION("""COMPUTED_VALUE"""),"RF-00000427-ORG")</f>
        <v>RF-00000427-ORG</v>
      </c>
    </row>
    <row r="59" spans="1:2" ht="12.5" x14ac:dyDescent="0.25">
      <c r="A59" t="str">
        <f ca="1">IFERROR(__xludf.DUMMYFUNCTION("""COMPUTED_VALUE"""),"2,3,7,8-TCDD")</f>
        <v>2,3,7,8-TCDD</v>
      </c>
      <c r="B59" t="str">
        <f ca="1">IFERROR(__xludf.DUMMYFUNCTION("""COMPUTED_VALUE"""),"RF-00000345-ORG")</f>
        <v>RF-00000345-ORG</v>
      </c>
    </row>
    <row r="60" spans="1:2" ht="12.5" x14ac:dyDescent="0.25">
      <c r="A60" t="str">
        <f ca="1">IFERROR(__xludf.DUMMYFUNCTION("""COMPUTED_VALUE"""),"2,3,7,8-TCDF")</f>
        <v>2,3,7,8-TCDF</v>
      </c>
      <c r="B60" t="str">
        <f ca="1">IFERROR(__xludf.DUMMYFUNCTION("""COMPUTED_VALUE"""),"RF-00000338-ORG")</f>
        <v>RF-00000338-ORG</v>
      </c>
    </row>
    <row r="61" spans="1:2" ht="12.5" x14ac:dyDescent="0.25">
      <c r="A61" t="str">
        <f ca="1">IFERROR(__xludf.DUMMYFUNCTION("""COMPUTED_VALUE"""),"2,3,7,8-TetraBDD")</f>
        <v>2,3,7,8-TetraBDD</v>
      </c>
      <c r="B61" t="str">
        <f ca="1">IFERROR(__xludf.DUMMYFUNCTION("""COMPUTED_VALUE"""),"RF-00000428-ORG")</f>
        <v>RF-00000428-ORG</v>
      </c>
    </row>
    <row r="62" spans="1:2" ht="12.5" x14ac:dyDescent="0.25">
      <c r="A62" t="str">
        <f ca="1">IFERROR(__xludf.DUMMYFUNCTION("""COMPUTED_VALUE"""),"2,3,7,8-TetraBDF")</f>
        <v>2,3,7,8-TetraBDF</v>
      </c>
      <c r="B62" t="str">
        <f ca="1">IFERROR(__xludf.DUMMYFUNCTION("""COMPUTED_VALUE"""),"RF-00000429-ORG")</f>
        <v>RF-00000429-ORG</v>
      </c>
    </row>
    <row r="63" spans="1:2" ht="12.5" x14ac:dyDescent="0.25">
      <c r="A63" t="str">
        <f ca="1">IFERROR(__xludf.DUMMYFUNCTION("""COMPUTED_VALUE"""),"2,3,8-TriBDF")</f>
        <v>2,3,8-TriBDF</v>
      </c>
      <c r="B63" t="str">
        <f ca="1">IFERROR(__xludf.DUMMYFUNCTION("""COMPUTED_VALUE"""),"RF-00000430-ORG")</f>
        <v>RF-00000430-ORG</v>
      </c>
    </row>
    <row r="64" spans="1:2" ht="12.5" x14ac:dyDescent="0.25">
      <c r="A64" t="str">
        <f ca="1">IFERROR(__xludf.DUMMYFUNCTION("""COMPUTED_VALUE"""),"2,4-D")</f>
        <v>2,4-D</v>
      </c>
      <c r="B64" t="str">
        <f ca="1">IFERROR(__xludf.DUMMYFUNCTION("""COMPUTED_VALUE"""),"RF-0010-003-PPP")</f>
        <v>RF-0010-003-PPP</v>
      </c>
    </row>
    <row r="65" spans="1:2" ht="12.5" x14ac:dyDescent="0.25">
      <c r="A65" t="str">
        <f ca="1">IFERROR(__xludf.DUMMYFUNCTION("""COMPUTED_VALUE"""),"2,4-D (sum of 2,4-D and its esters expressed as 2,4-D)")</f>
        <v>2,4-D (sum of 2,4-D and its esters expressed as 2,4-D)</v>
      </c>
      <c r="B65" t="str">
        <f ca="1">IFERROR(__xludf.DUMMYFUNCTION("""COMPUTED_VALUE"""),"RF-0010-001-PPP")</f>
        <v>RF-0010-001-PPP</v>
      </c>
    </row>
    <row r="66" spans="1:2" ht="12.5" x14ac:dyDescent="0.25">
      <c r="A66" t="str">
        <f ca="1">IFERROR(__xludf.DUMMYFUNCTION("""COMPUTED_VALUE"""),"2,4-D-Methylester")</f>
        <v>2,4-D-Methylester</v>
      </c>
      <c r="B66" t="str">
        <f ca="1">IFERROR(__xludf.DUMMYFUNCTION("""COMPUTED_VALUE"""),"RF-0010-002-PPP")</f>
        <v>RF-0010-002-PPP</v>
      </c>
    </row>
    <row r="67" spans="1:2" ht="12.5" x14ac:dyDescent="0.25">
      <c r="A67" t="str">
        <f ca="1">IFERROR(__xludf.DUMMYFUNCTION("""COMPUTED_VALUE"""),"2,4-DB")</f>
        <v>2,4-DB</v>
      </c>
      <c r="B67" t="str">
        <f ca="1">IFERROR(__xludf.DUMMYFUNCTION("""COMPUTED_VALUE"""),"RF-0008-001-PPP")</f>
        <v>RF-0008-001-PPP</v>
      </c>
    </row>
    <row r="68" spans="1:2" ht="12.5" x14ac:dyDescent="0.25">
      <c r="A68" t="str">
        <f ca="1">IFERROR(__xludf.DUMMYFUNCTION("""COMPUTED_VALUE"""),"2,4-Dichloorphenol")</f>
        <v>2,4-Dichloorphenol</v>
      </c>
      <c r="B68" t="str">
        <f ca="1">IFERROR(__xludf.DUMMYFUNCTION("""COMPUTED_VALUE"""),"RF-00000019-ORG")</f>
        <v>RF-00000019-ORG</v>
      </c>
    </row>
    <row r="69" spans="1:2" ht="12.5" x14ac:dyDescent="0.25">
      <c r="A69" t="str">
        <f ca="1">IFERROR(__xludf.DUMMYFUNCTION("""COMPUTED_VALUE"""),"2,4-Dimethylanilin")</f>
        <v>2,4-Dimethylanilin</v>
      </c>
      <c r="B69" t="str">
        <f ca="1">IFERROR(__xludf.DUMMYFUNCTION("""COMPUTED_VALUE"""),"RF-0992-001-PPP")</f>
        <v>RF-0992-001-PPP</v>
      </c>
    </row>
    <row r="70" spans="1:2" ht="12.5" x14ac:dyDescent="0.25">
      <c r="A70" t="str">
        <f ca="1">IFERROR(__xludf.DUMMYFUNCTION("""COMPUTED_VALUE"""),"2,4,5-T")</f>
        <v>2,4,5-T</v>
      </c>
      <c r="B70" t="str">
        <f ca="1">IFERROR(__xludf.DUMMYFUNCTION("""COMPUTED_VALUE"""),"RF-0009-001-PPP")</f>
        <v>RF-0009-001-PPP</v>
      </c>
    </row>
    <row r="71" spans="1:2" ht="12.5" x14ac:dyDescent="0.25">
      <c r="A71" t="str">
        <f ca="1">IFERROR(__xludf.DUMMYFUNCTION("""COMPUTED_VALUE"""),"2,4,5-T-Methylester")</f>
        <v>2,4,5-T-Methylester</v>
      </c>
      <c r="B71" t="str">
        <f ca="1">IFERROR(__xludf.DUMMYFUNCTION("""COMPUTED_VALUE"""),"RF-0457-001-PPP")</f>
        <v>RF-0457-001-PPP</v>
      </c>
    </row>
    <row r="72" spans="1:2" ht="12.5" x14ac:dyDescent="0.25">
      <c r="A72" t="str">
        <f ca="1">IFERROR(__xludf.DUMMYFUNCTION("""COMPUTED_VALUE"""),"2,4,5-TP")</f>
        <v>2,4,5-TP</v>
      </c>
      <c r="B72" t="str">
        <f ca="1">IFERROR(__xludf.DUMMYFUNCTION("""COMPUTED_VALUE"""),"RF-0458-001-PPP")</f>
        <v>RF-0458-001-PPP</v>
      </c>
    </row>
    <row r="73" spans="1:2" ht="12.5" x14ac:dyDescent="0.25">
      <c r="A73" t="str">
        <f ca="1">IFERROR(__xludf.DUMMYFUNCTION("""COMPUTED_VALUE"""),"2,4,5-Trichloorphenol")</f>
        <v>2,4,5-Trichloorphenol</v>
      </c>
      <c r="B73" t="str">
        <f ca="1">IFERROR(__xludf.DUMMYFUNCTION("""COMPUTED_VALUE"""),"RF-00000017-ORG")</f>
        <v>RF-00000017-ORG</v>
      </c>
    </row>
    <row r="74" spans="1:2" ht="12.5" x14ac:dyDescent="0.25">
      <c r="A74" t="str">
        <f ca="1">IFERROR(__xludf.DUMMYFUNCTION("""COMPUTED_VALUE"""),"2,4,6-Trichloorphenol")</f>
        <v>2,4,6-Trichloorphenol</v>
      </c>
      <c r="B74" t="str">
        <f ca="1">IFERROR(__xludf.DUMMYFUNCTION("""COMPUTED_VALUE"""),"RF-00000018-ORG")</f>
        <v>RF-00000018-ORG</v>
      </c>
    </row>
    <row r="75" spans="1:2" ht="12.5" x14ac:dyDescent="0.25">
      <c r="A75" t="str">
        <f ca="1">IFERROR(__xludf.DUMMYFUNCTION("""COMPUTED_VALUE"""),"21-22-dehydro-22-desmethyl-8-methylazaspiracid")</f>
        <v>21-22-dehydro-22-desmethyl-8-methylazaspiracid</v>
      </c>
      <c r="B75" t="str">
        <f ca="1">IFERROR(__xludf.DUMMYFUNCTION("""COMPUTED_VALUE"""),"RF-00000038-TOX")</f>
        <v>RF-00000038-TOX</v>
      </c>
    </row>
    <row r="76" spans="1:2" ht="12.5" x14ac:dyDescent="0.25">
      <c r="A76" t="str">
        <f ca="1">IFERROR(__xludf.DUMMYFUNCTION("""COMPUTED_VALUE"""),"21-22-dehydro-22-desmethylazaspiracid")</f>
        <v>21-22-dehydro-22-desmethylazaspiracid</v>
      </c>
      <c r="B76" t="str">
        <f ca="1">IFERROR(__xludf.DUMMYFUNCTION("""COMPUTED_VALUE"""),"RF-00000035-TOX")</f>
        <v>RF-00000035-TOX</v>
      </c>
    </row>
    <row r="77" spans="1:2" ht="12.5" x14ac:dyDescent="0.25">
      <c r="A77" t="str">
        <f ca="1">IFERROR(__xludf.DUMMYFUNCTION("""COMPUTED_VALUE"""),"21-22-dehydro-8-methylazaspiracid")</f>
        <v>21-22-dehydro-8-methylazaspiracid</v>
      </c>
      <c r="B77" t="str">
        <f ca="1">IFERROR(__xludf.DUMMYFUNCTION("""COMPUTED_VALUE"""),"RF-00000037-TOX")</f>
        <v>RF-00000037-TOX</v>
      </c>
    </row>
    <row r="78" spans="1:2" ht="12.5" x14ac:dyDescent="0.25">
      <c r="A78" t="str">
        <f ca="1">IFERROR(__xludf.DUMMYFUNCTION("""COMPUTED_VALUE"""),"21-22-dehydroazaspiracid")</f>
        <v>21-22-dehydroazaspiracid</v>
      </c>
      <c r="B78" t="str">
        <f ca="1">IFERROR(__xludf.DUMMYFUNCTION("""COMPUTED_VALUE"""),"RF-00000036-TOX")</f>
        <v>RF-00000036-TOX</v>
      </c>
    </row>
    <row r="79" spans="1:2" ht="12.5" x14ac:dyDescent="0.25">
      <c r="A79" t="str">
        <f ca="1">IFERROR(__xludf.DUMMYFUNCTION("""COMPUTED_VALUE"""),"21-hydroxyintergerrimine")</f>
        <v>21-hydroxyintergerrimine</v>
      </c>
      <c r="B79" t="str">
        <f ca="1">IFERROR(__xludf.DUMMYFUNCTION("""COMPUTED_VALUE"""),"RF-00000263-TOX")</f>
        <v>RF-00000263-TOX</v>
      </c>
    </row>
    <row r="80" spans="1:2" ht="12.5" x14ac:dyDescent="0.25">
      <c r="A80" t="str">
        <f ca="1">IFERROR(__xludf.DUMMYFUNCTION("""COMPUTED_VALUE"""),"22-desmethyl-23-hydroxy-8-methylazaspiracid")</f>
        <v>22-desmethyl-23-hydroxy-8-methylazaspiracid</v>
      </c>
      <c r="B80" t="str">
        <f ca="1">IFERROR(__xludf.DUMMYFUNCTION("""COMPUTED_VALUE"""),"RF-00000020-TOX")</f>
        <v>RF-00000020-TOX</v>
      </c>
    </row>
    <row r="81" spans="1:2" ht="12.5" x14ac:dyDescent="0.25">
      <c r="A81" t="str">
        <f ca="1">IFERROR(__xludf.DUMMYFUNCTION("""COMPUTED_VALUE"""),"22-desmethyl-23-hydroxyazaspiracid")</f>
        <v>22-desmethyl-23-hydroxyazaspiracid</v>
      </c>
      <c r="B81" t="str">
        <f ca="1">IFERROR(__xludf.DUMMYFUNCTION("""COMPUTED_VALUE"""),"RF-00000015-TOX")</f>
        <v>RF-00000015-TOX</v>
      </c>
    </row>
    <row r="82" spans="1:2" ht="12.5" x14ac:dyDescent="0.25">
      <c r="A82" t="str">
        <f ca="1">IFERROR(__xludf.DUMMYFUNCTION("""COMPUTED_VALUE"""),"22-desmethyl-3-hydroxy-8-methylazaspiracid")</f>
        <v>22-desmethyl-3-hydroxy-8-methylazaspiracid</v>
      </c>
      <c r="B82" t="str">
        <f ca="1">IFERROR(__xludf.DUMMYFUNCTION("""COMPUTED_VALUE"""),"RF-00000019-TOX")</f>
        <v>RF-00000019-TOX</v>
      </c>
    </row>
    <row r="83" spans="1:2" ht="12.5" x14ac:dyDescent="0.25">
      <c r="A83" t="str">
        <f ca="1">IFERROR(__xludf.DUMMYFUNCTION("""COMPUTED_VALUE"""),"22-desmethyl-3-hydroxyazaspiracid")</f>
        <v>22-desmethyl-3-hydroxyazaspiracid</v>
      </c>
      <c r="B83" t="str">
        <f ca="1">IFERROR(__xludf.DUMMYFUNCTION("""COMPUTED_VALUE"""),"RF-00000014-TOX")</f>
        <v>RF-00000014-TOX</v>
      </c>
    </row>
    <row r="84" spans="1:2" ht="12.5" x14ac:dyDescent="0.25">
      <c r="A84" t="str">
        <f ca="1">IFERROR(__xludf.DUMMYFUNCTION("""COMPUTED_VALUE"""),"22-desmethyl-3,23-dihydroxy-8-methylazaspiracid")</f>
        <v>22-desmethyl-3,23-dihydroxy-8-methylazaspiracid</v>
      </c>
      <c r="B84" t="str">
        <f ca="1">IFERROR(__xludf.DUMMYFUNCTION("""COMPUTED_VALUE"""),"RF-00000026-TOX")</f>
        <v>RF-00000026-TOX</v>
      </c>
    </row>
    <row r="85" spans="1:2" ht="12.5" x14ac:dyDescent="0.25">
      <c r="A85" t="str">
        <f ca="1">IFERROR(__xludf.DUMMYFUNCTION("""COMPUTED_VALUE"""),"22-desmethyl-3,23-dihydroxyazaspiracid")</f>
        <v>22-desmethyl-3,23-dihydroxyazaspiracid</v>
      </c>
      <c r="B85" t="str">
        <f ca="1">IFERROR(__xludf.DUMMYFUNCTION("""COMPUTED_VALUE"""),"RF-00000023-TOX")</f>
        <v>RF-00000023-TOX</v>
      </c>
    </row>
    <row r="86" spans="1:2" ht="12.5" x14ac:dyDescent="0.25">
      <c r="A86" t="str">
        <f ca="1">IFERROR(__xludf.DUMMYFUNCTION("""COMPUTED_VALUE"""),"22-desmethyl-8-methyl-azaspiracid-1-methyl ester")</f>
        <v>22-desmethyl-8-methyl-azaspiracid-1-methyl ester</v>
      </c>
      <c r="B86" t="str">
        <f ca="1">IFERROR(__xludf.DUMMYFUNCTION("""COMPUTED_VALUE"""),"RF-00000041-TOX")</f>
        <v>RF-00000041-TOX</v>
      </c>
    </row>
    <row r="87" spans="1:2" ht="12.5" x14ac:dyDescent="0.25">
      <c r="A87" t="str">
        <f ca="1">IFERROR(__xludf.DUMMYFUNCTION("""COMPUTED_VALUE"""),"22-desmethyl-8-methylazaspiracid")</f>
        <v>22-desmethyl-8-methylazaspiracid</v>
      </c>
      <c r="B87" t="str">
        <f ca="1">IFERROR(__xludf.DUMMYFUNCTION("""COMPUTED_VALUE"""),"RF-00000016-TOX")</f>
        <v>RF-00000016-TOX</v>
      </c>
    </row>
    <row r="88" spans="1:2" ht="12.5" x14ac:dyDescent="0.25">
      <c r="A88" t="str">
        <f ca="1">IFERROR(__xludf.DUMMYFUNCTION("""COMPUTED_VALUE"""),"22-desmethyl-azaspiracid")</f>
        <v>22-desmethyl-azaspiracid</v>
      </c>
      <c r="B88" t="str">
        <f ca="1">IFERROR(__xludf.DUMMYFUNCTION("""COMPUTED_VALUE"""),"RF-00000013-TOX")</f>
        <v>RF-00000013-TOX</v>
      </c>
    </row>
    <row r="89" spans="1:2" ht="12.5" x14ac:dyDescent="0.25">
      <c r="A89" t="str">
        <f ca="1">IFERROR(__xludf.DUMMYFUNCTION("""COMPUTED_VALUE"""),"22-desmethyl-azaspiracid-1-methyl ester")</f>
        <v>22-desmethyl-azaspiracid-1-methyl ester</v>
      </c>
      <c r="B89" t="str">
        <f ca="1">IFERROR(__xludf.DUMMYFUNCTION("""COMPUTED_VALUE"""),"RF-00000039-TOX")</f>
        <v>RF-00000039-TOX</v>
      </c>
    </row>
    <row r="90" spans="1:2" ht="12.5" x14ac:dyDescent="0.25">
      <c r="A90" t="str">
        <f ca="1">IFERROR(__xludf.DUMMYFUNCTION("""COMPUTED_VALUE"""),"23-hydroxy-8-methylazaspiracid")</f>
        <v>23-hydroxy-8-methylazaspiracid</v>
      </c>
      <c r="B90" t="str">
        <f ca="1">IFERROR(__xludf.DUMMYFUNCTION("""COMPUTED_VALUE"""),"RF-00000022-TOX")</f>
        <v>RF-00000022-TOX</v>
      </c>
    </row>
    <row r="91" spans="1:2" ht="12.5" x14ac:dyDescent="0.25">
      <c r="A91" t="str">
        <f ca="1">IFERROR(__xludf.DUMMYFUNCTION("""COMPUTED_VALUE"""),"23-hydroxyazaspiracid")</f>
        <v>23-hydroxyazaspiracid</v>
      </c>
      <c r="B91" t="str">
        <f ca="1">IFERROR(__xludf.DUMMYFUNCTION("""COMPUTED_VALUE"""),"RF-00000018-TOX")</f>
        <v>RF-00000018-TOX</v>
      </c>
    </row>
    <row r="92" spans="1:2" ht="12.5" x14ac:dyDescent="0.25">
      <c r="A92" t="str">
        <f ca="1">IFERROR(__xludf.DUMMYFUNCTION("""COMPUTED_VALUE"""),"24-methylcholest-7-erol")</f>
        <v>24-methylcholest-7-erol</v>
      </c>
      <c r="B92" t="str">
        <f ca="1">IFERROR(__xludf.DUMMYFUNCTION("""COMPUTED_VALUE"""),"RF-00000003-NTR")</f>
        <v>RF-00000003-NTR</v>
      </c>
    </row>
    <row r="93" spans="1:2" ht="12.5" x14ac:dyDescent="0.25">
      <c r="A93" t="str">
        <f ca="1">IFERROR(__xludf.DUMMYFUNCTION("""COMPUTED_VALUE"""),"25-hydroxycholecalciferol")</f>
        <v>25-hydroxycholecalciferol</v>
      </c>
      <c r="B93" t="str">
        <f ca="1">IFERROR(__xludf.DUMMYFUNCTION("""COMPUTED_VALUE"""),"RF-00000004-NTR")</f>
        <v>RF-00000004-NTR</v>
      </c>
    </row>
    <row r="94" spans="1:2" ht="12.5" x14ac:dyDescent="0.25">
      <c r="A94" t="str">
        <f ca="1">IFERROR(__xludf.DUMMYFUNCTION("""COMPUTED_VALUE"""),"3- and 15-acetyldeoxynivalenol")</f>
        <v>3- and 15-acetyldeoxynivalenol</v>
      </c>
      <c r="B94" t="str">
        <f ca="1">IFERROR(__xludf.DUMMYFUNCTION("""COMPUTED_VALUE"""),"RF-00000167-TOX")</f>
        <v>RF-00000167-TOX</v>
      </c>
    </row>
    <row r="95" spans="1:2" ht="12.5" x14ac:dyDescent="0.25">
      <c r="A95" t="str">
        <f ca="1">IFERROR(__xludf.DUMMYFUNCTION("""COMPUTED_VALUE"""),"3-0-Acetyltylosin")</f>
        <v>3-0-Acetyltylosin</v>
      </c>
      <c r="B95" t="str">
        <f ca="1">IFERROR(__xludf.DUMMYFUNCTION("""COMPUTED_VALUE"""),"RF-00000571-VET")</f>
        <v>RF-00000571-VET</v>
      </c>
    </row>
    <row r="96" spans="1:2" ht="12.5" x14ac:dyDescent="0.25">
      <c r="A96" t="str">
        <f ca="1">IFERROR(__xludf.DUMMYFUNCTION("""COMPUTED_VALUE"""),"3-acetildeoxynivalenol")</f>
        <v>3-acetildeoxynivalenol</v>
      </c>
      <c r="B96" t="str">
        <f ca="1">IFERROR(__xludf.DUMMYFUNCTION("""COMPUTED_VALUE"""),"RF-00000168-TOX")</f>
        <v>RF-00000168-TOX</v>
      </c>
    </row>
    <row r="97" spans="1:2" ht="12.5" x14ac:dyDescent="0.25">
      <c r="A97" t="str">
        <f ca="1">IFERROR(__xludf.DUMMYFUNCTION("""COMPUTED_VALUE"""),"3-Chloorphenol")</f>
        <v>3-Chloorphenol</v>
      </c>
      <c r="B97" t="str">
        <f ca="1">IFERROR(__xludf.DUMMYFUNCTION("""COMPUTED_VALUE"""),"RF-00000024-ORG")</f>
        <v>RF-00000024-ORG</v>
      </c>
    </row>
    <row r="98" spans="1:2" ht="12.5" x14ac:dyDescent="0.25">
      <c r="A98" t="str">
        <f ca="1">IFERROR(__xludf.DUMMYFUNCTION("""COMPUTED_VALUE"""),"3-hydroxy-8-methylazaspiracid")</f>
        <v>3-hydroxy-8-methylazaspiracid</v>
      </c>
      <c r="B98" t="str">
        <f ca="1">IFERROR(__xludf.DUMMYFUNCTION("""COMPUTED_VALUE"""),"RF-00000021-TOX")</f>
        <v>RF-00000021-TOX</v>
      </c>
    </row>
    <row r="99" spans="1:2" ht="12.5" x14ac:dyDescent="0.25">
      <c r="A99" t="str">
        <f ca="1">IFERROR(__xludf.DUMMYFUNCTION("""COMPUTED_VALUE"""),"3-hydroxyazaspiracid")</f>
        <v>3-hydroxyazaspiracid</v>
      </c>
      <c r="B99" t="str">
        <f ca="1">IFERROR(__xludf.DUMMYFUNCTION("""COMPUTED_VALUE"""),"RF-00000017-TOX")</f>
        <v>RF-00000017-TOX</v>
      </c>
    </row>
    <row r="100" spans="1:2" ht="12.5" x14ac:dyDescent="0.25">
      <c r="A100" t="str">
        <f ca="1">IFERROR(__xludf.DUMMYFUNCTION("""COMPUTED_VALUE"""),"3-MCPD (Free)")</f>
        <v>3-MCPD (Free)</v>
      </c>
      <c r="B100" t="str">
        <f ca="1">IFERROR(__xludf.DUMMYFUNCTION("""COMPUTED_VALUE"""),"RF-00000377-ORG")</f>
        <v>RF-00000377-ORG</v>
      </c>
    </row>
    <row r="101" spans="1:2" ht="12.5" x14ac:dyDescent="0.25">
      <c r="A101" t="str">
        <f ca="1">IFERROR(__xludf.DUMMYFUNCTION("""COMPUTED_VALUE"""),"3-MCPD (From ester bounds)")</f>
        <v>3-MCPD (From ester bounds)</v>
      </c>
      <c r="B101" t="str">
        <f ca="1">IFERROR(__xludf.DUMMYFUNCTION("""COMPUTED_VALUE"""),"RF-00000380-ORG")</f>
        <v>RF-00000380-ORG</v>
      </c>
    </row>
    <row r="102" spans="1:2" ht="12.5" x14ac:dyDescent="0.25">
      <c r="A102" t="str">
        <f ca="1">IFERROR(__xludf.DUMMYFUNCTION("""COMPUTED_VALUE"""),"3-MCPD (Sum free and bound)")</f>
        <v>3-MCPD (Sum free and bound)</v>
      </c>
      <c r="B102" t="str">
        <f ca="1">IFERROR(__xludf.DUMMYFUNCTION("""COMPUTED_VALUE"""),"RF-00000378-ORG")</f>
        <v>RF-00000378-ORG</v>
      </c>
    </row>
    <row r="103" spans="1:2" ht="12.5" x14ac:dyDescent="0.25">
      <c r="A103" t="str">
        <f ca="1">IFERROR(__xludf.DUMMYFUNCTION("""COMPUTED_VALUE"""),"3-MCPDs")</f>
        <v>3-MCPDs</v>
      </c>
      <c r="B103" t="str">
        <f ca="1">IFERROR(__xludf.DUMMYFUNCTION("""COMPUTED_VALUE"""),"RF-00000376-ORG")</f>
        <v>RF-00000376-ORG</v>
      </c>
    </row>
    <row r="104" spans="1:2" ht="12.5" x14ac:dyDescent="0.25">
      <c r="A104" t="str">
        <f ca="1">IFERROR(__xludf.DUMMYFUNCTION("""COMPUTED_VALUE"""),"3,23-dihydroxy-8-methylazaspiracid")</f>
        <v>3,23-dihydroxy-8-methylazaspiracid</v>
      </c>
      <c r="B104" t="str">
        <f ca="1">IFERROR(__xludf.DUMMYFUNCTION("""COMPUTED_VALUE"""),"RF-00000025-TOX")</f>
        <v>RF-00000025-TOX</v>
      </c>
    </row>
    <row r="105" spans="1:2" ht="12.5" x14ac:dyDescent="0.25">
      <c r="A105" t="str">
        <f ca="1">IFERROR(__xludf.DUMMYFUNCTION("""COMPUTED_VALUE"""),"3,23-dihydroxyazaspiracid")</f>
        <v>3,23-dihydroxyazaspiracid</v>
      </c>
      <c r="B105" t="str">
        <f ca="1">IFERROR(__xludf.DUMMYFUNCTION("""COMPUTED_VALUE"""),"RF-00000024-TOX")</f>
        <v>RF-00000024-TOX</v>
      </c>
    </row>
    <row r="106" spans="1:2" ht="12.5" x14ac:dyDescent="0.25">
      <c r="A106" t="str">
        <f ca="1">IFERROR(__xludf.DUMMYFUNCTION("""COMPUTED_VALUE"""),"3,4,5-Trichloorphenol")</f>
        <v>3,4,5-Trichloorphenol</v>
      </c>
      <c r="B106" t="str">
        <f ca="1">IFERROR(__xludf.DUMMYFUNCTION("""COMPUTED_VALUE"""),"RF-00000023-ORG")</f>
        <v>RF-00000023-ORG</v>
      </c>
    </row>
    <row r="107" spans="1:2" ht="12.5" x14ac:dyDescent="0.25">
      <c r="A107" t="str">
        <f ca="1">IFERROR(__xludf.DUMMYFUNCTION("""COMPUTED_VALUE"""),"3,4,5-Trimethacarb")</f>
        <v>3,4,5-Trimethacarb</v>
      </c>
      <c r="B107" t="str">
        <f ca="1">IFERROR(__xludf.DUMMYFUNCTION("""COMPUTED_VALUE"""),"RF-0962-003-PPP")</f>
        <v>RF-0962-003-PPP</v>
      </c>
    </row>
    <row r="108" spans="1:2" ht="12.5" x14ac:dyDescent="0.25">
      <c r="A108" t="str">
        <f ca="1">IFERROR(__xludf.DUMMYFUNCTION("""COMPUTED_VALUE"""),"3rd generation cephalosporins")</f>
        <v>3rd generation cephalosporins</v>
      </c>
      <c r="B108" t="str">
        <f ca="1">IFERROR(__xludf.DUMMYFUNCTION("""COMPUTED_VALUE"""),"RF-00000802-VET")</f>
        <v>RF-00000802-VET</v>
      </c>
    </row>
    <row r="109" spans="1:2" ht="12.5" x14ac:dyDescent="0.25">
      <c r="A109" t="str">
        <f ca="1">IFERROR(__xludf.DUMMYFUNCTION("""COMPUTED_VALUE"""),"4-Chloor,3-methylphenol")</f>
        <v>4-Chloor,3-methylphenol</v>
      </c>
      <c r="B109" t="str">
        <f ca="1">IFERROR(__xludf.DUMMYFUNCTION("""COMPUTED_VALUE"""),"RF-00000025-ORG")</f>
        <v>RF-00000025-ORG</v>
      </c>
    </row>
    <row r="110" spans="1:2" ht="12.5" x14ac:dyDescent="0.25">
      <c r="A110" t="str">
        <f ca="1">IFERROR(__xludf.DUMMYFUNCTION("""COMPUTED_VALUE"""),"4-Chloorphenol")</f>
        <v>4-Chloorphenol</v>
      </c>
      <c r="B110" t="str">
        <f ca="1">IFERROR(__xludf.DUMMYFUNCTION("""COMPUTED_VALUE"""),"RF-00000026-ORG")</f>
        <v>RF-00000026-ORG</v>
      </c>
    </row>
    <row r="111" spans="1:2" ht="12.5" x14ac:dyDescent="0.25">
      <c r="A111" t="str">
        <f ca="1">IFERROR(__xludf.DUMMYFUNCTION("""COMPUTED_VALUE"""),"4-CPA")</f>
        <v>4-CPA</v>
      </c>
      <c r="B111" t="str">
        <f ca="1">IFERROR(__xludf.DUMMYFUNCTION("""COMPUTED_VALUE"""),"RF-0460-001-PPP")</f>
        <v>RF-0460-001-PPP</v>
      </c>
    </row>
    <row r="112" spans="1:2" ht="12.5" x14ac:dyDescent="0.25">
      <c r="A112" t="str">
        <f ca="1">IFERROR(__xludf.DUMMYFUNCTION("""COMPUTED_VALUE"""),"4-Hexylresorcinol")</f>
        <v>4-Hexylresorcinol</v>
      </c>
      <c r="B112" t="str">
        <f ca="1">IFERROR(__xludf.DUMMYFUNCTION("""COMPUTED_VALUE"""),"RF-00000032-VET")</f>
        <v>RF-00000032-VET</v>
      </c>
    </row>
    <row r="113" spans="1:2" ht="12.5" x14ac:dyDescent="0.25">
      <c r="A113" t="str">
        <f ca="1">IFERROR(__xludf.DUMMYFUNCTION("""COMPUTED_VALUE"""),"4-hydroxychlorothalonil")</f>
        <v>4-hydroxychlorothalonil</v>
      </c>
      <c r="B113" t="str">
        <f ca="1">IFERROR(__xludf.DUMMYFUNCTION("""COMPUTED_VALUE"""),"RF-00000008-PAR")</f>
        <v>RF-00000008-PAR</v>
      </c>
    </row>
    <row r="114" spans="1:2" ht="12.5" x14ac:dyDescent="0.25">
      <c r="A114" t="str">
        <f ca="1">IFERROR(__xludf.DUMMYFUNCTION("""COMPUTED_VALUE"""),"4-Phenylphenol")</f>
        <v>4-Phenylphenol</v>
      </c>
      <c r="B114" t="str">
        <f ca="1">IFERROR(__xludf.DUMMYFUNCTION("""COMPUTED_VALUE"""),"RF-0823-002-PPP")</f>
        <v>RF-0823-002-PPP</v>
      </c>
    </row>
    <row r="115" spans="1:2" ht="12.5" x14ac:dyDescent="0.25">
      <c r="A115" t="str">
        <f ca="1">IFERROR(__xludf.DUMMYFUNCTION("""COMPUTED_VALUE"""),"4-Propylphenol")</f>
        <v>4-Propylphenol</v>
      </c>
      <c r="B115" t="str">
        <f ca="1">IFERROR(__xludf.DUMMYFUNCTION("""COMPUTED_VALUE"""),"RF-00000027-ORG")</f>
        <v>RF-00000027-ORG</v>
      </c>
    </row>
    <row r="116" spans="1:2" ht="12.5" x14ac:dyDescent="0.25">
      <c r="A116" t="str">
        <f ca="1">IFERROR(__xludf.DUMMYFUNCTION("""COMPUTED_VALUE"""),"4,4' Methoxychlor")</f>
        <v>4,4' Methoxychlor</v>
      </c>
      <c r="B116" t="str">
        <f ca="1">IFERROR(__xludf.DUMMYFUNCTION("""COMPUTED_VALUE"""),"RF-1021-001-PPP")</f>
        <v>RF-1021-001-PPP</v>
      </c>
    </row>
    <row r="117" spans="1:2" ht="12.5" x14ac:dyDescent="0.25">
      <c r="A117" t="str">
        <f ca="1">IFERROR(__xludf.DUMMYFUNCTION("""COMPUTED_VALUE"""),"4,4'-Dichlorodiphenyl sulfone")</f>
        <v>4,4'-Dichlorodiphenyl sulfone</v>
      </c>
      <c r="B117" t="str">
        <f ca="1">IFERROR(__xludf.DUMMYFUNCTION("""COMPUTED_VALUE"""),"RF-1064-001-PPP")</f>
        <v>RF-1064-001-PPP</v>
      </c>
    </row>
    <row r="118" spans="1:2" ht="12.5" x14ac:dyDescent="0.25">
      <c r="A118" t="str">
        <f ca="1">IFERROR(__xludf.DUMMYFUNCTION("""COMPUTED_VALUE"""),"4,6-Dimethyl-2-hydroxypyrimidine")</f>
        <v>4,6-Dimethyl-2-hydroxypyrimidine</v>
      </c>
      <c r="B118" t="str">
        <f ca="1">IFERROR(__xludf.DUMMYFUNCTION("""COMPUTED_VALUE"""),"RF-00000091-VET")</f>
        <v>RF-00000091-VET</v>
      </c>
    </row>
    <row r="119" spans="1:2" ht="12.5" x14ac:dyDescent="0.25">
      <c r="A119" t="str">
        <f ca="1">IFERROR(__xludf.DUMMYFUNCTION("""COMPUTED_VALUE"""),"40-epi-ketoYTX")</f>
        <v>40-epi-ketoYTX</v>
      </c>
      <c r="B119" t="str">
        <f ca="1">IFERROR(__xludf.DUMMYFUNCTION("""COMPUTED_VALUE"""),"RF-00000123-TOX")</f>
        <v>RF-00000123-TOX</v>
      </c>
    </row>
    <row r="120" spans="1:2" ht="12.5" x14ac:dyDescent="0.25">
      <c r="A120" t="str">
        <f ca="1">IFERROR(__xludf.DUMMYFUNCTION("""COMPUTED_VALUE"""),"41a-homoYTX")</f>
        <v>41a-homoYTX</v>
      </c>
      <c r="B120" t="str">
        <f ca="1">IFERROR(__xludf.DUMMYFUNCTION("""COMPUTED_VALUE"""),"RF-00000124-TOX")</f>
        <v>RF-00000124-TOX</v>
      </c>
    </row>
    <row r="121" spans="1:2" ht="12.5" x14ac:dyDescent="0.25">
      <c r="A121" t="str">
        <f ca="1">IFERROR(__xludf.DUMMYFUNCTION("""COMPUTED_VALUE"""),"42-hydroxypalytoxi")</f>
        <v>42-hydroxypalytoxi</v>
      </c>
      <c r="B121" t="str">
        <f ca="1">IFERROR(__xludf.DUMMYFUNCTION("""COMPUTED_VALUE"""),"RF-00000079-TOX")</f>
        <v>RF-00000079-TOX</v>
      </c>
    </row>
    <row r="122" spans="1:2" ht="12.5" x14ac:dyDescent="0.25">
      <c r="A122" t="str">
        <f ca="1">IFERROR(__xludf.DUMMYFUNCTION("""COMPUTED_VALUE"""),"44,55-dihydroxyYTX")</f>
        <v>44,55-dihydroxyYTX</v>
      </c>
      <c r="B122" t="str">
        <f ca="1">IFERROR(__xludf.DUMMYFUNCTION("""COMPUTED_VALUE"""),"RF-00000126-TOX")</f>
        <v>RF-00000126-TOX</v>
      </c>
    </row>
    <row r="123" spans="1:2" ht="12.5" x14ac:dyDescent="0.25">
      <c r="A123" t="str">
        <f ca="1">IFERROR(__xludf.DUMMYFUNCTION("""COMPUTED_VALUE"""),"45-hydrotoxyYTX")</f>
        <v>45-hydrotoxyYTX</v>
      </c>
      <c r="B123" t="str">
        <f ca="1">IFERROR(__xludf.DUMMYFUNCTION("""COMPUTED_VALUE"""),"RF-00000118-TOX")</f>
        <v>RF-00000118-TOX</v>
      </c>
    </row>
    <row r="124" spans="1:2" ht="12.5" x14ac:dyDescent="0.25">
      <c r="A124" t="str">
        <f ca="1">IFERROR(__xludf.DUMMYFUNCTION("""COMPUTED_VALUE"""),"45-hydroxy-1a-homoYTX")</f>
        <v>45-hydroxy-1a-homoYTX</v>
      </c>
      <c r="B124" t="str">
        <f ca="1">IFERROR(__xludf.DUMMYFUNCTION("""COMPUTED_VALUE"""),"RF-00000127-TOX")</f>
        <v>RF-00000127-TOX</v>
      </c>
    </row>
    <row r="125" spans="1:2" ht="12.5" x14ac:dyDescent="0.25">
      <c r="A125" t="str">
        <f ca="1">IFERROR(__xludf.DUMMYFUNCTION("""COMPUTED_VALUE"""),"45,46,47-trinorYTX")</f>
        <v>45,46,47-trinorYTX</v>
      </c>
      <c r="B125" t="str">
        <f ca="1">IFERROR(__xludf.DUMMYFUNCTION("""COMPUTED_VALUE"""),"RF-00000121-TOX")</f>
        <v>RF-00000121-TOX</v>
      </c>
    </row>
    <row r="126" spans="1:2" ht="12.5" x14ac:dyDescent="0.25">
      <c r="A126" t="str">
        <f ca="1">IFERROR(__xludf.DUMMYFUNCTION("""COMPUTED_VALUE"""),"490M1")</f>
        <v>490M1</v>
      </c>
      <c r="B126" t="str">
        <f ca="1">IFERROR(__xludf.DUMMYFUNCTION("""COMPUTED_VALUE"""),"RF-0260-005-PPP")</f>
        <v>RF-0260-005-PPP</v>
      </c>
    </row>
    <row r="127" spans="1:2" ht="12.5" x14ac:dyDescent="0.25">
      <c r="A127" t="str">
        <f ca="1">IFERROR(__xludf.DUMMYFUNCTION("""COMPUTED_VALUE"""),"490M1 expressed as kresoxim-methyl milk products")</f>
        <v>490M1 expressed as kresoxim-methyl milk products</v>
      </c>
      <c r="B127" t="str">
        <f ca="1">IFERROR(__xludf.DUMMYFUNCTION("""COMPUTED_VALUE"""),"RF-0260-003-PPP")</f>
        <v>RF-0260-003-PPP</v>
      </c>
    </row>
    <row r="128" spans="1:2" ht="12.5" x14ac:dyDescent="0.25">
      <c r="A128" t="str">
        <f ca="1">IFERROR(__xludf.DUMMYFUNCTION("""COMPUTED_VALUE"""),"490M9")</f>
        <v>490M9</v>
      </c>
      <c r="B128" t="str">
        <f ca="1">IFERROR(__xludf.DUMMYFUNCTION("""COMPUTED_VALUE"""),"RF-0260-004-PPP")</f>
        <v>RF-0260-004-PPP</v>
      </c>
    </row>
    <row r="129" spans="1:2" ht="12.5" x14ac:dyDescent="0.25">
      <c r="A129" t="str">
        <f ca="1">IFERROR(__xludf.DUMMYFUNCTION("""COMPUTED_VALUE"""),"490M9 expressed as kresoxim-methyl")</f>
        <v>490M9 expressed as kresoxim-methyl</v>
      </c>
      <c r="B129" t="str">
        <f ca="1">IFERROR(__xludf.DUMMYFUNCTION("""COMPUTED_VALUE"""),"RF-0260-002-PPP")</f>
        <v>RF-0260-002-PPP</v>
      </c>
    </row>
    <row r="130" spans="1:2" ht="12.5" x14ac:dyDescent="0.25">
      <c r="A130" t="str">
        <f ca="1">IFERROR(__xludf.DUMMYFUNCTION("""COMPUTED_VALUE"""),"4th generation cephalosporins")</f>
        <v>4th generation cephalosporins</v>
      </c>
      <c r="B130" t="str">
        <f ca="1">IFERROR(__xludf.DUMMYFUNCTION("""COMPUTED_VALUE"""),"RF-00000808-VET")</f>
        <v>RF-00000808-VET</v>
      </c>
    </row>
    <row r="131" spans="1:2" ht="12.5" x14ac:dyDescent="0.25">
      <c r="A131" t="str">
        <f ca="1">IFERROR(__xludf.DUMMYFUNCTION("""COMPUTED_VALUE"""),"5-Ethinyl-2-thiouracil")</f>
        <v>5-Ethinyl-2-thiouracil</v>
      </c>
      <c r="B131" t="str">
        <f ca="1">IFERROR(__xludf.DUMMYFUNCTION("""COMPUTED_VALUE"""),"RF-00000304-VET")</f>
        <v>RF-00000304-VET</v>
      </c>
    </row>
    <row r="132" spans="1:2" ht="12.5" x14ac:dyDescent="0.25">
      <c r="A132" t="str">
        <f ca="1">IFERROR(__xludf.DUMMYFUNCTION("""COMPUTED_VALUE"""),"5-methoxysterigmatocystin")</f>
        <v>5-methoxysterigmatocystin</v>
      </c>
      <c r="B132" t="str">
        <f ca="1">IFERROR(__xludf.DUMMYFUNCTION("""COMPUTED_VALUE"""),"RF-00000197-TOX")</f>
        <v>RF-00000197-TOX</v>
      </c>
    </row>
    <row r="133" spans="1:2" ht="12.5" x14ac:dyDescent="0.25">
      <c r="A133" t="str">
        <f ca="1">IFERROR(__xludf.DUMMYFUNCTION("""COMPUTED_VALUE"""),"5-Methyl-2-thiouracil")</f>
        <v>5-Methyl-2-thiouracil</v>
      </c>
      <c r="B133" t="str">
        <f ca="1">IFERROR(__xludf.DUMMYFUNCTION("""COMPUTED_VALUE"""),"RF-00000305-VET")</f>
        <v>RF-00000305-VET</v>
      </c>
    </row>
    <row r="134" spans="1:2" ht="12.5" x14ac:dyDescent="0.25">
      <c r="A134" t="str">
        <f ca="1">IFERROR(__xludf.DUMMYFUNCTION("""COMPUTED_VALUE"""),"5-methylchrysene")</f>
        <v>5-methylchrysene</v>
      </c>
      <c r="B134" t="str">
        <f ca="1">IFERROR(__xludf.DUMMYFUNCTION("""COMPUTED_VALUE"""),"RF-00000041-ORG")</f>
        <v>RF-00000041-ORG</v>
      </c>
    </row>
    <row r="135" spans="1:2" ht="12.5" x14ac:dyDescent="0.25">
      <c r="A135" t="str">
        <f ca="1">IFERROR(__xludf.DUMMYFUNCTION("""COMPUTED_VALUE"""),"5-Propyl-2-thiouracil")</f>
        <v>5-Propyl-2-thiouracil</v>
      </c>
      <c r="B135" t="str">
        <f ca="1">IFERROR(__xludf.DUMMYFUNCTION("""COMPUTED_VALUE"""),"RF-00000301-VET")</f>
        <v>RF-00000301-VET</v>
      </c>
    </row>
    <row r="136" spans="1:2" ht="12.5" x14ac:dyDescent="0.25">
      <c r="A136" t="str">
        <f ca="1">IFERROR(__xludf.DUMMYFUNCTION("""COMPUTED_VALUE"""),"6-Benzyladenin")</f>
        <v>6-Benzyladenin</v>
      </c>
      <c r="B136" t="str">
        <f ca="1">IFERROR(__xludf.DUMMYFUNCTION("""COMPUTED_VALUE"""),"RF-1062-001-PPP")</f>
        <v>RF-1062-001-PPP</v>
      </c>
    </row>
    <row r="137" spans="1:2" ht="12.5" x14ac:dyDescent="0.25">
      <c r="A137" t="str">
        <f ca="1">IFERROR(__xludf.DUMMYFUNCTION("""COMPUTED_VALUE"""),"6-Methyl-2-thiouracil")</f>
        <v>6-Methyl-2-thiouracil</v>
      </c>
      <c r="B137" t="str">
        <f ca="1">IFERROR(__xludf.DUMMYFUNCTION("""COMPUTED_VALUE"""),"RF-00000297-VET")</f>
        <v>RF-00000297-VET</v>
      </c>
    </row>
    <row r="138" spans="1:2" ht="12.5" x14ac:dyDescent="0.25">
      <c r="A138" t="str">
        <f ca="1">IFERROR(__xludf.DUMMYFUNCTION("""COMPUTED_VALUE"""),"6-Propyl-2-thiouracil")</f>
        <v>6-Propyl-2-thiouracil</v>
      </c>
      <c r="B138" t="str">
        <f ca="1">IFERROR(__xludf.DUMMYFUNCTION("""COMPUTED_VALUE"""),"RF-00000303-VET")</f>
        <v>RF-00000303-VET</v>
      </c>
    </row>
    <row r="139" spans="1:2" ht="12.5" x14ac:dyDescent="0.25">
      <c r="A139" t="str">
        <f ca="1">IFERROR(__xludf.DUMMYFUNCTION("""COMPUTED_VALUE"""),"7-acetylintermedine")</f>
        <v>7-acetylintermedine</v>
      </c>
      <c r="B139" t="str">
        <f ca="1">IFERROR(__xludf.DUMMYFUNCTION("""COMPUTED_VALUE"""),"RF-00000264-TOX")</f>
        <v>RF-00000264-TOX</v>
      </c>
    </row>
    <row r="140" spans="1:2" ht="12.5" x14ac:dyDescent="0.25">
      <c r="A140" t="str">
        <f ca="1">IFERROR(__xludf.DUMMYFUNCTION("""COMPUTED_VALUE"""),"7-acetyllycopsamine")</f>
        <v>7-acetyllycopsamine</v>
      </c>
      <c r="B140" t="str">
        <f ca="1">IFERROR(__xludf.DUMMYFUNCTION("""COMPUTED_VALUE"""),"RF-00000265-TOX")</f>
        <v>RF-00000265-TOX</v>
      </c>
    </row>
    <row r="141" spans="1:2" ht="12.5" x14ac:dyDescent="0.25">
      <c r="A141" t="str">
        <f ca="1">IFERROR(__xludf.DUMMYFUNCTION("""COMPUTED_VALUE"""),"7-acetylscorpioidine")</f>
        <v>7-acetylscorpioidine</v>
      </c>
      <c r="B141" t="str">
        <f ca="1">IFERROR(__xludf.DUMMYFUNCTION("""COMPUTED_VALUE"""),"RF-00000266-TOX")</f>
        <v>RF-00000266-TOX</v>
      </c>
    </row>
    <row r="142" spans="1:2" ht="12.5" x14ac:dyDescent="0.25">
      <c r="A142" t="str">
        <f ca="1">IFERROR(__xludf.DUMMYFUNCTION("""COMPUTED_VALUE"""),"7-angeloylheliotridine")</f>
        <v>7-angeloylheliotridine</v>
      </c>
      <c r="B142" t="str">
        <f ca="1">IFERROR(__xludf.DUMMYFUNCTION("""COMPUTED_VALUE"""),"RF-00000267-TOX")</f>
        <v>RF-00000267-TOX</v>
      </c>
    </row>
    <row r="143" spans="1:2" ht="12.5" x14ac:dyDescent="0.25">
      <c r="A143" t="str">
        <f ca="1">IFERROR(__xludf.DUMMYFUNCTION("""COMPUTED_VALUE"""),"7-epi-PTX2 seco acid")</f>
        <v>7-epi-PTX2 seco acid</v>
      </c>
      <c r="B143" t="str">
        <f ca="1">IFERROR(__xludf.DUMMYFUNCTION("""COMPUTED_VALUE"""),"RF-00000089-TOX")</f>
        <v>RF-00000089-TOX</v>
      </c>
    </row>
    <row r="144" spans="1:2" ht="12.5" x14ac:dyDescent="0.25">
      <c r="A144" t="str">
        <f ca="1">IFERROR(__xludf.DUMMYFUNCTION("""COMPUTED_VALUE"""),"8-methyl-azaspiracid-1-methyl ester")</f>
        <v>8-methyl-azaspiracid-1-methyl ester</v>
      </c>
      <c r="B144" t="str">
        <f ca="1">IFERROR(__xludf.DUMMYFUNCTION("""COMPUTED_VALUE"""),"RF-00000042-TOX")</f>
        <v>RF-00000042-TOX</v>
      </c>
    </row>
    <row r="145" spans="1:2" ht="12.5" x14ac:dyDescent="0.25">
      <c r="A145" t="str">
        <f ca="1">IFERROR(__xludf.DUMMYFUNCTION("""COMPUTED_VALUE"""),"8-methylazaspiracid")</f>
        <v>8-methylazaspiracid</v>
      </c>
      <c r="B145" t="str">
        <f ca="1">IFERROR(__xludf.DUMMYFUNCTION("""COMPUTED_VALUE"""),"RF-00000012-TOX")</f>
        <v>RF-00000012-TOX</v>
      </c>
    </row>
    <row r="146" spans="1:2" ht="12.5" x14ac:dyDescent="0.25">
      <c r="A146" t="str">
        <f ca="1">IFERROR(__xludf.DUMMYFUNCTION("""COMPUTED_VALUE"""),"8:2 fluorotelomer alcohol")</f>
        <v>8:2 fluorotelomer alcohol</v>
      </c>
      <c r="B146" t="str">
        <f ca="1">IFERROR(__xludf.DUMMYFUNCTION("""COMPUTED_VALUE"""),"RF-00000372-ORG")</f>
        <v>RF-00000372-ORG</v>
      </c>
    </row>
    <row r="147" spans="1:2" ht="12.5" x14ac:dyDescent="0.25">
      <c r="A147" t="str">
        <f ca="1">IFERROR(__xludf.DUMMYFUNCTION("""COMPUTED_VALUE"""),"8:2 fluorotelomer alcohol (8:2 FTOH) di-phosphate")</f>
        <v>8:2 fluorotelomer alcohol (8:2 FTOH) di-phosphate</v>
      </c>
      <c r="B147" t="str">
        <f ca="1">IFERROR(__xludf.DUMMYFUNCTION("""COMPUTED_VALUE"""),"RF-00000367-ORG")</f>
        <v>RF-00000367-ORG</v>
      </c>
    </row>
    <row r="148" spans="1:2" ht="12.5" x14ac:dyDescent="0.25">
      <c r="A148" t="str">
        <f ca="1">IFERROR(__xludf.DUMMYFUNCTION("""COMPUTED_VALUE"""),"8:2 fluorotelomer alcohol (8:2 FTOH) mono-phosphate")</f>
        <v>8:2 fluorotelomer alcohol (8:2 FTOH) mono-phosphate</v>
      </c>
      <c r="B148" t="str">
        <f ca="1">IFERROR(__xludf.DUMMYFUNCTION("""COMPUTED_VALUE"""),"RF-00000368-ORG")</f>
        <v>RF-00000368-ORG</v>
      </c>
    </row>
    <row r="149" spans="1:2" ht="12.5" x14ac:dyDescent="0.25">
      <c r="A149" t="str">
        <f ca="1">IFERROR(__xludf.DUMMYFUNCTION("""COMPUTED_VALUE"""),"9-Me-41a-homoYTX")</f>
        <v>9-Me-41a-homoYTX</v>
      </c>
      <c r="B149" t="str">
        <f ca="1">IFERROR(__xludf.DUMMYFUNCTION("""COMPUTED_VALUE"""),"RF-00000125-TOX")</f>
        <v>RF-00000125-TOX</v>
      </c>
    </row>
    <row r="150" spans="1:2" ht="12.5" x14ac:dyDescent="0.25">
      <c r="A150" t="str">
        <f ca="1">IFERROR(__xludf.DUMMYFUNCTION("""COMPUTED_VALUE"""),"Abamectin (Avermectin B1)")</f>
        <v>Abamectin (Avermectin B1)</v>
      </c>
      <c r="B150" t="str">
        <f ca="1">IFERROR(__xludf.DUMMYFUNCTION("""COMPUTED_VALUE"""),"RF-00000011-VET")</f>
        <v>RF-00000011-VET</v>
      </c>
    </row>
    <row r="151" spans="1:2" ht="12.5" x14ac:dyDescent="0.25">
      <c r="A151" t="str">
        <f ca="1">IFERROR(__xludf.DUMMYFUNCTION("""COMPUTED_VALUE"""),"Abamectin (sum of Avermectin B1a, AvermectinB1b and delta-8,9 isomer of Avermectin B1a)")</f>
        <v>Abamectin (sum of Avermectin B1a, AvermectinB1b and delta-8,9 isomer of Avermectin B1a)</v>
      </c>
      <c r="B151" t="str">
        <f ca="1">IFERROR(__xludf.DUMMYFUNCTION("""COMPUTED_VALUE"""),"RF-0011-001-PPP")</f>
        <v>RF-0011-001-PPP</v>
      </c>
    </row>
    <row r="152" spans="1:2" ht="12.5" x14ac:dyDescent="0.25">
      <c r="A152" t="str">
        <f ca="1">IFERROR(__xludf.DUMMYFUNCTION("""COMPUTED_VALUE"""),"Abrin")</f>
        <v>Abrin</v>
      </c>
      <c r="B152" t="str">
        <f ca="1">IFERROR(__xludf.DUMMYFUNCTION("""COMPUTED_VALUE"""),"RF-00000336-TOX")</f>
        <v>RF-00000336-TOX</v>
      </c>
    </row>
    <row r="153" spans="1:2" ht="12.5" x14ac:dyDescent="0.25">
      <c r="A153" t="str">
        <f ca="1">IFERROR(__xludf.DUMMYFUNCTION("""COMPUTED_VALUE"""),"ACC")</f>
        <v>ACC</v>
      </c>
      <c r="B153" t="str">
        <f ca="1">IFERROR(__xludf.DUMMYFUNCTION("""COMPUTED_VALUE"""),"RF-00000713-PAR")</f>
        <v>RF-00000713-PAR</v>
      </c>
    </row>
    <row r="154" spans="1:2" ht="12.5" x14ac:dyDescent="0.25">
      <c r="A154" t="str">
        <f ca="1">IFERROR(__xludf.DUMMYFUNCTION("""COMPUTED_VALUE"""),"ACC-1")</f>
        <v>ACC-1</v>
      </c>
      <c r="B154" t="str">
        <f ca="1">IFERROR(__xludf.DUMMYFUNCTION("""COMPUTED_VALUE"""),"RF-00000714-PAR")</f>
        <v>RF-00000714-PAR</v>
      </c>
    </row>
    <row r="155" spans="1:2" ht="12.5" x14ac:dyDescent="0.25">
      <c r="A155" t="str">
        <f ca="1">IFERROR(__xludf.DUMMYFUNCTION("""COMPUTED_VALUE"""),"ACC-2")</f>
        <v>ACC-2</v>
      </c>
      <c r="B155" t="str">
        <f ca="1">IFERROR(__xludf.DUMMYFUNCTION("""COMPUTED_VALUE"""),"RF-00000715-PAR")</f>
        <v>RF-00000715-PAR</v>
      </c>
    </row>
    <row r="156" spans="1:2" ht="12.5" x14ac:dyDescent="0.25">
      <c r="A156" t="str">
        <f ca="1">IFERROR(__xludf.DUMMYFUNCTION("""COMPUTED_VALUE"""),"ACC-3")</f>
        <v>ACC-3</v>
      </c>
      <c r="B156" t="str">
        <f ca="1">IFERROR(__xludf.DUMMYFUNCTION("""COMPUTED_VALUE"""),"RF-00000716-PAR")</f>
        <v>RF-00000716-PAR</v>
      </c>
    </row>
    <row r="157" spans="1:2" ht="12.5" x14ac:dyDescent="0.25">
      <c r="A157" t="str">
        <f ca="1">IFERROR(__xludf.DUMMYFUNCTION("""COMPUTED_VALUE"""),"ACC-4")</f>
        <v>ACC-4</v>
      </c>
      <c r="B157" t="str">
        <f ca="1">IFERROR(__xludf.DUMMYFUNCTION("""COMPUTED_VALUE"""),"RF-00000717-PAR")</f>
        <v>RF-00000717-PAR</v>
      </c>
    </row>
    <row r="158" spans="1:2" ht="12.5" x14ac:dyDescent="0.25">
      <c r="A158" t="str">
        <f ca="1">IFERROR(__xludf.DUMMYFUNCTION("""COMPUTED_VALUE"""),"ACC-5")</f>
        <v>ACC-5</v>
      </c>
      <c r="B158" t="str">
        <f ca="1">IFERROR(__xludf.DUMMYFUNCTION("""COMPUTED_VALUE"""),"RF-00000718-PAR")</f>
        <v>RF-00000718-PAR</v>
      </c>
    </row>
    <row r="159" spans="1:2" ht="12.5" x14ac:dyDescent="0.25">
      <c r="A159" t="str">
        <f ca="1">IFERROR(__xludf.DUMMYFUNCTION("""COMPUTED_VALUE"""),"Acenaphthene")</f>
        <v>Acenaphthene</v>
      </c>
      <c r="B159" t="str">
        <f ca="1">IFERROR(__xludf.DUMMYFUNCTION("""COMPUTED_VALUE"""),"RF-00000042-ORG")</f>
        <v>RF-00000042-ORG</v>
      </c>
    </row>
    <row r="160" spans="1:2" ht="12.5" x14ac:dyDescent="0.25">
      <c r="A160" t="str">
        <f ca="1">IFERROR(__xludf.DUMMYFUNCTION("""COMPUTED_VALUE"""),"Acenaphthylene")</f>
        <v>Acenaphthylene</v>
      </c>
      <c r="B160" t="str">
        <f ca="1">IFERROR(__xludf.DUMMYFUNCTION("""COMPUTED_VALUE"""),"RF-00000043-ORG")</f>
        <v>RF-00000043-ORG</v>
      </c>
    </row>
    <row r="161" spans="1:2" ht="12.5" x14ac:dyDescent="0.25">
      <c r="A161" t="str">
        <f ca="1">IFERROR(__xludf.DUMMYFUNCTION("""COMPUTED_VALUE"""),"Acephate")</f>
        <v>Acephate</v>
      </c>
      <c r="B161" t="str">
        <f ca="1">IFERROR(__xludf.DUMMYFUNCTION("""COMPUTED_VALUE"""),"RF-0012-001-PPP")</f>
        <v>RF-0012-001-PPP</v>
      </c>
    </row>
    <row r="162" spans="1:2" ht="12.5" x14ac:dyDescent="0.25">
      <c r="A162" t="str">
        <f ca="1">IFERROR(__xludf.DUMMYFUNCTION("""COMPUTED_VALUE"""),"Acepromazine")</f>
        <v>Acepromazine</v>
      </c>
      <c r="B162" t="str">
        <f ca="1">IFERROR(__xludf.DUMMYFUNCTION("""COMPUTED_VALUE"""),"RF-00000168-VET")</f>
        <v>RF-00000168-VET</v>
      </c>
    </row>
    <row r="163" spans="1:2" ht="12.5" x14ac:dyDescent="0.25">
      <c r="A163" t="str">
        <f ca="1">IFERROR(__xludf.DUMMYFUNCTION("""COMPUTED_VALUE"""),"Acequinocyl")</f>
        <v>Acequinocyl</v>
      </c>
      <c r="B163" t="str">
        <f ca="1">IFERROR(__xludf.DUMMYFUNCTION("""COMPUTED_VALUE"""),"RF-0013-001-PPP")</f>
        <v>RF-0013-001-PPP</v>
      </c>
    </row>
    <row r="164" spans="1:2" ht="12.5" x14ac:dyDescent="0.25">
      <c r="A164" t="str">
        <f ca="1">IFERROR(__xludf.DUMMYFUNCTION("""COMPUTED_VALUE"""),"Acesulfame K")</f>
        <v>Acesulfame K</v>
      </c>
      <c r="B164" t="str">
        <f ca="1">IFERROR(__xludf.DUMMYFUNCTION("""COMPUTED_VALUE"""),"RF-00000003-ADD")</f>
        <v>RF-00000003-ADD</v>
      </c>
    </row>
    <row r="165" spans="1:2" ht="12.5" x14ac:dyDescent="0.25">
      <c r="A165" t="str">
        <f ca="1">IFERROR(__xludf.DUMMYFUNCTION("""COMPUTED_VALUE"""),"Acetaminophen (Paracetamol)")</f>
        <v>Acetaminophen (Paracetamol)</v>
      </c>
      <c r="B165" t="str">
        <f ca="1">IFERROR(__xludf.DUMMYFUNCTION("""COMPUTED_VALUE"""),"RF-00000237-VET")</f>
        <v>RF-00000237-VET</v>
      </c>
    </row>
    <row r="166" spans="1:2" ht="12.5" x14ac:dyDescent="0.25">
      <c r="A166" t="str">
        <f ca="1">IFERROR(__xludf.DUMMYFUNCTION("""COMPUTED_VALUE"""),"Acetamiprid")</f>
        <v>Acetamiprid</v>
      </c>
      <c r="B166" t="str">
        <f ca="1">IFERROR(__xludf.DUMMYFUNCTION("""COMPUTED_VALUE"""),"RF-0014-001-PPP")</f>
        <v>RF-0014-001-PPP</v>
      </c>
    </row>
    <row r="167" spans="1:2" ht="12.5" x14ac:dyDescent="0.25">
      <c r="A167" t="str">
        <f ca="1">IFERROR(__xludf.DUMMYFUNCTION("""COMPUTED_VALUE"""),"Acetamiprid and IM-2-1 metabolite")</f>
        <v>Acetamiprid and IM-2-1 metabolite</v>
      </c>
      <c r="B167" t="str">
        <f ca="1">IFERROR(__xludf.DUMMYFUNCTION("""COMPUTED_VALUE"""),"RF-1001-001-PPP")</f>
        <v>RF-1001-001-PPP</v>
      </c>
    </row>
    <row r="168" spans="1:2" ht="12.5" x14ac:dyDescent="0.25">
      <c r="A168" t="str">
        <f ca="1">IFERROR(__xludf.DUMMYFUNCTION("""COMPUTED_VALUE"""),"Acetanilide")</f>
        <v>Acetanilide</v>
      </c>
      <c r="B168" t="str">
        <f ca="1">IFERROR(__xludf.DUMMYFUNCTION("""COMPUTED_VALUE"""),"RF-00000229-VET")</f>
        <v>RF-00000229-VET</v>
      </c>
    </row>
    <row r="169" spans="1:2" ht="12.5" x14ac:dyDescent="0.25">
      <c r="A169" t="str">
        <f ca="1">IFERROR(__xludf.DUMMYFUNCTION("""COMPUTED_VALUE"""),"Acetic acid")</f>
        <v>Acetic acid</v>
      </c>
      <c r="B169" t="str">
        <f ca="1">IFERROR(__xludf.DUMMYFUNCTION("""COMPUTED_VALUE"""),"RF-00000019-ADD")</f>
        <v>RF-00000019-ADD</v>
      </c>
    </row>
    <row r="170" spans="1:2" ht="12.5" x14ac:dyDescent="0.25">
      <c r="A170" t="str">
        <f ca="1">IFERROR(__xludf.DUMMYFUNCTION("""COMPUTED_VALUE"""),"Acetic acid esters of mono- and diglycerides of fatty acids")</f>
        <v>Acetic acid esters of mono- and diglycerides of fatty acids</v>
      </c>
      <c r="B170" t="str">
        <f ca="1">IFERROR(__xludf.DUMMYFUNCTION("""COMPUTED_VALUE"""),"RF-00000020-ADD")</f>
        <v>RF-00000020-ADD</v>
      </c>
    </row>
    <row r="171" spans="1:2" ht="12.5" x14ac:dyDescent="0.25">
      <c r="A171" t="str">
        <f ca="1">IFERROR(__xludf.DUMMYFUNCTION("""COMPUTED_VALUE"""),"Acetochlor")</f>
        <v>Acetochlor</v>
      </c>
      <c r="B171" t="str">
        <f ca="1">IFERROR(__xludf.DUMMYFUNCTION("""COMPUTED_VALUE"""),"RF-0015-001-PPP")</f>
        <v>RF-0015-001-PPP</v>
      </c>
    </row>
    <row r="172" spans="1:2" ht="12.5" x14ac:dyDescent="0.25">
      <c r="A172" t="str">
        <f ca="1">IFERROR(__xludf.DUMMYFUNCTION("""COMPUTED_VALUE"""),"Acetonide")</f>
        <v>Acetonide</v>
      </c>
      <c r="B172" t="str">
        <f ca="1">IFERROR(__xludf.DUMMYFUNCTION("""COMPUTED_VALUE"""),"RF-00000247-VET")</f>
        <v>RF-00000247-VET</v>
      </c>
    </row>
    <row r="173" spans="1:2" ht="12.5" x14ac:dyDescent="0.25">
      <c r="A173" t="str">
        <f ca="1">IFERROR(__xludf.DUMMYFUNCTION("""COMPUTED_VALUE"""),"Acetopromazine")</f>
        <v>Acetopromazine</v>
      </c>
      <c r="B173" t="str">
        <f ca="1">IFERROR(__xludf.DUMMYFUNCTION("""COMPUTED_VALUE"""),"RF-00000172-VET")</f>
        <v>RF-00000172-VET</v>
      </c>
    </row>
    <row r="174" spans="1:2" ht="12.5" x14ac:dyDescent="0.25">
      <c r="A174" t="str">
        <f ca="1">IFERROR(__xludf.DUMMYFUNCTION("""COMPUTED_VALUE"""),"Acetylated distarch adipate")</f>
        <v>Acetylated distarch adipate</v>
      </c>
      <c r="B174" t="str">
        <f ca="1">IFERROR(__xludf.DUMMYFUNCTION("""COMPUTED_VALUE"""),"RF-00000021-ADD")</f>
        <v>RF-00000021-ADD</v>
      </c>
    </row>
    <row r="175" spans="1:2" ht="12.5" x14ac:dyDescent="0.25">
      <c r="A175" t="str">
        <f ca="1">IFERROR(__xludf.DUMMYFUNCTION("""COMPUTED_VALUE"""),"Acetylated distarch phosphate")</f>
        <v>Acetylated distarch phosphate</v>
      </c>
      <c r="B175" t="str">
        <f ca="1">IFERROR(__xludf.DUMMYFUNCTION("""COMPUTED_VALUE"""),"RF-00000022-ADD")</f>
        <v>RF-00000022-ADD</v>
      </c>
    </row>
    <row r="176" spans="1:2" ht="12.5" x14ac:dyDescent="0.25">
      <c r="A176" t="str">
        <f ca="1">IFERROR(__xludf.DUMMYFUNCTION("""COMPUTED_VALUE"""),"Acetylated oxidised starch")</f>
        <v>Acetylated oxidised starch</v>
      </c>
      <c r="B176" t="str">
        <f ca="1">IFERROR(__xludf.DUMMYFUNCTION("""COMPUTED_VALUE"""),"RF-00000023-ADD")</f>
        <v>RF-00000023-ADD</v>
      </c>
    </row>
    <row r="177" spans="1:2" ht="12.5" x14ac:dyDescent="0.25">
      <c r="A177" t="str">
        <f ca="1">IFERROR(__xludf.DUMMYFUNCTION("""COMPUTED_VALUE"""),"Acetylated starch")</f>
        <v>Acetylated starch</v>
      </c>
      <c r="B177" t="str">
        <f ca="1">IFERROR(__xludf.DUMMYFUNCTION("""COMPUTED_VALUE"""),"RF-00000024-ADD")</f>
        <v>RF-00000024-ADD</v>
      </c>
    </row>
    <row r="178" spans="1:2" ht="12.5" x14ac:dyDescent="0.25">
      <c r="A178" t="str">
        <f ca="1">IFERROR(__xludf.DUMMYFUNCTION("""COMPUTED_VALUE"""),"Acetylechimidine")</f>
        <v>Acetylechimidine</v>
      </c>
      <c r="B178" t="str">
        <f ca="1">IFERROR(__xludf.DUMMYFUNCTION("""COMPUTED_VALUE"""),"RF-00000351-TOX")</f>
        <v>RF-00000351-TOX</v>
      </c>
    </row>
    <row r="179" spans="1:2" ht="12.5" x14ac:dyDescent="0.25">
      <c r="A179" t="str">
        <f ca="1">IFERROR(__xludf.DUMMYFUNCTION("""COMPUTED_VALUE"""),"Acetylechimidine-N-oxide")</f>
        <v>Acetylechimidine-N-oxide</v>
      </c>
      <c r="B179" t="str">
        <f ca="1">IFERROR(__xludf.DUMMYFUNCTION("""COMPUTED_VALUE"""),"RF-00000352-TOX")</f>
        <v>RF-00000352-TOX</v>
      </c>
    </row>
    <row r="180" spans="1:2" ht="12.5" x14ac:dyDescent="0.25">
      <c r="A180" t="str">
        <f ca="1">IFERROR(__xludf.DUMMYFUNCTION("""COMPUTED_VALUE"""),"Acetylerucifoline")</f>
        <v>Acetylerucifoline</v>
      </c>
      <c r="B180" t="str">
        <f ca="1">IFERROR(__xludf.DUMMYFUNCTION("""COMPUTED_VALUE"""),"RF-00000268-TOX")</f>
        <v>RF-00000268-TOX</v>
      </c>
    </row>
    <row r="181" spans="1:2" ht="12.5" x14ac:dyDescent="0.25">
      <c r="A181" t="str">
        <f ca="1">IFERROR(__xludf.DUMMYFUNCTION("""COMPUTED_VALUE"""),"Acetylerucifoline-N-oxide")</f>
        <v>Acetylerucifoline-N-oxide</v>
      </c>
      <c r="B181" t="str">
        <f ca="1">IFERROR(__xludf.DUMMYFUNCTION("""COMPUTED_VALUE"""),"RF-00000425-TOX")</f>
        <v>RF-00000425-TOX</v>
      </c>
    </row>
    <row r="182" spans="1:2" ht="12.5" x14ac:dyDescent="0.25">
      <c r="A182" t="str">
        <f ca="1">IFERROR(__xludf.DUMMYFUNCTION("""COMPUTED_VALUE"""),"Acetylisovaleryltylosin")</f>
        <v>Acetylisovaleryltylosin</v>
      </c>
      <c r="B182" t="str">
        <f ca="1">IFERROR(__xludf.DUMMYFUNCTION("""COMPUTED_VALUE"""),"RF-00000639-VET")</f>
        <v>RF-00000639-VET</v>
      </c>
    </row>
    <row r="183" spans="1:2" ht="12.5" x14ac:dyDescent="0.25">
      <c r="A183" t="str">
        <f ca="1">IFERROR(__xludf.DUMMYFUNCTION("""COMPUTED_VALUE"""),"Acetyllaburnine")</f>
        <v>Acetyllaburnine</v>
      </c>
      <c r="B183" t="str">
        <f ca="1">IFERROR(__xludf.DUMMYFUNCTION("""COMPUTED_VALUE"""),"RF-00000269-TOX")</f>
        <v>RF-00000269-TOX</v>
      </c>
    </row>
    <row r="184" spans="1:2" ht="12.5" x14ac:dyDescent="0.25">
      <c r="A184" t="str">
        <f ca="1">IFERROR(__xludf.DUMMYFUNCTION("""COMPUTED_VALUE"""),"Acetyllycopsamine-N-oxide")</f>
        <v>Acetyllycopsamine-N-oxide</v>
      </c>
      <c r="B184" t="str">
        <f ca="1">IFERROR(__xludf.DUMMYFUNCTION("""COMPUTED_VALUE"""),"RF-00000417-TOX")</f>
        <v>RF-00000417-TOX</v>
      </c>
    </row>
    <row r="185" spans="1:2" ht="12.5" x14ac:dyDescent="0.25">
      <c r="A185" t="str">
        <f ca="1">IFERROR(__xludf.DUMMYFUNCTION("""COMPUTED_VALUE"""),"Acetylsalicylic acid")</f>
        <v>Acetylsalicylic acid</v>
      </c>
      <c r="B185" t="str">
        <f ca="1">IFERROR(__xludf.DUMMYFUNCTION("""COMPUTED_VALUE"""),"RF-00000209-VET")</f>
        <v>RF-00000209-VET</v>
      </c>
    </row>
    <row r="186" spans="1:2" ht="12.5" x14ac:dyDescent="0.25">
      <c r="A186" t="str">
        <f ca="1">IFERROR(__xludf.DUMMYFUNCTION("""COMPUTED_VALUE"""),"Acetylseneciphylline")</f>
        <v>Acetylseneciphylline</v>
      </c>
      <c r="B186" t="str">
        <f ca="1">IFERROR(__xludf.DUMMYFUNCTION("""COMPUTED_VALUE"""),"RF-00000418-TOX")</f>
        <v>RF-00000418-TOX</v>
      </c>
    </row>
    <row r="187" spans="1:2" ht="12.5" x14ac:dyDescent="0.25">
      <c r="A187" t="str">
        <f ca="1">IFERROR(__xludf.DUMMYFUNCTION("""COMPUTED_VALUE"""),"Acetylseneciphylline-N-oxide")</f>
        <v>Acetylseneciphylline-N-oxide</v>
      </c>
      <c r="B187" t="str">
        <f ca="1">IFERROR(__xludf.DUMMYFUNCTION("""COMPUTED_VALUE"""),"RF-00000419-TOX")</f>
        <v>RF-00000419-TOX</v>
      </c>
    </row>
    <row r="188" spans="1:2" ht="12.5" x14ac:dyDescent="0.25">
      <c r="A188" t="str">
        <f ca="1">IFERROR(__xludf.DUMMYFUNCTION("""COMPUTED_VALUE"""),"Acibenzolar acid (CGA 210007)")</f>
        <v>Acibenzolar acid (CGA 210007)</v>
      </c>
      <c r="B188" t="str">
        <f ca="1">IFERROR(__xludf.DUMMYFUNCTION("""COMPUTED_VALUE"""),"RF-0016-003-PPP")</f>
        <v>RF-0016-003-PPP</v>
      </c>
    </row>
    <row r="189" spans="1:2" ht="12.5" x14ac:dyDescent="0.25">
      <c r="A189" t="str">
        <f ca="1">IFERROR(__xludf.DUMMYFUNCTION("""COMPUTED_VALUE"""),"Acibenzolar-S-methyl (sum of acybenzolar-S-methyl and acibenzolar acid (CGA 210007) expressed as acybenzolar-S-methyl)")</f>
        <v>Acibenzolar-S-methyl (sum of acybenzolar-S-methyl and acibenzolar acid (CGA 210007) expressed as acybenzolar-S-methyl)</v>
      </c>
      <c r="B189" t="str">
        <f ca="1">IFERROR(__xludf.DUMMYFUNCTION("""COMPUTED_VALUE"""),"RF-0016-001-PPP")</f>
        <v>RF-0016-001-PPP</v>
      </c>
    </row>
    <row r="190" spans="1:2" ht="12.5" x14ac:dyDescent="0.25">
      <c r="A190" t="str">
        <f ca="1">IFERROR(__xludf.DUMMYFUNCTION("""COMPUTED_VALUE"""),"Acid solubility in silique reversible")</f>
        <v>Acid solubility in silique reversible</v>
      </c>
      <c r="B190" t="str">
        <f ca="1">IFERROR(__xludf.DUMMYFUNCTION("""COMPUTED_VALUE"""),"RF-00000079-CHE")</f>
        <v>RF-00000079-CHE</v>
      </c>
    </row>
    <row r="191" spans="1:2" ht="12.5" x14ac:dyDescent="0.25">
      <c r="A191" t="str">
        <f ca="1">IFERROR(__xludf.DUMMYFUNCTION("""COMPUTED_VALUE"""),"Acifluorfen")</f>
        <v>Acifluorfen</v>
      </c>
      <c r="B191" t="str">
        <f ca="1">IFERROR(__xludf.DUMMYFUNCTION("""COMPUTED_VALUE"""),"RF-0461-001-PPP")</f>
        <v>RF-0461-001-PPP</v>
      </c>
    </row>
    <row r="192" spans="1:2" ht="12.5" x14ac:dyDescent="0.25">
      <c r="A192" t="str">
        <f ca="1">IFERROR(__xludf.DUMMYFUNCTION("""COMPUTED_VALUE"""),"Aclonifen")</f>
        <v>Aclonifen</v>
      </c>
      <c r="B192" t="str">
        <f ca="1">IFERROR(__xludf.DUMMYFUNCTION("""COMPUTED_VALUE"""),"RF-0017-001-PPP")</f>
        <v>RF-0017-001-PPP</v>
      </c>
    </row>
    <row r="193" spans="1:2" ht="12.5" x14ac:dyDescent="0.25">
      <c r="A193" t="str">
        <f ca="1">IFERROR(__xludf.DUMMYFUNCTION("""COMPUTED_VALUE"""),"Acrinathrin")</f>
        <v>Acrinathrin</v>
      </c>
      <c r="B193" t="str">
        <f ca="1">IFERROR(__xludf.DUMMYFUNCTION("""COMPUTED_VALUE"""),"RF-00000123-VET")</f>
        <v>RF-00000123-VET</v>
      </c>
    </row>
    <row r="194" spans="1:2" ht="12.5" x14ac:dyDescent="0.25">
      <c r="A194" t="str">
        <f ca="1">IFERROR(__xludf.DUMMYFUNCTION("""COMPUTED_VALUE"""),"Acrinathrin")</f>
        <v>Acrinathrin</v>
      </c>
      <c r="B194" t="str">
        <f ca="1">IFERROR(__xludf.DUMMYFUNCTION("""COMPUTED_VALUE"""),"RF-0018-001-PPP")</f>
        <v>RF-0018-001-PPP</v>
      </c>
    </row>
    <row r="195" spans="1:2" ht="12.5" x14ac:dyDescent="0.25">
      <c r="A195" t="str">
        <f ca="1">IFERROR(__xludf.DUMMYFUNCTION("""COMPUTED_VALUE"""),"Acrylamide")</f>
        <v>Acrylamide</v>
      </c>
      <c r="B195" t="str">
        <f ca="1">IFERROR(__xludf.DUMMYFUNCTION("""COMPUTED_VALUE"""),"RF-00000410-ORG")</f>
        <v>RF-00000410-ORG</v>
      </c>
    </row>
    <row r="196" spans="1:2" ht="12.5" x14ac:dyDescent="0.25">
      <c r="A196" t="str">
        <f ca="1">IFERROR(__xludf.DUMMYFUNCTION("""COMPUTED_VALUE"""),"ACT")</f>
        <v>ACT</v>
      </c>
      <c r="B196" t="str">
        <f ca="1">IFERROR(__xludf.DUMMYFUNCTION("""COMPUTED_VALUE"""),"RF-00000719-PAR")</f>
        <v>RF-00000719-PAR</v>
      </c>
    </row>
    <row r="197" spans="1:2" ht="12.5" x14ac:dyDescent="0.25">
      <c r="A197" t="str">
        <f ca="1">IFERROR(__xludf.DUMMYFUNCTION("""COMPUTED_VALUE"""),"ACT-1")</f>
        <v>ACT-1</v>
      </c>
      <c r="B197" t="str">
        <f ca="1">IFERROR(__xludf.DUMMYFUNCTION("""COMPUTED_VALUE"""),"RF-00000720-PAR")</f>
        <v>RF-00000720-PAR</v>
      </c>
    </row>
    <row r="198" spans="1:2" ht="12.5" x14ac:dyDescent="0.25">
      <c r="A198" t="str">
        <f ca="1">IFERROR(__xludf.DUMMYFUNCTION("""COMPUTED_VALUE"""),"ACT-10")</f>
        <v>ACT-10</v>
      </c>
      <c r="B198" t="str">
        <f ca="1">IFERROR(__xludf.DUMMYFUNCTION("""COMPUTED_VALUE"""),"RF-00000729-PAR")</f>
        <v>RF-00000729-PAR</v>
      </c>
    </row>
    <row r="199" spans="1:2" ht="12.5" x14ac:dyDescent="0.25">
      <c r="A199" t="str">
        <f ca="1">IFERROR(__xludf.DUMMYFUNCTION("""COMPUTED_VALUE"""),"ACT-11")</f>
        <v>ACT-11</v>
      </c>
      <c r="B199" t="str">
        <f ca="1">IFERROR(__xludf.DUMMYFUNCTION("""COMPUTED_VALUE"""),"RF-00000730-PAR")</f>
        <v>RF-00000730-PAR</v>
      </c>
    </row>
    <row r="200" spans="1:2" ht="12.5" x14ac:dyDescent="0.25">
      <c r="A200" t="str">
        <f ca="1">IFERROR(__xludf.DUMMYFUNCTION("""COMPUTED_VALUE"""),"ACT-12")</f>
        <v>ACT-12</v>
      </c>
      <c r="B200" t="str">
        <f ca="1">IFERROR(__xludf.DUMMYFUNCTION("""COMPUTED_VALUE"""),"RF-00000731-PAR")</f>
        <v>RF-00000731-PAR</v>
      </c>
    </row>
    <row r="201" spans="1:2" ht="12.5" x14ac:dyDescent="0.25">
      <c r="A201" t="str">
        <f ca="1">IFERROR(__xludf.DUMMYFUNCTION("""COMPUTED_VALUE"""),"ACT-13")</f>
        <v>ACT-13</v>
      </c>
      <c r="B201" t="str">
        <f ca="1">IFERROR(__xludf.DUMMYFUNCTION("""COMPUTED_VALUE"""),"RF-00000732-PAR")</f>
        <v>RF-00000732-PAR</v>
      </c>
    </row>
    <row r="202" spans="1:2" ht="12.5" x14ac:dyDescent="0.25">
      <c r="A202" t="str">
        <f ca="1">IFERROR(__xludf.DUMMYFUNCTION("""COMPUTED_VALUE"""),"ACT-14")</f>
        <v>ACT-14</v>
      </c>
      <c r="B202" t="str">
        <f ca="1">IFERROR(__xludf.DUMMYFUNCTION("""COMPUTED_VALUE"""),"RF-00000733-PAR")</f>
        <v>RF-00000733-PAR</v>
      </c>
    </row>
    <row r="203" spans="1:2" ht="12.5" x14ac:dyDescent="0.25">
      <c r="A203" t="str">
        <f ca="1">IFERROR(__xludf.DUMMYFUNCTION("""COMPUTED_VALUE"""),"ACT-15")</f>
        <v>ACT-15</v>
      </c>
      <c r="B203" t="str">
        <f ca="1">IFERROR(__xludf.DUMMYFUNCTION("""COMPUTED_VALUE"""),"RF-00000734-PAR")</f>
        <v>RF-00000734-PAR</v>
      </c>
    </row>
    <row r="204" spans="1:2" ht="12.5" x14ac:dyDescent="0.25">
      <c r="A204" t="str">
        <f ca="1">IFERROR(__xludf.DUMMYFUNCTION("""COMPUTED_VALUE"""),"ACT-16")</f>
        <v>ACT-16</v>
      </c>
      <c r="B204" t="str">
        <f ca="1">IFERROR(__xludf.DUMMYFUNCTION("""COMPUTED_VALUE"""),"RF-00000735-PAR")</f>
        <v>RF-00000735-PAR</v>
      </c>
    </row>
    <row r="205" spans="1:2" ht="12.5" x14ac:dyDescent="0.25">
      <c r="A205" t="str">
        <f ca="1">IFERROR(__xludf.DUMMYFUNCTION("""COMPUTED_VALUE"""),"ACT-17")</f>
        <v>ACT-17</v>
      </c>
      <c r="B205" t="str">
        <f ca="1">IFERROR(__xludf.DUMMYFUNCTION("""COMPUTED_VALUE"""),"RF-00000736-PAR")</f>
        <v>RF-00000736-PAR</v>
      </c>
    </row>
    <row r="206" spans="1:2" ht="12.5" x14ac:dyDescent="0.25">
      <c r="A206" t="str">
        <f ca="1">IFERROR(__xludf.DUMMYFUNCTION("""COMPUTED_VALUE"""),"ACT-18")</f>
        <v>ACT-18</v>
      </c>
      <c r="B206" t="str">
        <f ca="1">IFERROR(__xludf.DUMMYFUNCTION("""COMPUTED_VALUE"""),"RF-00000737-PAR")</f>
        <v>RF-00000737-PAR</v>
      </c>
    </row>
    <row r="207" spans="1:2" ht="12.5" x14ac:dyDescent="0.25">
      <c r="A207" t="str">
        <f ca="1">IFERROR(__xludf.DUMMYFUNCTION("""COMPUTED_VALUE"""),"ACT-19")</f>
        <v>ACT-19</v>
      </c>
      <c r="B207" t="str">
        <f ca="1">IFERROR(__xludf.DUMMYFUNCTION("""COMPUTED_VALUE"""),"RF-00000738-PAR")</f>
        <v>RF-00000738-PAR</v>
      </c>
    </row>
    <row r="208" spans="1:2" ht="12.5" x14ac:dyDescent="0.25">
      <c r="A208" t="str">
        <f ca="1">IFERROR(__xludf.DUMMYFUNCTION("""COMPUTED_VALUE"""),"ACT-2")</f>
        <v>ACT-2</v>
      </c>
      <c r="B208" t="str">
        <f ca="1">IFERROR(__xludf.DUMMYFUNCTION("""COMPUTED_VALUE"""),"RF-00000721-PAR")</f>
        <v>RF-00000721-PAR</v>
      </c>
    </row>
    <row r="209" spans="1:2" ht="12.5" x14ac:dyDescent="0.25">
      <c r="A209" t="str">
        <f ca="1">IFERROR(__xludf.DUMMYFUNCTION("""COMPUTED_VALUE"""),"ACT-3")</f>
        <v>ACT-3</v>
      </c>
      <c r="B209" t="str">
        <f ca="1">IFERROR(__xludf.DUMMYFUNCTION("""COMPUTED_VALUE"""),"RF-00000722-PAR")</f>
        <v>RF-00000722-PAR</v>
      </c>
    </row>
    <row r="210" spans="1:2" ht="12.5" x14ac:dyDescent="0.25">
      <c r="A210" t="str">
        <f ca="1">IFERROR(__xludf.DUMMYFUNCTION("""COMPUTED_VALUE"""),"ACT-4")</f>
        <v>ACT-4</v>
      </c>
      <c r="B210" t="str">
        <f ca="1">IFERROR(__xludf.DUMMYFUNCTION("""COMPUTED_VALUE"""),"RF-00000723-PAR")</f>
        <v>RF-00000723-PAR</v>
      </c>
    </row>
    <row r="211" spans="1:2" ht="12.5" x14ac:dyDescent="0.25">
      <c r="A211" t="str">
        <f ca="1">IFERROR(__xludf.DUMMYFUNCTION("""COMPUTED_VALUE"""),"ACT-5")</f>
        <v>ACT-5</v>
      </c>
      <c r="B211" t="str">
        <f ca="1">IFERROR(__xludf.DUMMYFUNCTION("""COMPUTED_VALUE"""),"RF-00000724-PAR")</f>
        <v>RF-00000724-PAR</v>
      </c>
    </row>
    <row r="212" spans="1:2" ht="12.5" x14ac:dyDescent="0.25">
      <c r="A212" t="str">
        <f ca="1">IFERROR(__xludf.DUMMYFUNCTION("""COMPUTED_VALUE"""),"ACT-6")</f>
        <v>ACT-6</v>
      </c>
      <c r="B212" t="str">
        <f ca="1">IFERROR(__xludf.DUMMYFUNCTION("""COMPUTED_VALUE"""),"RF-00000725-PAR")</f>
        <v>RF-00000725-PAR</v>
      </c>
    </row>
    <row r="213" spans="1:2" ht="12.5" x14ac:dyDescent="0.25">
      <c r="A213" t="str">
        <f ca="1">IFERROR(__xludf.DUMMYFUNCTION("""COMPUTED_VALUE"""),"ACT-7")</f>
        <v>ACT-7</v>
      </c>
      <c r="B213" t="str">
        <f ca="1">IFERROR(__xludf.DUMMYFUNCTION("""COMPUTED_VALUE"""),"RF-00000726-PAR")</f>
        <v>RF-00000726-PAR</v>
      </c>
    </row>
    <row r="214" spans="1:2" ht="12.5" x14ac:dyDescent="0.25">
      <c r="A214" t="str">
        <f ca="1">IFERROR(__xludf.DUMMYFUNCTION("""COMPUTED_VALUE"""),"ACT-8")</f>
        <v>ACT-8</v>
      </c>
      <c r="B214" t="str">
        <f ca="1">IFERROR(__xludf.DUMMYFUNCTION("""COMPUTED_VALUE"""),"RF-00000727-PAR")</f>
        <v>RF-00000727-PAR</v>
      </c>
    </row>
    <row r="215" spans="1:2" ht="12.5" x14ac:dyDescent="0.25">
      <c r="A215" t="str">
        <f ca="1">IFERROR(__xludf.DUMMYFUNCTION("""COMPUTED_VALUE"""),"ACT-9")</f>
        <v>ACT-9</v>
      </c>
      <c r="B215" t="str">
        <f ca="1">IFERROR(__xludf.DUMMYFUNCTION("""COMPUTED_VALUE"""),"RF-00000728-PAR")</f>
        <v>RF-00000728-PAR</v>
      </c>
    </row>
    <row r="216" spans="1:2" ht="12.5" x14ac:dyDescent="0.25">
      <c r="A216" t="str">
        <f ca="1">IFERROR(__xludf.DUMMYFUNCTION("""COMPUTED_VALUE"""),"Actinides")</f>
        <v>Actinides</v>
      </c>
      <c r="B216" t="str">
        <f ca="1">IFERROR(__xludf.DUMMYFUNCTION("""COMPUTED_VALUE"""),"RF-00000002-RAD")</f>
        <v>RF-00000002-RAD</v>
      </c>
    </row>
    <row r="217" spans="1:2" ht="12.5" x14ac:dyDescent="0.25">
      <c r="A217" t="str">
        <f ca="1">IFERROR(__xludf.DUMMYFUNCTION("""COMPUTED_VALUE"""),"Acybenzolar-S-methyl")</f>
        <v>Acybenzolar-S-methyl</v>
      </c>
      <c r="B217" t="str">
        <f ca="1">IFERROR(__xludf.DUMMYFUNCTION("""COMPUTED_VALUE"""),"RF-0016-002-PPP")</f>
        <v>RF-0016-002-PPP</v>
      </c>
    </row>
    <row r="218" spans="1:2" ht="12.5" x14ac:dyDescent="0.25">
      <c r="A218" t="str">
        <f ca="1">IFERROR(__xludf.DUMMYFUNCTION("""COMPUTED_VALUE"""),"Acylated forms of OA, DTX1 and DTX2 (DTX3)")</f>
        <v>Acylated forms of OA, DTX1 and DTX2 (DTX3)</v>
      </c>
      <c r="B218" t="str">
        <f ca="1">IFERROR(__xludf.DUMMYFUNCTION("""COMPUTED_VALUE"""),"RF-00000068-TOX")</f>
        <v>RF-00000068-TOX</v>
      </c>
    </row>
    <row r="219" spans="1:2" ht="12.5" x14ac:dyDescent="0.25">
      <c r="A219" t="str">
        <f ca="1">IFERROR(__xludf.DUMMYFUNCTION("""COMPUTED_VALUE"""),"Adenovirus")</f>
        <v>Adenovirus</v>
      </c>
      <c r="B219" t="str">
        <f ca="1">IFERROR(__xludf.DUMMYFUNCTION("""COMPUTED_VALUE"""),"RF-00000220-MCG")</f>
        <v>RF-00000220-MCG</v>
      </c>
    </row>
    <row r="220" spans="1:2" ht="12.5" x14ac:dyDescent="0.25">
      <c r="A220" t="str">
        <f ca="1">IFERROR(__xludf.DUMMYFUNCTION("""COMPUTED_VALUE"""),"Adipic acid")</f>
        <v>Adipic acid</v>
      </c>
      <c r="B220" t="str">
        <f ca="1">IFERROR(__xludf.DUMMYFUNCTION("""COMPUTED_VALUE"""),"RF-00000025-ADD")</f>
        <v>RF-00000025-ADD</v>
      </c>
    </row>
    <row r="221" spans="1:2" ht="12.5" x14ac:dyDescent="0.25">
      <c r="A221" t="str">
        <f ca="1">IFERROR(__xludf.DUMMYFUNCTION("""COMPUTED_VALUE"""),"Aeromonas")</f>
        <v>Aeromonas</v>
      </c>
      <c r="B221" t="str">
        <f ca="1">IFERROR(__xludf.DUMMYFUNCTION("""COMPUTED_VALUE"""),"RF-00002557-MCG")</f>
        <v>RF-00002557-MCG</v>
      </c>
    </row>
    <row r="222" spans="1:2" ht="12.5" x14ac:dyDescent="0.25">
      <c r="A222" t="str">
        <f ca="1">IFERROR(__xludf.DUMMYFUNCTION("""COMPUTED_VALUE"""),"Aeromonas caviae")</f>
        <v>Aeromonas caviae</v>
      </c>
      <c r="B222" t="str">
        <f ca="1">IFERROR(__xludf.DUMMYFUNCTION("""COMPUTED_VALUE"""),"RF-00002560-MCG")</f>
        <v>RF-00002560-MCG</v>
      </c>
    </row>
    <row r="223" spans="1:2" ht="12.5" x14ac:dyDescent="0.25">
      <c r="A223" t="str">
        <f ca="1">IFERROR(__xludf.DUMMYFUNCTION("""COMPUTED_VALUE"""),"Aeromonas hydrophila")</f>
        <v>Aeromonas hydrophila</v>
      </c>
      <c r="B223" t="str">
        <f ca="1">IFERROR(__xludf.DUMMYFUNCTION("""COMPUTED_VALUE"""),"RF-00002558-MCG")</f>
        <v>RF-00002558-MCG</v>
      </c>
    </row>
    <row r="224" spans="1:2" ht="12.5" x14ac:dyDescent="0.25">
      <c r="A224" t="str">
        <f ca="1">IFERROR(__xludf.DUMMYFUNCTION("""COMPUTED_VALUE"""),"Aeromonas spp., unspecified")</f>
        <v>Aeromonas spp., unspecified</v>
      </c>
      <c r="B224" t="str">
        <f ca="1">IFERROR(__xludf.DUMMYFUNCTION("""COMPUTED_VALUE"""),"RF-00002559-MCG")</f>
        <v>RF-00002559-MCG</v>
      </c>
    </row>
    <row r="225" spans="1:2" ht="12.5" x14ac:dyDescent="0.25">
      <c r="A225" t="str">
        <f ca="1">IFERROR(__xludf.DUMMYFUNCTION("""COMPUTED_VALUE"""),"Aeromonas veronii")</f>
        <v>Aeromonas veronii</v>
      </c>
      <c r="B225" t="str">
        <f ca="1">IFERROR(__xludf.DUMMYFUNCTION("""COMPUTED_VALUE"""),"RF-00002561-MCG")</f>
        <v>RF-00002561-MCG</v>
      </c>
    </row>
    <row r="226" spans="1:2" ht="12.5" x14ac:dyDescent="0.25">
      <c r="A226" t="str">
        <f ca="1">IFERROR(__xludf.DUMMYFUNCTION("""COMPUTED_VALUE"""),"Afipia")</f>
        <v>Afipia</v>
      </c>
      <c r="B226" t="str">
        <f ca="1">IFERROR(__xludf.DUMMYFUNCTION("""COMPUTED_VALUE"""),"RF-00002562-MCG")</f>
        <v>RF-00002562-MCG</v>
      </c>
    </row>
    <row r="227" spans="1:2" ht="12.5" x14ac:dyDescent="0.25">
      <c r="A227" t="str">
        <f ca="1">IFERROR(__xludf.DUMMYFUNCTION("""COMPUTED_VALUE"""),"Afipia felis")</f>
        <v>Afipia felis</v>
      </c>
      <c r="B227" t="str">
        <f ca="1">IFERROR(__xludf.DUMMYFUNCTION("""COMPUTED_VALUE"""),"RF-00002563-MCG")</f>
        <v>RF-00002563-MCG</v>
      </c>
    </row>
    <row r="228" spans="1:2" ht="12.5" x14ac:dyDescent="0.25">
      <c r="A228" t="str">
        <f ca="1">IFERROR(__xludf.DUMMYFUNCTION("""COMPUTED_VALUE"""),"Aflatoxin (sum of B1, B2, G1, G2)")</f>
        <v>Aflatoxin (sum of B1, B2, G1, G2)</v>
      </c>
      <c r="B228" t="str">
        <f ca="1">IFERROR(__xludf.DUMMYFUNCTION("""COMPUTED_VALUE"""),"RF-00000435-TOX")</f>
        <v>RF-00000435-TOX</v>
      </c>
    </row>
    <row r="229" spans="1:2" ht="12.5" x14ac:dyDescent="0.25">
      <c r="A229" t="str">
        <f ca="1">IFERROR(__xludf.DUMMYFUNCTION("""COMPUTED_VALUE"""),"Aflatoxin B1")</f>
        <v>Aflatoxin B1</v>
      </c>
      <c r="B229" t="str">
        <f ca="1">IFERROR(__xludf.DUMMYFUNCTION("""COMPUTED_VALUE"""),"RF-00000150-TOX")</f>
        <v>RF-00000150-TOX</v>
      </c>
    </row>
    <row r="230" spans="1:2" ht="12.5" x14ac:dyDescent="0.25">
      <c r="A230" t="str">
        <f ca="1">IFERROR(__xludf.DUMMYFUNCTION("""COMPUTED_VALUE"""),"Aflatoxin B2")</f>
        <v>Aflatoxin B2</v>
      </c>
      <c r="B230" t="str">
        <f ca="1">IFERROR(__xludf.DUMMYFUNCTION("""COMPUTED_VALUE"""),"RF-00000151-TOX")</f>
        <v>RF-00000151-TOX</v>
      </c>
    </row>
    <row r="231" spans="1:2" ht="12.5" x14ac:dyDescent="0.25">
      <c r="A231" t="str">
        <f ca="1">IFERROR(__xludf.DUMMYFUNCTION("""COMPUTED_VALUE"""),"Aflatoxin G1")</f>
        <v>Aflatoxin G1</v>
      </c>
      <c r="B231" t="str">
        <f ca="1">IFERROR(__xludf.DUMMYFUNCTION("""COMPUTED_VALUE"""),"RF-00000152-TOX")</f>
        <v>RF-00000152-TOX</v>
      </c>
    </row>
    <row r="232" spans="1:2" ht="12.5" x14ac:dyDescent="0.25">
      <c r="A232" t="str">
        <f ca="1">IFERROR(__xludf.DUMMYFUNCTION("""COMPUTED_VALUE"""),"Aflatoxin G2")</f>
        <v>Aflatoxin G2</v>
      </c>
      <c r="B232" t="str">
        <f ca="1">IFERROR(__xludf.DUMMYFUNCTION("""COMPUTED_VALUE"""),"RF-00000153-TOX")</f>
        <v>RF-00000153-TOX</v>
      </c>
    </row>
    <row r="233" spans="1:2" ht="12.5" x14ac:dyDescent="0.25">
      <c r="A233" t="str">
        <f ca="1">IFERROR(__xludf.DUMMYFUNCTION("""COMPUTED_VALUE"""),"Aflatoxin G5")</f>
        <v>Aflatoxin G5</v>
      </c>
      <c r="B233" t="str">
        <f ca="1">IFERROR(__xludf.DUMMYFUNCTION("""COMPUTED_VALUE"""),"RF-00000154-TOX")</f>
        <v>RF-00000154-TOX</v>
      </c>
    </row>
    <row r="234" spans="1:2" ht="12.5" x14ac:dyDescent="0.25">
      <c r="A234" t="str">
        <f ca="1">IFERROR(__xludf.DUMMYFUNCTION("""COMPUTED_VALUE"""),"Aflatoxin M1")</f>
        <v>Aflatoxin M1</v>
      </c>
      <c r="B234" t="str">
        <f ca="1">IFERROR(__xludf.DUMMYFUNCTION("""COMPUTED_VALUE"""),"RF-00000155-TOX")</f>
        <v>RF-00000155-TOX</v>
      </c>
    </row>
    <row r="235" spans="1:2" ht="12.5" x14ac:dyDescent="0.25">
      <c r="A235" t="str">
        <f ca="1">IFERROR(__xludf.DUMMYFUNCTION("""COMPUTED_VALUE"""),"Aflatoxin M2")</f>
        <v>Aflatoxin M2</v>
      </c>
      <c r="B235" t="str">
        <f ca="1">IFERROR(__xludf.DUMMYFUNCTION("""COMPUTED_VALUE"""),"RF-00000156-TOX")</f>
        <v>RF-00000156-TOX</v>
      </c>
    </row>
    <row r="236" spans="1:2" ht="12.5" x14ac:dyDescent="0.25">
      <c r="A236" t="str">
        <f ca="1">IFERROR(__xludf.DUMMYFUNCTION("""COMPUTED_VALUE"""),"Aflatoxins")</f>
        <v>Aflatoxins</v>
      </c>
      <c r="B236" t="str">
        <f ca="1">IFERROR(__xludf.DUMMYFUNCTION("""COMPUTED_VALUE"""),"RF-00000149-TOX")</f>
        <v>RF-00000149-TOX</v>
      </c>
    </row>
    <row r="237" spans="1:2" ht="12.5" x14ac:dyDescent="0.25">
      <c r="A237" t="str">
        <f ca="1">IFERROR(__xludf.DUMMYFUNCTION("""COMPUTED_VALUE"""),"Agar")</f>
        <v>Agar</v>
      </c>
      <c r="B237" t="str">
        <f ca="1">IFERROR(__xludf.DUMMYFUNCTION("""COMPUTED_VALUE"""),"RF-00000026-ADD")</f>
        <v>RF-00000026-ADD</v>
      </c>
    </row>
    <row r="238" spans="1:2" ht="12.5" x14ac:dyDescent="0.25">
      <c r="A238" t="str">
        <f ca="1">IFERROR(__xludf.DUMMYFUNCTION("""COMPUTED_VALUE"""),"Agmatine")</f>
        <v>Agmatine</v>
      </c>
      <c r="B238" t="str">
        <f ca="1">IFERROR(__xludf.DUMMYFUNCTION("""COMPUTED_VALUE"""),"RF-00000473-ORG")</f>
        <v>RF-00000473-ORG</v>
      </c>
    </row>
    <row r="239" spans="1:2" ht="12.5" x14ac:dyDescent="0.25">
      <c r="A239" t="str">
        <f ca="1">IFERROR(__xludf.DUMMYFUNCTION("""COMPUTED_VALUE"""),"Agroclavin")</f>
        <v>Agroclavin</v>
      </c>
      <c r="B239" t="str">
        <f ca="1">IFERROR(__xludf.DUMMYFUNCTION("""COMPUTED_VALUE"""),"RF-00000380-TOX")</f>
        <v>RF-00000380-TOX</v>
      </c>
    </row>
    <row r="240" spans="1:2" ht="12.5" x14ac:dyDescent="0.25">
      <c r="A240" t="str">
        <f ca="1">IFERROR(__xludf.DUMMYFUNCTION("""COMPUTED_VALUE"""),"AHD (1-aminohydantoin)")</f>
        <v>AHD (1-aminohydantoin)</v>
      </c>
      <c r="B240" t="str">
        <f ca="1">IFERROR(__xludf.DUMMYFUNCTION("""COMPUTED_VALUE"""),"RF-00000524-VET")</f>
        <v>RF-00000524-VET</v>
      </c>
    </row>
    <row r="241" spans="1:2" ht="12.5" x14ac:dyDescent="0.25">
      <c r="A241" t="str">
        <f ca="1">IFERROR(__xludf.DUMMYFUNCTION("""COMPUTED_VALUE"""),"Aichi virus")</f>
        <v>Aichi virus</v>
      </c>
      <c r="B241" t="str">
        <f ca="1">IFERROR(__xludf.DUMMYFUNCTION("""COMPUTED_VALUE"""),"RF-00002565-MCG")</f>
        <v>RF-00002565-MCG</v>
      </c>
    </row>
    <row r="242" spans="1:2" ht="12.5" x14ac:dyDescent="0.25">
      <c r="A242" t="str">
        <f ca="1">IFERROR(__xludf.DUMMYFUNCTION("""COMPUTED_VALUE"""),"Alachlor")</f>
        <v>Alachlor</v>
      </c>
      <c r="B242" t="str">
        <f ca="1">IFERROR(__xludf.DUMMYFUNCTION("""COMPUTED_VALUE"""),"RF-0019-001-PPP")</f>
        <v>RF-0019-001-PPP</v>
      </c>
    </row>
    <row r="243" spans="1:2" ht="12.5" x14ac:dyDescent="0.25">
      <c r="A243" t="str">
        <f ca="1">IFERROR(__xludf.DUMMYFUNCTION("""COMPUTED_VALUE"""),"alanine")</f>
        <v>alanine</v>
      </c>
      <c r="B243" t="str">
        <f ca="1">IFERROR(__xludf.DUMMYFUNCTION("""COMPUTED_VALUE"""),"RF-00000005-NTR")</f>
        <v>RF-00000005-NTR</v>
      </c>
    </row>
    <row r="244" spans="1:2" ht="12.5" x14ac:dyDescent="0.25">
      <c r="A244" t="str">
        <f ca="1">IFERROR(__xludf.DUMMYFUNCTION("""COMPUTED_VALUE"""),"Alanycarb")</f>
        <v>Alanycarb</v>
      </c>
      <c r="B244" t="str">
        <f ca="1">IFERROR(__xludf.DUMMYFUNCTION("""COMPUTED_VALUE"""),"RF-0462-001-PPP")</f>
        <v>RF-0462-001-PPP</v>
      </c>
    </row>
    <row r="245" spans="1:2" ht="12.5" x14ac:dyDescent="0.25">
      <c r="A245" t="str">
        <f ca="1">IFERROR(__xludf.DUMMYFUNCTION("""COMPUTED_VALUE"""),"Albendazol")</f>
        <v>Albendazol</v>
      </c>
      <c r="B245" t="str">
        <f ca="1">IFERROR(__xludf.DUMMYFUNCTION("""COMPUTED_VALUE"""),"RF-00000055-VET")</f>
        <v>RF-00000055-VET</v>
      </c>
    </row>
    <row r="246" spans="1:2" ht="12.5" x14ac:dyDescent="0.25">
      <c r="A246" t="str">
        <f ca="1">IFERROR(__xludf.DUMMYFUNCTION("""COMPUTED_VALUE"""),"Albendazol-2-aminosulfon")</f>
        <v>Albendazol-2-aminosulfon</v>
      </c>
      <c r="B246" t="str">
        <f ca="1">IFERROR(__xludf.DUMMYFUNCTION("""COMPUTED_VALUE"""),"RF-00000045-VET")</f>
        <v>RF-00000045-VET</v>
      </c>
    </row>
    <row r="247" spans="1:2" ht="12.5" x14ac:dyDescent="0.25">
      <c r="A247" t="str">
        <f ca="1">IFERROR(__xludf.DUMMYFUNCTION("""COMPUTED_VALUE"""),"Albendazolsulfon")</f>
        <v>Albendazolsulfon</v>
      </c>
      <c r="B247" t="str">
        <f ca="1">IFERROR(__xludf.DUMMYFUNCTION("""COMPUTED_VALUE"""),"RF-00000041-VET")</f>
        <v>RF-00000041-VET</v>
      </c>
    </row>
    <row r="248" spans="1:2" ht="12.5" x14ac:dyDescent="0.25">
      <c r="A248" t="str">
        <f ca="1">IFERROR(__xludf.DUMMYFUNCTION("""COMPUTED_VALUE"""),"Albendazolsulfoxide")</f>
        <v>Albendazolsulfoxide</v>
      </c>
      <c r="B248" t="str">
        <f ca="1">IFERROR(__xludf.DUMMYFUNCTION("""COMPUTED_VALUE"""),"RF-00000040-VET")</f>
        <v>RF-00000040-VET</v>
      </c>
    </row>
    <row r="249" spans="1:2" ht="12.5" x14ac:dyDescent="0.25">
      <c r="A249" t="str">
        <f ca="1">IFERROR(__xludf.DUMMYFUNCTION("""COMPUTED_VALUE"""),"albumin")</f>
        <v>albumin</v>
      </c>
      <c r="B249" t="str">
        <f ca="1">IFERROR(__xludf.DUMMYFUNCTION("""COMPUTED_VALUE"""),"RF-00000006-NTR")</f>
        <v>RF-00000006-NTR</v>
      </c>
    </row>
    <row r="250" spans="1:2" ht="12.5" x14ac:dyDescent="0.25">
      <c r="A250" t="str">
        <f ca="1">IFERROR(__xludf.DUMMYFUNCTION("""COMPUTED_VALUE"""),"alcohol (ethanol)")</f>
        <v>alcohol (ethanol)</v>
      </c>
      <c r="B250" t="str">
        <f ca="1">IFERROR(__xludf.DUMMYFUNCTION("""COMPUTED_VALUE"""),"RF-00000007-NTR")</f>
        <v>RF-00000007-NTR</v>
      </c>
    </row>
    <row r="251" spans="1:2" ht="12.5" x14ac:dyDescent="0.25">
      <c r="A251" t="str">
        <f ca="1">IFERROR(__xludf.DUMMYFUNCTION("""COMPUTED_VALUE"""),"Aldicarb")</f>
        <v>Aldicarb</v>
      </c>
      <c r="B251" t="str">
        <f ca="1">IFERROR(__xludf.DUMMYFUNCTION("""COMPUTED_VALUE"""),"RF-00000121-VET")</f>
        <v>RF-00000121-VET</v>
      </c>
    </row>
    <row r="252" spans="1:2" ht="12.5" x14ac:dyDescent="0.25">
      <c r="A252" t="str">
        <f ca="1">IFERROR(__xludf.DUMMYFUNCTION("""COMPUTED_VALUE"""),"Aldicarb")</f>
        <v>Aldicarb</v>
      </c>
      <c r="B252" t="str">
        <f ca="1">IFERROR(__xludf.DUMMYFUNCTION("""COMPUTED_VALUE"""),"RF-0020-002-PPP")</f>
        <v>RF-0020-002-PPP</v>
      </c>
    </row>
    <row r="253" spans="1:2" ht="12.5" x14ac:dyDescent="0.25">
      <c r="A253" t="str">
        <f ca="1">IFERROR(__xludf.DUMMYFUNCTION("""COMPUTED_VALUE"""),"Aldicarb (sum of Aldicarb, its sulfoxide and its sulfone, expressed as Aldicarb)")</f>
        <v>Aldicarb (sum of Aldicarb, its sulfoxide and its sulfone, expressed as Aldicarb)</v>
      </c>
      <c r="B253" t="str">
        <f ca="1">IFERROR(__xludf.DUMMYFUNCTION("""COMPUTED_VALUE"""),"RF-0020-001-PPP")</f>
        <v>RF-0020-001-PPP</v>
      </c>
    </row>
    <row r="254" spans="1:2" ht="12.5" x14ac:dyDescent="0.25">
      <c r="A254" t="str">
        <f ca="1">IFERROR(__xludf.DUMMYFUNCTION("""COMPUTED_VALUE"""),"Aldicarb-sulfone")</f>
        <v>Aldicarb-sulfone</v>
      </c>
      <c r="B254" t="str">
        <f ca="1">IFERROR(__xludf.DUMMYFUNCTION("""COMPUTED_VALUE"""),"RF-00000116-VET")</f>
        <v>RF-00000116-VET</v>
      </c>
    </row>
    <row r="255" spans="1:2" ht="12.5" x14ac:dyDescent="0.25">
      <c r="A255" t="str">
        <f ca="1">IFERROR(__xludf.DUMMYFUNCTION("""COMPUTED_VALUE"""),"Aldicarb-Sulfone")</f>
        <v>Aldicarb-Sulfone</v>
      </c>
      <c r="B255" t="str">
        <f ca="1">IFERROR(__xludf.DUMMYFUNCTION("""COMPUTED_VALUE"""),"RF-0020-004-PPP")</f>
        <v>RF-0020-004-PPP</v>
      </c>
    </row>
    <row r="256" spans="1:2" ht="12.5" x14ac:dyDescent="0.25">
      <c r="A256" t="str">
        <f ca="1">IFERROR(__xludf.DUMMYFUNCTION("""COMPUTED_VALUE"""),"Aldicarb-sulfoxide")</f>
        <v>Aldicarb-sulfoxide</v>
      </c>
      <c r="B256" t="str">
        <f ca="1">IFERROR(__xludf.DUMMYFUNCTION("""COMPUTED_VALUE"""),"RF-00000105-VET")</f>
        <v>RF-00000105-VET</v>
      </c>
    </row>
    <row r="257" spans="1:2" ht="12.5" x14ac:dyDescent="0.25">
      <c r="A257" t="str">
        <f ca="1">IFERROR(__xludf.DUMMYFUNCTION("""COMPUTED_VALUE"""),"Aldicarb-Sulfoxide")</f>
        <v>Aldicarb-Sulfoxide</v>
      </c>
      <c r="B257" t="str">
        <f ca="1">IFERROR(__xludf.DUMMYFUNCTION("""COMPUTED_VALUE"""),"RF-0020-003-PPP")</f>
        <v>RF-0020-003-PPP</v>
      </c>
    </row>
    <row r="258" spans="1:2" ht="12.5" x14ac:dyDescent="0.25">
      <c r="A258" t="str">
        <f ca="1">IFERROR(__xludf.DUMMYFUNCTION("""COMPUTED_VALUE"""),"Aldimorph")</f>
        <v>Aldimorph</v>
      </c>
      <c r="B258" t="str">
        <f ca="1">IFERROR(__xludf.DUMMYFUNCTION("""COMPUTED_VALUE"""),"RF-0463-001-PPP")</f>
        <v>RF-0463-001-PPP</v>
      </c>
    </row>
    <row r="259" spans="1:2" ht="12.5" x14ac:dyDescent="0.25">
      <c r="A259" t="str">
        <f ca="1">IFERROR(__xludf.DUMMYFUNCTION("""COMPUTED_VALUE"""),"Aldrin")</f>
        <v>Aldrin</v>
      </c>
      <c r="B259" t="str">
        <f ca="1">IFERROR(__xludf.DUMMYFUNCTION("""COMPUTED_VALUE"""),"RF-0021-002-PPP")</f>
        <v>RF-0021-002-PPP</v>
      </c>
    </row>
    <row r="260" spans="1:2" ht="12.5" x14ac:dyDescent="0.25">
      <c r="A260" t="str">
        <f ca="1">IFERROR(__xludf.DUMMYFUNCTION("""COMPUTED_VALUE"""),"Aldrin and Dieldrin (Aldrin and dieldrin combined expressed as dieldrin)")</f>
        <v>Aldrin and Dieldrin (Aldrin and dieldrin combined expressed as dieldrin)</v>
      </c>
      <c r="B260" t="str">
        <f ca="1">IFERROR(__xludf.DUMMYFUNCTION("""COMPUTED_VALUE"""),"RF-0021-001-PPP")</f>
        <v>RF-0021-001-PPP</v>
      </c>
    </row>
    <row r="261" spans="1:2" ht="12.5" x14ac:dyDescent="0.25">
      <c r="A261" t="str">
        <f ca="1">IFERROR(__xludf.DUMMYFUNCTION("""COMPUTED_VALUE"""),"Alfa activity")</f>
        <v>Alfa activity</v>
      </c>
      <c r="B261" t="str">
        <f ca="1">IFERROR(__xludf.DUMMYFUNCTION("""COMPUTED_VALUE"""),"RF-00000003-RAD")</f>
        <v>RF-00000003-RAD</v>
      </c>
    </row>
    <row r="262" spans="1:2" ht="12.5" x14ac:dyDescent="0.25">
      <c r="A262" t="str">
        <f ca="1">IFERROR(__xludf.DUMMYFUNCTION("""COMPUTED_VALUE"""),"Alginic acid")</f>
        <v>Alginic acid</v>
      </c>
      <c r="B262" t="str">
        <f ca="1">IFERROR(__xludf.DUMMYFUNCTION("""COMPUTED_VALUE"""),"RF-00000027-ADD")</f>
        <v>RF-00000027-ADD</v>
      </c>
    </row>
    <row r="263" spans="1:2" ht="12.5" x14ac:dyDescent="0.25">
      <c r="A263" t="str">
        <f ca="1">IFERROR(__xludf.DUMMYFUNCTION("""COMPUTED_VALUE"""),"Alkyl phthalates")</f>
        <v>Alkyl phthalates</v>
      </c>
      <c r="B263" t="str">
        <f ca="1">IFERROR(__xludf.DUMMYFUNCTION("""COMPUTED_VALUE"""),"RF-00000002-ORG")</f>
        <v>RF-00000002-ORG</v>
      </c>
    </row>
    <row r="264" spans="1:2" ht="12.5" x14ac:dyDescent="0.25">
      <c r="A264" t="str">
        <f ca="1">IFERROR(__xludf.DUMMYFUNCTION("""COMPUTED_VALUE"""),"all-trans retinol")</f>
        <v>all-trans retinol</v>
      </c>
      <c r="B264" t="str">
        <f ca="1">IFERROR(__xludf.DUMMYFUNCTION("""COMPUTED_VALUE"""),"RF-00000008-NTR")</f>
        <v>RF-00000008-NTR</v>
      </c>
    </row>
    <row r="265" spans="1:2" ht="12.5" x14ac:dyDescent="0.25">
      <c r="A265" t="str">
        <f ca="1">IFERROR(__xludf.DUMMYFUNCTION("""COMPUTED_VALUE"""),"all-trans retinol equivalents")</f>
        <v>all-trans retinol equivalents</v>
      </c>
      <c r="B265" t="str">
        <f ca="1">IFERROR(__xludf.DUMMYFUNCTION("""COMPUTED_VALUE"""),"RF-00000009-NTR")</f>
        <v>RF-00000009-NTR</v>
      </c>
    </row>
    <row r="266" spans="1:2" ht="12.5" x14ac:dyDescent="0.25">
      <c r="A266" t="str">
        <f ca="1">IFERROR(__xludf.DUMMYFUNCTION("""COMPUTED_VALUE"""),"Allethrin")</f>
        <v>Allethrin</v>
      </c>
      <c r="B266" t="str">
        <f ca="1">IFERROR(__xludf.DUMMYFUNCTION("""COMPUTED_VALUE"""),"RF-00000110-VET")</f>
        <v>RF-00000110-VET</v>
      </c>
    </row>
    <row r="267" spans="1:2" ht="12.5" x14ac:dyDescent="0.25">
      <c r="A267" t="str">
        <f ca="1">IFERROR(__xludf.DUMMYFUNCTION("""COMPUTED_VALUE"""),"Allethrin")</f>
        <v>Allethrin</v>
      </c>
      <c r="B267" t="str">
        <f ca="1">IFERROR(__xludf.DUMMYFUNCTION("""COMPUTED_VALUE"""),"RF-0464-001-PPP")</f>
        <v>RF-0464-001-PPP</v>
      </c>
    </row>
    <row r="268" spans="1:2" ht="12.5" x14ac:dyDescent="0.25">
      <c r="A268" t="str">
        <f ca="1">IFERROR(__xludf.DUMMYFUNCTION("""COMPUTED_VALUE"""),"Allidochlor")</f>
        <v>Allidochlor</v>
      </c>
      <c r="B268" t="str">
        <f ca="1">IFERROR(__xludf.DUMMYFUNCTION("""COMPUTED_VALUE"""),"RF-1023-001-PPP")</f>
        <v>RF-1023-001-PPP</v>
      </c>
    </row>
    <row r="269" spans="1:2" ht="12.5" x14ac:dyDescent="0.25">
      <c r="A269" t="str">
        <f ca="1">IFERROR(__xludf.DUMMYFUNCTION("""COMPUTED_VALUE"""),"Alloxydim")</f>
        <v>Alloxydim</v>
      </c>
      <c r="B269" t="str">
        <f ca="1">IFERROR(__xludf.DUMMYFUNCTION("""COMPUTED_VALUE"""),"RF-0465-001-PPP")</f>
        <v>RF-0465-001-PPP</v>
      </c>
    </row>
    <row r="270" spans="1:2" ht="12.5" x14ac:dyDescent="0.25">
      <c r="A270" t="str">
        <f ca="1">IFERROR(__xludf.DUMMYFUNCTION("""COMPUTED_VALUE"""),"Allura Red AC")</f>
        <v>Allura Red AC</v>
      </c>
      <c r="B270" t="str">
        <f ca="1">IFERROR(__xludf.DUMMYFUNCTION("""COMPUTED_VALUE"""),"RF-00000028-ADD")</f>
        <v>RF-00000028-ADD</v>
      </c>
    </row>
    <row r="271" spans="1:2" ht="12.5" x14ac:dyDescent="0.25">
      <c r="A271" t="str">
        <f ca="1">IFERROR(__xludf.DUMMYFUNCTION("""COMPUTED_VALUE"""),"Allyl isothiocyanate")</f>
        <v>Allyl isothiocyanate</v>
      </c>
      <c r="B271" t="str">
        <f ca="1">IFERROR(__xludf.DUMMYFUNCTION("""COMPUTED_VALUE"""),"RF-00000024-CHE")</f>
        <v>RF-00000024-CHE</v>
      </c>
    </row>
    <row r="272" spans="1:2" ht="12.5" x14ac:dyDescent="0.25">
      <c r="A272" t="str">
        <f ca="1">IFERROR(__xludf.DUMMYFUNCTION("""COMPUTED_VALUE"""),"Allyltrenbolone (Altrenogest)")</f>
        <v>Allyltrenbolone (Altrenogest)</v>
      </c>
      <c r="B272" t="str">
        <f ca="1">IFERROR(__xludf.DUMMYFUNCTION("""COMPUTED_VALUE"""),"RF-00000310-VET")</f>
        <v>RF-00000310-VET</v>
      </c>
    </row>
    <row r="273" spans="1:2" ht="12.5" x14ac:dyDescent="0.25">
      <c r="A273" t="str">
        <f ca="1">IFERROR(__xludf.DUMMYFUNCTION("""COMPUTED_VALUE"""),"alpha galactosides")</f>
        <v>alpha galactosides</v>
      </c>
      <c r="B273" t="str">
        <f ca="1">IFERROR(__xludf.DUMMYFUNCTION("""COMPUTED_VALUE"""),"RF-00000010-NTR")</f>
        <v>RF-00000010-NTR</v>
      </c>
    </row>
    <row r="274" spans="1:2" ht="12.5" x14ac:dyDescent="0.25">
      <c r="A274" t="str">
        <f ca="1">IFERROR(__xludf.DUMMYFUNCTION("""COMPUTED_VALUE"""),"Alpha-(3-hydroxybutyl) - alpha - (4-chloro-phenyl) - 1H - 1,2,4 - triazole -1-propanenitrile (RH9090) expressed as myclobutanil")</f>
        <v>Alpha-(3-hydroxybutyl) - alpha - (4-chloro-phenyl) - 1H - 1,2,4 - triazole -1-propanenitrile (RH9090) expressed as myclobutanil</v>
      </c>
      <c r="B274" t="str">
        <f ca="1">IFERROR(__xludf.DUMMYFUNCTION("""COMPUTED_VALUE"""),"RF-1005-001-PPP")</f>
        <v>RF-1005-001-PPP</v>
      </c>
    </row>
    <row r="275" spans="1:2" ht="12.5" x14ac:dyDescent="0.25">
      <c r="A275" t="str">
        <f ca="1">IFERROR(__xludf.DUMMYFUNCTION("""COMPUTED_VALUE"""),"alpha-carotene")</f>
        <v>alpha-carotene</v>
      </c>
      <c r="B275" t="str">
        <f ca="1">IFERROR(__xludf.DUMMYFUNCTION("""COMPUTED_VALUE"""),"RF-00000011-NTR")</f>
        <v>RF-00000011-NTR</v>
      </c>
    </row>
    <row r="276" spans="1:2" ht="12.5" x14ac:dyDescent="0.25">
      <c r="A276" t="str">
        <f ca="1">IFERROR(__xludf.DUMMYFUNCTION("""COMPUTED_VALUE"""),"alpha-cryptoxanthin")</f>
        <v>alpha-cryptoxanthin</v>
      </c>
      <c r="B276" t="str">
        <f ca="1">IFERROR(__xludf.DUMMYFUNCTION("""COMPUTED_VALUE"""),"RF-00000012-NTR")</f>
        <v>RF-00000012-NTR</v>
      </c>
    </row>
    <row r="277" spans="1:2" ht="12.5" x14ac:dyDescent="0.25">
      <c r="A277" t="str">
        <f ca="1">IFERROR(__xludf.DUMMYFUNCTION("""COMPUTED_VALUE"""),"alpha-Ergocryptine")</f>
        <v>alpha-Ergocryptine</v>
      </c>
      <c r="B277" t="str">
        <f ca="1">IFERROR(__xludf.DUMMYFUNCTION("""COMPUTED_VALUE"""),"RF-00000138-TOX")</f>
        <v>RF-00000138-TOX</v>
      </c>
    </row>
    <row r="278" spans="1:2" ht="12.5" x14ac:dyDescent="0.25">
      <c r="A278" t="str">
        <f ca="1">IFERROR(__xludf.DUMMYFUNCTION("""COMPUTED_VALUE"""),"alpha-Ergocryptinine")</f>
        <v>alpha-Ergocryptinine</v>
      </c>
      <c r="B278" t="str">
        <f ca="1">IFERROR(__xludf.DUMMYFUNCTION("""COMPUTED_VALUE"""),"RF-00000145-TOX")</f>
        <v>RF-00000145-TOX</v>
      </c>
    </row>
    <row r="279" spans="1:2" ht="12.5" x14ac:dyDescent="0.25">
      <c r="A279" t="str">
        <f ca="1">IFERROR(__xludf.DUMMYFUNCTION("""COMPUTED_VALUE"""),"Alpha-tocopherol")</f>
        <v>Alpha-tocopherol</v>
      </c>
      <c r="B279" t="str">
        <f ca="1">IFERROR(__xludf.DUMMYFUNCTION("""COMPUTED_VALUE"""),"RF-00000029-ADD")</f>
        <v>RF-00000029-ADD</v>
      </c>
    </row>
    <row r="280" spans="1:2" ht="12.5" x14ac:dyDescent="0.25">
      <c r="A280" t="str">
        <f ca="1">IFERROR(__xludf.DUMMYFUNCTION("""COMPUTED_VALUE"""),"alpha-tocotrienol")</f>
        <v>alpha-tocotrienol</v>
      </c>
      <c r="B280" t="str">
        <f ca="1">IFERROR(__xludf.DUMMYFUNCTION("""COMPUTED_VALUE"""),"RF-00000013-NTR")</f>
        <v>RF-00000013-NTR</v>
      </c>
    </row>
    <row r="281" spans="1:2" ht="12.5" x14ac:dyDescent="0.25">
      <c r="A281" t="str">
        <f ca="1">IFERROR(__xludf.DUMMYFUNCTION("""COMPUTED_VALUE"""),"Alpha-Zearalanol (Zeranol)")</f>
        <v>Alpha-Zearalanol (Zeranol)</v>
      </c>
      <c r="B281" t="str">
        <f ca="1">IFERROR(__xludf.DUMMYFUNCTION("""COMPUTED_VALUE"""),"RF-00000449-VET")</f>
        <v>RF-00000449-VET</v>
      </c>
    </row>
    <row r="282" spans="1:2" ht="12.5" x14ac:dyDescent="0.25">
      <c r="A282" t="str">
        <f ca="1">IFERROR(__xludf.DUMMYFUNCTION("""COMPUTED_VALUE"""),"Alphamethrin")</f>
        <v>Alphamethrin</v>
      </c>
      <c r="B282" t="str">
        <f ca="1">IFERROR(__xludf.DUMMYFUNCTION("""COMPUTED_VALUE"""),"RF-0112-002-PPP")</f>
        <v>RF-0112-002-PPP</v>
      </c>
    </row>
    <row r="283" spans="1:2" ht="12.5" x14ac:dyDescent="0.25">
      <c r="A283" t="str">
        <f ca="1">IFERROR(__xludf.DUMMYFUNCTION("""COMPUTED_VALUE"""),"Alphavirus")</f>
        <v>Alphavirus</v>
      </c>
      <c r="B283" t="str">
        <f ca="1">IFERROR(__xludf.DUMMYFUNCTION("""COMPUTED_VALUE"""),"RF-00002644-MCG")</f>
        <v>RF-00002644-MCG</v>
      </c>
    </row>
    <row r="284" spans="1:2" ht="12.5" x14ac:dyDescent="0.25">
      <c r="A284" t="str">
        <f ca="1">IFERROR(__xludf.DUMMYFUNCTION("""COMPUTED_VALUE"""),"Alphavirus Chickungunya virus")</f>
        <v>Alphavirus Chickungunya virus</v>
      </c>
      <c r="B284" t="str">
        <f ca="1">IFERROR(__xludf.DUMMYFUNCTION("""COMPUTED_VALUE"""),"RF-00002646-MCG")</f>
        <v>RF-00002646-MCG</v>
      </c>
    </row>
    <row r="285" spans="1:2" ht="12.5" x14ac:dyDescent="0.25">
      <c r="A285" t="str">
        <f ca="1">IFERROR(__xludf.DUMMYFUNCTION("""COMPUTED_VALUE"""),"Alphavirus Eastern equine encephalitis virus")</f>
        <v>Alphavirus Eastern equine encephalitis virus</v>
      </c>
      <c r="B285" t="str">
        <f ca="1">IFERROR(__xludf.DUMMYFUNCTION("""COMPUTED_VALUE"""),"RF-00002648-MCG")</f>
        <v>RF-00002648-MCG</v>
      </c>
    </row>
    <row r="286" spans="1:2" ht="12.5" x14ac:dyDescent="0.25">
      <c r="A286" t="str">
        <f ca="1">IFERROR(__xludf.DUMMYFUNCTION("""COMPUTED_VALUE"""),"Alphavirus Sindbis virus (ockelbo)")</f>
        <v>Alphavirus Sindbis virus (ockelbo)</v>
      </c>
      <c r="B286" t="str">
        <f ca="1">IFERROR(__xludf.DUMMYFUNCTION("""COMPUTED_VALUE"""),"RF-00002647-MCG")</f>
        <v>RF-00002647-MCG</v>
      </c>
    </row>
    <row r="287" spans="1:2" ht="12.5" x14ac:dyDescent="0.25">
      <c r="A287" t="str">
        <f ca="1">IFERROR(__xludf.DUMMYFUNCTION("""COMPUTED_VALUE"""),"Alphavirus spp., unidentified")</f>
        <v>Alphavirus spp., unidentified</v>
      </c>
      <c r="B287" t="str">
        <f ca="1">IFERROR(__xludf.DUMMYFUNCTION("""COMPUTED_VALUE"""),"RF-00002645-MCG")</f>
        <v>RF-00002645-MCG</v>
      </c>
    </row>
    <row r="288" spans="1:2" ht="12.5" x14ac:dyDescent="0.25">
      <c r="A288" t="str">
        <f ca="1">IFERROR(__xludf.DUMMYFUNCTION("""COMPUTED_VALUE"""),"Alphavirus Western equine encephalitis virus")</f>
        <v>Alphavirus Western equine encephalitis virus</v>
      </c>
      <c r="B288" t="str">
        <f ca="1">IFERROR(__xludf.DUMMYFUNCTION("""COMPUTED_VALUE"""),"RF-00002649-MCG")</f>
        <v>RF-00002649-MCG</v>
      </c>
    </row>
    <row r="289" spans="1:2" ht="12.5" x14ac:dyDescent="0.25">
      <c r="A289" t="str">
        <f ca="1">IFERROR(__xludf.DUMMYFUNCTION("""COMPUTED_VALUE"""),"Alprazolam")</f>
        <v>Alprazolam</v>
      </c>
      <c r="B289" t="str">
        <f ca="1">IFERROR(__xludf.DUMMYFUNCTION("""COMPUTED_VALUE"""),"RF-00000173-VET")</f>
        <v>RF-00000173-VET</v>
      </c>
    </row>
    <row r="290" spans="1:2" ht="12.5" x14ac:dyDescent="0.25">
      <c r="A290" t="str">
        <f ca="1">IFERROR(__xludf.DUMMYFUNCTION("""COMPUTED_VALUE"""),"Altenuene")</f>
        <v>Altenuene</v>
      </c>
      <c r="B290" t="str">
        <f ca="1">IFERROR(__xludf.DUMMYFUNCTION("""COMPUTED_VALUE"""),"RF-00000193-TOX")</f>
        <v>RF-00000193-TOX</v>
      </c>
    </row>
    <row r="291" spans="1:2" ht="12.5" x14ac:dyDescent="0.25">
      <c r="A291" t="str">
        <f ca="1">IFERROR(__xludf.DUMMYFUNCTION("""COMPUTED_VALUE"""),"Altenuisol")</f>
        <v>Altenuisol</v>
      </c>
      <c r="B291" t="str">
        <f ca="1">IFERROR(__xludf.DUMMYFUNCTION("""COMPUTED_VALUE"""),"RF-00000200-TOX")</f>
        <v>RF-00000200-TOX</v>
      </c>
    </row>
    <row r="292" spans="1:2" ht="12.5" x14ac:dyDescent="0.25">
      <c r="A292" t="str">
        <f ca="1">IFERROR(__xludf.DUMMYFUNCTION("""COMPUTED_VALUE"""),"Alternaria alternata f. sp. lycopersici toxins")</f>
        <v>Alternaria alternata f. sp. lycopersici toxins</v>
      </c>
      <c r="B292" t="str">
        <f ca="1">IFERROR(__xludf.DUMMYFUNCTION("""COMPUTED_VALUE"""),"RF-00000206-TOX")</f>
        <v>RF-00000206-TOX</v>
      </c>
    </row>
    <row r="293" spans="1:2" ht="12.5" x14ac:dyDescent="0.25">
      <c r="A293" t="str">
        <f ca="1">IFERROR(__xludf.DUMMYFUNCTION("""COMPUTED_VALUE"""),"Alternaria toxins")</f>
        <v>Alternaria toxins</v>
      </c>
      <c r="B293" t="str">
        <f ca="1">IFERROR(__xludf.DUMMYFUNCTION("""COMPUTED_VALUE"""),"RF-00000190-TOX")</f>
        <v>RF-00000190-TOX</v>
      </c>
    </row>
    <row r="294" spans="1:2" ht="12.5" x14ac:dyDescent="0.25">
      <c r="A294" t="str">
        <f ca="1">IFERROR(__xludf.DUMMYFUNCTION("""COMPUTED_VALUE"""),"Alternariol")</f>
        <v>Alternariol</v>
      </c>
      <c r="B294" t="str">
        <f ca="1">IFERROR(__xludf.DUMMYFUNCTION("""COMPUTED_VALUE"""),"RF-00000191-TOX")</f>
        <v>RF-00000191-TOX</v>
      </c>
    </row>
    <row r="295" spans="1:2" ht="12.5" x14ac:dyDescent="0.25">
      <c r="A295" t="str">
        <f ca="1">IFERROR(__xludf.DUMMYFUNCTION("""COMPUTED_VALUE"""),"Alternariol monomethyl ether")</f>
        <v>Alternariol monomethyl ether</v>
      </c>
      <c r="B295" t="str">
        <f ca="1">IFERROR(__xludf.DUMMYFUNCTION("""COMPUTED_VALUE"""),"RF-00000192-TOX")</f>
        <v>RF-00000192-TOX</v>
      </c>
    </row>
    <row r="296" spans="1:2" ht="12.5" x14ac:dyDescent="0.25">
      <c r="A296" t="str">
        <f ca="1">IFERROR(__xludf.DUMMYFUNCTION("""COMPUTED_VALUE"""),"Altertoxin I")</f>
        <v>Altertoxin I</v>
      </c>
      <c r="B296" t="str">
        <f ca="1">IFERROR(__xludf.DUMMYFUNCTION("""COMPUTED_VALUE"""),"RF-00000202-TOX")</f>
        <v>RF-00000202-TOX</v>
      </c>
    </row>
    <row r="297" spans="1:2" ht="12.5" x14ac:dyDescent="0.25">
      <c r="A297" t="str">
        <f ca="1">IFERROR(__xludf.DUMMYFUNCTION("""COMPUTED_VALUE"""),"Altertoxin II")</f>
        <v>Altertoxin II</v>
      </c>
      <c r="B297" t="str">
        <f ca="1">IFERROR(__xludf.DUMMYFUNCTION("""COMPUTED_VALUE"""),"RF-00000203-TOX")</f>
        <v>RF-00000203-TOX</v>
      </c>
    </row>
    <row r="298" spans="1:2" ht="12.5" x14ac:dyDescent="0.25">
      <c r="A298" t="str">
        <f ca="1">IFERROR(__xludf.DUMMYFUNCTION("""COMPUTED_VALUE"""),"Altertoxin III")</f>
        <v>Altertoxin III</v>
      </c>
      <c r="B298" t="str">
        <f ca="1">IFERROR(__xludf.DUMMYFUNCTION("""COMPUTED_VALUE"""),"RF-00000204-TOX")</f>
        <v>RF-00000204-TOX</v>
      </c>
    </row>
    <row r="299" spans="1:2" ht="12.5" x14ac:dyDescent="0.25">
      <c r="A299" t="str">
        <f ca="1">IFERROR(__xludf.DUMMYFUNCTION("""COMPUTED_VALUE"""),"Altertoxins")</f>
        <v>Altertoxins</v>
      </c>
      <c r="B299" t="str">
        <f ca="1">IFERROR(__xludf.DUMMYFUNCTION("""COMPUTED_VALUE"""),"RF-00000201-TOX")</f>
        <v>RF-00000201-TOX</v>
      </c>
    </row>
    <row r="300" spans="1:2" ht="12.5" x14ac:dyDescent="0.25">
      <c r="A300" t="str">
        <f ca="1">IFERROR(__xludf.DUMMYFUNCTION("""COMPUTED_VALUE"""),"Aluminium")</f>
        <v>Aluminium</v>
      </c>
      <c r="B300" t="str">
        <f ca="1">IFERROR(__xludf.DUMMYFUNCTION("""COMPUTED_VALUE"""),"RF-00000030-ADD")</f>
        <v>RF-00000030-ADD</v>
      </c>
    </row>
    <row r="301" spans="1:2" ht="12.5" x14ac:dyDescent="0.25">
      <c r="A301" t="str">
        <f ca="1">IFERROR(__xludf.DUMMYFUNCTION("""COMPUTED_VALUE"""),"Aluminium ammonium sulphate")</f>
        <v>Aluminium ammonium sulphate</v>
      </c>
      <c r="B301" t="str">
        <f ca="1">IFERROR(__xludf.DUMMYFUNCTION("""COMPUTED_VALUE"""),"RF-00000031-ADD")</f>
        <v>RF-00000031-ADD</v>
      </c>
    </row>
    <row r="302" spans="1:2" ht="12.5" x14ac:dyDescent="0.25">
      <c r="A302" t="str">
        <f ca="1">IFERROR(__xludf.DUMMYFUNCTION("""COMPUTED_VALUE"""),"Aluminium potassium sulphate")</f>
        <v>Aluminium potassium sulphate</v>
      </c>
      <c r="B302" t="str">
        <f ca="1">IFERROR(__xludf.DUMMYFUNCTION("""COMPUTED_VALUE"""),"RF-00000032-ADD")</f>
        <v>RF-00000032-ADD</v>
      </c>
    </row>
    <row r="303" spans="1:2" ht="12.5" x14ac:dyDescent="0.25">
      <c r="A303" t="str">
        <f ca="1">IFERROR(__xludf.DUMMYFUNCTION("""COMPUTED_VALUE"""),"Aluminium silicate (Kaolin)")</f>
        <v>Aluminium silicate (Kaolin)</v>
      </c>
      <c r="B303" t="str">
        <f ca="1">IFERROR(__xludf.DUMMYFUNCTION("""COMPUTED_VALUE"""),"RF-00000033-ADD")</f>
        <v>RF-00000033-ADD</v>
      </c>
    </row>
    <row r="304" spans="1:2" ht="12.5" x14ac:dyDescent="0.25">
      <c r="A304" t="str">
        <f ca="1">IFERROR(__xludf.DUMMYFUNCTION("""COMPUTED_VALUE"""),"Aluminium sodium sulphate")</f>
        <v>Aluminium sodium sulphate</v>
      </c>
      <c r="B304" t="str">
        <f ca="1">IFERROR(__xludf.DUMMYFUNCTION("""COMPUTED_VALUE"""),"RF-00000034-ADD")</f>
        <v>RF-00000034-ADD</v>
      </c>
    </row>
    <row r="305" spans="1:2" ht="12.5" x14ac:dyDescent="0.25">
      <c r="A305" t="str">
        <f ca="1">IFERROR(__xludf.DUMMYFUNCTION("""COMPUTED_VALUE"""),"Aluminium sulphate")</f>
        <v>Aluminium sulphate</v>
      </c>
      <c r="B305" t="str">
        <f ca="1">IFERROR(__xludf.DUMMYFUNCTION("""COMPUTED_VALUE"""),"RF-00000035-ADD")</f>
        <v>RF-00000035-ADD</v>
      </c>
    </row>
    <row r="306" spans="1:2" ht="12.5" x14ac:dyDescent="0.25">
      <c r="A306" t="str">
        <f ca="1">IFERROR(__xludf.DUMMYFUNCTION("""COMPUTED_VALUE"""),"Aluminum (Al)")</f>
        <v>Aluminum (Al)</v>
      </c>
      <c r="B306" t="str">
        <f ca="1">IFERROR(__xludf.DUMMYFUNCTION("""COMPUTED_VALUE"""),"RF-00000124-CHE")</f>
        <v>RF-00000124-CHE</v>
      </c>
    </row>
    <row r="307" spans="1:2" ht="12.5" x14ac:dyDescent="0.25">
      <c r="A307" t="str">
        <f ca="1">IFERROR(__xludf.DUMMYFUNCTION("""COMPUTED_VALUE"""),"Aluminum and derivatives")</f>
        <v>Aluminum and derivatives</v>
      </c>
      <c r="B307" t="str">
        <f ca="1">IFERROR(__xludf.DUMMYFUNCTION("""COMPUTED_VALUE"""),"RF-00000123-CHE")</f>
        <v>RF-00000123-CHE</v>
      </c>
    </row>
    <row r="308" spans="1:2" ht="12.5" x14ac:dyDescent="0.25">
      <c r="A308" t="str">
        <f ca="1">IFERROR(__xludf.DUMMYFUNCTION("""COMPUTED_VALUE"""),"Amabiline")</f>
        <v>Amabiline</v>
      </c>
      <c r="B308" t="str">
        <f ca="1">IFERROR(__xludf.DUMMYFUNCTION("""COMPUTED_VALUE"""),"RF-00000270-TOX")</f>
        <v>RF-00000270-TOX</v>
      </c>
    </row>
    <row r="309" spans="1:2" ht="12.5" x14ac:dyDescent="0.25">
      <c r="A309" t="str">
        <f ca="1">IFERROR(__xludf.DUMMYFUNCTION("""COMPUTED_VALUE"""),"Amaranth")</f>
        <v>Amaranth</v>
      </c>
      <c r="B309" t="str">
        <f ca="1">IFERROR(__xludf.DUMMYFUNCTION("""COMPUTED_VALUE"""),"RF-00000036-ADD")</f>
        <v>RF-00000036-ADD</v>
      </c>
    </row>
    <row r="310" spans="1:2" ht="12.5" x14ac:dyDescent="0.25">
      <c r="A310" t="str">
        <f ca="1">IFERROR(__xludf.DUMMYFUNCTION("""COMPUTED_VALUE"""),"Ametoctradin")</f>
        <v>Ametoctradin</v>
      </c>
      <c r="B310" t="str">
        <f ca="1">IFERROR(__xludf.DUMMYFUNCTION("""COMPUTED_VALUE"""),"RF-1055-001-PPP")</f>
        <v>RF-1055-001-PPP</v>
      </c>
    </row>
    <row r="311" spans="1:2" ht="12.5" x14ac:dyDescent="0.25">
      <c r="A311" t="str">
        <f ca="1">IFERROR(__xludf.DUMMYFUNCTION("""COMPUTED_VALUE"""),"Ametryn")</f>
        <v>Ametryn</v>
      </c>
      <c r="B311" t="str">
        <f ca="1">IFERROR(__xludf.DUMMYFUNCTION("""COMPUTED_VALUE"""),"RF-0467-001-PPP")</f>
        <v>RF-0467-001-PPP</v>
      </c>
    </row>
    <row r="312" spans="1:2" ht="12.5" x14ac:dyDescent="0.25">
      <c r="A312" t="str">
        <f ca="1">IFERROR(__xludf.DUMMYFUNCTION("""COMPUTED_VALUE"""),"Amfenac Sodium (Fenamate)")</f>
        <v>Amfenac Sodium (Fenamate)</v>
      </c>
      <c r="B312" t="str">
        <f ca="1">IFERROR(__xludf.DUMMYFUNCTION("""COMPUTED_VALUE"""),"RF-00000205-VET")</f>
        <v>RF-00000205-VET</v>
      </c>
    </row>
    <row r="313" spans="1:2" ht="12.5" x14ac:dyDescent="0.25">
      <c r="A313" t="str">
        <f ca="1">IFERROR(__xludf.DUMMYFUNCTION("""COMPUTED_VALUE"""),"Amidithion")</f>
        <v>Amidithion</v>
      </c>
      <c r="B313" t="str">
        <f ca="1">IFERROR(__xludf.DUMMYFUNCTION("""COMPUTED_VALUE"""),"RF-0468-001-PPP")</f>
        <v>RF-0468-001-PPP</v>
      </c>
    </row>
    <row r="314" spans="1:2" ht="12.5" x14ac:dyDescent="0.25">
      <c r="A314" t="str">
        <f ca="1">IFERROR(__xludf.DUMMYFUNCTION("""COMPUTED_VALUE"""),"Amidosulfuron")</f>
        <v>Amidosulfuron</v>
      </c>
      <c r="B314" t="str">
        <f ca="1">IFERROR(__xludf.DUMMYFUNCTION("""COMPUTED_VALUE"""),"RF-0022-001-PPP")</f>
        <v>RF-0022-001-PPP</v>
      </c>
    </row>
    <row r="315" spans="1:2" ht="12.5" x14ac:dyDescent="0.25">
      <c r="A315" t="str">
        <f ca="1">IFERROR(__xludf.DUMMYFUNCTION("""COMPUTED_VALUE"""),"Amidosulfuron and 3-(4-hydroxy-6-methoxypyrimidin-2-yl)-1-(N-methyl-N-methylsulfonyl-aminosulfonyl)-urea expressed as Amidosulfuron")</f>
        <v>Amidosulfuron and 3-(4-hydroxy-6-methoxypyrimidin-2-yl)-1-(N-methyl-N-methylsulfonyl-aminosulfonyl)-urea expressed as Amidosulfuron</v>
      </c>
      <c r="B315" t="str">
        <f ca="1">IFERROR(__xludf.DUMMYFUNCTION("""COMPUTED_VALUE"""),"RF-00001230-PAR")</f>
        <v>RF-00001230-PAR</v>
      </c>
    </row>
    <row r="316" spans="1:2" ht="12.5" x14ac:dyDescent="0.25">
      <c r="A316" t="str">
        <f ca="1">IFERROR(__xludf.DUMMYFUNCTION("""COMPUTED_VALUE"""),"Amikacin")</f>
        <v>Amikacin</v>
      </c>
      <c r="B316" t="str">
        <f ca="1">IFERROR(__xludf.DUMMYFUNCTION("""COMPUTED_VALUE"""),"RF-00000702-VET")</f>
        <v>RF-00000702-VET</v>
      </c>
    </row>
    <row r="317" spans="1:2" ht="12.5" x14ac:dyDescent="0.25">
      <c r="A317" t="str">
        <f ca="1">IFERROR(__xludf.DUMMYFUNCTION("""COMPUTED_VALUE"""),"Amine compounds")</f>
        <v>Amine compounds</v>
      </c>
      <c r="B317" t="str">
        <f ca="1">IFERROR(__xludf.DUMMYFUNCTION("""COMPUTED_VALUE"""),"RF-00000479-ORG")</f>
        <v>RF-00000479-ORG</v>
      </c>
    </row>
    <row r="318" spans="1:2" ht="12.5" x14ac:dyDescent="0.25">
      <c r="A318" t="str">
        <f ca="1">IFERROR(__xludf.DUMMYFUNCTION("""COMPUTED_VALUE"""),"Amino acids")</f>
        <v>Amino acids</v>
      </c>
      <c r="B318" t="str">
        <f ca="1">IFERROR(__xludf.DUMMYFUNCTION("""COMPUTED_VALUE"""),"RF-00000014-NTR")</f>
        <v>RF-00000014-NTR</v>
      </c>
    </row>
    <row r="319" spans="1:2" ht="12.5" x14ac:dyDescent="0.25">
      <c r="A319" t="str">
        <f ca="1">IFERROR(__xludf.DUMMYFUNCTION("""COMPUTED_VALUE"""),"amino acids, total aromatic")</f>
        <v>amino acids, total aromatic</v>
      </c>
      <c r="B319" t="str">
        <f ca="1">IFERROR(__xludf.DUMMYFUNCTION("""COMPUTED_VALUE"""),"RF-00000015-NTR")</f>
        <v>RF-00000015-NTR</v>
      </c>
    </row>
    <row r="320" spans="1:2" ht="12.5" x14ac:dyDescent="0.25">
      <c r="A320" t="str">
        <f ca="1">IFERROR(__xludf.DUMMYFUNCTION("""COMPUTED_VALUE"""),"amino acids, total essential; eight es-sential amino acids + CYS and TYR")</f>
        <v>amino acids, total essential; eight es-sential amino acids + CYS and TYR</v>
      </c>
      <c r="B320" t="str">
        <f ca="1">IFERROR(__xludf.DUMMYFUNCTION("""COMPUTED_VALUE"""),"RF-00000016-NTR")</f>
        <v>RF-00000016-NTR</v>
      </c>
    </row>
    <row r="321" spans="1:2" ht="12.5" x14ac:dyDescent="0.25">
      <c r="A321" t="str">
        <f ca="1">IFERROR(__xludf.DUMMYFUNCTION("""COMPUTED_VALUE"""),"amino acids, total essential; unknown which aa are included")</f>
        <v>amino acids, total essential; unknown which aa are included</v>
      </c>
      <c r="B321" t="str">
        <f ca="1">IFERROR(__xludf.DUMMYFUNCTION("""COMPUTED_VALUE"""),"RF-00000017-NTR")</f>
        <v>RF-00000017-NTR</v>
      </c>
    </row>
    <row r="322" spans="1:2" ht="12.5" x14ac:dyDescent="0.25">
      <c r="A322" t="str">
        <f ca="1">IFERROR(__xludf.DUMMYFUNCTION("""COMPUTED_VALUE"""),"amino acids, total sulphur-containing")</f>
        <v>amino acids, total sulphur-containing</v>
      </c>
      <c r="B322" t="str">
        <f ca="1">IFERROR(__xludf.DUMMYFUNCTION("""COMPUTED_VALUE"""),"RF-00000018-NTR")</f>
        <v>RF-00000018-NTR</v>
      </c>
    </row>
    <row r="323" spans="1:2" ht="12.5" x14ac:dyDescent="0.25">
      <c r="A323" t="str">
        <f ca="1">IFERROR(__xludf.DUMMYFUNCTION("""COMPUTED_VALUE"""),"amino acids, total; precise definition not specified")</f>
        <v>amino acids, total; precise definition not specified</v>
      </c>
      <c r="B323" t="str">
        <f ca="1">IFERROR(__xludf.DUMMYFUNCTION("""COMPUTED_VALUE"""),"RF-00000019-NTR")</f>
        <v>RF-00000019-NTR</v>
      </c>
    </row>
    <row r="324" spans="1:2" ht="12.5" x14ac:dyDescent="0.25">
      <c r="A324" t="str">
        <f ca="1">IFERROR(__xludf.DUMMYFUNCTION("""COMPUTED_VALUE"""),"Aminocarb")</f>
        <v>Aminocarb</v>
      </c>
      <c r="B324" t="str">
        <f ca="1">IFERROR(__xludf.DUMMYFUNCTION("""COMPUTED_VALUE"""),"RF-00000100-VET")</f>
        <v>RF-00000100-VET</v>
      </c>
    </row>
    <row r="325" spans="1:2" ht="12.5" x14ac:dyDescent="0.25">
      <c r="A325" t="str">
        <f ca="1">IFERROR(__xludf.DUMMYFUNCTION("""COMPUTED_VALUE"""),"Aminocarb")</f>
        <v>Aminocarb</v>
      </c>
      <c r="B325" t="str">
        <f ca="1">IFERROR(__xludf.DUMMYFUNCTION("""COMPUTED_VALUE"""),"RF-0469-001-PPP")</f>
        <v>RF-0469-001-PPP</v>
      </c>
    </row>
    <row r="326" spans="1:2" ht="12.5" x14ac:dyDescent="0.25">
      <c r="A326" t="str">
        <f ca="1">IFERROR(__xludf.DUMMYFUNCTION("""COMPUTED_VALUE"""),"Aminoglycosides")</f>
        <v>Aminoglycosides</v>
      </c>
      <c r="B326" t="str">
        <f ca="1">IFERROR(__xludf.DUMMYFUNCTION("""COMPUTED_VALUE"""),"RF-00000656-VET")</f>
        <v>RF-00000656-VET</v>
      </c>
    </row>
    <row r="327" spans="1:2" ht="12.5" x14ac:dyDescent="0.25">
      <c r="A327" t="str">
        <f ca="1">IFERROR(__xludf.DUMMYFUNCTION("""COMPUTED_VALUE"""),"Aminomebendazole")</f>
        <v>Aminomebendazole</v>
      </c>
      <c r="B327" t="str">
        <f ca="1">IFERROR(__xludf.DUMMYFUNCTION("""COMPUTED_VALUE"""),"RF-00000049-VET")</f>
        <v>RF-00000049-VET</v>
      </c>
    </row>
    <row r="328" spans="1:2" ht="12.5" x14ac:dyDescent="0.25">
      <c r="A328" t="str">
        <f ca="1">IFERROR(__xludf.DUMMYFUNCTION("""COMPUTED_VALUE"""),"Aminopropylon")</f>
        <v>Aminopropylon</v>
      </c>
      <c r="B328" t="str">
        <f ca="1">IFERROR(__xludf.DUMMYFUNCTION("""COMPUTED_VALUE"""),"RF-00000201-VET")</f>
        <v>RF-00000201-VET</v>
      </c>
    </row>
    <row r="329" spans="1:2" ht="12.5" x14ac:dyDescent="0.25">
      <c r="A329" t="str">
        <f ca="1">IFERROR(__xludf.DUMMYFUNCTION("""COMPUTED_VALUE"""),"Aminopyralid")</f>
        <v>Aminopyralid</v>
      </c>
      <c r="B329" t="str">
        <f ca="1">IFERROR(__xludf.DUMMYFUNCTION("""COMPUTED_VALUE"""),"RF-0023-001-PPP")</f>
        <v>RF-0023-001-PPP</v>
      </c>
    </row>
    <row r="330" spans="1:2" ht="12.5" x14ac:dyDescent="0.25">
      <c r="A330" t="str">
        <f ca="1">IFERROR(__xludf.DUMMYFUNCTION("""COMPUTED_VALUE"""),"Aminopyrin")</f>
        <v>Aminopyrin</v>
      </c>
      <c r="B330" t="str">
        <f ca="1">IFERROR(__xludf.DUMMYFUNCTION("""COMPUTED_VALUE"""),"RF-00000217-VET")</f>
        <v>RF-00000217-VET</v>
      </c>
    </row>
    <row r="331" spans="1:2" ht="12.5" x14ac:dyDescent="0.25">
      <c r="A331" t="str">
        <f ca="1">IFERROR(__xludf.DUMMYFUNCTION("""COMPUTED_VALUE"""),"Aminosidin (Paromycin, Paromomycin)")</f>
        <v>Aminosidin (Paromycin, Paromomycin)</v>
      </c>
      <c r="B331" t="str">
        <f ca="1">IFERROR(__xludf.DUMMYFUNCTION("""COMPUTED_VALUE"""),"RF-00000623-VET")</f>
        <v>RF-00000623-VET</v>
      </c>
    </row>
    <row r="332" spans="1:2" ht="12.5" x14ac:dyDescent="0.25">
      <c r="A332" t="str">
        <f ca="1">IFERROR(__xludf.DUMMYFUNCTION("""COMPUTED_VALUE"""),"Amisulbrom")</f>
        <v>Amisulbrom</v>
      </c>
      <c r="B332" t="str">
        <f ca="1">IFERROR(__xludf.DUMMYFUNCTION("""COMPUTED_VALUE"""),"RF-0470-001-PPP")</f>
        <v>RF-0470-001-PPP</v>
      </c>
    </row>
    <row r="333" spans="1:2" ht="12.5" x14ac:dyDescent="0.25">
      <c r="A333" t="str">
        <f ca="1">IFERROR(__xludf.DUMMYFUNCTION("""COMPUTED_VALUE"""),"Amitraz")</f>
        <v>Amitraz</v>
      </c>
      <c r="B333" t="str">
        <f ca="1">IFERROR(__xludf.DUMMYFUNCTION("""COMPUTED_VALUE"""),"RF-0024-002-PPP")</f>
        <v>RF-0024-002-PPP</v>
      </c>
    </row>
    <row r="334" spans="1:2" ht="12.5" x14ac:dyDescent="0.25">
      <c r="A334" t="str">
        <f ca="1">IFERROR(__xludf.DUMMYFUNCTION("""COMPUTED_VALUE"""),"Amitraz (amitraz including the metabolites containing the 2,4 -dimethylaniline moiety expressed as amitraz)")</f>
        <v>Amitraz (amitraz including the metabolites containing the 2,4 -dimethylaniline moiety expressed as amitraz)</v>
      </c>
      <c r="B334" t="str">
        <f ca="1">IFERROR(__xludf.DUMMYFUNCTION("""COMPUTED_VALUE"""),"RF-0024-001-PPP")</f>
        <v>RF-0024-001-PPP</v>
      </c>
    </row>
    <row r="335" spans="1:2" ht="12.5" x14ac:dyDescent="0.25">
      <c r="A335" t="str">
        <f ca="1">IFERROR(__xludf.DUMMYFUNCTION("""COMPUTED_VALUE"""),"Amitraz (Formamidine)")</f>
        <v>Amitraz (Formamidine)</v>
      </c>
      <c r="B335" t="str">
        <f ca="1">IFERROR(__xludf.DUMMYFUNCTION("""COMPUTED_VALUE"""),"RF-00000274-VET")</f>
        <v>RF-00000274-VET</v>
      </c>
    </row>
    <row r="336" spans="1:2" ht="12.5" x14ac:dyDescent="0.25">
      <c r="A336" t="str">
        <f ca="1">IFERROR(__xludf.DUMMYFUNCTION("""COMPUTED_VALUE"""),"Amitrole")</f>
        <v>Amitrole</v>
      </c>
      <c r="B336" t="str">
        <f ca="1">IFERROR(__xludf.DUMMYFUNCTION("""COMPUTED_VALUE"""),"RF-0025-001-PPP")</f>
        <v>RF-0025-001-PPP</v>
      </c>
    </row>
    <row r="337" spans="1:2" ht="12.5" x14ac:dyDescent="0.25">
      <c r="A337" t="str">
        <f ca="1">IFERROR(__xludf.DUMMYFUNCTION("""COMPUTED_VALUE"""),"Ammelide")</f>
        <v>Ammelide</v>
      </c>
      <c r="B337" t="str">
        <f ca="1">IFERROR(__xludf.DUMMYFUNCTION("""COMPUTED_VALUE"""),"RF-00000212-CHE")</f>
        <v>RF-00000212-CHE</v>
      </c>
    </row>
    <row r="338" spans="1:2" ht="12.5" x14ac:dyDescent="0.25">
      <c r="A338" t="str">
        <f ca="1">IFERROR(__xludf.DUMMYFUNCTION("""COMPUTED_VALUE"""),"Ammeline")</f>
        <v>Ammeline</v>
      </c>
      <c r="B338" t="str">
        <f ca="1">IFERROR(__xludf.DUMMYFUNCTION("""COMPUTED_VALUE"""),"RF-00000213-CHE")</f>
        <v>RF-00000213-CHE</v>
      </c>
    </row>
    <row r="339" spans="1:2" ht="12.5" x14ac:dyDescent="0.25">
      <c r="A339" t="str">
        <f ca="1">IFERROR(__xludf.DUMMYFUNCTION("""COMPUTED_VALUE"""),"ammonia")</f>
        <v>ammonia</v>
      </c>
      <c r="B339" t="str">
        <f ca="1">IFERROR(__xludf.DUMMYFUNCTION("""COMPUTED_VALUE"""),"RF-00000020-NTR")</f>
        <v>RF-00000020-NTR</v>
      </c>
    </row>
    <row r="340" spans="1:2" ht="12.5" x14ac:dyDescent="0.25">
      <c r="A340" t="str">
        <f ca="1">IFERROR(__xludf.DUMMYFUNCTION("""COMPUTED_VALUE"""),"Ammonia caramel")</f>
        <v>Ammonia caramel</v>
      </c>
      <c r="B340" t="str">
        <f ca="1">IFERROR(__xludf.DUMMYFUNCTION("""COMPUTED_VALUE"""),"RF-00000037-ADD")</f>
        <v>RF-00000037-ADD</v>
      </c>
    </row>
    <row r="341" spans="1:2" ht="12.5" x14ac:dyDescent="0.25">
      <c r="A341" t="str">
        <f ca="1">IFERROR(__xludf.DUMMYFUNCTION("""COMPUTED_VALUE"""),"Ammonia Nitrogen")</f>
        <v>Ammonia Nitrogen</v>
      </c>
      <c r="B341" t="str">
        <f ca="1">IFERROR(__xludf.DUMMYFUNCTION("""COMPUTED_VALUE"""),"RF-00000082-CHE")</f>
        <v>RF-00000082-CHE</v>
      </c>
    </row>
    <row r="342" spans="1:2" ht="12.5" x14ac:dyDescent="0.25">
      <c r="A342" t="str">
        <f ca="1">IFERROR(__xludf.DUMMYFUNCTION("""COMPUTED_VALUE"""),"Ammonia nitrogen (nitrogen only as nitric or ammoniacal)")</f>
        <v>Ammonia nitrogen (nitrogen only as nitric or ammoniacal)</v>
      </c>
      <c r="B342" t="str">
        <f ca="1">IFERROR(__xludf.DUMMYFUNCTION("""COMPUTED_VALUE"""),"RF-00000083-CHE")</f>
        <v>RF-00000083-CHE</v>
      </c>
    </row>
    <row r="343" spans="1:2" ht="12.5" x14ac:dyDescent="0.25">
      <c r="A343" t="str">
        <f ca="1">IFERROR(__xludf.DUMMYFUNCTION("""COMPUTED_VALUE"""),"Ammonium")</f>
        <v>Ammonium</v>
      </c>
      <c r="B343" t="str">
        <f ca="1">IFERROR(__xludf.DUMMYFUNCTION("""COMPUTED_VALUE"""),"RF-00000084-CHE")</f>
        <v>RF-00000084-CHE</v>
      </c>
    </row>
    <row r="344" spans="1:2" ht="12.5" x14ac:dyDescent="0.25">
      <c r="A344" t="str">
        <f ca="1">IFERROR(__xludf.DUMMYFUNCTION("""COMPUTED_VALUE"""),"Ammonium alginate")</f>
        <v>Ammonium alginate</v>
      </c>
      <c r="B344" t="str">
        <f ca="1">IFERROR(__xludf.DUMMYFUNCTION("""COMPUTED_VALUE"""),"RF-00000038-ADD")</f>
        <v>RF-00000038-ADD</v>
      </c>
    </row>
    <row r="345" spans="1:2" ht="12.5" x14ac:dyDescent="0.25">
      <c r="A345" t="str">
        <f ca="1">IFERROR(__xludf.DUMMYFUNCTION("""COMPUTED_VALUE"""),"Ammonium carbonates")</f>
        <v>Ammonium carbonates</v>
      </c>
      <c r="B345" t="str">
        <f ca="1">IFERROR(__xludf.DUMMYFUNCTION("""COMPUTED_VALUE"""),"RF-00000039-ADD")</f>
        <v>RF-00000039-ADD</v>
      </c>
    </row>
    <row r="346" spans="1:2" ht="12.5" x14ac:dyDescent="0.25">
      <c r="A346" t="str">
        <f ca="1">IFERROR(__xludf.DUMMYFUNCTION("""COMPUTED_VALUE"""),"Ammonium hydroxide")</f>
        <v>Ammonium hydroxide</v>
      </c>
      <c r="B346" t="str">
        <f ca="1">IFERROR(__xludf.DUMMYFUNCTION("""COMPUTED_VALUE"""),"RF-00000040-ADD")</f>
        <v>RF-00000040-ADD</v>
      </c>
    </row>
    <row r="347" spans="1:2" ht="12.5" x14ac:dyDescent="0.25">
      <c r="A347" t="str">
        <f ca="1">IFERROR(__xludf.DUMMYFUNCTION("""COMPUTED_VALUE"""),"Ammonium phosphatides")</f>
        <v>Ammonium phosphatides</v>
      </c>
      <c r="B347" t="str">
        <f ca="1">IFERROR(__xludf.DUMMYFUNCTION("""COMPUTED_VALUE"""),"RF-00000041-ADD")</f>
        <v>RF-00000041-ADD</v>
      </c>
    </row>
    <row r="348" spans="1:2" ht="12.5" x14ac:dyDescent="0.25">
      <c r="A348" t="str">
        <f ca="1">IFERROR(__xludf.DUMMYFUNCTION("""COMPUTED_VALUE"""),"Ammonium sulphate")</f>
        <v>Ammonium sulphate</v>
      </c>
      <c r="B348" t="str">
        <f ca="1">IFERROR(__xludf.DUMMYFUNCTION("""COMPUTED_VALUE"""),"RF-00000042-ADD")</f>
        <v>RF-00000042-ADD</v>
      </c>
    </row>
    <row r="349" spans="1:2" ht="12.5" x14ac:dyDescent="0.25">
      <c r="A349" t="str">
        <f ca="1">IFERROR(__xludf.DUMMYFUNCTION("""COMPUTED_VALUE"""),"Amoxicillin - Clavulanic acid")</f>
        <v>Amoxicillin - Clavulanic acid</v>
      </c>
      <c r="B349" t="str">
        <f ca="1">IFERROR(__xludf.DUMMYFUNCTION("""COMPUTED_VALUE"""),"RF-00000760-VET")</f>
        <v>RF-00000760-VET</v>
      </c>
    </row>
    <row r="350" spans="1:2" ht="12.5" x14ac:dyDescent="0.25">
      <c r="A350" t="str">
        <f ca="1">IFERROR(__xludf.DUMMYFUNCTION("""COMPUTED_VALUE"""),"Amoxycillin")</f>
        <v>Amoxycillin</v>
      </c>
      <c r="B350" t="str">
        <f ca="1">IFERROR(__xludf.DUMMYFUNCTION("""COMPUTED_VALUE"""),"RF-00000684-VET")</f>
        <v>RF-00000684-VET</v>
      </c>
    </row>
    <row r="351" spans="1:2" ht="12.5" x14ac:dyDescent="0.25">
      <c r="A351" t="str">
        <f ca="1">IFERROR(__xludf.DUMMYFUNCTION("""COMPUTED_VALUE"""),"AMOZ (5-methylmorpholino-3-amino-2-oxazolidone)")</f>
        <v>AMOZ (5-methylmorpholino-3-amino-2-oxazolidone)</v>
      </c>
      <c r="B351" t="str">
        <f ca="1">IFERROR(__xludf.DUMMYFUNCTION("""COMPUTED_VALUE"""),"RF-00000508-VET")</f>
        <v>RF-00000508-VET</v>
      </c>
    </row>
    <row r="352" spans="1:2" ht="12.5" x14ac:dyDescent="0.25">
      <c r="A352" t="str">
        <f ca="1">IFERROR(__xludf.DUMMYFUNCTION("""COMPUTED_VALUE"""),"AMPA")</f>
        <v>AMPA</v>
      </c>
      <c r="B352" t="str">
        <f ca="1">IFERROR(__xludf.DUMMYFUNCTION("""COMPUTED_VALUE"""),"RF-0471-001-PPP")</f>
        <v>RF-0471-001-PPP</v>
      </c>
    </row>
    <row r="353" spans="1:2" ht="12.5" x14ac:dyDescent="0.25">
      <c r="A353" t="str">
        <f ca="1">IFERROR(__xludf.DUMMYFUNCTION("""COMPUTED_VALUE"""),"AMPC phenotype")</f>
        <v>AMPC phenotype</v>
      </c>
      <c r="B353" t="str">
        <f ca="1">IFERROR(__xludf.DUMMYFUNCTION("""COMPUTED_VALUE"""),"RF-00000157-PAR")</f>
        <v>RF-00000157-PAR</v>
      </c>
    </row>
    <row r="354" spans="1:2" ht="12.5" x14ac:dyDescent="0.25">
      <c r="A354" t="str">
        <f ca="1">IFERROR(__xludf.DUMMYFUNCTION("""COMPUTED_VALUE"""),"Amperozid")</f>
        <v>Amperozid</v>
      </c>
      <c r="B354" t="str">
        <f ca="1">IFERROR(__xludf.DUMMYFUNCTION("""COMPUTED_VALUE"""),"RF-00000179-VET")</f>
        <v>RF-00000179-VET</v>
      </c>
    </row>
    <row r="355" spans="1:2" ht="12.5" x14ac:dyDescent="0.25">
      <c r="A355" t="str">
        <f ca="1">IFERROR(__xludf.DUMMYFUNCTION("""COMPUTED_VALUE"""),"Amphenicols")</f>
        <v>Amphenicols</v>
      </c>
      <c r="B355" t="str">
        <f ca="1">IFERROR(__xludf.DUMMYFUNCTION("""COMPUTED_VALUE"""),"RF-00000705-VET")</f>
        <v>RF-00000705-VET</v>
      </c>
    </row>
    <row r="356" spans="1:2" ht="12.5" x14ac:dyDescent="0.25">
      <c r="A356" t="str">
        <f ca="1">IFERROR(__xludf.DUMMYFUNCTION("""COMPUTED_VALUE"""),"Ampicillin")</f>
        <v>Ampicillin</v>
      </c>
      <c r="B356" t="str">
        <f ca="1">IFERROR(__xludf.DUMMYFUNCTION("""COMPUTED_VALUE"""),"RF-00000688-VET")</f>
        <v>RF-00000688-VET</v>
      </c>
    </row>
    <row r="357" spans="1:2" ht="12.5" x14ac:dyDescent="0.25">
      <c r="A357" t="str">
        <f ca="1">IFERROR(__xludf.DUMMYFUNCTION("""COMPUTED_VALUE"""),"Ampicillin - Sulbactum")</f>
        <v>Ampicillin - Sulbactum</v>
      </c>
      <c r="B357" t="str">
        <f ca="1">IFERROR(__xludf.DUMMYFUNCTION("""COMPUTED_VALUE"""),"RF-00000761-VET")</f>
        <v>RF-00000761-VET</v>
      </c>
    </row>
    <row r="358" spans="1:2" ht="12.5" x14ac:dyDescent="0.25">
      <c r="A358" t="str">
        <f ca="1">IFERROR(__xludf.DUMMYFUNCTION("""COMPUTED_VALUE"""),"Amprolium")</f>
        <v>Amprolium</v>
      </c>
      <c r="B358" t="str">
        <f ca="1">IFERROR(__xludf.DUMMYFUNCTION("""COMPUTED_VALUE"""),"RF-00000089-VET")</f>
        <v>RF-00000089-VET</v>
      </c>
    </row>
    <row r="359" spans="1:2" ht="12.5" x14ac:dyDescent="0.25">
      <c r="A359" t="str">
        <f ca="1">IFERROR(__xludf.DUMMYFUNCTION("""COMPUTED_VALUE"""),"Ampropylfos")</f>
        <v>Ampropylfos</v>
      </c>
      <c r="B359" t="str">
        <f ca="1">IFERROR(__xludf.DUMMYFUNCTION("""COMPUTED_VALUE"""),"RF-0472-001-PPP")</f>
        <v>RF-0472-001-PPP</v>
      </c>
    </row>
    <row r="360" spans="1:2" ht="12.5" x14ac:dyDescent="0.25">
      <c r="A360" t="str">
        <f ca="1">IFERROR(__xludf.DUMMYFUNCTION("""COMPUTED_VALUE"""),"amylopectin")</f>
        <v>amylopectin</v>
      </c>
      <c r="B360" t="str">
        <f ca="1">IFERROR(__xludf.DUMMYFUNCTION("""COMPUTED_VALUE"""),"RF-00000021-NTR")</f>
        <v>RF-00000021-NTR</v>
      </c>
    </row>
    <row r="361" spans="1:2" ht="12.5" x14ac:dyDescent="0.25">
      <c r="A361" t="str">
        <f ca="1">IFERROR(__xludf.DUMMYFUNCTION("""COMPUTED_VALUE"""),"amylose")</f>
        <v>amylose</v>
      </c>
      <c r="B361" t="str">
        <f ca="1">IFERROR(__xludf.DUMMYFUNCTION("""COMPUTED_VALUE"""),"RF-00000022-NTR")</f>
        <v>RF-00000022-NTR</v>
      </c>
    </row>
    <row r="362" spans="1:2" ht="12.5" x14ac:dyDescent="0.25">
      <c r="A362" t="str">
        <f ca="1">IFERROR(__xludf.DUMMYFUNCTION("""COMPUTED_VALUE"""),"Anaplasma")</f>
        <v>Anaplasma</v>
      </c>
      <c r="B362" t="str">
        <f ca="1">IFERROR(__xludf.DUMMYFUNCTION("""COMPUTED_VALUE"""),"RF-00002666-MCG")</f>
        <v>RF-00002666-MCG</v>
      </c>
    </row>
    <row r="363" spans="1:2" ht="12.5" x14ac:dyDescent="0.25">
      <c r="A363" t="str">
        <f ca="1">IFERROR(__xludf.DUMMYFUNCTION("""COMPUTED_VALUE"""),"Anaplasma bovis")</f>
        <v>Anaplasma bovis</v>
      </c>
      <c r="B363" t="str">
        <f ca="1">IFERROR(__xludf.DUMMYFUNCTION("""COMPUTED_VALUE"""),"RF-00002668-MCG")</f>
        <v>RF-00002668-MCG</v>
      </c>
    </row>
    <row r="364" spans="1:2" ht="12.5" x14ac:dyDescent="0.25">
      <c r="A364" t="str">
        <f ca="1">IFERROR(__xludf.DUMMYFUNCTION("""COMPUTED_VALUE"""),"Anaplasma caudatum")</f>
        <v>Anaplasma caudatum</v>
      </c>
      <c r="B364" t="str">
        <f ca="1">IFERROR(__xludf.DUMMYFUNCTION("""COMPUTED_VALUE"""),"RF-00002669-MCG")</f>
        <v>RF-00002669-MCG</v>
      </c>
    </row>
    <row r="365" spans="1:2" ht="12.5" x14ac:dyDescent="0.25">
      <c r="A365" t="str">
        <f ca="1">IFERROR(__xludf.DUMMYFUNCTION("""COMPUTED_VALUE"""),"Anaplasma centrale")</f>
        <v>Anaplasma centrale</v>
      </c>
      <c r="B365" t="str">
        <f ca="1">IFERROR(__xludf.DUMMYFUNCTION("""COMPUTED_VALUE"""),"RF-00002670-MCG")</f>
        <v>RF-00002670-MCG</v>
      </c>
    </row>
    <row r="366" spans="1:2" ht="12.5" x14ac:dyDescent="0.25">
      <c r="A366" t="str">
        <f ca="1">IFERROR(__xludf.DUMMYFUNCTION("""COMPUTED_VALUE"""),"Anaplasma marginale")</f>
        <v>Anaplasma marginale</v>
      </c>
      <c r="B366" t="str">
        <f ca="1">IFERROR(__xludf.DUMMYFUNCTION("""COMPUTED_VALUE"""),"RF-00002671-MCG")</f>
        <v>RF-00002671-MCG</v>
      </c>
    </row>
    <row r="367" spans="1:2" ht="12.5" x14ac:dyDescent="0.25">
      <c r="A367" t="str">
        <f ca="1">IFERROR(__xludf.DUMMYFUNCTION("""COMPUTED_VALUE"""),"Anaplasma ovis")</f>
        <v>Anaplasma ovis</v>
      </c>
      <c r="B367" t="str">
        <f ca="1">IFERROR(__xludf.DUMMYFUNCTION("""COMPUTED_VALUE"""),"RF-00002672-MCG")</f>
        <v>RF-00002672-MCG</v>
      </c>
    </row>
    <row r="368" spans="1:2" ht="12.5" x14ac:dyDescent="0.25">
      <c r="A368" t="str">
        <f ca="1">IFERROR(__xludf.DUMMYFUNCTION("""COMPUTED_VALUE"""),"Anaplasma phagocytophilum")</f>
        <v>Anaplasma phagocytophilum</v>
      </c>
      <c r="B368" t="str">
        <f ca="1">IFERROR(__xludf.DUMMYFUNCTION("""COMPUTED_VALUE"""),"RF-00002673-MCG")</f>
        <v>RF-00002673-MCG</v>
      </c>
    </row>
    <row r="369" spans="1:2" ht="12.5" x14ac:dyDescent="0.25">
      <c r="A369" t="str">
        <f ca="1">IFERROR(__xludf.DUMMYFUNCTION("""COMPUTED_VALUE"""),"Anaplasma platys")</f>
        <v>Anaplasma platys</v>
      </c>
      <c r="B369" t="str">
        <f ca="1">IFERROR(__xludf.DUMMYFUNCTION("""COMPUTED_VALUE"""),"RF-00002674-MCG")</f>
        <v>RF-00002674-MCG</v>
      </c>
    </row>
    <row r="370" spans="1:2" ht="12.5" x14ac:dyDescent="0.25">
      <c r="A370" t="str">
        <f ca="1">IFERROR(__xludf.DUMMYFUNCTION("""COMPUTED_VALUE"""),"Anaplasma spp., unidentified")</f>
        <v>Anaplasma spp., unidentified</v>
      </c>
      <c r="B370" t="str">
        <f ca="1">IFERROR(__xludf.DUMMYFUNCTION("""COMPUTED_VALUE"""),"RF-00002667-MCG")</f>
        <v>RF-00002667-MCG</v>
      </c>
    </row>
    <row r="371" spans="1:2" ht="12.5" x14ac:dyDescent="0.25">
      <c r="A371" t="str">
        <f ca="1">IFERROR(__xludf.DUMMYFUNCTION("""COMPUTED_VALUE"""),"Ancymidol")</f>
        <v>Ancymidol</v>
      </c>
      <c r="B371" t="str">
        <f ca="1">IFERROR(__xludf.DUMMYFUNCTION("""COMPUTED_VALUE"""),"RF-0473-001-PPP")</f>
        <v>RF-0473-001-PPP</v>
      </c>
    </row>
    <row r="372" spans="1:2" ht="12.5" x14ac:dyDescent="0.25">
      <c r="A372" t="str">
        <f ca="1">IFERROR(__xludf.DUMMYFUNCTION("""COMPUTED_VALUE"""),"Androst-5-Alpha-16-En-3-One")</f>
        <v>Androst-5-Alpha-16-En-3-One</v>
      </c>
      <c r="B372" t="str">
        <f ca="1">IFERROR(__xludf.DUMMYFUNCTION("""COMPUTED_VALUE"""),"RF-00000339-VET")</f>
        <v>RF-00000339-VET</v>
      </c>
    </row>
    <row r="373" spans="1:2" ht="12.5" x14ac:dyDescent="0.25">
      <c r="A373" t="str">
        <f ca="1">IFERROR(__xludf.DUMMYFUNCTION("""COMPUTED_VALUE"""),"Androstane")</f>
        <v>Androstane</v>
      </c>
      <c r="B373" t="str">
        <f ca="1">IFERROR(__xludf.DUMMYFUNCTION("""COMPUTED_VALUE"""),"RF-00000328-VET")</f>
        <v>RF-00000328-VET</v>
      </c>
    </row>
    <row r="374" spans="1:2" ht="12.5" x14ac:dyDescent="0.25">
      <c r="A374" t="str">
        <f ca="1">IFERROR(__xludf.DUMMYFUNCTION("""COMPUTED_VALUE"""),"Androstane-5-Alpha-3-Alpha,17-Beta-Diol")</f>
        <v>Androstane-5-Alpha-3-Alpha,17-Beta-Diol</v>
      </c>
      <c r="B374" t="str">
        <f ca="1">IFERROR(__xludf.DUMMYFUNCTION("""COMPUTED_VALUE"""),"RF-00000330-VET")</f>
        <v>RF-00000330-VET</v>
      </c>
    </row>
    <row r="375" spans="1:2" ht="12.5" x14ac:dyDescent="0.25">
      <c r="A375" t="str">
        <f ca="1">IFERROR(__xludf.DUMMYFUNCTION("""COMPUTED_VALUE"""),"Androstane-5-alpha-3-Beta (Androstanolon, Stanolone)")</f>
        <v>Androstane-5-alpha-3-Beta (Androstanolon, Stanolone)</v>
      </c>
      <c r="B375" t="str">
        <f ca="1">IFERROR(__xludf.DUMMYFUNCTION("""COMPUTED_VALUE"""),"RF-00000346-VET")</f>
        <v>RF-00000346-VET</v>
      </c>
    </row>
    <row r="376" spans="1:2" ht="12.5" x14ac:dyDescent="0.25">
      <c r="A376" t="str">
        <f ca="1">IFERROR(__xludf.DUMMYFUNCTION("""COMPUTED_VALUE"""),"Androstane-5-Beta-17-Alpha-Methyl-3-Alpha")</f>
        <v>Androstane-5-Beta-17-Alpha-Methyl-3-Alpha</v>
      </c>
      <c r="B376" t="str">
        <f ca="1">IFERROR(__xludf.DUMMYFUNCTION("""COMPUTED_VALUE"""),"RF-00000333-VET")</f>
        <v>RF-00000333-VET</v>
      </c>
    </row>
    <row r="377" spans="1:2" ht="12.5" x14ac:dyDescent="0.25">
      <c r="A377" t="str">
        <f ca="1">IFERROR(__xludf.DUMMYFUNCTION("""COMPUTED_VALUE"""),"Androsten-4-Chloro-4-Ene-3,17-Dione")</f>
        <v>Androsten-4-Chloro-4-Ene-3,17-Dione</v>
      </c>
      <c r="B377" t="str">
        <f ca="1">IFERROR(__xludf.DUMMYFUNCTION("""COMPUTED_VALUE"""),"RF-00000334-VET")</f>
        <v>RF-00000334-VET</v>
      </c>
    </row>
    <row r="378" spans="1:2" ht="12.5" x14ac:dyDescent="0.25">
      <c r="A378" t="str">
        <f ca="1">IFERROR(__xludf.DUMMYFUNCTION("""COMPUTED_VALUE"""),"Androstendione")</f>
        <v>Androstendione</v>
      </c>
      <c r="B378" t="str">
        <f ca="1">IFERROR(__xludf.DUMMYFUNCTION("""COMPUTED_VALUE"""),"RF-00000347-VET")</f>
        <v>RF-00000347-VET</v>
      </c>
    </row>
    <row r="379" spans="1:2" ht="12.5" x14ac:dyDescent="0.25">
      <c r="A379" t="str">
        <f ca="1">IFERROR(__xludf.DUMMYFUNCTION("""COMPUTED_VALUE"""),"Androstene-5-3-Beta")</f>
        <v>Androstene-5-3-Beta</v>
      </c>
      <c r="B379" t="str">
        <f ca="1">IFERROR(__xludf.DUMMYFUNCTION("""COMPUTED_VALUE"""),"RF-00000327-VET")</f>
        <v>RF-00000327-VET</v>
      </c>
    </row>
    <row r="380" spans="1:2" ht="12.5" x14ac:dyDescent="0.25">
      <c r="A380" t="str">
        <f ca="1">IFERROR(__xludf.DUMMYFUNCTION("""COMPUTED_VALUE"""),"Androstenediol (Eticholan-Alpha)")</f>
        <v>Androstenediol (Eticholan-Alpha)</v>
      </c>
      <c r="B380" t="str">
        <f ca="1">IFERROR(__xludf.DUMMYFUNCTION("""COMPUTED_VALUE"""),"RF-00000340-VET")</f>
        <v>RF-00000340-VET</v>
      </c>
    </row>
    <row r="381" spans="1:2" ht="12.5" x14ac:dyDescent="0.25">
      <c r="A381" t="str">
        <f ca="1">IFERROR(__xludf.DUMMYFUNCTION("""COMPUTED_VALUE"""),"Androstenone-Dehydro (dehydroepiandrosterone, DHEA)")</f>
        <v>Androstenone-Dehydro (dehydroepiandrosterone, DHEA)</v>
      </c>
      <c r="B381" t="str">
        <f ca="1">IFERROR(__xludf.DUMMYFUNCTION("""COMPUTED_VALUE"""),"RF-00000342-VET")</f>
        <v>RF-00000342-VET</v>
      </c>
    </row>
    <row r="382" spans="1:2" ht="12.5" x14ac:dyDescent="0.25">
      <c r="A382" t="str">
        <f ca="1">IFERROR(__xludf.DUMMYFUNCTION("""COMPUTED_VALUE"""),"Androsterone")</f>
        <v>Androsterone</v>
      </c>
      <c r="B382" t="str">
        <f ca="1">IFERROR(__xludf.DUMMYFUNCTION("""COMPUTED_VALUE"""),"RF-00000343-VET")</f>
        <v>RF-00000343-VET</v>
      </c>
    </row>
    <row r="383" spans="1:2" ht="12.5" x14ac:dyDescent="0.25">
      <c r="A383" t="str">
        <f ca="1">IFERROR(__xludf.DUMMYFUNCTION("""COMPUTED_VALUE"""),"Anilazine")</f>
        <v>Anilazine</v>
      </c>
      <c r="B383" t="str">
        <f ca="1">IFERROR(__xludf.DUMMYFUNCTION("""COMPUTED_VALUE"""),"RF-0026-001-PPP")</f>
        <v>RF-0026-001-PPP</v>
      </c>
    </row>
    <row r="384" spans="1:2" ht="12.5" x14ac:dyDescent="0.25">
      <c r="A384" t="str">
        <f ca="1">IFERROR(__xludf.DUMMYFUNCTION("""COMPUTED_VALUE"""),"Anilofos")</f>
        <v>Anilofos</v>
      </c>
      <c r="B384" t="str">
        <f ca="1">IFERROR(__xludf.DUMMYFUNCTION("""COMPUTED_VALUE"""),"RF-0474-001-PPP")</f>
        <v>RF-0474-001-PPP</v>
      </c>
    </row>
    <row r="385" spans="1:2" ht="12.5" x14ac:dyDescent="0.25">
      <c r="A385" t="str">
        <f ca="1">IFERROR(__xludf.DUMMYFUNCTION("""COMPUTED_VALUE"""),"Anisakis")</f>
        <v>Anisakis</v>
      </c>
      <c r="B385" t="str">
        <f ca="1">IFERROR(__xludf.DUMMYFUNCTION("""COMPUTED_VALUE"""),"RF-00002566-MCG")</f>
        <v>RF-00002566-MCG</v>
      </c>
    </row>
    <row r="386" spans="1:2" ht="12.5" x14ac:dyDescent="0.25">
      <c r="A386" t="str">
        <f ca="1">IFERROR(__xludf.DUMMYFUNCTION("""COMPUTED_VALUE"""),"Anisakis simplex")</f>
        <v>Anisakis simplex</v>
      </c>
      <c r="B386" t="str">
        <f ca="1">IFERROR(__xludf.DUMMYFUNCTION("""COMPUTED_VALUE"""),"RF-00002567-MCG")</f>
        <v>RF-00002567-MCG</v>
      </c>
    </row>
    <row r="387" spans="1:2" ht="12.5" x14ac:dyDescent="0.25">
      <c r="A387" t="str">
        <f ca="1">IFERROR(__xludf.DUMMYFUNCTION("""COMPUTED_VALUE"""),"Anisakis spp.,  unspecified")</f>
        <v>Anisakis spp.,  unspecified</v>
      </c>
      <c r="B387" t="str">
        <f ca="1">IFERROR(__xludf.DUMMYFUNCTION("""COMPUTED_VALUE"""),"RF-00002568-MCG")</f>
        <v>RF-00002568-MCG</v>
      </c>
    </row>
    <row r="388" spans="1:2" ht="12.5" x14ac:dyDescent="0.25">
      <c r="A388" t="str">
        <f ca="1">IFERROR(__xludf.DUMMYFUNCTION("""COMPUTED_VALUE"""),"Annatto, Bixin, Norbixin")</f>
        <v>Annatto, Bixin, Norbixin</v>
      </c>
      <c r="B388" t="str">
        <f ca="1">IFERROR(__xludf.DUMMYFUNCTION("""COMPUTED_VALUE"""),"RF-00000043-ADD")</f>
        <v>RF-00000043-ADD</v>
      </c>
    </row>
    <row r="389" spans="1:2" ht="12.5" x14ac:dyDescent="0.25">
      <c r="A389" t="str">
        <f ca="1">IFERROR(__xludf.DUMMYFUNCTION("""COMPUTED_VALUE"""),"Ansamycine")</f>
        <v>Ansamycine</v>
      </c>
      <c r="B389" t="str">
        <f ca="1">IFERROR(__xludf.DUMMYFUNCTION("""COMPUTED_VALUE"""),"RF-00000694-VET")</f>
        <v>RF-00000694-VET</v>
      </c>
    </row>
    <row r="390" spans="1:2" ht="12.5" x14ac:dyDescent="0.25">
      <c r="A390" t="str">
        <f ca="1">IFERROR(__xludf.DUMMYFUNCTION("""COMPUTED_VALUE"""),"Anthanthrene")</f>
        <v>Anthanthrene</v>
      </c>
      <c r="B390" t="str">
        <f ca="1">IFERROR(__xludf.DUMMYFUNCTION("""COMPUTED_VALUE"""),"RF-00000446-ORG")</f>
        <v>RF-00000446-ORG</v>
      </c>
    </row>
    <row r="391" spans="1:2" ht="12.5" x14ac:dyDescent="0.25">
      <c r="A391" t="str">
        <f ca="1">IFERROR(__xludf.DUMMYFUNCTION("""COMPUTED_VALUE"""),"Anthelminthics")</f>
        <v>Anthelminthics</v>
      </c>
      <c r="B391" t="str">
        <f ca="1">IFERROR(__xludf.DUMMYFUNCTION("""COMPUTED_VALUE"""),"RF-00000002-VET")</f>
        <v>RF-00000002-VET</v>
      </c>
    </row>
    <row r="392" spans="1:2" ht="12.5" x14ac:dyDescent="0.25">
      <c r="A392" t="str">
        <f ca="1">IFERROR(__xludf.DUMMYFUNCTION("""COMPUTED_VALUE"""),"Anthocyanins")</f>
        <v>Anthocyanins</v>
      </c>
      <c r="B392" t="str">
        <f ca="1">IFERROR(__xludf.DUMMYFUNCTION("""COMPUTED_VALUE"""),"RF-00000044-ADD")</f>
        <v>RF-00000044-ADD</v>
      </c>
    </row>
    <row r="393" spans="1:2" ht="12.5" x14ac:dyDescent="0.25">
      <c r="A393" t="str">
        <f ca="1">IFERROR(__xludf.DUMMYFUNCTION("""COMPUTED_VALUE"""),"Anthracene")</f>
        <v>Anthracene</v>
      </c>
      <c r="B393" t="str">
        <f ca="1">IFERROR(__xludf.DUMMYFUNCTION("""COMPUTED_VALUE"""),"RF-00000044-ORG")</f>
        <v>RF-00000044-ORG</v>
      </c>
    </row>
    <row r="394" spans="1:2" ht="12.5" x14ac:dyDescent="0.25">
      <c r="A394" t="str">
        <f ca="1">IFERROR(__xludf.DUMMYFUNCTION("""COMPUTED_VALUE"""),"Anthraquinone")</f>
        <v>Anthraquinone</v>
      </c>
      <c r="B394" t="str">
        <f ca="1">IFERROR(__xludf.DUMMYFUNCTION("""COMPUTED_VALUE"""),"RF-0475-001-PPP")</f>
        <v>RF-0475-001-PPP</v>
      </c>
    </row>
    <row r="395" spans="1:2" ht="12.5" x14ac:dyDescent="0.25">
      <c r="A395" t="str">
        <f ca="1">IFERROR(__xludf.DUMMYFUNCTION("""COMPUTED_VALUE"""),"Antibacterial substances")</f>
        <v>Antibacterial substances</v>
      </c>
      <c r="B395" t="str">
        <f ca="1">IFERROR(__xludf.DUMMYFUNCTION("""COMPUTED_VALUE"""),"RF-00000526-VET")</f>
        <v>RF-00000526-VET</v>
      </c>
    </row>
    <row r="396" spans="1:2" ht="12.5" x14ac:dyDescent="0.25">
      <c r="A396" t="str">
        <f ca="1">IFERROR(__xludf.DUMMYFUNCTION("""COMPUTED_VALUE"""),"Antibacterials")</f>
        <v>Antibacterials</v>
      </c>
      <c r="B396" t="str">
        <f ca="1">IFERROR(__xludf.DUMMYFUNCTION("""COMPUTED_VALUE"""),"RF-00000697-VET")</f>
        <v>RF-00000697-VET</v>
      </c>
    </row>
    <row r="397" spans="1:2" ht="12.5" x14ac:dyDescent="0.25">
      <c r="A397" t="str">
        <f ca="1">IFERROR(__xludf.DUMMYFUNCTION("""COMPUTED_VALUE"""),"Anticoccidials")</f>
        <v>Anticoccidials</v>
      </c>
      <c r="B397" t="str">
        <f ca="1">IFERROR(__xludf.DUMMYFUNCTION("""COMPUTED_VALUE"""),"RF-00000056-VET")</f>
        <v>RF-00000056-VET</v>
      </c>
    </row>
    <row r="398" spans="1:2" ht="12.5" x14ac:dyDescent="0.25">
      <c r="A398" t="str">
        <f ca="1">IFERROR(__xludf.DUMMYFUNCTION("""COMPUTED_VALUE"""),"Antimony (Sb)")</f>
        <v>Antimony (Sb)</v>
      </c>
      <c r="B398" t="str">
        <f ca="1">IFERROR(__xludf.DUMMYFUNCTION("""COMPUTED_VALUE"""),"RF-00000126-CHE")</f>
        <v>RF-00000126-CHE</v>
      </c>
    </row>
    <row r="399" spans="1:2" ht="12.5" x14ac:dyDescent="0.25">
      <c r="A399" t="str">
        <f ca="1">IFERROR(__xludf.DUMMYFUNCTION("""COMPUTED_VALUE"""),"Antimony and derivatives")</f>
        <v>Antimony and derivatives</v>
      </c>
      <c r="B399" t="str">
        <f ca="1">IFERROR(__xludf.DUMMYFUNCTION("""COMPUTED_VALUE"""),"RF-00000125-CHE")</f>
        <v>RF-00000125-CHE</v>
      </c>
    </row>
    <row r="400" spans="1:2" ht="12.5" x14ac:dyDescent="0.25">
      <c r="A400" t="str">
        <f ca="1">IFERROR(__xludf.DUMMYFUNCTION("""COMPUTED_VALUE"""),"Antimycobacterial drugs")</f>
        <v>Antimycobacterial drugs</v>
      </c>
      <c r="B400" t="str">
        <f ca="1">IFERROR(__xludf.DUMMYFUNCTION("""COMPUTED_VALUE"""),"RF-00000801-VET")</f>
        <v>RF-00000801-VET</v>
      </c>
    </row>
    <row r="401" spans="1:2" ht="12.5" x14ac:dyDescent="0.25">
      <c r="A401" t="str">
        <f ca="1">IFERROR(__xludf.DUMMYFUNCTION("""COMPUTED_VALUE"""),"Antipyrin-4-Acetylamino")</f>
        <v>Antipyrin-4-Acetylamino</v>
      </c>
      <c r="B401" t="str">
        <f ca="1">IFERROR(__xludf.DUMMYFUNCTION("""COMPUTED_VALUE"""),"RF-00000197-VET")</f>
        <v>RF-00000197-VET</v>
      </c>
    </row>
    <row r="402" spans="1:2" ht="12.5" x14ac:dyDescent="0.25">
      <c r="A402" t="str">
        <f ca="1">IFERROR(__xludf.DUMMYFUNCTION("""COMPUTED_VALUE"""),"Antipyrin-4-Amino")</f>
        <v>Antipyrin-4-Amino</v>
      </c>
      <c r="B402" t="str">
        <f ca="1">IFERROR(__xludf.DUMMYFUNCTION("""COMPUTED_VALUE"""),"RF-00000199-VET")</f>
        <v>RF-00000199-VET</v>
      </c>
    </row>
    <row r="403" spans="1:2" ht="12.5" x14ac:dyDescent="0.25">
      <c r="A403" t="str">
        <f ca="1">IFERROR(__xludf.DUMMYFUNCTION("""COMPUTED_VALUE"""),"Antipyrin-4-Formylamino")</f>
        <v>Antipyrin-4-Formylamino</v>
      </c>
      <c r="B403" t="str">
        <f ca="1">IFERROR(__xludf.DUMMYFUNCTION("""COMPUTED_VALUE"""),"RF-00000207-VET")</f>
        <v>RF-00000207-VET</v>
      </c>
    </row>
    <row r="404" spans="1:2" ht="12.5" x14ac:dyDescent="0.25">
      <c r="A404" t="str">
        <f ca="1">IFERROR(__xludf.DUMMYFUNCTION("""COMPUTED_VALUE"""),"Antipyrin-4-Hydroxy")</f>
        <v>Antipyrin-4-Hydroxy</v>
      </c>
      <c r="B404" t="str">
        <f ca="1">IFERROR(__xludf.DUMMYFUNCTION("""COMPUTED_VALUE"""),"RF-00000200-VET")</f>
        <v>RF-00000200-VET</v>
      </c>
    </row>
    <row r="405" spans="1:2" ht="12.5" x14ac:dyDescent="0.25">
      <c r="A405" t="str">
        <f ca="1">IFERROR(__xludf.DUMMYFUNCTION("""COMPUTED_VALUE"""),"Antipyrin-4-Methylamino")</f>
        <v>Antipyrin-4-Methylamino</v>
      </c>
      <c r="B405" t="str">
        <f ca="1">IFERROR(__xludf.DUMMYFUNCTION("""COMPUTED_VALUE"""),"RF-00000202-VET")</f>
        <v>RF-00000202-VET</v>
      </c>
    </row>
    <row r="406" spans="1:2" ht="12.5" x14ac:dyDescent="0.25">
      <c r="A406" t="str">
        <f ca="1">IFERROR(__xludf.DUMMYFUNCTION("""COMPUTED_VALUE"""),"Antithyroid agents")</f>
        <v>Antithyroid agents</v>
      </c>
      <c r="B406" t="str">
        <f ca="1">IFERROR(__xludf.DUMMYFUNCTION("""COMPUTED_VALUE"""),"RF-00000293-VET")</f>
        <v>RF-00000293-VET</v>
      </c>
    </row>
    <row r="407" spans="1:2" ht="12.5" x14ac:dyDescent="0.25">
      <c r="A407" t="str">
        <f ca="1">IFERROR(__xludf.DUMMYFUNCTION("""COMPUTED_VALUE"""),"AOZ (3-amino-2-oxazolidone)")</f>
        <v>AOZ (3-amino-2-oxazolidone)</v>
      </c>
      <c r="B407" t="str">
        <f ca="1">IFERROR(__xludf.DUMMYFUNCTION("""COMPUTED_VALUE"""),"RF-00000516-VET")</f>
        <v>RF-00000516-VET</v>
      </c>
    </row>
    <row r="408" spans="1:2" ht="12.5" x14ac:dyDescent="0.25">
      <c r="A408" t="str">
        <f ca="1">IFERROR(__xludf.DUMMYFUNCTION("""COMPUTED_VALUE"""),"Apalcillin")</f>
        <v>Apalcillin</v>
      </c>
      <c r="B408" t="str">
        <f ca="1">IFERROR(__xludf.DUMMYFUNCTION("""COMPUTED_VALUE"""),"RF-00000665-VET")</f>
        <v>RF-00000665-VET</v>
      </c>
    </row>
    <row r="409" spans="1:2" ht="12.5" x14ac:dyDescent="0.25">
      <c r="A409" t="str">
        <f ca="1">IFERROR(__xludf.DUMMYFUNCTION("""COMPUTED_VALUE"""),"apigenin")</f>
        <v>apigenin</v>
      </c>
      <c r="B409" t="str">
        <f ca="1">IFERROR(__xludf.DUMMYFUNCTION("""COMPUTED_VALUE"""),"RF-00000023-NTR")</f>
        <v>RF-00000023-NTR</v>
      </c>
    </row>
    <row r="410" spans="1:2" ht="12.5" x14ac:dyDescent="0.25">
      <c r="A410" t="str">
        <f ca="1">IFERROR(__xludf.DUMMYFUNCTION("""COMPUTED_VALUE"""),"Apramycin")</f>
        <v>Apramycin</v>
      </c>
      <c r="B410" t="str">
        <f ca="1">IFERROR(__xludf.DUMMYFUNCTION("""COMPUTED_VALUE"""),"RF-00000655-VET")</f>
        <v>RF-00000655-VET</v>
      </c>
    </row>
    <row r="411" spans="1:2" ht="12.5" x14ac:dyDescent="0.25">
      <c r="A411" t="str">
        <f ca="1">IFERROR(__xludf.DUMMYFUNCTION("""COMPUTED_VALUE"""),"arabinose")</f>
        <v>arabinose</v>
      </c>
      <c r="B411" t="str">
        <f ca="1">IFERROR(__xludf.DUMMYFUNCTION("""COMPUTED_VALUE"""),"RF-00000024-NTR")</f>
        <v>RF-00000024-NTR</v>
      </c>
    </row>
    <row r="412" spans="1:2" ht="12.5" x14ac:dyDescent="0.25">
      <c r="A412" t="str">
        <f ca="1">IFERROR(__xludf.DUMMYFUNCTION("""COMPUTED_VALUE"""),"Aramite")</f>
        <v>Aramite</v>
      </c>
      <c r="B412" t="str">
        <f ca="1">IFERROR(__xludf.DUMMYFUNCTION("""COMPUTED_VALUE"""),"RF-0027-001-PPP")</f>
        <v>RF-0027-001-PPP</v>
      </c>
    </row>
    <row r="413" spans="1:2" ht="12.5" x14ac:dyDescent="0.25">
      <c r="A413" t="str">
        <f ca="1">IFERROR(__xludf.DUMMYFUNCTION("""COMPUTED_VALUE"""),"Ardacin")</f>
        <v>Ardacin</v>
      </c>
      <c r="B413" t="str">
        <f ca="1">IFERROR(__xludf.DUMMYFUNCTION("""COMPUTED_VALUE"""),"RF-00000742-VET")</f>
        <v>RF-00000742-VET</v>
      </c>
    </row>
    <row r="414" spans="1:2" ht="12.5" x14ac:dyDescent="0.25">
      <c r="A414" t="str">
        <f ca="1">IFERROR(__xludf.DUMMYFUNCTION("""COMPUTED_VALUE"""),"arginine")</f>
        <v>arginine</v>
      </c>
      <c r="B414" t="str">
        <f ca="1">IFERROR(__xludf.DUMMYFUNCTION("""COMPUTED_VALUE"""),"RF-00000025-NTR")</f>
        <v>RF-00000025-NTR</v>
      </c>
    </row>
    <row r="415" spans="1:2" ht="12.5" x14ac:dyDescent="0.25">
      <c r="A415" t="str">
        <f ca="1">IFERROR(__xludf.DUMMYFUNCTION("""COMPUTED_VALUE"""),"Argon")</f>
        <v>Argon</v>
      </c>
      <c r="B415" t="str">
        <f ca="1">IFERROR(__xludf.DUMMYFUNCTION("""COMPUTED_VALUE"""),"RF-00000045-ADD")</f>
        <v>RF-00000045-ADD</v>
      </c>
    </row>
    <row r="416" spans="1:2" ht="12.5" x14ac:dyDescent="0.25">
      <c r="A416" t="str">
        <f ca="1">IFERROR(__xludf.DUMMYFUNCTION("""COMPUTED_VALUE"""),"Aristolochia")</f>
        <v>Aristolochia</v>
      </c>
      <c r="B416" t="str">
        <f ca="1">IFERROR(__xludf.DUMMYFUNCTION("""COMPUTED_VALUE"""),"RF-00000498-VET")</f>
        <v>RF-00000498-VET</v>
      </c>
    </row>
    <row r="417" spans="1:2" ht="12.5" x14ac:dyDescent="0.25">
      <c r="A417" t="str">
        <f ca="1">IFERROR(__xludf.DUMMYFUNCTION("""COMPUTED_VALUE"""),"Aromatic Hydrocarbons")</f>
        <v>Aromatic Hydrocarbons</v>
      </c>
      <c r="B417" t="str">
        <f ca="1">IFERROR(__xludf.DUMMYFUNCTION("""COMPUTED_VALUE"""),"RF-00000070-ORG")</f>
        <v>RF-00000070-ORG</v>
      </c>
    </row>
    <row r="418" spans="1:2" ht="12.5" x14ac:dyDescent="0.25">
      <c r="A418" t="str">
        <f ca="1">IFERROR(__xludf.DUMMYFUNCTION("""COMPUTED_VALUE"""),"Arprinocid")</f>
        <v>Arprinocid</v>
      </c>
      <c r="B418" t="str">
        <f ca="1">IFERROR(__xludf.DUMMYFUNCTION("""COMPUTED_VALUE"""),"RF-00000087-VET")</f>
        <v>RF-00000087-VET</v>
      </c>
    </row>
    <row r="419" spans="1:2" ht="12.5" x14ac:dyDescent="0.25">
      <c r="A419" t="str">
        <f ca="1">IFERROR(__xludf.DUMMYFUNCTION("""COMPUTED_VALUE"""),"Arsenate - As(V)")</f>
        <v>Arsenate - As(V)</v>
      </c>
      <c r="B419" t="str">
        <f ca="1">IFERROR(__xludf.DUMMYFUNCTION("""COMPUTED_VALUE"""),"RF-00000138-CHE")</f>
        <v>RF-00000138-CHE</v>
      </c>
    </row>
    <row r="420" spans="1:2" ht="12.5" x14ac:dyDescent="0.25">
      <c r="A420" t="str">
        <f ca="1">IFERROR(__xludf.DUMMYFUNCTION("""COMPUTED_VALUE"""),"Arsenic (As)")</f>
        <v>Arsenic (As)</v>
      </c>
      <c r="B420" t="str">
        <f ca="1">IFERROR(__xludf.DUMMYFUNCTION("""COMPUTED_VALUE"""),"RF-00000128-CHE")</f>
        <v>RF-00000128-CHE</v>
      </c>
    </row>
    <row r="421" spans="1:2" ht="12.5" x14ac:dyDescent="0.25">
      <c r="A421" t="str">
        <f ca="1">IFERROR(__xludf.DUMMYFUNCTION("""COMPUTED_VALUE"""),"Arsenic and derivatives")</f>
        <v>Arsenic and derivatives</v>
      </c>
      <c r="B421" t="str">
        <f ca="1">IFERROR(__xludf.DUMMYFUNCTION("""COMPUTED_VALUE"""),"RF-00000127-CHE")</f>
        <v>RF-00000127-CHE</v>
      </c>
    </row>
    <row r="422" spans="1:2" ht="12.5" x14ac:dyDescent="0.25">
      <c r="A422" t="str">
        <f ca="1">IFERROR(__xludf.DUMMYFUNCTION("""COMPUTED_VALUE"""),"Arsenite - As(III)")</f>
        <v>Arsenite - As(III)</v>
      </c>
      <c r="B422" t="str">
        <f ca="1">IFERROR(__xludf.DUMMYFUNCTION("""COMPUTED_VALUE"""),"RF-00000139-CHE")</f>
        <v>RF-00000139-CHE</v>
      </c>
    </row>
    <row r="423" spans="1:2" ht="12.5" x14ac:dyDescent="0.25">
      <c r="A423" t="str">
        <f ca="1">IFERROR(__xludf.DUMMYFUNCTION("""COMPUTED_VALUE"""),"Arsenobetaine")</f>
        <v>Arsenobetaine</v>
      </c>
      <c r="B423" t="str">
        <f ca="1">IFERROR(__xludf.DUMMYFUNCTION("""COMPUTED_VALUE"""),"RF-00000140-CHE")</f>
        <v>RF-00000140-CHE</v>
      </c>
    </row>
    <row r="424" spans="1:2" ht="12.5" x14ac:dyDescent="0.25">
      <c r="A424" t="str">
        <f ca="1">IFERROR(__xludf.DUMMYFUNCTION("""COMPUTED_VALUE"""),"Arsenocholine")</f>
        <v>Arsenocholine</v>
      </c>
      <c r="B424" t="str">
        <f ca="1">IFERROR(__xludf.DUMMYFUNCTION("""COMPUTED_VALUE"""),"RF-00000141-CHE")</f>
        <v>RF-00000141-CHE</v>
      </c>
    </row>
    <row r="425" spans="1:2" ht="12.5" x14ac:dyDescent="0.25">
      <c r="A425" t="str">
        <f ca="1">IFERROR(__xludf.DUMMYFUNCTION("""COMPUTED_VALUE"""),"Ascorbic acid")</f>
        <v>Ascorbic acid</v>
      </c>
      <c r="B425" t="str">
        <f ca="1">IFERROR(__xludf.DUMMYFUNCTION("""COMPUTED_VALUE"""),"RF-00000046-ADD")</f>
        <v>RF-00000046-ADD</v>
      </c>
    </row>
    <row r="426" spans="1:2" ht="12.5" x14ac:dyDescent="0.25">
      <c r="A426" t="str">
        <f ca="1">IFERROR(__xludf.DUMMYFUNCTION("""COMPUTED_VALUE"""),"Ascorbyl palmitate")</f>
        <v>Ascorbyl palmitate</v>
      </c>
      <c r="B426" t="str">
        <f ca="1">IFERROR(__xludf.DUMMYFUNCTION("""COMPUTED_VALUE"""),"RF-00001298-PAR")</f>
        <v>RF-00001298-PAR</v>
      </c>
    </row>
    <row r="427" spans="1:2" ht="12.5" x14ac:dyDescent="0.25">
      <c r="A427" t="str">
        <f ca="1">IFERROR(__xludf.DUMMYFUNCTION("""COMPUTED_VALUE"""),"Ascorbyl stearate")</f>
        <v>Ascorbyl stearate</v>
      </c>
      <c r="B427" t="str">
        <f ca="1">IFERROR(__xludf.DUMMYFUNCTION("""COMPUTED_VALUE"""),"RF-00001299-PAR")</f>
        <v>RF-00001299-PAR</v>
      </c>
    </row>
    <row r="428" spans="1:2" ht="12.5" x14ac:dyDescent="0.25">
      <c r="A428" t="str">
        <f ca="1">IFERROR(__xludf.DUMMYFUNCTION("""COMPUTED_VALUE"""),"Asfivirus")</f>
        <v>Asfivirus</v>
      </c>
      <c r="B428" t="str">
        <f ca="1">IFERROR(__xludf.DUMMYFUNCTION("""COMPUTED_VALUE"""),"RF-00002655-MCG")</f>
        <v>RF-00002655-MCG</v>
      </c>
    </row>
    <row r="429" spans="1:2" ht="12.5" x14ac:dyDescent="0.25">
      <c r="A429" t="str">
        <f ca="1">IFERROR(__xludf.DUMMYFUNCTION("""COMPUTED_VALUE"""),"Asfivirus African swine fever virus")</f>
        <v>Asfivirus African swine fever virus</v>
      </c>
      <c r="B429" t="str">
        <f ca="1">IFERROR(__xludf.DUMMYFUNCTION("""COMPUTED_VALUE"""),"RF-00002657-MCG")</f>
        <v>RF-00002657-MCG</v>
      </c>
    </row>
    <row r="430" spans="1:2" ht="12.5" x14ac:dyDescent="0.25">
      <c r="A430" t="str">
        <f ca="1">IFERROR(__xludf.DUMMYFUNCTION("""COMPUTED_VALUE"""),"Asfivirus spp., unidentified")</f>
        <v>Asfivirus spp., unidentified</v>
      </c>
      <c r="B430" t="str">
        <f ca="1">IFERROR(__xludf.DUMMYFUNCTION("""COMPUTED_VALUE"""),"RF-00002656-MCG")</f>
        <v>RF-00002656-MCG</v>
      </c>
    </row>
    <row r="431" spans="1:2" ht="12.5" x14ac:dyDescent="0.25">
      <c r="A431" t="str">
        <f ca="1">IFERROR(__xludf.DUMMYFUNCTION("""COMPUTED_VALUE"""),"ash (minerals)")</f>
        <v>ash (minerals)</v>
      </c>
      <c r="B431" t="str">
        <f ca="1">IFERROR(__xludf.DUMMYFUNCTION("""COMPUTED_VALUE"""),"RF-00000026-NTR")</f>
        <v>RF-00000026-NTR</v>
      </c>
    </row>
    <row r="432" spans="1:2" ht="12.5" x14ac:dyDescent="0.25">
      <c r="A432" t="str">
        <f ca="1">IFERROR(__xludf.DUMMYFUNCTION("""COMPUTED_VALUE"""),"asparagine")</f>
        <v>asparagine</v>
      </c>
      <c r="B432" t="str">
        <f ca="1">IFERROR(__xludf.DUMMYFUNCTION("""COMPUTED_VALUE"""),"RF-00000027-NTR")</f>
        <v>RF-00000027-NTR</v>
      </c>
    </row>
    <row r="433" spans="1:2" ht="12.5" x14ac:dyDescent="0.25">
      <c r="A433" t="str">
        <f ca="1">IFERROR(__xludf.DUMMYFUNCTION("""COMPUTED_VALUE"""),"Aspartame")</f>
        <v>Aspartame</v>
      </c>
      <c r="B433" t="str">
        <f ca="1">IFERROR(__xludf.DUMMYFUNCTION("""COMPUTED_VALUE"""),"RF-00000004-ADD")</f>
        <v>RF-00000004-ADD</v>
      </c>
    </row>
    <row r="434" spans="1:2" ht="12.5" x14ac:dyDescent="0.25">
      <c r="A434" t="str">
        <f ca="1">IFERROR(__xludf.DUMMYFUNCTION("""COMPUTED_VALUE"""),"aspartic acid")</f>
        <v>aspartic acid</v>
      </c>
      <c r="B434" t="str">
        <f ca="1">IFERROR(__xludf.DUMMYFUNCTION("""COMPUTED_VALUE"""),"RF-00000028-NTR")</f>
        <v>RF-00000028-NTR</v>
      </c>
    </row>
    <row r="435" spans="1:2" ht="12.5" x14ac:dyDescent="0.25">
      <c r="A435" t="str">
        <f ca="1">IFERROR(__xludf.DUMMYFUNCTION("""COMPUTED_VALUE"""),"Aspertoxin")</f>
        <v>Aspertoxin</v>
      </c>
      <c r="B435" t="str">
        <f ca="1">IFERROR(__xludf.DUMMYFUNCTION("""COMPUTED_VALUE"""),"RF-00000199-TOX")</f>
        <v>RF-00000199-TOX</v>
      </c>
    </row>
    <row r="436" spans="1:2" ht="12.5" x14ac:dyDescent="0.25">
      <c r="A436" t="str">
        <f ca="1">IFERROR(__xludf.DUMMYFUNCTION("""COMPUTED_VALUE"""),"Asperumine")</f>
        <v>Asperumine</v>
      </c>
      <c r="B436" t="str">
        <f ca="1">IFERROR(__xludf.DUMMYFUNCTION("""COMPUTED_VALUE"""),"RF-00000242-TOX")</f>
        <v>RF-00000242-TOX</v>
      </c>
    </row>
    <row r="437" spans="1:2" ht="12.5" x14ac:dyDescent="0.25">
      <c r="A437" t="str">
        <f ca="1">IFERROR(__xludf.DUMMYFUNCTION("""COMPUTED_VALUE"""),"Aspon")</f>
        <v>Aspon</v>
      </c>
      <c r="B437" t="str">
        <f ca="1">IFERROR(__xludf.DUMMYFUNCTION("""COMPUTED_VALUE"""),"RF-0476-001-PPP")</f>
        <v>RF-0476-001-PPP</v>
      </c>
    </row>
    <row r="438" spans="1:2" ht="12.5" x14ac:dyDescent="0.25">
      <c r="A438" t="str">
        <f ca="1">IFERROR(__xludf.DUMMYFUNCTION("""COMPUTED_VALUE"""),"Astrovirus")</f>
        <v>Astrovirus</v>
      </c>
      <c r="B438" t="str">
        <f ca="1">IFERROR(__xludf.DUMMYFUNCTION("""COMPUTED_VALUE"""),"RF-00000002-MCG")</f>
        <v>RF-00000002-MCG</v>
      </c>
    </row>
    <row r="439" spans="1:2" ht="12.5" x14ac:dyDescent="0.25">
      <c r="A439" t="str">
        <f ca="1">IFERROR(__xludf.DUMMYFUNCTION("""COMPUTED_VALUE"""),"Asulam")</f>
        <v>Asulam</v>
      </c>
      <c r="B439" t="str">
        <f ca="1">IFERROR(__xludf.DUMMYFUNCTION("""COMPUTED_VALUE"""),"RF-00000108-VET")</f>
        <v>RF-00000108-VET</v>
      </c>
    </row>
    <row r="440" spans="1:2" ht="12.5" x14ac:dyDescent="0.25">
      <c r="A440" t="str">
        <f ca="1">IFERROR(__xludf.DUMMYFUNCTION("""COMPUTED_VALUE"""),"Asulam")</f>
        <v>Asulam</v>
      </c>
      <c r="B440" t="str">
        <f ca="1">IFERROR(__xludf.DUMMYFUNCTION("""COMPUTED_VALUE"""),"RF-0028-001-PPP")</f>
        <v>RF-0028-001-PPP</v>
      </c>
    </row>
    <row r="441" spans="1:2" ht="12.5" x14ac:dyDescent="0.25">
      <c r="A441" t="str">
        <f ca="1">IFERROR(__xludf.DUMMYFUNCTION("""COMPUTED_VALUE"""),"Atraton")</f>
        <v>Atraton</v>
      </c>
      <c r="B441" t="str">
        <f ca="1">IFERROR(__xludf.DUMMYFUNCTION("""COMPUTED_VALUE"""),"RF-1024-001-PPP")</f>
        <v>RF-1024-001-PPP</v>
      </c>
    </row>
    <row r="442" spans="1:2" ht="12.5" x14ac:dyDescent="0.25">
      <c r="A442" t="str">
        <f ca="1">IFERROR(__xludf.DUMMYFUNCTION("""COMPUTED_VALUE"""),"Atrazine")</f>
        <v>Atrazine</v>
      </c>
      <c r="B442" t="str">
        <f ca="1">IFERROR(__xludf.DUMMYFUNCTION("""COMPUTED_VALUE"""),"RF-0029-001-PPP")</f>
        <v>RF-0029-001-PPP</v>
      </c>
    </row>
    <row r="443" spans="1:2" ht="12.5" x14ac:dyDescent="0.25">
      <c r="A443" t="str">
        <f ca="1">IFERROR(__xludf.DUMMYFUNCTION("""COMPUTED_VALUE"""),"Atrazine, 2-Hydroxy-")</f>
        <v>Atrazine, 2-Hydroxy-</v>
      </c>
      <c r="B443" t="str">
        <f ca="1">IFERROR(__xludf.DUMMYFUNCTION("""COMPUTED_VALUE"""),"RF-0477-001-PPP")</f>
        <v>RF-0477-001-PPP</v>
      </c>
    </row>
    <row r="444" spans="1:2" ht="12.5" x14ac:dyDescent="0.25">
      <c r="A444" t="str">
        <f ca="1">IFERROR(__xludf.DUMMYFUNCTION("""COMPUTED_VALUE"""),"Atrazine, Desethyl-2-Hydroxy-")</f>
        <v>Atrazine, Desethyl-2-Hydroxy-</v>
      </c>
      <c r="B444" t="str">
        <f ca="1">IFERROR(__xludf.DUMMYFUNCTION("""COMPUTED_VALUE"""),"RF-0479-001-PPP")</f>
        <v>RF-0479-001-PPP</v>
      </c>
    </row>
    <row r="445" spans="1:2" ht="12.5" x14ac:dyDescent="0.25">
      <c r="A445" t="str">
        <f ca="1">IFERROR(__xludf.DUMMYFUNCTION("""COMPUTED_VALUE"""),"Atrazine, Desethyl-Desisopropyl-")</f>
        <v>Atrazine, Desethyl-Desisopropyl-</v>
      </c>
      <c r="B445" t="str">
        <f ca="1">IFERROR(__xludf.DUMMYFUNCTION("""COMPUTED_VALUE"""),"RF-0480-001-PPP")</f>
        <v>RF-0480-001-PPP</v>
      </c>
    </row>
    <row r="446" spans="1:2" ht="12.5" x14ac:dyDescent="0.25">
      <c r="A446" t="str">
        <f ca="1">IFERROR(__xludf.DUMMYFUNCTION("""COMPUTED_VALUE"""),"Atrazine, Desisopropyl-")</f>
        <v>Atrazine, Desisopropyl-</v>
      </c>
      <c r="B446" t="str">
        <f ca="1">IFERROR(__xludf.DUMMYFUNCTION("""COMPUTED_VALUE"""),"RF-0481-001-PPP")</f>
        <v>RF-0481-001-PPP</v>
      </c>
    </row>
    <row r="447" spans="1:2" ht="12.5" x14ac:dyDescent="0.25">
      <c r="A447" t="str">
        <f ca="1">IFERROR(__xludf.DUMMYFUNCTION("""COMPUTED_VALUE"""),"Atropine")</f>
        <v>Atropine</v>
      </c>
      <c r="B447" t="str">
        <f ca="1">IFERROR(__xludf.DUMMYFUNCTION("""COMPUTED_VALUE"""),"RF-00000246-TOX")</f>
        <v>RF-00000246-TOX</v>
      </c>
    </row>
    <row r="448" spans="1:2" ht="12.5" x14ac:dyDescent="0.25">
      <c r="A448" t="str">
        <f ca="1">IFERROR(__xludf.DUMMYFUNCTION("""COMPUTED_VALUE"""),"Avastrovirus")</f>
        <v>Avastrovirus</v>
      </c>
      <c r="B448" t="str">
        <f ca="1">IFERROR(__xludf.DUMMYFUNCTION("""COMPUTED_VALUE"""),"RF-00000003-MCG")</f>
        <v>RF-00000003-MCG</v>
      </c>
    </row>
    <row r="449" spans="1:2" ht="12.5" x14ac:dyDescent="0.25">
      <c r="A449" t="str">
        <f ca="1">IFERROR(__xludf.DUMMYFUNCTION("""COMPUTED_VALUE"""),"avenasterol, total")</f>
        <v>avenasterol, total</v>
      </c>
      <c r="B449" t="str">
        <f ca="1">IFERROR(__xludf.DUMMYFUNCTION("""COMPUTED_VALUE"""),"RF-00000029-NTR")</f>
        <v>RF-00000029-NTR</v>
      </c>
    </row>
    <row r="450" spans="1:2" ht="12.5" x14ac:dyDescent="0.25">
      <c r="A450" t="str">
        <f ca="1">IFERROR(__xludf.DUMMYFUNCTION("""COMPUTED_VALUE"""),"Avermectin B1a")</f>
        <v>Avermectin B1a</v>
      </c>
      <c r="B450" t="str">
        <f ca="1">IFERROR(__xludf.DUMMYFUNCTION("""COMPUTED_VALUE"""),"RF-00000042-VET")</f>
        <v>RF-00000042-VET</v>
      </c>
    </row>
    <row r="451" spans="1:2" ht="12.5" x14ac:dyDescent="0.25">
      <c r="A451" t="str">
        <f ca="1">IFERROR(__xludf.DUMMYFUNCTION("""COMPUTED_VALUE"""),"Avermectin B1a")</f>
        <v>Avermectin B1a</v>
      </c>
      <c r="B451" t="str">
        <f ca="1">IFERROR(__xludf.DUMMYFUNCTION("""COMPUTED_VALUE"""),"RF-0011-003-PPP")</f>
        <v>RF-0011-003-PPP</v>
      </c>
    </row>
    <row r="452" spans="1:2" ht="12.5" x14ac:dyDescent="0.25">
      <c r="A452" t="str">
        <f ca="1">IFERROR(__xludf.DUMMYFUNCTION("""COMPUTED_VALUE"""),"Avermectin B1a-22-23-Dihydro")</f>
        <v>Avermectin B1a-22-23-Dihydro</v>
      </c>
      <c r="B452" t="str">
        <f ca="1">IFERROR(__xludf.DUMMYFUNCTION("""COMPUTED_VALUE"""),"RF-00000030-VET")</f>
        <v>RF-00000030-VET</v>
      </c>
    </row>
    <row r="453" spans="1:2" ht="12.5" x14ac:dyDescent="0.25">
      <c r="A453" t="str">
        <f ca="1">IFERROR(__xludf.DUMMYFUNCTION("""COMPUTED_VALUE"""),"Avermectin B1a, delta-8,9 isomer")</f>
        <v>Avermectin B1a, delta-8,9 isomer</v>
      </c>
      <c r="B453" t="str">
        <f ca="1">IFERROR(__xludf.DUMMYFUNCTION("""COMPUTED_VALUE"""),"RF-0011-002-PPP")</f>
        <v>RF-0011-002-PPP</v>
      </c>
    </row>
    <row r="454" spans="1:2" ht="12.5" x14ac:dyDescent="0.25">
      <c r="A454" t="str">
        <f ca="1">IFERROR(__xludf.DUMMYFUNCTION("""COMPUTED_VALUE"""),"Avermectin B1b")</f>
        <v>Avermectin B1b</v>
      </c>
      <c r="B454" t="str">
        <f ca="1">IFERROR(__xludf.DUMMYFUNCTION("""COMPUTED_VALUE"""),"RF-00000004-VET")</f>
        <v>RF-00000004-VET</v>
      </c>
    </row>
    <row r="455" spans="1:2" ht="12.5" x14ac:dyDescent="0.25">
      <c r="A455" t="str">
        <f ca="1">IFERROR(__xludf.DUMMYFUNCTION("""COMPUTED_VALUE"""),"Avermectin B1b")</f>
        <v>Avermectin B1b</v>
      </c>
      <c r="B455" t="str">
        <f ca="1">IFERROR(__xludf.DUMMYFUNCTION("""COMPUTED_VALUE"""),"RF-0011-004-PPP")</f>
        <v>RF-0011-004-PPP</v>
      </c>
    </row>
    <row r="456" spans="1:2" ht="12.5" x14ac:dyDescent="0.25">
      <c r="A456" t="str">
        <f ca="1">IFERROR(__xludf.DUMMYFUNCTION("""COMPUTED_VALUE"""),"Avilamycin")</f>
        <v>Avilamycin</v>
      </c>
      <c r="B456" t="str">
        <f ca="1">IFERROR(__xludf.DUMMYFUNCTION("""COMPUTED_VALUE"""),"RF-00000591-VET")</f>
        <v>RF-00000591-VET</v>
      </c>
    </row>
    <row r="457" spans="1:2" ht="12.5" x14ac:dyDescent="0.25">
      <c r="A457" t="str">
        <f ca="1">IFERROR(__xludf.DUMMYFUNCTION("""COMPUTED_VALUE"""),"Avilamycin A")</f>
        <v>Avilamycin A</v>
      </c>
      <c r="B457" t="str">
        <f ca="1">IFERROR(__xludf.DUMMYFUNCTION("""COMPUTED_VALUE"""),"RF-00000669-VET")</f>
        <v>RF-00000669-VET</v>
      </c>
    </row>
    <row r="458" spans="1:2" ht="12.5" x14ac:dyDescent="0.25">
      <c r="A458" t="str">
        <f ca="1">IFERROR(__xludf.DUMMYFUNCTION("""COMPUTED_VALUE"""),"Avilamycin B")</f>
        <v>Avilamycin B</v>
      </c>
      <c r="B458" t="str">
        <f ca="1">IFERROR(__xludf.DUMMYFUNCTION("""COMPUTED_VALUE"""),"RF-00000618-VET")</f>
        <v>RF-00000618-VET</v>
      </c>
    </row>
    <row r="459" spans="1:2" ht="12.5" x14ac:dyDescent="0.25">
      <c r="A459" t="str">
        <f ca="1">IFERROR(__xludf.DUMMYFUNCTION("""COMPUTED_VALUE"""),"Avoparcin")</f>
        <v>Avoparcin</v>
      </c>
      <c r="B459" t="str">
        <f ca="1">IFERROR(__xludf.DUMMYFUNCTION("""COMPUTED_VALUE"""),"RF-00000083-VET")</f>
        <v>RF-00000083-VET</v>
      </c>
    </row>
    <row r="460" spans="1:2" ht="12.5" x14ac:dyDescent="0.25">
      <c r="A460" t="str">
        <f ca="1">IFERROR(__xludf.DUMMYFUNCTION("""COMPUTED_VALUE"""),"Azaconazole")</f>
        <v>Azaconazole</v>
      </c>
      <c r="B460" t="str">
        <f ca="1">IFERROR(__xludf.DUMMYFUNCTION("""COMPUTED_VALUE"""),"RF-0482-001-PPP")</f>
        <v>RF-0482-001-PPP</v>
      </c>
    </row>
    <row r="461" spans="1:2" ht="12.5" x14ac:dyDescent="0.25">
      <c r="A461" t="str">
        <f ca="1">IFERROR(__xludf.DUMMYFUNCTION("""COMPUTED_VALUE"""),"Azadirachtin")</f>
        <v>Azadirachtin</v>
      </c>
      <c r="B461" t="str">
        <f ca="1">IFERROR(__xludf.DUMMYFUNCTION("""COMPUTED_VALUE"""),"RF-0030-001-PPP")</f>
        <v>RF-0030-001-PPP</v>
      </c>
    </row>
    <row r="462" spans="1:2" ht="12.5" x14ac:dyDescent="0.25">
      <c r="A462" t="str">
        <f ca="1">IFERROR(__xludf.DUMMYFUNCTION("""COMPUTED_VALUE"""),"Azafenidin")</f>
        <v>Azafenidin</v>
      </c>
      <c r="B462" t="str">
        <f ca="1">IFERROR(__xludf.DUMMYFUNCTION("""COMPUTED_VALUE"""),"RF-0483-001-PPP")</f>
        <v>RF-0483-001-PPP</v>
      </c>
    </row>
    <row r="463" spans="1:2" ht="12.5" x14ac:dyDescent="0.25">
      <c r="A463" t="str">
        <f ca="1">IFERROR(__xludf.DUMMYFUNCTION("""COMPUTED_VALUE"""),"Azamethiphos")</f>
        <v>Azamethiphos</v>
      </c>
      <c r="B463" t="str">
        <f ca="1">IFERROR(__xludf.DUMMYFUNCTION("""COMPUTED_VALUE"""),"RF-0484-001-PPP")</f>
        <v>RF-0484-001-PPP</v>
      </c>
    </row>
    <row r="464" spans="1:2" ht="12.5" x14ac:dyDescent="0.25">
      <c r="A464" t="str">
        <f ca="1">IFERROR(__xludf.DUMMYFUNCTION("""COMPUTED_VALUE"""),"Azaperol")</f>
        <v>Azaperol</v>
      </c>
      <c r="B464" t="str">
        <f ca="1">IFERROR(__xludf.DUMMYFUNCTION("""COMPUTED_VALUE"""),"RF-00000166-VET")</f>
        <v>RF-00000166-VET</v>
      </c>
    </row>
    <row r="465" spans="1:2" ht="12.5" x14ac:dyDescent="0.25">
      <c r="A465" t="str">
        <f ca="1">IFERROR(__xludf.DUMMYFUNCTION("""COMPUTED_VALUE"""),"Azaperone")</f>
        <v>Azaperone</v>
      </c>
      <c r="B465" t="str">
        <f ca="1">IFERROR(__xludf.DUMMYFUNCTION("""COMPUTED_VALUE"""),"RF-00000178-VET")</f>
        <v>RF-00000178-VET</v>
      </c>
    </row>
    <row r="466" spans="1:2" ht="12.5" x14ac:dyDescent="0.25">
      <c r="A466" t="str">
        <f ca="1">IFERROR(__xludf.DUMMYFUNCTION("""COMPUTED_VALUE"""),"Azaspiracid")</f>
        <v>Azaspiracid</v>
      </c>
      <c r="B466" t="str">
        <f ca="1">IFERROR(__xludf.DUMMYFUNCTION("""COMPUTED_VALUE"""),"RF-00000011-TOX")</f>
        <v>RF-00000011-TOX</v>
      </c>
    </row>
    <row r="467" spans="1:2" ht="12.5" x14ac:dyDescent="0.25">
      <c r="A467" t="str">
        <f ca="1">IFERROR(__xludf.DUMMYFUNCTION("""COMPUTED_VALUE"""),"Azaspiracid-1-methyl ester")</f>
        <v>Azaspiracid-1-methyl ester</v>
      </c>
      <c r="B467" t="str">
        <f ca="1">IFERROR(__xludf.DUMMYFUNCTION("""COMPUTED_VALUE"""),"RF-00000040-TOX")</f>
        <v>RF-00000040-TOX</v>
      </c>
    </row>
    <row r="468" spans="1:2" ht="12.5" x14ac:dyDescent="0.25">
      <c r="A468" t="str">
        <f ca="1">IFERROR(__xludf.DUMMYFUNCTION("""COMPUTED_VALUE"""),"Azaspiracid-group toxins")</f>
        <v>Azaspiracid-group toxins</v>
      </c>
      <c r="B468" t="str">
        <f ca="1">IFERROR(__xludf.DUMMYFUNCTION("""COMPUTED_VALUE"""),"RF-00000010-TOX")</f>
        <v>RF-00000010-TOX</v>
      </c>
    </row>
    <row r="469" spans="1:2" ht="12.5" x14ac:dyDescent="0.25">
      <c r="A469" t="str">
        <f ca="1">IFERROR(__xludf.DUMMYFUNCTION("""COMPUTED_VALUE"""),"Azimsulfuron")</f>
        <v>Azimsulfuron</v>
      </c>
      <c r="B469" t="str">
        <f ca="1">IFERROR(__xludf.DUMMYFUNCTION("""COMPUTED_VALUE"""),"RF-0031-001-PPP")</f>
        <v>RF-0031-001-PPP</v>
      </c>
    </row>
    <row r="470" spans="1:2" ht="12.5" x14ac:dyDescent="0.25">
      <c r="A470" t="str">
        <f ca="1">IFERROR(__xludf.DUMMYFUNCTION("""COMPUTED_VALUE"""),"Azinphos-ethyl")</f>
        <v>Azinphos-ethyl</v>
      </c>
      <c r="B470" t="str">
        <f ca="1">IFERROR(__xludf.DUMMYFUNCTION("""COMPUTED_VALUE"""),"RF-0032-001-PPP")</f>
        <v>RF-0032-001-PPP</v>
      </c>
    </row>
    <row r="471" spans="1:2" ht="12.5" x14ac:dyDescent="0.25">
      <c r="A471" t="str">
        <f ca="1">IFERROR(__xludf.DUMMYFUNCTION("""COMPUTED_VALUE"""),"Azinphos-methyl")</f>
        <v>Azinphos-methyl</v>
      </c>
      <c r="B471" t="str">
        <f ca="1">IFERROR(__xludf.DUMMYFUNCTION("""COMPUTED_VALUE"""),"RF-0033-001-PPP")</f>
        <v>RF-0033-001-PPP</v>
      </c>
    </row>
    <row r="472" spans="1:2" ht="12.5" x14ac:dyDescent="0.25">
      <c r="A472" t="str">
        <f ca="1">IFERROR(__xludf.DUMMYFUNCTION("""COMPUTED_VALUE"""),"Aziprotryne")</f>
        <v>Aziprotryne</v>
      </c>
      <c r="B472" t="str">
        <f ca="1">IFERROR(__xludf.DUMMYFUNCTION("""COMPUTED_VALUE"""),"RF-0485-001-PPP")</f>
        <v>RF-0485-001-PPP</v>
      </c>
    </row>
    <row r="473" spans="1:2" ht="12.5" x14ac:dyDescent="0.25">
      <c r="A473" t="str">
        <f ca="1">IFERROR(__xludf.DUMMYFUNCTION("""COMPUTED_VALUE"""),"Azithromycin")</f>
        <v>Azithromycin</v>
      </c>
      <c r="B473" t="str">
        <f ca="1">IFERROR(__xludf.DUMMYFUNCTION("""COMPUTED_VALUE"""),"RF-00000541-VET")</f>
        <v>RF-00000541-VET</v>
      </c>
    </row>
    <row r="474" spans="1:2" ht="12.5" x14ac:dyDescent="0.25">
      <c r="A474" t="str">
        <f ca="1">IFERROR(__xludf.DUMMYFUNCTION("""COMPUTED_VALUE"""),"Azocyclotin")</f>
        <v>Azocyclotin</v>
      </c>
      <c r="B474" t="str">
        <f ca="1">IFERROR(__xludf.DUMMYFUNCTION("""COMPUTED_VALUE"""),"RF-0034-003-PPP")</f>
        <v>RF-0034-003-PPP</v>
      </c>
    </row>
    <row r="475" spans="1:2" ht="12.5" x14ac:dyDescent="0.25">
      <c r="A475" t="str">
        <f ca="1">IFERROR(__xludf.DUMMYFUNCTION("""COMPUTED_VALUE"""),"Azocyclotin and Cyhexatin (sum of azocyclotin and cyhexatin expressed as cyhexatin)")</f>
        <v>Azocyclotin and Cyhexatin (sum of azocyclotin and cyhexatin expressed as cyhexatin)</v>
      </c>
      <c r="B475" t="str">
        <f ca="1">IFERROR(__xludf.DUMMYFUNCTION("""COMPUTED_VALUE"""),"RF-0034-001-PPP")</f>
        <v>RF-0034-001-PPP</v>
      </c>
    </row>
    <row r="476" spans="1:2" ht="12.5" x14ac:dyDescent="0.25">
      <c r="A476" t="str">
        <f ca="1">IFERROR(__xludf.DUMMYFUNCTION("""COMPUTED_VALUE"""),"Azorubine, Carmoisine")</f>
        <v>Azorubine, Carmoisine</v>
      </c>
      <c r="B476" t="str">
        <f ca="1">IFERROR(__xludf.DUMMYFUNCTION("""COMPUTED_VALUE"""),"RF-00000047-ADD")</f>
        <v>RF-00000047-ADD</v>
      </c>
    </row>
    <row r="477" spans="1:2" ht="12.5" x14ac:dyDescent="0.25">
      <c r="A477" t="str">
        <f ca="1">IFERROR(__xludf.DUMMYFUNCTION("""COMPUTED_VALUE"""),"Azoxybenzene")</f>
        <v>Azoxybenzene</v>
      </c>
      <c r="B477" t="str">
        <f ca="1">IFERROR(__xludf.DUMMYFUNCTION("""COMPUTED_VALUE"""),"RF-1031-001-PPP")</f>
        <v>RF-1031-001-PPP</v>
      </c>
    </row>
    <row r="478" spans="1:2" ht="12.5" x14ac:dyDescent="0.25">
      <c r="A478" t="str">
        <f ca="1">IFERROR(__xludf.DUMMYFUNCTION("""COMPUTED_VALUE"""),"Azoxystrobin")</f>
        <v>Azoxystrobin</v>
      </c>
      <c r="B478" t="str">
        <f ca="1">IFERROR(__xludf.DUMMYFUNCTION("""COMPUTED_VALUE"""),"RF-0035-001-PPP")</f>
        <v>RF-0035-001-PPP</v>
      </c>
    </row>
    <row r="479" spans="1:2" ht="12.5" x14ac:dyDescent="0.25">
      <c r="A479" t="str">
        <f ca="1">IFERROR(__xludf.DUMMYFUNCTION("""COMPUTED_VALUE"""),"Aztreonam")</f>
        <v>Aztreonam</v>
      </c>
      <c r="B479" t="str">
        <f ca="1">IFERROR(__xludf.DUMMYFUNCTION("""COMPUTED_VALUE"""),"RF-00000749-VET")</f>
        <v>RF-00000749-VET</v>
      </c>
    </row>
    <row r="480" spans="1:2" ht="12.5" x14ac:dyDescent="0.25">
      <c r="A480" t="str">
        <f ca="1">IFERROR(__xludf.DUMMYFUNCTION("""COMPUTED_VALUE"""),"B. cereus enterotoxins")</f>
        <v>B. cereus enterotoxins</v>
      </c>
      <c r="B480" t="str">
        <f ca="1">IFERROR(__xludf.DUMMYFUNCTION("""COMPUTED_VALUE"""),"RF-00000455-TOX")</f>
        <v>RF-00000455-TOX</v>
      </c>
    </row>
    <row r="481" spans="1:2" ht="12.5" x14ac:dyDescent="0.25">
      <c r="A481" t="str">
        <f ca="1">IFERROR(__xludf.DUMMYFUNCTION("""COMPUTED_VALUE"""),"Babesia")</f>
        <v>Babesia</v>
      </c>
      <c r="B481" t="str">
        <f ca="1">IFERROR(__xludf.DUMMYFUNCTION("""COMPUTED_VALUE"""),"RF-00002675-MCG")</f>
        <v>RF-00002675-MCG</v>
      </c>
    </row>
    <row r="482" spans="1:2" ht="12.5" x14ac:dyDescent="0.25">
      <c r="A482" t="str">
        <f ca="1">IFERROR(__xludf.DUMMYFUNCTION("""COMPUTED_VALUE"""),"Babesia bigemina")</f>
        <v>Babesia bigemina</v>
      </c>
      <c r="B482" t="str">
        <f ca="1">IFERROR(__xludf.DUMMYFUNCTION("""COMPUTED_VALUE"""),"RF-00002677-MCG")</f>
        <v>RF-00002677-MCG</v>
      </c>
    </row>
    <row r="483" spans="1:2" ht="12.5" x14ac:dyDescent="0.25">
      <c r="A483" t="str">
        <f ca="1">IFERROR(__xludf.DUMMYFUNCTION("""COMPUTED_VALUE"""),"Babesia bovis")</f>
        <v>Babesia bovis</v>
      </c>
      <c r="B483" t="str">
        <f ca="1">IFERROR(__xludf.DUMMYFUNCTION("""COMPUTED_VALUE"""),"RF-00002678-MCG")</f>
        <v>RF-00002678-MCG</v>
      </c>
    </row>
    <row r="484" spans="1:2" ht="12.5" x14ac:dyDescent="0.25">
      <c r="A484" t="str">
        <f ca="1">IFERROR(__xludf.DUMMYFUNCTION("""COMPUTED_VALUE"""),"Babesia caballi")</f>
        <v>Babesia caballi</v>
      </c>
      <c r="B484" t="str">
        <f ca="1">IFERROR(__xludf.DUMMYFUNCTION("""COMPUTED_VALUE"""),"RF-00002679-MCG")</f>
        <v>RF-00002679-MCG</v>
      </c>
    </row>
    <row r="485" spans="1:2" ht="12.5" x14ac:dyDescent="0.25">
      <c r="A485" t="str">
        <f ca="1">IFERROR(__xludf.DUMMYFUNCTION("""COMPUTED_VALUE"""),"Babesia canis")</f>
        <v>Babesia canis</v>
      </c>
      <c r="B485" t="str">
        <f ca="1">IFERROR(__xludf.DUMMYFUNCTION("""COMPUTED_VALUE"""),"RF-00002680-MCG")</f>
        <v>RF-00002680-MCG</v>
      </c>
    </row>
    <row r="486" spans="1:2" ht="12.5" x14ac:dyDescent="0.25">
      <c r="A486" t="str">
        <f ca="1">IFERROR(__xludf.DUMMYFUNCTION("""COMPUTED_VALUE"""),"Babesia capreoli")</f>
        <v>Babesia capreoli</v>
      </c>
      <c r="B486" t="str">
        <f ca="1">IFERROR(__xludf.DUMMYFUNCTION("""COMPUTED_VALUE"""),"RF-00002681-MCG")</f>
        <v>RF-00002681-MCG</v>
      </c>
    </row>
    <row r="487" spans="1:2" ht="12.5" x14ac:dyDescent="0.25">
      <c r="A487" t="str">
        <f ca="1">IFERROR(__xludf.DUMMYFUNCTION("""COMPUTED_VALUE"""),"Babesia colchica")</f>
        <v>Babesia colchica</v>
      </c>
      <c r="B487" t="str">
        <f ca="1">IFERROR(__xludf.DUMMYFUNCTION("""COMPUTED_VALUE"""),"RF-00002682-MCG")</f>
        <v>RF-00002682-MCG</v>
      </c>
    </row>
    <row r="488" spans="1:2" ht="12.5" x14ac:dyDescent="0.25">
      <c r="A488" t="str">
        <f ca="1">IFERROR(__xludf.DUMMYFUNCTION("""COMPUTED_VALUE"""),"Babesia divergens")</f>
        <v>Babesia divergens</v>
      </c>
      <c r="B488" t="str">
        <f ca="1">IFERROR(__xludf.DUMMYFUNCTION("""COMPUTED_VALUE"""),"RF-00002683-MCG")</f>
        <v>RF-00002683-MCG</v>
      </c>
    </row>
    <row r="489" spans="1:2" ht="12.5" x14ac:dyDescent="0.25">
      <c r="A489" t="str">
        <f ca="1">IFERROR(__xludf.DUMMYFUNCTION("""COMPUTED_VALUE"""),"Babesia equi")</f>
        <v>Babesia equi</v>
      </c>
      <c r="B489" t="str">
        <f ca="1">IFERROR(__xludf.DUMMYFUNCTION("""COMPUTED_VALUE"""),"RF-00002684-MCG")</f>
        <v>RF-00002684-MCG</v>
      </c>
    </row>
    <row r="490" spans="1:2" ht="12.5" x14ac:dyDescent="0.25">
      <c r="A490" t="str">
        <f ca="1">IFERROR(__xludf.DUMMYFUNCTION("""COMPUTED_VALUE"""),"Babesia EU1")</f>
        <v>Babesia EU1</v>
      </c>
      <c r="B490" t="str">
        <f ca="1">IFERROR(__xludf.DUMMYFUNCTION("""COMPUTED_VALUE"""),"RF-00003925-MCG")</f>
        <v>RF-00003925-MCG</v>
      </c>
    </row>
    <row r="491" spans="1:2" ht="12.5" x14ac:dyDescent="0.25">
      <c r="A491" t="str">
        <f ca="1">IFERROR(__xludf.DUMMYFUNCTION("""COMPUTED_VALUE"""),"Babesia gibsoni")</f>
        <v>Babesia gibsoni</v>
      </c>
      <c r="B491" t="str">
        <f ca="1">IFERROR(__xludf.DUMMYFUNCTION("""COMPUTED_VALUE"""),"RF-00002685-MCG")</f>
        <v>RF-00002685-MCG</v>
      </c>
    </row>
    <row r="492" spans="1:2" ht="12.5" x14ac:dyDescent="0.25">
      <c r="A492" t="str">
        <f ca="1">IFERROR(__xludf.DUMMYFUNCTION("""COMPUTED_VALUE"""),"Babesia hylomysci")</f>
        <v>Babesia hylomysci</v>
      </c>
      <c r="B492" t="str">
        <f ca="1">IFERROR(__xludf.DUMMYFUNCTION("""COMPUTED_VALUE"""),"RF-00002686-MCG")</f>
        <v>RF-00002686-MCG</v>
      </c>
    </row>
    <row r="493" spans="1:2" ht="12.5" x14ac:dyDescent="0.25">
      <c r="A493" t="str">
        <f ca="1">IFERROR(__xludf.DUMMYFUNCTION("""COMPUTED_VALUE"""),"Babesia major")</f>
        <v>Babesia major</v>
      </c>
      <c r="B493" t="str">
        <f ca="1">IFERROR(__xludf.DUMMYFUNCTION("""COMPUTED_VALUE"""),"RF-00002687-MCG")</f>
        <v>RF-00002687-MCG</v>
      </c>
    </row>
    <row r="494" spans="1:2" ht="12.5" x14ac:dyDescent="0.25">
      <c r="A494" t="str">
        <f ca="1">IFERROR(__xludf.DUMMYFUNCTION("""COMPUTED_VALUE"""),"Babesia microti")</f>
        <v>Babesia microti</v>
      </c>
      <c r="B494" t="str">
        <f ca="1">IFERROR(__xludf.DUMMYFUNCTION("""COMPUTED_VALUE"""),"RF-00002688-MCG")</f>
        <v>RF-00002688-MCG</v>
      </c>
    </row>
    <row r="495" spans="1:2" ht="12.5" x14ac:dyDescent="0.25">
      <c r="A495" t="str">
        <f ca="1">IFERROR(__xludf.DUMMYFUNCTION("""COMPUTED_VALUE"""),"Babesia motasi")</f>
        <v>Babesia motasi</v>
      </c>
      <c r="B495" t="str">
        <f ca="1">IFERROR(__xludf.DUMMYFUNCTION("""COMPUTED_VALUE"""),"RF-00002689-MCG")</f>
        <v>RF-00002689-MCG</v>
      </c>
    </row>
    <row r="496" spans="1:2" ht="12.5" x14ac:dyDescent="0.25">
      <c r="A496" t="str">
        <f ca="1">IFERROR(__xludf.DUMMYFUNCTION("""COMPUTED_VALUE"""),"Babesia ovata")</f>
        <v>Babesia ovata</v>
      </c>
      <c r="B496" t="str">
        <f ca="1">IFERROR(__xludf.DUMMYFUNCTION("""COMPUTED_VALUE"""),"RF-00002690-MCG")</f>
        <v>RF-00002690-MCG</v>
      </c>
    </row>
    <row r="497" spans="1:2" ht="12.5" x14ac:dyDescent="0.25">
      <c r="A497" t="str">
        <f ca="1">IFERROR(__xludf.DUMMYFUNCTION("""COMPUTED_VALUE"""),"Babesia ovis")</f>
        <v>Babesia ovis</v>
      </c>
      <c r="B497" t="str">
        <f ca="1">IFERROR(__xludf.DUMMYFUNCTION("""COMPUTED_VALUE"""),"RF-00002691-MCG")</f>
        <v>RF-00002691-MCG</v>
      </c>
    </row>
    <row r="498" spans="1:2" ht="12.5" x14ac:dyDescent="0.25">
      <c r="A498" t="str">
        <f ca="1">IFERROR(__xludf.DUMMYFUNCTION("""COMPUTED_VALUE"""),"Babesia rodhaini")</f>
        <v>Babesia rodhaini</v>
      </c>
      <c r="B498" t="str">
        <f ca="1">IFERROR(__xludf.DUMMYFUNCTION("""COMPUTED_VALUE"""),"RF-00002692-MCG")</f>
        <v>RF-00002692-MCG</v>
      </c>
    </row>
    <row r="499" spans="1:2" ht="12.5" x14ac:dyDescent="0.25">
      <c r="A499" t="str">
        <f ca="1">IFERROR(__xludf.DUMMYFUNCTION("""COMPUTED_VALUE"""),"Babesia spp., unidentified")</f>
        <v>Babesia spp., unidentified</v>
      </c>
      <c r="B499" t="str">
        <f ca="1">IFERROR(__xludf.DUMMYFUNCTION("""COMPUTED_VALUE"""),"RF-00002676-MCG")</f>
        <v>RF-00002676-MCG</v>
      </c>
    </row>
    <row r="500" spans="1:2" ht="12.5" x14ac:dyDescent="0.25">
      <c r="A500" t="str">
        <f ca="1">IFERROR(__xludf.DUMMYFUNCTION("""COMPUTED_VALUE"""),"Babesia trautmanni")</f>
        <v>Babesia trautmanni</v>
      </c>
      <c r="B500" t="str">
        <f ca="1">IFERROR(__xludf.DUMMYFUNCTION("""COMPUTED_VALUE"""),"RF-00002693-MCG")</f>
        <v>RF-00002693-MCG</v>
      </c>
    </row>
    <row r="501" spans="1:2" ht="12.5" x14ac:dyDescent="0.25">
      <c r="A501" t="str">
        <f ca="1">IFERROR(__xludf.DUMMYFUNCTION("""COMPUTED_VALUE"""),"BAC 10")</f>
        <v>BAC 10</v>
      </c>
      <c r="B501" t="str">
        <f ca="1">IFERROR(__xludf.DUMMYFUNCTION("""COMPUTED_VALUE"""),"RF-1078-003-PPP")</f>
        <v>RF-1078-003-PPP</v>
      </c>
    </row>
    <row r="502" spans="1:2" ht="12.5" x14ac:dyDescent="0.25">
      <c r="A502" t="str">
        <f ca="1">IFERROR(__xludf.DUMMYFUNCTION("""COMPUTED_VALUE"""),"BAC 12")</f>
        <v>BAC 12</v>
      </c>
      <c r="B502" t="str">
        <f ca="1">IFERROR(__xludf.DUMMYFUNCTION("""COMPUTED_VALUE"""),"RF-1078-004-PPP")</f>
        <v>RF-1078-004-PPP</v>
      </c>
    </row>
    <row r="503" spans="1:2" ht="12.5" x14ac:dyDescent="0.25">
      <c r="A503" t="str">
        <f ca="1">IFERROR(__xludf.DUMMYFUNCTION("""COMPUTED_VALUE"""),"BAC 14")</f>
        <v>BAC 14</v>
      </c>
      <c r="B503" t="str">
        <f ca="1">IFERROR(__xludf.DUMMYFUNCTION("""COMPUTED_VALUE"""),"RF-1078-005-PPP")</f>
        <v>RF-1078-005-PPP</v>
      </c>
    </row>
    <row r="504" spans="1:2" ht="12.5" x14ac:dyDescent="0.25">
      <c r="A504" t="str">
        <f ca="1">IFERROR(__xludf.DUMMYFUNCTION("""COMPUTED_VALUE"""),"BAC 16")</f>
        <v>BAC 16</v>
      </c>
      <c r="B504" t="str">
        <f ca="1">IFERROR(__xludf.DUMMYFUNCTION("""COMPUTED_VALUE"""),"RF-1078-006-PPP")</f>
        <v>RF-1078-006-PPP</v>
      </c>
    </row>
    <row r="505" spans="1:2" ht="12.5" x14ac:dyDescent="0.25">
      <c r="A505" t="str">
        <f ca="1">IFERROR(__xludf.DUMMYFUNCTION("""COMPUTED_VALUE"""),"BAC 18")</f>
        <v>BAC 18</v>
      </c>
      <c r="B505" t="str">
        <f ca="1">IFERROR(__xludf.DUMMYFUNCTION("""COMPUTED_VALUE"""),"RF-1078-007-PPP")</f>
        <v>RF-1078-007-PPP</v>
      </c>
    </row>
    <row r="506" spans="1:2" ht="12.5" x14ac:dyDescent="0.25">
      <c r="A506" t="str">
        <f ca="1">IFERROR(__xludf.DUMMYFUNCTION("""COMPUTED_VALUE"""),"Bacillus")</f>
        <v>Bacillus</v>
      </c>
      <c r="B506" t="str">
        <f ca="1">IFERROR(__xludf.DUMMYFUNCTION("""COMPUTED_VALUE"""),"RF-00000004-MCG")</f>
        <v>RF-00000004-MCG</v>
      </c>
    </row>
    <row r="507" spans="1:2" ht="12.5" x14ac:dyDescent="0.25">
      <c r="A507" t="str">
        <f ca="1">IFERROR(__xludf.DUMMYFUNCTION("""COMPUTED_VALUE"""),"Bacillus anthracis")</f>
        <v>Bacillus anthracis</v>
      </c>
      <c r="B507" t="str">
        <f ca="1">IFERROR(__xludf.DUMMYFUNCTION("""COMPUTED_VALUE"""),"RF-00000005-MCG")</f>
        <v>RF-00000005-MCG</v>
      </c>
    </row>
    <row r="508" spans="1:2" ht="12.5" x14ac:dyDescent="0.25">
      <c r="A508" t="str">
        <f ca="1">IFERROR(__xludf.DUMMYFUNCTION("""COMPUTED_VALUE"""),"Bacillus cereus")</f>
        <v>Bacillus cereus</v>
      </c>
      <c r="B508" t="str">
        <f ca="1">IFERROR(__xludf.DUMMYFUNCTION("""COMPUTED_VALUE"""),"RF-00000006-MCG")</f>
        <v>RF-00000006-MCG</v>
      </c>
    </row>
    <row r="509" spans="1:2" ht="12.5" x14ac:dyDescent="0.25">
      <c r="A509" t="str">
        <f ca="1">IFERROR(__xludf.DUMMYFUNCTION("""COMPUTED_VALUE"""),"Bacillus cereus toxins")</f>
        <v>Bacillus cereus toxins</v>
      </c>
      <c r="B509" t="str">
        <f ca="1">IFERROR(__xludf.DUMMYFUNCTION("""COMPUTED_VALUE"""),"RF-00000003-TOX")</f>
        <v>RF-00000003-TOX</v>
      </c>
    </row>
    <row r="510" spans="1:2" ht="12.5" x14ac:dyDescent="0.25">
      <c r="A510" t="str">
        <f ca="1">IFERROR(__xludf.DUMMYFUNCTION("""COMPUTED_VALUE"""),"Bacillus licheniformis")</f>
        <v>Bacillus licheniformis</v>
      </c>
      <c r="B510" t="str">
        <f ca="1">IFERROR(__xludf.DUMMYFUNCTION("""COMPUTED_VALUE"""),"RF-00000008-MCG")</f>
        <v>RF-00000008-MCG</v>
      </c>
    </row>
    <row r="511" spans="1:2" ht="12.5" x14ac:dyDescent="0.25">
      <c r="A511" t="str">
        <f ca="1">IFERROR(__xludf.DUMMYFUNCTION("""COMPUTED_VALUE"""),"Bacillus pumilis")</f>
        <v>Bacillus pumilis</v>
      </c>
      <c r="B511" t="str">
        <f ca="1">IFERROR(__xludf.DUMMYFUNCTION("""COMPUTED_VALUE"""),"RF-00000010-MCG")</f>
        <v>RF-00000010-MCG</v>
      </c>
    </row>
    <row r="512" spans="1:2" ht="12.5" x14ac:dyDescent="0.25">
      <c r="A512" t="str">
        <f ca="1">IFERROR(__xludf.DUMMYFUNCTION("""COMPUTED_VALUE"""),"Bacillus spp.,  unspecified")</f>
        <v>Bacillus spp.,  unspecified</v>
      </c>
      <c r="B512" t="str">
        <f ca="1">IFERROR(__xludf.DUMMYFUNCTION("""COMPUTED_VALUE"""),"RF-00000007-MCG")</f>
        <v>RF-00000007-MCG</v>
      </c>
    </row>
    <row r="513" spans="1:2" ht="12.5" x14ac:dyDescent="0.25">
      <c r="A513" t="str">
        <f ca="1">IFERROR(__xludf.DUMMYFUNCTION("""COMPUTED_VALUE"""),"Bacillus subtilis")</f>
        <v>Bacillus subtilis</v>
      </c>
      <c r="B513" t="str">
        <f ca="1">IFERROR(__xludf.DUMMYFUNCTION("""COMPUTED_VALUE"""),"RF-00000009-MCG")</f>
        <v>RF-00000009-MCG</v>
      </c>
    </row>
    <row r="514" spans="1:2" ht="12.5" x14ac:dyDescent="0.25">
      <c r="A514" t="str">
        <f ca="1">IFERROR(__xludf.DUMMYFUNCTION("""COMPUTED_VALUE"""),"Bacitracin")</f>
        <v>Bacitracin</v>
      </c>
      <c r="B514" t="str">
        <f ca="1">IFERROR(__xludf.DUMMYFUNCTION("""COMPUTED_VALUE"""),"RF-00000554-VET")</f>
        <v>RF-00000554-VET</v>
      </c>
    </row>
    <row r="515" spans="1:2" ht="12.5" x14ac:dyDescent="0.25">
      <c r="A515" t="str">
        <f ca="1">IFERROR(__xludf.DUMMYFUNCTION("""COMPUTED_VALUE"""),"Bacteria")</f>
        <v>Bacteria</v>
      </c>
      <c r="B515" t="str">
        <f ca="1">IFERROR(__xludf.DUMMYFUNCTION("""COMPUTED_VALUE"""),"RF-00002793-MCG")</f>
        <v>RF-00002793-MCG</v>
      </c>
    </row>
    <row r="516" spans="1:2" ht="12.5" x14ac:dyDescent="0.25">
      <c r="A516" t="str">
        <f ca="1">IFERROR(__xludf.DUMMYFUNCTION("""COMPUTED_VALUE"""),"Bacterial toxins")</f>
        <v>Bacterial toxins</v>
      </c>
      <c r="B516" t="str">
        <f ca="1">IFERROR(__xludf.DUMMYFUNCTION("""COMPUTED_VALUE"""),"RF-00000002-TOX")</f>
        <v>RF-00000002-TOX</v>
      </c>
    </row>
    <row r="517" spans="1:2" ht="12.5" x14ac:dyDescent="0.25">
      <c r="A517" t="str">
        <f ca="1">IFERROR(__xludf.DUMMYFUNCTION("""COMPUTED_VALUE"""),"Balantidium")</f>
        <v>Balantidium</v>
      </c>
      <c r="B517" t="str">
        <f ca="1">IFERROR(__xludf.DUMMYFUNCTION("""COMPUTED_VALUE"""),"RF-00000011-MCG")</f>
        <v>RF-00000011-MCG</v>
      </c>
    </row>
    <row r="518" spans="1:2" ht="12.5" x14ac:dyDescent="0.25">
      <c r="A518" t="str">
        <f ca="1">IFERROR(__xludf.DUMMYFUNCTION("""COMPUTED_VALUE"""),"Balantidium coli")</f>
        <v>Balantidium coli</v>
      </c>
      <c r="B518" t="str">
        <f ca="1">IFERROR(__xludf.DUMMYFUNCTION("""COMPUTED_VALUE"""),"RF-00000012-MCG")</f>
        <v>RF-00000012-MCG</v>
      </c>
    </row>
    <row r="519" spans="1:2" ht="12.5" x14ac:dyDescent="0.25">
      <c r="A519" t="str">
        <f ca="1">IFERROR(__xludf.DUMMYFUNCTION("""COMPUTED_VALUE"""),"Balantidium spp., unspecified")</f>
        <v>Balantidium spp., unspecified</v>
      </c>
      <c r="B519" t="str">
        <f ca="1">IFERROR(__xludf.DUMMYFUNCTION("""COMPUTED_VALUE"""),"RF-00000013-MCG")</f>
        <v>RF-00000013-MCG</v>
      </c>
    </row>
    <row r="520" spans="1:2" ht="12.5" x14ac:dyDescent="0.25">
      <c r="A520" t="str">
        <f ca="1">IFERROR(__xludf.DUMMYFUNCTION("""COMPUTED_VALUE"""),"Bambermycin")</f>
        <v>Bambermycin</v>
      </c>
      <c r="B520" t="str">
        <f ca="1">IFERROR(__xludf.DUMMYFUNCTION("""COMPUTED_VALUE"""),"RF-00000740-VET")</f>
        <v>RF-00000740-VET</v>
      </c>
    </row>
    <row r="521" spans="1:2" ht="12.5" x14ac:dyDescent="0.25">
      <c r="A521" t="str">
        <f ca="1">IFERROR(__xludf.DUMMYFUNCTION("""COMPUTED_VALUE"""),"Bamethan")</f>
        <v>Bamethan</v>
      </c>
      <c r="B521" t="str">
        <f ca="1">IFERROR(__xludf.DUMMYFUNCTION("""COMPUTED_VALUE"""),"RF-00000462-VET")</f>
        <v>RF-00000462-VET</v>
      </c>
    </row>
    <row r="522" spans="1:2" ht="12.5" x14ac:dyDescent="0.25">
      <c r="A522" t="str">
        <f ca="1">IFERROR(__xludf.DUMMYFUNCTION("""COMPUTED_VALUE"""),"Baquiloprim")</f>
        <v>Baquiloprim</v>
      </c>
      <c r="B522" t="str">
        <f ca="1">IFERROR(__xludf.DUMMYFUNCTION("""COMPUTED_VALUE"""),"RF-00000535-VET")</f>
        <v>RF-00000535-VET</v>
      </c>
    </row>
    <row r="523" spans="1:2" ht="12.5" x14ac:dyDescent="0.25">
      <c r="A523" t="str">
        <f ca="1">IFERROR(__xludf.DUMMYFUNCTION("""COMPUTED_VALUE"""),"Barban")</f>
        <v>Barban</v>
      </c>
      <c r="B523" t="str">
        <f ca="1">IFERROR(__xludf.DUMMYFUNCTION("""COMPUTED_VALUE"""),"RF-0036-001-PPP")</f>
        <v>RF-0036-001-PPP</v>
      </c>
    </row>
    <row r="524" spans="1:2" ht="12.5" x14ac:dyDescent="0.25">
      <c r="A524" t="str">
        <f ca="1">IFERROR(__xludf.DUMMYFUNCTION("""COMPUTED_VALUE"""),"Barium (Ba)")</f>
        <v>Barium (Ba)</v>
      </c>
      <c r="B524" t="str">
        <f ca="1">IFERROR(__xludf.DUMMYFUNCTION("""COMPUTED_VALUE"""),"RF-00000143-CHE")</f>
        <v>RF-00000143-CHE</v>
      </c>
    </row>
    <row r="525" spans="1:2" ht="12.5" x14ac:dyDescent="0.25">
      <c r="A525" t="str">
        <f ca="1">IFERROR(__xludf.DUMMYFUNCTION("""COMPUTED_VALUE"""),"Barium and derivatives")</f>
        <v>Barium and derivatives</v>
      </c>
      <c r="B525" t="str">
        <f ca="1">IFERROR(__xludf.DUMMYFUNCTION("""COMPUTED_VALUE"""),"RF-00000142-CHE")</f>
        <v>RF-00000142-CHE</v>
      </c>
    </row>
    <row r="526" spans="1:2" ht="12.5" x14ac:dyDescent="0.25">
      <c r="A526" t="str">
        <f ca="1">IFERROR(__xludf.DUMMYFUNCTION("""COMPUTED_VALUE"""),"Bartonella")</f>
        <v>Bartonella</v>
      </c>
      <c r="B526" t="str">
        <f ca="1">IFERROR(__xludf.DUMMYFUNCTION("""COMPUTED_VALUE"""),"RF-00000014-MCG")</f>
        <v>RF-00000014-MCG</v>
      </c>
    </row>
    <row r="527" spans="1:2" ht="12.5" x14ac:dyDescent="0.25">
      <c r="A527" t="str">
        <f ca="1">IFERROR(__xludf.DUMMYFUNCTION("""COMPUTED_VALUE"""),"Bartonella alsatica")</f>
        <v>Bartonella alsatica</v>
      </c>
      <c r="B527" t="str">
        <f ca="1">IFERROR(__xludf.DUMMYFUNCTION("""COMPUTED_VALUE"""),"RF-00002725-MCG")</f>
        <v>RF-00002725-MCG</v>
      </c>
    </row>
    <row r="528" spans="1:2" ht="12.5" x14ac:dyDescent="0.25">
      <c r="A528" t="str">
        <f ca="1">IFERROR(__xludf.DUMMYFUNCTION("""COMPUTED_VALUE"""),"Bartonella bacilliformis")</f>
        <v>Bartonella bacilliformis</v>
      </c>
      <c r="B528" t="str">
        <f ca="1">IFERROR(__xludf.DUMMYFUNCTION("""COMPUTED_VALUE"""),"RF-00002726-MCG")</f>
        <v>RF-00002726-MCG</v>
      </c>
    </row>
    <row r="529" spans="1:2" ht="12.5" x14ac:dyDescent="0.25">
      <c r="A529" t="str">
        <f ca="1">IFERROR(__xludf.DUMMYFUNCTION("""COMPUTED_VALUE"""),"Bartonella birtlesii")</f>
        <v>Bartonella birtlesii</v>
      </c>
      <c r="B529" t="str">
        <f ca="1">IFERROR(__xludf.DUMMYFUNCTION("""COMPUTED_VALUE"""),"RF-00002727-MCG")</f>
        <v>RF-00002727-MCG</v>
      </c>
    </row>
    <row r="530" spans="1:2" ht="12.5" x14ac:dyDescent="0.25">
      <c r="A530" t="str">
        <f ca="1">IFERROR(__xludf.DUMMYFUNCTION("""COMPUTED_VALUE"""),"Bartonella bovis")</f>
        <v>Bartonella bovis</v>
      </c>
      <c r="B530" t="str">
        <f ca="1">IFERROR(__xludf.DUMMYFUNCTION("""COMPUTED_VALUE"""),"RF-00002728-MCG")</f>
        <v>RF-00002728-MCG</v>
      </c>
    </row>
    <row r="531" spans="1:2" ht="12.5" x14ac:dyDescent="0.25">
      <c r="A531" t="str">
        <f ca="1">IFERROR(__xludf.DUMMYFUNCTION("""COMPUTED_VALUE"""),"Bartonella capreoli")</f>
        <v>Bartonella capreoli</v>
      </c>
      <c r="B531" t="str">
        <f ca="1">IFERROR(__xludf.DUMMYFUNCTION("""COMPUTED_VALUE"""),"RF-00002729-MCG")</f>
        <v>RF-00002729-MCG</v>
      </c>
    </row>
    <row r="532" spans="1:2" ht="12.5" x14ac:dyDescent="0.25">
      <c r="A532" t="str">
        <f ca="1">IFERROR(__xludf.DUMMYFUNCTION("""COMPUTED_VALUE"""),"Bartonella chomelii")</f>
        <v>Bartonella chomelii</v>
      </c>
      <c r="B532" t="str">
        <f ca="1">IFERROR(__xludf.DUMMYFUNCTION("""COMPUTED_VALUE"""),"RF-00002730-MCG")</f>
        <v>RF-00002730-MCG</v>
      </c>
    </row>
    <row r="533" spans="1:2" ht="12.5" x14ac:dyDescent="0.25">
      <c r="A533" t="str">
        <f ca="1">IFERROR(__xludf.DUMMYFUNCTION("""COMPUTED_VALUE"""),"Bartonella clarridgeiae")</f>
        <v>Bartonella clarridgeiae</v>
      </c>
      <c r="B533" t="str">
        <f ca="1">IFERROR(__xludf.DUMMYFUNCTION("""COMPUTED_VALUE"""),"RF-00002731-MCG")</f>
        <v>RF-00002731-MCG</v>
      </c>
    </row>
    <row r="534" spans="1:2" ht="12.5" x14ac:dyDescent="0.25">
      <c r="A534" t="str">
        <f ca="1">IFERROR(__xludf.DUMMYFUNCTION("""COMPUTED_VALUE"""),"Bartonella doshiae")</f>
        <v>Bartonella doshiae</v>
      </c>
      <c r="B534" t="str">
        <f ca="1">IFERROR(__xludf.DUMMYFUNCTION("""COMPUTED_VALUE"""),"RF-00002732-MCG")</f>
        <v>RF-00002732-MCG</v>
      </c>
    </row>
    <row r="535" spans="1:2" ht="12.5" x14ac:dyDescent="0.25">
      <c r="A535" t="str">
        <f ca="1">IFERROR(__xludf.DUMMYFUNCTION("""COMPUTED_VALUE"""),"Bartonella elizabethae")</f>
        <v>Bartonella elizabethae</v>
      </c>
      <c r="B535" t="str">
        <f ca="1">IFERROR(__xludf.DUMMYFUNCTION("""COMPUTED_VALUE"""),"RF-00002733-MCG")</f>
        <v>RF-00002733-MCG</v>
      </c>
    </row>
    <row r="536" spans="1:2" ht="12.5" x14ac:dyDescent="0.25">
      <c r="A536" t="str">
        <f ca="1">IFERROR(__xludf.DUMMYFUNCTION("""COMPUTED_VALUE"""),"Bartonella grahamii")</f>
        <v>Bartonella grahamii</v>
      </c>
      <c r="B536" t="str">
        <f ca="1">IFERROR(__xludf.DUMMYFUNCTION("""COMPUTED_VALUE"""),"RF-00002734-MCG")</f>
        <v>RF-00002734-MCG</v>
      </c>
    </row>
    <row r="537" spans="1:2" ht="12.5" x14ac:dyDescent="0.25">
      <c r="A537" t="str">
        <f ca="1">IFERROR(__xludf.DUMMYFUNCTION("""COMPUTED_VALUE"""),"Bartonella henselae")</f>
        <v>Bartonella henselae</v>
      </c>
      <c r="B537" t="str">
        <f ca="1">IFERROR(__xludf.DUMMYFUNCTION("""COMPUTED_VALUE"""),"RF-00000015-MCG")</f>
        <v>RF-00000015-MCG</v>
      </c>
    </row>
    <row r="538" spans="1:2" ht="12.5" x14ac:dyDescent="0.25">
      <c r="A538" t="str">
        <f ca="1">IFERROR(__xludf.DUMMYFUNCTION("""COMPUTED_VALUE"""),"Bartonella koehlerae")</f>
        <v>Bartonella koehlerae</v>
      </c>
      <c r="B538" t="str">
        <f ca="1">IFERROR(__xludf.DUMMYFUNCTION("""COMPUTED_VALUE"""),"RF-00002735-MCG")</f>
        <v>RF-00002735-MCG</v>
      </c>
    </row>
    <row r="539" spans="1:2" ht="12.5" x14ac:dyDescent="0.25">
      <c r="A539" t="str">
        <f ca="1">IFERROR(__xludf.DUMMYFUNCTION("""COMPUTED_VALUE"""),"Bartonella peromysci")</f>
        <v>Bartonella peromysci</v>
      </c>
      <c r="B539" t="str">
        <f ca="1">IFERROR(__xludf.DUMMYFUNCTION("""COMPUTED_VALUE"""),"RF-00002736-MCG")</f>
        <v>RF-00002736-MCG</v>
      </c>
    </row>
    <row r="540" spans="1:2" ht="12.5" x14ac:dyDescent="0.25">
      <c r="A540" t="str">
        <f ca="1">IFERROR(__xludf.DUMMYFUNCTION("""COMPUTED_VALUE"""),"Bartonella quintana")</f>
        <v>Bartonella quintana</v>
      </c>
      <c r="B540" t="str">
        <f ca="1">IFERROR(__xludf.DUMMYFUNCTION("""COMPUTED_VALUE"""),"RF-00002737-MCG")</f>
        <v>RF-00002737-MCG</v>
      </c>
    </row>
    <row r="541" spans="1:2" ht="12.5" x14ac:dyDescent="0.25">
      <c r="A541" t="str">
        <f ca="1">IFERROR(__xludf.DUMMYFUNCTION("""COMPUTED_VALUE"""),"Bartonella schoenbuchensis")</f>
        <v>Bartonella schoenbuchensis</v>
      </c>
      <c r="B541" t="str">
        <f ca="1">IFERROR(__xludf.DUMMYFUNCTION("""COMPUTED_VALUE"""),"RF-00002738-MCG")</f>
        <v>RF-00002738-MCG</v>
      </c>
    </row>
    <row r="542" spans="1:2" ht="12.5" x14ac:dyDescent="0.25">
      <c r="A542" t="str">
        <f ca="1">IFERROR(__xludf.DUMMYFUNCTION("""COMPUTED_VALUE"""),"Bartonella spp., unspecified")</f>
        <v>Bartonella spp., unspecified</v>
      </c>
      <c r="B542" t="str">
        <f ca="1">IFERROR(__xludf.DUMMYFUNCTION("""COMPUTED_VALUE"""),"RF-00000016-MCG")</f>
        <v>RF-00000016-MCG</v>
      </c>
    </row>
    <row r="543" spans="1:2" ht="12.5" x14ac:dyDescent="0.25">
      <c r="A543" t="str">
        <f ca="1">IFERROR(__xludf.DUMMYFUNCTION("""COMPUTED_VALUE"""),"Bartonella talpae")</f>
        <v>Bartonella talpae</v>
      </c>
      <c r="B543" t="str">
        <f ca="1">IFERROR(__xludf.DUMMYFUNCTION("""COMPUTED_VALUE"""),"RF-00002739-MCG")</f>
        <v>RF-00002739-MCG</v>
      </c>
    </row>
    <row r="544" spans="1:2" ht="12.5" x14ac:dyDescent="0.25">
      <c r="A544" t="str">
        <f ca="1">IFERROR(__xludf.DUMMYFUNCTION("""COMPUTED_VALUE"""),"Bartonella taylorii")</f>
        <v>Bartonella taylorii</v>
      </c>
      <c r="B544" t="str">
        <f ca="1">IFERROR(__xludf.DUMMYFUNCTION("""COMPUTED_VALUE"""),"RF-00002740-MCG")</f>
        <v>RF-00002740-MCG</v>
      </c>
    </row>
    <row r="545" spans="1:2" ht="12.5" x14ac:dyDescent="0.25">
      <c r="A545" t="str">
        <f ca="1">IFERROR(__xludf.DUMMYFUNCTION("""COMPUTED_VALUE"""),"Bartonella tribocorum")</f>
        <v>Bartonella tribocorum</v>
      </c>
      <c r="B545" t="str">
        <f ca="1">IFERROR(__xludf.DUMMYFUNCTION("""COMPUTED_VALUE"""),"RF-00002741-MCG")</f>
        <v>RF-00002741-MCG</v>
      </c>
    </row>
    <row r="546" spans="1:2" ht="12.5" x14ac:dyDescent="0.25">
      <c r="A546" t="str">
        <f ca="1">IFERROR(__xludf.DUMMYFUNCTION("""COMPUTED_VALUE"""),"Bartonella vinsonii")</f>
        <v>Bartonella vinsonii</v>
      </c>
      <c r="B546" t="str">
        <f ca="1">IFERROR(__xludf.DUMMYFUNCTION("""COMPUTED_VALUE"""),"RF-00002742-MCG")</f>
        <v>RF-00002742-MCG</v>
      </c>
    </row>
    <row r="547" spans="1:2" ht="12.5" x14ac:dyDescent="0.25">
      <c r="A547" t="str">
        <f ca="1">IFERROR(__xludf.DUMMYFUNCTION("""COMPUTED_VALUE"""),"Basic methacrylate copolymer")</f>
        <v>Basic methacrylate copolymer</v>
      </c>
      <c r="B547" t="str">
        <f ca="1">IFERROR(__xludf.DUMMYFUNCTION("""COMPUTED_VALUE"""),"RF-00000048-ADD")</f>
        <v>RF-00000048-ADD</v>
      </c>
    </row>
    <row r="548" spans="1:2" ht="12.5" x14ac:dyDescent="0.25">
      <c r="A548" t="str">
        <f ca="1">IFERROR(__xludf.DUMMYFUNCTION("""COMPUTED_VALUE"""),"BB-101")</f>
        <v>BB-101</v>
      </c>
      <c r="B548" t="str">
        <f ca="1">IFERROR(__xludf.DUMMYFUNCTION("""COMPUTED_VALUE"""),"RF-00000388-ORG")</f>
        <v>RF-00000388-ORG</v>
      </c>
    </row>
    <row r="549" spans="1:2" ht="12.5" x14ac:dyDescent="0.25">
      <c r="A549" t="str">
        <f ca="1">IFERROR(__xludf.DUMMYFUNCTION("""COMPUTED_VALUE"""),"BB-103")</f>
        <v>BB-103</v>
      </c>
      <c r="B549" t="str">
        <f ca="1">IFERROR(__xludf.DUMMYFUNCTION("""COMPUTED_VALUE"""),"RF-00000090-ORG")</f>
        <v>RF-00000090-ORG</v>
      </c>
    </row>
    <row r="550" spans="1:2" ht="12.5" x14ac:dyDescent="0.25">
      <c r="A550" t="str">
        <f ca="1">IFERROR(__xludf.DUMMYFUNCTION("""COMPUTED_VALUE"""),"BB-126")</f>
        <v>BB-126</v>
      </c>
      <c r="B550" t="str">
        <f ca="1">IFERROR(__xludf.DUMMYFUNCTION("""COMPUTED_VALUE"""),"RF-00000384-ORG")</f>
        <v>RF-00000384-ORG</v>
      </c>
    </row>
    <row r="551" spans="1:2" ht="12.5" x14ac:dyDescent="0.25">
      <c r="A551" t="str">
        <f ca="1">IFERROR(__xludf.DUMMYFUNCTION("""COMPUTED_VALUE"""),"BB-15")</f>
        <v>BB-15</v>
      </c>
      <c r="B551" t="str">
        <f ca="1">IFERROR(__xludf.DUMMYFUNCTION("""COMPUTED_VALUE"""),"RF-00000087-ORG")</f>
        <v>RF-00000087-ORG</v>
      </c>
    </row>
    <row r="552" spans="1:2" ht="12.5" x14ac:dyDescent="0.25">
      <c r="A552" t="str">
        <f ca="1">IFERROR(__xludf.DUMMYFUNCTION("""COMPUTED_VALUE"""),"BB-153")</f>
        <v>BB-153</v>
      </c>
      <c r="B552" t="str">
        <f ca="1">IFERROR(__xludf.DUMMYFUNCTION("""COMPUTED_VALUE"""),"RF-00000091-ORG")</f>
        <v>RF-00000091-ORG</v>
      </c>
    </row>
    <row r="553" spans="1:2" ht="12.5" x14ac:dyDescent="0.25">
      <c r="A553" t="str">
        <f ca="1">IFERROR(__xludf.DUMMYFUNCTION("""COMPUTED_VALUE"""),"BB-169")</f>
        <v>BB-169</v>
      </c>
      <c r="B553" t="str">
        <f ca="1">IFERROR(__xludf.DUMMYFUNCTION("""COMPUTED_VALUE"""),"RF-00000385-ORG")</f>
        <v>RF-00000385-ORG</v>
      </c>
    </row>
    <row r="554" spans="1:2" ht="12.5" x14ac:dyDescent="0.25">
      <c r="A554" t="str">
        <f ca="1">IFERROR(__xludf.DUMMYFUNCTION("""COMPUTED_VALUE"""),"BB-180")</f>
        <v>BB-180</v>
      </c>
      <c r="B554" t="str">
        <f ca="1">IFERROR(__xludf.DUMMYFUNCTION("""COMPUTED_VALUE"""),"RF-00000092-ORG")</f>
        <v>RF-00000092-ORG</v>
      </c>
    </row>
    <row r="555" spans="1:2" ht="12.5" x14ac:dyDescent="0.25">
      <c r="A555" t="str">
        <f ca="1">IFERROR(__xludf.DUMMYFUNCTION("""COMPUTED_VALUE"""),"BB-194")</f>
        <v>BB-194</v>
      </c>
      <c r="B555" t="str">
        <f ca="1">IFERROR(__xludf.DUMMYFUNCTION("""COMPUTED_VALUE"""),"RF-00000093-ORG")</f>
        <v>RF-00000093-ORG</v>
      </c>
    </row>
    <row r="556" spans="1:2" ht="12.5" x14ac:dyDescent="0.25">
      <c r="A556" t="str">
        <f ca="1">IFERROR(__xludf.DUMMYFUNCTION("""COMPUTED_VALUE"""),"BB-206")</f>
        <v>BB-206</v>
      </c>
      <c r="B556" t="str">
        <f ca="1">IFERROR(__xludf.DUMMYFUNCTION("""COMPUTED_VALUE"""),"RF-00000094-ORG")</f>
        <v>RF-00000094-ORG</v>
      </c>
    </row>
    <row r="557" spans="1:2" ht="12.5" x14ac:dyDescent="0.25">
      <c r="A557" t="str">
        <f ca="1">IFERROR(__xludf.DUMMYFUNCTION("""COMPUTED_VALUE"""),"BB-209")</f>
        <v>BB-209</v>
      </c>
      <c r="B557" t="str">
        <f ca="1">IFERROR(__xludf.DUMMYFUNCTION("""COMPUTED_VALUE"""),"RF-00000389-ORG")</f>
        <v>RF-00000389-ORG</v>
      </c>
    </row>
    <row r="558" spans="1:2" ht="12.5" x14ac:dyDescent="0.25">
      <c r="A558" t="str">
        <f ca="1">IFERROR(__xludf.DUMMYFUNCTION("""COMPUTED_VALUE"""),"BB-210F")</f>
        <v>BB-210F</v>
      </c>
      <c r="B558" t="str">
        <f ca="1">IFERROR(__xludf.DUMMYFUNCTION("""COMPUTED_VALUE"""),"RF-00000095-ORG")</f>
        <v>RF-00000095-ORG</v>
      </c>
    </row>
    <row r="559" spans="1:2" ht="12.5" x14ac:dyDescent="0.25">
      <c r="A559" t="str">
        <f ca="1">IFERROR(__xludf.DUMMYFUNCTION("""COMPUTED_VALUE"""),"BB-29")</f>
        <v>BB-29</v>
      </c>
      <c r="B559" t="str">
        <f ca="1">IFERROR(__xludf.DUMMYFUNCTION("""COMPUTED_VALUE"""),"RF-00000088-ORG")</f>
        <v>RF-00000088-ORG</v>
      </c>
    </row>
    <row r="560" spans="1:2" ht="12.5" x14ac:dyDescent="0.25">
      <c r="A560" t="str">
        <f ca="1">IFERROR(__xludf.DUMMYFUNCTION("""COMPUTED_VALUE"""),"BB-3")</f>
        <v>BB-3</v>
      </c>
      <c r="B560" t="str">
        <f ca="1">IFERROR(__xludf.DUMMYFUNCTION("""COMPUTED_VALUE"""),"RF-00000086-ORG")</f>
        <v>RF-00000086-ORG</v>
      </c>
    </row>
    <row r="561" spans="1:2" ht="12.5" x14ac:dyDescent="0.25">
      <c r="A561" t="str">
        <f ca="1">IFERROR(__xludf.DUMMYFUNCTION("""COMPUTED_VALUE"""),"BB-49")</f>
        <v>BB-49</v>
      </c>
      <c r="B561" t="str">
        <f ca="1">IFERROR(__xludf.DUMMYFUNCTION("""COMPUTED_VALUE"""),"RF-00000089-ORG")</f>
        <v>RF-00000089-ORG</v>
      </c>
    </row>
    <row r="562" spans="1:2" ht="12.5" x14ac:dyDescent="0.25">
      <c r="A562" t="str">
        <f ca="1">IFERROR(__xludf.DUMMYFUNCTION("""COMPUTED_VALUE"""),"BB-52")</f>
        <v>BB-52</v>
      </c>
      <c r="B562" t="str">
        <f ca="1">IFERROR(__xludf.DUMMYFUNCTION("""COMPUTED_VALUE"""),"RF-00000390-ORG")</f>
        <v>RF-00000390-ORG</v>
      </c>
    </row>
    <row r="563" spans="1:2" ht="12.5" x14ac:dyDescent="0.25">
      <c r="A563" t="str">
        <f ca="1">IFERROR(__xludf.DUMMYFUNCTION("""COMPUTED_VALUE"""),"BB-77")</f>
        <v>BB-77</v>
      </c>
      <c r="B563" t="str">
        <f ca="1">IFERROR(__xludf.DUMMYFUNCTION("""COMPUTED_VALUE"""),"RF-00000387-ORG")</f>
        <v>RF-00000387-ORG</v>
      </c>
    </row>
    <row r="564" spans="1:2" ht="12.5" x14ac:dyDescent="0.25">
      <c r="A564" t="str">
        <f ca="1">IFERROR(__xludf.DUMMYFUNCTION("""COMPUTED_VALUE"""),"BB-80")</f>
        <v>BB-80</v>
      </c>
      <c r="B564" t="str">
        <f ca="1">IFERROR(__xludf.DUMMYFUNCTION("""COMPUTED_VALUE"""),"RF-00000391-ORG")</f>
        <v>RF-00000391-ORG</v>
      </c>
    </row>
    <row r="565" spans="1:2" ht="12.5" x14ac:dyDescent="0.25">
      <c r="A565" t="str">
        <f ca="1">IFERROR(__xludf.DUMMYFUNCTION("""COMPUTED_VALUE"""),"BDE-100")</f>
        <v>BDE-100</v>
      </c>
      <c r="B565" t="str">
        <f ca="1">IFERROR(__xludf.DUMMYFUNCTION("""COMPUTED_VALUE"""),"RF-00000099-ORG")</f>
        <v>RF-00000099-ORG</v>
      </c>
    </row>
    <row r="566" spans="1:2" ht="12.5" x14ac:dyDescent="0.25">
      <c r="A566" t="str">
        <f ca="1">IFERROR(__xludf.DUMMYFUNCTION("""COMPUTED_VALUE"""),"BDE-119")</f>
        <v>BDE-119</v>
      </c>
      <c r="B566" t="str">
        <f ca="1">IFERROR(__xludf.DUMMYFUNCTION("""COMPUTED_VALUE"""),"RF-00000105-ORG")</f>
        <v>RF-00000105-ORG</v>
      </c>
    </row>
    <row r="567" spans="1:2" ht="12.5" x14ac:dyDescent="0.25">
      <c r="A567" t="str">
        <f ca="1">IFERROR(__xludf.DUMMYFUNCTION("""COMPUTED_VALUE"""),"BDE-126")</f>
        <v>BDE-126</v>
      </c>
      <c r="B567" t="str">
        <f ca="1">IFERROR(__xludf.DUMMYFUNCTION("""COMPUTED_VALUE"""),"RF-00000106-ORG")</f>
        <v>RF-00000106-ORG</v>
      </c>
    </row>
    <row r="568" spans="1:2" ht="12.5" x14ac:dyDescent="0.25">
      <c r="A568" t="str">
        <f ca="1">IFERROR(__xludf.DUMMYFUNCTION("""COMPUTED_VALUE"""),"BDE-126")</f>
        <v>BDE-126</v>
      </c>
      <c r="B568" t="str">
        <f ca="1">IFERROR(__xludf.DUMMYFUNCTION("""COMPUTED_VALUE"""),"RF-00000392-ORG")</f>
        <v>RF-00000392-ORG</v>
      </c>
    </row>
    <row r="569" spans="1:2" ht="12.5" x14ac:dyDescent="0.25">
      <c r="A569" t="str">
        <f ca="1">IFERROR(__xludf.DUMMYFUNCTION("""COMPUTED_VALUE"""),"BDE-138")</f>
        <v>BDE-138</v>
      </c>
      <c r="B569" t="str">
        <f ca="1">IFERROR(__xludf.DUMMYFUNCTION("""COMPUTED_VALUE"""),"RF-00000107-ORG")</f>
        <v>RF-00000107-ORG</v>
      </c>
    </row>
    <row r="570" spans="1:2" ht="12.5" x14ac:dyDescent="0.25">
      <c r="A570" t="str">
        <f ca="1">IFERROR(__xludf.DUMMYFUNCTION("""COMPUTED_VALUE"""),"BDE-153")</f>
        <v>BDE-153</v>
      </c>
      <c r="B570" t="str">
        <f ca="1">IFERROR(__xludf.DUMMYFUNCTION("""COMPUTED_VALUE"""),"RF-00000102-ORG")</f>
        <v>RF-00000102-ORG</v>
      </c>
    </row>
    <row r="571" spans="1:2" ht="12.5" x14ac:dyDescent="0.25">
      <c r="A571" t="str">
        <f ca="1">IFERROR(__xludf.DUMMYFUNCTION("""COMPUTED_VALUE"""),"BDE-154")</f>
        <v>BDE-154</v>
      </c>
      <c r="B571" t="str">
        <f ca="1">IFERROR(__xludf.DUMMYFUNCTION("""COMPUTED_VALUE"""),"RF-00000101-ORG")</f>
        <v>RF-00000101-ORG</v>
      </c>
    </row>
    <row r="572" spans="1:2" ht="12.5" x14ac:dyDescent="0.25">
      <c r="A572" t="str">
        <f ca="1">IFERROR(__xludf.DUMMYFUNCTION("""COMPUTED_VALUE"""),"BDE-17")</f>
        <v>BDE-17</v>
      </c>
      <c r="B572" t="str">
        <f ca="1">IFERROR(__xludf.DUMMYFUNCTION("""COMPUTED_VALUE"""),"RF-00000393-ORG")</f>
        <v>RF-00000393-ORG</v>
      </c>
    </row>
    <row r="573" spans="1:2" ht="12.5" x14ac:dyDescent="0.25">
      <c r="A573" t="str">
        <f ca="1">IFERROR(__xludf.DUMMYFUNCTION("""COMPUTED_VALUE"""),"BDE-183")</f>
        <v>BDE-183</v>
      </c>
      <c r="B573" t="str">
        <f ca="1">IFERROR(__xludf.DUMMYFUNCTION("""COMPUTED_VALUE"""),"RF-00000103-ORG")</f>
        <v>RF-00000103-ORG</v>
      </c>
    </row>
    <row r="574" spans="1:2" ht="12.5" x14ac:dyDescent="0.25">
      <c r="A574" t="str">
        <f ca="1">IFERROR(__xludf.DUMMYFUNCTION("""COMPUTED_VALUE"""),"BDE-209")</f>
        <v>BDE-209</v>
      </c>
      <c r="B574" t="str">
        <f ca="1">IFERROR(__xludf.DUMMYFUNCTION("""COMPUTED_VALUE"""),"RF-00000104-ORG")</f>
        <v>RF-00000104-ORG</v>
      </c>
    </row>
    <row r="575" spans="1:2" ht="12.5" x14ac:dyDescent="0.25">
      <c r="A575" t="str">
        <f ca="1">IFERROR(__xludf.DUMMYFUNCTION("""COMPUTED_VALUE"""),"BDE-28")</f>
        <v>BDE-28</v>
      </c>
      <c r="B575" t="str">
        <f ca="1">IFERROR(__xludf.DUMMYFUNCTION("""COMPUTED_VALUE"""),"RF-00000097-ORG")</f>
        <v>RF-00000097-ORG</v>
      </c>
    </row>
    <row r="576" spans="1:2" ht="12.5" x14ac:dyDescent="0.25">
      <c r="A576" t="str">
        <f ca="1">IFERROR(__xludf.DUMMYFUNCTION("""COMPUTED_VALUE"""),"BDE-47")</f>
        <v>BDE-47</v>
      </c>
      <c r="B576" t="str">
        <f ca="1">IFERROR(__xludf.DUMMYFUNCTION("""COMPUTED_VALUE"""),"RF-00000098-ORG")</f>
        <v>RF-00000098-ORG</v>
      </c>
    </row>
    <row r="577" spans="1:2" ht="12.5" x14ac:dyDescent="0.25">
      <c r="A577" t="str">
        <f ca="1">IFERROR(__xludf.DUMMYFUNCTION("""COMPUTED_VALUE"""),"BDE-49")</f>
        <v>BDE-49</v>
      </c>
      <c r="B577" t="str">
        <f ca="1">IFERROR(__xludf.DUMMYFUNCTION("""COMPUTED_VALUE"""),"RF-00000108-ORG")</f>
        <v>RF-00000108-ORG</v>
      </c>
    </row>
    <row r="578" spans="1:2" ht="12.5" x14ac:dyDescent="0.25">
      <c r="A578" t="str">
        <f ca="1">IFERROR(__xludf.DUMMYFUNCTION("""COMPUTED_VALUE"""),"BDE-66")</f>
        <v>BDE-66</v>
      </c>
      <c r="B578" t="str">
        <f ca="1">IFERROR(__xludf.DUMMYFUNCTION("""COMPUTED_VALUE"""),"RF-00000109-ORG")</f>
        <v>RF-00000109-ORG</v>
      </c>
    </row>
    <row r="579" spans="1:2" ht="12.5" x14ac:dyDescent="0.25">
      <c r="A579" t="str">
        <f ca="1">IFERROR(__xludf.DUMMYFUNCTION("""COMPUTED_VALUE"""),"BDE-70")</f>
        <v>BDE-70</v>
      </c>
      <c r="B579" t="str">
        <f ca="1">IFERROR(__xludf.DUMMYFUNCTION("""COMPUTED_VALUE"""),"RF-00000394-ORG")</f>
        <v>RF-00000394-ORG</v>
      </c>
    </row>
    <row r="580" spans="1:2" ht="12.5" x14ac:dyDescent="0.25">
      <c r="A580" t="str">
        <f ca="1">IFERROR(__xludf.DUMMYFUNCTION("""COMPUTED_VALUE"""),"BDE-71")</f>
        <v>BDE-71</v>
      </c>
      <c r="B580" t="str">
        <f ca="1">IFERROR(__xludf.DUMMYFUNCTION("""COMPUTED_VALUE"""),"RF-00000110-ORG")</f>
        <v>RF-00000110-ORG</v>
      </c>
    </row>
    <row r="581" spans="1:2" ht="12.5" x14ac:dyDescent="0.25">
      <c r="A581" t="str">
        <f ca="1">IFERROR(__xludf.DUMMYFUNCTION("""COMPUTED_VALUE"""),"BDE-75")</f>
        <v>BDE-75</v>
      </c>
      <c r="B581" t="str">
        <f ca="1">IFERROR(__xludf.DUMMYFUNCTION("""COMPUTED_VALUE"""),"RF-00000113-ORG")</f>
        <v>RF-00000113-ORG</v>
      </c>
    </row>
    <row r="582" spans="1:2" ht="12.5" x14ac:dyDescent="0.25">
      <c r="A582" t="str">
        <f ca="1">IFERROR(__xludf.DUMMYFUNCTION("""COMPUTED_VALUE"""),"BDE-77")</f>
        <v>BDE-77</v>
      </c>
      <c r="B582" t="str">
        <f ca="1">IFERROR(__xludf.DUMMYFUNCTION("""COMPUTED_VALUE"""),"RF-00000111-ORG")</f>
        <v>RF-00000111-ORG</v>
      </c>
    </row>
    <row r="583" spans="1:2" ht="12.5" x14ac:dyDescent="0.25">
      <c r="A583" t="str">
        <f ca="1">IFERROR(__xludf.DUMMYFUNCTION("""COMPUTED_VALUE"""),"BDE-85")</f>
        <v>BDE-85</v>
      </c>
      <c r="B583" t="str">
        <f ca="1">IFERROR(__xludf.DUMMYFUNCTION("""COMPUTED_VALUE"""),"RF-00000112-ORG")</f>
        <v>RF-00000112-ORG</v>
      </c>
    </row>
    <row r="584" spans="1:2" ht="12.5" x14ac:dyDescent="0.25">
      <c r="A584" t="str">
        <f ca="1">IFERROR(__xludf.DUMMYFUNCTION("""COMPUTED_VALUE"""),"BDE-99")</f>
        <v>BDE-99</v>
      </c>
      <c r="B584" t="str">
        <f ca="1">IFERROR(__xludf.DUMMYFUNCTION("""COMPUTED_VALUE"""),"RF-00000100-ORG")</f>
        <v>RF-00000100-ORG</v>
      </c>
    </row>
    <row r="585" spans="1:2" ht="12.5" x14ac:dyDescent="0.25">
      <c r="A585" t="str">
        <f ca="1">IFERROR(__xludf.DUMMYFUNCTION("""COMPUTED_VALUE"""),"Beauvericin")</f>
        <v>Beauvericin</v>
      </c>
      <c r="B585" t="str">
        <f ca="1">IFERROR(__xludf.DUMMYFUNCTION("""COMPUTED_VALUE"""),"RF-00000208-TOX")</f>
        <v>RF-00000208-TOX</v>
      </c>
    </row>
    <row r="586" spans="1:2" ht="12.5" x14ac:dyDescent="0.25">
      <c r="A586" t="str">
        <f ca="1">IFERROR(__xludf.DUMMYFUNCTION("""COMPUTED_VALUE"""),"Beclomethasone")</f>
        <v>Beclomethasone</v>
      </c>
      <c r="B586" t="str">
        <f ca="1">IFERROR(__xludf.DUMMYFUNCTION("""COMPUTED_VALUE"""),"RF-00000439-VET")</f>
        <v>RF-00000439-VET</v>
      </c>
    </row>
    <row r="587" spans="1:2" ht="12.5" x14ac:dyDescent="0.25">
      <c r="A587" t="str">
        <f ca="1">IFERROR(__xludf.DUMMYFUNCTION("""COMPUTED_VALUE"""),"Beclomethasone dipropionate")</f>
        <v>Beclomethasone dipropionate</v>
      </c>
      <c r="B587" t="str">
        <f ca="1">IFERROR(__xludf.DUMMYFUNCTION("""COMPUTED_VALUE"""),"RF-00000248-VET")</f>
        <v>RF-00000248-VET</v>
      </c>
    </row>
    <row r="588" spans="1:2" ht="12.5" x14ac:dyDescent="0.25">
      <c r="A588" t="str">
        <f ca="1">IFERROR(__xludf.DUMMYFUNCTION("""COMPUTED_VALUE"""),"Beeswax, white and yellow")</f>
        <v>Beeswax, white and yellow</v>
      </c>
      <c r="B588" t="str">
        <f ca="1">IFERROR(__xludf.DUMMYFUNCTION("""COMPUTED_VALUE"""),"RF-00000049-ADD")</f>
        <v>RF-00000049-ADD</v>
      </c>
    </row>
    <row r="589" spans="1:2" ht="12.5" x14ac:dyDescent="0.25">
      <c r="A589" t="str">
        <f ca="1">IFERROR(__xludf.DUMMYFUNCTION("""COMPUTED_VALUE"""),"Beetroot Red, betanin")</f>
        <v>Beetroot Red, betanin</v>
      </c>
      <c r="B589" t="str">
        <f ca="1">IFERROR(__xludf.DUMMYFUNCTION("""COMPUTED_VALUE"""),"RF-00000050-ADD")</f>
        <v>RF-00000050-ADD</v>
      </c>
    </row>
    <row r="590" spans="1:2" ht="12.5" x14ac:dyDescent="0.25">
      <c r="A590" t="str">
        <f ca="1">IFERROR(__xludf.DUMMYFUNCTION("""COMPUTED_VALUE"""),"Beflubutamid")</f>
        <v>Beflubutamid</v>
      </c>
      <c r="B590" t="str">
        <f ca="1">IFERROR(__xludf.DUMMYFUNCTION("""COMPUTED_VALUE"""),"RF-0037-001-PPP")</f>
        <v>RF-0037-001-PPP</v>
      </c>
    </row>
    <row r="591" spans="1:2" ht="12.5" x14ac:dyDescent="0.25">
      <c r="A591" t="str">
        <f ca="1">IFERROR(__xludf.DUMMYFUNCTION("""COMPUTED_VALUE"""),"Benalaxyl")</f>
        <v>Benalaxyl</v>
      </c>
      <c r="B591" t="str">
        <f ca="1">IFERROR(__xludf.DUMMYFUNCTION("""COMPUTED_VALUE"""),"RF-0038-002-PPP")</f>
        <v>RF-0038-002-PPP</v>
      </c>
    </row>
    <row r="592" spans="1:2" ht="12.5" x14ac:dyDescent="0.25">
      <c r="A592" t="str">
        <f ca="1">IFERROR(__xludf.DUMMYFUNCTION("""COMPUTED_VALUE"""),"Benalaxyl including other mixtures of constituent isomers including benalaxyl-M (sum of isomers)")</f>
        <v>Benalaxyl including other mixtures of constituent isomers including benalaxyl-M (sum of isomers)</v>
      </c>
      <c r="B592" t="str">
        <f ca="1">IFERROR(__xludf.DUMMYFUNCTION("""COMPUTED_VALUE"""),"RF-0038-001-PPP")</f>
        <v>RF-0038-001-PPP</v>
      </c>
    </row>
    <row r="593" spans="1:2" ht="12.5" x14ac:dyDescent="0.25">
      <c r="A593" t="str">
        <f ca="1">IFERROR(__xludf.DUMMYFUNCTION("""COMPUTED_VALUE"""),"Benalaxyl-M")</f>
        <v>Benalaxyl-M</v>
      </c>
      <c r="B593" t="str">
        <f ca="1">IFERROR(__xludf.DUMMYFUNCTION("""COMPUTED_VALUE"""),"RF-0038-003-PPP")</f>
        <v>RF-0038-003-PPP</v>
      </c>
    </row>
    <row r="594" spans="1:2" ht="12.5" x14ac:dyDescent="0.25">
      <c r="A594" t="str">
        <f ca="1">IFERROR(__xludf.DUMMYFUNCTION("""COMPUTED_VALUE"""),"Benazolin")</f>
        <v>Benazolin</v>
      </c>
      <c r="B594" t="str">
        <f ca="1">IFERROR(__xludf.DUMMYFUNCTION("""COMPUTED_VALUE"""),"RF-0487-001-PPP")</f>
        <v>RF-0487-001-PPP</v>
      </c>
    </row>
    <row r="595" spans="1:2" ht="12.5" x14ac:dyDescent="0.25">
      <c r="A595" t="str">
        <f ca="1">IFERROR(__xludf.DUMMYFUNCTION("""COMPUTED_VALUE"""),"Benazolin-Ethyl")</f>
        <v>Benazolin-Ethyl</v>
      </c>
      <c r="B595" t="str">
        <f ca="1">IFERROR(__xludf.DUMMYFUNCTION("""COMPUTED_VALUE"""),"RF-0488-001-PPP")</f>
        <v>RF-0488-001-PPP</v>
      </c>
    </row>
    <row r="596" spans="1:2" ht="12.5" x14ac:dyDescent="0.25">
      <c r="A596" t="str">
        <f ca="1">IFERROR(__xludf.DUMMYFUNCTION("""COMPUTED_VALUE"""),"Bendiocarb")</f>
        <v>Bendiocarb</v>
      </c>
      <c r="B596" t="str">
        <f ca="1">IFERROR(__xludf.DUMMYFUNCTION("""COMPUTED_VALUE"""),"RF-00000115-VET")</f>
        <v>RF-00000115-VET</v>
      </c>
    </row>
    <row r="597" spans="1:2" ht="12.5" x14ac:dyDescent="0.25">
      <c r="A597" t="str">
        <f ca="1">IFERROR(__xludf.DUMMYFUNCTION("""COMPUTED_VALUE"""),"Bendiocarb")</f>
        <v>Bendiocarb</v>
      </c>
      <c r="B597" t="str">
        <f ca="1">IFERROR(__xludf.DUMMYFUNCTION("""COMPUTED_VALUE"""),"RF-0489-001-PPP")</f>
        <v>RF-0489-001-PPP</v>
      </c>
    </row>
    <row r="598" spans="1:2" ht="12.5" x14ac:dyDescent="0.25">
      <c r="A598" t="str">
        <f ca="1">IFERROR(__xludf.DUMMYFUNCTION("""COMPUTED_VALUE"""),"Benethamine-Penicillin")</f>
        <v>Benethamine-Penicillin</v>
      </c>
      <c r="B598" t="str">
        <f ca="1">IFERROR(__xludf.DUMMYFUNCTION("""COMPUTED_VALUE"""),"RF-00000583-VET")</f>
        <v>RF-00000583-VET</v>
      </c>
    </row>
    <row r="599" spans="1:2" ht="12.5" x14ac:dyDescent="0.25">
      <c r="A599" t="str">
        <f ca="1">IFERROR(__xludf.DUMMYFUNCTION("""COMPUTED_VALUE"""),"Benfluralin")</f>
        <v>Benfluralin</v>
      </c>
      <c r="B599" t="str">
        <f ca="1">IFERROR(__xludf.DUMMYFUNCTION("""COMPUTED_VALUE"""),"RF-0039-001-PPP")</f>
        <v>RF-0039-001-PPP</v>
      </c>
    </row>
    <row r="600" spans="1:2" ht="12.5" x14ac:dyDescent="0.25">
      <c r="A600" t="str">
        <f ca="1">IFERROR(__xludf.DUMMYFUNCTION("""COMPUTED_VALUE"""),"Benfuracarb")</f>
        <v>Benfuracarb</v>
      </c>
      <c r="B600" t="str">
        <f ca="1">IFERROR(__xludf.DUMMYFUNCTION("""COMPUTED_VALUE"""),"RF-00000114-VET")</f>
        <v>RF-00000114-VET</v>
      </c>
    </row>
    <row r="601" spans="1:2" ht="12.5" x14ac:dyDescent="0.25">
      <c r="A601" t="str">
        <f ca="1">IFERROR(__xludf.DUMMYFUNCTION("""COMPUTED_VALUE"""),"Benfuracarb")</f>
        <v>Benfuracarb</v>
      </c>
      <c r="B601" t="str">
        <f ca="1">IFERROR(__xludf.DUMMYFUNCTION("""COMPUTED_VALUE"""),"RF-0040-001-PPP")</f>
        <v>RF-0040-001-PPP</v>
      </c>
    </row>
    <row r="602" spans="1:2" ht="12.5" x14ac:dyDescent="0.25">
      <c r="A602" t="str">
        <f ca="1">IFERROR(__xludf.DUMMYFUNCTION("""COMPUTED_VALUE"""),"Benfuresate")</f>
        <v>Benfuresate</v>
      </c>
      <c r="B602" t="str">
        <f ca="1">IFERROR(__xludf.DUMMYFUNCTION("""COMPUTED_VALUE"""),"RF-0490-001-PPP")</f>
        <v>RF-0490-001-PPP</v>
      </c>
    </row>
    <row r="603" spans="1:2" ht="12.5" x14ac:dyDescent="0.25">
      <c r="A603" t="str">
        <f ca="1">IFERROR(__xludf.DUMMYFUNCTION("""COMPUTED_VALUE"""),"Benodanil")</f>
        <v>Benodanil</v>
      </c>
      <c r="B603" t="str">
        <f ca="1">IFERROR(__xludf.DUMMYFUNCTION("""COMPUTED_VALUE"""),"RF-0491-001-PPP")</f>
        <v>RF-0491-001-PPP</v>
      </c>
    </row>
    <row r="604" spans="1:2" ht="12.5" x14ac:dyDescent="0.25">
      <c r="A604" t="str">
        <f ca="1">IFERROR(__xludf.DUMMYFUNCTION("""COMPUTED_VALUE"""),"Benomyl")</f>
        <v>Benomyl</v>
      </c>
      <c r="B604" t="str">
        <f ca="1">IFERROR(__xludf.DUMMYFUNCTION("""COMPUTED_VALUE"""),"RF-0041-003-PPP")</f>
        <v>RF-0041-003-PPP</v>
      </c>
    </row>
    <row r="605" spans="1:2" ht="12.5" x14ac:dyDescent="0.25">
      <c r="A605" t="str">
        <f ca="1">IFERROR(__xludf.DUMMYFUNCTION("""COMPUTED_VALUE"""),"Benoxacor")</f>
        <v>Benoxacor</v>
      </c>
      <c r="B605" t="str">
        <f ca="1">IFERROR(__xludf.DUMMYFUNCTION("""COMPUTED_VALUE"""),"RF-0492-001-PPP")</f>
        <v>RF-0492-001-PPP</v>
      </c>
    </row>
    <row r="606" spans="1:2" ht="12.5" x14ac:dyDescent="0.25">
      <c r="A606" t="str">
        <f ca="1">IFERROR(__xludf.DUMMYFUNCTION("""COMPUTED_VALUE"""),"Bensulfuron")</f>
        <v>Bensulfuron</v>
      </c>
      <c r="B606" t="str">
        <f ca="1">IFERROR(__xludf.DUMMYFUNCTION("""COMPUTED_VALUE"""),"RF-0493-001-PPP")</f>
        <v>RF-0493-001-PPP</v>
      </c>
    </row>
    <row r="607" spans="1:2" ht="12.5" x14ac:dyDescent="0.25">
      <c r="A607" t="str">
        <f ca="1">IFERROR(__xludf.DUMMYFUNCTION("""COMPUTED_VALUE"""),"Bensulfuron-Methyl")</f>
        <v>Bensulfuron-Methyl</v>
      </c>
      <c r="B607" t="str">
        <f ca="1">IFERROR(__xludf.DUMMYFUNCTION("""COMPUTED_VALUE"""),"RF-0494-001-PPP")</f>
        <v>RF-0494-001-PPP</v>
      </c>
    </row>
    <row r="608" spans="1:2" ht="12.5" x14ac:dyDescent="0.25">
      <c r="A608" t="str">
        <f ca="1">IFERROR(__xludf.DUMMYFUNCTION("""COMPUTED_VALUE"""),"Bensulide")</f>
        <v>Bensulide</v>
      </c>
      <c r="B608" t="str">
        <f ca="1">IFERROR(__xludf.DUMMYFUNCTION("""COMPUTED_VALUE"""),"RF-0495-001-PPP")</f>
        <v>RF-0495-001-PPP</v>
      </c>
    </row>
    <row r="609" spans="1:2" ht="12.5" x14ac:dyDescent="0.25">
      <c r="A609" t="str">
        <f ca="1">IFERROR(__xludf.DUMMYFUNCTION("""COMPUTED_VALUE"""),"Bensultap")</f>
        <v>Bensultap</v>
      </c>
      <c r="B609" t="str">
        <f ca="1">IFERROR(__xludf.DUMMYFUNCTION("""COMPUTED_VALUE"""),"RF-0496-001-PPP")</f>
        <v>RF-0496-001-PPP</v>
      </c>
    </row>
    <row r="610" spans="1:2" ht="12.5" x14ac:dyDescent="0.25">
      <c r="A610" t="str">
        <f ca="1">IFERROR(__xludf.DUMMYFUNCTION("""COMPUTED_VALUE"""),"Bentaluron")</f>
        <v>Bentaluron</v>
      </c>
      <c r="B610" t="str">
        <f ca="1">IFERROR(__xludf.DUMMYFUNCTION("""COMPUTED_VALUE"""),"RF-0497-001-PPP")</f>
        <v>RF-0497-001-PPP</v>
      </c>
    </row>
    <row r="611" spans="1:2" ht="12.5" x14ac:dyDescent="0.25">
      <c r="A611" t="str">
        <f ca="1">IFERROR(__xludf.DUMMYFUNCTION("""COMPUTED_VALUE"""),"Bentazone")</f>
        <v>Bentazone</v>
      </c>
      <c r="B611" t="str">
        <f ca="1">IFERROR(__xludf.DUMMYFUNCTION("""COMPUTED_VALUE"""),"RF-0042-002-PPP")</f>
        <v>RF-0042-002-PPP</v>
      </c>
    </row>
    <row r="612" spans="1:2" ht="12.5" x14ac:dyDescent="0.25">
      <c r="A612" t="str">
        <f ca="1">IFERROR(__xludf.DUMMYFUNCTION("""COMPUTED_VALUE"""),"Bentazone (sum of bentazone and the conjugates of 6-OH and 8-OH bentazone expressed as bentazone)")</f>
        <v>Bentazone (sum of bentazone and the conjugates of 6-OH and 8-OH bentazone expressed as bentazone)</v>
      </c>
      <c r="B612" t="str">
        <f ca="1">IFERROR(__xludf.DUMMYFUNCTION("""COMPUTED_VALUE"""),"RF-0042-001-PPP")</f>
        <v>RF-0042-001-PPP</v>
      </c>
    </row>
    <row r="613" spans="1:2" ht="12.5" x14ac:dyDescent="0.25">
      <c r="A613" t="str">
        <f ca="1">IFERROR(__xludf.DUMMYFUNCTION("""COMPUTED_VALUE"""),"Bentazone methyl")</f>
        <v>Bentazone methyl</v>
      </c>
      <c r="B613" t="str">
        <f ca="1">IFERROR(__xludf.DUMMYFUNCTION("""COMPUTED_VALUE"""),"RF-00000009-PAR")</f>
        <v>RF-00000009-PAR</v>
      </c>
    </row>
    <row r="614" spans="1:2" ht="12.5" x14ac:dyDescent="0.25">
      <c r="A614" t="str">
        <f ca="1">IFERROR(__xludf.DUMMYFUNCTION("""COMPUTED_VALUE"""),"Bentazone-6-hydroxy")</f>
        <v>Bentazone-6-hydroxy</v>
      </c>
      <c r="B614" t="str">
        <f ca="1">IFERROR(__xludf.DUMMYFUNCTION("""COMPUTED_VALUE"""),"RF-0042-004-PPP")</f>
        <v>RF-0042-004-PPP</v>
      </c>
    </row>
    <row r="615" spans="1:2" ht="12.5" x14ac:dyDescent="0.25">
      <c r="A615" t="str">
        <f ca="1">IFERROR(__xludf.DUMMYFUNCTION("""COMPUTED_VALUE"""),"Bentazone-8-hydroxy")</f>
        <v>Bentazone-8-hydroxy</v>
      </c>
      <c r="B615" t="str">
        <f ca="1">IFERROR(__xludf.DUMMYFUNCTION("""COMPUTED_VALUE"""),"RF-0042-003-PPP")</f>
        <v>RF-0042-003-PPP</v>
      </c>
    </row>
    <row r="616" spans="1:2" ht="12.5" x14ac:dyDescent="0.25">
      <c r="A616" t="str">
        <f ca="1">IFERROR(__xludf.DUMMYFUNCTION("""COMPUTED_VALUE"""),"Benthiavalicarb")</f>
        <v>Benthiavalicarb</v>
      </c>
      <c r="B616" t="str">
        <f ca="1">IFERROR(__xludf.DUMMYFUNCTION("""COMPUTED_VALUE"""),"RF-0043-002-PPP")</f>
        <v>RF-0043-002-PPP</v>
      </c>
    </row>
    <row r="617" spans="1:2" ht="12.5" x14ac:dyDescent="0.25">
      <c r="A617" t="str">
        <f ca="1">IFERROR(__xludf.DUMMYFUNCTION("""COMPUTED_VALUE"""),"Benthiavalicarb (Benthiavalicarb-isopropyl (KIF-230 R-L) and its enantiomer (KIF-230 S-D) and diastereomers (KIF-230 R-L and KIF-230 S-D)")</f>
        <v>Benthiavalicarb (Benthiavalicarb-isopropyl (KIF-230 R-L) and its enantiomer (KIF-230 S-D) and diastereomers (KIF-230 R-L and KIF-230 S-D)</v>
      </c>
      <c r="B617" t="str">
        <f ca="1">IFERROR(__xludf.DUMMYFUNCTION("""COMPUTED_VALUE"""),"RF-0043-001-PPP")</f>
        <v>RF-0043-001-PPP</v>
      </c>
    </row>
    <row r="618" spans="1:2" ht="12.5" x14ac:dyDescent="0.25">
      <c r="A618" t="str">
        <f ca="1">IFERROR(__xludf.DUMMYFUNCTION("""COMPUTED_VALUE"""),"Benthiavalicarb isopropyl")</f>
        <v>Benthiavalicarb isopropyl</v>
      </c>
      <c r="B618" t="str">
        <f ca="1">IFERROR(__xludf.DUMMYFUNCTION("""COMPUTED_VALUE"""),"RF-0043-003-PPP")</f>
        <v>RF-0043-003-PPP</v>
      </c>
    </row>
    <row r="619" spans="1:2" ht="12.5" x14ac:dyDescent="0.25">
      <c r="A619" t="str">
        <f ca="1">IFERROR(__xludf.DUMMYFUNCTION("""COMPUTED_VALUE"""),"Bentonite")</f>
        <v>Bentonite</v>
      </c>
      <c r="B619" t="str">
        <f ca="1">IFERROR(__xludf.DUMMYFUNCTION("""COMPUTED_VALUE"""),"RF-00000051-ADD")</f>
        <v>RF-00000051-ADD</v>
      </c>
    </row>
    <row r="620" spans="1:2" ht="12.5" x14ac:dyDescent="0.25">
      <c r="A620" t="str">
        <f ca="1">IFERROR(__xludf.DUMMYFUNCTION("""COMPUTED_VALUE"""),"Benzathine-Benzylpenicillin")</f>
        <v>Benzathine-Benzylpenicillin</v>
      </c>
      <c r="B620" t="str">
        <f ca="1">IFERROR(__xludf.DUMMYFUNCTION("""COMPUTED_VALUE"""),"RF-00000592-VET")</f>
        <v>RF-00000592-VET</v>
      </c>
    </row>
    <row r="621" spans="1:2" ht="12.5" x14ac:dyDescent="0.25">
      <c r="A621" t="str">
        <f ca="1">IFERROR(__xludf.DUMMYFUNCTION("""COMPUTED_VALUE"""),"Benzene")</f>
        <v>Benzene</v>
      </c>
      <c r="B621" t="str">
        <f ca="1">IFERROR(__xludf.DUMMYFUNCTION("""COMPUTED_VALUE"""),"RF-00000071-ORG")</f>
        <v>RF-00000071-ORG</v>
      </c>
    </row>
    <row r="622" spans="1:2" ht="12.5" x14ac:dyDescent="0.25">
      <c r="A622" t="str">
        <f ca="1">IFERROR(__xludf.DUMMYFUNCTION("""COMPUTED_VALUE"""),"Benzestrol")</f>
        <v>Benzestrol</v>
      </c>
      <c r="B622" t="str">
        <f ca="1">IFERROR(__xludf.DUMMYFUNCTION("""COMPUTED_VALUE"""),"RF-00000286-VET")</f>
        <v>RF-00000286-VET</v>
      </c>
    </row>
    <row r="623" spans="1:2" ht="12.5" x14ac:dyDescent="0.25">
      <c r="A623" t="str">
        <f ca="1">IFERROR(__xludf.DUMMYFUNCTION("""COMPUTED_VALUE"""),"Benzimidazole")</f>
        <v>Benzimidazole</v>
      </c>
      <c r="B623" t="str">
        <f ca="1">IFERROR(__xludf.DUMMYFUNCTION("""COMPUTED_VALUE"""),"RF-0498-001-PPP")</f>
        <v>RF-0498-001-PPP</v>
      </c>
    </row>
    <row r="624" spans="1:2" ht="12.5" x14ac:dyDescent="0.25">
      <c r="A624" t="str">
        <f ca="1">IFERROR(__xludf.DUMMYFUNCTION("""COMPUTED_VALUE"""),"Benzo-a-anthracene")</f>
        <v>Benzo-a-anthracene</v>
      </c>
      <c r="B624" t="str">
        <f ca="1">IFERROR(__xludf.DUMMYFUNCTION("""COMPUTED_VALUE"""),"RF-00000045-ORG")</f>
        <v>RF-00000045-ORG</v>
      </c>
    </row>
    <row r="625" spans="1:2" ht="12.5" x14ac:dyDescent="0.25">
      <c r="A625" t="str">
        <f ca="1">IFERROR(__xludf.DUMMYFUNCTION("""COMPUTED_VALUE"""),"Benzo-a-pyrene")</f>
        <v>Benzo-a-pyrene</v>
      </c>
      <c r="B625" t="str">
        <f ca="1">IFERROR(__xludf.DUMMYFUNCTION("""COMPUTED_VALUE"""),"RF-00000046-ORG")</f>
        <v>RF-00000046-ORG</v>
      </c>
    </row>
    <row r="626" spans="1:2" ht="12.5" x14ac:dyDescent="0.25">
      <c r="A626" t="str">
        <f ca="1">IFERROR(__xludf.DUMMYFUNCTION("""COMPUTED_VALUE"""),"Benzo-b-fluoranthene")</f>
        <v>Benzo-b-fluoranthene</v>
      </c>
      <c r="B626" t="str">
        <f ca="1">IFERROR(__xludf.DUMMYFUNCTION("""COMPUTED_VALUE"""),"RF-00000047-ORG")</f>
        <v>RF-00000047-ORG</v>
      </c>
    </row>
    <row r="627" spans="1:2" ht="12.5" x14ac:dyDescent="0.25">
      <c r="A627" t="str">
        <f ca="1">IFERROR(__xludf.DUMMYFUNCTION("""COMPUTED_VALUE"""),"Benzo-b+j-fluoranthene")</f>
        <v>Benzo-b+j-fluoranthene</v>
      </c>
      <c r="B627" t="str">
        <f ca="1">IFERROR(__xludf.DUMMYFUNCTION("""COMPUTED_VALUE"""),"RF-00000065-ORG")</f>
        <v>RF-00000065-ORG</v>
      </c>
    </row>
    <row r="628" spans="1:2" ht="12.5" x14ac:dyDescent="0.25">
      <c r="A628" t="str">
        <f ca="1">IFERROR(__xludf.DUMMYFUNCTION("""COMPUTED_VALUE"""),"Benzo-b+j+k-fluoranthene")</f>
        <v>Benzo-b+j+k-fluoranthene</v>
      </c>
      <c r="B628" t="str">
        <f ca="1">IFERROR(__xludf.DUMMYFUNCTION("""COMPUTED_VALUE"""),"RF-00000436-ORG")</f>
        <v>RF-00000436-ORG</v>
      </c>
    </row>
    <row r="629" spans="1:2" ht="12.5" x14ac:dyDescent="0.25">
      <c r="A629" t="str">
        <f ca="1">IFERROR(__xludf.DUMMYFUNCTION("""COMPUTED_VALUE"""),"Benzo-c-fluorene")</f>
        <v>Benzo-c-fluorene</v>
      </c>
      <c r="B629" t="str">
        <f ca="1">IFERROR(__xludf.DUMMYFUNCTION("""COMPUTED_VALUE"""),"RF-00000048-ORG")</f>
        <v>RF-00000048-ORG</v>
      </c>
    </row>
    <row r="630" spans="1:2" ht="12.5" x14ac:dyDescent="0.25">
      <c r="A630" t="str">
        <f ca="1">IFERROR(__xludf.DUMMYFUNCTION("""COMPUTED_VALUE"""),"Benzo-e-pyrene")</f>
        <v>Benzo-e-pyrene</v>
      </c>
      <c r="B630" t="str">
        <f ca="1">IFERROR(__xludf.DUMMYFUNCTION("""COMPUTED_VALUE"""),"RF-00000049-ORG")</f>
        <v>RF-00000049-ORG</v>
      </c>
    </row>
    <row r="631" spans="1:2" ht="12.5" x14ac:dyDescent="0.25">
      <c r="A631" t="str">
        <f ca="1">IFERROR(__xludf.DUMMYFUNCTION("""COMPUTED_VALUE"""),"Benzo-g,h,i-perylene")</f>
        <v>Benzo-g,h,i-perylene</v>
      </c>
      <c r="B631" t="str">
        <f ca="1">IFERROR(__xludf.DUMMYFUNCTION("""COMPUTED_VALUE"""),"RF-00000050-ORG")</f>
        <v>RF-00000050-ORG</v>
      </c>
    </row>
    <row r="632" spans="1:2" ht="12.5" x14ac:dyDescent="0.25">
      <c r="A632" t="str">
        <f ca="1">IFERROR(__xludf.DUMMYFUNCTION("""COMPUTED_VALUE"""),"Benzo-j-fluoranthene")</f>
        <v>Benzo-j-fluoranthene</v>
      </c>
      <c r="B632" t="str">
        <f ca="1">IFERROR(__xludf.DUMMYFUNCTION("""COMPUTED_VALUE"""),"RF-00000051-ORG")</f>
        <v>RF-00000051-ORG</v>
      </c>
    </row>
    <row r="633" spans="1:2" ht="12.5" x14ac:dyDescent="0.25">
      <c r="A633" t="str">
        <f ca="1">IFERROR(__xludf.DUMMYFUNCTION("""COMPUTED_VALUE"""),"Benzo-j+k-fluoranthene")</f>
        <v>Benzo-j+k-fluoranthene</v>
      </c>
      <c r="B633" t="str">
        <f ca="1">IFERROR(__xludf.DUMMYFUNCTION("""COMPUTED_VALUE"""),"RF-00000437-ORG")</f>
        <v>RF-00000437-ORG</v>
      </c>
    </row>
    <row r="634" spans="1:2" ht="12.5" x14ac:dyDescent="0.25">
      <c r="A634" t="str">
        <f ca="1">IFERROR(__xludf.DUMMYFUNCTION("""COMPUTED_VALUE"""),"Benzo-k-fluoranthene")</f>
        <v>Benzo-k-fluoranthene</v>
      </c>
      <c r="B634" t="str">
        <f ca="1">IFERROR(__xludf.DUMMYFUNCTION("""COMPUTED_VALUE"""),"RF-00000052-ORG")</f>
        <v>RF-00000052-ORG</v>
      </c>
    </row>
    <row r="635" spans="1:2" ht="12.5" x14ac:dyDescent="0.25">
      <c r="A635" t="str">
        <f ca="1">IFERROR(__xludf.DUMMYFUNCTION("""COMPUTED_VALUE"""),"Benzobicyclon")</f>
        <v>Benzobicyclon</v>
      </c>
      <c r="B635" t="str">
        <f ca="1">IFERROR(__xludf.DUMMYFUNCTION("""COMPUTED_VALUE"""),"RF-0499-001-PPP")</f>
        <v>RF-0499-001-PPP</v>
      </c>
    </row>
    <row r="636" spans="1:2" ht="12.5" x14ac:dyDescent="0.25">
      <c r="A636" t="str">
        <f ca="1">IFERROR(__xludf.DUMMYFUNCTION("""COMPUTED_VALUE"""),"Benzodiazepins")</f>
        <v>Benzodiazepins</v>
      </c>
      <c r="B636" t="str">
        <f ca="1">IFERROR(__xludf.DUMMYFUNCTION("""COMPUTED_VALUE"""),"RF-00000192-VET")</f>
        <v>RF-00000192-VET</v>
      </c>
    </row>
    <row r="637" spans="1:2" ht="12.5" x14ac:dyDescent="0.25">
      <c r="A637" t="str">
        <f ca="1">IFERROR(__xludf.DUMMYFUNCTION("""COMPUTED_VALUE"""),"Benzoic acid")</f>
        <v>Benzoic acid</v>
      </c>
      <c r="B637" t="str">
        <f ca="1">IFERROR(__xludf.DUMMYFUNCTION("""COMPUTED_VALUE"""),"RF-00000052-ADD")</f>
        <v>RF-00000052-ADD</v>
      </c>
    </row>
    <row r="638" spans="1:2" ht="12.5" x14ac:dyDescent="0.25">
      <c r="A638" t="str">
        <f ca="1">IFERROR(__xludf.DUMMYFUNCTION("""COMPUTED_VALUE"""),"Benzoic acid, 2,3,5,6-tetrachloro-4-((methoxymethylamino)carbonyl)-, methyl ester (9CI)")</f>
        <v>Benzoic acid, 2,3,5,6-tetrachloro-4-((methoxymethylamino)carbonyl)-, methyl ester (9CI)</v>
      </c>
      <c r="B638" t="str">
        <f ca="1">IFERROR(__xludf.DUMMYFUNCTION("""COMPUTED_VALUE"""),"RF-1050-001-PPP")</f>
        <v>RF-1050-001-PPP</v>
      </c>
    </row>
    <row r="639" spans="1:2" ht="12.5" x14ac:dyDescent="0.25">
      <c r="A639" t="str">
        <f ca="1">IFERROR(__xludf.DUMMYFUNCTION("""COMPUTED_VALUE"""),"Benzosulfonamide")</f>
        <v>Benzosulfonamide</v>
      </c>
      <c r="B639" t="str">
        <f ca="1">IFERROR(__xludf.DUMMYFUNCTION("""COMPUTED_VALUE"""),"RF-00000593-VET")</f>
        <v>RF-00000593-VET</v>
      </c>
    </row>
    <row r="640" spans="1:2" ht="12.5" x14ac:dyDescent="0.25">
      <c r="A640" t="str">
        <f ca="1">IFERROR(__xludf.DUMMYFUNCTION("""COMPUTED_VALUE"""),"Benzoximate")</f>
        <v>Benzoximate</v>
      </c>
      <c r="B640" t="str">
        <f ca="1">IFERROR(__xludf.DUMMYFUNCTION("""COMPUTED_VALUE"""),"RF-0500-001-PPP")</f>
        <v>RF-0500-001-PPP</v>
      </c>
    </row>
    <row r="641" spans="1:2" ht="12.5" x14ac:dyDescent="0.25">
      <c r="A641" t="str">
        <f ca="1">IFERROR(__xludf.DUMMYFUNCTION("""COMPUTED_VALUE"""),"Benzoylecgonine")</f>
        <v>Benzoylecgonine</v>
      </c>
      <c r="B641" t="str">
        <f ca="1">IFERROR(__xludf.DUMMYFUNCTION("""COMPUTED_VALUE"""),"RF-00000456-TOX")</f>
        <v>RF-00000456-TOX</v>
      </c>
    </row>
    <row r="642" spans="1:2" ht="12.5" x14ac:dyDescent="0.25">
      <c r="A642" t="str">
        <f ca="1">IFERROR(__xludf.DUMMYFUNCTION("""COMPUTED_VALUE"""),"Benzoylprop")</f>
        <v>Benzoylprop</v>
      </c>
      <c r="B642" t="str">
        <f ca="1">IFERROR(__xludf.DUMMYFUNCTION("""COMPUTED_VALUE"""),"RF-0501-001-PPP")</f>
        <v>RF-0501-001-PPP</v>
      </c>
    </row>
    <row r="643" spans="1:2" ht="12.5" x14ac:dyDescent="0.25">
      <c r="A643" t="str">
        <f ca="1">IFERROR(__xludf.DUMMYFUNCTION("""COMPUTED_VALUE"""),"Benzoylprop-Ethyl")</f>
        <v>Benzoylprop-Ethyl</v>
      </c>
      <c r="B643" t="str">
        <f ca="1">IFERROR(__xludf.DUMMYFUNCTION("""COMPUTED_VALUE"""),"RF-0502-001-PPP")</f>
        <v>RF-0502-001-PPP</v>
      </c>
    </row>
    <row r="644" spans="1:2" ht="12.5" x14ac:dyDescent="0.25">
      <c r="A644" t="str">
        <f ca="1">IFERROR(__xludf.DUMMYFUNCTION("""COMPUTED_VALUE"""),"Benzthiazuron")</f>
        <v>Benzthiazuron</v>
      </c>
      <c r="B644" t="str">
        <f ca="1">IFERROR(__xludf.DUMMYFUNCTION("""COMPUTED_VALUE"""),"RF-0503-001-PPP")</f>
        <v>RF-0503-001-PPP</v>
      </c>
    </row>
    <row r="645" spans="1:2" ht="12.5" x14ac:dyDescent="0.25">
      <c r="A645" t="str">
        <f ca="1">IFERROR(__xludf.DUMMYFUNCTION("""COMPUTED_VALUE"""),"Benzyl alcohol")</f>
        <v>Benzyl alcohol</v>
      </c>
      <c r="B645" t="str">
        <f ca="1">IFERROR(__xludf.DUMMYFUNCTION("""COMPUTED_VALUE"""),"RF-00000053-ADD")</f>
        <v>RF-00000053-ADD</v>
      </c>
    </row>
    <row r="646" spans="1:2" ht="12.5" x14ac:dyDescent="0.25">
      <c r="A646" t="str">
        <f ca="1">IFERROR(__xludf.DUMMYFUNCTION("""COMPUTED_VALUE"""),"Benzylpenicillin (Penicillin G)")</f>
        <v>Benzylpenicillin (Penicillin G)</v>
      </c>
      <c r="B646" t="str">
        <f ca="1">IFERROR(__xludf.DUMMYFUNCTION("""COMPUTED_VALUE"""),"RF-00000596-VET")</f>
        <v>RF-00000596-VET</v>
      </c>
    </row>
    <row r="647" spans="1:2" ht="12.5" x14ac:dyDescent="0.25">
      <c r="A647" t="str">
        <f ca="1">IFERROR(__xludf.DUMMYFUNCTION("""COMPUTED_VALUE"""),"Benzylthiouracil")</f>
        <v>Benzylthiouracil</v>
      </c>
      <c r="B647" t="str">
        <f ca="1">IFERROR(__xludf.DUMMYFUNCTION("""COMPUTED_VALUE"""),"RF-00000300-VET")</f>
        <v>RF-00000300-VET</v>
      </c>
    </row>
    <row r="648" spans="1:2" ht="12.5" x14ac:dyDescent="0.25">
      <c r="A648" t="str">
        <f ca="1">IFERROR(__xludf.DUMMYFUNCTION("""COMPUTED_VALUE"""),"Beryllium (Be)")</f>
        <v>Beryllium (Be)</v>
      </c>
      <c r="B648" t="str">
        <f ca="1">IFERROR(__xludf.DUMMYFUNCTION("""COMPUTED_VALUE"""),"RF-00000145-CHE")</f>
        <v>RF-00000145-CHE</v>
      </c>
    </row>
    <row r="649" spans="1:2" ht="12.5" x14ac:dyDescent="0.25">
      <c r="A649" t="str">
        <f ca="1">IFERROR(__xludf.DUMMYFUNCTION("""COMPUTED_VALUE"""),"Beryllium and derivatives")</f>
        <v>Beryllium and derivatives</v>
      </c>
      <c r="B649" t="str">
        <f ca="1">IFERROR(__xludf.DUMMYFUNCTION("""COMPUTED_VALUE"""),"RF-00000144-CHE")</f>
        <v>RF-00000144-CHE</v>
      </c>
    </row>
    <row r="650" spans="1:2" ht="12.5" x14ac:dyDescent="0.25">
      <c r="A650" t="str">
        <f ca="1">IFERROR(__xludf.DUMMYFUNCTION("""COMPUTED_VALUE"""),"Beta activity")</f>
        <v>Beta activity</v>
      </c>
      <c r="B650" t="str">
        <f ca="1">IFERROR(__xludf.DUMMYFUNCTION("""COMPUTED_VALUE"""),"RF-00000010-RAD")</f>
        <v>RF-00000010-RAD</v>
      </c>
    </row>
    <row r="651" spans="1:2" ht="12.5" x14ac:dyDescent="0.25">
      <c r="A651" t="str">
        <f ca="1">IFERROR(__xludf.DUMMYFUNCTION("""COMPUTED_VALUE"""),"Beta Zearalanol (Taleranol)")</f>
        <v>Beta Zearalanol (Taleranol)</v>
      </c>
      <c r="B651" t="str">
        <f ca="1">IFERROR(__xludf.DUMMYFUNCTION("""COMPUTED_VALUE"""),"RF-00000448-VET")</f>
        <v>RF-00000448-VET</v>
      </c>
    </row>
    <row r="652" spans="1:2" ht="12.5" x14ac:dyDescent="0.25">
      <c r="A652" t="str">
        <f ca="1">IFERROR(__xludf.DUMMYFUNCTION("""COMPUTED_VALUE"""),"Beta-agonists")</f>
        <v>Beta-agonists</v>
      </c>
      <c r="B652" t="str">
        <f ca="1">IFERROR(__xludf.DUMMYFUNCTION("""COMPUTED_VALUE"""),"RF-00000451-VET")</f>
        <v>RF-00000451-VET</v>
      </c>
    </row>
    <row r="653" spans="1:2" ht="12.5" x14ac:dyDescent="0.25">
      <c r="A653" t="str">
        <f ca="1">IFERROR(__xludf.DUMMYFUNCTION("""COMPUTED_VALUE"""),"Beta-agonists (screening multisubstances)")</f>
        <v>Beta-agonists (screening multisubstances)</v>
      </c>
      <c r="B653" t="str">
        <f ca="1">IFERROR(__xludf.DUMMYFUNCTION("""COMPUTED_VALUE"""),"RF-00000452-VET")</f>
        <v>RF-00000452-VET</v>
      </c>
    </row>
    <row r="654" spans="1:2" ht="12.5" x14ac:dyDescent="0.25">
      <c r="A654" t="str">
        <f ca="1">IFERROR(__xludf.DUMMYFUNCTION("""COMPUTED_VALUE"""),"Beta-apo-8'-carotenal (C 30)")</f>
        <v>Beta-apo-8'-carotenal (C 30)</v>
      </c>
      <c r="B654" t="str">
        <f ca="1">IFERROR(__xludf.DUMMYFUNCTION("""COMPUTED_VALUE"""),"RF-00000054-ADD")</f>
        <v>RF-00000054-ADD</v>
      </c>
    </row>
    <row r="655" spans="1:2" ht="12.5" x14ac:dyDescent="0.25">
      <c r="A655" t="str">
        <f ca="1">IFERROR(__xludf.DUMMYFUNCTION("""COMPUTED_VALUE"""),"beta-carotene")</f>
        <v>beta-carotene</v>
      </c>
      <c r="B655" t="str">
        <f ca="1">IFERROR(__xludf.DUMMYFUNCTION("""COMPUTED_VALUE"""),"RF-00000030-NTR")</f>
        <v>RF-00000030-NTR</v>
      </c>
    </row>
    <row r="656" spans="1:2" ht="12.5" x14ac:dyDescent="0.25">
      <c r="A656" t="str">
        <f ca="1">IFERROR(__xludf.DUMMYFUNCTION("""COMPUTED_VALUE"""),"beta-carotene equivalents (provitamin A carotenoids)")</f>
        <v>beta-carotene equivalents (provitamin A carotenoids)</v>
      </c>
      <c r="B656" t="str">
        <f ca="1">IFERROR(__xludf.DUMMYFUNCTION("""COMPUTED_VALUE"""),"RF-00000031-NTR")</f>
        <v>RF-00000031-NTR</v>
      </c>
    </row>
    <row r="657" spans="1:2" ht="12.5" x14ac:dyDescent="0.25">
      <c r="A657" t="str">
        <f ca="1">IFERROR(__xludf.DUMMYFUNCTION("""COMPUTED_VALUE"""),"beta-cryptoxanthin")</f>
        <v>beta-cryptoxanthin</v>
      </c>
      <c r="B657" t="str">
        <f ca="1">IFERROR(__xludf.DUMMYFUNCTION("""COMPUTED_VALUE"""),"RF-00000032-NTR")</f>
        <v>RF-00000032-NTR</v>
      </c>
    </row>
    <row r="658" spans="1:2" ht="12.5" x14ac:dyDescent="0.25">
      <c r="A658" t="str">
        <f ca="1">IFERROR(__xludf.DUMMYFUNCTION("""COMPUTED_VALUE"""),"Beta-cyclodextrin")</f>
        <v>Beta-cyclodextrin</v>
      </c>
      <c r="B658" t="str">
        <f ca="1">IFERROR(__xludf.DUMMYFUNCTION("""COMPUTED_VALUE"""),"RF-00000055-ADD")</f>
        <v>RF-00000055-ADD</v>
      </c>
    </row>
    <row r="659" spans="1:2" ht="12.5" x14ac:dyDescent="0.25">
      <c r="A659" t="str">
        <f ca="1">IFERROR(__xludf.DUMMYFUNCTION("""COMPUTED_VALUE"""),"Beta-cypermethrin")</f>
        <v>Beta-cypermethrin</v>
      </c>
      <c r="B659" t="str">
        <f ca="1">IFERROR(__xludf.DUMMYFUNCTION("""COMPUTED_VALUE"""),"RF-0112-003-PPP")</f>
        <v>RF-0112-003-PPP</v>
      </c>
    </row>
    <row r="660" spans="1:2" ht="12.5" x14ac:dyDescent="0.25">
      <c r="A660" t="str">
        <f ca="1">IFERROR(__xludf.DUMMYFUNCTION("""COMPUTED_VALUE"""),"beta-Ergocryptine")</f>
        <v>beta-Ergocryptine</v>
      </c>
      <c r="B660" t="str">
        <f ca="1">IFERROR(__xludf.DUMMYFUNCTION("""COMPUTED_VALUE"""),"RF-00000139-TOX")</f>
        <v>RF-00000139-TOX</v>
      </c>
    </row>
    <row r="661" spans="1:2" ht="12.5" x14ac:dyDescent="0.25">
      <c r="A661" t="str">
        <f ca="1">IFERROR(__xludf.DUMMYFUNCTION("""COMPUTED_VALUE"""),"beta-Ergocryptinine")</f>
        <v>beta-Ergocryptinine</v>
      </c>
      <c r="B661" t="str">
        <f ca="1">IFERROR(__xludf.DUMMYFUNCTION("""COMPUTED_VALUE"""),"RF-00000146-TOX")</f>
        <v>RF-00000146-TOX</v>
      </c>
    </row>
    <row r="662" spans="1:2" ht="12.5" x14ac:dyDescent="0.25">
      <c r="A662" t="str">
        <f ca="1">IFERROR(__xludf.DUMMYFUNCTION("""COMPUTED_VALUE"""),"Beta-lactams")</f>
        <v>Beta-lactams</v>
      </c>
      <c r="B662" t="str">
        <f ca="1">IFERROR(__xludf.DUMMYFUNCTION("""COMPUTED_VALUE"""),"RF-00000568-VET")</f>
        <v>RF-00000568-VET</v>
      </c>
    </row>
    <row r="663" spans="1:2" ht="12.5" x14ac:dyDescent="0.25">
      <c r="A663" t="str">
        <f ca="1">IFERROR(__xludf.DUMMYFUNCTION("""COMPUTED_VALUE"""),"beta-tocopherol")</f>
        <v>beta-tocopherol</v>
      </c>
      <c r="B663" t="str">
        <f ca="1">IFERROR(__xludf.DUMMYFUNCTION("""COMPUTED_VALUE"""),"RF-00000033-NTR")</f>
        <v>RF-00000033-NTR</v>
      </c>
    </row>
    <row r="664" spans="1:2" ht="12.5" x14ac:dyDescent="0.25">
      <c r="A664" t="str">
        <f ca="1">IFERROR(__xludf.DUMMYFUNCTION("""COMPUTED_VALUE"""),"beta-tocotrienol")</f>
        <v>beta-tocotrienol</v>
      </c>
      <c r="B664" t="str">
        <f ca="1">IFERROR(__xludf.DUMMYFUNCTION("""COMPUTED_VALUE"""),"RF-00000034-NTR")</f>
        <v>RF-00000034-NTR</v>
      </c>
    </row>
    <row r="665" spans="1:2" ht="12.5" x14ac:dyDescent="0.25">
      <c r="A665" t="str">
        <f ca="1">IFERROR(__xludf.DUMMYFUNCTION("""COMPUTED_VALUE"""),"Betamethasone")</f>
        <v>Betamethasone</v>
      </c>
      <c r="B665" t="str">
        <f ca="1">IFERROR(__xludf.DUMMYFUNCTION("""COMPUTED_VALUE"""),"RF-00000273-VET")</f>
        <v>RF-00000273-VET</v>
      </c>
    </row>
    <row r="666" spans="1:2" ht="12.5" x14ac:dyDescent="0.25">
      <c r="A666" t="str">
        <f ca="1">IFERROR(__xludf.DUMMYFUNCTION("""COMPUTED_VALUE"""),"Betamethasone")</f>
        <v>Betamethasone</v>
      </c>
      <c r="B666" t="str">
        <f ca="1">IFERROR(__xludf.DUMMYFUNCTION("""COMPUTED_VALUE"""),"RF-00000358-VET")</f>
        <v>RF-00000358-VET</v>
      </c>
    </row>
    <row r="667" spans="1:2" ht="12.5" x14ac:dyDescent="0.25">
      <c r="A667" t="str">
        <f ca="1">IFERROR(__xludf.DUMMYFUNCTION("""COMPUTED_VALUE"""),"Bifenazate")</f>
        <v>Bifenazate</v>
      </c>
      <c r="B667" t="str">
        <f ca="1">IFERROR(__xludf.DUMMYFUNCTION("""COMPUTED_VALUE"""),"RF-0044-001-PPP")</f>
        <v>RF-0044-001-PPP</v>
      </c>
    </row>
    <row r="668" spans="1:2" ht="12.5" x14ac:dyDescent="0.25">
      <c r="A668" t="str">
        <f ca="1">IFERROR(__xludf.DUMMYFUNCTION("""COMPUTED_VALUE"""),"Bifenox")</f>
        <v>Bifenox</v>
      </c>
      <c r="B668" t="str">
        <f ca="1">IFERROR(__xludf.DUMMYFUNCTION("""COMPUTED_VALUE"""),"RF-0045-001-PPP")</f>
        <v>RF-0045-001-PPP</v>
      </c>
    </row>
    <row r="669" spans="1:2" ht="12.5" x14ac:dyDescent="0.25">
      <c r="A669" t="str">
        <f ca="1">IFERROR(__xludf.DUMMYFUNCTION("""COMPUTED_VALUE"""),"Bifenthrin")</f>
        <v>Bifenthrin</v>
      </c>
      <c r="B669" t="str">
        <f ca="1">IFERROR(__xludf.DUMMYFUNCTION("""COMPUTED_VALUE"""),"RF-00000103-VET")</f>
        <v>RF-00000103-VET</v>
      </c>
    </row>
    <row r="670" spans="1:2" ht="12.5" x14ac:dyDescent="0.25">
      <c r="A670" t="str">
        <f ca="1">IFERROR(__xludf.DUMMYFUNCTION("""COMPUTED_VALUE"""),"Bifenthrin")</f>
        <v>Bifenthrin</v>
      </c>
      <c r="B670" t="str">
        <f ca="1">IFERROR(__xludf.DUMMYFUNCTION("""COMPUTED_VALUE"""),"RF-0046-001-PPP")</f>
        <v>RF-0046-001-PPP</v>
      </c>
    </row>
    <row r="671" spans="1:2" ht="12.5" x14ac:dyDescent="0.25">
      <c r="A671" t="str">
        <f ca="1">IFERROR(__xludf.DUMMYFUNCTION("""COMPUTED_VALUE"""),"Binapacryl")</f>
        <v>Binapacryl</v>
      </c>
      <c r="B671" t="str">
        <f ca="1">IFERROR(__xludf.DUMMYFUNCTION("""COMPUTED_VALUE"""),"RF-0047-001-PPP")</f>
        <v>RF-0047-001-PPP</v>
      </c>
    </row>
    <row r="672" spans="1:2" ht="12.5" x14ac:dyDescent="0.25">
      <c r="A672" t="str">
        <f ca="1">IFERROR(__xludf.DUMMYFUNCTION("""COMPUTED_VALUE"""),"Bioallethrin")</f>
        <v>Bioallethrin</v>
      </c>
      <c r="B672" t="str">
        <f ca="1">IFERROR(__xludf.DUMMYFUNCTION("""COMPUTED_VALUE"""),"RF-0504-001-PPP")</f>
        <v>RF-0504-001-PPP</v>
      </c>
    </row>
    <row r="673" spans="1:2" ht="12.5" x14ac:dyDescent="0.25">
      <c r="A673" t="str">
        <f ca="1">IFERROR(__xludf.DUMMYFUNCTION("""COMPUTED_VALUE"""),"biochanin A")</f>
        <v>biochanin A</v>
      </c>
      <c r="B673" t="str">
        <f ca="1">IFERROR(__xludf.DUMMYFUNCTION("""COMPUTED_VALUE"""),"RF-00000035-NTR")</f>
        <v>RF-00000035-NTR</v>
      </c>
    </row>
    <row r="674" spans="1:2" ht="12.5" x14ac:dyDescent="0.25">
      <c r="A674" t="str">
        <f ca="1">IFERROR(__xludf.DUMMYFUNCTION("""COMPUTED_VALUE"""),"Biogenic amines")</f>
        <v>Biogenic amines</v>
      </c>
      <c r="B674" t="str">
        <f ca="1">IFERROR(__xludf.DUMMYFUNCTION("""COMPUTED_VALUE"""),"RF-00000001-BGA")</f>
        <v>RF-00000001-BGA</v>
      </c>
    </row>
    <row r="675" spans="1:2" ht="12.5" x14ac:dyDescent="0.25">
      <c r="A675" t="str">
        <f ca="1">IFERROR(__xludf.DUMMYFUNCTION("""COMPUTED_VALUE"""),"Bioresmethrin")</f>
        <v>Bioresmethrin</v>
      </c>
      <c r="B675" t="str">
        <f ca="1">IFERROR(__xludf.DUMMYFUNCTION("""COMPUTED_VALUE"""),"RF-0505-001-PPP")</f>
        <v>RF-0505-001-PPP</v>
      </c>
    </row>
    <row r="676" spans="1:2" ht="12.5" x14ac:dyDescent="0.25">
      <c r="A676" t="str">
        <f ca="1">IFERROR(__xludf.DUMMYFUNCTION("""COMPUTED_VALUE"""),"biotin")</f>
        <v>biotin</v>
      </c>
      <c r="B676" t="str">
        <f ca="1">IFERROR(__xludf.DUMMYFUNCTION("""COMPUTED_VALUE"""),"RF-00000036-NTR")</f>
        <v>RF-00000036-NTR</v>
      </c>
    </row>
    <row r="677" spans="1:2" ht="12.5" x14ac:dyDescent="0.25">
      <c r="A677" t="str">
        <f ca="1">IFERROR(__xludf.DUMMYFUNCTION("""COMPUTED_VALUE"""),"Biphenyl")</f>
        <v>Biphenyl</v>
      </c>
      <c r="B677" t="str">
        <f ca="1">IFERROR(__xludf.DUMMYFUNCTION("""COMPUTED_VALUE"""),"RF-0506-001-PPP")</f>
        <v>RF-0506-001-PPP</v>
      </c>
    </row>
    <row r="678" spans="1:2" ht="12.5" x14ac:dyDescent="0.25">
      <c r="A678" t="str">
        <f ca="1">IFERROR(__xludf.DUMMYFUNCTION("""COMPUTED_VALUE"""),"Bis (2,4,6-tribromophenoxy)ethane")</f>
        <v>Bis (2,4,6-tribromophenoxy)ethane</v>
      </c>
      <c r="B678" t="str">
        <f ca="1">IFERROR(__xludf.DUMMYFUNCTION("""COMPUTED_VALUE"""),"RF-00000082-ORG")</f>
        <v>RF-00000082-ORG</v>
      </c>
    </row>
    <row r="679" spans="1:2" ht="12.5" x14ac:dyDescent="0.25">
      <c r="A679" t="str">
        <f ca="1">IFERROR(__xludf.DUMMYFUNCTION("""COMPUTED_VALUE"""),"Bishomopalytoxin")</f>
        <v>Bishomopalytoxin</v>
      </c>
      <c r="B679" t="str">
        <f ca="1">IFERROR(__xludf.DUMMYFUNCTION("""COMPUTED_VALUE"""),"RF-00000076-TOX")</f>
        <v>RF-00000076-TOX</v>
      </c>
    </row>
    <row r="680" spans="1:2" ht="12.5" x14ac:dyDescent="0.25">
      <c r="A680" t="str">
        <f ca="1">IFERROR(__xludf.DUMMYFUNCTION("""COMPUTED_VALUE"""),"Bisphenol Chlorinated")</f>
        <v>Bisphenol Chlorinated</v>
      </c>
      <c r="B680" t="str">
        <f ca="1">IFERROR(__xludf.DUMMYFUNCTION("""COMPUTED_VALUE"""),"RF-00001239-PAR")</f>
        <v>RF-00001239-PAR</v>
      </c>
    </row>
    <row r="681" spans="1:2" ht="12.5" x14ac:dyDescent="0.25">
      <c r="A681" t="str">
        <f ca="1">IFERROR(__xludf.DUMMYFUNCTION("""COMPUTED_VALUE"""),"Bisphenol compounds")</f>
        <v>Bisphenol compounds</v>
      </c>
      <c r="B681" t="str">
        <f ca="1">IFERROR(__xludf.DUMMYFUNCTION("""COMPUTED_VALUE"""),"RF-00001240-PAR")</f>
        <v>RF-00001240-PAR</v>
      </c>
    </row>
    <row r="682" spans="1:2" ht="12.5" x14ac:dyDescent="0.25">
      <c r="A682" t="str">
        <f ca="1">IFERROR(__xludf.DUMMYFUNCTION("""COMPUTED_VALUE"""),"Bisphenol conjugated")</f>
        <v>Bisphenol conjugated</v>
      </c>
      <c r="B682" t="str">
        <f ca="1">IFERROR(__xludf.DUMMYFUNCTION("""COMPUTED_VALUE"""),"RF-00001237-PAR")</f>
        <v>RF-00001237-PAR</v>
      </c>
    </row>
    <row r="683" spans="1:2" ht="12.5" x14ac:dyDescent="0.25">
      <c r="A683" t="str">
        <f ca="1">IFERROR(__xludf.DUMMYFUNCTION("""COMPUTED_VALUE"""),"Bisphenol unconjugated")</f>
        <v>Bisphenol unconjugated</v>
      </c>
      <c r="B683" t="str">
        <f ca="1">IFERROR(__xludf.DUMMYFUNCTION("""COMPUTED_VALUE"""),"RF-00001238-PAR")</f>
        <v>RF-00001238-PAR</v>
      </c>
    </row>
    <row r="684" spans="1:2" ht="12.5" x14ac:dyDescent="0.25">
      <c r="A684" t="str">
        <f ca="1">IFERROR(__xludf.DUMMYFUNCTION("""COMPUTED_VALUE"""),"Bisphenol-A (Total)")</f>
        <v>Bisphenol-A (Total)</v>
      </c>
      <c r="B684" t="str">
        <f ca="1">IFERROR(__xludf.DUMMYFUNCTION("""COMPUTED_VALUE"""),"RF-00000482-ORG")</f>
        <v>RF-00000482-ORG</v>
      </c>
    </row>
    <row r="685" spans="1:2" ht="12.5" x14ac:dyDescent="0.25">
      <c r="A685" t="str">
        <f ca="1">IFERROR(__xludf.DUMMYFUNCTION("""COMPUTED_VALUE"""),"Bispyribac")</f>
        <v>Bispyribac</v>
      </c>
      <c r="B685" t="str">
        <f ca="1">IFERROR(__xludf.DUMMYFUNCTION("""COMPUTED_VALUE"""),"RF-0507-001-PPP")</f>
        <v>RF-0507-001-PPP</v>
      </c>
    </row>
    <row r="686" spans="1:2" ht="12.5" x14ac:dyDescent="0.25">
      <c r="A686" t="str">
        <f ca="1">IFERROR(__xludf.DUMMYFUNCTION("""COMPUTED_VALUE"""),"Bitertanol")</f>
        <v>Bitertanol</v>
      </c>
      <c r="B686" t="str">
        <f ca="1">IFERROR(__xludf.DUMMYFUNCTION("""COMPUTED_VALUE"""),"RF-0048-001-PPP")</f>
        <v>RF-0048-001-PPP</v>
      </c>
    </row>
    <row r="687" spans="1:2" ht="12.5" x14ac:dyDescent="0.25">
      <c r="A687" t="str">
        <f ca="1">IFERROR(__xludf.DUMMYFUNCTION("""COMPUTED_VALUE"""),"Biuret")</f>
        <v>Biuret</v>
      </c>
      <c r="B687" t="str">
        <f ca="1">IFERROR(__xludf.DUMMYFUNCTION("""COMPUTED_VALUE"""),"RF-00000105-CHE")</f>
        <v>RF-00000105-CHE</v>
      </c>
    </row>
    <row r="688" spans="1:2" ht="12.5" x14ac:dyDescent="0.25">
      <c r="A688" t="str">
        <f ca="1">IFERROR(__xludf.DUMMYFUNCTION("""COMPUTED_VALUE"""),"Bixafen")</f>
        <v>Bixafen</v>
      </c>
      <c r="B688" t="str">
        <f ca="1">IFERROR(__xludf.DUMMYFUNCTION("""COMPUTED_VALUE"""),"RF-1056-001-PPP")</f>
        <v>RF-1056-001-PPP</v>
      </c>
    </row>
    <row r="689" spans="1:2" ht="12.5" x14ac:dyDescent="0.25">
      <c r="A689" t="str">
        <f ca="1">IFERROR(__xludf.DUMMYFUNCTION("""COMPUTED_VALUE"""),"Bixafen (sum of bixafen and desmethyl-bixafen, expressed as bixafen)")</f>
        <v>Bixafen (sum of bixafen and desmethyl-bixafen, expressed as bixafen)</v>
      </c>
      <c r="B689" t="str">
        <f ca="1">IFERROR(__xludf.DUMMYFUNCTION("""COMPUTED_VALUE"""),"RF-00000010-PAR")</f>
        <v>RF-00000010-PAR</v>
      </c>
    </row>
    <row r="690" spans="1:2" ht="12.5" x14ac:dyDescent="0.25">
      <c r="A690" t="str">
        <f ca="1">IFERROR(__xludf.DUMMYFUNCTION("""COMPUTED_VALUE"""),"Blasticidin-S")</f>
        <v>Blasticidin-S</v>
      </c>
      <c r="B690" t="str">
        <f ca="1">IFERROR(__xludf.DUMMYFUNCTION("""COMPUTED_VALUE"""),"RF-0508-001-PPP")</f>
        <v>RF-0508-001-PPP</v>
      </c>
    </row>
    <row r="691" spans="1:2" ht="12.5" x14ac:dyDescent="0.25">
      <c r="A691" t="str">
        <f ca="1">IFERROR(__xludf.DUMMYFUNCTION("""COMPUTED_VALUE"""),"Bokeloh Bat Lyssavirus")</f>
        <v>Bokeloh Bat Lyssavirus</v>
      </c>
      <c r="B691" t="str">
        <f ca="1">IFERROR(__xludf.DUMMYFUNCTION("""COMPUTED_VALUE"""),"RF-00001300-PAR")</f>
        <v>RF-00001300-PAR</v>
      </c>
    </row>
    <row r="692" spans="1:2" ht="12.5" x14ac:dyDescent="0.25">
      <c r="A692" t="str">
        <f ca="1">IFERROR(__xludf.DUMMYFUNCTION("""COMPUTED_VALUE"""),"Bolandiol")</f>
        <v>Bolandiol</v>
      </c>
      <c r="B692" t="str">
        <f ca="1">IFERROR(__xludf.DUMMYFUNCTION("""COMPUTED_VALUE"""),"RF-00000391-VET")</f>
        <v>RF-00000391-VET</v>
      </c>
    </row>
    <row r="693" spans="1:2" ht="12.5" x14ac:dyDescent="0.25">
      <c r="A693" t="str">
        <f ca="1">IFERROR(__xludf.DUMMYFUNCTION("""COMPUTED_VALUE"""),"Bolandiol dipropionate")</f>
        <v>Bolandiol dipropionate</v>
      </c>
      <c r="B693" t="str">
        <f ca="1">IFERROR(__xludf.DUMMYFUNCTION("""COMPUTED_VALUE"""),"RF-00000390-VET")</f>
        <v>RF-00000390-VET</v>
      </c>
    </row>
    <row r="694" spans="1:2" ht="12.5" x14ac:dyDescent="0.25">
      <c r="A694" t="str">
        <f ca="1">IFERROR(__xludf.DUMMYFUNCTION("""COMPUTED_VALUE"""),"Bolasterol")</f>
        <v>Bolasterol</v>
      </c>
      <c r="B694" t="str">
        <f ca="1">IFERROR(__xludf.DUMMYFUNCTION("""COMPUTED_VALUE"""),"RF-00000389-VET")</f>
        <v>RF-00000389-VET</v>
      </c>
    </row>
    <row r="695" spans="1:2" ht="12.5" x14ac:dyDescent="0.25">
      <c r="A695" t="str">
        <f ca="1">IFERROR(__xludf.DUMMYFUNCTION("""COMPUTED_VALUE"""),"Bolasterone")</f>
        <v>Bolasterone</v>
      </c>
      <c r="B695" t="str">
        <f ca="1">IFERROR(__xludf.DUMMYFUNCTION("""COMPUTED_VALUE"""),"RF-00000374-VET")</f>
        <v>RF-00000374-VET</v>
      </c>
    </row>
    <row r="696" spans="1:2" ht="12.5" x14ac:dyDescent="0.25">
      <c r="A696" t="str">
        <f ca="1">IFERROR(__xludf.DUMMYFUNCTION("""COMPUTED_VALUE"""),"Boldenone")</f>
        <v>Boldenone</v>
      </c>
      <c r="B696" t="str">
        <f ca="1">IFERROR(__xludf.DUMMYFUNCTION("""COMPUTED_VALUE"""),"RF-00000387-VET")</f>
        <v>RF-00000387-VET</v>
      </c>
    </row>
    <row r="697" spans="1:2" ht="12.5" x14ac:dyDescent="0.25">
      <c r="A697" t="str">
        <f ca="1">IFERROR(__xludf.DUMMYFUNCTION("""COMPUTED_VALUE"""),"Boldenone Methyl (Dianabol, Methandienon, Methandrostenolone, Testosterone dihydromethyl)")</f>
        <v>Boldenone Methyl (Dianabol, Methandienon, Methandrostenolone, Testosterone dihydromethyl)</v>
      </c>
      <c r="B697" t="str">
        <f ca="1">IFERROR(__xludf.DUMMYFUNCTION("""COMPUTED_VALUE"""),"RF-00000400-VET")</f>
        <v>RF-00000400-VET</v>
      </c>
    </row>
    <row r="698" spans="1:2" ht="12.5" x14ac:dyDescent="0.25">
      <c r="A698" t="str">
        <f ca="1">IFERROR(__xludf.DUMMYFUNCTION("""COMPUTED_VALUE"""),"Boldenone undecanoate")</f>
        <v>Boldenone undecanoate</v>
      </c>
      <c r="B698" t="str">
        <f ca="1">IFERROR(__xludf.DUMMYFUNCTION("""COMPUTED_VALUE"""),"RF-00000385-VET")</f>
        <v>RF-00000385-VET</v>
      </c>
    </row>
    <row r="699" spans="1:2" ht="12.5" x14ac:dyDescent="0.25">
      <c r="A699" t="str">
        <f ca="1">IFERROR(__xludf.DUMMYFUNCTION("""COMPUTED_VALUE"""),"Boldenone-Alpha")</f>
        <v>Boldenone-Alpha</v>
      </c>
      <c r="B699" t="str">
        <f ca="1">IFERROR(__xludf.DUMMYFUNCTION("""COMPUTED_VALUE"""),"RF-00000383-VET")</f>
        <v>RF-00000383-VET</v>
      </c>
    </row>
    <row r="700" spans="1:2" ht="12.5" x14ac:dyDescent="0.25">
      <c r="A700" t="str">
        <f ca="1">IFERROR(__xludf.DUMMYFUNCTION("""COMPUTED_VALUE"""),"Boldione")</f>
        <v>Boldione</v>
      </c>
      <c r="B700" t="str">
        <f ca="1">IFERROR(__xludf.DUMMYFUNCTION("""COMPUTED_VALUE"""),"RF-00000382-VET")</f>
        <v>RF-00000382-VET</v>
      </c>
    </row>
    <row r="701" spans="1:2" ht="12.5" x14ac:dyDescent="0.25">
      <c r="A701" t="str">
        <f ca="1">IFERROR(__xludf.DUMMYFUNCTION("""COMPUTED_VALUE"""),"Bomyl")</f>
        <v>Bomyl</v>
      </c>
      <c r="B701" t="str">
        <f ca="1">IFERROR(__xludf.DUMMYFUNCTION("""COMPUTED_VALUE"""),"RF-0509-001-PPP")</f>
        <v>RF-0509-001-PPP</v>
      </c>
    </row>
    <row r="702" spans="1:2" ht="12.5" x14ac:dyDescent="0.25">
      <c r="A702" t="str">
        <f ca="1">IFERROR(__xludf.DUMMYFUNCTION("""COMPUTED_VALUE"""),"Boric acid")</f>
        <v>Boric acid</v>
      </c>
      <c r="B702" t="str">
        <f ca="1">IFERROR(__xludf.DUMMYFUNCTION("""COMPUTED_VALUE"""),"RF-00000056-ADD")</f>
        <v>RF-00000056-ADD</v>
      </c>
    </row>
    <row r="703" spans="1:2" ht="12.5" x14ac:dyDescent="0.25">
      <c r="A703" t="str">
        <f ca="1">IFERROR(__xludf.DUMMYFUNCTION("""COMPUTED_VALUE"""),"Boron (B)")</f>
        <v>Boron (B)</v>
      </c>
      <c r="B703" t="str">
        <f ca="1">IFERROR(__xludf.DUMMYFUNCTION("""COMPUTED_VALUE"""),"RF-00000147-CHE")</f>
        <v>RF-00000147-CHE</v>
      </c>
    </row>
    <row r="704" spans="1:2" ht="12.5" x14ac:dyDescent="0.25">
      <c r="A704" t="str">
        <f ca="1">IFERROR(__xludf.DUMMYFUNCTION("""COMPUTED_VALUE"""),"Boron and derivatives")</f>
        <v>Boron and derivatives</v>
      </c>
      <c r="B704" t="str">
        <f ca="1">IFERROR(__xludf.DUMMYFUNCTION("""COMPUTED_VALUE"""),"RF-00000146-CHE")</f>
        <v>RF-00000146-CHE</v>
      </c>
    </row>
    <row r="705" spans="1:2" ht="12.5" x14ac:dyDescent="0.25">
      <c r="A705" t="str">
        <f ca="1">IFERROR(__xludf.DUMMYFUNCTION("""COMPUTED_VALUE"""),"Borrelia")</f>
        <v>Borrelia</v>
      </c>
      <c r="B705" t="str">
        <f ca="1">IFERROR(__xludf.DUMMYFUNCTION("""COMPUTED_VALUE"""),"RF-00000017-MCG")</f>
        <v>RF-00000017-MCG</v>
      </c>
    </row>
    <row r="706" spans="1:2" ht="12.5" x14ac:dyDescent="0.25">
      <c r="A706" t="str">
        <f ca="1">IFERROR(__xludf.DUMMYFUNCTION("""COMPUTED_VALUE"""),"Borrelia abortus")</f>
        <v>Borrelia abortus</v>
      </c>
      <c r="B706" t="str">
        <f ca="1">IFERROR(__xludf.DUMMYFUNCTION("""COMPUTED_VALUE"""),"RF-00000037-MCG")</f>
        <v>RF-00000037-MCG</v>
      </c>
    </row>
    <row r="707" spans="1:2" ht="12.5" x14ac:dyDescent="0.25">
      <c r="A707" t="str">
        <f ca="1">IFERROR(__xludf.DUMMYFUNCTION("""COMPUTED_VALUE"""),"Borrelia afzelii")</f>
        <v>Borrelia afzelii</v>
      </c>
      <c r="B707" t="str">
        <f ca="1">IFERROR(__xludf.DUMMYFUNCTION("""COMPUTED_VALUE"""),"RF-00002694-MCG")</f>
        <v>RF-00002694-MCG</v>
      </c>
    </row>
    <row r="708" spans="1:2" ht="12.5" x14ac:dyDescent="0.25">
      <c r="A708" t="str">
        <f ca="1">IFERROR(__xludf.DUMMYFUNCTION("""COMPUTED_VALUE"""),"Borrelia anserina")</f>
        <v>Borrelia anserina</v>
      </c>
      <c r="B708" t="str">
        <f ca="1">IFERROR(__xludf.DUMMYFUNCTION("""COMPUTED_VALUE"""),"RF-00002695-MCG")</f>
        <v>RF-00002695-MCG</v>
      </c>
    </row>
    <row r="709" spans="1:2" ht="12.5" x14ac:dyDescent="0.25">
      <c r="A709" t="str">
        <f ca="1">IFERROR(__xludf.DUMMYFUNCTION("""COMPUTED_VALUE"""),"Borrelia baltazardii")</f>
        <v>Borrelia baltazardii</v>
      </c>
      <c r="B709" t="str">
        <f ca="1">IFERROR(__xludf.DUMMYFUNCTION("""COMPUTED_VALUE"""),"RF-00002696-MCG")</f>
        <v>RF-00002696-MCG</v>
      </c>
    </row>
    <row r="710" spans="1:2" ht="12.5" x14ac:dyDescent="0.25">
      <c r="A710" t="str">
        <f ca="1">IFERROR(__xludf.DUMMYFUNCTION("""COMPUTED_VALUE"""),"Borrelia brasiliensis")</f>
        <v>Borrelia brasiliensis</v>
      </c>
      <c r="B710" t="str">
        <f ca="1">IFERROR(__xludf.DUMMYFUNCTION("""COMPUTED_VALUE"""),"RF-00002697-MCG")</f>
        <v>RF-00002697-MCG</v>
      </c>
    </row>
    <row r="711" spans="1:2" ht="12.5" x14ac:dyDescent="0.25">
      <c r="A711" t="str">
        <f ca="1">IFERROR(__xludf.DUMMYFUNCTION("""COMPUTED_VALUE"""),"Borrelia burgdorferi")</f>
        <v>Borrelia burgdorferi</v>
      </c>
      <c r="B711" t="str">
        <f ca="1">IFERROR(__xludf.DUMMYFUNCTION("""COMPUTED_VALUE"""),"RF-00000035-MCG")</f>
        <v>RF-00000035-MCG</v>
      </c>
    </row>
    <row r="712" spans="1:2" ht="12.5" x14ac:dyDescent="0.25">
      <c r="A712" t="str">
        <f ca="1">IFERROR(__xludf.DUMMYFUNCTION("""COMPUTED_VALUE"""),"Borrelia canis")</f>
        <v>Borrelia canis</v>
      </c>
      <c r="B712" t="str">
        <f ca="1">IFERROR(__xludf.DUMMYFUNCTION("""COMPUTED_VALUE"""),"RF-00000029-MCG")</f>
        <v>RF-00000029-MCG</v>
      </c>
    </row>
    <row r="713" spans="1:2" ht="12.5" x14ac:dyDescent="0.25">
      <c r="A713" t="str">
        <f ca="1">IFERROR(__xludf.DUMMYFUNCTION("""COMPUTED_VALUE"""),"Borrelia caucasica")</f>
        <v>Borrelia caucasica</v>
      </c>
      <c r="B713" t="str">
        <f ca="1">IFERROR(__xludf.DUMMYFUNCTION("""COMPUTED_VALUE"""),"RF-00002698-MCG")</f>
        <v>RF-00002698-MCG</v>
      </c>
    </row>
    <row r="714" spans="1:2" ht="12.5" x14ac:dyDescent="0.25">
      <c r="A714" t="str">
        <f ca="1">IFERROR(__xludf.DUMMYFUNCTION("""COMPUTED_VALUE"""),"Borrelia coriaceae")</f>
        <v>Borrelia coriaceae</v>
      </c>
      <c r="B714" t="str">
        <f ca="1">IFERROR(__xludf.DUMMYFUNCTION("""COMPUTED_VALUE"""),"RF-00002699-MCG")</f>
        <v>RF-00002699-MCG</v>
      </c>
    </row>
    <row r="715" spans="1:2" ht="12.5" x14ac:dyDescent="0.25">
      <c r="A715" t="str">
        <f ca="1">IFERROR(__xludf.DUMMYFUNCTION("""COMPUTED_VALUE"""),"Borrelia crocidurae")</f>
        <v>Borrelia crocidurae</v>
      </c>
      <c r="B715" t="str">
        <f ca="1">IFERROR(__xludf.DUMMYFUNCTION("""COMPUTED_VALUE"""),"RF-00002700-MCG")</f>
        <v>RF-00002700-MCG</v>
      </c>
    </row>
    <row r="716" spans="1:2" ht="12.5" x14ac:dyDescent="0.25">
      <c r="A716" t="str">
        <f ca="1">IFERROR(__xludf.DUMMYFUNCTION("""COMPUTED_VALUE"""),"Borrelia dugesii")</f>
        <v>Borrelia dugesii</v>
      </c>
      <c r="B716" t="str">
        <f ca="1">IFERROR(__xludf.DUMMYFUNCTION("""COMPUTED_VALUE"""),"RF-00002701-MCG")</f>
        <v>RF-00002701-MCG</v>
      </c>
    </row>
    <row r="717" spans="1:2" ht="12.5" x14ac:dyDescent="0.25">
      <c r="A717" t="str">
        <f ca="1">IFERROR(__xludf.DUMMYFUNCTION("""COMPUTED_VALUE"""),"Borrelia duttonii")</f>
        <v>Borrelia duttonii</v>
      </c>
      <c r="B717" t="str">
        <f ca="1">IFERROR(__xludf.DUMMYFUNCTION("""COMPUTED_VALUE"""),"RF-00002702-MCG")</f>
        <v>RF-00002702-MCG</v>
      </c>
    </row>
    <row r="718" spans="1:2" ht="12.5" x14ac:dyDescent="0.25">
      <c r="A718" t="str">
        <f ca="1">IFERROR(__xludf.DUMMYFUNCTION("""COMPUTED_VALUE"""),"Borrelia garinii")</f>
        <v>Borrelia garinii</v>
      </c>
      <c r="B718" t="str">
        <f ca="1">IFERROR(__xludf.DUMMYFUNCTION("""COMPUTED_VALUE"""),"RF-00002703-MCG")</f>
        <v>RF-00002703-MCG</v>
      </c>
    </row>
    <row r="719" spans="1:2" ht="12.5" x14ac:dyDescent="0.25">
      <c r="A719" t="str">
        <f ca="1">IFERROR(__xludf.DUMMYFUNCTION("""COMPUTED_VALUE"""),"Borrelia graingeri")</f>
        <v>Borrelia graingeri</v>
      </c>
      <c r="B719" t="str">
        <f ca="1">IFERROR(__xludf.DUMMYFUNCTION("""COMPUTED_VALUE"""),"RF-00002704-MCG")</f>
        <v>RF-00002704-MCG</v>
      </c>
    </row>
    <row r="720" spans="1:2" ht="12.5" x14ac:dyDescent="0.25">
      <c r="A720" t="str">
        <f ca="1">IFERROR(__xludf.DUMMYFUNCTION("""COMPUTED_VALUE"""),"Borrelia harveyi")</f>
        <v>Borrelia harveyi</v>
      </c>
      <c r="B720" t="str">
        <f ca="1">IFERROR(__xludf.DUMMYFUNCTION("""COMPUTED_VALUE"""),"RF-00002705-MCG")</f>
        <v>RF-00002705-MCG</v>
      </c>
    </row>
    <row r="721" spans="1:2" ht="12.5" x14ac:dyDescent="0.25">
      <c r="A721" t="str">
        <f ca="1">IFERROR(__xludf.DUMMYFUNCTION("""COMPUTED_VALUE"""),"Borrelia hermsii")</f>
        <v>Borrelia hermsii</v>
      </c>
      <c r="B721" t="str">
        <f ca="1">IFERROR(__xludf.DUMMYFUNCTION("""COMPUTED_VALUE"""),"RF-00002706-MCG")</f>
        <v>RF-00002706-MCG</v>
      </c>
    </row>
    <row r="722" spans="1:2" ht="12.5" x14ac:dyDescent="0.25">
      <c r="A722" t="str">
        <f ca="1">IFERROR(__xludf.DUMMYFUNCTION("""COMPUTED_VALUE"""),"Borrelia hispanica")</f>
        <v>Borrelia hispanica</v>
      </c>
      <c r="B722" t="str">
        <f ca="1">IFERROR(__xludf.DUMMYFUNCTION("""COMPUTED_VALUE"""),"RF-00002707-MCG")</f>
        <v>RF-00002707-MCG</v>
      </c>
    </row>
    <row r="723" spans="1:2" ht="12.5" x14ac:dyDescent="0.25">
      <c r="A723" t="str">
        <f ca="1">IFERROR(__xludf.DUMMYFUNCTION("""COMPUTED_VALUE"""),"Borrelia japonica")</f>
        <v>Borrelia japonica</v>
      </c>
      <c r="B723" t="str">
        <f ca="1">IFERROR(__xludf.DUMMYFUNCTION("""COMPUTED_VALUE"""),"RF-00002708-MCG")</f>
        <v>RF-00002708-MCG</v>
      </c>
    </row>
    <row r="724" spans="1:2" ht="12.5" x14ac:dyDescent="0.25">
      <c r="A724" t="str">
        <f ca="1">IFERROR(__xludf.DUMMYFUNCTION("""COMPUTED_VALUE"""),"Borrelia latyschewii")</f>
        <v>Borrelia latyschewii</v>
      </c>
      <c r="B724" t="str">
        <f ca="1">IFERROR(__xludf.DUMMYFUNCTION("""COMPUTED_VALUE"""),"RF-00002709-MCG")</f>
        <v>RF-00002709-MCG</v>
      </c>
    </row>
    <row r="725" spans="1:2" ht="12.5" x14ac:dyDescent="0.25">
      <c r="A725" t="str">
        <f ca="1">IFERROR(__xludf.DUMMYFUNCTION("""COMPUTED_VALUE"""),"Borrelia lusitaniae")</f>
        <v>Borrelia lusitaniae</v>
      </c>
      <c r="B725" t="str">
        <f ca="1">IFERROR(__xludf.DUMMYFUNCTION("""COMPUTED_VALUE"""),"RF-00002710-MCG")</f>
        <v>RF-00002710-MCG</v>
      </c>
    </row>
    <row r="726" spans="1:2" ht="12.5" x14ac:dyDescent="0.25">
      <c r="A726" t="str">
        <f ca="1">IFERROR(__xludf.DUMMYFUNCTION("""COMPUTED_VALUE"""),"Borrelia mazzottii")</f>
        <v>Borrelia mazzottii</v>
      </c>
      <c r="B726" t="str">
        <f ca="1">IFERROR(__xludf.DUMMYFUNCTION("""COMPUTED_VALUE"""),"RF-00002711-MCG")</f>
        <v>RF-00002711-MCG</v>
      </c>
    </row>
    <row r="727" spans="1:2" ht="12.5" x14ac:dyDescent="0.25">
      <c r="A727" t="str">
        <f ca="1">IFERROR(__xludf.DUMMYFUNCTION("""COMPUTED_VALUE"""),"Borrelia melitensis")</f>
        <v>Borrelia melitensis</v>
      </c>
      <c r="B727" t="str">
        <f ca="1">IFERROR(__xludf.DUMMYFUNCTION("""COMPUTED_VALUE"""),"RF-00000032-MCG")</f>
        <v>RF-00000032-MCG</v>
      </c>
    </row>
    <row r="728" spans="1:2" ht="12.5" x14ac:dyDescent="0.25">
      <c r="A728" t="str">
        <f ca="1">IFERROR(__xludf.DUMMYFUNCTION("""COMPUTED_VALUE"""),"Borrelia miyamotoi")</f>
        <v>Borrelia miyamotoi</v>
      </c>
      <c r="B728" t="str">
        <f ca="1">IFERROR(__xludf.DUMMYFUNCTION("""COMPUTED_VALUE"""),"RF-00002712-MCG")</f>
        <v>RF-00002712-MCG</v>
      </c>
    </row>
    <row r="729" spans="1:2" ht="12.5" x14ac:dyDescent="0.25">
      <c r="A729" t="str">
        <f ca="1">IFERROR(__xludf.DUMMYFUNCTION("""COMPUTED_VALUE"""),"Borrelia noetomae")</f>
        <v>Borrelia noetomae</v>
      </c>
      <c r="B729" t="str">
        <f ca="1">IFERROR(__xludf.DUMMYFUNCTION("""COMPUTED_VALUE"""),"RF-00000031-MCG")</f>
        <v>RF-00000031-MCG</v>
      </c>
    </row>
    <row r="730" spans="1:2" ht="12.5" x14ac:dyDescent="0.25">
      <c r="A730" t="str">
        <f ca="1">IFERROR(__xludf.DUMMYFUNCTION("""COMPUTED_VALUE"""),"Borrelia ovis")</f>
        <v>Borrelia ovis</v>
      </c>
      <c r="B730" t="str">
        <f ca="1">IFERROR(__xludf.DUMMYFUNCTION("""COMPUTED_VALUE"""),"RF-00000033-MCG")</f>
        <v>RF-00000033-MCG</v>
      </c>
    </row>
    <row r="731" spans="1:2" ht="12.5" x14ac:dyDescent="0.25">
      <c r="A731" t="str">
        <f ca="1">IFERROR(__xludf.DUMMYFUNCTION("""COMPUTED_VALUE"""),"Borrelia parkeri")</f>
        <v>Borrelia parkeri</v>
      </c>
      <c r="B731" t="str">
        <f ca="1">IFERROR(__xludf.DUMMYFUNCTION("""COMPUTED_VALUE"""),"RF-00002713-MCG")</f>
        <v>RF-00002713-MCG</v>
      </c>
    </row>
    <row r="732" spans="1:2" ht="12.5" x14ac:dyDescent="0.25">
      <c r="A732" t="str">
        <f ca="1">IFERROR(__xludf.DUMMYFUNCTION("""COMPUTED_VALUE"""),"Borrelia persica")</f>
        <v>Borrelia persica</v>
      </c>
      <c r="B732" t="str">
        <f ca="1">IFERROR(__xludf.DUMMYFUNCTION("""COMPUTED_VALUE"""),"RF-00002714-MCG")</f>
        <v>RF-00002714-MCG</v>
      </c>
    </row>
    <row r="733" spans="1:2" ht="12.5" x14ac:dyDescent="0.25">
      <c r="A733" t="str">
        <f ca="1">IFERROR(__xludf.DUMMYFUNCTION("""COMPUTED_VALUE"""),"Borrelia recurrentis")</f>
        <v>Borrelia recurrentis</v>
      </c>
      <c r="B733" t="str">
        <f ca="1">IFERROR(__xludf.DUMMYFUNCTION("""COMPUTED_VALUE"""),"RF-00000034-MCG")</f>
        <v>RF-00000034-MCG</v>
      </c>
    </row>
    <row r="734" spans="1:2" ht="12.5" x14ac:dyDescent="0.25">
      <c r="A734" t="str">
        <f ca="1">IFERROR(__xludf.DUMMYFUNCTION("""COMPUTED_VALUE"""),"Borrelia sinica")</f>
        <v>Borrelia sinica</v>
      </c>
      <c r="B734" t="str">
        <f ca="1">IFERROR(__xludf.DUMMYFUNCTION("""COMPUTED_VALUE"""),"RF-00002715-MCG")</f>
        <v>RF-00002715-MCG</v>
      </c>
    </row>
    <row r="735" spans="1:2" ht="12.5" x14ac:dyDescent="0.25">
      <c r="A735" t="str">
        <f ca="1">IFERROR(__xludf.DUMMYFUNCTION("""COMPUTED_VALUE"""),"Borrelia spielmanii")</f>
        <v>Borrelia spielmanii</v>
      </c>
      <c r="B735" t="str">
        <f ca="1">IFERROR(__xludf.DUMMYFUNCTION("""COMPUTED_VALUE"""),"RF-00002716-MCG")</f>
        <v>RF-00002716-MCG</v>
      </c>
    </row>
    <row r="736" spans="1:2" ht="12.5" x14ac:dyDescent="0.25">
      <c r="A736" t="str">
        <f ca="1">IFERROR(__xludf.DUMMYFUNCTION("""COMPUTED_VALUE"""),"Borrelia spp., unspecified")</f>
        <v>Borrelia spp., unspecified</v>
      </c>
      <c r="B736" t="str">
        <f ca="1">IFERROR(__xludf.DUMMYFUNCTION("""COMPUTED_VALUE"""),"RF-00000038-MCG")</f>
        <v>RF-00000038-MCG</v>
      </c>
    </row>
    <row r="737" spans="1:2" ht="12.5" x14ac:dyDescent="0.25">
      <c r="A737" t="str">
        <f ca="1">IFERROR(__xludf.DUMMYFUNCTION("""COMPUTED_VALUE"""),"Borrelia suis")</f>
        <v>Borrelia suis</v>
      </c>
      <c r="B737" t="str">
        <f ca="1">IFERROR(__xludf.DUMMYFUNCTION("""COMPUTED_VALUE"""),"RF-00000030-MCG")</f>
        <v>RF-00000030-MCG</v>
      </c>
    </row>
    <row r="738" spans="1:2" ht="12.5" x14ac:dyDescent="0.25">
      <c r="A738" t="str">
        <f ca="1">IFERROR(__xludf.DUMMYFUNCTION("""COMPUTED_VALUE"""),"Borrelia tanukii")</f>
        <v>Borrelia tanukii</v>
      </c>
      <c r="B738" t="str">
        <f ca="1">IFERROR(__xludf.DUMMYFUNCTION("""COMPUTED_VALUE"""),"RF-00002717-MCG")</f>
        <v>RF-00002717-MCG</v>
      </c>
    </row>
    <row r="739" spans="1:2" ht="12.5" x14ac:dyDescent="0.25">
      <c r="A739" t="str">
        <f ca="1">IFERROR(__xludf.DUMMYFUNCTION("""COMPUTED_VALUE"""),"Borrelia theileri")</f>
        <v>Borrelia theileri</v>
      </c>
      <c r="B739" t="str">
        <f ca="1">IFERROR(__xludf.DUMMYFUNCTION("""COMPUTED_VALUE"""),"RF-00002718-MCG")</f>
        <v>RF-00002718-MCG</v>
      </c>
    </row>
    <row r="740" spans="1:2" ht="12.5" x14ac:dyDescent="0.25">
      <c r="A740" t="str">
        <f ca="1">IFERROR(__xludf.DUMMYFUNCTION("""COMPUTED_VALUE"""),"Borrelia tillae")</f>
        <v>Borrelia tillae</v>
      </c>
      <c r="B740" t="str">
        <f ca="1">IFERROR(__xludf.DUMMYFUNCTION("""COMPUTED_VALUE"""),"RF-00002719-MCG")</f>
        <v>RF-00002719-MCG</v>
      </c>
    </row>
    <row r="741" spans="1:2" ht="12.5" x14ac:dyDescent="0.25">
      <c r="A741" t="str">
        <f ca="1">IFERROR(__xludf.DUMMYFUNCTION("""COMPUTED_VALUE"""),"Borrelia turcica")</f>
        <v>Borrelia turcica</v>
      </c>
      <c r="B741" t="str">
        <f ca="1">IFERROR(__xludf.DUMMYFUNCTION("""COMPUTED_VALUE"""),"RF-00002720-MCG")</f>
        <v>RF-00002720-MCG</v>
      </c>
    </row>
    <row r="742" spans="1:2" ht="12.5" x14ac:dyDescent="0.25">
      <c r="A742" t="str">
        <f ca="1">IFERROR(__xludf.DUMMYFUNCTION("""COMPUTED_VALUE"""),"Borrelia turdi")</f>
        <v>Borrelia turdi</v>
      </c>
      <c r="B742" t="str">
        <f ca="1">IFERROR(__xludf.DUMMYFUNCTION("""COMPUTED_VALUE"""),"RF-00002721-MCG")</f>
        <v>RF-00002721-MCG</v>
      </c>
    </row>
    <row r="743" spans="1:2" ht="12.5" x14ac:dyDescent="0.25">
      <c r="A743" t="str">
        <f ca="1">IFERROR(__xludf.DUMMYFUNCTION("""COMPUTED_VALUE"""),"Borrelia turicatae")</f>
        <v>Borrelia turicatae</v>
      </c>
      <c r="B743" t="str">
        <f ca="1">IFERROR(__xludf.DUMMYFUNCTION("""COMPUTED_VALUE"""),"RF-00002722-MCG")</f>
        <v>RF-00002722-MCG</v>
      </c>
    </row>
    <row r="744" spans="1:2" ht="12.5" x14ac:dyDescent="0.25">
      <c r="A744" t="str">
        <f ca="1">IFERROR(__xludf.DUMMYFUNCTION("""COMPUTED_VALUE"""),"Borrelia valaisiana")</f>
        <v>Borrelia valaisiana</v>
      </c>
      <c r="B744" t="str">
        <f ca="1">IFERROR(__xludf.DUMMYFUNCTION("""COMPUTED_VALUE"""),"RF-00002723-MCG")</f>
        <v>RF-00002723-MCG</v>
      </c>
    </row>
    <row r="745" spans="1:2" ht="12.5" x14ac:dyDescent="0.25">
      <c r="A745" t="str">
        <f ca="1">IFERROR(__xludf.DUMMYFUNCTION("""COMPUTED_VALUE"""),"Borrelia venezuelensis")</f>
        <v>Borrelia venezuelensis</v>
      </c>
      <c r="B745" t="str">
        <f ca="1">IFERROR(__xludf.DUMMYFUNCTION("""COMPUTED_VALUE"""),"RF-00002724-MCG")</f>
        <v>RF-00002724-MCG</v>
      </c>
    </row>
    <row r="746" spans="1:2" ht="12.5" x14ac:dyDescent="0.25">
      <c r="A746" t="str">
        <f ca="1">IFERROR(__xludf.DUMMYFUNCTION("""COMPUTED_VALUE"""),"Boscalid")</f>
        <v>Boscalid</v>
      </c>
      <c r="B746" t="str">
        <f ca="1">IFERROR(__xludf.DUMMYFUNCTION("""COMPUTED_VALUE"""),"RF-0049-001-PPP")</f>
        <v>RF-0049-001-PPP</v>
      </c>
    </row>
    <row r="747" spans="1:2" ht="12.5" x14ac:dyDescent="0.25">
      <c r="A747" t="str">
        <f ca="1">IFERROR(__xludf.DUMMYFUNCTION("""COMPUTED_VALUE"""),"Boscalid (sum of boscalid and M 510F01 including its conjugates)")</f>
        <v>Boscalid (sum of boscalid and M 510F01 including its conjugates)</v>
      </c>
      <c r="B747" t="str">
        <f ca="1">IFERROR(__xludf.DUMMYFUNCTION("""COMPUTED_VALUE"""),"RF-0049-002-PPP")</f>
        <v>RF-0049-002-PPP</v>
      </c>
    </row>
    <row r="748" spans="1:2" ht="12.5" x14ac:dyDescent="0.25">
      <c r="A748" t="str">
        <f ca="1">IFERROR(__xludf.DUMMYFUNCTION("""COMPUTED_VALUE"""),"Bovine enterovirus")</f>
        <v>Bovine enterovirus</v>
      </c>
      <c r="B748" t="str">
        <f ca="1">IFERROR(__xludf.DUMMYFUNCTION("""COMPUTED_VALUE"""),"RF-00000121-MCG")</f>
        <v>RF-00000121-MCG</v>
      </c>
    </row>
    <row r="749" spans="1:2" ht="12.5" x14ac:dyDescent="0.25">
      <c r="A749" t="str">
        <f ca="1">IFERROR(__xludf.DUMMYFUNCTION("""COMPUTED_VALUE"""),"brassicasterol")</f>
        <v>brassicasterol</v>
      </c>
      <c r="B749" t="str">
        <f ca="1">IFERROR(__xludf.DUMMYFUNCTION("""COMPUTED_VALUE"""),"RF-00000037-NTR")</f>
        <v>RF-00000037-NTR</v>
      </c>
    </row>
    <row r="750" spans="1:2" ht="12.5" x14ac:dyDescent="0.25">
      <c r="A750" t="str">
        <f ca="1">IFERROR(__xludf.DUMMYFUNCTION("""COMPUTED_VALUE"""),"Brevetoxins")</f>
        <v>Brevetoxins</v>
      </c>
      <c r="B750" t="str">
        <f ca="1">IFERROR(__xludf.DUMMYFUNCTION("""COMPUTED_VALUE"""),"RF-00000129-TOX")</f>
        <v>RF-00000129-TOX</v>
      </c>
    </row>
    <row r="751" spans="1:2" ht="12.5" x14ac:dyDescent="0.25">
      <c r="A751" t="str">
        <f ca="1">IFERROR(__xludf.DUMMYFUNCTION("""COMPUTED_VALUE"""),"Brevetoxins A")</f>
        <v>Brevetoxins A</v>
      </c>
      <c r="B751" t="str">
        <f ca="1">IFERROR(__xludf.DUMMYFUNCTION("""COMPUTED_VALUE"""),"RF-00000130-TOX")</f>
        <v>RF-00000130-TOX</v>
      </c>
    </row>
    <row r="752" spans="1:2" ht="12.5" x14ac:dyDescent="0.25">
      <c r="A752" t="str">
        <f ca="1">IFERROR(__xludf.DUMMYFUNCTION("""COMPUTED_VALUE"""),"Brevetoxins B")</f>
        <v>Brevetoxins B</v>
      </c>
      <c r="B752" t="str">
        <f ca="1">IFERROR(__xludf.DUMMYFUNCTION("""COMPUTED_VALUE"""),"RF-00000131-TOX")</f>
        <v>RF-00000131-TOX</v>
      </c>
    </row>
    <row r="753" spans="1:2" ht="12.5" x14ac:dyDescent="0.25">
      <c r="A753" t="str">
        <f ca="1">IFERROR(__xludf.DUMMYFUNCTION("""COMPUTED_VALUE"""),"Brilliant Black BN, Black PN")</f>
        <v>Brilliant Black BN, Black PN</v>
      </c>
      <c r="B753" t="str">
        <f ca="1">IFERROR(__xludf.DUMMYFUNCTION("""COMPUTED_VALUE"""),"RF-00000057-ADD")</f>
        <v>RF-00000057-ADD</v>
      </c>
    </row>
    <row r="754" spans="1:2" ht="12.5" x14ac:dyDescent="0.25">
      <c r="A754" t="str">
        <f ca="1">IFERROR(__xludf.DUMMYFUNCTION("""COMPUTED_VALUE"""),"Brilliant Blue FCF")</f>
        <v>Brilliant Blue FCF</v>
      </c>
      <c r="B754" t="str">
        <f ca="1">IFERROR(__xludf.DUMMYFUNCTION("""COMPUTED_VALUE"""),"RF-00000058-ADD")</f>
        <v>RF-00000058-ADD</v>
      </c>
    </row>
    <row r="755" spans="1:2" ht="12.5" x14ac:dyDescent="0.25">
      <c r="A755" t="str">
        <f ca="1">IFERROR(__xludf.DUMMYFUNCTION("""COMPUTED_VALUE"""),"Brodifacoum")</f>
        <v>Brodifacoum</v>
      </c>
      <c r="B755" t="str">
        <f ca="1">IFERROR(__xludf.DUMMYFUNCTION("""COMPUTED_VALUE"""),"RF-0510-001-PPP")</f>
        <v>RF-0510-001-PPP</v>
      </c>
    </row>
    <row r="756" spans="1:2" ht="12.5" x14ac:dyDescent="0.25">
      <c r="A756" t="str">
        <f ca="1">IFERROR(__xludf.DUMMYFUNCTION("""COMPUTED_VALUE"""),"Bromacil")</f>
        <v>Bromacil</v>
      </c>
      <c r="B756" t="str">
        <f ca="1">IFERROR(__xludf.DUMMYFUNCTION("""COMPUTED_VALUE"""),"RF-0511-001-PPP")</f>
        <v>RF-0511-001-PPP</v>
      </c>
    </row>
    <row r="757" spans="1:2" ht="12.5" x14ac:dyDescent="0.25">
      <c r="A757" t="str">
        <f ca="1">IFERROR(__xludf.DUMMYFUNCTION("""COMPUTED_VALUE"""),"Bromate")</f>
        <v>Bromate</v>
      </c>
      <c r="B757" t="str">
        <f ca="1">IFERROR(__xludf.DUMMYFUNCTION("""COMPUTED_VALUE"""),"RF-00000004-CHE")</f>
        <v>RF-00000004-CHE</v>
      </c>
    </row>
    <row r="758" spans="1:2" ht="12.5" x14ac:dyDescent="0.25">
      <c r="A758" t="str">
        <f ca="1">IFERROR(__xludf.DUMMYFUNCTION("""COMPUTED_VALUE"""),"Brombuterol")</f>
        <v>Brombuterol</v>
      </c>
      <c r="B758" t="str">
        <f ca="1">IFERROR(__xludf.DUMMYFUNCTION("""COMPUTED_VALUE"""),"RF-00000455-VET")</f>
        <v>RF-00000455-VET</v>
      </c>
    </row>
    <row r="759" spans="1:2" ht="12.5" x14ac:dyDescent="0.25">
      <c r="A759" t="str">
        <f ca="1">IFERROR(__xludf.DUMMYFUNCTION("""COMPUTED_VALUE"""),"Bromethalin")</f>
        <v>Bromethalin</v>
      </c>
      <c r="B759" t="str">
        <f ca="1">IFERROR(__xludf.DUMMYFUNCTION("""COMPUTED_VALUE"""),"RF-0512-001-PPP")</f>
        <v>RF-0512-001-PPP</v>
      </c>
    </row>
    <row r="760" spans="1:2" ht="12.5" x14ac:dyDescent="0.25">
      <c r="A760" t="str">
        <f ca="1">IFERROR(__xludf.DUMMYFUNCTION("""COMPUTED_VALUE"""),"Bromfenvinfos")</f>
        <v>Bromfenvinfos</v>
      </c>
      <c r="B760" t="str">
        <f ca="1">IFERROR(__xludf.DUMMYFUNCTION("""COMPUTED_VALUE"""),"RF-0513-001-PPP")</f>
        <v>RF-0513-001-PPP</v>
      </c>
    </row>
    <row r="761" spans="1:2" ht="12.5" x14ac:dyDescent="0.25">
      <c r="A761" t="str">
        <f ca="1">IFERROR(__xludf.DUMMYFUNCTION("""COMPUTED_VALUE"""),"Bromfenvinfos-methyl")</f>
        <v>Bromfenvinfos-methyl</v>
      </c>
      <c r="B761" t="str">
        <f ca="1">IFERROR(__xludf.DUMMYFUNCTION("""COMPUTED_VALUE"""),"RF-0989-001-PPP")</f>
        <v>RF-0989-001-PPP</v>
      </c>
    </row>
    <row r="762" spans="1:2" ht="12.5" x14ac:dyDescent="0.25">
      <c r="A762" t="str">
        <f ca="1">IFERROR(__xludf.DUMMYFUNCTION("""COMPUTED_VALUE"""),"Bromide ion")</f>
        <v>Bromide ion</v>
      </c>
      <c r="B762" t="str">
        <f ca="1">IFERROR(__xludf.DUMMYFUNCTION("""COMPUTED_VALUE"""),"RF-0050-001-PPP")</f>
        <v>RF-0050-001-PPP</v>
      </c>
    </row>
    <row r="763" spans="1:2" ht="12.5" x14ac:dyDescent="0.25">
      <c r="A763" t="str">
        <f ca="1">IFERROR(__xludf.DUMMYFUNCTION("""COMPUTED_VALUE"""),"Bromides")</f>
        <v>Bromides</v>
      </c>
      <c r="B763" t="str">
        <f ca="1">IFERROR(__xludf.DUMMYFUNCTION("""COMPUTED_VALUE"""),"RF-00000005-CHE")</f>
        <v>RF-00000005-CHE</v>
      </c>
    </row>
    <row r="764" spans="1:2" ht="12.5" x14ac:dyDescent="0.25">
      <c r="A764" t="str">
        <f ca="1">IFERROR(__xludf.DUMMYFUNCTION("""COMPUTED_VALUE"""),"Brominated dibenzo-p-dioxins")</f>
        <v>Brominated dibenzo-p-dioxins</v>
      </c>
      <c r="B764" t="str">
        <f ca="1">IFERROR(__xludf.DUMMYFUNCTION("""COMPUTED_VALUE"""),"RF-00000434-ORG")</f>
        <v>RF-00000434-ORG</v>
      </c>
    </row>
    <row r="765" spans="1:2" ht="12.5" x14ac:dyDescent="0.25">
      <c r="A765" t="str">
        <f ca="1">IFERROR(__xludf.DUMMYFUNCTION("""COMPUTED_VALUE"""),"Brominated dibenzofurans")</f>
        <v>Brominated dibenzofurans</v>
      </c>
      <c r="B765" t="str">
        <f ca="1">IFERROR(__xludf.DUMMYFUNCTION("""COMPUTED_VALUE"""),"RF-00000433-ORG")</f>
        <v>RF-00000433-ORG</v>
      </c>
    </row>
    <row r="766" spans="1:2" ht="12.5" x14ac:dyDescent="0.25">
      <c r="A766" t="str">
        <f ca="1">IFERROR(__xludf.DUMMYFUNCTION("""COMPUTED_VALUE"""),"Brominated dioxins and furans")</f>
        <v>Brominated dioxins and furans</v>
      </c>
      <c r="B766" t="str">
        <f ca="1">IFERROR(__xludf.DUMMYFUNCTION("""COMPUTED_VALUE"""),"RF-00000435-ORG")</f>
        <v>RF-00000435-ORG</v>
      </c>
    </row>
    <row r="767" spans="1:2" ht="12.5" x14ac:dyDescent="0.25">
      <c r="A767" t="str">
        <f ca="1">IFERROR(__xludf.DUMMYFUNCTION("""COMPUTED_VALUE"""),"Brominated flame retardans")</f>
        <v>Brominated flame retardans</v>
      </c>
      <c r="B767" t="str">
        <f ca="1">IFERROR(__xludf.DUMMYFUNCTION("""COMPUTED_VALUE"""),"RF-00000074-ORG")</f>
        <v>RF-00000074-ORG</v>
      </c>
    </row>
    <row r="768" spans="1:2" ht="12.5" x14ac:dyDescent="0.25">
      <c r="A768" t="str">
        <f ca="1">IFERROR(__xludf.DUMMYFUNCTION("""COMPUTED_VALUE"""),"Bromine (Br)")</f>
        <v>Bromine (Br)</v>
      </c>
      <c r="B768" t="str">
        <f ca="1">IFERROR(__xludf.DUMMYFUNCTION("""COMPUTED_VALUE"""),"RF-00000003-CHE")</f>
        <v>RF-00000003-CHE</v>
      </c>
    </row>
    <row r="769" spans="1:2" ht="12.5" x14ac:dyDescent="0.25">
      <c r="A769" t="str">
        <f ca="1">IFERROR(__xludf.DUMMYFUNCTION("""COMPUTED_VALUE"""),"Bromine and derivatives")</f>
        <v>Bromine and derivatives</v>
      </c>
      <c r="B769" t="str">
        <f ca="1">IFERROR(__xludf.DUMMYFUNCTION("""COMPUTED_VALUE"""),"RF-00000002-CHE")</f>
        <v>RF-00000002-CHE</v>
      </c>
    </row>
    <row r="770" spans="1:2" ht="12.5" x14ac:dyDescent="0.25">
      <c r="A770" t="str">
        <f ca="1">IFERROR(__xludf.DUMMYFUNCTION("""COMPUTED_VALUE"""),"Bromobutide")</f>
        <v>Bromobutide</v>
      </c>
      <c r="B770" t="str">
        <f ca="1">IFERROR(__xludf.DUMMYFUNCTION("""COMPUTED_VALUE"""),"RF-0514-001-PPP")</f>
        <v>RF-0514-001-PPP</v>
      </c>
    </row>
    <row r="771" spans="1:2" ht="12.5" x14ac:dyDescent="0.25">
      <c r="A771" t="str">
        <f ca="1">IFERROR(__xludf.DUMMYFUNCTION("""COMPUTED_VALUE"""),"Bromocyclen")</f>
        <v>Bromocyclen</v>
      </c>
      <c r="B771" t="str">
        <f ca="1">IFERROR(__xludf.DUMMYFUNCTION("""COMPUTED_VALUE"""),"RF-0515-001-PPP")</f>
        <v>RF-0515-001-PPP</v>
      </c>
    </row>
    <row r="772" spans="1:2" ht="12.5" x14ac:dyDescent="0.25">
      <c r="A772" t="str">
        <f ca="1">IFERROR(__xludf.DUMMYFUNCTION("""COMPUTED_VALUE"""),"Bromofenoxim")</f>
        <v>Bromofenoxim</v>
      </c>
      <c r="B772" t="str">
        <f ca="1">IFERROR(__xludf.DUMMYFUNCTION("""COMPUTED_VALUE"""),"RF-0516-001-PPP")</f>
        <v>RF-0516-001-PPP</v>
      </c>
    </row>
    <row r="773" spans="1:2" ht="12.5" x14ac:dyDescent="0.25">
      <c r="A773" t="str">
        <f ca="1">IFERROR(__xludf.DUMMYFUNCTION("""COMPUTED_VALUE"""),"Bromoform")</f>
        <v>Bromoform</v>
      </c>
      <c r="B773" t="str">
        <f ca="1">IFERROR(__xludf.DUMMYFUNCTION("""COMPUTED_VALUE"""),"RF-00000037-ORG")</f>
        <v>RF-00000037-ORG</v>
      </c>
    </row>
    <row r="774" spans="1:2" ht="12.5" x14ac:dyDescent="0.25">
      <c r="A774" t="str">
        <f ca="1">IFERROR(__xludf.DUMMYFUNCTION("""COMPUTED_VALUE"""),"Bromophos")</f>
        <v>Bromophos</v>
      </c>
      <c r="B774" t="str">
        <f ca="1">IFERROR(__xludf.DUMMYFUNCTION("""COMPUTED_VALUE"""),"RF-0517-001-PPP")</f>
        <v>RF-0517-001-PPP</v>
      </c>
    </row>
    <row r="775" spans="1:2" ht="12.5" x14ac:dyDescent="0.25">
      <c r="A775" t="str">
        <f ca="1">IFERROR(__xludf.DUMMYFUNCTION("""COMPUTED_VALUE"""),"Bromophos-ethyl")</f>
        <v>Bromophos-ethyl</v>
      </c>
      <c r="B775" t="str">
        <f ca="1">IFERROR(__xludf.DUMMYFUNCTION("""COMPUTED_VALUE"""),"RF-0051-001-PPP")</f>
        <v>RF-0051-001-PPP</v>
      </c>
    </row>
    <row r="776" spans="1:2" ht="12.5" x14ac:dyDescent="0.25">
      <c r="A776" t="str">
        <f ca="1">IFERROR(__xludf.DUMMYFUNCTION("""COMPUTED_VALUE"""),"Bromophos-methyl")</f>
        <v>Bromophos-methyl</v>
      </c>
      <c r="B776" t="str">
        <f ca="1">IFERROR(__xludf.DUMMYFUNCTION("""COMPUTED_VALUE"""),"RF-0988-001-PPP")</f>
        <v>RF-0988-001-PPP</v>
      </c>
    </row>
    <row r="777" spans="1:2" ht="12.5" x14ac:dyDescent="0.25">
      <c r="A777" t="str">
        <f ca="1">IFERROR(__xludf.DUMMYFUNCTION("""COMPUTED_VALUE"""),"Bromopropylate")</f>
        <v>Bromopropylate</v>
      </c>
      <c r="B777" t="str">
        <f ca="1">IFERROR(__xludf.DUMMYFUNCTION("""COMPUTED_VALUE"""),"RF-0052-001-PPP")</f>
        <v>RF-0052-001-PPP</v>
      </c>
    </row>
    <row r="778" spans="1:2" ht="12.5" x14ac:dyDescent="0.25">
      <c r="A778" t="str">
        <f ca="1">IFERROR(__xludf.DUMMYFUNCTION("""COMPUTED_VALUE"""),"Bromoxynil")</f>
        <v>Bromoxynil</v>
      </c>
      <c r="B778" t="str">
        <f ca="1">IFERROR(__xludf.DUMMYFUNCTION("""COMPUTED_VALUE"""),"RF-0053-002-PPP")</f>
        <v>RF-0053-002-PPP</v>
      </c>
    </row>
    <row r="779" spans="1:2" ht="12.5" x14ac:dyDescent="0.25">
      <c r="A779" t="str">
        <f ca="1">IFERROR(__xludf.DUMMYFUNCTION("""COMPUTED_VALUE"""),"Bromoxynil (bromoxynil including its esters expressed as bromoxynil)")</f>
        <v>Bromoxynil (bromoxynil including its esters expressed as bromoxynil)</v>
      </c>
      <c r="B779" t="str">
        <f ca="1">IFERROR(__xludf.DUMMYFUNCTION("""COMPUTED_VALUE"""),"RF-0053-001-PPP")</f>
        <v>RF-0053-001-PPP</v>
      </c>
    </row>
    <row r="780" spans="1:2" ht="12.5" x14ac:dyDescent="0.25">
      <c r="A780" t="str">
        <f ca="1">IFERROR(__xludf.DUMMYFUNCTION("""COMPUTED_VALUE"""),"Bromoxynil octanoate")</f>
        <v>Bromoxynil octanoate</v>
      </c>
      <c r="B780" t="str">
        <f ca="1">IFERROR(__xludf.DUMMYFUNCTION("""COMPUTED_VALUE"""),"RF-0053-004-PPP")</f>
        <v>RF-0053-004-PPP</v>
      </c>
    </row>
    <row r="781" spans="1:2" ht="12.5" x14ac:dyDescent="0.25">
      <c r="A781" t="str">
        <f ca="1">IFERROR(__xludf.DUMMYFUNCTION("""COMPUTED_VALUE"""),"Bromoxynil-methyl ether")</f>
        <v>Bromoxynil-methyl ether</v>
      </c>
      <c r="B781" t="str">
        <f ca="1">IFERROR(__xludf.DUMMYFUNCTION("""COMPUTED_VALUE"""),"RF-0053-003-PPP")</f>
        <v>RF-0053-003-PPP</v>
      </c>
    </row>
    <row r="782" spans="1:2" ht="12.5" x14ac:dyDescent="0.25">
      <c r="A782" t="str">
        <f ca="1">IFERROR(__xludf.DUMMYFUNCTION("""COMPUTED_VALUE"""),"Brompyrazon")</f>
        <v>Brompyrazon</v>
      </c>
      <c r="B782" t="str">
        <f ca="1">IFERROR(__xludf.DUMMYFUNCTION("""COMPUTED_VALUE"""),"RF-0987-001-PPP")</f>
        <v>RF-0987-001-PPP</v>
      </c>
    </row>
    <row r="783" spans="1:2" ht="12.5" x14ac:dyDescent="0.25">
      <c r="A783" t="str">
        <f ca="1">IFERROR(__xludf.DUMMYFUNCTION("""COMPUTED_VALUE"""),"Bromuconazole (sum of diasteroisomers)")</f>
        <v>Bromuconazole (sum of diasteroisomers)</v>
      </c>
      <c r="B783" t="str">
        <f ca="1">IFERROR(__xludf.DUMMYFUNCTION("""COMPUTED_VALUE"""),"RF-0054-001-PPP")</f>
        <v>RF-0054-001-PPP</v>
      </c>
    </row>
    <row r="784" spans="1:2" ht="12.5" x14ac:dyDescent="0.25">
      <c r="A784" t="str">
        <f ca="1">IFERROR(__xludf.DUMMYFUNCTION("""COMPUTED_VALUE"""),"Bronopol")</f>
        <v>Bronopol</v>
      </c>
      <c r="B784" t="str">
        <f ca="1">IFERROR(__xludf.DUMMYFUNCTION("""COMPUTED_VALUE"""),"RF-0518-001-PPP")</f>
        <v>RF-0518-001-PPP</v>
      </c>
    </row>
    <row r="785" spans="1:2" ht="12.5" x14ac:dyDescent="0.25">
      <c r="A785" t="str">
        <f ca="1">IFERROR(__xludf.DUMMYFUNCTION("""COMPUTED_VALUE"""),"Brown HT")</f>
        <v>Brown HT</v>
      </c>
      <c r="B785" t="str">
        <f ca="1">IFERROR(__xludf.DUMMYFUNCTION("""COMPUTED_VALUE"""),"RF-00000059-ADD")</f>
        <v>RF-00000059-ADD</v>
      </c>
    </row>
    <row r="786" spans="1:2" ht="12.5" x14ac:dyDescent="0.25">
      <c r="A786" t="str">
        <f ca="1">IFERROR(__xludf.DUMMYFUNCTION("""COMPUTED_VALUE"""),"Brucella")</f>
        <v>Brucella</v>
      </c>
      <c r="B786" t="str">
        <f ca="1">IFERROR(__xludf.DUMMYFUNCTION("""COMPUTED_VALUE"""),"RF-00000028-MCG")</f>
        <v>RF-00000028-MCG</v>
      </c>
    </row>
    <row r="787" spans="1:2" ht="12.5" x14ac:dyDescent="0.25">
      <c r="A787" t="str">
        <f ca="1">IFERROR(__xludf.DUMMYFUNCTION("""COMPUTED_VALUE"""),"Brucella - B. abortus")</f>
        <v>Brucella - B. abortus</v>
      </c>
      <c r="B787" t="str">
        <f ca="1">IFERROR(__xludf.DUMMYFUNCTION("""COMPUTED_VALUE"""),"RF-00003007-MCG")</f>
        <v>RF-00003007-MCG</v>
      </c>
    </row>
    <row r="788" spans="1:2" ht="12.5" x14ac:dyDescent="0.25">
      <c r="A788" t="str">
        <f ca="1">IFERROR(__xludf.DUMMYFUNCTION("""COMPUTED_VALUE"""),"Brucella - B. abortus - biovar 1")</f>
        <v>Brucella - B. abortus - biovar 1</v>
      </c>
      <c r="B788" t="str">
        <f ca="1">IFERROR(__xludf.DUMMYFUNCTION("""COMPUTED_VALUE"""),"RF-00003015-MCG")</f>
        <v>RF-00003015-MCG</v>
      </c>
    </row>
    <row r="789" spans="1:2" ht="12.5" x14ac:dyDescent="0.25">
      <c r="A789" t="str">
        <f ca="1">IFERROR(__xludf.DUMMYFUNCTION("""COMPUTED_VALUE"""),"Brucella - B. abortus - biovar 2")</f>
        <v>Brucella - B. abortus - biovar 2</v>
      </c>
      <c r="B789" t="str">
        <f ca="1">IFERROR(__xludf.DUMMYFUNCTION("""COMPUTED_VALUE"""),"RF-00003016-MCG")</f>
        <v>RF-00003016-MCG</v>
      </c>
    </row>
    <row r="790" spans="1:2" ht="12.5" x14ac:dyDescent="0.25">
      <c r="A790" t="str">
        <f ca="1">IFERROR(__xludf.DUMMYFUNCTION("""COMPUTED_VALUE"""),"Brucella - B. abortus - biovar 3")</f>
        <v>Brucella - B. abortus - biovar 3</v>
      </c>
      <c r="B790" t="str">
        <f ca="1">IFERROR(__xludf.DUMMYFUNCTION("""COMPUTED_VALUE"""),"RF-00003017-MCG")</f>
        <v>RF-00003017-MCG</v>
      </c>
    </row>
    <row r="791" spans="1:2" ht="12.5" x14ac:dyDescent="0.25">
      <c r="A791" t="str">
        <f ca="1">IFERROR(__xludf.DUMMYFUNCTION("""COMPUTED_VALUE"""),"Brucella - B. abortus - biovar 4")</f>
        <v>Brucella - B. abortus - biovar 4</v>
      </c>
      <c r="B791" t="str">
        <f ca="1">IFERROR(__xludf.DUMMYFUNCTION("""COMPUTED_VALUE"""),"RF-00003018-MCG")</f>
        <v>RF-00003018-MCG</v>
      </c>
    </row>
    <row r="792" spans="1:2" ht="12.5" x14ac:dyDescent="0.25">
      <c r="A792" t="str">
        <f ca="1">IFERROR(__xludf.DUMMYFUNCTION("""COMPUTED_VALUE"""),"Brucella - B. abortus - biovar 5")</f>
        <v>Brucella - B. abortus - biovar 5</v>
      </c>
      <c r="B792" t="str">
        <f ca="1">IFERROR(__xludf.DUMMYFUNCTION("""COMPUTED_VALUE"""),"RF-00003019-MCG")</f>
        <v>RF-00003019-MCG</v>
      </c>
    </row>
    <row r="793" spans="1:2" ht="12.5" x14ac:dyDescent="0.25">
      <c r="A793" t="str">
        <f ca="1">IFERROR(__xludf.DUMMYFUNCTION("""COMPUTED_VALUE"""),"Brucella - B. abortus - biovar 6")</f>
        <v>Brucella - B. abortus - biovar 6</v>
      </c>
      <c r="B793" t="str">
        <f ca="1">IFERROR(__xludf.DUMMYFUNCTION("""COMPUTED_VALUE"""),"RF-00003020-MCG")</f>
        <v>RF-00003020-MCG</v>
      </c>
    </row>
    <row r="794" spans="1:2" ht="12.5" x14ac:dyDescent="0.25">
      <c r="A794" t="str">
        <f ca="1">IFERROR(__xludf.DUMMYFUNCTION("""COMPUTED_VALUE"""),"Brucella - B. abortus - biovar 9")</f>
        <v>Brucella - B. abortus - biovar 9</v>
      </c>
      <c r="B794" t="str">
        <f ca="1">IFERROR(__xludf.DUMMYFUNCTION("""COMPUTED_VALUE"""),"RF-00003021-MCG")</f>
        <v>RF-00003021-MCG</v>
      </c>
    </row>
    <row r="795" spans="1:2" ht="12.5" x14ac:dyDescent="0.25">
      <c r="A795" t="str">
        <f ca="1">IFERROR(__xludf.DUMMYFUNCTION("""COMPUTED_VALUE"""),"Brucella - B. canis")</f>
        <v>Brucella - B. canis</v>
      </c>
      <c r="B795" t="str">
        <f ca="1">IFERROR(__xludf.DUMMYFUNCTION("""COMPUTED_VALUE"""),"RF-00003008-MCG")</f>
        <v>RF-00003008-MCG</v>
      </c>
    </row>
    <row r="796" spans="1:2" ht="12.5" x14ac:dyDescent="0.25">
      <c r="A796" t="str">
        <f ca="1">IFERROR(__xludf.DUMMYFUNCTION("""COMPUTED_VALUE"""),"Brucella - B. ceti")</f>
        <v>Brucella - B. ceti</v>
      </c>
      <c r="B796" t="str">
        <f ca="1">IFERROR(__xludf.DUMMYFUNCTION("""COMPUTED_VALUE"""),"RF-00003009-MCG")</f>
        <v>RF-00003009-MCG</v>
      </c>
    </row>
    <row r="797" spans="1:2" ht="12.5" x14ac:dyDescent="0.25">
      <c r="A797" t="str">
        <f ca="1">IFERROR(__xludf.DUMMYFUNCTION("""COMPUTED_VALUE"""),"Brucella - B. melitensis")</f>
        <v>Brucella - B. melitensis</v>
      </c>
      <c r="B797" t="str">
        <f ca="1">IFERROR(__xludf.DUMMYFUNCTION("""COMPUTED_VALUE"""),"RF-00003010-MCG")</f>
        <v>RF-00003010-MCG</v>
      </c>
    </row>
    <row r="798" spans="1:2" ht="12.5" x14ac:dyDescent="0.25">
      <c r="A798" t="str">
        <f ca="1">IFERROR(__xludf.DUMMYFUNCTION("""COMPUTED_VALUE"""),"Brucella - B. melitensis - biovar 1")</f>
        <v>Brucella - B. melitensis - biovar 1</v>
      </c>
      <c r="B798" t="str">
        <f ca="1">IFERROR(__xludf.DUMMYFUNCTION("""COMPUTED_VALUE"""),"RF-00003022-MCG")</f>
        <v>RF-00003022-MCG</v>
      </c>
    </row>
    <row r="799" spans="1:2" ht="12.5" x14ac:dyDescent="0.25">
      <c r="A799" t="str">
        <f ca="1">IFERROR(__xludf.DUMMYFUNCTION("""COMPUTED_VALUE"""),"Brucella - B. melitensis - biovar 2")</f>
        <v>Brucella - B. melitensis - biovar 2</v>
      </c>
      <c r="B799" t="str">
        <f ca="1">IFERROR(__xludf.DUMMYFUNCTION("""COMPUTED_VALUE"""),"RF-00003023-MCG")</f>
        <v>RF-00003023-MCG</v>
      </c>
    </row>
    <row r="800" spans="1:2" ht="12.5" x14ac:dyDescent="0.25">
      <c r="A800" t="str">
        <f ca="1">IFERROR(__xludf.DUMMYFUNCTION("""COMPUTED_VALUE"""),"Brucella - B. melitensis - biovar 3")</f>
        <v>Brucella - B. melitensis - biovar 3</v>
      </c>
      <c r="B800" t="str">
        <f ca="1">IFERROR(__xludf.DUMMYFUNCTION("""COMPUTED_VALUE"""),"RF-00003024-MCG")</f>
        <v>RF-00003024-MCG</v>
      </c>
    </row>
    <row r="801" spans="1:2" ht="12.5" x14ac:dyDescent="0.25">
      <c r="A801" t="str">
        <f ca="1">IFERROR(__xludf.DUMMYFUNCTION("""COMPUTED_VALUE"""),"Brucella - B. noetomae")</f>
        <v>Brucella - B. noetomae</v>
      </c>
      <c r="B801" t="str">
        <f ca="1">IFERROR(__xludf.DUMMYFUNCTION("""COMPUTED_VALUE"""),"RF-00003011-MCG")</f>
        <v>RF-00003011-MCG</v>
      </c>
    </row>
    <row r="802" spans="1:2" ht="12.5" x14ac:dyDescent="0.25">
      <c r="A802" t="str">
        <f ca="1">IFERROR(__xludf.DUMMYFUNCTION("""COMPUTED_VALUE"""),"Brucella - B. ovis")</f>
        <v>Brucella - B. ovis</v>
      </c>
      <c r="B802" t="str">
        <f ca="1">IFERROR(__xludf.DUMMYFUNCTION("""COMPUTED_VALUE"""),"RF-00003012-MCG")</f>
        <v>RF-00003012-MCG</v>
      </c>
    </row>
    <row r="803" spans="1:2" ht="12.5" x14ac:dyDescent="0.25">
      <c r="A803" t="str">
        <f ca="1">IFERROR(__xludf.DUMMYFUNCTION("""COMPUTED_VALUE"""),"Brucella - B. pinnipedialis")</f>
        <v>Brucella - B. pinnipedialis</v>
      </c>
      <c r="B803" t="str">
        <f ca="1">IFERROR(__xludf.DUMMYFUNCTION("""COMPUTED_VALUE"""),"RF-00003013-MCG")</f>
        <v>RF-00003013-MCG</v>
      </c>
    </row>
    <row r="804" spans="1:2" ht="12.5" x14ac:dyDescent="0.25">
      <c r="A804" t="str">
        <f ca="1">IFERROR(__xludf.DUMMYFUNCTION("""COMPUTED_VALUE"""),"Brucella - B. suis")</f>
        <v>Brucella - B. suis</v>
      </c>
      <c r="B804" t="str">
        <f ca="1">IFERROR(__xludf.DUMMYFUNCTION("""COMPUTED_VALUE"""),"RF-00003014-MCG")</f>
        <v>RF-00003014-MCG</v>
      </c>
    </row>
    <row r="805" spans="1:2" ht="12.5" x14ac:dyDescent="0.25">
      <c r="A805" t="str">
        <f ca="1">IFERROR(__xludf.DUMMYFUNCTION("""COMPUTED_VALUE"""),"Brucella - B. suis - biovar 1")</f>
        <v>Brucella - B. suis - biovar 1</v>
      </c>
      <c r="B805" t="str">
        <f ca="1">IFERROR(__xludf.DUMMYFUNCTION("""COMPUTED_VALUE"""),"RF-00003025-MCG")</f>
        <v>RF-00003025-MCG</v>
      </c>
    </row>
    <row r="806" spans="1:2" ht="12.5" x14ac:dyDescent="0.25">
      <c r="A806" t="str">
        <f ca="1">IFERROR(__xludf.DUMMYFUNCTION("""COMPUTED_VALUE"""),"Brucella - B. suis - biovar 2")</f>
        <v>Brucella - B. suis - biovar 2</v>
      </c>
      <c r="B806" t="str">
        <f ca="1">IFERROR(__xludf.DUMMYFUNCTION("""COMPUTED_VALUE"""),"RF-00003026-MCG")</f>
        <v>RF-00003026-MCG</v>
      </c>
    </row>
    <row r="807" spans="1:2" ht="12.5" x14ac:dyDescent="0.25">
      <c r="A807" t="str">
        <f ca="1">IFERROR(__xludf.DUMMYFUNCTION("""COMPUTED_VALUE"""),"Brucella - B. suis - biovar 3")</f>
        <v>Brucella - B. suis - biovar 3</v>
      </c>
      <c r="B807" t="str">
        <f ca="1">IFERROR(__xludf.DUMMYFUNCTION("""COMPUTED_VALUE"""),"RF-00003027-MCG")</f>
        <v>RF-00003027-MCG</v>
      </c>
    </row>
    <row r="808" spans="1:2" ht="12.5" x14ac:dyDescent="0.25">
      <c r="A808" t="str">
        <f ca="1">IFERROR(__xludf.DUMMYFUNCTION("""COMPUTED_VALUE"""),"Brucella - B. suis - biovar 4")</f>
        <v>Brucella - B. suis - biovar 4</v>
      </c>
      <c r="B808" t="str">
        <f ca="1">IFERROR(__xludf.DUMMYFUNCTION("""COMPUTED_VALUE"""),"RF-00003028-MCG")</f>
        <v>RF-00003028-MCG</v>
      </c>
    </row>
    <row r="809" spans="1:2" ht="12.5" x14ac:dyDescent="0.25">
      <c r="A809" t="str">
        <f ca="1">IFERROR(__xludf.DUMMYFUNCTION("""COMPUTED_VALUE"""),"Brucella - B. suis - biovar 5")</f>
        <v>Brucella - B. suis - biovar 5</v>
      </c>
      <c r="B809" t="str">
        <f ca="1">IFERROR(__xludf.DUMMYFUNCTION("""COMPUTED_VALUE"""),"RF-00003029-MCG")</f>
        <v>RF-00003029-MCG</v>
      </c>
    </row>
    <row r="810" spans="1:2" ht="12.5" x14ac:dyDescent="0.25">
      <c r="A810" t="str">
        <f ca="1">IFERROR(__xludf.DUMMYFUNCTION("""COMPUTED_VALUE"""),"Brucella spp., unspecified")</f>
        <v>Brucella spp., unspecified</v>
      </c>
      <c r="B810" t="str">
        <f ca="1">IFERROR(__xludf.DUMMYFUNCTION("""COMPUTED_VALUE"""),"RF-00000036-MCG")</f>
        <v>RF-00000036-MCG</v>
      </c>
    </row>
    <row r="811" spans="1:2" ht="12.5" x14ac:dyDescent="0.25">
      <c r="A811" t="str">
        <f ca="1">IFERROR(__xludf.DUMMYFUNCTION("""COMPUTED_VALUE"""),"Bufencarb")</f>
        <v>Bufencarb</v>
      </c>
      <c r="B811" t="str">
        <f ca="1">IFERROR(__xludf.DUMMYFUNCTION("""COMPUTED_VALUE"""),"RF-00000150-VET")</f>
        <v>RF-00000150-VET</v>
      </c>
    </row>
    <row r="812" spans="1:2" ht="12.5" x14ac:dyDescent="0.25">
      <c r="A812" t="str">
        <f ca="1">IFERROR(__xludf.DUMMYFUNCTION("""COMPUTED_VALUE"""),"Bufencarb")</f>
        <v>Bufencarb</v>
      </c>
      <c r="B812" t="str">
        <f ca="1">IFERROR(__xludf.DUMMYFUNCTION("""COMPUTED_VALUE"""),"RF-1025-001-PPP")</f>
        <v>RF-1025-001-PPP</v>
      </c>
    </row>
    <row r="813" spans="1:2" ht="12.5" x14ac:dyDescent="0.25">
      <c r="A813" t="str">
        <f ca="1">IFERROR(__xludf.DUMMYFUNCTION("""COMPUTED_VALUE"""),"Bulgarsenine")</f>
        <v>Bulgarsenine</v>
      </c>
      <c r="B813" t="str">
        <f ca="1">IFERROR(__xludf.DUMMYFUNCTION("""COMPUTED_VALUE"""),"RF-00000271-TOX")</f>
        <v>RF-00000271-TOX</v>
      </c>
    </row>
    <row r="814" spans="1:2" ht="12.5" x14ac:dyDescent="0.25">
      <c r="A814" t="str">
        <f ca="1">IFERROR(__xludf.DUMMYFUNCTION("""COMPUTED_VALUE"""),"BUN")</f>
        <v>BUN</v>
      </c>
      <c r="B814" t="str">
        <f ca="1">IFERROR(__xludf.DUMMYFUNCTION("""COMPUTED_VALUE"""),"RF-00000098-CHE")</f>
        <v>RF-00000098-CHE</v>
      </c>
    </row>
    <row r="815" spans="1:2" ht="12.5" x14ac:dyDescent="0.25">
      <c r="A815" t="str">
        <f ca="1">IFERROR(__xludf.DUMMYFUNCTION("""COMPUTED_VALUE"""),"Buphenin, Nylidrin")</f>
        <v>Buphenin, Nylidrin</v>
      </c>
      <c r="B815" t="str">
        <f ca="1">IFERROR(__xludf.DUMMYFUNCTION("""COMPUTED_VALUE"""),"RF-00000454-VET")</f>
        <v>RF-00000454-VET</v>
      </c>
    </row>
    <row r="816" spans="1:2" ht="12.5" x14ac:dyDescent="0.25">
      <c r="A816" t="str">
        <f ca="1">IFERROR(__xludf.DUMMYFUNCTION("""COMPUTED_VALUE"""),"Bupirimate")</f>
        <v>Bupirimate</v>
      </c>
      <c r="B816" t="str">
        <f ca="1">IFERROR(__xludf.DUMMYFUNCTION("""COMPUTED_VALUE"""),"RF-0055-001-PPP")</f>
        <v>RF-0055-001-PPP</v>
      </c>
    </row>
    <row r="817" spans="1:2" ht="12.5" x14ac:dyDescent="0.25">
      <c r="A817" t="str">
        <f ca="1">IFERROR(__xludf.DUMMYFUNCTION("""COMPUTED_VALUE"""),"Buprofezin")</f>
        <v>Buprofezin</v>
      </c>
      <c r="B817" t="str">
        <f ca="1">IFERROR(__xludf.DUMMYFUNCTION("""COMPUTED_VALUE"""),"RF-0056-001-PPP")</f>
        <v>RF-0056-001-PPP</v>
      </c>
    </row>
    <row r="818" spans="1:2" ht="12.5" x14ac:dyDescent="0.25">
      <c r="A818" t="str">
        <f ca="1">IFERROR(__xludf.DUMMYFUNCTION("""COMPUTED_VALUE"""),"Butachlor")</f>
        <v>Butachlor</v>
      </c>
      <c r="B818" t="str">
        <f ca="1">IFERROR(__xludf.DUMMYFUNCTION("""COMPUTED_VALUE"""),"RF-0519-001-PPP")</f>
        <v>RF-0519-001-PPP</v>
      </c>
    </row>
    <row r="819" spans="1:2" ht="12.5" x14ac:dyDescent="0.25">
      <c r="A819" t="str">
        <f ca="1">IFERROR(__xludf.DUMMYFUNCTION("""COMPUTED_VALUE"""),"Butafenacil")</f>
        <v>Butafenacil</v>
      </c>
      <c r="B819" t="str">
        <f ca="1">IFERROR(__xludf.DUMMYFUNCTION("""COMPUTED_VALUE"""),"RF-0520-001-PPP")</f>
        <v>RF-0520-001-PPP</v>
      </c>
    </row>
    <row r="820" spans="1:2" ht="12.5" x14ac:dyDescent="0.25">
      <c r="A820" t="str">
        <f ca="1">IFERROR(__xludf.DUMMYFUNCTION("""COMPUTED_VALUE"""),"Butamifos")</f>
        <v>Butamifos</v>
      </c>
      <c r="B820" t="str">
        <f ca="1">IFERROR(__xludf.DUMMYFUNCTION("""COMPUTED_VALUE"""),"RF-0521-001-PPP")</f>
        <v>RF-0521-001-PPP</v>
      </c>
    </row>
    <row r="821" spans="1:2" ht="12.5" x14ac:dyDescent="0.25">
      <c r="A821" t="str">
        <f ca="1">IFERROR(__xludf.DUMMYFUNCTION("""COMPUTED_VALUE"""),"Butane")</f>
        <v>Butane</v>
      </c>
      <c r="B821" t="str">
        <f ca="1">IFERROR(__xludf.DUMMYFUNCTION("""COMPUTED_VALUE"""),"RF-00000060-ADD")</f>
        <v>RF-00000060-ADD</v>
      </c>
    </row>
    <row r="822" spans="1:2" ht="12.5" x14ac:dyDescent="0.25">
      <c r="A822" t="str">
        <f ca="1">IFERROR(__xludf.DUMMYFUNCTION("""COMPUTED_VALUE"""),"Butocarboxim")</f>
        <v>Butocarboxim</v>
      </c>
      <c r="B822" t="str">
        <f ca="1">IFERROR(__xludf.DUMMYFUNCTION("""COMPUTED_VALUE"""),"RF-00000151-VET")</f>
        <v>RF-00000151-VET</v>
      </c>
    </row>
    <row r="823" spans="1:2" ht="12.5" x14ac:dyDescent="0.25">
      <c r="A823" t="str">
        <f ca="1">IFERROR(__xludf.DUMMYFUNCTION("""COMPUTED_VALUE"""),"Butocarboxim")</f>
        <v>Butocarboxim</v>
      </c>
      <c r="B823" t="str">
        <f ca="1">IFERROR(__xludf.DUMMYFUNCTION("""COMPUTED_VALUE"""),"RF-0522-001-PPP")</f>
        <v>RF-0522-001-PPP</v>
      </c>
    </row>
    <row r="824" spans="1:2" ht="12.5" x14ac:dyDescent="0.25">
      <c r="A824" t="str">
        <f ca="1">IFERROR(__xludf.DUMMYFUNCTION("""COMPUTED_VALUE"""),"Butocarboxim (sum)")</f>
        <v>Butocarboxim (sum)</v>
      </c>
      <c r="B824" t="str">
        <f ca="1">IFERROR(__xludf.DUMMYFUNCTION("""COMPUTED_VALUE"""),"RF-0523-001-PPP")</f>
        <v>RF-0523-001-PPP</v>
      </c>
    </row>
    <row r="825" spans="1:2" ht="12.5" x14ac:dyDescent="0.25">
      <c r="A825" t="str">
        <f ca="1">IFERROR(__xludf.DUMMYFUNCTION("""COMPUTED_VALUE"""),"Butocarboxim sulfone")</f>
        <v>Butocarboxim sulfone</v>
      </c>
      <c r="B825" t="str">
        <f ca="1">IFERROR(__xludf.DUMMYFUNCTION("""COMPUTED_VALUE"""),"RF-0986-001-PPP")</f>
        <v>RF-0986-001-PPP</v>
      </c>
    </row>
    <row r="826" spans="1:2" ht="12.5" x14ac:dyDescent="0.25">
      <c r="A826" t="str">
        <f ca="1">IFERROR(__xludf.DUMMYFUNCTION("""COMPUTED_VALUE"""),"Butocarboxim-Sulfoxid")</f>
        <v>Butocarboxim-Sulfoxid</v>
      </c>
      <c r="B826" t="str">
        <f ca="1">IFERROR(__xludf.DUMMYFUNCTION("""COMPUTED_VALUE"""),"RF-0524-001-PPP")</f>
        <v>RF-0524-001-PPP</v>
      </c>
    </row>
    <row r="827" spans="1:2" ht="12.5" x14ac:dyDescent="0.25">
      <c r="A827" t="str">
        <f ca="1">IFERROR(__xludf.DUMMYFUNCTION("""COMPUTED_VALUE"""),"Butoxycarboxim")</f>
        <v>Butoxycarboxim</v>
      </c>
      <c r="B827" t="str">
        <f ca="1">IFERROR(__xludf.DUMMYFUNCTION("""COMPUTED_VALUE"""),"RF-0525-001-PPP")</f>
        <v>RF-0525-001-PPP</v>
      </c>
    </row>
    <row r="828" spans="1:2" ht="12.5" x14ac:dyDescent="0.25">
      <c r="A828" t="str">
        <f ca="1">IFERROR(__xludf.DUMMYFUNCTION("""COMPUTED_VALUE"""),"Butralin")</f>
        <v>Butralin</v>
      </c>
      <c r="B828" t="str">
        <f ca="1">IFERROR(__xludf.DUMMYFUNCTION("""COMPUTED_VALUE"""),"RF-0057-001-PPP")</f>
        <v>RF-0057-001-PPP</v>
      </c>
    </row>
    <row r="829" spans="1:2" ht="12.5" x14ac:dyDescent="0.25">
      <c r="A829" t="str">
        <f ca="1">IFERROR(__xludf.DUMMYFUNCTION("""COMPUTED_VALUE"""),"Butroxydim")</f>
        <v>Butroxydim</v>
      </c>
      <c r="B829" t="str">
        <f ca="1">IFERROR(__xludf.DUMMYFUNCTION("""COMPUTED_VALUE"""),"RF-0526-001-PPP")</f>
        <v>RF-0526-001-PPP</v>
      </c>
    </row>
    <row r="830" spans="1:2" ht="12.5" x14ac:dyDescent="0.25">
      <c r="A830" t="str">
        <f ca="1">IFERROR(__xludf.DUMMYFUNCTION("""COMPUTED_VALUE"""),"Buturon")</f>
        <v>Buturon</v>
      </c>
      <c r="B830" t="str">
        <f ca="1">IFERROR(__xludf.DUMMYFUNCTION("""COMPUTED_VALUE"""),"RF-0527-001-PPP")</f>
        <v>RF-0527-001-PPP</v>
      </c>
    </row>
    <row r="831" spans="1:2" ht="12.5" x14ac:dyDescent="0.25">
      <c r="A831" t="str">
        <f ca="1">IFERROR(__xludf.DUMMYFUNCTION("""COMPUTED_VALUE"""),"Butylate")</f>
        <v>Butylate</v>
      </c>
      <c r="B831" t="str">
        <f ca="1">IFERROR(__xludf.DUMMYFUNCTION("""COMPUTED_VALUE"""),"RF-0058-001-PPP")</f>
        <v>RF-0058-001-PPP</v>
      </c>
    </row>
    <row r="832" spans="1:2" ht="12.5" x14ac:dyDescent="0.25">
      <c r="A832" t="str">
        <f ca="1">IFERROR(__xludf.DUMMYFUNCTION("""COMPUTED_VALUE"""),"Butylated hydroxyanisole (BHA)")</f>
        <v>Butylated hydroxyanisole (BHA)</v>
      </c>
      <c r="B832" t="str">
        <f ca="1">IFERROR(__xludf.DUMMYFUNCTION("""COMPUTED_VALUE"""),"RF-00000061-ADD")</f>
        <v>RF-00000061-ADD</v>
      </c>
    </row>
    <row r="833" spans="1:2" ht="12.5" x14ac:dyDescent="0.25">
      <c r="A833" t="str">
        <f ca="1">IFERROR(__xludf.DUMMYFUNCTION("""COMPUTED_VALUE"""),"Butylated hydroxytoluene (BHT)")</f>
        <v>Butylated hydroxytoluene (BHT)</v>
      </c>
      <c r="B833" t="str">
        <f ca="1">IFERROR(__xludf.DUMMYFUNCTION("""COMPUTED_VALUE"""),"RF-00000062-ADD")</f>
        <v>RF-00000062-ADD</v>
      </c>
    </row>
    <row r="834" spans="1:2" ht="12.5" x14ac:dyDescent="0.25">
      <c r="A834" t="str">
        <f ca="1">IFERROR(__xludf.DUMMYFUNCTION("""COMPUTED_VALUE"""),"Butylbenzylphthalate")</f>
        <v>Butylbenzylphthalate</v>
      </c>
      <c r="B834" t="str">
        <f ca="1">IFERROR(__xludf.DUMMYFUNCTION("""COMPUTED_VALUE"""),"RF-00000003-ORG")</f>
        <v>RF-00000003-ORG</v>
      </c>
    </row>
    <row r="835" spans="1:2" ht="12.5" x14ac:dyDescent="0.25">
      <c r="A835" t="str">
        <f ca="1">IFERROR(__xludf.DUMMYFUNCTION("""COMPUTED_VALUE"""),"C-CTX1")</f>
        <v>C-CTX1</v>
      </c>
      <c r="B835" t="str">
        <f ca="1">IFERROR(__xludf.DUMMYFUNCTION("""COMPUTED_VALUE"""),"RF-00000046-TOX")</f>
        <v>RF-00000046-TOX</v>
      </c>
    </row>
    <row r="836" spans="1:2" ht="12.5" x14ac:dyDescent="0.25">
      <c r="A836" t="str">
        <f ca="1">IFERROR(__xludf.DUMMYFUNCTION("""COMPUTED_VALUE"""),"C-CTX2")</f>
        <v>C-CTX2</v>
      </c>
      <c r="B836" t="str">
        <f ca="1">IFERROR(__xludf.DUMMYFUNCTION("""COMPUTED_VALUE"""),"RF-00000047-TOX")</f>
        <v>RF-00000047-TOX</v>
      </c>
    </row>
    <row r="837" spans="1:2" ht="12.5" x14ac:dyDescent="0.25">
      <c r="A837" t="str">
        <f ca="1">IFERROR(__xludf.DUMMYFUNCTION("""COMPUTED_VALUE"""),"Cadaverine")</f>
        <v>Cadaverine</v>
      </c>
      <c r="B837" t="str">
        <f ca="1">IFERROR(__xludf.DUMMYFUNCTION("""COMPUTED_VALUE"""),"RF-00000002-BGA")</f>
        <v>RF-00000002-BGA</v>
      </c>
    </row>
    <row r="838" spans="1:2" ht="12.5" x14ac:dyDescent="0.25">
      <c r="A838" t="str">
        <f ca="1">IFERROR(__xludf.DUMMYFUNCTION("""COMPUTED_VALUE"""),"Cadmium (Cd)")</f>
        <v>Cadmium (Cd)</v>
      </c>
      <c r="B838" t="str">
        <f ca="1">IFERROR(__xludf.DUMMYFUNCTION("""COMPUTED_VALUE"""),"RF-00000150-CHE")</f>
        <v>RF-00000150-CHE</v>
      </c>
    </row>
    <row r="839" spans="1:2" ht="12.5" x14ac:dyDescent="0.25">
      <c r="A839" t="str">
        <f ca="1">IFERROR(__xludf.DUMMYFUNCTION("""COMPUTED_VALUE"""),"Cadmium and derivatives")</f>
        <v>Cadmium and derivatives</v>
      </c>
      <c r="B839" t="str">
        <f ca="1">IFERROR(__xludf.DUMMYFUNCTION("""COMPUTED_VALUE"""),"RF-00000149-CHE")</f>
        <v>RF-00000149-CHE</v>
      </c>
    </row>
    <row r="840" spans="1:2" ht="12.5" x14ac:dyDescent="0.25">
      <c r="A840" t="str">
        <f ca="1">IFERROR(__xludf.DUMMYFUNCTION("""COMPUTED_VALUE"""),"Cadusafos")</f>
        <v>Cadusafos</v>
      </c>
      <c r="B840" t="str">
        <f ca="1">IFERROR(__xludf.DUMMYFUNCTION("""COMPUTED_VALUE"""),"RF-0528-001-PPP")</f>
        <v>RF-0528-001-PPP</v>
      </c>
    </row>
    <row r="841" spans="1:2" ht="12.5" x14ac:dyDescent="0.25">
      <c r="A841" t="str">
        <f ca="1">IFERROR(__xludf.DUMMYFUNCTION("""COMPUTED_VALUE"""),"Cafenstrole")</f>
        <v>Cafenstrole</v>
      </c>
      <c r="B841" t="str">
        <f ca="1">IFERROR(__xludf.DUMMYFUNCTION("""COMPUTED_VALUE"""),"RF-0529-001-PPP")</f>
        <v>RF-0529-001-PPP</v>
      </c>
    </row>
    <row r="842" spans="1:2" ht="12.5" x14ac:dyDescent="0.25">
      <c r="A842" t="str">
        <f ca="1">IFERROR(__xludf.DUMMYFUNCTION("""COMPUTED_VALUE"""),"caffeine")</f>
        <v>caffeine</v>
      </c>
      <c r="B842" t="str">
        <f ca="1">IFERROR(__xludf.DUMMYFUNCTION("""COMPUTED_VALUE"""),"RF-00000038-NTR")</f>
        <v>RF-00000038-NTR</v>
      </c>
    </row>
    <row r="843" spans="1:2" ht="12.5" x14ac:dyDescent="0.25">
      <c r="A843" t="str">
        <f ca="1">IFERROR(__xludf.DUMMYFUNCTION("""COMPUTED_VALUE"""),"Calcium (Ca)")</f>
        <v>Calcium (Ca)</v>
      </c>
      <c r="B843" t="str">
        <f ca="1">IFERROR(__xludf.DUMMYFUNCTION("""COMPUTED_VALUE"""),"RF-00000007-CHE")</f>
        <v>RF-00000007-CHE</v>
      </c>
    </row>
    <row r="844" spans="1:2" ht="12.5" x14ac:dyDescent="0.25">
      <c r="A844" t="str">
        <f ca="1">IFERROR(__xludf.DUMMYFUNCTION("""COMPUTED_VALUE"""),"Calcium 5'-ribonucleotides")</f>
        <v>Calcium 5'-ribonucleotides</v>
      </c>
      <c r="B844" t="str">
        <f ca="1">IFERROR(__xludf.DUMMYFUNCTION("""COMPUTED_VALUE"""),"RF-00000063-ADD")</f>
        <v>RF-00000063-ADD</v>
      </c>
    </row>
    <row r="845" spans="1:2" ht="12.5" x14ac:dyDescent="0.25">
      <c r="A845" t="str">
        <f ca="1">IFERROR(__xludf.DUMMYFUNCTION("""COMPUTED_VALUE"""),"Calcium acetate")</f>
        <v>Calcium acetate</v>
      </c>
      <c r="B845" t="str">
        <f ca="1">IFERROR(__xludf.DUMMYFUNCTION("""COMPUTED_VALUE"""),"RF-00000064-ADD")</f>
        <v>RF-00000064-ADD</v>
      </c>
    </row>
    <row r="846" spans="1:2" ht="12.5" x14ac:dyDescent="0.25">
      <c r="A846" t="str">
        <f ca="1">IFERROR(__xludf.DUMMYFUNCTION("""COMPUTED_VALUE"""),"Calcium alginate")</f>
        <v>Calcium alginate</v>
      </c>
      <c r="B846" t="str">
        <f ca="1">IFERROR(__xludf.DUMMYFUNCTION("""COMPUTED_VALUE"""),"RF-00000065-ADD")</f>
        <v>RF-00000065-ADD</v>
      </c>
    </row>
    <row r="847" spans="1:2" ht="12.5" x14ac:dyDescent="0.25">
      <c r="A847" t="str">
        <f ca="1">IFERROR(__xludf.DUMMYFUNCTION("""COMPUTED_VALUE"""),"Calcium aluminium silicate")</f>
        <v>Calcium aluminium silicate</v>
      </c>
      <c r="B847" t="str">
        <f ca="1">IFERROR(__xludf.DUMMYFUNCTION("""COMPUTED_VALUE"""),"RF-00000066-ADD")</f>
        <v>RF-00000066-ADD</v>
      </c>
    </row>
    <row r="848" spans="1:2" ht="12.5" x14ac:dyDescent="0.25">
      <c r="A848" t="str">
        <f ca="1">IFERROR(__xludf.DUMMYFUNCTION("""COMPUTED_VALUE"""),"Calcium and derivatives")</f>
        <v>Calcium and derivatives</v>
      </c>
      <c r="B848" t="str">
        <f ca="1">IFERROR(__xludf.DUMMYFUNCTION("""COMPUTED_VALUE"""),"RF-00000006-CHE")</f>
        <v>RF-00000006-CHE</v>
      </c>
    </row>
    <row r="849" spans="1:2" ht="12.5" x14ac:dyDescent="0.25">
      <c r="A849" t="str">
        <f ca="1">IFERROR(__xludf.DUMMYFUNCTION("""COMPUTED_VALUE"""),"Calcium ascorbate")</f>
        <v>Calcium ascorbate</v>
      </c>
      <c r="B849" t="str">
        <f ca="1">IFERROR(__xludf.DUMMYFUNCTION("""COMPUTED_VALUE"""),"RF-00000067-ADD")</f>
        <v>RF-00000067-ADD</v>
      </c>
    </row>
    <row r="850" spans="1:2" ht="12.5" x14ac:dyDescent="0.25">
      <c r="A850" t="str">
        <f ca="1">IFERROR(__xludf.DUMMYFUNCTION("""COMPUTED_VALUE"""),"Calcium benzoate")</f>
        <v>Calcium benzoate</v>
      </c>
      <c r="B850" t="str">
        <f ca="1">IFERROR(__xludf.DUMMYFUNCTION("""COMPUTED_VALUE"""),"RF-00000068-ADD")</f>
        <v>RF-00000068-ADD</v>
      </c>
    </row>
    <row r="851" spans="1:2" ht="12.5" x14ac:dyDescent="0.25">
      <c r="A851" t="str">
        <f ca="1">IFERROR(__xludf.DUMMYFUNCTION("""COMPUTED_VALUE"""),"Calcium bisulphite")</f>
        <v>Calcium bisulphite</v>
      </c>
      <c r="B851" t="str">
        <f ca="1">IFERROR(__xludf.DUMMYFUNCTION("""COMPUTED_VALUE"""),"RF-00001296-PAR")</f>
        <v>RF-00001296-PAR</v>
      </c>
    </row>
    <row r="852" spans="1:2" ht="12.5" x14ac:dyDescent="0.25">
      <c r="A852" t="str">
        <f ca="1">IFERROR(__xludf.DUMMYFUNCTION("""COMPUTED_VALUE"""),"Calcium carbonate")</f>
        <v>Calcium carbonate</v>
      </c>
      <c r="B852" t="str">
        <f ca="1">IFERROR(__xludf.DUMMYFUNCTION("""COMPUTED_VALUE"""),"RF-00000069-ADD")</f>
        <v>RF-00000069-ADD</v>
      </c>
    </row>
    <row r="853" spans="1:2" ht="12.5" x14ac:dyDescent="0.25">
      <c r="A853" t="str">
        <f ca="1">IFERROR(__xludf.DUMMYFUNCTION("""COMPUTED_VALUE"""),"Calcium chloride")</f>
        <v>Calcium chloride</v>
      </c>
      <c r="B853" t="str">
        <f ca="1">IFERROR(__xludf.DUMMYFUNCTION("""COMPUTED_VALUE"""),"RF-00000071-ADD")</f>
        <v>RF-00000071-ADD</v>
      </c>
    </row>
    <row r="854" spans="1:2" ht="12.5" x14ac:dyDescent="0.25">
      <c r="A854" t="str">
        <f ca="1">IFERROR(__xludf.DUMMYFUNCTION("""COMPUTED_VALUE"""),"Calcium citrates")</f>
        <v>Calcium citrates</v>
      </c>
      <c r="B854" t="str">
        <f ca="1">IFERROR(__xludf.DUMMYFUNCTION("""COMPUTED_VALUE"""),"RF-00000072-ADD")</f>
        <v>RF-00000072-ADD</v>
      </c>
    </row>
    <row r="855" spans="1:2" ht="12.5" x14ac:dyDescent="0.25">
      <c r="A855" t="str">
        <f ca="1">IFERROR(__xludf.DUMMYFUNCTION("""COMPUTED_VALUE"""),"Calcium diglutamate")</f>
        <v>Calcium diglutamate</v>
      </c>
      <c r="B855" t="str">
        <f ca="1">IFERROR(__xludf.DUMMYFUNCTION("""COMPUTED_VALUE"""),"RF-00000073-ADD")</f>
        <v>RF-00000073-ADD</v>
      </c>
    </row>
    <row r="856" spans="1:2" ht="12.5" x14ac:dyDescent="0.25">
      <c r="A856" t="str">
        <f ca="1">IFERROR(__xludf.DUMMYFUNCTION("""COMPUTED_VALUE"""),"Calcium disodium ethylene diamine tetra-acetate (Calcium disodium EDTA)")</f>
        <v>Calcium disodium ethylene diamine tetra-acetate (Calcium disodium EDTA)</v>
      </c>
      <c r="B856" t="str">
        <f ca="1">IFERROR(__xludf.DUMMYFUNCTION("""COMPUTED_VALUE"""),"RF-00000074-ADD")</f>
        <v>RF-00000074-ADD</v>
      </c>
    </row>
    <row r="857" spans="1:2" ht="12.5" x14ac:dyDescent="0.25">
      <c r="A857" t="str">
        <f ca="1">IFERROR(__xludf.DUMMYFUNCTION("""COMPUTED_VALUE"""),"Calcium ferrocyanide")</f>
        <v>Calcium ferrocyanide</v>
      </c>
      <c r="B857" t="str">
        <f ca="1">IFERROR(__xludf.DUMMYFUNCTION("""COMPUTED_VALUE"""),"RF-00000075-ADD")</f>
        <v>RF-00000075-ADD</v>
      </c>
    </row>
    <row r="858" spans="1:2" ht="12.5" x14ac:dyDescent="0.25">
      <c r="A858" t="str">
        <f ca="1">IFERROR(__xludf.DUMMYFUNCTION("""COMPUTED_VALUE"""),"Calcium gluconate")</f>
        <v>Calcium gluconate</v>
      </c>
      <c r="B858" t="str">
        <f ca="1">IFERROR(__xludf.DUMMYFUNCTION("""COMPUTED_VALUE"""),"RF-00000076-ADD")</f>
        <v>RF-00000076-ADD</v>
      </c>
    </row>
    <row r="859" spans="1:2" ht="12.5" x14ac:dyDescent="0.25">
      <c r="A859" t="str">
        <f ca="1">IFERROR(__xludf.DUMMYFUNCTION("""COMPUTED_VALUE"""),"Calcium guanylate")</f>
        <v>Calcium guanylate</v>
      </c>
      <c r="B859" t="str">
        <f ca="1">IFERROR(__xludf.DUMMYFUNCTION("""COMPUTED_VALUE"""),"RF-00000077-ADD")</f>
        <v>RF-00000077-ADD</v>
      </c>
    </row>
    <row r="860" spans="1:2" ht="12.5" x14ac:dyDescent="0.25">
      <c r="A860" t="str">
        <f ca="1">IFERROR(__xludf.DUMMYFUNCTION("""COMPUTED_VALUE"""),"Calcium hydrogen sulphite")</f>
        <v>Calcium hydrogen sulphite</v>
      </c>
      <c r="B860" t="str">
        <f ca="1">IFERROR(__xludf.DUMMYFUNCTION("""COMPUTED_VALUE"""),"RF-00000078-ADD")</f>
        <v>RF-00000078-ADD</v>
      </c>
    </row>
    <row r="861" spans="1:2" ht="12.5" x14ac:dyDescent="0.25">
      <c r="A861" t="str">
        <f ca="1">IFERROR(__xludf.DUMMYFUNCTION("""COMPUTED_VALUE"""),"Calcium hydroxide")</f>
        <v>Calcium hydroxide</v>
      </c>
      <c r="B861" t="str">
        <f ca="1">IFERROR(__xludf.DUMMYFUNCTION("""COMPUTED_VALUE"""),"RF-00000079-ADD")</f>
        <v>RF-00000079-ADD</v>
      </c>
    </row>
    <row r="862" spans="1:2" ht="12.5" x14ac:dyDescent="0.25">
      <c r="A862" t="str">
        <f ca="1">IFERROR(__xludf.DUMMYFUNCTION("""COMPUTED_VALUE"""),"Calcium inosinate")</f>
        <v>Calcium inosinate</v>
      </c>
      <c r="B862" t="str">
        <f ca="1">IFERROR(__xludf.DUMMYFUNCTION("""COMPUTED_VALUE"""),"RF-00000080-ADD")</f>
        <v>RF-00000080-ADD</v>
      </c>
    </row>
    <row r="863" spans="1:2" ht="12.5" x14ac:dyDescent="0.25">
      <c r="A863" t="str">
        <f ca="1">IFERROR(__xludf.DUMMYFUNCTION("""COMPUTED_VALUE"""),"Calcium lactate")</f>
        <v>Calcium lactate</v>
      </c>
      <c r="B863" t="str">
        <f ca="1">IFERROR(__xludf.DUMMYFUNCTION("""COMPUTED_VALUE"""),"RF-00000081-ADD")</f>
        <v>RF-00000081-ADD</v>
      </c>
    </row>
    <row r="864" spans="1:2" ht="12.5" x14ac:dyDescent="0.25">
      <c r="A864" t="str">
        <f ca="1">IFERROR(__xludf.DUMMYFUNCTION("""COMPUTED_VALUE"""),"Calcium malate")</f>
        <v>Calcium malate</v>
      </c>
      <c r="B864" t="str">
        <f ca="1">IFERROR(__xludf.DUMMYFUNCTION("""COMPUTED_VALUE"""),"RF-00000082-ADD")</f>
        <v>RF-00000082-ADD</v>
      </c>
    </row>
    <row r="865" spans="1:2" ht="12.5" x14ac:dyDescent="0.25">
      <c r="A865" t="str">
        <f ca="1">IFERROR(__xludf.DUMMYFUNCTION("""COMPUTED_VALUE"""),"Calcium oxide")</f>
        <v>Calcium oxide</v>
      </c>
      <c r="B865" t="str">
        <f ca="1">IFERROR(__xludf.DUMMYFUNCTION("""COMPUTED_VALUE"""),"RF-00000010-CHE")</f>
        <v>RF-00000010-CHE</v>
      </c>
    </row>
    <row r="866" spans="1:2" ht="12.5" x14ac:dyDescent="0.25">
      <c r="A866" t="str">
        <f ca="1">IFERROR(__xludf.DUMMYFUNCTION("""COMPUTED_VALUE"""),"Calcium phosphates")</f>
        <v>Calcium phosphates</v>
      </c>
      <c r="B866" t="str">
        <f ca="1">IFERROR(__xludf.DUMMYFUNCTION("""COMPUTED_VALUE"""),"RF-00000083-ADD")</f>
        <v>RF-00000083-ADD</v>
      </c>
    </row>
    <row r="867" spans="1:2" ht="12.5" x14ac:dyDescent="0.25">
      <c r="A867" t="str">
        <f ca="1">IFERROR(__xludf.DUMMYFUNCTION("""COMPUTED_VALUE"""),"Calcium propionate")</f>
        <v>Calcium propionate</v>
      </c>
      <c r="B867" t="str">
        <f ca="1">IFERROR(__xludf.DUMMYFUNCTION("""COMPUTED_VALUE"""),"RF-00000084-ADD")</f>
        <v>RF-00000084-ADD</v>
      </c>
    </row>
    <row r="868" spans="1:2" ht="12.5" x14ac:dyDescent="0.25">
      <c r="A868" t="str">
        <f ca="1">IFERROR(__xludf.DUMMYFUNCTION("""COMPUTED_VALUE"""),"Calcium silicate")</f>
        <v>Calcium silicate</v>
      </c>
      <c r="B868" t="str">
        <f ca="1">IFERROR(__xludf.DUMMYFUNCTION("""COMPUTED_VALUE"""),"RF-00000085-ADD")</f>
        <v>RF-00000085-ADD</v>
      </c>
    </row>
    <row r="869" spans="1:2" ht="12.5" x14ac:dyDescent="0.25">
      <c r="A869" t="str">
        <f ca="1">IFERROR(__xludf.DUMMYFUNCTION("""COMPUTED_VALUE"""),"Calcium soluble in mineral acids")</f>
        <v>Calcium soluble in mineral acids</v>
      </c>
      <c r="B869" t="str">
        <f ca="1">IFERROR(__xludf.DUMMYFUNCTION("""COMPUTED_VALUE"""),"RF-00000008-CHE")</f>
        <v>RF-00000008-CHE</v>
      </c>
    </row>
    <row r="870" spans="1:2" ht="12.5" x14ac:dyDescent="0.25">
      <c r="A870" t="str">
        <f ca="1">IFERROR(__xludf.DUMMYFUNCTION("""COMPUTED_VALUE"""),"Calcium soluble in water")</f>
        <v>Calcium soluble in water</v>
      </c>
      <c r="B870" t="str">
        <f ca="1">IFERROR(__xludf.DUMMYFUNCTION("""COMPUTED_VALUE"""),"RF-00000009-CHE")</f>
        <v>RF-00000009-CHE</v>
      </c>
    </row>
    <row r="871" spans="1:2" ht="12.5" x14ac:dyDescent="0.25">
      <c r="A871" t="str">
        <f ca="1">IFERROR(__xludf.DUMMYFUNCTION("""COMPUTED_VALUE"""),"Calcium sorbate")</f>
        <v>Calcium sorbate</v>
      </c>
      <c r="B871" t="str">
        <f ca="1">IFERROR(__xludf.DUMMYFUNCTION("""COMPUTED_VALUE"""),"RF-00000086-ADD")</f>
        <v>RF-00000086-ADD</v>
      </c>
    </row>
    <row r="872" spans="1:2" ht="12.5" x14ac:dyDescent="0.25">
      <c r="A872" t="str">
        <f ca="1">IFERROR(__xludf.DUMMYFUNCTION("""COMPUTED_VALUE"""),"Calcium stearoyl-2-lactylate")</f>
        <v>Calcium stearoyl-2-lactylate</v>
      </c>
      <c r="B872" t="str">
        <f ca="1">IFERROR(__xludf.DUMMYFUNCTION("""COMPUTED_VALUE"""),"RF-00000087-ADD")</f>
        <v>RF-00000087-ADD</v>
      </c>
    </row>
    <row r="873" spans="1:2" ht="12.5" x14ac:dyDescent="0.25">
      <c r="A873" t="str">
        <f ca="1">IFERROR(__xludf.DUMMYFUNCTION("""COMPUTED_VALUE"""),"Calcium sulphate")</f>
        <v>Calcium sulphate</v>
      </c>
      <c r="B873" t="str">
        <f ca="1">IFERROR(__xludf.DUMMYFUNCTION("""COMPUTED_VALUE"""),"RF-00000088-ADD")</f>
        <v>RF-00000088-ADD</v>
      </c>
    </row>
    <row r="874" spans="1:2" ht="12.5" x14ac:dyDescent="0.25">
      <c r="A874" t="str">
        <f ca="1">IFERROR(__xludf.DUMMYFUNCTION("""COMPUTED_VALUE"""),"Calcium sulphite")</f>
        <v>Calcium sulphite</v>
      </c>
      <c r="B874" t="str">
        <f ca="1">IFERROR(__xludf.DUMMYFUNCTION("""COMPUTED_VALUE"""),"RF-00000089-ADD")</f>
        <v>RF-00000089-ADD</v>
      </c>
    </row>
    <row r="875" spans="1:2" ht="12.5" x14ac:dyDescent="0.25">
      <c r="A875" t="str">
        <f ca="1">IFERROR(__xludf.DUMMYFUNCTION("""COMPUTED_VALUE"""),"Calcium tartrate")</f>
        <v>Calcium tartrate</v>
      </c>
      <c r="B875" t="str">
        <f ca="1">IFERROR(__xludf.DUMMYFUNCTION("""COMPUTED_VALUE"""),"RF-00000090-ADD")</f>
        <v>RF-00000090-ADD</v>
      </c>
    </row>
    <row r="876" spans="1:2" ht="12.5" x14ac:dyDescent="0.25">
      <c r="A876" t="str">
        <f ca="1">IFERROR(__xludf.DUMMYFUNCTION("""COMPUTED_VALUE"""),"Calicivirus")</f>
        <v>Calicivirus</v>
      </c>
      <c r="B876" t="str">
        <f ca="1">IFERROR(__xludf.DUMMYFUNCTION("""COMPUTED_VALUE"""),"RF-00000039-MCG")</f>
        <v>RF-00000039-MCG</v>
      </c>
    </row>
    <row r="877" spans="1:2" ht="12.5" x14ac:dyDescent="0.25">
      <c r="A877" t="str">
        <f ca="1">IFERROR(__xludf.DUMMYFUNCTION("""COMPUTED_VALUE"""),"Cambendazol")</f>
        <v>Cambendazol</v>
      </c>
      <c r="B877" t="str">
        <f ca="1">IFERROR(__xludf.DUMMYFUNCTION("""COMPUTED_VALUE"""),"RF-00000014-VET")</f>
        <v>RF-00000014-VET</v>
      </c>
    </row>
    <row r="878" spans="1:2" ht="12.5" x14ac:dyDescent="0.25">
      <c r="A878" t="str">
        <f ca="1">IFERROR(__xludf.DUMMYFUNCTION("""COMPUTED_VALUE"""),"campesterol, total")</f>
        <v>campesterol, total</v>
      </c>
      <c r="B878" t="str">
        <f ca="1">IFERROR(__xludf.DUMMYFUNCTION("""COMPUTED_VALUE"""),"RF-00000039-NTR")</f>
        <v>RF-00000039-NTR</v>
      </c>
    </row>
    <row r="879" spans="1:2" ht="12.5" x14ac:dyDescent="0.25">
      <c r="A879" t="str">
        <f ca="1">IFERROR(__xludf.DUMMYFUNCTION("""COMPUTED_VALUE"""),"Camphechlor (chlorinated camphen with 67-69% chlorine)")</f>
        <v>Camphechlor (chlorinated camphen with 67-69% chlorine)</v>
      </c>
      <c r="B879" t="str">
        <f ca="1">IFERROR(__xludf.DUMMYFUNCTION("""COMPUTED_VALUE"""),"RF-0059-002-PPP")</f>
        <v>RF-0059-002-PPP</v>
      </c>
    </row>
    <row r="880" spans="1:2" ht="12.5" x14ac:dyDescent="0.25">
      <c r="A880" t="str">
        <f ca="1">IFERROR(__xludf.DUMMYFUNCTION("""COMPUTED_VALUE"""),"Camphechlor (Sum of the three indicator compounds Parlar No 26, 50 and 62)")</f>
        <v>Camphechlor (Sum of the three indicator compounds Parlar No 26, 50 and 62)</v>
      </c>
      <c r="B880" t="str">
        <f ca="1">IFERROR(__xludf.DUMMYFUNCTION("""COMPUTED_VALUE"""),"RF-0059-003-PPP")</f>
        <v>RF-0059-003-PPP</v>
      </c>
    </row>
    <row r="881" spans="1:2" ht="12.5" x14ac:dyDescent="0.25">
      <c r="A881" t="str">
        <f ca="1">IFERROR(__xludf.DUMMYFUNCTION("""COMPUTED_VALUE"""),"Camphechlor (Toxaphene)")</f>
        <v>Camphechlor (Toxaphene)</v>
      </c>
      <c r="B881" t="str">
        <f ca="1">IFERROR(__xludf.DUMMYFUNCTION("""COMPUTED_VALUE"""),"RF-0059-001-PPP")</f>
        <v>RF-0059-001-PPP</v>
      </c>
    </row>
    <row r="882" spans="1:2" ht="12.5" x14ac:dyDescent="0.25">
      <c r="A882" t="str">
        <f ca="1">IFERROR(__xludf.DUMMYFUNCTION("""COMPUTED_VALUE"""),"Campylobacter")</f>
        <v>Campylobacter</v>
      </c>
      <c r="B882" t="str">
        <f ca="1">IFERROR(__xludf.DUMMYFUNCTION("""COMPUTED_VALUE"""),"RF-00000042-MCG")</f>
        <v>RF-00000042-MCG</v>
      </c>
    </row>
    <row r="883" spans="1:2" ht="12.5" x14ac:dyDescent="0.25">
      <c r="A883" t="str">
        <f ca="1">IFERROR(__xludf.DUMMYFUNCTION("""COMPUTED_VALUE"""),"Campylobacter - C. pylori")</f>
        <v>Campylobacter - C. pylori</v>
      </c>
      <c r="B883" t="str">
        <f ca="1">IFERROR(__xludf.DUMMYFUNCTION("""COMPUTED_VALUE"""),"RF-00003520-MCG")</f>
        <v>RF-00003520-MCG</v>
      </c>
    </row>
    <row r="884" spans="1:2" ht="12.5" x14ac:dyDescent="0.25">
      <c r="A884" t="str">
        <f ca="1">IFERROR(__xludf.DUMMYFUNCTION("""COMPUTED_VALUE"""),"Campylobacter coli")</f>
        <v>Campylobacter coli</v>
      </c>
      <c r="B884" t="str">
        <f ca="1">IFERROR(__xludf.DUMMYFUNCTION("""COMPUTED_VALUE"""),"RF-00000054-MCG")</f>
        <v>RF-00000054-MCG</v>
      </c>
    </row>
    <row r="885" spans="1:2" ht="12.5" x14ac:dyDescent="0.25">
      <c r="A885" t="str">
        <f ca="1">IFERROR(__xludf.DUMMYFUNCTION("""COMPUTED_VALUE"""),"Campylobacter cryaerophilus")</f>
        <v>Campylobacter cryaerophilus</v>
      </c>
      <c r="B885" t="str">
        <f ca="1">IFERROR(__xludf.DUMMYFUNCTION("""COMPUTED_VALUE"""),"RF-00000050-MCG")</f>
        <v>RF-00000050-MCG</v>
      </c>
    </row>
    <row r="886" spans="1:2" ht="12.5" x14ac:dyDescent="0.25">
      <c r="A886" t="str">
        <f ca="1">IFERROR(__xludf.DUMMYFUNCTION("""COMPUTED_VALUE"""),"Campylobacter curvus")</f>
        <v>Campylobacter curvus</v>
      </c>
      <c r="B886" t="str">
        <f ca="1">IFERROR(__xludf.DUMMYFUNCTION("""COMPUTED_VALUE"""),"RF-00000049-MCG")</f>
        <v>RF-00000049-MCG</v>
      </c>
    </row>
    <row r="887" spans="1:2" ht="12.5" x14ac:dyDescent="0.25">
      <c r="A887" t="str">
        <f ca="1">IFERROR(__xludf.DUMMYFUNCTION("""COMPUTED_VALUE"""),"Campylobacter fetus")</f>
        <v>Campylobacter fetus</v>
      </c>
      <c r="B887" t="str">
        <f ca="1">IFERROR(__xludf.DUMMYFUNCTION("""COMPUTED_VALUE"""),"RF-00000055-MCG")</f>
        <v>RF-00000055-MCG</v>
      </c>
    </row>
    <row r="888" spans="1:2" ht="12.5" x14ac:dyDescent="0.25">
      <c r="A888" t="str">
        <f ca="1">IFERROR(__xludf.DUMMYFUNCTION("""COMPUTED_VALUE"""),"Campylobacter fetus subsp. fetus")</f>
        <v>Campylobacter fetus subsp. fetus</v>
      </c>
      <c r="B888" t="str">
        <f ca="1">IFERROR(__xludf.DUMMYFUNCTION("""COMPUTED_VALUE"""),"RF-00000056-MCG")</f>
        <v>RF-00000056-MCG</v>
      </c>
    </row>
    <row r="889" spans="1:2" ht="12.5" x14ac:dyDescent="0.25">
      <c r="A889" t="str">
        <f ca="1">IFERROR(__xludf.DUMMYFUNCTION("""COMPUTED_VALUE"""),"Campylobacter fetus subsp. venerealis")</f>
        <v>Campylobacter fetus subsp. venerealis</v>
      </c>
      <c r="B889" t="str">
        <f ca="1">IFERROR(__xludf.DUMMYFUNCTION("""COMPUTED_VALUE"""),"RF-00000057-MCG")</f>
        <v>RF-00000057-MCG</v>
      </c>
    </row>
    <row r="890" spans="1:2" ht="12.5" x14ac:dyDescent="0.25">
      <c r="A890" t="str">
        <f ca="1">IFERROR(__xludf.DUMMYFUNCTION("""COMPUTED_VALUE"""),"Campylobacter gracilis")</f>
        <v>Campylobacter gracilis</v>
      </c>
      <c r="B890" t="str">
        <f ca="1">IFERROR(__xludf.DUMMYFUNCTION("""COMPUTED_VALUE"""),"RF-00000053-MCG")</f>
        <v>RF-00000053-MCG</v>
      </c>
    </row>
    <row r="891" spans="1:2" ht="12.5" x14ac:dyDescent="0.25">
      <c r="A891" t="str">
        <f ca="1">IFERROR(__xludf.DUMMYFUNCTION("""COMPUTED_VALUE"""),"Campylobacter hominis")</f>
        <v>Campylobacter hominis</v>
      </c>
      <c r="B891" t="str">
        <f ca="1">IFERROR(__xludf.DUMMYFUNCTION("""COMPUTED_VALUE"""),"RF-00000051-MCG")</f>
        <v>RF-00000051-MCG</v>
      </c>
    </row>
    <row r="892" spans="1:2" ht="12.5" x14ac:dyDescent="0.25">
      <c r="A892" t="str">
        <f ca="1">IFERROR(__xludf.DUMMYFUNCTION("""COMPUTED_VALUE"""),"Campylobacter hyointestinalis")</f>
        <v>Campylobacter hyointestinalis</v>
      </c>
      <c r="B892" t="str">
        <f ca="1">IFERROR(__xludf.DUMMYFUNCTION("""COMPUTED_VALUE"""),"RF-00000058-MCG")</f>
        <v>RF-00000058-MCG</v>
      </c>
    </row>
    <row r="893" spans="1:2" ht="12.5" x14ac:dyDescent="0.25">
      <c r="A893" t="str">
        <f ca="1">IFERROR(__xludf.DUMMYFUNCTION("""COMPUTED_VALUE"""),"Campylobacter hyointestinalis subsp. hyointestinalis")</f>
        <v>Campylobacter hyointestinalis subsp. hyointestinalis</v>
      </c>
      <c r="B893" t="str">
        <f ca="1">IFERROR(__xludf.DUMMYFUNCTION("""COMPUTED_VALUE"""),"RF-00000060-MCG")</f>
        <v>RF-00000060-MCG</v>
      </c>
    </row>
    <row r="894" spans="1:2" ht="12.5" x14ac:dyDescent="0.25">
      <c r="A894" t="str">
        <f ca="1">IFERROR(__xludf.DUMMYFUNCTION("""COMPUTED_VALUE"""),"Campylobacter hyointestinalis subsp. lawsonii")</f>
        <v>Campylobacter hyointestinalis subsp. lawsonii</v>
      </c>
      <c r="B894" t="str">
        <f ca="1">IFERROR(__xludf.DUMMYFUNCTION("""COMPUTED_VALUE"""),"RF-00000059-MCG")</f>
        <v>RF-00000059-MCG</v>
      </c>
    </row>
    <row r="895" spans="1:2" ht="12.5" x14ac:dyDescent="0.25">
      <c r="A895" t="str">
        <f ca="1">IFERROR(__xludf.DUMMYFUNCTION("""COMPUTED_VALUE"""),"Campylobacter jejuni")</f>
        <v>Campylobacter jejuni</v>
      </c>
      <c r="B895" t="str">
        <f ca="1">IFERROR(__xludf.DUMMYFUNCTION("""COMPUTED_VALUE"""),"RF-00000061-MCG")</f>
        <v>RF-00000061-MCG</v>
      </c>
    </row>
    <row r="896" spans="1:2" ht="12.5" x14ac:dyDescent="0.25">
      <c r="A896" t="str">
        <f ca="1">IFERROR(__xludf.DUMMYFUNCTION("""COMPUTED_VALUE"""),"Campylobacter jejuni subsp. doylei")</f>
        <v>Campylobacter jejuni subsp. doylei</v>
      </c>
      <c r="B896" t="str">
        <f ca="1">IFERROR(__xludf.DUMMYFUNCTION("""COMPUTED_VALUE"""),"RF-00000063-MCG")</f>
        <v>RF-00000063-MCG</v>
      </c>
    </row>
    <row r="897" spans="1:2" ht="12.5" x14ac:dyDescent="0.25">
      <c r="A897" t="str">
        <f ca="1">IFERROR(__xludf.DUMMYFUNCTION("""COMPUTED_VALUE"""),"Campylobacter jejuni subsp. jejuni")</f>
        <v>Campylobacter jejuni subsp. jejuni</v>
      </c>
      <c r="B897" t="str">
        <f ca="1">IFERROR(__xludf.DUMMYFUNCTION("""COMPUTED_VALUE"""),"RF-00000062-MCG")</f>
        <v>RF-00000062-MCG</v>
      </c>
    </row>
    <row r="898" spans="1:2" ht="12.5" x14ac:dyDescent="0.25">
      <c r="A898" t="str">
        <f ca="1">IFERROR(__xludf.DUMMYFUNCTION("""COMPUTED_VALUE"""),"Campylobacter lari")</f>
        <v>Campylobacter lari</v>
      </c>
      <c r="B898" t="str">
        <f ca="1">IFERROR(__xludf.DUMMYFUNCTION("""COMPUTED_VALUE"""),"RF-00000048-MCG")</f>
        <v>RF-00000048-MCG</v>
      </c>
    </row>
    <row r="899" spans="1:2" ht="12.5" x14ac:dyDescent="0.25">
      <c r="A899" t="str">
        <f ca="1">IFERROR(__xludf.DUMMYFUNCTION("""COMPUTED_VALUE"""),"Campylobacter mucosalis")</f>
        <v>Campylobacter mucosalis</v>
      </c>
      <c r="B899" t="str">
        <f ca="1">IFERROR(__xludf.DUMMYFUNCTION("""COMPUTED_VALUE"""),"RF-00000047-MCG")</f>
        <v>RF-00000047-MCG</v>
      </c>
    </row>
    <row r="900" spans="1:2" ht="12.5" x14ac:dyDescent="0.25">
      <c r="A900" t="str">
        <f ca="1">IFERROR(__xludf.DUMMYFUNCTION("""COMPUTED_VALUE"""),"Campylobacter pylori subsp. mustelae")</f>
        <v>Campylobacter pylori subsp. mustelae</v>
      </c>
      <c r="B900" t="str">
        <f ca="1">IFERROR(__xludf.DUMMYFUNCTION("""COMPUTED_VALUE"""),"RF-00000046-MCG")</f>
        <v>RF-00000046-MCG</v>
      </c>
    </row>
    <row r="901" spans="1:2" ht="12.5" x14ac:dyDescent="0.25">
      <c r="A901" t="str">
        <f ca="1">IFERROR(__xludf.DUMMYFUNCTION("""COMPUTED_VALUE"""),"Campylobacter rectus")</f>
        <v>Campylobacter rectus</v>
      </c>
      <c r="B901" t="str">
        <f ca="1">IFERROR(__xludf.DUMMYFUNCTION("""COMPUTED_VALUE"""),"RF-00000045-MCG")</f>
        <v>RF-00000045-MCG</v>
      </c>
    </row>
    <row r="902" spans="1:2" ht="12.5" x14ac:dyDescent="0.25">
      <c r="A902" t="str">
        <f ca="1">IFERROR(__xludf.DUMMYFUNCTION("""COMPUTED_VALUE"""),"Campylobacter spp., unspecified")</f>
        <v>Campylobacter spp., unspecified</v>
      </c>
      <c r="B902" t="str">
        <f ca="1">IFERROR(__xludf.DUMMYFUNCTION("""COMPUTED_VALUE"""),"RF-00000044-MCG")</f>
        <v>RF-00000044-MCG</v>
      </c>
    </row>
    <row r="903" spans="1:2" ht="12.5" x14ac:dyDescent="0.25">
      <c r="A903" t="str">
        <f ca="1">IFERROR(__xludf.DUMMYFUNCTION("""COMPUTED_VALUE"""),"Campylobacter sputorum")</f>
        <v>Campylobacter sputorum</v>
      </c>
      <c r="B903" t="str">
        <f ca="1">IFERROR(__xludf.DUMMYFUNCTION("""COMPUTED_VALUE"""),"RF-00000064-MCG")</f>
        <v>RF-00000064-MCG</v>
      </c>
    </row>
    <row r="904" spans="1:2" ht="12.5" x14ac:dyDescent="0.25">
      <c r="A904" t="str">
        <f ca="1">IFERROR(__xludf.DUMMYFUNCTION("""COMPUTED_VALUE"""),"Campylobacter sputorum subsp. bubulus")</f>
        <v>Campylobacter sputorum subsp. bubulus</v>
      </c>
      <c r="B904" t="str">
        <f ca="1">IFERROR(__xludf.DUMMYFUNCTION("""COMPUTED_VALUE"""),"RF-00000065-MCG")</f>
        <v>RF-00000065-MCG</v>
      </c>
    </row>
    <row r="905" spans="1:2" ht="12.5" x14ac:dyDescent="0.25">
      <c r="A905" t="str">
        <f ca="1">IFERROR(__xludf.DUMMYFUNCTION("""COMPUTED_VALUE"""),"Campylobacter sputorum subsp. mucosalis")</f>
        <v>Campylobacter sputorum subsp. mucosalis</v>
      </c>
      <c r="B905" t="str">
        <f ca="1">IFERROR(__xludf.DUMMYFUNCTION("""COMPUTED_VALUE"""),"RF-00000066-MCG")</f>
        <v>RF-00000066-MCG</v>
      </c>
    </row>
    <row r="906" spans="1:2" ht="12.5" x14ac:dyDescent="0.25">
      <c r="A906" t="str">
        <f ca="1">IFERROR(__xludf.DUMMYFUNCTION("""COMPUTED_VALUE"""),"Campylobacter sputorum subsp. sputorum")</f>
        <v>Campylobacter sputorum subsp. sputorum</v>
      </c>
      <c r="B906" t="str">
        <f ca="1">IFERROR(__xludf.DUMMYFUNCTION("""COMPUTED_VALUE"""),"RF-00000067-MCG")</f>
        <v>RF-00000067-MCG</v>
      </c>
    </row>
    <row r="907" spans="1:2" ht="12.5" x14ac:dyDescent="0.25">
      <c r="A907" t="str">
        <f ca="1">IFERROR(__xludf.DUMMYFUNCTION("""COMPUTED_VALUE"""),"Campylobacter upsaliensis")</f>
        <v>Campylobacter upsaliensis</v>
      </c>
      <c r="B907" t="str">
        <f ca="1">IFERROR(__xludf.DUMMYFUNCTION("""COMPUTED_VALUE"""),"RF-00000043-MCG")</f>
        <v>RF-00000043-MCG</v>
      </c>
    </row>
    <row r="908" spans="1:2" ht="12.5" x14ac:dyDescent="0.25">
      <c r="A908" t="str">
        <f ca="1">IFERROR(__xludf.DUMMYFUNCTION("""COMPUTED_VALUE"""),"Candelilla wax")</f>
        <v>Candelilla wax</v>
      </c>
      <c r="B908" t="str">
        <f ca="1">IFERROR(__xludf.DUMMYFUNCTION("""COMPUTED_VALUE"""),"RF-00000091-ADD")</f>
        <v>RF-00000091-ADD</v>
      </c>
    </row>
    <row r="909" spans="1:2" ht="12.5" x14ac:dyDescent="0.25">
      <c r="A909" t="str">
        <f ca="1">IFERROR(__xludf.DUMMYFUNCTION("""COMPUTED_VALUE"""),"canthaxanthine")</f>
        <v>canthaxanthine</v>
      </c>
      <c r="B909" t="str">
        <f ca="1">IFERROR(__xludf.DUMMYFUNCTION("""COMPUTED_VALUE"""),"RF-00000040-NTR")</f>
        <v>RF-00000040-NTR</v>
      </c>
    </row>
    <row r="910" spans="1:2" ht="12.5" x14ac:dyDescent="0.25">
      <c r="A910" t="str">
        <f ca="1">IFERROR(__xludf.DUMMYFUNCTION("""COMPUTED_VALUE"""),"capsanthine")</f>
        <v>capsanthine</v>
      </c>
      <c r="B910" t="str">
        <f ca="1">IFERROR(__xludf.DUMMYFUNCTION("""COMPUTED_VALUE"""),"RF-00000041-NTR")</f>
        <v>RF-00000041-NTR</v>
      </c>
    </row>
    <row r="911" spans="1:2" ht="12.5" x14ac:dyDescent="0.25">
      <c r="A911" t="str">
        <f ca="1">IFERROR(__xludf.DUMMYFUNCTION("""COMPUTED_VALUE"""),"Captafol")</f>
        <v>Captafol</v>
      </c>
      <c r="B911" t="str">
        <f ca="1">IFERROR(__xludf.DUMMYFUNCTION("""COMPUTED_VALUE"""),"RF-0060-001-PPP")</f>
        <v>RF-0060-001-PPP</v>
      </c>
    </row>
    <row r="912" spans="1:2" ht="12.5" x14ac:dyDescent="0.25">
      <c r="A912" t="str">
        <f ca="1">IFERROR(__xludf.DUMMYFUNCTION("""COMPUTED_VALUE"""),"Captan")</f>
        <v>Captan</v>
      </c>
      <c r="B912" t="str">
        <f ca="1">IFERROR(__xludf.DUMMYFUNCTION("""COMPUTED_VALUE"""),"RF-0061-001-PPP")</f>
        <v>RF-0061-001-PPP</v>
      </c>
    </row>
    <row r="913" spans="1:2" ht="12.5" x14ac:dyDescent="0.25">
      <c r="A913" t="str">
        <f ca="1">IFERROR(__xludf.DUMMYFUNCTION("""COMPUTED_VALUE"""),"Captan-Folpet (sum)")</f>
        <v>Captan-Folpet (sum)</v>
      </c>
      <c r="B913" t="str">
        <f ca="1">IFERROR(__xludf.DUMMYFUNCTION("""COMPUTED_VALUE"""),"RF-0531-001-PPP")</f>
        <v>RF-0531-001-PPP</v>
      </c>
    </row>
    <row r="914" spans="1:2" ht="12.5" x14ac:dyDescent="0.25">
      <c r="A914" t="str">
        <f ca="1">IFERROR(__xludf.DUMMYFUNCTION("""COMPUTED_VALUE"""),"Carazolol")</f>
        <v>Carazolol</v>
      </c>
      <c r="B914" t="str">
        <f ca="1">IFERROR(__xludf.DUMMYFUNCTION("""COMPUTED_VALUE"""),"RF-00000169-VET")</f>
        <v>RF-00000169-VET</v>
      </c>
    </row>
    <row r="915" spans="1:2" ht="12.5" x14ac:dyDescent="0.25">
      <c r="A915" t="str">
        <f ca="1">IFERROR(__xludf.DUMMYFUNCTION("""COMPUTED_VALUE"""),"Carbadox")</f>
        <v>Carbadox</v>
      </c>
      <c r="B915" t="str">
        <f ca="1">IFERROR(__xludf.DUMMYFUNCTION("""COMPUTED_VALUE"""),"RF-00000261-VET")</f>
        <v>RF-00000261-VET</v>
      </c>
    </row>
    <row r="916" spans="1:2" ht="12.5" x14ac:dyDescent="0.25">
      <c r="A916" t="str">
        <f ca="1">IFERROR(__xludf.DUMMYFUNCTION("""COMPUTED_VALUE"""),"Carbamate saxitoxins")</f>
        <v>Carbamate saxitoxins</v>
      </c>
      <c r="B916" t="str">
        <f ca="1">IFERROR(__xludf.DUMMYFUNCTION("""COMPUTED_VALUE"""),"RF-00000091-TOX")</f>
        <v>RF-00000091-TOX</v>
      </c>
    </row>
    <row r="917" spans="1:2" ht="12.5" x14ac:dyDescent="0.25">
      <c r="A917" t="str">
        <f ca="1">IFERROR(__xludf.DUMMYFUNCTION("""COMPUTED_VALUE"""),"Carbamates")</f>
        <v>Carbamates</v>
      </c>
      <c r="B917" t="str">
        <f ca="1">IFERROR(__xludf.DUMMYFUNCTION("""COMPUTED_VALUE"""),"RF-00000374-ORG")</f>
        <v>RF-00000374-ORG</v>
      </c>
    </row>
    <row r="918" spans="1:2" ht="12.5" x14ac:dyDescent="0.25">
      <c r="A918" t="str">
        <f ca="1">IFERROR(__xludf.DUMMYFUNCTION("""COMPUTED_VALUE"""),"Carbamates and pyrethroids")</f>
        <v>Carbamates and pyrethroids</v>
      </c>
      <c r="B918" t="str">
        <f ca="1">IFERROR(__xludf.DUMMYFUNCTION("""COMPUTED_VALUE"""),"RF-00000098-VET")</f>
        <v>RF-00000098-VET</v>
      </c>
    </row>
    <row r="919" spans="1:2" ht="12.5" x14ac:dyDescent="0.25">
      <c r="A919" t="str">
        <f ca="1">IFERROR(__xludf.DUMMYFUNCTION("""COMPUTED_VALUE"""),"Carbanolate")</f>
        <v>Carbanolate</v>
      </c>
      <c r="B919" t="str">
        <f ca="1">IFERROR(__xludf.DUMMYFUNCTION("""COMPUTED_VALUE"""),"RF-1026-001-PPP")</f>
        <v>RF-1026-001-PPP</v>
      </c>
    </row>
    <row r="920" spans="1:2" ht="12.5" x14ac:dyDescent="0.25">
      <c r="A920" t="str">
        <f ca="1">IFERROR(__xludf.DUMMYFUNCTION("""COMPUTED_VALUE"""),"Carbapenem + boronic acid")</f>
        <v>Carbapenem + boronic acid</v>
      </c>
      <c r="B920" t="str">
        <f ca="1">IFERROR(__xludf.DUMMYFUNCTION("""COMPUTED_VALUE"""),"RF-00000141-PAR")</f>
        <v>RF-00000141-PAR</v>
      </c>
    </row>
    <row r="921" spans="1:2" ht="12.5" x14ac:dyDescent="0.25">
      <c r="A921" t="str">
        <f ca="1">IFERROR(__xludf.DUMMYFUNCTION("""COMPUTED_VALUE"""),"Carbapenem + EDTA")</f>
        <v>Carbapenem + EDTA</v>
      </c>
      <c r="B921" t="str">
        <f ca="1">IFERROR(__xludf.DUMMYFUNCTION("""COMPUTED_VALUE"""),"RF-00000142-PAR")</f>
        <v>RF-00000142-PAR</v>
      </c>
    </row>
    <row r="922" spans="1:2" ht="12.5" x14ac:dyDescent="0.25">
      <c r="A922" t="str">
        <f ca="1">IFERROR(__xludf.DUMMYFUNCTION("""COMPUTED_VALUE"""),"Carbapenemase phenotype")</f>
        <v>Carbapenemase phenotype</v>
      </c>
      <c r="B922" t="str">
        <f ca="1">IFERROR(__xludf.DUMMYFUNCTION("""COMPUTED_VALUE"""),"RF-00000158-PAR")</f>
        <v>RF-00000158-PAR</v>
      </c>
    </row>
    <row r="923" spans="1:2" ht="12.5" x14ac:dyDescent="0.25">
      <c r="A923" t="str">
        <f ca="1">IFERROR(__xludf.DUMMYFUNCTION("""COMPUTED_VALUE"""),"Carbapenems")</f>
        <v>Carbapenems</v>
      </c>
      <c r="B923" t="str">
        <f ca="1">IFERROR(__xludf.DUMMYFUNCTION("""COMPUTED_VALUE"""),"RF-00000710-VET")</f>
        <v>RF-00000710-VET</v>
      </c>
    </row>
    <row r="924" spans="1:2" ht="12.5" x14ac:dyDescent="0.25">
      <c r="A924" t="str">
        <f ca="1">IFERROR(__xludf.DUMMYFUNCTION("""COMPUTED_VALUE"""),"Carbaryl")</f>
        <v>Carbaryl</v>
      </c>
      <c r="B924" t="str">
        <f ca="1">IFERROR(__xludf.DUMMYFUNCTION("""COMPUTED_VALUE"""),"RF-00000143-VET")</f>
        <v>RF-00000143-VET</v>
      </c>
    </row>
    <row r="925" spans="1:2" ht="12.5" x14ac:dyDescent="0.25">
      <c r="A925" t="str">
        <f ca="1">IFERROR(__xludf.DUMMYFUNCTION("""COMPUTED_VALUE"""),"Carbaryl")</f>
        <v>Carbaryl</v>
      </c>
      <c r="B925" t="str">
        <f ca="1">IFERROR(__xludf.DUMMYFUNCTION("""COMPUTED_VALUE"""),"RF-0062-001-PPP")</f>
        <v>RF-0062-001-PPP</v>
      </c>
    </row>
    <row r="926" spans="1:2" ht="12.5" x14ac:dyDescent="0.25">
      <c r="A926" t="str">
        <f ca="1">IFERROR(__xludf.DUMMYFUNCTION("""COMPUTED_VALUE"""),"Carbendazim")</f>
        <v>Carbendazim</v>
      </c>
      <c r="B926" t="str">
        <f ca="1">IFERROR(__xludf.DUMMYFUNCTION("""COMPUTED_VALUE"""),"RF-0041-002-PPP")</f>
        <v>RF-0041-002-PPP</v>
      </c>
    </row>
    <row r="927" spans="1:2" ht="12.5" x14ac:dyDescent="0.25">
      <c r="A927" t="str">
        <f ca="1">IFERROR(__xludf.DUMMYFUNCTION("""COMPUTED_VALUE"""),"Carbendazim and benomyl (sum of benomyl and carbendazim expressed as carbendazim)")</f>
        <v>Carbendazim and benomyl (sum of benomyl and carbendazim expressed as carbendazim)</v>
      </c>
      <c r="B927" t="str">
        <f ca="1">IFERROR(__xludf.DUMMYFUNCTION("""COMPUTED_VALUE"""),"RF-0041-001-PPP")</f>
        <v>RF-0041-001-PPP</v>
      </c>
    </row>
    <row r="928" spans="1:2" ht="12.5" x14ac:dyDescent="0.25">
      <c r="A928" t="str">
        <f ca="1">IFERROR(__xludf.DUMMYFUNCTION("""COMPUTED_VALUE"""),"Carbendazim and thiophanate-methyl, expressed as carbendazim")</f>
        <v>Carbendazim and thiophanate-methyl, expressed as carbendazim</v>
      </c>
      <c r="B928" t="str">
        <f ca="1">IFERROR(__xludf.DUMMYFUNCTION("""COMPUTED_VALUE"""),"RF-1002-001-PPP")</f>
        <v>RF-1002-001-PPP</v>
      </c>
    </row>
    <row r="929" spans="1:2" ht="12.5" x14ac:dyDescent="0.25">
      <c r="A929" t="str">
        <f ca="1">IFERROR(__xludf.DUMMYFUNCTION("""COMPUTED_VALUE"""),"Carbenicillin")</f>
        <v>Carbenicillin</v>
      </c>
      <c r="B929" t="str">
        <f ca="1">IFERROR(__xludf.DUMMYFUNCTION("""COMPUTED_VALUE"""),"RF-00000680-VET")</f>
        <v>RF-00000680-VET</v>
      </c>
    </row>
    <row r="930" spans="1:2" ht="12.5" x14ac:dyDescent="0.25">
      <c r="A930" t="str">
        <f ca="1">IFERROR(__xludf.DUMMYFUNCTION("""COMPUTED_VALUE"""),"Carbetamide")</f>
        <v>Carbetamide</v>
      </c>
      <c r="B930" t="str">
        <f ca="1">IFERROR(__xludf.DUMMYFUNCTION("""COMPUTED_VALUE"""),"RF-0064-001-PPP")</f>
        <v>RF-0064-001-PPP</v>
      </c>
    </row>
    <row r="931" spans="1:2" ht="12.5" x14ac:dyDescent="0.25">
      <c r="A931" t="str">
        <f ca="1">IFERROR(__xludf.DUMMYFUNCTION("""COMPUTED_VALUE"""),"Carbimazole")</f>
        <v>Carbimazole</v>
      </c>
      <c r="B931" t="str">
        <f ca="1">IFERROR(__xludf.DUMMYFUNCTION("""COMPUTED_VALUE"""),"RF-00000302-VET")</f>
        <v>RF-00000302-VET</v>
      </c>
    </row>
    <row r="932" spans="1:2" ht="12.5" x14ac:dyDescent="0.25">
      <c r="A932" t="str">
        <f ca="1">IFERROR(__xludf.DUMMYFUNCTION("""COMPUTED_VALUE"""),"Carbofuran")</f>
        <v>Carbofuran</v>
      </c>
      <c r="B932" t="str">
        <f ca="1">IFERROR(__xludf.DUMMYFUNCTION("""COMPUTED_VALUE"""),"RF-00000140-VET")</f>
        <v>RF-00000140-VET</v>
      </c>
    </row>
    <row r="933" spans="1:2" ht="12.5" x14ac:dyDescent="0.25">
      <c r="A933" t="str">
        <f ca="1">IFERROR(__xludf.DUMMYFUNCTION("""COMPUTED_VALUE"""),"Carbofuran")</f>
        <v>Carbofuran</v>
      </c>
      <c r="B933" t="str">
        <f ca="1">IFERROR(__xludf.DUMMYFUNCTION("""COMPUTED_VALUE"""),"RF-0065-003-PPP")</f>
        <v>RF-0065-003-PPP</v>
      </c>
    </row>
    <row r="934" spans="1:2" ht="12.5" x14ac:dyDescent="0.25">
      <c r="A934" t="str">
        <f ca="1">IFERROR(__xludf.DUMMYFUNCTION("""COMPUTED_VALUE"""),"Carbofuran (sum of carbofuran and 3-hydroxy-carbofuran expressed as carbofuran)")</f>
        <v>Carbofuran (sum of carbofuran and 3-hydroxy-carbofuran expressed as carbofuran)</v>
      </c>
      <c r="B934" t="str">
        <f ca="1">IFERROR(__xludf.DUMMYFUNCTION("""COMPUTED_VALUE"""),"RF-0065-001-PPP")</f>
        <v>RF-0065-001-PPP</v>
      </c>
    </row>
    <row r="935" spans="1:2" ht="12.5" x14ac:dyDescent="0.25">
      <c r="A935" t="str">
        <f ca="1">IFERROR(__xludf.DUMMYFUNCTION("""COMPUTED_VALUE"""),"Carbofuran-3-Hydroxy")</f>
        <v>Carbofuran-3-Hydroxy</v>
      </c>
      <c r="B935" t="str">
        <f ca="1">IFERROR(__xludf.DUMMYFUNCTION("""COMPUTED_VALUE"""),"RF-00000139-VET")</f>
        <v>RF-00000139-VET</v>
      </c>
    </row>
    <row r="936" spans="1:2" ht="12.5" x14ac:dyDescent="0.25">
      <c r="A936" t="str">
        <f ca="1">IFERROR(__xludf.DUMMYFUNCTION("""COMPUTED_VALUE"""),"Carbofuran, 3-hydroxy")</f>
        <v>Carbofuran, 3-hydroxy</v>
      </c>
      <c r="B936" t="str">
        <f ca="1">IFERROR(__xludf.DUMMYFUNCTION("""COMPUTED_VALUE"""),"RF-0065-002-PPP")</f>
        <v>RF-0065-002-PPP</v>
      </c>
    </row>
    <row r="937" spans="1:2" ht="12.5" x14ac:dyDescent="0.25">
      <c r="A937" t="str">
        <f ca="1">IFERROR(__xludf.DUMMYFUNCTION("""COMPUTED_VALUE"""),"Carbofuran, 3-keto")</f>
        <v>Carbofuran, 3-keto</v>
      </c>
      <c r="B937" t="str">
        <f ca="1">IFERROR(__xludf.DUMMYFUNCTION("""COMPUTED_VALUE"""),"RF-0534-001-PPP")</f>
        <v>RF-0534-001-PPP</v>
      </c>
    </row>
    <row r="938" spans="1:2" ht="12.5" x14ac:dyDescent="0.25">
      <c r="A938" t="str">
        <f ca="1">IFERROR(__xludf.DUMMYFUNCTION("""COMPUTED_VALUE"""),"carbohydrate")</f>
        <v>carbohydrate</v>
      </c>
      <c r="B938" t="str">
        <f ca="1">IFERROR(__xludf.DUMMYFUNCTION("""COMPUTED_VALUE"""),"RF-00000042-NTR")</f>
        <v>RF-00000042-NTR</v>
      </c>
    </row>
    <row r="939" spans="1:2" ht="12.5" x14ac:dyDescent="0.25">
      <c r="A939" t="str">
        <f ca="1">IFERROR(__xludf.DUMMYFUNCTION("""COMPUTED_VALUE"""),"carbohydrate, total")</f>
        <v>carbohydrate, total</v>
      </c>
      <c r="B939" t="str">
        <f ca="1">IFERROR(__xludf.DUMMYFUNCTION("""COMPUTED_VALUE"""),"RF-00000043-NTR")</f>
        <v>RF-00000043-NTR</v>
      </c>
    </row>
    <row r="940" spans="1:2" ht="12.5" x14ac:dyDescent="0.25">
      <c r="A940" t="str">
        <f ca="1">IFERROR(__xludf.DUMMYFUNCTION("""COMPUTED_VALUE"""),"carbohydrates, unspecified")</f>
        <v>carbohydrates, unspecified</v>
      </c>
      <c r="B940" t="str">
        <f ca="1">IFERROR(__xludf.DUMMYFUNCTION("""COMPUTED_VALUE"""),"RF-00000044-NTR")</f>
        <v>RF-00000044-NTR</v>
      </c>
    </row>
    <row r="941" spans="1:2" ht="12.5" x14ac:dyDescent="0.25">
      <c r="A941" t="str">
        <f ca="1">IFERROR(__xludf.DUMMYFUNCTION("""COMPUTED_VALUE"""),"Carbon dioxide")</f>
        <v>Carbon dioxide</v>
      </c>
      <c r="B941" t="str">
        <f ca="1">IFERROR(__xludf.DUMMYFUNCTION("""COMPUTED_VALUE"""),"RF-00000094-ADD")</f>
        <v>RF-00000094-ADD</v>
      </c>
    </row>
    <row r="942" spans="1:2" ht="12.5" x14ac:dyDescent="0.25">
      <c r="A942" t="str">
        <f ca="1">IFERROR(__xludf.DUMMYFUNCTION("""COMPUTED_VALUE"""),"carbon dioxide, free")</f>
        <v>carbon dioxide, free</v>
      </c>
      <c r="B942" t="str">
        <f ca="1">IFERROR(__xludf.DUMMYFUNCTION("""COMPUTED_VALUE"""),"RF-00000045-NTR")</f>
        <v>RF-00000045-NTR</v>
      </c>
    </row>
    <row r="943" spans="1:2" ht="12.5" x14ac:dyDescent="0.25">
      <c r="A943" t="str">
        <f ca="1">IFERROR(__xludf.DUMMYFUNCTION("""COMPUTED_VALUE"""),"Carbon disulphide")</f>
        <v>Carbon disulphide</v>
      </c>
      <c r="B943" t="str">
        <f ca="1">IFERROR(__xludf.DUMMYFUNCTION("""COMPUTED_VALUE"""),"RF-0151-005-PPP")</f>
        <v>RF-0151-005-PPP</v>
      </c>
    </row>
    <row r="944" spans="1:2" ht="12.5" x14ac:dyDescent="0.25">
      <c r="A944" t="str">
        <f ca="1">IFERROR(__xludf.DUMMYFUNCTION("""COMPUTED_VALUE"""),"Carbon tetrachloride")</f>
        <v>Carbon tetrachloride</v>
      </c>
      <c r="B944" t="str">
        <f ca="1">IFERROR(__xludf.DUMMYFUNCTION("""COMPUTED_VALUE"""),"RF-0067-001-PPP")</f>
        <v>RF-0067-001-PPP</v>
      </c>
    </row>
    <row r="945" spans="1:2" ht="12.5" x14ac:dyDescent="0.25">
      <c r="A945" t="str">
        <f ca="1">IFERROR(__xludf.DUMMYFUNCTION("""COMPUTED_VALUE"""),"Carbophenothion")</f>
        <v>Carbophenothion</v>
      </c>
      <c r="B945" t="str">
        <f ca="1">IFERROR(__xludf.DUMMYFUNCTION("""COMPUTED_VALUE"""),"RF-0535-001-PPP")</f>
        <v>RF-0535-001-PPP</v>
      </c>
    </row>
    <row r="946" spans="1:2" ht="12.5" x14ac:dyDescent="0.25">
      <c r="A946" t="str">
        <f ca="1">IFERROR(__xludf.DUMMYFUNCTION("""COMPUTED_VALUE"""),"Carbophenothion (sum)")</f>
        <v>Carbophenothion (sum)</v>
      </c>
      <c r="B946" t="str">
        <f ca="1">IFERROR(__xludf.DUMMYFUNCTION("""COMPUTED_VALUE"""),"RF-0535-003-PPP")</f>
        <v>RF-0535-003-PPP</v>
      </c>
    </row>
    <row r="947" spans="1:2" ht="12.5" x14ac:dyDescent="0.25">
      <c r="A947" t="str">
        <f ca="1">IFERROR(__xludf.DUMMYFUNCTION("""COMPUTED_VALUE"""),"Carbophenothion-Methyl")</f>
        <v>Carbophenothion-Methyl</v>
      </c>
      <c r="B947" t="str">
        <f ca="1">IFERROR(__xludf.DUMMYFUNCTION("""COMPUTED_VALUE"""),"RF-0536-001-PPP")</f>
        <v>RF-0536-001-PPP</v>
      </c>
    </row>
    <row r="948" spans="1:2" ht="12.5" x14ac:dyDescent="0.25">
      <c r="A948" t="str">
        <f ca="1">IFERROR(__xludf.DUMMYFUNCTION("""COMPUTED_VALUE"""),"Carbosulfan")</f>
        <v>Carbosulfan</v>
      </c>
      <c r="B948" t="str">
        <f ca="1">IFERROR(__xludf.DUMMYFUNCTION("""COMPUTED_VALUE"""),"RF-00000138-VET")</f>
        <v>RF-00000138-VET</v>
      </c>
    </row>
    <row r="949" spans="1:2" ht="12.5" x14ac:dyDescent="0.25">
      <c r="A949" t="str">
        <f ca="1">IFERROR(__xludf.DUMMYFUNCTION("""COMPUTED_VALUE"""),"Carbosulfan")</f>
        <v>Carbosulfan</v>
      </c>
      <c r="B949" t="str">
        <f ca="1">IFERROR(__xludf.DUMMYFUNCTION("""COMPUTED_VALUE"""),"RF-0068-001-PPP")</f>
        <v>RF-0068-001-PPP</v>
      </c>
    </row>
    <row r="950" spans="1:2" ht="12.5" x14ac:dyDescent="0.25">
      <c r="A950" t="str">
        <f ca="1">IFERROR(__xludf.DUMMYFUNCTION("""COMPUTED_VALUE"""),"Carboxin")</f>
        <v>Carboxin</v>
      </c>
      <c r="B950" t="str">
        <f ca="1">IFERROR(__xludf.DUMMYFUNCTION("""COMPUTED_VALUE"""),"RF-0069-001-PPP")</f>
        <v>RF-0069-001-PPP</v>
      </c>
    </row>
    <row r="951" spans="1:2" ht="12.5" x14ac:dyDescent="0.25">
      <c r="A951" t="str">
        <f ca="1">IFERROR(__xludf.DUMMYFUNCTION("""COMPUTED_VALUE"""),"Carboxy methyl cellulose, Sodium carboxy methyl cellulose, cellulose gum")</f>
        <v>Carboxy methyl cellulose, Sodium carboxy methyl cellulose, cellulose gum</v>
      </c>
      <c r="B951" t="str">
        <f ca="1">IFERROR(__xludf.DUMMYFUNCTION("""COMPUTED_VALUE"""),"RF-00000095-ADD")</f>
        <v>RF-00000095-ADD</v>
      </c>
    </row>
    <row r="952" spans="1:2" ht="12.5" x14ac:dyDescent="0.25">
      <c r="A952" t="str">
        <f ca="1">IFERROR(__xludf.DUMMYFUNCTION("""COMPUTED_VALUE"""),"carboxy-1a-homoYTX")</f>
        <v>carboxy-1a-homoYTX</v>
      </c>
      <c r="B952" t="str">
        <f ca="1">IFERROR(__xludf.DUMMYFUNCTION("""COMPUTED_VALUE"""),"RF-00000128-TOX")</f>
        <v>RF-00000128-TOX</v>
      </c>
    </row>
    <row r="953" spans="1:2" ht="12.5" x14ac:dyDescent="0.25">
      <c r="A953" t="str">
        <f ca="1">IFERROR(__xludf.DUMMYFUNCTION("""COMPUTED_VALUE"""),"Carboxy-22-desmethyl-3-hydroxy-8-methylazaspiracid")</f>
        <v>Carboxy-22-desmethyl-3-hydroxy-8-methylazaspiracid</v>
      </c>
      <c r="B953" t="str">
        <f ca="1">IFERROR(__xludf.DUMMYFUNCTION("""COMPUTED_VALUE"""),"RF-00000033-TOX")</f>
        <v>RF-00000033-TOX</v>
      </c>
    </row>
    <row r="954" spans="1:2" ht="12.5" x14ac:dyDescent="0.25">
      <c r="A954" t="str">
        <f ca="1">IFERROR(__xludf.DUMMYFUNCTION("""COMPUTED_VALUE"""),"Carboxy-22-desmethyl-3-hydroxyazaspiracid")</f>
        <v>Carboxy-22-desmethyl-3-hydroxyazaspiracid</v>
      </c>
      <c r="B954" t="str">
        <f ca="1">IFERROR(__xludf.DUMMYFUNCTION("""COMPUTED_VALUE"""),"RF-00000031-TOX")</f>
        <v>RF-00000031-TOX</v>
      </c>
    </row>
    <row r="955" spans="1:2" ht="12.5" x14ac:dyDescent="0.25">
      <c r="A955" t="str">
        <f ca="1">IFERROR(__xludf.DUMMYFUNCTION("""COMPUTED_VALUE"""),"Carboxy-22-desmethyl-8-methylazaspiracid")</f>
        <v>Carboxy-22-desmethyl-8-methylazaspiracid</v>
      </c>
      <c r="B955" t="str">
        <f ca="1">IFERROR(__xludf.DUMMYFUNCTION("""COMPUTED_VALUE"""),"RF-00000030-TOX")</f>
        <v>RF-00000030-TOX</v>
      </c>
    </row>
    <row r="956" spans="1:2" ht="12.5" x14ac:dyDescent="0.25">
      <c r="A956" t="str">
        <f ca="1">IFERROR(__xludf.DUMMYFUNCTION("""COMPUTED_VALUE"""),"Carboxy-22-desmethylazaspiracid")</f>
        <v>Carboxy-22-desmethylazaspiracid</v>
      </c>
      <c r="B956" t="str">
        <f ca="1">IFERROR(__xludf.DUMMYFUNCTION("""COMPUTED_VALUE"""),"RF-00000027-TOX")</f>
        <v>RF-00000027-TOX</v>
      </c>
    </row>
    <row r="957" spans="1:2" ht="12.5" x14ac:dyDescent="0.25">
      <c r="A957" t="str">
        <f ca="1">IFERROR(__xludf.DUMMYFUNCTION("""COMPUTED_VALUE"""),"Carboxy-3-hydroxy-8-methylazaspiracid")</f>
        <v>Carboxy-3-hydroxy-8-methylazaspiracid</v>
      </c>
      <c r="B957" t="str">
        <f ca="1">IFERROR(__xludf.DUMMYFUNCTION("""COMPUTED_VALUE"""),"RF-00000034-TOX")</f>
        <v>RF-00000034-TOX</v>
      </c>
    </row>
    <row r="958" spans="1:2" ht="12.5" x14ac:dyDescent="0.25">
      <c r="A958" t="str">
        <f ca="1">IFERROR(__xludf.DUMMYFUNCTION("""COMPUTED_VALUE"""),"Carboxy-3-hydroxyazaspiracid")</f>
        <v>Carboxy-3-hydroxyazaspiracid</v>
      </c>
      <c r="B958" t="str">
        <f ca="1">IFERROR(__xludf.DUMMYFUNCTION("""COMPUTED_VALUE"""),"RF-00000032-TOX")</f>
        <v>RF-00000032-TOX</v>
      </c>
    </row>
    <row r="959" spans="1:2" ht="12.5" x14ac:dyDescent="0.25">
      <c r="A959" t="str">
        <f ca="1">IFERROR(__xludf.DUMMYFUNCTION("""COMPUTED_VALUE"""),"Carboxy-8-methylazaspiracid")</f>
        <v>Carboxy-8-methylazaspiracid</v>
      </c>
      <c r="B959" t="str">
        <f ca="1">IFERROR(__xludf.DUMMYFUNCTION("""COMPUTED_VALUE"""),"RF-00000029-TOX")</f>
        <v>RF-00000029-TOX</v>
      </c>
    </row>
    <row r="960" spans="1:2" ht="12.5" x14ac:dyDescent="0.25">
      <c r="A960" t="str">
        <f ca="1">IFERROR(__xludf.DUMMYFUNCTION("""COMPUTED_VALUE"""),"Carboxyazaspiracid")</f>
        <v>Carboxyazaspiracid</v>
      </c>
      <c r="B960" t="str">
        <f ca="1">IFERROR(__xludf.DUMMYFUNCTION("""COMPUTED_VALUE"""),"RF-00000028-TOX")</f>
        <v>RF-00000028-TOX</v>
      </c>
    </row>
    <row r="961" spans="1:2" ht="12.5" x14ac:dyDescent="0.25">
      <c r="A961" t="str">
        <f ca="1">IFERROR(__xludf.DUMMYFUNCTION("""COMPUTED_VALUE"""),"carboxyYTX")</f>
        <v>carboxyYTX</v>
      </c>
      <c r="B961" t="str">
        <f ca="1">IFERROR(__xludf.DUMMYFUNCTION("""COMPUTED_VALUE"""),"RF-00000119-TOX")</f>
        <v>RF-00000119-TOX</v>
      </c>
    </row>
    <row r="962" spans="1:2" ht="12.5" x14ac:dyDescent="0.25">
      <c r="A962" t="str">
        <f ca="1">IFERROR(__xludf.DUMMYFUNCTION("""COMPUTED_VALUE"""),"Carbuterol")</f>
        <v>Carbuterol</v>
      </c>
      <c r="B962" t="str">
        <f ca="1">IFERROR(__xludf.DUMMYFUNCTION("""COMPUTED_VALUE"""),"RF-00000465-VET")</f>
        <v>RF-00000465-VET</v>
      </c>
    </row>
    <row r="963" spans="1:2" ht="12.5" x14ac:dyDescent="0.25">
      <c r="A963" t="str">
        <f ca="1">IFERROR(__xludf.DUMMYFUNCTION("""COMPUTED_VALUE"""),"Carfentrazone")</f>
        <v>Carfentrazone</v>
      </c>
      <c r="B963" t="str">
        <f ca="1">IFERROR(__xludf.DUMMYFUNCTION("""COMPUTED_VALUE"""),"RF-0070-002-PPP")</f>
        <v>RF-0070-002-PPP</v>
      </c>
    </row>
    <row r="964" spans="1:2" ht="12.5" x14ac:dyDescent="0.25">
      <c r="A964" t="str">
        <f ca="1">IFERROR(__xludf.DUMMYFUNCTION("""COMPUTED_VALUE"""),"Carfentrazone-ethyl")</f>
        <v>Carfentrazone-ethyl</v>
      </c>
      <c r="B964" t="str">
        <f ca="1">IFERROR(__xludf.DUMMYFUNCTION("""COMPUTED_VALUE"""),"RF-0070-003-PPP")</f>
        <v>RF-0070-003-PPP</v>
      </c>
    </row>
    <row r="965" spans="1:2" ht="12.5" x14ac:dyDescent="0.25">
      <c r="A965" t="str">
        <f ca="1">IFERROR(__xludf.DUMMYFUNCTION("""COMPUTED_VALUE"""),"Carfentrazone-ethyl (determined as Carfentrazone and expressed as Carfentrazone-ethyl)")</f>
        <v>Carfentrazone-ethyl (determined as Carfentrazone and expressed as Carfentrazone-ethyl)</v>
      </c>
      <c r="B965" t="str">
        <f ca="1">IFERROR(__xludf.DUMMYFUNCTION("""COMPUTED_VALUE"""),"RF-0070-001-PPP")</f>
        <v>RF-0070-001-PPP</v>
      </c>
    </row>
    <row r="966" spans="1:2" ht="12.5" x14ac:dyDescent="0.25">
      <c r="A966" t="str">
        <f ca="1">IFERROR(__xludf.DUMMYFUNCTION("""COMPUTED_VALUE"""),"Carnauba wax")</f>
        <v>Carnauba wax</v>
      </c>
      <c r="B966" t="str">
        <f ca="1">IFERROR(__xludf.DUMMYFUNCTION("""COMPUTED_VALUE"""),"RF-00000096-ADD")</f>
        <v>RF-00000096-ADD</v>
      </c>
    </row>
    <row r="967" spans="1:2" ht="12.5" x14ac:dyDescent="0.25">
      <c r="A967" t="str">
        <f ca="1">IFERROR(__xludf.DUMMYFUNCTION("""COMPUTED_VALUE"""),"Carnidazol")</f>
        <v>Carnidazol</v>
      </c>
      <c r="B967" t="str">
        <f ca="1">IFERROR(__xludf.DUMMYFUNCTION("""COMPUTED_VALUE"""),"RF-00000518-VET")</f>
        <v>RF-00000518-VET</v>
      </c>
    </row>
    <row r="968" spans="1:2" ht="12.5" x14ac:dyDescent="0.25">
      <c r="A968" t="str">
        <f ca="1">IFERROR(__xludf.DUMMYFUNCTION("""COMPUTED_VALUE"""),"carotene, total (vitamin A precursors)")</f>
        <v>carotene, total (vitamin A precursors)</v>
      </c>
      <c r="B968" t="str">
        <f ca="1">IFERROR(__xludf.DUMMYFUNCTION("""COMPUTED_VALUE"""),"RF-00000046-NTR")</f>
        <v>RF-00000046-NTR</v>
      </c>
    </row>
    <row r="969" spans="1:2" ht="12.5" x14ac:dyDescent="0.25">
      <c r="A969" t="str">
        <f ca="1">IFERROR(__xludf.DUMMYFUNCTION("""COMPUTED_VALUE"""),"carotenoids, total")</f>
        <v>carotenoids, total</v>
      </c>
      <c r="B969" t="str">
        <f ca="1">IFERROR(__xludf.DUMMYFUNCTION("""COMPUTED_VALUE"""),"RF-00000047-NTR")</f>
        <v>RF-00000047-NTR</v>
      </c>
    </row>
    <row r="970" spans="1:2" ht="12.5" x14ac:dyDescent="0.25">
      <c r="A970" t="str">
        <f ca="1">IFERROR(__xludf.DUMMYFUNCTION("""COMPUTED_VALUE"""),"Carprofen")</f>
        <v>Carprofen</v>
      </c>
      <c r="B970" t="str">
        <f ca="1">IFERROR(__xludf.DUMMYFUNCTION("""COMPUTED_VALUE"""),"RF-00000234-VET")</f>
        <v>RF-00000234-VET</v>
      </c>
    </row>
    <row r="971" spans="1:2" ht="12.5" x14ac:dyDescent="0.25">
      <c r="A971" t="str">
        <f ca="1">IFERROR(__xludf.DUMMYFUNCTION("""COMPUTED_VALUE"""),"Carpropamid")</f>
        <v>Carpropamid</v>
      </c>
      <c r="B971" t="str">
        <f ca="1">IFERROR(__xludf.DUMMYFUNCTION("""COMPUTED_VALUE"""),"RF-0537-001-PPP")</f>
        <v>RF-0537-001-PPP</v>
      </c>
    </row>
    <row r="972" spans="1:2" ht="12.5" x14ac:dyDescent="0.25">
      <c r="A972" t="str">
        <f ca="1">IFERROR(__xludf.DUMMYFUNCTION("""COMPUTED_VALUE"""),"Carrageenan")</f>
        <v>Carrageenan</v>
      </c>
      <c r="B972" t="str">
        <f ca="1">IFERROR(__xludf.DUMMYFUNCTION("""COMPUTED_VALUE"""),"RF-00000098-ADD")</f>
        <v>RF-00000098-ADD</v>
      </c>
    </row>
    <row r="973" spans="1:2" ht="12.5" x14ac:dyDescent="0.25">
      <c r="A973" t="str">
        <f ca="1">IFERROR(__xludf.DUMMYFUNCTION("""COMPUTED_VALUE"""),"Carribean ciguatoxins")</f>
        <v>Carribean ciguatoxins</v>
      </c>
      <c r="B973" t="str">
        <f ca="1">IFERROR(__xludf.DUMMYFUNCTION("""COMPUTED_VALUE"""),"RF-00000045-TOX")</f>
        <v>RF-00000045-TOX</v>
      </c>
    </row>
    <row r="974" spans="1:2" ht="12.5" x14ac:dyDescent="0.25">
      <c r="A974" t="str">
        <f ca="1">IFERROR(__xludf.DUMMYFUNCTION("""COMPUTED_VALUE"""),"Cartap")</f>
        <v>Cartap</v>
      </c>
      <c r="B974" t="str">
        <f ca="1">IFERROR(__xludf.DUMMYFUNCTION("""COMPUTED_VALUE"""),"RF-0071-001-PPP")</f>
        <v>RF-0071-001-PPP</v>
      </c>
    </row>
    <row r="975" spans="1:2" ht="12.5" x14ac:dyDescent="0.25">
      <c r="A975" t="str">
        <f ca="1">IFERROR(__xludf.DUMMYFUNCTION("""COMPUTED_VALUE"""),"Carvone")</f>
        <v>Carvone</v>
      </c>
      <c r="B975" t="str">
        <f ca="1">IFERROR(__xludf.DUMMYFUNCTION("""COMPUTED_VALUE"""),"RF-0538-001-PPP")</f>
        <v>RF-0538-001-PPP</v>
      </c>
    </row>
    <row r="976" spans="1:2" ht="12.5" x14ac:dyDescent="0.25">
      <c r="A976" t="str">
        <f ca="1">IFERROR(__xludf.DUMMYFUNCTION("""COMPUTED_VALUE"""),"casein")</f>
        <v>casein</v>
      </c>
      <c r="B976" t="str">
        <f ca="1">IFERROR(__xludf.DUMMYFUNCTION("""COMPUTED_VALUE"""),"RF-00000048-NTR")</f>
        <v>RF-00000048-NTR</v>
      </c>
    </row>
    <row r="977" spans="1:2" ht="12.5" x14ac:dyDescent="0.25">
      <c r="A977" t="str">
        <f ca="1">IFERROR(__xludf.DUMMYFUNCTION("""COMPUTED_VALUE"""),"Cassia gum")</f>
        <v>Cassia gum</v>
      </c>
      <c r="B977" t="str">
        <f ca="1">IFERROR(__xludf.DUMMYFUNCTION("""COMPUTED_VALUE"""),"RF-00000099-ADD")</f>
        <v>RF-00000099-ADD</v>
      </c>
    </row>
    <row r="978" spans="1:2" ht="12.5" x14ac:dyDescent="0.25">
      <c r="A978" t="str">
        <f ca="1">IFERROR(__xludf.DUMMYFUNCTION("""COMPUTED_VALUE"""),"catechin+C266")</f>
        <v>catechin+C266</v>
      </c>
      <c r="B978" t="str">
        <f ca="1">IFERROR(__xludf.DUMMYFUNCTION("""COMPUTED_VALUE"""),"RF-00000049-NTR")</f>
        <v>RF-00000049-NTR</v>
      </c>
    </row>
    <row r="979" spans="1:2" ht="12.5" x14ac:dyDescent="0.25">
      <c r="A979" t="str">
        <f ca="1">IFERROR(__xludf.DUMMYFUNCTION("""COMPUTED_VALUE"""),"Caustic sulphite caramel")</f>
        <v>Caustic sulphite caramel</v>
      </c>
      <c r="B979" t="str">
        <f ca="1">IFERROR(__xludf.DUMMYFUNCTION("""COMPUTED_VALUE"""),"RF-00000100-ADD")</f>
        <v>RF-00000100-ADD</v>
      </c>
    </row>
    <row r="980" spans="1:2" ht="12.5" x14ac:dyDescent="0.25">
      <c r="A980" t="str">
        <f ca="1">IFERROR(__xludf.DUMMYFUNCTION("""COMPUTED_VALUE"""),"Cefaclor")</f>
        <v>Cefaclor</v>
      </c>
      <c r="B980" t="str">
        <f ca="1">IFERROR(__xludf.DUMMYFUNCTION("""COMPUTED_VALUE"""),"RF-00000713-VET")</f>
        <v>RF-00000713-VET</v>
      </c>
    </row>
    <row r="981" spans="1:2" ht="12.5" x14ac:dyDescent="0.25">
      <c r="A981" t="str">
        <f ca="1">IFERROR(__xludf.DUMMYFUNCTION("""COMPUTED_VALUE"""),"Cefalexin")</f>
        <v>Cefalexin</v>
      </c>
      <c r="B981" t="str">
        <f ca="1">IFERROR(__xludf.DUMMYFUNCTION("""COMPUTED_VALUE"""),"RF-00000803-VET")</f>
        <v>RF-00000803-VET</v>
      </c>
    </row>
    <row r="982" spans="1:2" ht="12.5" x14ac:dyDescent="0.25">
      <c r="A982" t="str">
        <f ca="1">IFERROR(__xludf.DUMMYFUNCTION("""COMPUTED_VALUE"""),"Cefalexin (Cefalexin Anhydrate)")</f>
        <v>Cefalexin (Cefalexin Anhydrate)</v>
      </c>
      <c r="B982" t="str">
        <f ca="1">IFERROR(__xludf.DUMMYFUNCTION("""COMPUTED_VALUE"""),"RF-00000640-VET")</f>
        <v>RF-00000640-VET</v>
      </c>
    </row>
    <row r="983" spans="1:2" ht="12.5" x14ac:dyDescent="0.25">
      <c r="A983" t="str">
        <f ca="1">IFERROR(__xludf.DUMMYFUNCTION("""COMPUTED_VALUE"""),"Cefalexin + Kanamycin")</f>
        <v>Cefalexin + Kanamycin</v>
      </c>
      <c r="B983" t="str">
        <f ca="1">IFERROR(__xludf.DUMMYFUNCTION("""COMPUTED_VALUE"""),"RF-00000727-VET")</f>
        <v>RF-00000727-VET</v>
      </c>
    </row>
    <row r="984" spans="1:2" ht="12.5" x14ac:dyDescent="0.25">
      <c r="A984" t="str">
        <f ca="1">IFERROR(__xludf.DUMMYFUNCTION("""COMPUTED_VALUE"""),"Cefalonium")</f>
        <v>Cefalonium</v>
      </c>
      <c r="B984" t="str">
        <f ca="1">IFERROR(__xludf.DUMMYFUNCTION("""COMPUTED_VALUE"""),"RF-00000632-VET")</f>
        <v>RF-00000632-VET</v>
      </c>
    </row>
    <row r="985" spans="1:2" ht="12.5" x14ac:dyDescent="0.25">
      <c r="A985" t="str">
        <f ca="1">IFERROR(__xludf.DUMMYFUNCTION("""COMPUTED_VALUE"""),"Cefapirin")</f>
        <v>Cefapirin</v>
      </c>
      <c r="B985" t="str">
        <f ca="1">IFERROR(__xludf.DUMMYFUNCTION("""COMPUTED_VALUE"""),"RF-00000630-VET")</f>
        <v>RF-00000630-VET</v>
      </c>
    </row>
    <row r="986" spans="1:2" ht="12.5" x14ac:dyDescent="0.25">
      <c r="A986" t="str">
        <f ca="1">IFERROR(__xludf.DUMMYFUNCTION("""COMPUTED_VALUE"""),"Cefapirin sodium")</f>
        <v>Cefapirin sodium</v>
      </c>
      <c r="B986" t="str">
        <f ca="1">IFERROR(__xludf.DUMMYFUNCTION("""COMPUTED_VALUE"""),"RF-00000628-VET")</f>
        <v>RF-00000628-VET</v>
      </c>
    </row>
    <row r="987" spans="1:2" ht="12.5" x14ac:dyDescent="0.25">
      <c r="A987" t="str">
        <f ca="1">IFERROR(__xludf.DUMMYFUNCTION("""COMPUTED_VALUE"""),"Cefazolin")</f>
        <v>Cefazolin</v>
      </c>
      <c r="B987" t="str">
        <f ca="1">IFERROR(__xludf.DUMMYFUNCTION("""COMPUTED_VALUE"""),"RF-00000627-VET")</f>
        <v>RF-00000627-VET</v>
      </c>
    </row>
    <row r="988" spans="1:2" ht="12.5" x14ac:dyDescent="0.25">
      <c r="A988" t="str">
        <f ca="1">IFERROR(__xludf.DUMMYFUNCTION("""COMPUTED_VALUE"""),"Cefepime")</f>
        <v>Cefepime</v>
      </c>
      <c r="B988" t="str">
        <f ca="1">IFERROR(__xludf.DUMMYFUNCTION("""COMPUTED_VALUE"""),"RF-00000714-VET")</f>
        <v>RF-00000714-VET</v>
      </c>
    </row>
    <row r="989" spans="1:2" ht="12.5" x14ac:dyDescent="0.25">
      <c r="A989" t="str">
        <f ca="1">IFERROR(__xludf.DUMMYFUNCTION("""COMPUTED_VALUE"""),"Cefepime + Clavulanic acid")</f>
        <v>Cefepime + Clavulanic acid</v>
      </c>
      <c r="B989" t="str">
        <f ca="1">IFERROR(__xludf.DUMMYFUNCTION("""COMPUTED_VALUE"""),"RF-00000145-PAR")</f>
        <v>RF-00000145-PAR</v>
      </c>
    </row>
    <row r="990" spans="1:2" ht="12.5" x14ac:dyDescent="0.25">
      <c r="A990" t="str">
        <f ca="1">IFERROR(__xludf.DUMMYFUNCTION("""COMPUTED_VALUE"""),"Cefepime + Cloxacillin")</f>
        <v>Cefepime + Cloxacillin</v>
      </c>
      <c r="B990" t="str">
        <f ca="1">IFERROR(__xludf.DUMMYFUNCTION("""COMPUTED_VALUE"""),"RF-00000149-PAR")</f>
        <v>RF-00000149-PAR</v>
      </c>
    </row>
    <row r="991" spans="1:2" ht="12.5" x14ac:dyDescent="0.25">
      <c r="A991" t="str">
        <f ca="1">IFERROR(__xludf.DUMMYFUNCTION("""COMPUTED_VALUE"""),"Cefixim")</f>
        <v>Cefixim</v>
      </c>
      <c r="B991" t="str">
        <f ca="1">IFERROR(__xludf.DUMMYFUNCTION("""COMPUTED_VALUE"""),"RF-00000715-VET")</f>
        <v>RF-00000715-VET</v>
      </c>
    </row>
    <row r="992" spans="1:2" ht="12.5" x14ac:dyDescent="0.25">
      <c r="A992" t="str">
        <f ca="1">IFERROR(__xludf.DUMMYFUNCTION("""COMPUTED_VALUE"""),"Cefoperazon")</f>
        <v>Cefoperazon</v>
      </c>
      <c r="B992" t="str">
        <f ca="1">IFERROR(__xludf.DUMMYFUNCTION("""COMPUTED_VALUE"""),"RF-00000626-VET")</f>
        <v>RF-00000626-VET</v>
      </c>
    </row>
    <row r="993" spans="1:2" ht="12.5" x14ac:dyDescent="0.25">
      <c r="A993" t="str">
        <f ca="1">IFERROR(__xludf.DUMMYFUNCTION("""COMPUTED_VALUE"""),"Cefoperazone")</f>
        <v>Cefoperazone</v>
      </c>
      <c r="B993" t="str">
        <f ca="1">IFERROR(__xludf.DUMMYFUNCTION("""COMPUTED_VALUE"""),"RF-00000716-VET")</f>
        <v>RF-00000716-VET</v>
      </c>
    </row>
    <row r="994" spans="1:2" ht="12.5" x14ac:dyDescent="0.25">
      <c r="A994" t="str">
        <f ca="1">IFERROR(__xludf.DUMMYFUNCTION("""COMPUTED_VALUE"""),"Cefotaxim")</f>
        <v>Cefotaxim</v>
      </c>
      <c r="B994" t="str">
        <f ca="1">IFERROR(__xludf.DUMMYFUNCTION("""COMPUTED_VALUE"""),"RF-00000717-VET")</f>
        <v>RF-00000717-VET</v>
      </c>
    </row>
    <row r="995" spans="1:2" ht="12.5" x14ac:dyDescent="0.25">
      <c r="A995" t="str">
        <f ca="1">IFERROR(__xludf.DUMMYFUNCTION("""COMPUTED_VALUE"""),"Cefotaxime + Clavulanic acid")</f>
        <v>Cefotaxime + Clavulanic acid</v>
      </c>
      <c r="B995" t="str">
        <f ca="1">IFERROR(__xludf.DUMMYFUNCTION("""COMPUTED_VALUE"""),"RF-00000146-PAR")</f>
        <v>RF-00000146-PAR</v>
      </c>
    </row>
    <row r="996" spans="1:2" ht="12.5" x14ac:dyDescent="0.25">
      <c r="A996" t="str">
        <f ca="1">IFERROR(__xludf.DUMMYFUNCTION("""COMPUTED_VALUE"""),"Cefotaxime + Cloxacillin")</f>
        <v>Cefotaxime + Cloxacillin</v>
      </c>
      <c r="B996" t="str">
        <f ca="1">IFERROR(__xludf.DUMMYFUNCTION("""COMPUTED_VALUE"""),"RF-00000151-PAR")</f>
        <v>RF-00000151-PAR</v>
      </c>
    </row>
    <row r="997" spans="1:2" ht="12.5" x14ac:dyDescent="0.25">
      <c r="A997" t="str">
        <f ca="1">IFERROR(__xludf.DUMMYFUNCTION("""COMPUTED_VALUE"""),"Cefoxitin")</f>
        <v>Cefoxitin</v>
      </c>
      <c r="B997" t="str">
        <f ca="1">IFERROR(__xludf.DUMMYFUNCTION("""COMPUTED_VALUE"""),"RF-00000718-VET")</f>
        <v>RF-00000718-VET</v>
      </c>
    </row>
    <row r="998" spans="1:2" ht="12.5" x14ac:dyDescent="0.25">
      <c r="A998" t="str">
        <f ca="1">IFERROR(__xludf.DUMMYFUNCTION("""COMPUTED_VALUE"""),"Cefpodoxime")</f>
        <v>Cefpodoxime</v>
      </c>
      <c r="B998" t="str">
        <f ca="1">IFERROR(__xludf.DUMMYFUNCTION("""COMPUTED_VALUE"""),"RF-00000719-VET")</f>
        <v>RF-00000719-VET</v>
      </c>
    </row>
    <row r="999" spans="1:2" ht="12.5" x14ac:dyDescent="0.25">
      <c r="A999" t="str">
        <f ca="1">IFERROR(__xludf.DUMMYFUNCTION("""COMPUTED_VALUE"""),"Cefquinom")</f>
        <v>Cefquinom</v>
      </c>
      <c r="B999" t="str">
        <f ca="1">IFERROR(__xludf.DUMMYFUNCTION("""COMPUTED_VALUE"""),"RF-00000668-VET")</f>
        <v>RF-00000668-VET</v>
      </c>
    </row>
    <row r="1000" spans="1:2" ht="12.5" x14ac:dyDescent="0.25">
      <c r="A1000" t="str">
        <f ca="1">IFERROR(__xludf.DUMMYFUNCTION("""COMPUTED_VALUE"""),"Ceftazidim")</f>
        <v>Ceftazidim</v>
      </c>
      <c r="B1000" t="str">
        <f ca="1">IFERROR(__xludf.DUMMYFUNCTION("""COMPUTED_VALUE"""),"RF-00000720-VET")</f>
        <v>RF-00000720-VET</v>
      </c>
    </row>
    <row r="1001" spans="1:2" ht="12.5" x14ac:dyDescent="0.25">
      <c r="A1001" t="str">
        <f ca="1">IFERROR(__xludf.DUMMYFUNCTION("""COMPUTED_VALUE"""),"Ceftazidime + Clavulanic acid")</f>
        <v>Ceftazidime + Clavulanic acid</v>
      </c>
      <c r="B1001" t="str">
        <f ca="1">IFERROR(__xludf.DUMMYFUNCTION("""COMPUTED_VALUE"""),"RF-00000147-PAR")</f>
        <v>RF-00000147-PAR</v>
      </c>
    </row>
    <row r="1002" spans="1:2" ht="12.5" x14ac:dyDescent="0.25">
      <c r="A1002" t="str">
        <f ca="1">IFERROR(__xludf.DUMMYFUNCTION("""COMPUTED_VALUE"""),"Ceftazidime + Cloxacillin")</f>
        <v>Ceftazidime + Cloxacillin</v>
      </c>
      <c r="B1002" t="str">
        <f ca="1">IFERROR(__xludf.DUMMYFUNCTION("""COMPUTED_VALUE"""),"RF-00000150-PAR")</f>
        <v>RF-00000150-PAR</v>
      </c>
    </row>
    <row r="1003" spans="1:2" ht="12.5" x14ac:dyDescent="0.25">
      <c r="A1003" t="str">
        <f ca="1">IFERROR(__xludf.DUMMYFUNCTION("""COMPUTED_VALUE"""),"Ceftiofur")</f>
        <v>Ceftiofur</v>
      </c>
      <c r="B1003" t="str">
        <f ca="1">IFERROR(__xludf.DUMMYFUNCTION("""COMPUTED_VALUE"""),"RF-00000629-VET")</f>
        <v>RF-00000629-VET</v>
      </c>
    </row>
    <row r="1004" spans="1:2" ht="12.5" x14ac:dyDescent="0.25">
      <c r="A1004" t="str">
        <f ca="1">IFERROR(__xludf.DUMMYFUNCTION("""COMPUTED_VALUE"""),"Ceftizoxim")</f>
        <v>Ceftizoxim</v>
      </c>
      <c r="B1004" t="str">
        <f ca="1">IFERROR(__xludf.DUMMYFUNCTION("""COMPUTED_VALUE"""),"RF-00000721-VET")</f>
        <v>RF-00000721-VET</v>
      </c>
    </row>
    <row r="1005" spans="1:2" ht="12.5" x14ac:dyDescent="0.25">
      <c r="A1005" t="str">
        <f ca="1">IFERROR(__xludf.DUMMYFUNCTION("""COMPUTED_VALUE"""),"Ceftobiprole")</f>
        <v>Ceftobiprole</v>
      </c>
      <c r="B1005" t="str">
        <f ca="1">IFERROR(__xludf.DUMMYFUNCTION("""COMPUTED_VALUE"""),"RF-00000154-PAR")</f>
        <v>RF-00000154-PAR</v>
      </c>
    </row>
    <row r="1006" spans="1:2" ht="12.5" x14ac:dyDescent="0.25">
      <c r="A1006" t="str">
        <f ca="1">IFERROR(__xludf.DUMMYFUNCTION("""COMPUTED_VALUE"""),"Ceftriaxon")</f>
        <v>Ceftriaxon</v>
      </c>
      <c r="B1006" t="str">
        <f ca="1">IFERROR(__xludf.DUMMYFUNCTION("""COMPUTED_VALUE"""),"RF-00000722-VET")</f>
        <v>RF-00000722-VET</v>
      </c>
    </row>
    <row r="1007" spans="1:2" ht="12.5" x14ac:dyDescent="0.25">
      <c r="A1007" t="str">
        <f ca="1">IFERROR(__xludf.DUMMYFUNCTION("""COMPUTED_VALUE"""),"Cefuroxim")</f>
        <v>Cefuroxim</v>
      </c>
      <c r="B1007" t="str">
        <f ca="1">IFERROR(__xludf.DUMMYFUNCTION("""COMPUTED_VALUE"""),"RF-00000723-VET")</f>
        <v>RF-00000723-VET</v>
      </c>
    </row>
    <row r="1008" spans="1:2" ht="12.5" x14ac:dyDescent="0.25">
      <c r="A1008" t="str">
        <f ca="1">IFERROR(__xludf.DUMMYFUNCTION("""COMPUTED_VALUE"""),"Cefuroxime")</f>
        <v>Cefuroxime</v>
      </c>
      <c r="B1008" t="str">
        <f ca="1">IFERROR(__xludf.DUMMYFUNCTION("""COMPUTED_VALUE"""),"RF-00000633-VET")</f>
        <v>RF-00000633-VET</v>
      </c>
    </row>
    <row r="1009" spans="1:2" ht="12.5" x14ac:dyDescent="0.25">
      <c r="A1009" t="str">
        <f ca="1">IFERROR(__xludf.DUMMYFUNCTION("""COMPUTED_VALUE"""),"Cekafix")</f>
        <v>Cekafix</v>
      </c>
      <c r="B1009" t="str">
        <f ca="1">IFERROR(__xludf.DUMMYFUNCTION("""COMPUTED_VALUE"""),"RF-1065-001-PPP")</f>
        <v>RF-1065-001-PPP</v>
      </c>
    </row>
    <row r="1010" spans="1:2" ht="12.5" x14ac:dyDescent="0.25">
      <c r="A1010" t="str">
        <f ca="1">IFERROR(__xludf.DUMMYFUNCTION("""COMPUTED_VALUE"""),"Cellulose")</f>
        <v>Cellulose</v>
      </c>
      <c r="B1010" t="str">
        <f ca="1">IFERROR(__xludf.DUMMYFUNCTION("""COMPUTED_VALUE"""),"RF-00000101-ADD")</f>
        <v>RF-00000101-ADD</v>
      </c>
    </row>
    <row r="1011" spans="1:2" ht="12.5" x14ac:dyDescent="0.25">
      <c r="A1011" t="str">
        <f ca="1">IFERROR(__xludf.DUMMYFUNCTION("""COMPUTED_VALUE"""),"Cephacetril")</f>
        <v>Cephacetril</v>
      </c>
      <c r="B1011" t="str">
        <f ca="1">IFERROR(__xludf.DUMMYFUNCTION("""COMPUTED_VALUE"""),"RF-00000634-VET")</f>
        <v>RF-00000634-VET</v>
      </c>
    </row>
    <row r="1012" spans="1:2" ht="12.5" x14ac:dyDescent="0.25">
      <c r="A1012" t="str">
        <f ca="1">IFERROR(__xludf.DUMMYFUNCTION("""COMPUTED_VALUE"""),"Cephaloridin")</f>
        <v>Cephaloridin</v>
      </c>
      <c r="B1012" t="str">
        <f ca="1">IFERROR(__xludf.DUMMYFUNCTION("""COMPUTED_VALUE"""),"RF-00000724-VET")</f>
        <v>RF-00000724-VET</v>
      </c>
    </row>
    <row r="1013" spans="1:2" ht="12.5" x14ac:dyDescent="0.25">
      <c r="A1013" t="str">
        <f ca="1">IFERROR(__xludf.DUMMYFUNCTION("""COMPUTED_VALUE"""),"Cephalosporin C")</f>
        <v>Cephalosporin C</v>
      </c>
      <c r="B1013" t="str">
        <f ca="1">IFERROR(__xludf.DUMMYFUNCTION("""COMPUTED_VALUE"""),"RF-00000635-VET")</f>
        <v>RF-00000635-VET</v>
      </c>
    </row>
    <row r="1014" spans="1:2" ht="12.5" x14ac:dyDescent="0.25">
      <c r="A1014" t="str">
        <f ca="1">IFERROR(__xludf.DUMMYFUNCTION("""COMPUTED_VALUE"""),"Cephalosporin combinations")</f>
        <v>Cephalosporin combinations</v>
      </c>
      <c r="B1014" t="str">
        <f ca="1">IFERROR(__xludf.DUMMYFUNCTION("""COMPUTED_VALUE"""),"RF-00000806-VET")</f>
        <v>RF-00000806-VET</v>
      </c>
    </row>
    <row r="1015" spans="1:2" ht="12.5" x14ac:dyDescent="0.25">
      <c r="A1015" t="str">
        <f ca="1">IFERROR(__xludf.DUMMYFUNCTION("""COMPUTED_VALUE"""),"Cephalosporins")</f>
        <v>Cephalosporins</v>
      </c>
      <c r="B1015" t="str">
        <f ca="1">IFERROR(__xludf.DUMMYFUNCTION("""COMPUTED_VALUE"""),"RF-00000650-VET")</f>
        <v>RF-00000650-VET</v>
      </c>
    </row>
    <row r="1016" spans="1:2" ht="12.5" x14ac:dyDescent="0.25">
      <c r="A1016" t="str">
        <f ca="1">IFERROR(__xludf.DUMMYFUNCTION("""COMPUTED_VALUE"""),"Cephalosporins + Aminoglycosides")</f>
        <v>Cephalosporins + Aminoglycosides</v>
      </c>
      <c r="B1016" t="str">
        <f ca="1">IFERROR(__xludf.DUMMYFUNCTION("""COMPUTED_VALUE"""),"RF-00000726-VET")</f>
        <v>RF-00000726-VET</v>
      </c>
    </row>
    <row r="1017" spans="1:2" ht="12.5" x14ac:dyDescent="0.25">
      <c r="A1017" t="str">
        <f ca="1">IFERROR(__xludf.DUMMYFUNCTION("""COMPUTED_VALUE"""),"Cephalosporins + Beta lactamase inhibitors")</f>
        <v>Cephalosporins + Beta lactamase inhibitors</v>
      </c>
      <c r="B1017" t="str">
        <f ca="1">IFERROR(__xludf.DUMMYFUNCTION("""COMPUTED_VALUE"""),"RF-00000144-PAR")</f>
        <v>RF-00000144-PAR</v>
      </c>
    </row>
    <row r="1018" spans="1:2" ht="12.5" x14ac:dyDescent="0.25">
      <c r="A1018" t="str">
        <f ca="1">IFERROR(__xludf.DUMMYFUNCTION("""COMPUTED_VALUE"""),"Cephalosporins + Penicillin")</f>
        <v>Cephalosporins + Penicillin</v>
      </c>
      <c r="B1018" t="str">
        <f ca="1">IFERROR(__xludf.DUMMYFUNCTION("""COMPUTED_VALUE"""),"RF-00000148-PAR")</f>
        <v>RF-00000148-PAR</v>
      </c>
    </row>
    <row r="1019" spans="1:2" ht="12.5" x14ac:dyDescent="0.25">
      <c r="A1019" t="str">
        <f ca="1">IFERROR(__xludf.DUMMYFUNCTION("""COMPUTED_VALUE"""),"Cephalothin")</f>
        <v>Cephalothin</v>
      </c>
      <c r="B1019" t="str">
        <f ca="1">IFERROR(__xludf.DUMMYFUNCTION("""COMPUTED_VALUE"""),"RF-00000725-VET")</f>
        <v>RF-00000725-VET</v>
      </c>
    </row>
    <row r="1020" spans="1:2" ht="12.5" x14ac:dyDescent="0.25">
      <c r="A1020" t="str">
        <f ca="1">IFERROR(__xludf.DUMMYFUNCTION("""COMPUTED_VALUE"""),"Cephalotin")</f>
        <v>Cephalotin</v>
      </c>
      <c r="B1020" t="str">
        <f ca="1">IFERROR(__xludf.DUMMYFUNCTION("""COMPUTED_VALUE"""),"RF-00000637-VET")</f>
        <v>RF-00000637-VET</v>
      </c>
    </row>
    <row r="1021" spans="1:2" ht="12.5" x14ac:dyDescent="0.25">
      <c r="A1021" t="str">
        <f ca="1">IFERROR(__xludf.DUMMYFUNCTION("""COMPUTED_VALUE"""),"Cesium 134")</f>
        <v>Cesium 134</v>
      </c>
      <c r="B1021" t="str">
        <f ca="1">IFERROR(__xludf.DUMMYFUNCTION("""COMPUTED_VALUE"""),"RF-00000004-RAD")</f>
        <v>RF-00000004-RAD</v>
      </c>
    </row>
    <row r="1022" spans="1:2" ht="12.5" x14ac:dyDescent="0.25">
      <c r="A1022" t="str">
        <f ca="1">IFERROR(__xludf.DUMMYFUNCTION("""COMPUTED_VALUE"""),"Cesium 137")</f>
        <v>Cesium 137</v>
      </c>
      <c r="B1022" t="str">
        <f ca="1">IFERROR(__xludf.DUMMYFUNCTION("""COMPUTED_VALUE"""),"RF-00000005-RAD")</f>
        <v>RF-00000005-RAD</v>
      </c>
    </row>
    <row r="1023" spans="1:2" ht="12.5" x14ac:dyDescent="0.25">
      <c r="A1023" t="str">
        <f ca="1">IFERROR(__xludf.DUMMYFUNCTION("""COMPUTED_VALUE"""),"Cestodes")</f>
        <v>Cestodes</v>
      </c>
      <c r="B1023" t="str">
        <f ca="1">IFERROR(__xludf.DUMMYFUNCTION("""COMPUTED_VALUE"""),"RF-00002796-MCG")</f>
        <v>RF-00002796-MCG</v>
      </c>
    </row>
    <row r="1024" spans="1:2" ht="12.5" x14ac:dyDescent="0.25">
      <c r="A1024" t="str">
        <f ca="1">IFERROR(__xludf.DUMMYFUNCTION("""COMPUTED_VALUE"""),"Chanoclavine-1")</f>
        <v>Chanoclavine-1</v>
      </c>
      <c r="B1024" t="str">
        <f ca="1">IFERROR(__xludf.DUMMYFUNCTION("""COMPUTED_VALUE"""),"RF-00000381-TOX")</f>
        <v>RF-00000381-TOX</v>
      </c>
    </row>
    <row r="1025" spans="1:2" ht="12.5" x14ac:dyDescent="0.25">
      <c r="A1025" t="str">
        <f ca="1">IFERROR(__xludf.DUMMYFUNCTION("""COMPUTED_VALUE"""),"Chemical elements and derivatives")</f>
        <v>Chemical elements and derivatives</v>
      </c>
      <c r="B1025" t="str">
        <f ca="1">IFERROR(__xludf.DUMMYFUNCTION("""COMPUTED_VALUE"""),"RF-00000001-CHE")</f>
        <v>RF-00000001-CHE</v>
      </c>
    </row>
    <row r="1026" spans="1:2" ht="12.5" x14ac:dyDescent="0.25">
      <c r="A1026" t="str">
        <f ca="1">IFERROR(__xludf.DUMMYFUNCTION("""COMPUTED_VALUE"""),"chemical score")</f>
        <v>chemical score</v>
      </c>
      <c r="B1026" t="str">
        <f ca="1">IFERROR(__xludf.DUMMYFUNCTION("""COMPUTED_VALUE"""),"RF-00000050-NTR")</f>
        <v>RF-00000050-NTR</v>
      </c>
    </row>
    <row r="1027" spans="1:2" ht="12.5" x14ac:dyDescent="0.25">
      <c r="A1027" t="str">
        <f ca="1">IFERROR(__xludf.DUMMYFUNCTION("""COMPUTED_VALUE"""),"Chinomethionat")</f>
        <v>Chinomethionat</v>
      </c>
      <c r="B1027" t="str">
        <f ca="1">IFERROR(__xludf.DUMMYFUNCTION("""COMPUTED_VALUE"""),"RF-0539-001-PPP")</f>
        <v>RF-0539-001-PPP</v>
      </c>
    </row>
    <row r="1028" spans="1:2" ht="12.5" x14ac:dyDescent="0.25">
      <c r="A1028" t="str">
        <f ca="1">IFERROR(__xludf.DUMMYFUNCTION("""COMPUTED_VALUE"""),"Chinoxalin (Quindoxin)")</f>
        <v>Chinoxalin (Quindoxin)</v>
      </c>
      <c r="B1028" t="str">
        <f ca="1">IFERROR(__xludf.DUMMYFUNCTION("""COMPUTED_VALUE"""),"RF-00000265-VET")</f>
        <v>RF-00000265-VET</v>
      </c>
    </row>
    <row r="1029" spans="1:2" ht="12.5" x14ac:dyDescent="0.25">
      <c r="A1029" t="str">
        <f ca="1">IFERROR(__xludf.DUMMYFUNCTION("""COMPUTED_VALUE"""),"Chlamydia - Chlamydophila")</f>
        <v>Chlamydia - Chlamydophila</v>
      </c>
      <c r="B1029" t="str">
        <f ca="1">IFERROR(__xludf.DUMMYFUNCTION("""COMPUTED_VALUE"""),"RF-00000068-MCG")</f>
        <v>RF-00000068-MCG</v>
      </c>
    </row>
    <row r="1030" spans="1:2" ht="12.5" x14ac:dyDescent="0.25">
      <c r="A1030" t="str">
        <f ca="1">IFERROR(__xludf.DUMMYFUNCTION("""COMPUTED_VALUE"""),"Chlamydia muridarum")</f>
        <v>Chlamydia muridarum</v>
      </c>
      <c r="B1030" t="str">
        <f ca="1">IFERROR(__xludf.DUMMYFUNCTION("""COMPUTED_VALUE"""),"RF-00000070-MCG")</f>
        <v>RF-00000070-MCG</v>
      </c>
    </row>
    <row r="1031" spans="1:2" ht="12.5" x14ac:dyDescent="0.25">
      <c r="A1031" t="str">
        <f ca="1">IFERROR(__xludf.DUMMYFUNCTION("""COMPUTED_VALUE"""),"Chlamydia spp., unspecified")</f>
        <v>Chlamydia spp., unspecified</v>
      </c>
      <c r="B1031" t="str">
        <f ca="1">IFERROR(__xludf.DUMMYFUNCTION("""COMPUTED_VALUE"""),"RF-00000076-MCG")</f>
        <v>RF-00000076-MCG</v>
      </c>
    </row>
    <row r="1032" spans="1:2" ht="12.5" x14ac:dyDescent="0.25">
      <c r="A1032" t="str">
        <f ca="1">IFERROR(__xludf.DUMMYFUNCTION("""COMPUTED_VALUE"""),"Chlamydia suis")</f>
        <v>Chlamydia suis</v>
      </c>
      <c r="B1032" t="str">
        <f ca="1">IFERROR(__xludf.DUMMYFUNCTION("""COMPUTED_VALUE"""),"RF-00000074-MCG")</f>
        <v>RF-00000074-MCG</v>
      </c>
    </row>
    <row r="1033" spans="1:2" ht="12.5" x14ac:dyDescent="0.25">
      <c r="A1033" t="str">
        <f ca="1">IFERROR(__xludf.DUMMYFUNCTION("""COMPUTED_VALUE"""),"Chlamydia trachomatis")</f>
        <v>Chlamydia trachomatis</v>
      </c>
      <c r="B1033" t="str">
        <f ca="1">IFERROR(__xludf.DUMMYFUNCTION("""COMPUTED_VALUE"""),"RF-00000072-MCG")</f>
        <v>RF-00000072-MCG</v>
      </c>
    </row>
    <row r="1034" spans="1:2" ht="12.5" x14ac:dyDescent="0.25">
      <c r="A1034" t="str">
        <f ca="1">IFERROR(__xludf.DUMMYFUNCTION("""COMPUTED_VALUE"""),"Chlamydophila abortus")</f>
        <v>Chlamydophila abortus</v>
      </c>
      <c r="B1034" t="str">
        <f ca="1">IFERROR(__xludf.DUMMYFUNCTION("""COMPUTED_VALUE"""),"RF-00000078-MCG")</f>
        <v>RF-00000078-MCG</v>
      </c>
    </row>
    <row r="1035" spans="1:2" ht="12.5" x14ac:dyDescent="0.25">
      <c r="A1035" t="str">
        <f ca="1">IFERROR(__xludf.DUMMYFUNCTION("""COMPUTED_VALUE"""),"Chlamydophila caviae")</f>
        <v>Chlamydophila caviae</v>
      </c>
      <c r="B1035" t="str">
        <f ca="1">IFERROR(__xludf.DUMMYFUNCTION("""COMPUTED_VALUE"""),"RF-00000071-MCG")</f>
        <v>RF-00000071-MCG</v>
      </c>
    </row>
    <row r="1036" spans="1:2" ht="12.5" x14ac:dyDescent="0.25">
      <c r="A1036" t="str">
        <f ca="1">IFERROR(__xludf.DUMMYFUNCTION("""COMPUTED_VALUE"""),"Chlamydophila felis")</f>
        <v>Chlamydophila felis</v>
      </c>
      <c r="B1036" t="str">
        <f ca="1">IFERROR(__xludf.DUMMYFUNCTION("""COMPUTED_VALUE"""),"RF-00000069-MCG")</f>
        <v>RF-00000069-MCG</v>
      </c>
    </row>
    <row r="1037" spans="1:2" ht="12.5" x14ac:dyDescent="0.25">
      <c r="A1037" t="str">
        <f ca="1">IFERROR(__xludf.DUMMYFUNCTION("""COMPUTED_VALUE"""),"Chlamydophila pecorum")</f>
        <v>Chlamydophila pecorum</v>
      </c>
      <c r="B1037" t="str">
        <f ca="1">IFERROR(__xludf.DUMMYFUNCTION("""COMPUTED_VALUE"""),"RF-00000079-MCG")</f>
        <v>RF-00000079-MCG</v>
      </c>
    </row>
    <row r="1038" spans="1:2" ht="12.5" x14ac:dyDescent="0.25">
      <c r="A1038" t="str">
        <f ca="1">IFERROR(__xludf.DUMMYFUNCTION("""COMPUTED_VALUE"""),"Chlamydophila pneumoniae")</f>
        <v>Chlamydophila pneumoniae</v>
      </c>
      <c r="B1038" t="str">
        <f ca="1">IFERROR(__xludf.DUMMYFUNCTION("""COMPUTED_VALUE"""),"RF-00000073-MCG")</f>
        <v>RF-00000073-MCG</v>
      </c>
    </row>
    <row r="1039" spans="1:2" ht="12.5" x14ac:dyDescent="0.25">
      <c r="A1039" t="str">
        <f ca="1">IFERROR(__xludf.DUMMYFUNCTION("""COMPUTED_VALUE"""),"Chlamydophila psittaci")</f>
        <v>Chlamydophila psittaci</v>
      </c>
      <c r="B1039" t="str">
        <f ca="1">IFERROR(__xludf.DUMMYFUNCTION("""COMPUTED_VALUE"""),"RF-00000075-MCG")</f>
        <v>RF-00000075-MCG</v>
      </c>
    </row>
    <row r="1040" spans="1:2" ht="12.5" x14ac:dyDescent="0.25">
      <c r="A1040" t="str">
        <f ca="1">IFERROR(__xludf.DUMMYFUNCTION("""COMPUTED_VALUE"""),"Chlamydophila spp., unspecified")</f>
        <v>Chlamydophila spp., unspecified</v>
      </c>
      <c r="B1040" t="str">
        <f ca="1">IFERROR(__xludf.DUMMYFUNCTION("""COMPUTED_VALUE"""),"RF-00000077-MCG")</f>
        <v>RF-00000077-MCG</v>
      </c>
    </row>
    <row r="1041" spans="1:2" ht="12.5" x14ac:dyDescent="0.25">
      <c r="A1041" t="str">
        <f ca="1">IFERROR(__xludf.DUMMYFUNCTION("""COMPUTED_VALUE"""),"Chlomethoxyfen")</f>
        <v>Chlomethoxyfen</v>
      </c>
      <c r="B1041" t="str">
        <f ca="1">IFERROR(__xludf.DUMMYFUNCTION("""COMPUTED_VALUE"""),"RF-0540-001-PPP")</f>
        <v>RF-0540-001-PPP</v>
      </c>
    </row>
    <row r="1042" spans="1:2" ht="12.5" x14ac:dyDescent="0.25">
      <c r="A1042" t="str">
        <f ca="1">IFERROR(__xludf.DUMMYFUNCTION("""COMPUTED_VALUE"""),"Chlopidol")</f>
        <v>Chlopidol</v>
      </c>
      <c r="B1042" t="str">
        <f ca="1">IFERROR(__xludf.DUMMYFUNCTION("""COMPUTED_VALUE"""),"RF-00000081-VET")</f>
        <v>RF-00000081-VET</v>
      </c>
    </row>
    <row r="1043" spans="1:2" ht="12.5" x14ac:dyDescent="0.25">
      <c r="A1043" t="str">
        <f ca="1">IFERROR(__xludf.DUMMYFUNCTION("""COMPUTED_VALUE"""),"Chloramben")</f>
        <v>Chloramben</v>
      </c>
      <c r="B1043" t="str">
        <f ca="1">IFERROR(__xludf.DUMMYFUNCTION("""COMPUTED_VALUE"""),"RF-0541-001-PPP")</f>
        <v>RF-0541-001-PPP</v>
      </c>
    </row>
    <row r="1044" spans="1:2" ht="12.5" x14ac:dyDescent="0.25">
      <c r="A1044" t="str">
        <f ca="1">IFERROR(__xludf.DUMMYFUNCTION("""COMPUTED_VALUE"""),"Chloramben-Methyl")</f>
        <v>Chloramben-Methyl</v>
      </c>
      <c r="B1044" t="str">
        <f ca="1">IFERROR(__xludf.DUMMYFUNCTION("""COMPUTED_VALUE"""),"RF-0542-001-PPP")</f>
        <v>RF-0542-001-PPP</v>
      </c>
    </row>
    <row r="1045" spans="1:2" ht="12.5" x14ac:dyDescent="0.25">
      <c r="A1045" t="str">
        <f ca="1">IFERROR(__xludf.DUMMYFUNCTION("""COMPUTED_VALUE"""),"Chloramphenicol")</f>
        <v>Chloramphenicol</v>
      </c>
      <c r="B1045" t="str">
        <f ca="1">IFERROR(__xludf.DUMMYFUNCTION("""COMPUTED_VALUE"""),"RF-00000525-VET")</f>
        <v>RF-00000525-VET</v>
      </c>
    </row>
    <row r="1046" spans="1:2" ht="12.5" x14ac:dyDescent="0.25">
      <c r="A1046" t="str">
        <f ca="1">IFERROR(__xludf.DUMMYFUNCTION("""COMPUTED_VALUE"""),"Chloraniformethan")</f>
        <v>Chloraniformethan</v>
      </c>
      <c r="B1046" t="str">
        <f ca="1">IFERROR(__xludf.DUMMYFUNCTION("""COMPUTED_VALUE"""),"RF-0543-001-PPP")</f>
        <v>RF-0543-001-PPP</v>
      </c>
    </row>
    <row r="1047" spans="1:2" ht="12.5" x14ac:dyDescent="0.25">
      <c r="A1047" t="str">
        <f ca="1">IFERROR(__xludf.DUMMYFUNCTION("""COMPUTED_VALUE"""),"Chloranil")</f>
        <v>Chloranil</v>
      </c>
      <c r="B1047" t="str">
        <f ca="1">IFERROR(__xludf.DUMMYFUNCTION("""COMPUTED_VALUE"""),"RF-1027-001-PPP")</f>
        <v>RF-1027-001-PPP</v>
      </c>
    </row>
    <row r="1048" spans="1:2" ht="12.5" x14ac:dyDescent="0.25">
      <c r="A1048" t="str">
        <f ca="1">IFERROR(__xludf.DUMMYFUNCTION("""COMPUTED_VALUE"""),"Chlorantraniliprole (DPX E-2Y45)")</f>
        <v>Chlorantraniliprole (DPX E-2Y45)</v>
      </c>
      <c r="B1048" t="str">
        <f ca="1">IFERROR(__xludf.DUMMYFUNCTION("""COMPUTED_VALUE"""),"RF-0072-001-PPP")</f>
        <v>RF-0072-001-PPP</v>
      </c>
    </row>
    <row r="1049" spans="1:2" ht="12.5" x14ac:dyDescent="0.25">
      <c r="A1049" t="str">
        <f ca="1">IFERROR(__xludf.DUMMYFUNCTION("""COMPUTED_VALUE"""),"Chlorates")</f>
        <v>Chlorates</v>
      </c>
      <c r="B1049" t="str">
        <f ca="1">IFERROR(__xludf.DUMMYFUNCTION("""COMPUTED_VALUE"""),"RF-00000015-CHE")</f>
        <v>RF-00000015-CHE</v>
      </c>
    </row>
    <row r="1050" spans="1:2" ht="12.5" x14ac:dyDescent="0.25">
      <c r="A1050" t="str">
        <f ca="1">IFERROR(__xludf.DUMMYFUNCTION("""COMPUTED_VALUE"""),"Chlorbenside")</f>
        <v>Chlorbenside</v>
      </c>
      <c r="B1050" t="str">
        <f ca="1">IFERROR(__xludf.DUMMYFUNCTION("""COMPUTED_VALUE"""),"RF-0073-001-PPP")</f>
        <v>RF-0073-001-PPP</v>
      </c>
    </row>
    <row r="1051" spans="1:2" ht="12.5" x14ac:dyDescent="0.25">
      <c r="A1051" t="str">
        <f ca="1">IFERROR(__xludf.DUMMYFUNCTION("""COMPUTED_VALUE"""),"Chlorbenside sulfone")</f>
        <v>Chlorbenside sulfone</v>
      </c>
      <c r="B1051" t="str">
        <f ca="1">IFERROR(__xludf.DUMMYFUNCTION("""COMPUTED_VALUE"""),"RF-00000011-PAR")</f>
        <v>RF-00000011-PAR</v>
      </c>
    </row>
    <row r="1052" spans="1:2" ht="12.5" x14ac:dyDescent="0.25">
      <c r="A1052" t="str">
        <f ca="1">IFERROR(__xludf.DUMMYFUNCTION("""COMPUTED_VALUE"""),"Chlorbrombuterol")</f>
        <v>Chlorbrombuterol</v>
      </c>
      <c r="B1052" t="str">
        <f ca="1">IFERROR(__xludf.DUMMYFUNCTION("""COMPUTED_VALUE"""),"RF-00000473-VET")</f>
        <v>RF-00000473-VET</v>
      </c>
    </row>
    <row r="1053" spans="1:2" ht="12.5" x14ac:dyDescent="0.25">
      <c r="A1053" t="str">
        <f ca="1">IFERROR(__xludf.DUMMYFUNCTION("""COMPUTED_VALUE"""),"Chlorbromuron")</f>
        <v>Chlorbromuron</v>
      </c>
      <c r="B1053" t="str">
        <f ca="1">IFERROR(__xludf.DUMMYFUNCTION("""COMPUTED_VALUE"""),"RF-0544-001-PPP")</f>
        <v>RF-0544-001-PPP</v>
      </c>
    </row>
    <row r="1054" spans="1:2" ht="12.5" x14ac:dyDescent="0.25">
      <c r="A1054" t="str">
        <f ca="1">IFERROR(__xludf.DUMMYFUNCTION("""COMPUTED_VALUE"""),"Chlorbufam")</f>
        <v>Chlorbufam</v>
      </c>
      <c r="B1054" t="str">
        <f ca="1">IFERROR(__xludf.DUMMYFUNCTION("""COMPUTED_VALUE"""),"RF-0074-001-PPP")</f>
        <v>RF-0074-001-PPP</v>
      </c>
    </row>
    <row r="1055" spans="1:2" ht="12.5" x14ac:dyDescent="0.25">
      <c r="A1055" t="str">
        <f ca="1">IFERROR(__xludf.DUMMYFUNCTION("""COMPUTED_VALUE"""),"Chlordane")</f>
        <v>Chlordane</v>
      </c>
      <c r="B1055" t="str">
        <f ca="1">IFERROR(__xludf.DUMMYFUNCTION("""COMPUTED_VALUE"""),"RF-0075-002-PPP")</f>
        <v>RF-0075-002-PPP</v>
      </c>
    </row>
    <row r="1056" spans="1:2" ht="12.5" x14ac:dyDescent="0.25">
      <c r="A1056" t="str">
        <f ca="1">IFERROR(__xludf.DUMMYFUNCTION("""COMPUTED_VALUE"""),"Chlordane (sum of cis- and trans-chlordane)")</f>
        <v>Chlordane (sum of cis- and trans-chlordane)</v>
      </c>
      <c r="B1056" t="str">
        <f ca="1">IFERROR(__xludf.DUMMYFUNCTION("""COMPUTED_VALUE"""),"RF-0075-001-PPP")</f>
        <v>RF-0075-001-PPP</v>
      </c>
    </row>
    <row r="1057" spans="1:2" ht="12.5" x14ac:dyDescent="0.25">
      <c r="A1057" t="str">
        <f ca="1">IFERROR(__xludf.DUMMYFUNCTION("""COMPUTED_VALUE"""),"Chlordane (sum of cis- and trans-isomers and oxychlordane expressed as chlordane)")</f>
        <v>Chlordane (sum of cis- and trans-isomers and oxychlordane expressed as chlordane)</v>
      </c>
      <c r="B1057" t="str">
        <f ca="1">IFERROR(__xludf.DUMMYFUNCTION("""COMPUTED_VALUE"""),"RF-0075-005-PPP")</f>
        <v>RF-0075-005-PPP</v>
      </c>
    </row>
    <row r="1058" spans="1:2" ht="12.5" x14ac:dyDescent="0.25">
      <c r="A1058" t="str">
        <f ca="1">IFERROR(__xludf.DUMMYFUNCTION("""COMPUTED_VALUE"""),"Chlordane, cis-")</f>
        <v>Chlordane, cis-</v>
      </c>
      <c r="B1058" t="str">
        <f ca="1">IFERROR(__xludf.DUMMYFUNCTION("""COMPUTED_VALUE"""),"RF-0075-004-PPP")</f>
        <v>RF-0075-004-PPP</v>
      </c>
    </row>
    <row r="1059" spans="1:2" ht="12.5" x14ac:dyDescent="0.25">
      <c r="A1059" t="str">
        <f ca="1">IFERROR(__xludf.DUMMYFUNCTION("""COMPUTED_VALUE"""),"Chlordane, trans-")</f>
        <v>Chlordane, trans-</v>
      </c>
      <c r="B1059" t="str">
        <f ca="1">IFERROR(__xludf.DUMMYFUNCTION("""COMPUTED_VALUE"""),"RF-0075-003-PPP")</f>
        <v>RF-0075-003-PPP</v>
      </c>
    </row>
    <row r="1060" spans="1:2" ht="12.5" x14ac:dyDescent="0.25">
      <c r="A1060" t="str">
        <f ca="1">IFERROR(__xludf.DUMMYFUNCTION("""COMPUTED_VALUE"""),"Chlordecone")</f>
        <v>Chlordecone</v>
      </c>
      <c r="B1060" t="str">
        <f ca="1">IFERROR(__xludf.DUMMYFUNCTION("""COMPUTED_VALUE"""),"RF-0076-001-PPP")</f>
        <v>RF-0076-001-PPP</v>
      </c>
    </row>
    <row r="1061" spans="1:2" ht="12.5" x14ac:dyDescent="0.25">
      <c r="A1061" t="str">
        <f ca="1">IFERROR(__xludf.DUMMYFUNCTION("""COMPUTED_VALUE"""),"Chlordimeform")</f>
        <v>Chlordimeform</v>
      </c>
      <c r="B1061" t="str">
        <f ca="1">IFERROR(__xludf.DUMMYFUNCTION("""COMPUTED_VALUE"""),"RF-0545-001-PPP")</f>
        <v>RF-0545-001-PPP</v>
      </c>
    </row>
    <row r="1062" spans="1:2" ht="12.5" x14ac:dyDescent="0.25">
      <c r="A1062" t="str">
        <f ca="1">IFERROR(__xludf.DUMMYFUNCTION("""COMPUTED_VALUE"""),"Chlorethanol, 2-")</f>
        <v>Chlorethanol, 2-</v>
      </c>
      <c r="B1062" t="str">
        <f ca="1">IFERROR(__xludf.DUMMYFUNCTION("""COMPUTED_VALUE"""),"RF-0167-002-PPP")</f>
        <v>RF-0167-002-PPP</v>
      </c>
    </row>
    <row r="1063" spans="1:2" ht="12.5" x14ac:dyDescent="0.25">
      <c r="A1063" t="str">
        <f ca="1">IFERROR(__xludf.DUMMYFUNCTION("""COMPUTED_VALUE"""),"Chlorethoxyfos")</f>
        <v>Chlorethoxyfos</v>
      </c>
      <c r="B1063" t="str">
        <f ca="1">IFERROR(__xludf.DUMMYFUNCTION("""COMPUTED_VALUE"""),"RF-0546-001-PPP")</f>
        <v>RF-0546-001-PPP</v>
      </c>
    </row>
    <row r="1064" spans="1:2" ht="12.5" x14ac:dyDescent="0.25">
      <c r="A1064" t="str">
        <f ca="1">IFERROR(__xludf.DUMMYFUNCTION("""COMPUTED_VALUE"""),"Chlorfenapyr")</f>
        <v>Chlorfenapyr</v>
      </c>
      <c r="B1064" t="str">
        <f ca="1">IFERROR(__xludf.DUMMYFUNCTION("""COMPUTED_VALUE"""),"RF-0077-001-PPP")</f>
        <v>RF-0077-001-PPP</v>
      </c>
    </row>
    <row r="1065" spans="1:2" ht="12.5" x14ac:dyDescent="0.25">
      <c r="A1065" t="str">
        <f ca="1">IFERROR(__xludf.DUMMYFUNCTION("""COMPUTED_VALUE"""),"Chlorfenethol")</f>
        <v>Chlorfenethol</v>
      </c>
      <c r="B1065" t="str">
        <f ca="1">IFERROR(__xludf.DUMMYFUNCTION("""COMPUTED_VALUE"""),"RF-0994-001-PPP")</f>
        <v>RF-0994-001-PPP</v>
      </c>
    </row>
    <row r="1066" spans="1:2" ht="12.5" x14ac:dyDescent="0.25">
      <c r="A1066" t="str">
        <f ca="1">IFERROR(__xludf.DUMMYFUNCTION("""COMPUTED_VALUE"""),"Chlorfenprop")</f>
        <v>Chlorfenprop</v>
      </c>
      <c r="B1066" t="str">
        <f ca="1">IFERROR(__xludf.DUMMYFUNCTION("""COMPUTED_VALUE"""),"RF-0547-001-PPP")</f>
        <v>RF-0547-001-PPP</v>
      </c>
    </row>
    <row r="1067" spans="1:2" ht="12.5" x14ac:dyDescent="0.25">
      <c r="A1067" t="str">
        <f ca="1">IFERROR(__xludf.DUMMYFUNCTION("""COMPUTED_VALUE"""),"Chlorfenprop-Methyl")</f>
        <v>Chlorfenprop-Methyl</v>
      </c>
      <c r="B1067" t="str">
        <f ca="1">IFERROR(__xludf.DUMMYFUNCTION("""COMPUTED_VALUE"""),"RF-0548-001-PPP")</f>
        <v>RF-0548-001-PPP</v>
      </c>
    </row>
    <row r="1068" spans="1:2" ht="12.5" x14ac:dyDescent="0.25">
      <c r="A1068" t="str">
        <f ca="1">IFERROR(__xludf.DUMMYFUNCTION("""COMPUTED_VALUE"""),"Chlorfenson")</f>
        <v>Chlorfenson</v>
      </c>
      <c r="B1068" t="str">
        <f ca="1">IFERROR(__xludf.DUMMYFUNCTION("""COMPUTED_VALUE"""),"RF-0078-001-PPP")</f>
        <v>RF-0078-001-PPP</v>
      </c>
    </row>
    <row r="1069" spans="1:2" ht="12.5" x14ac:dyDescent="0.25">
      <c r="A1069" t="str">
        <f ca="1">IFERROR(__xludf.DUMMYFUNCTION("""COMPUTED_VALUE"""),"Chlorfenvinphos")</f>
        <v>Chlorfenvinphos</v>
      </c>
      <c r="B1069" t="str">
        <f ca="1">IFERROR(__xludf.DUMMYFUNCTION("""COMPUTED_VALUE"""),"RF-0079-001-PPP")</f>
        <v>RF-0079-001-PPP</v>
      </c>
    </row>
    <row r="1070" spans="1:2" ht="12.5" x14ac:dyDescent="0.25">
      <c r="A1070" t="str">
        <f ca="1">IFERROR(__xludf.DUMMYFUNCTION("""COMPUTED_VALUE"""),"Chlorfluazuron")</f>
        <v>Chlorfluazuron</v>
      </c>
      <c r="B1070" t="str">
        <f ca="1">IFERROR(__xludf.DUMMYFUNCTION("""COMPUTED_VALUE"""),"RF-0549-001-PPP")</f>
        <v>RF-0549-001-PPP</v>
      </c>
    </row>
    <row r="1071" spans="1:2" ht="12.5" x14ac:dyDescent="0.25">
      <c r="A1071" t="str">
        <f ca="1">IFERROR(__xludf.DUMMYFUNCTION("""COMPUTED_VALUE"""),"Chlorflurenol")</f>
        <v>Chlorflurenol</v>
      </c>
      <c r="B1071" t="str">
        <f ca="1">IFERROR(__xludf.DUMMYFUNCTION("""COMPUTED_VALUE"""),"RF-0550-001-PPP")</f>
        <v>RF-0550-001-PPP</v>
      </c>
    </row>
    <row r="1072" spans="1:2" ht="12.5" x14ac:dyDescent="0.25">
      <c r="A1072" t="str">
        <f ca="1">IFERROR(__xludf.DUMMYFUNCTION("""COMPUTED_VALUE"""),"Chlorflurenol-Methyl")</f>
        <v>Chlorflurenol-Methyl</v>
      </c>
      <c r="B1072" t="str">
        <f ca="1">IFERROR(__xludf.DUMMYFUNCTION("""COMPUTED_VALUE"""),"RF-0551-001-PPP")</f>
        <v>RF-0551-001-PPP</v>
      </c>
    </row>
    <row r="1073" spans="1:2" ht="12.5" x14ac:dyDescent="0.25">
      <c r="A1073" t="str">
        <f ca="1">IFERROR(__xludf.DUMMYFUNCTION("""COMPUTED_VALUE"""),"Chloridazon")</f>
        <v>Chloridazon</v>
      </c>
      <c r="B1073" t="str">
        <f ca="1">IFERROR(__xludf.DUMMYFUNCTION("""COMPUTED_VALUE"""),"RF-0080-001-PPP")</f>
        <v>RF-0080-001-PPP</v>
      </c>
    </row>
    <row r="1074" spans="1:2" ht="12.5" x14ac:dyDescent="0.25">
      <c r="A1074" t="str">
        <f ca="1">IFERROR(__xludf.DUMMYFUNCTION("""COMPUTED_VALUE"""),"Chloridazon, Methyl-Desphenyl-")</f>
        <v>Chloridazon, Methyl-Desphenyl-</v>
      </c>
      <c r="B1074" t="str">
        <f ca="1">IFERROR(__xludf.DUMMYFUNCTION("""COMPUTED_VALUE"""),"RF-0552-001-PPP")</f>
        <v>RF-0552-001-PPP</v>
      </c>
    </row>
    <row r="1075" spans="1:2" ht="12.5" x14ac:dyDescent="0.25">
      <c r="A1075" t="str">
        <f ca="1">IFERROR(__xludf.DUMMYFUNCTION("""COMPUTED_VALUE"""),"Chlorides")</f>
        <v>Chlorides</v>
      </c>
      <c r="B1075" t="str">
        <f ca="1">IFERROR(__xludf.DUMMYFUNCTION("""COMPUTED_VALUE"""),"RF-00000016-CHE")</f>
        <v>RF-00000016-CHE</v>
      </c>
    </row>
    <row r="1076" spans="1:2" ht="12.5" x14ac:dyDescent="0.25">
      <c r="A1076" t="str">
        <f ca="1">IFERROR(__xludf.DUMMYFUNCTION("""COMPUTED_VALUE"""),"Chlorimuron-Ethyl")</f>
        <v>Chlorimuron-Ethyl</v>
      </c>
      <c r="B1076" t="str">
        <f ca="1">IFERROR(__xludf.DUMMYFUNCTION("""COMPUTED_VALUE"""),"RF-0553-001-PPP")</f>
        <v>RF-0553-001-PPP</v>
      </c>
    </row>
    <row r="1077" spans="1:2" ht="12.5" x14ac:dyDescent="0.25">
      <c r="A1077" t="str">
        <f ca="1">IFERROR(__xludf.DUMMYFUNCTION("""COMPUTED_VALUE"""),"Chlorinated dibenzo-p-dioxins")</f>
        <v>Chlorinated dibenzo-p-dioxins</v>
      </c>
      <c r="B1077" t="str">
        <f ca="1">IFERROR(__xludf.DUMMYFUNCTION("""COMPUTED_VALUE"""),"RF-00000340-ORG")</f>
        <v>RF-00000340-ORG</v>
      </c>
    </row>
    <row r="1078" spans="1:2" ht="12.5" x14ac:dyDescent="0.25">
      <c r="A1078" t="str">
        <f ca="1">IFERROR(__xludf.DUMMYFUNCTION("""COMPUTED_VALUE"""),"Chlorinated dibenzofurans")</f>
        <v>Chlorinated dibenzofurans</v>
      </c>
      <c r="B1078" t="str">
        <f ca="1">IFERROR(__xludf.DUMMYFUNCTION("""COMPUTED_VALUE"""),"RF-00000329-ORG")</f>
        <v>RF-00000329-ORG</v>
      </c>
    </row>
    <row r="1079" spans="1:2" ht="12.5" x14ac:dyDescent="0.25">
      <c r="A1079" t="str">
        <f ca="1">IFERROR(__xludf.DUMMYFUNCTION("""COMPUTED_VALUE"""),"Chlorine (chloride)")</f>
        <v>Chlorine (chloride)</v>
      </c>
      <c r="B1079" t="str">
        <f ca="1">IFERROR(__xludf.DUMMYFUNCTION("""COMPUTED_VALUE"""),"RF-00000019-CHE")</f>
        <v>RF-00000019-CHE</v>
      </c>
    </row>
    <row r="1080" spans="1:2" ht="12.5" x14ac:dyDescent="0.25">
      <c r="A1080" t="str">
        <f ca="1">IFERROR(__xludf.DUMMYFUNCTION("""COMPUTED_VALUE"""),"Chlorine (Cl)")</f>
        <v>Chlorine (Cl)</v>
      </c>
      <c r="B1080" t="str">
        <f ca="1">IFERROR(__xludf.DUMMYFUNCTION("""COMPUTED_VALUE"""),"RF-00000014-CHE")</f>
        <v>RF-00000014-CHE</v>
      </c>
    </row>
    <row r="1081" spans="1:2" ht="12.5" x14ac:dyDescent="0.25">
      <c r="A1081" t="str">
        <f ca="1">IFERROR(__xludf.DUMMYFUNCTION("""COMPUTED_VALUE"""),"Chlorine and derivatives")</f>
        <v>Chlorine and derivatives</v>
      </c>
      <c r="B1081" t="str">
        <f ca="1">IFERROR(__xludf.DUMMYFUNCTION("""COMPUTED_VALUE"""),"RF-00000013-CHE")</f>
        <v>RF-00000013-CHE</v>
      </c>
    </row>
    <row r="1082" spans="1:2" ht="12.5" x14ac:dyDescent="0.25">
      <c r="A1082" t="str">
        <f ca="1">IFERROR(__xludf.DUMMYFUNCTION("""COMPUTED_VALUE"""),"Chlorites")</f>
        <v>Chlorites</v>
      </c>
      <c r="B1082" t="str">
        <f ca="1">IFERROR(__xludf.DUMMYFUNCTION("""COMPUTED_VALUE"""),"RF-00000017-CHE")</f>
        <v>RF-00000017-CHE</v>
      </c>
    </row>
    <row r="1083" spans="1:2" ht="12.5" x14ac:dyDescent="0.25">
      <c r="A1083" t="str">
        <f ca="1">IFERROR(__xludf.DUMMYFUNCTION("""COMPUTED_VALUE"""),"Chlormadinone")</f>
        <v>Chlormadinone</v>
      </c>
      <c r="B1083" t="str">
        <f ca="1">IFERROR(__xludf.DUMMYFUNCTION("""COMPUTED_VALUE"""),"RF-00000423-VET")</f>
        <v>RF-00000423-VET</v>
      </c>
    </row>
    <row r="1084" spans="1:2" ht="12.5" x14ac:dyDescent="0.25">
      <c r="A1084" t="str">
        <f ca="1">IFERROR(__xludf.DUMMYFUNCTION("""COMPUTED_VALUE"""),"Chlormadinone acetate")</f>
        <v>Chlormadinone acetate</v>
      </c>
      <c r="B1084" t="str">
        <f ca="1">IFERROR(__xludf.DUMMYFUNCTION("""COMPUTED_VALUE"""),"RF-00000402-VET")</f>
        <v>RF-00000402-VET</v>
      </c>
    </row>
    <row r="1085" spans="1:2" ht="12.5" x14ac:dyDescent="0.25">
      <c r="A1085" t="str">
        <f ca="1">IFERROR(__xludf.DUMMYFUNCTION("""COMPUTED_VALUE"""),"Chlormephos")</f>
        <v>Chlormephos</v>
      </c>
      <c r="B1085" t="str">
        <f ca="1">IFERROR(__xludf.DUMMYFUNCTION("""COMPUTED_VALUE"""),"RF-0554-001-PPP")</f>
        <v>RF-0554-001-PPP</v>
      </c>
    </row>
    <row r="1086" spans="1:2" ht="12.5" x14ac:dyDescent="0.25">
      <c r="A1086" t="str">
        <f ca="1">IFERROR(__xludf.DUMMYFUNCTION("""COMPUTED_VALUE"""),"Chlormequat")</f>
        <v>Chlormequat</v>
      </c>
      <c r="B1086" t="str">
        <f ca="1">IFERROR(__xludf.DUMMYFUNCTION("""COMPUTED_VALUE"""),"RF-0081-001-PPP")</f>
        <v>RF-0081-001-PPP</v>
      </c>
    </row>
    <row r="1087" spans="1:2" ht="12.5" x14ac:dyDescent="0.25">
      <c r="A1087" t="str">
        <f ca="1">IFERROR(__xludf.DUMMYFUNCTION("""COMPUTED_VALUE"""),"Chlornitrofen")</f>
        <v>Chlornitrofen</v>
      </c>
      <c r="B1087" t="str">
        <f ca="1">IFERROR(__xludf.DUMMYFUNCTION("""COMPUTED_VALUE"""),"RF-0555-001-PPP")</f>
        <v>RF-0555-001-PPP</v>
      </c>
    </row>
    <row r="1088" spans="1:2" ht="12.5" x14ac:dyDescent="0.25">
      <c r="A1088" t="str">
        <f ca="1">IFERROR(__xludf.DUMMYFUNCTION("""COMPUTED_VALUE"""),"Chloroaniline-para")</f>
        <v>Chloroaniline-para</v>
      </c>
      <c r="B1088" t="str">
        <f ca="1">IFERROR(__xludf.DUMMYFUNCTION("""COMPUTED_VALUE"""),"RF-0995-001-PPP")</f>
        <v>RF-0995-001-PPP</v>
      </c>
    </row>
    <row r="1089" spans="1:2" ht="12.5" x14ac:dyDescent="0.25">
      <c r="A1089" t="str">
        <f ca="1">IFERROR(__xludf.DUMMYFUNCTION("""COMPUTED_VALUE"""),"Chloroaniline, 3-")</f>
        <v>Chloroaniline, 3-</v>
      </c>
      <c r="B1089" t="str">
        <f ca="1">IFERROR(__xludf.DUMMYFUNCTION("""COMPUTED_VALUE"""),"RF-0086-002-PPP")</f>
        <v>RF-0086-002-PPP</v>
      </c>
    </row>
    <row r="1090" spans="1:2" ht="12.5" x14ac:dyDescent="0.25">
      <c r="A1090" t="str">
        <f ca="1">IFERROR(__xludf.DUMMYFUNCTION("""COMPUTED_VALUE"""),"Chlorobenzilate")</f>
        <v>Chlorobenzilate</v>
      </c>
      <c r="B1090" t="str">
        <f ca="1">IFERROR(__xludf.DUMMYFUNCTION("""COMPUTED_VALUE"""),"RF-0082-001-PPP")</f>
        <v>RF-0082-001-PPP</v>
      </c>
    </row>
    <row r="1091" spans="1:2" ht="12.5" x14ac:dyDescent="0.25">
      <c r="A1091" t="str">
        <f ca="1">IFERROR(__xludf.DUMMYFUNCTION("""COMPUTED_VALUE"""),"Chloroform")</f>
        <v>Chloroform</v>
      </c>
      <c r="B1091" t="str">
        <f ca="1">IFERROR(__xludf.DUMMYFUNCTION("""COMPUTED_VALUE"""),"RF-00000036-ORG")</f>
        <v>RF-00000036-ORG</v>
      </c>
    </row>
    <row r="1092" spans="1:2" ht="12.5" x14ac:dyDescent="0.25">
      <c r="A1092" t="str">
        <f ca="1">IFERROR(__xludf.DUMMYFUNCTION("""COMPUTED_VALUE"""),"Chloroform (Trichlormethane)")</f>
        <v>Chloroform (Trichlormethane)</v>
      </c>
      <c r="B1092" t="str">
        <f ca="1">IFERROR(__xludf.DUMMYFUNCTION("""COMPUTED_VALUE"""),"RF-00000507-VET")</f>
        <v>RF-00000507-VET</v>
      </c>
    </row>
    <row r="1093" spans="1:2" ht="12.5" x14ac:dyDescent="0.25">
      <c r="A1093" t="str">
        <f ca="1">IFERROR(__xludf.DUMMYFUNCTION("""COMPUTED_VALUE"""),"Chloroneb")</f>
        <v>Chloroneb</v>
      </c>
      <c r="B1093" t="str">
        <f ca="1">IFERROR(__xludf.DUMMYFUNCTION("""COMPUTED_VALUE"""),"RF-0556-001-PPP")</f>
        <v>RF-0556-001-PPP</v>
      </c>
    </row>
    <row r="1094" spans="1:2" ht="12.5" x14ac:dyDescent="0.25">
      <c r="A1094" t="str">
        <f ca="1">IFERROR(__xludf.DUMMYFUNCTION("""COMPUTED_VALUE"""),"Chlorophyllins")</f>
        <v>Chlorophyllins</v>
      </c>
      <c r="B1094" t="str">
        <f ca="1">IFERROR(__xludf.DUMMYFUNCTION("""COMPUTED_VALUE"""),"RF-00001292-PAR")</f>
        <v>RF-00001292-PAR</v>
      </c>
    </row>
    <row r="1095" spans="1:2" ht="12.5" x14ac:dyDescent="0.25">
      <c r="A1095" t="str">
        <f ca="1">IFERROR(__xludf.DUMMYFUNCTION("""COMPUTED_VALUE"""),"Chlorophylls")</f>
        <v>Chlorophylls</v>
      </c>
      <c r="B1095" t="str">
        <f ca="1">IFERROR(__xludf.DUMMYFUNCTION("""COMPUTED_VALUE"""),"RF-00001291-PAR")</f>
        <v>RF-00001291-PAR</v>
      </c>
    </row>
    <row r="1096" spans="1:2" ht="12.5" x14ac:dyDescent="0.25">
      <c r="A1096" t="str">
        <f ca="1">IFERROR(__xludf.DUMMYFUNCTION("""COMPUTED_VALUE"""),"Chlorophylls and chlorophyllins")</f>
        <v>Chlorophylls and chlorophyllins</v>
      </c>
      <c r="B1096" t="str">
        <f ca="1">IFERROR(__xludf.DUMMYFUNCTION("""COMPUTED_VALUE"""),"RF-00000102-ADD")</f>
        <v>RF-00000102-ADD</v>
      </c>
    </row>
    <row r="1097" spans="1:2" ht="12.5" x14ac:dyDescent="0.25">
      <c r="A1097" t="str">
        <f ca="1">IFERROR(__xludf.DUMMYFUNCTION("""COMPUTED_VALUE"""),"Chloropicrin")</f>
        <v>Chloropicrin</v>
      </c>
      <c r="B1097" t="str">
        <f ca="1">IFERROR(__xludf.DUMMYFUNCTION("""COMPUTED_VALUE"""),"RF-0083-001-PPP")</f>
        <v>RF-0083-001-PPP</v>
      </c>
    </row>
    <row r="1098" spans="1:2" ht="12.5" x14ac:dyDescent="0.25">
      <c r="A1098" t="str">
        <f ca="1">IFERROR(__xludf.DUMMYFUNCTION("""COMPUTED_VALUE"""),"Chloropropylate")</f>
        <v>Chloropropylate</v>
      </c>
      <c r="B1098" t="str">
        <f ca="1">IFERROR(__xludf.DUMMYFUNCTION("""COMPUTED_VALUE"""),"RF-0557-001-PPP")</f>
        <v>RF-0557-001-PPP</v>
      </c>
    </row>
    <row r="1099" spans="1:2" ht="12.5" x14ac:dyDescent="0.25">
      <c r="A1099" t="str">
        <f ca="1">IFERROR(__xludf.DUMMYFUNCTION("""COMPUTED_VALUE"""),"Chloropyrifos oxon")</f>
        <v>Chloropyrifos oxon</v>
      </c>
      <c r="B1099" t="str">
        <f ca="1">IFERROR(__xludf.DUMMYFUNCTION("""COMPUTED_VALUE"""),"RF-1051-001-PPP")</f>
        <v>RF-1051-001-PPP</v>
      </c>
    </row>
    <row r="1100" spans="1:2" ht="12.5" x14ac:dyDescent="0.25">
      <c r="A1100" t="str">
        <f ca="1">IFERROR(__xludf.DUMMYFUNCTION("""COMPUTED_VALUE"""),"Chlorothalonil")</f>
        <v>Chlorothalonil</v>
      </c>
      <c r="B1100" t="str">
        <f ca="1">IFERROR(__xludf.DUMMYFUNCTION("""COMPUTED_VALUE"""),"RF-0084-001-PPP")</f>
        <v>RF-0084-001-PPP</v>
      </c>
    </row>
    <row r="1101" spans="1:2" ht="12.5" x14ac:dyDescent="0.25">
      <c r="A1101" t="str">
        <f ca="1">IFERROR(__xludf.DUMMYFUNCTION("""COMPUTED_VALUE"""),"Chlorothalonil expressed as SDS-3701 (4-hydroxy-2,5,6- trichloroisophthalonitrile)")</f>
        <v>Chlorothalonil expressed as SDS-3701 (4-hydroxy-2,5,6- trichloroisophthalonitrile)</v>
      </c>
      <c r="B1101" t="str">
        <f ca="1">IFERROR(__xludf.DUMMYFUNCTION("""COMPUTED_VALUE"""),"RF-00000012-PAR")</f>
        <v>RF-00000012-PAR</v>
      </c>
    </row>
    <row r="1102" spans="1:2" ht="12.5" x14ac:dyDescent="0.25">
      <c r="A1102" t="str">
        <f ca="1">IFERROR(__xludf.DUMMYFUNCTION("""COMPUTED_VALUE"""),"Chlorotoluron")</f>
        <v>Chlorotoluron</v>
      </c>
      <c r="B1102" t="str">
        <f ca="1">IFERROR(__xludf.DUMMYFUNCTION("""COMPUTED_VALUE"""),"RF-0092-001-PPP")</f>
        <v>RF-0092-001-PPP</v>
      </c>
    </row>
    <row r="1103" spans="1:2" ht="12.5" x14ac:dyDescent="0.25">
      <c r="A1103" t="str">
        <f ca="1">IFERROR(__xludf.DUMMYFUNCTION("""COMPUTED_VALUE"""),"Chlorotrianisene")</f>
        <v>Chlorotrianisene</v>
      </c>
      <c r="B1103" t="str">
        <f ca="1">IFERROR(__xludf.DUMMYFUNCTION("""COMPUTED_VALUE"""),"RF-00000258-VET")</f>
        <v>RF-00000258-VET</v>
      </c>
    </row>
    <row r="1104" spans="1:2" ht="12.5" x14ac:dyDescent="0.25">
      <c r="A1104" t="str">
        <f ca="1">IFERROR(__xludf.DUMMYFUNCTION("""COMPUTED_VALUE"""),"Chloroxuron")</f>
        <v>Chloroxuron</v>
      </c>
      <c r="B1104" t="str">
        <f ca="1">IFERROR(__xludf.DUMMYFUNCTION("""COMPUTED_VALUE"""),"RF-0085-001-PPP")</f>
        <v>RF-0085-001-PPP</v>
      </c>
    </row>
    <row r="1105" spans="1:2" ht="12.5" x14ac:dyDescent="0.25">
      <c r="A1105" t="str">
        <f ca="1">IFERROR(__xludf.DUMMYFUNCTION("""COMPUTED_VALUE"""),"Chlorphonium")</f>
        <v>Chlorphonium</v>
      </c>
      <c r="B1105" t="str">
        <f ca="1">IFERROR(__xludf.DUMMYFUNCTION("""COMPUTED_VALUE"""),"RF-0558-001-PPP")</f>
        <v>RF-0558-001-PPP</v>
      </c>
    </row>
    <row r="1106" spans="1:2" ht="12.5" x14ac:dyDescent="0.25">
      <c r="A1106" t="str">
        <f ca="1">IFERROR(__xludf.DUMMYFUNCTION("""COMPUTED_VALUE"""),"Chlorpromazine")</f>
        <v>Chlorpromazine</v>
      </c>
      <c r="B1106" t="str">
        <f ca="1">IFERROR(__xludf.DUMMYFUNCTION("""COMPUTED_VALUE"""),"RF-00000521-VET")</f>
        <v>RF-00000521-VET</v>
      </c>
    </row>
    <row r="1107" spans="1:2" ht="12.5" x14ac:dyDescent="0.25">
      <c r="A1107" t="str">
        <f ca="1">IFERROR(__xludf.DUMMYFUNCTION("""COMPUTED_VALUE"""),"Chlorpropham")</f>
        <v>Chlorpropham</v>
      </c>
      <c r="B1107" t="str">
        <f ca="1">IFERROR(__xludf.DUMMYFUNCTION("""COMPUTED_VALUE"""),"RF-0086-003-PPP")</f>
        <v>RF-0086-003-PPP</v>
      </c>
    </row>
    <row r="1108" spans="1:2" ht="12.5" x14ac:dyDescent="0.25">
      <c r="A1108" t="str">
        <f ca="1">IFERROR(__xludf.DUMMYFUNCTION("""COMPUTED_VALUE"""),"Chlorpropham (Chlorpropham and 3-chloroaniline, expressed as Chlorpropham)")</f>
        <v>Chlorpropham (Chlorpropham and 3-chloroaniline, expressed as Chlorpropham)</v>
      </c>
      <c r="B1108" t="str">
        <f ca="1">IFERROR(__xludf.DUMMYFUNCTION("""COMPUTED_VALUE"""),"RF-0086-001-PPP")</f>
        <v>RF-0086-001-PPP</v>
      </c>
    </row>
    <row r="1109" spans="1:2" ht="12.5" x14ac:dyDescent="0.25">
      <c r="A1109" t="str">
        <f ca="1">IFERROR(__xludf.DUMMYFUNCTION("""COMPUTED_VALUE"""),"Chlorpropham and 4-hydroxychlorpropham-O-sulphonic acid (4-HSA),expressed as chlorpropham")</f>
        <v>Chlorpropham and 4-hydroxychlorpropham-O-sulphonic acid (4-HSA),expressed as chlorpropham</v>
      </c>
      <c r="B1109" t="str">
        <f ca="1">IFERROR(__xludf.DUMMYFUNCTION("""COMPUTED_VALUE"""),"RF-0086-004-PPP")</f>
        <v>RF-0086-004-PPP</v>
      </c>
    </row>
    <row r="1110" spans="1:2" ht="12.5" x14ac:dyDescent="0.25">
      <c r="A1110" t="str">
        <f ca="1">IFERROR(__xludf.DUMMYFUNCTION("""COMPUTED_VALUE"""),"Chlorpropham CIPC")</f>
        <v>Chlorpropham CIPC</v>
      </c>
      <c r="B1110" t="str">
        <f ca="1">IFERROR(__xludf.DUMMYFUNCTION("""COMPUTED_VALUE"""),"RF-00000132-VET")</f>
        <v>RF-00000132-VET</v>
      </c>
    </row>
    <row r="1111" spans="1:2" ht="12.5" x14ac:dyDescent="0.25">
      <c r="A1111" t="str">
        <f ca="1">IFERROR(__xludf.DUMMYFUNCTION("""COMPUTED_VALUE"""),"Chlorprothixene")</f>
        <v>Chlorprothixene</v>
      </c>
      <c r="B1111" t="str">
        <f ca="1">IFERROR(__xludf.DUMMYFUNCTION("""COMPUTED_VALUE"""),"RF-00000174-VET")</f>
        <v>RF-00000174-VET</v>
      </c>
    </row>
    <row r="1112" spans="1:2" ht="12.5" x14ac:dyDescent="0.25">
      <c r="A1112" t="str">
        <f ca="1">IFERROR(__xludf.DUMMYFUNCTION("""COMPUTED_VALUE"""),"Chlorpyrifos")</f>
        <v>Chlorpyrifos</v>
      </c>
      <c r="B1112" t="str">
        <f ca="1">IFERROR(__xludf.DUMMYFUNCTION("""COMPUTED_VALUE"""),"RF-0087-001-PPP")</f>
        <v>RF-0087-001-PPP</v>
      </c>
    </row>
    <row r="1113" spans="1:2" ht="12.5" x14ac:dyDescent="0.25">
      <c r="A1113" t="str">
        <f ca="1">IFERROR(__xludf.DUMMYFUNCTION("""COMPUTED_VALUE"""),"Chlorpyrifos ethyl")</f>
        <v>Chlorpyrifos ethyl</v>
      </c>
      <c r="B1113" t="str">
        <f ca="1">IFERROR(__xludf.DUMMYFUNCTION("""COMPUTED_VALUE"""),"RF-1013-001-PPP")</f>
        <v>RF-1013-001-PPP</v>
      </c>
    </row>
    <row r="1114" spans="1:2" ht="12.5" x14ac:dyDescent="0.25">
      <c r="A1114" t="str">
        <f ca="1">IFERROR(__xludf.DUMMYFUNCTION("""COMPUTED_VALUE"""),"Chlorpyrifos-methyl")</f>
        <v>Chlorpyrifos-methyl</v>
      </c>
      <c r="B1114" t="str">
        <f ca="1">IFERROR(__xludf.DUMMYFUNCTION("""COMPUTED_VALUE"""),"RF-0088-001-PPP")</f>
        <v>RF-0088-001-PPP</v>
      </c>
    </row>
    <row r="1115" spans="1:2" ht="12.5" x14ac:dyDescent="0.25">
      <c r="A1115" t="str">
        <f ca="1">IFERROR(__xludf.DUMMYFUNCTION("""COMPUTED_VALUE"""),"Chlorsulfuron")</f>
        <v>Chlorsulfuron</v>
      </c>
      <c r="B1115" t="str">
        <f ca="1">IFERROR(__xludf.DUMMYFUNCTION("""COMPUTED_VALUE"""),"RF-0089-001-PPP")</f>
        <v>RF-0089-001-PPP</v>
      </c>
    </row>
    <row r="1116" spans="1:2" ht="12.5" x14ac:dyDescent="0.25">
      <c r="A1116" t="str">
        <f ca="1">IFERROR(__xludf.DUMMYFUNCTION("""COMPUTED_VALUE"""),"Chlortestosterone-17-Alpha")</f>
        <v>Chlortestosterone-17-Alpha</v>
      </c>
      <c r="B1116" t="str">
        <f ca="1">IFERROR(__xludf.DUMMYFUNCTION("""COMPUTED_VALUE"""),"RF-00000381-VET")</f>
        <v>RF-00000381-VET</v>
      </c>
    </row>
    <row r="1117" spans="1:2" ht="12.5" x14ac:dyDescent="0.25">
      <c r="A1117" t="str">
        <f ca="1">IFERROR(__xludf.DUMMYFUNCTION("""COMPUTED_VALUE"""),"Chlortetracyclin")</f>
        <v>Chlortetracyclin</v>
      </c>
      <c r="B1117" t="str">
        <f ca="1">IFERROR(__xludf.DUMMYFUNCTION("""COMPUTED_VALUE"""),"RF-00000575-VET")</f>
        <v>RF-00000575-VET</v>
      </c>
    </row>
    <row r="1118" spans="1:2" ht="12.5" x14ac:dyDescent="0.25">
      <c r="A1118" t="str">
        <f ca="1">IFERROR(__xludf.DUMMYFUNCTION("""COMPUTED_VALUE"""),"Chlorthal")</f>
        <v>Chlorthal</v>
      </c>
      <c r="B1118" t="str">
        <f ca="1">IFERROR(__xludf.DUMMYFUNCTION("""COMPUTED_VALUE"""),"RF-0559-001-PPP")</f>
        <v>RF-0559-001-PPP</v>
      </c>
    </row>
    <row r="1119" spans="1:2" ht="12.5" x14ac:dyDescent="0.25">
      <c r="A1119" t="str">
        <f ca="1">IFERROR(__xludf.DUMMYFUNCTION("""COMPUTED_VALUE"""),"Chlorthal-dimethyl")</f>
        <v>Chlorthal-dimethyl</v>
      </c>
      <c r="B1119" t="str">
        <f ca="1">IFERROR(__xludf.DUMMYFUNCTION("""COMPUTED_VALUE"""),"RF-0090-001-PPP")</f>
        <v>RF-0090-001-PPP</v>
      </c>
    </row>
    <row r="1120" spans="1:2" ht="12.5" x14ac:dyDescent="0.25">
      <c r="A1120" t="str">
        <f ca="1">IFERROR(__xludf.DUMMYFUNCTION("""COMPUTED_VALUE"""),"Chlorthiamid")</f>
        <v>Chlorthiamid</v>
      </c>
      <c r="B1120" t="str">
        <f ca="1">IFERROR(__xludf.DUMMYFUNCTION("""COMPUTED_VALUE"""),"RF-0091-001-PPP")</f>
        <v>RF-0091-001-PPP</v>
      </c>
    </row>
    <row r="1121" spans="1:2" ht="12.5" x14ac:dyDescent="0.25">
      <c r="A1121" t="str">
        <f ca="1">IFERROR(__xludf.DUMMYFUNCTION("""COMPUTED_VALUE"""),"Chlorthion")</f>
        <v>Chlorthion</v>
      </c>
      <c r="B1121" t="str">
        <f ca="1">IFERROR(__xludf.DUMMYFUNCTION("""COMPUTED_VALUE"""),"RF-0560-001-PPP")</f>
        <v>RF-0560-001-PPP</v>
      </c>
    </row>
    <row r="1122" spans="1:2" ht="12.5" x14ac:dyDescent="0.25">
      <c r="A1122" t="str">
        <f ca="1">IFERROR(__xludf.DUMMYFUNCTION("""COMPUTED_VALUE"""),"Chlorthiophos")</f>
        <v>Chlorthiophos</v>
      </c>
      <c r="B1122" t="str">
        <f ca="1">IFERROR(__xludf.DUMMYFUNCTION("""COMPUTED_VALUE"""),"RF-0561-001-PPP")</f>
        <v>RF-0561-001-PPP</v>
      </c>
    </row>
    <row r="1123" spans="1:2" ht="12.5" x14ac:dyDescent="0.25">
      <c r="A1123" t="str">
        <f ca="1">IFERROR(__xludf.DUMMYFUNCTION("""COMPUTED_VALUE"""),"Chlorthiophos sulfone")</f>
        <v>Chlorthiophos sulfone</v>
      </c>
      <c r="B1123" t="str">
        <f ca="1">IFERROR(__xludf.DUMMYFUNCTION("""COMPUTED_VALUE"""),"RF-0985-001-PPP")</f>
        <v>RF-0985-001-PPP</v>
      </c>
    </row>
    <row r="1124" spans="1:2" ht="12.5" x14ac:dyDescent="0.25">
      <c r="A1124" t="str">
        <f ca="1">IFERROR(__xludf.DUMMYFUNCTION("""COMPUTED_VALUE"""),"Chlozolinate")</f>
        <v>Chlozolinate</v>
      </c>
      <c r="B1124" t="str">
        <f ca="1">IFERROR(__xludf.DUMMYFUNCTION("""COMPUTED_VALUE"""),"RF-0093-001-PPP")</f>
        <v>RF-0093-001-PPP</v>
      </c>
    </row>
    <row r="1125" spans="1:2" ht="12.5" x14ac:dyDescent="0.25">
      <c r="A1125" t="str">
        <f ca="1">IFERROR(__xludf.DUMMYFUNCTION("""COMPUTED_VALUE"""),"cholecalciferol")</f>
        <v>cholecalciferol</v>
      </c>
      <c r="B1125" t="str">
        <f ca="1">IFERROR(__xludf.DUMMYFUNCTION("""COMPUTED_VALUE"""),"RF-00000051-NTR")</f>
        <v>RF-00000051-NTR</v>
      </c>
    </row>
    <row r="1126" spans="1:2" ht="12.5" x14ac:dyDescent="0.25">
      <c r="A1126" t="str">
        <f ca="1">IFERROR(__xludf.DUMMYFUNCTION("""COMPUTED_VALUE"""),"cholesterol")</f>
        <v>cholesterol</v>
      </c>
      <c r="B1126" t="str">
        <f ca="1">IFERROR(__xludf.DUMMYFUNCTION("""COMPUTED_VALUE"""),"RF-00000052-NTR")</f>
        <v>RF-00000052-NTR</v>
      </c>
    </row>
    <row r="1127" spans="1:2" ht="12.5" x14ac:dyDescent="0.25">
      <c r="A1127" t="str">
        <f ca="1">IFERROR(__xludf.DUMMYFUNCTION("""COMPUTED_VALUE"""),"choline")</f>
        <v>choline</v>
      </c>
      <c r="B1127" t="str">
        <f ca="1">IFERROR(__xludf.DUMMYFUNCTION("""COMPUTED_VALUE"""),"RF-00000053-NTR")</f>
        <v>RF-00000053-NTR</v>
      </c>
    </row>
    <row r="1128" spans="1:2" ht="12.5" x14ac:dyDescent="0.25">
      <c r="A1128" t="str">
        <f ca="1">IFERROR(__xludf.DUMMYFUNCTION("""COMPUTED_VALUE"""),"Chromafenozide")</f>
        <v>Chromafenozide</v>
      </c>
      <c r="B1128" t="str">
        <f ca="1">IFERROR(__xludf.DUMMYFUNCTION("""COMPUTED_VALUE"""),"RF-0094-001-PPP")</f>
        <v>RF-0094-001-PPP</v>
      </c>
    </row>
    <row r="1129" spans="1:2" ht="12.5" x14ac:dyDescent="0.25">
      <c r="A1129" t="str">
        <f ca="1">IFERROR(__xludf.DUMMYFUNCTION("""COMPUTED_VALUE"""),"Chromium (Cr)")</f>
        <v>Chromium (Cr)</v>
      </c>
      <c r="B1129" t="str">
        <f ca="1">IFERROR(__xludf.DUMMYFUNCTION("""COMPUTED_VALUE"""),"RF-00000152-CHE")</f>
        <v>RF-00000152-CHE</v>
      </c>
    </row>
    <row r="1130" spans="1:2" ht="12.5" x14ac:dyDescent="0.25">
      <c r="A1130" t="str">
        <f ca="1">IFERROR(__xludf.DUMMYFUNCTION("""COMPUTED_VALUE"""),"Chromium (III)")</f>
        <v>Chromium (III)</v>
      </c>
      <c r="B1130" t="str">
        <f ca="1">IFERROR(__xludf.DUMMYFUNCTION("""COMPUTED_VALUE"""),"RF-00000156-CHE")</f>
        <v>RF-00000156-CHE</v>
      </c>
    </row>
    <row r="1131" spans="1:2" ht="12.5" x14ac:dyDescent="0.25">
      <c r="A1131" t="str">
        <f ca="1">IFERROR(__xludf.DUMMYFUNCTION("""COMPUTED_VALUE"""),"Chromium (III) Inorganic")</f>
        <v>Chromium (III) Inorganic</v>
      </c>
      <c r="B1131" t="str">
        <f ca="1">IFERROR(__xludf.DUMMYFUNCTION("""COMPUTED_VALUE"""),"RF-00000157-CHE")</f>
        <v>RF-00000157-CHE</v>
      </c>
    </row>
    <row r="1132" spans="1:2" ht="12.5" x14ac:dyDescent="0.25">
      <c r="A1132" t="str">
        <f ca="1">IFERROR(__xludf.DUMMYFUNCTION("""COMPUTED_VALUE"""),"Chromium (III) Organic")</f>
        <v>Chromium (III) Organic</v>
      </c>
      <c r="B1132" t="str">
        <f ca="1">IFERROR(__xludf.DUMMYFUNCTION("""COMPUTED_VALUE"""),"RF-00000158-CHE")</f>
        <v>RF-00000158-CHE</v>
      </c>
    </row>
    <row r="1133" spans="1:2" ht="12.5" x14ac:dyDescent="0.25">
      <c r="A1133" t="str">
        <f ca="1">IFERROR(__xludf.DUMMYFUNCTION("""COMPUTED_VALUE"""),"Chromium (VI)")</f>
        <v>Chromium (VI)</v>
      </c>
      <c r="B1133" t="str">
        <f ca="1">IFERROR(__xludf.DUMMYFUNCTION("""COMPUTED_VALUE"""),"RF-00000159-CHE")</f>
        <v>RF-00000159-CHE</v>
      </c>
    </row>
    <row r="1134" spans="1:2" ht="12.5" x14ac:dyDescent="0.25">
      <c r="A1134" t="str">
        <f ca="1">IFERROR(__xludf.DUMMYFUNCTION("""COMPUTED_VALUE"""),"Chromium and derivatives")</f>
        <v>Chromium and derivatives</v>
      </c>
      <c r="B1134" t="str">
        <f ca="1">IFERROR(__xludf.DUMMYFUNCTION("""COMPUTED_VALUE"""),"RF-00000151-CHE")</f>
        <v>RF-00000151-CHE</v>
      </c>
    </row>
    <row r="1135" spans="1:2" ht="12.5" x14ac:dyDescent="0.25">
      <c r="A1135" t="str">
        <f ca="1">IFERROR(__xludf.DUMMYFUNCTION("""COMPUTED_VALUE"""),"Chrysene")</f>
        <v>Chrysene</v>
      </c>
      <c r="B1135" t="str">
        <f ca="1">IFERROR(__xludf.DUMMYFUNCTION("""COMPUTED_VALUE"""),"RF-00000053-ORG")</f>
        <v>RF-00000053-ORG</v>
      </c>
    </row>
    <row r="1136" spans="1:2" ht="12.5" x14ac:dyDescent="0.25">
      <c r="A1136" t="str">
        <f ca="1">IFERROR(__xludf.DUMMYFUNCTION("""COMPUTED_VALUE"""),"Ciguatoxin group toxins")</f>
        <v>Ciguatoxin group toxins</v>
      </c>
      <c r="B1136" t="str">
        <f ca="1">IFERROR(__xludf.DUMMYFUNCTION("""COMPUTED_VALUE"""),"RF-00000044-TOX")</f>
        <v>RF-00000044-TOX</v>
      </c>
    </row>
    <row r="1137" spans="1:2" ht="12.5" x14ac:dyDescent="0.25">
      <c r="A1137" t="str">
        <f ca="1">IFERROR(__xludf.DUMMYFUNCTION("""COMPUTED_VALUE"""),"Cimaterol")</f>
        <v>Cimaterol</v>
      </c>
      <c r="B1137" t="str">
        <f ca="1">IFERROR(__xludf.DUMMYFUNCTION("""COMPUTED_VALUE"""),"RF-00000481-VET")</f>
        <v>RF-00000481-VET</v>
      </c>
    </row>
    <row r="1138" spans="1:2" ht="12.5" x14ac:dyDescent="0.25">
      <c r="A1138" t="str">
        <f ca="1">IFERROR(__xludf.DUMMYFUNCTION("""COMPUTED_VALUE"""),"Cimbuterol")</f>
        <v>Cimbuterol</v>
      </c>
      <c r="B1138" t="str">
        <f ca="1">IFERROR(__xludf.DUMMYFUNCTION("""COMPUTED_VALUE"""),"RF-00000482-VET")</f>
        <v>RF-00000482-VET</v>
      </c>
    </row>
    <row r="1139" spans="1:2" ht="12.5" x14ac:dyDescent="0.25">
      <c r="A1139" t="str">
        <f ca="1">IFERROR(__xludf.DUMMYFUNCTION("""COMPUTED_VALUE"""),"Cimiazol")</f>
        <v>Cimiazol</v>
      </c>
      <c r="B1139" t="str">
        <f ca="1">IFERROR(__xludf.DUMMYFUNCTION("""COMPUTED_VALUE"""),"RF-00000130-VET")</f>
        <v>RF-00000130-VET</v>
      </c>
    </row>
    <row r="1140" spans="1:2" ht="12.5" x14ac:dyDescent="0.25">
      <c r="A1140" t="str">
        <f ca="1">IFERROR(__xludf.DUMMYFUNCTION("""COMPUTED_VALUE"""),"Cinerin")</f>
        <v>Cinerin</v>
      </c>
      <c r="B1140" t="str">
        <f ca="1">IFERROR(__xludf.DUMMYFUNCTION("""COMPUTED_VALUE"""),"RF-1066-001-PPP")</f>
        <v>RF-1066-001-PPP</v>
      </c>
    </row>
    <row r="1141" spans="1:2" ht="12.5" x14ac:dyDescent="0.25">
      <c r="A1141" t="str">
        <f ca="1">IFERROR(__xludf.DUMMYFUNCTION("""COMPUTED_VALUE"""),"Cinerin I")</f>
        <v>Cinerin I</v>
      </c>
      <c r="B1141" t="str">
        <f ca="1">IFERROR(__xludf.DUMMYFUNCTION("""COMPUTED_VALUE"""),"RF-1066-002-PPP")</f>
        <v>RF-1066-002-PPP</v>
      </c>
    </row>
    <row r="1142" spans="1:2" ht="12.5" x14ac:dyDescent="0.25">
      <c r="A1142" t="str">
        <f ca="1">IFERROR(__xludf.DUMMYFUNCTION("""COMPUTED_VALUE"""),"Cinerin II")</f>
        <v>Cinerin II</v>
      </c>
      <c r="B1142" t="str">
        <f ca="1">IFERROR(__xludf.DUMMYFUNCTION("""COMPUTED_VALUE"""),"RF-1066-003-PPP")</f>
        <v>RF-1066-003-PPP</v>
      </c>
    </row>
    <row r="1143" spans="1:2" ht="12.5" x14ac:dyDescent="0.25">
      <c r="A1143" t="str">
        <f ca="1">IFERROR(__xludf.DUMMYFUNCTION("""COMPUTED_VALUE"""),"Cinidon-ethyl")</f>
        <v>Cinidon-ethyl</v>
      </c>
      <c r="B1143" t="str">
        <f ca="1">IFERROR(__xludf.DUMMYFUNCTION("""COMPUTED_VALUE"""),"RF-0095-002-PPP")</f>
        <v>RF-0095-002-PPP</v>
      </c>
    </row>
    <row r="1144" spans="1:2" ht="12.5" x14ac:dyDescent="0.25">
      <c r="A1144" t="str">
        <f ca="1">IFERROR(__xludf.DUMMYFUNCTION("""COMPUTED_VALUE"""),"Cinidon-ethyl (sum of cinidon ethyl and its E-isomer)")</f>
        <v>Cinidon-ethyl (sum of cinidon ethyl and its E-isomer)</v>
      </c>
      <c r="B1144" t="str">
        <f ca="1">IFERROR(__xludf.DUMMYFUNCTION("""COMPUTED_VALUE"""),"RF-0095-001-PPP")</f>
        <v>RF-0095-001-PPP</v>
      </c>
    </row>
    <row r="1145" spans="1:2" ht="12.5" x14ac:dyDescent="0.25">
      <c r="A1145" t="str">
        <f ca="1">IFERROR(__xludf.DUMMYFUNCTION("""COMPUTED_VALUE"""),"Cinmethylin")</f>
        <v>Cinmethylin</v>
      </c>
      <c r="B1145" t="str">
        <f ca="1">IFERROR(__xludf.DUMMYFUNCTION("""COMPUTED_VALUE"""),"RF-0563-001-PPP")</f>
        <v>RF-0563-001-PPP</v>
      </c>
    </row>
    <row r="1146" spans="1:2" ht="12.5" x14ac:dyDescent="0.25">
      <c r="A1146" t="str">
        <f ca="1">IFERROR(__xludf.DUMMYFUNCTION("""COMPUTED_VALUE"""),"Cinosulfuron")</f>
        <v>Cinosulfuron</v>
      </c>
      <c r="B1146" t="str">
        <f ca="1">IFERROR(__xludf.DUMMYFUNCTION("""COMPUTED_VALUE"""),"RF-0564-001-PPP")</f>
        <v>RF-0564-001-PPP</v>
      </c>
    </row>
    <row r="1147" spans="1:2" ht="12.5" x14ac:dyDescent="0.25">
      <c r="A1147" t="str">
        <f ca="1">IFERROR(__xludf.DUMMYFUNCTION("""COMPUTED_VALUE"""),"Cinoxacin")</f>
        <v>Cinoxacin</v>
      </c>
      <c r="B1147" t="str">
        <f ca="1">IFERROR(__xludf.DUMMYFUNCTION("""COMPUTED_VALUE"""),"RF-00000809-VET")</f>
        <v>RF-00000809-VET</v>
      </c>
    </row>
    <row r="1148" spans="1:2" ht="12.5" x14ac:dyDescent="0.25">
      <c r="A1148" t="str">
        <f ca="1">IFERROR(__xludf.DUMMYFUNCTION("""COMPUTED_VALUE"""),"Ciprofloxacin")</f>
        <v>Ciprofloxacin</v>
      </c>
      <c r="B1148" t="str">
        <f ca="1">IFERROR(__xludf.DUMMYFUNCTION("""COMPUTED_VALUE"""),"RF-00000695-VET")</f>
        <v>RF-00000695-VET</v>
      </c>
    </row>
    <row r="1149" spans="1:2" ht="12.5" x14ac:dyDescent="0.25">
      <c r="A1149" t="str">
        <f ca="1">IFERROR(__xludf.DUMMYFUNCTION("""COMPUTED_VALUE"""),"cis-Permethrin")</f>
        <v>cis-Permethrin</v>
      </c>
      <c r="B1149" t="str">
        <f ca="1">IFERROR(__xludf.DUMMYFUNCTION("""COMPUTED_VALUE"""),"RF-0842-002-PPP")</f>
        <v>RF-0842-002-PPP</v>
      </c>
    </row>
    <row r="1150" spans="1:2" ht="12.5" x14ac:dyDescent="0.25">
      <c r="A1150" t="str">
        <f ca="1">IFERROR(__xludf.DUMMYFUNCTION("""COMPUTED_VALUE"""),"cis-Resmethrin")</f>
        <v>cis-Resmethrin</v>
      </c>
      <c r="B1150" t="str">
        <f ca="1">IFERROR(__xludf.DUMMYFUNCTION("""COMPUTED_VALUE"""),"RF-0385-002-PPP")</f>
        <v>RF-0385-002-PPP</v>
      </c>
    </row>
    <row r="1151" spans="1:2" ht="12.5" x14ac:dyDescent="0.25">
      <c r="A1151" t="str">
        <f ca="1">IFERROR(__xludf.DUMMYFUNCTION("""COMPUTED_VALUE"""),"Citric acid")</f>
        <v>Citric acid</v>
      </c>
      <c r="B1151" t="str">
        <f ca="1">IFERROR(__xludf.DUMMYFUNCTION("""COMPUTED_VALUE"""),"RF-00000103-ADD")</f>
        <v>RF-00000103-ADD</v>
      </c>
    </row>
    <row r="1152" spans="1:2" ht="12.5" x14ac:dyDescent="0.25">
      <c r="A1152" t="str">
        <f ca="1">IFERROR(__xludf.DUMMYFUNCTION("""COMPUTED_VALUE"""),"Citric acid esters of mono- and diglycerides of fatty acids")</f>
        <v>Citric acid esters of mono- and diglycerides of fatty acids</v>
      </c>
      <c r="B1152" t="str">
        <f ca="1">IFERROR(__xludf.DUMMYFUNCTION("""COMPUTED_VALUE"""),"RF-00000104-ADD")</f>
        <v>RF-00000104-ADD</v>
      </c>
    </row>
    <row r="1153" spans="1:2" ht="12.5" x14ac:dyDescent="0.25">
      <c r="A1153" t="str">
        <f ca="1">IFERROR(__xludf.DUMMYFUNCTION("""COMPUTED_VALUE"""),"Citrinin")</f>
        <v>Citrinin</v>
      </c>
      <c r="B1153" t="str">
        <f ca="1">IFERROR(__xludf.DUMMYFUNCTION("""COMPUTED_VALUE"""),"RF-00000207-TOX")</f>
        <v>RF-00000207-TOX</v>
      </c>
    </row>
    <row r="1154" spans="1:2" ht="12.5" x14ac:dyDescent="0.25">
      <c r="A1154" t="str">
        <f ca="1">IFERROR(__xludf.DUMMYFUNCTION("""COMPUTED_VALUE"""),"Clarithromycin")</f>
        <v>Clarithromycin</v>
      </c>
      <c r="B1154" t="str">
        <f ca="1">IFERROR(__xludf.DUMMYFUNCTION("""COMPUTED_VALUE"""),"RF-00000693-VET")</f>
        <v>RF-00000693-VET</v>
      </c>
    </row>
    <row r="1155" spans="1:2" ht="12.5" x14ac:dyDescent="0.25">
      <c r="A1155" t="str">
        <f ca="1">IFERROR(__xludf.DUMMYFUNCTION("""COMPUTED_VALUE"""),"Clavulanic acid")</f>
        <v>Clavulanic acid</v>
      </c>
      <c r="B1155" t="str">
        <f ca="1">IFERROR(__xludf.DUMMYFUNCTION("""COMPUTED_VALUE"""),"RF-00000692-VET")</f>
        <v>RF-00000692-VET</v>
      </c>
    </row>
    <row r="1156" spans="1:2" ht="12.5" x14ac:dyDescent="0.25">
      <c r="A1156" t="str">
        <f ca="1">IFERROR(__xludf.DUMMYFUNCTION("""COMPUTED_VALUE"""),"Clazuril")</f>
        <v>Clazuril</v>
      </c>
      <c r="B1156" t="str">
        <f ca="1">IFERROR(__xludf.DUMMYFUNCTION("""COMPUTED_VALUE"""),"RF-00000092-VET")</f>
        <v>RF-00000092-VET</v>
      </c>
    </row>
    <row r="1157" spans="1:2" ht="12.5" x14ac:dyDescent="0.25">
      <c r="A1157" t="str">
        <f ca="1">IFERROR(__xludf.DUMMYFUNCTION("""COMPUTED_VALUE"""),"Clemizol-Penicillin")</f>
        <v>Clemizol-Penicillin</v>
      </c>
      <c r="B1157" t="str">
        <f ca="1">IFERROR(__xludf.DUMMYFUNCTION("""COMPUTED_VALUE"""),"RF-00000691-VET")</f>
        <v>RF-00000691-VET</v>
      </c>
    </row>
    <row r="1158" spans="1:2" ht="12.5" x14ac:dyDescent="0.25">
      <c r="A1158" t="str">
        <f ca="1">IFERROR(__xludf.DUMMYFUNCTION("""COMPUTED_VALUE"""),"Clenbuterol")</f>
        <v>Clenbuterol</v>
      </c>
      <c r="B1158" t="str">
        <f ca="1">IFERROR(__xludf.DUMMYFUNCTION("""COMPUTED_VALUE"""),"RF-00000478-VET")</f>
        <v>RF-00000478-VET</v>
      </c>
    </row>
    <row r="1159" spans="1:2" ht="12.5" x14ac:dyDescent="0.25">
      <c r="A1159" t="str">
        <f ca="1">IFERROR(__xludf.DUMMYFUNCTION("""COMPUTED_VALUE"""),"Clenbuterol-Hydrochloride")</f>
        <v>Clenbuterol-Hydrochloride</v>
      </c>
      <c r="B1159" t="str">
        <f ca="1">IFERROR(__xludf.DUMMYFUNCTION("""COMPUTED_VALUE"""),"RF-00000485-VET")</f>
        <v>RF-00000485-VET</v>
      </c>
    </row>
    <row r="1160" spans="1:2" ht="12.5" x14ac:dyDescent="0.25">
      <c r="A1160" t="str">
        <f ca="1">IFERROR(__xludf.DUMMYFUNCTION("""COMPUTED_VALUE"""),"Clenbuterol-Hydroxymethyl (NA 1142)")</f>
        <v>Clenbuterol-Hydroxymethyl (NA 1142)</v>
      </c>
      <c r="B1160" t="str">
        <f ca="1">IFERROR(__xludf.DUMMYFUNCTION("""COMPUTED_VALUE"""),"RF-00000484-VET")</f>
        <v>RF-00000484-VET</v>
      </c>
    </row>
    <row r="1161" spans="1:2" ht="12.5" x14ac:dyDescent="0.25">
      <c r="A1161" t="str">
        <f ca="1">IFERROR(__xludf.DUMMYFUNCTION("""COMPUTED_VALUE"""),"Clencyclohexerol")</f>
        <v>Clencyclohexerol</v>
      </c>
      <c r="B1161" t="str">
        <f ca="1">IFERROR(__xludf.DUMMYFUNCTION("""COMPUTED_VALUE"""),"RF-00000474-VET")</f>
        <v>RF-00000474-VET</v>
      </c>
    </row>
    <row r="1162" spans="1:2" ht="12.5" x14ac:dyDescent="0.25">
      <c r="A1162" t="str">
        <f ca="1">IFERROR(__xludf.DUMMYFUNCTION("""COMPUTED_VALUE"""),"Clenhexerol hydrochloride")</f>
        <v>Clenhexerol hydrochloride</v>
      </c>
      <c r="B1162" t="str">
        <f ca="1">IFERROR(__xludf.DUMMYFUNCTION("""COMPUTED_VALUE"""),"RF-00000470-VET")</f>
        <v>RF-00000470-VET</v>
      </c>
    </row>
    <row r="1163" spans="1:2" ht="12.5" x14ac:dyDescent="0.25">
      <c r="A1163" t="str">
        <f ca="1">IFERROR(__xludf.DUMMYFUNCTION("""COMPUTED_VALUE"""),"Clenhexyl")</f>
        <v>Clenhexyl</v>
      </c>
      <c r="B1163" t="str">
        <f ca="1">IFERROR(__xludf.DUMMYFUNCTION("""COMPUTED_VALUE"""),"RF-00000475-VET")</f>
        <v>RF-00000475-VET</v>
      </c>
    </row>
    <row r="1164" spans="1:2" ht="12.5" x14ac:dyDescent="0.25">
      <c r="A1164" t="str">
        <f ca="1">IFERROR(__xludf.DUMMYFUNCTION("""COMPUTED_VALUE"""),"Clenisopenterol")</f>
        <v>Clenisopenterol</v>
      </c>
      <c r="B1164" t="str">
        <f ca="1">IFERROR(__xludf.DUMMYFUNCTION("""COMPUTED_VALUE"""),"RF-00000496-VET")</f>
        <v>RF-00000496-VET</v>
      </c>
    </row>
    <row r="1165" spans="1:2" ht="12.5" x14ac:dyDescent="0.25">
      <c r="A1165" t="str">
        <f ca="1">IFERROR(__xludf.DUMMYFUNCTION("""COMPUTED_VALUE"""),"Clenpenterol (NAB 762, Methylclenbuterol)")</f>
        <v>Clenpenterol (NAB 762, Methylclenbuterol)</v>
      </c>
      <c r="B1165" t="str">
        <f ca="1">IFERROR(__xludf.DUMMYFUNCTION("""COMPUTED_VALUE"""),"RF-00000495-VET")</f>
        <v>RF-00000495-VET</v>
      </c>
    </row>
    <row r="1166" spans="1:2" ht="12.5" x14ac:dyDescent="0.25">
      <c r="A1166" t="str">
        <f ca="1">IFERROR(__xludf.DUMMYFUNCTION("""COMPUTED_VALUE"""),"Clenproperol")</f>
        <v>Clenproperol</v>
      </c>
      <c r="B1166" t="str">
        <f ca="1">IFERROR(__xludf.DUMMYFUNCTION("""COMPUTED_VALUE"""),"RF-00000492-VET")</f>
        <v>RF-00000492-VET</v>
      </c>
    </row>
    <row r="1167" spans="1:2" ht="12.5" x14ac:dyDescent="0.25">
      <c r="A1167" t="str">
        <f ca="1">IFERROR(__xludf.DUMMYFUNCTION("""COMPUTED_VALUE"""),"Clethodim")</f>
        <v>Clethodim</v>
      </c>
      <c r="B1167" t="str">
        <f ca="1">IFERROR(__xludf.DUMMYFUNCTION("""COMPUTED_VALUE"""),"RF-0096-005-PPP")</f>
        <v>RF-0096-005-PPP</v>
      </c>
    </row>
    <row r="1168" spans="1:2" ht="12.5" x14ac:dyDescent="0.25">
      <c r="A1168" t="str">
        <f ca="1">IFERROR(__xludf.DUMMYFUNCTION("""COMPUTED_VALUE"""),"Clethodim (sum of Sethoxydim and Clethodim including degradation products calculated as Sethoxydim)")</f>
        <v>Clethodim (sum of Sethoxydim and Clethodim including degradation products calculated as Sethoxydim)</v>
      </c>
      <c r="B1168" t="str">
        <f ca="1">IFERROR(__xludf.DUMMYFUNCTION("""COMPUTED_VALUE"""),"RF-0096-001-PPP")</f>
        <v>RF-0096-001-PPP</v>
      </c>
    </row>
    <row r="1169" spans="1:2" ht="12.5" x14ac:dyDescent="0.25">
      <c r="A1169" t="str">
        <f ca="1">IFERROR(__xludf.DUMMYFUNCTION("""COMPUTED_VALUE"""),"Clethodim-Imin-Sulfon")</f>
        <v>Clethodim-Imin-Sulfon</v>
      </c>
      <c r="B1169" t="str">
        <f ca="1">IFERROR(__xludf.DUMMYFUNCTION("""COMPUTED_VALUE"""),"RF-0096-007-PPP")</f>
        <v>RF-0096-007-PPP</v>
      </c>
    </row>
    <row r="1170" spans="1:2" ht="12.5" x14ac:dyDescent="0.25">
      <c r="A1170" t="str">
        <f ca="1">IFERROR(__xludf.DUMMYFUNCTION("""COMPUTED_VALUE"""),"Clethodim-Imin-Sulfoxid")</f>
        <v>Clethodim-Imin-Sulfoxid</v>
      </c>
      <c r="B1170" t="str">
        <f ca="1">IFERROR(__xludf.DUMMYFUNCTION("""COMPUTED_VALUE"""),"RF-0096-006-PPP")</f>
        <v>RF-0096-006-PPP</v>
      </c>
    </row>
    <row r="1171" spans="1:2" ht="12.5" x14ac:dyDescent="0.25">
      <c r="A1171" t="str">
        <f ca="1">IFERROR(__xludf.DUMMYFUNCTION("""COMPUTED_VALUE"""),"Clethodim-Sulfon")</f>
        <v>Clethodim-Sulfon</v>
      </c>
      <c r="B1171" t="str">
        <f ca="1">IFERROR(__xludf.DUMMYFUNCTION("""COMPUTED_VALUE"""),"RF-0096-002-PPP")</f>
        <v>RF-0096-002-PPP</v>
      </c>
    </row>
    <row r="1172" spans="1:2" ht="12.5" x14ac:dyDescent="0.25">
      <c r="A1172" t="str">
        <f ca="1">IFERROR(__xludf.DUMMYFUNCTION("""COMPUTED_VALUE"""),"Clethodim-Sulfoxid")</f>
        <v>Clethodim-Sulfoxid</v>
      </c>
      <c r="B1172" t="str">
        <f ca="1">IFERROR(__xludf.DUMMYFUNCTION("""COMPUTED_VALUE"""),"RF-0096-004-PPP")</f>
        <v>RF-0096-004-PPP</v>
      </c>
    </row>
    <row r="1173" spans="1:2" ht="12.5" x14ac:dyDescent="0.25">
      <c r="A1173" t="str">
        <f ca="1">IFERROR(__xludf.DUMMYFUNCTION("""COMPUTED_VALUE"""),"Clethodim, 5-Hydroxy-Sulfon")</f>
        <v>Clethodim, 5-Hydroxy-Sulfon</v>
      </c>
      <c r="B1173" t="str">
        <f ca="1">IFERROR(__xludf.DUMMYFUNCTION("""COMPUTED_VALUE"""),"RF-0096-009-PPP")</f>
        <v>RF-0096-009-PPP</v>
      </c>
    </row>
    <row r="1174" spans="1:2" ht="12.5" x14ac:dyDescent="0.25">
      <c r="A1174" t="str">
        <f ca="1">IFERROR(__xludf.DUMMYFUNCTION("""COMPUTED_VALUE"""),"Climbazole")</f>
        <v>Climbazole</v>
      </c>
      <c r="B1174" t="str">
        <f ca="1">IFERROR(__xludf.DUMMYFUNCTION("""COMPUTED_VALUE"""),"RF-00000013-PAR")</f>
        <v>RF-00000013-PAR</v>
      </c>
    </row>
    <row r="1175" spans="1:2" ht="12.5" x14ac:dyDescent="0.25">
      <c r="A1175" t="str">
        <f ca="1">IFERROR(__xludf.DUMMYFUNCTION("""COMPUTED_VALUE"""),"Clinafloxacin")</f>
        <v>Clinafloxacin</v>
      </c>
      <c r="B1175" t="str">
        <f ca="1">IFERROR(__xludf.DUMMYFUNCTION("""COMPUTED_VALUE"""),"RF-00000671-VET")</f>
        <v>RF-00000671-VET</v>
      </c>
    </row>
    <row r="1176" spans="1:2" ht="12.5" x14ac:dyDescent="0.25">
      <c r="A1176" t="str">
        <f ca="1">IFERROR(__xludf.DUMMYFUNCTION("""COMPUTED_VALUE"""),"Clindamycin")</f>
        <v>Clindamycin</v>
      </c>
      <c r="B1176" t="str">
        <f ca="1">IFERROR(__xludf.DUMMYFUNCTION("""COMPUTED_VALUE"""),"RF-00000545-VET")</f>
        <v>RF-00000545-VET</v>
      </c>
    </row>
    <row r="1177" spans="1:2" ht="12.5" x14ac:dyDescent="0.25">
      <c r="A1177" t="str">
        <f ca="1">IFERROR(__xludf.DUMMYFUNCTION("""COMPUTED_VALUE"""),"Clivorine")</f>
        <v>Clivorine</v>
      </c>
      <c r="B1177" t="str">
        <f ca="1">IFERROR(__xludf.DUMMYFUNCTION("""COMPUTED_VALUE"""),"RF-00000272-TOX")</f>
        <v>RF-00000272-TOX</v>
      </c>
    </row>
    <row r="1178" spans="1:2" ht="12.5" x14ac:dyDescent="0.25">
      <c r="A1178" t="str">
        <f ca="1">IFERROR(__xludf.DUMMYFUNCTION("""COMPUTED_VALUE"""),"Clobazam")</f>
        <v>Clobazam</v>
      </c>
      <c r="B1178" t="str">
        <f ca="1">IFERROR(__xludf.DUMMYFUNCTION("""COMPUTED_VALUE"""),"RF-00000175-VET")</f>
        <v>RF-00000175-VET</v>
      </c>
    </row>
    <row r="1179" spans="1:2" ht="12.5" x14ac:dyDescent="0.25">
      <c r="A1179" t="str">
        <f ca="1">IFERROR(__xludf.DUMMYFUNCTION("""COMPUTED_VALUE"""),"Clobetasol")</f>
        <v>Clobetasol</v>
      </c>
      <c r="B1179" t="str">
        <f ca="1">IFERROR(__xludf.DUMMYFUNCTION("""COMPUTED_VALUE"""),"RF-00000413-VET")</f>
        <v>RF-00000413-VET</v>
      </c>
    </row>
    <row r="1180" spans="1:2" ht="12.5" x14ac:dyDescent="0.25">
      <c r="A1180" t="str">
        <f ca="1">IFERROR(__xludf.DUMMYFUNCTION("""COMPUTED_VALUE"""),"Clobetasol-Propionate")</f>
        <v>Clobetasol-Propionate</v>
      </c>
      <c r="B1180" t="str">
        <f ca="1">IFERROR(__xludf.DUMMYFUNCTION("""COMPUTED_VALUE"""),"RF-00000444-VET")</f>
        <v>RF-00000444-VET</v>
      </c>
    </row>
    <row r="1181" spans="1:2" ht="12.5" x14ac:dyDescent="0.25">
      <c r="A1181" t="str">
        <f ca="1">IFERROR(__xludf.DUMMYFUNCTION("""COMPUTED_VALUE"""),"Clodinafop and its S-isomers, expressed as clodinafop")</f>
        <v>Clodinafop and its S-isomers, expressed as clodinafop</v>
      </c>
      <c r="B1181" t="str">
        <f ca="1">IFERROR(__xludf.DUMMYFUNCTION("""COMPUTED_VALUE"""),"RF-0097-001-PPP")</f>
        <v>RF-0097-001-PPP</v>
      </c>
    </row>
    <row r="1182" spans="1:2" ht="12.5" x14ac:dyDescent="0.25">
      <c r="A1182" t="str">
        <f ca="1">IFERROR(__xludf.DUMMYFUNCTION("""COMPUTED_VALUE"""),"Clodinafop-Propargyl")</f>
        <v>Clodinafop-Propargyl</v>
      </c>
      <c r="B1182" t="str">
        <f ca="1">IFERROR(__xludf.DUMMYFUNCTION("""COMPUTED_VALUE"""),"RF-0565-001-PPP")</f>
        <v>RF-0565-001-PPP</v>
      </c>
    </row>
    <row r="1183" spans="1:2" ht="12.5" x14ac:dyDescent="0.25">
      <c r="A1183" t="str">
        <f ca="1">IFERROR(__xludf.DUMMYFUNCTION("""COMPUTED_VALUE"""),"Cloethocarb")</f>
        <v>Cloethocarb</v>
      </c>
      <c r="B1183" t="str">
        <f ca="1">IFERROR(__xludf.DUMMYFUNCTION("""COMPUTED_VALUE"""),"RF-1015-001-PPP")</f>
        <v>RF-1015-001-PPP</v>
      </c>
    </row>
    <row r="1184" spans="1:2" ht="12.5" x14ac:dyDescent="0.25">
      <c r="A1184" t="str">
        <f ca="1">IFERROR(__xludf.DUMMYFUNCTION("""COMPUTED_VALUE"""),"Clofencet")</f>
        <v>Clofencet</v>
      </c>
      <c r="B1184" t="str">
        <f ca="1">IFERROR(__xludf.DUMMYFUNCTION("""COMPUTED_VALUE"""),"RF-0566-001-PPP")</f>
        <v>RF-0566-001-PPP</v>
      </c>
    </row>
    <row r="1185" spans="1:2" ht="12.5" x14ac:dyDescent="0.25">
      <c r="A1185" t="str">
        <f ca="1">IFERROR(__xludf.DUMMYFUNCTION("""COMPUTED_VALUE"""),"Clofentezine")</f>
        <v>Clofentezine</v>
      </c>
      <c r="B1185" t="str">
        <f ca="1">IFERROR(__xludf.DUMMYFUNCTION("""COMPUTED_VALUE"""),"RF-0098-001-PPP")</f>
        <v>RF-0098-001-PPP</v>
      </c>
    </row>
    <row r="1186" spans="1:2" ht="12.5" x14ac:dyDescent="0.25">
      <c r="A1186" t="str">
        <f ca="1">IFERROR(__xludf.DUMMYFUNCTION("""COMPUTED_VALUE"""),"Clofentezine (sum of all compounds containing the 2-chlorobenzoyl moiety expressed as clofentezine)")</f>
        <v>Clofentezine (sum of all compounds containing the 2-chlorobenzoyl moiety expressed as clofentezine)</v>
      </c>
      <c r="B1186" t="str">
        <f ca="1">IFERROR(__xludf.DUMMYFUNCTION("""COMPUTED_VALUE"""),"RF-0098-002-PPP")</f>
        <v>RF-0098-002-PPP</v>
      </c>
    </row>
    <row r="1187" spans="1:2" ht="12.5" x14ac:dyDescent="0.25">
      <c r="A1187" t="str">
        <f ca="1">IFERROR(__xludf.DUMMYFUNCTION("""COMPUTED_VALUE"""),"Clomazone")</f>
        <v>Clomazone</v>
      </c>
      <c r="B1187" t="str">
        <f ca="1">IFERROR(__xludf.DUMMYFUNCTION("""COMPUTED_VALUE"""),"RF-0099-001-PPP")</f>
        <v>RF-0099-001-PPP</v>
      </c>
    </row>
    <row r="1188" spans="1:2" ht="12.5" x14ac:dyDescent="0.25">
      <c r="A1188" t="str">
        <f ca="1">IFERROR(__xludf.DUMMYFUNCTION("""COMPUTED_VALUE"""),"Clopyralid")</f>
        <v>Clopyralid</v>
      </c>
      <c r="B1188" t="str">
        <f ca="1">IFERROR(__xludf.DUMMYFUNCTION("""COMPUTED_VALUE"""),"RF-0100-001-PPP")</f>
        <v>RF-0100-001-PPP</v>
      </c>
    </row>
    <row r="1189" spans="1:2" ht="12.5" x14ac:dyDescent="0.25">
      <c r="A1189" t="str">
        <f ca="1">IFERROR(__xludf.DUMMYFUNCTION("""COMPUTED_VALUE"""),"Cloquintocet")</f>
        <v>Cloquintocet</v>
      </c>
      <c r="B1189" t="str">
        <f ca="1">IFERROR(__xludf.DUMMYFUNCTION("""COMPUTED_VALUE"""),"RF-0567-001-PPP")</f>
        <v>RF-0567-001-PPP</v>
      </c>
    </row>
    <row r="1190" spans="1:2" ht="12.5" x14ac:dyDescent="0.25">
      <c r="A1190" t="str">
        <f ca="1">IFERROR(__xludf.DUMMYFUNCTION("""COMPUTED_VALUE"""),"Cloquintocet-Mexyl")</f>
        <v>Cloquintocet-Mexyl</v>
      </c>
      <c r="B1190" t="str">
        <f ca="1">IFERROR(__xludf.DUMMYFUNCTION("""COMPUTED_VALUE"""),"RF-0568-001-PPP")</f>
        <v>RF-0568-001-PPP</v>
      </c>
    </row>
    <row r="1191" spans="1:2" ht="12.5" x14ac:dyDescent="0.25">
      <c r="A1191" t="str">
        <f ca="1">IFERROR(__xludf.DUMMYFUNCTION("""COMPUTED_VALUE"""),"Cloransulam-Methyl")</f>
        <v>Cloransulam-Methyl</v>
      </c>
      <c r="B1191" t="str">
        <f ca="1">IFERROR(__xludf.DUMMYFUNCTION("""COMPUTED_VALUE"""),"RF-0569-001-PPP")</f>
        <v>RF-0569-001-PPP</v>
      </c>
    </row>
    <row r="1192" spans="1:2" ht="12.5" x14ac:dyDescent="0.25">
      <c r="A1192" t="str">
        <f ca="1">IFERROR(__xludf.DUMMYFUNCTION("""COMPUTED_VALUE"""),"Clorsulon")</f>
        <v>Clorsulon</v>
      </c>
      <c r="B1192" t="str">
        <f ca="1">IFERROR(__xludf.DUMMYFUNCTION("""COMPUTED_VALUE"""),"RF-00000580-VET")</f>
        <v>RF-00000580-VET</v>
      </c>
    </row>
    <row r="1193" spans="1:2" ht="12.5" x14ac:dyDescent="0.25">
      <c r="A1193" t="str">
        <f ca="1">IFERROR(__xludf.DUMMYFUNCTION("""COMPUTED_VALUE"""),"Closantel")</f>
        <v>Closantel</v>
      </c>
      <c r="B1193" t="str">
        <f ca="1">IFERROR(__xludf.DUMMYFUNCTION("""COMPUTED_VALUE"""),"RF-00000039-VET")</f>
        <v>RF-00000039-VET</v>
      </c>
    </row>
    <row r="1194" spans="1:2" ht="12.5" x14ac:dyDescent="0.25">
      <c r="A1194" t="str">
        <f ca="1">IFERROR(__xludf.DUMMYFUNCTION("""COMPUTED_VALUE"""),"Clostebol")</f>
        <v>Clostebol</v>
      </c>
      <c r="B1194" t="str">
        <f ca="1">IFERROR(__xludf.DUMMYFUNCTION("""COMPUTED_VALUE"""),"RF-00000446-VET")</f>
        <v>RF-00000446-VET</v>
      </c>
    </row>
    <row r="1195" spans="1:2" ht="12.5" x14ac:dyDescent="0.25">
      <c r="A1195" t="str">
        <f ca="1">IFERROR(__xludf.DUMMYFUNCTION("""COMPUTED_VALUE"""),"Clostebol acetate")</f>
        <v>Clostebol acetate</v>
      </c>
      <c r="B1195" t="str">
        <f ca="1">IFERROR(__xludf.DUMMYFUNCTION("""COMPUTED_VALUE"""),"RF-00000435-VET")</f>
        <v>RF-00000435-VET</v>
      </c>
    </row>
    <row r="1196" spans="1:2" ht="12.5" x14ac:dyDescent="0.25">
      <c r="A1196" t="str">
        <f ca="1">IFERROR(__xludf.DUMMYFUNCTION("""COMPUTED_VALUE"""),"Clostridium")</f>
        <v>Clostridium</v>
      </c>
      <c r="B1196" t="str">
        <f ca="1">IFERROR(__xludf.DUMMYFUNCTION("""COMPUTED_VALUE"""),"RF-00000080-MCG")</f>
        <v>RF-00000080-MCG</v>
      </c>
    </row>
    <row r="1197" spans="1:2" ht="12.5" x14ac:dyDescent="0.25">
      <c r="A1197" t="str">
        <f ca="1">IFERROR(__xludf.DUMMYFUNCTION("""COMPUTED_VALUE"""),"Clostridium - C. botulinum")</f>
        <v>Clostridium - C. botulinum</v>
      </c>
      <c r="B1197" t="str">
        <f ca="1">IFERROR(__xludf.DUMMYFUNCTION("""COMPUTED_VALUE"""),"RF-00003850-MCG")</f>
        <v>RF-00003850-MCG</v>
      </c>
    </row>
    <row r="1198" spans="1:2" ht="12.5" x14ac:dyDescent="0.25">
      <c r="A1198" t="str">
        <f ca="1">IFERROR(__xludf.DUMMYFUNCTION("""COMPUTED_VALUE"""),"Clostridium - C. difficile")</f>
        <v>Clostridium - C. difficile</v>
      </c>
      <c r="B1198" t="str">
        <f ca="1">IFERROR(__xludf.DUMMYFUNCTION("""COMPUTED_VALUE"""),"RF-00003851-MCG")</f>
        <v>RF-00003851-MCG</v>
      </c>
    </row>
    <row r="1199" spans="1:2" ht="12.5" x14ac:dyDescent="0.25">
      <c r="A1199" t="str">
        <f ca="1">IFERROR(__xludf.DUMMYFUNCTION("""COMPUTED_VALUE"""),"Clostridium botulinum toxins")</f>
        <v>Clostridium botulinum toxins</v>
      </c>
      <c r="B1199" t="str">
        <f ca="1">IFERROR(__xludf.DUMMYFUNCTION("""COMPUTED_VALUE"""),"RF-00000004-TOX")</f>
        <v>RF-00000004-TOX</v>
      </c>
    </row>
    <row r="1200" spans="1:2" ht="12.5" x14ac:dyDescent="0.25">
      <c r="A1200" t="str">
        <f ca="1">IFERROR(__xludf.DUMMYFUNCTION("""COMPUTED_VALUE"""),"Clostridium perfringens")</f>
        <v>Clostridium perfringens</v>
      </c>
      <c r="B1200" t="str">
        <f ca="1">IFERROR(__xludf.DUMMYFUNCTION("""COMPUTED_VALUE"""),"RF-00000082-MCG")</f>
        <v>RF-00000082-MCG</v>
      </c>
    </row>
    <row r="1201" spans="1:2" ht="12.5" x14ac:dyDescent="0.25">
      <c r="A1201" t="str">
        <f ca="1">IFERROR(__xludf.DUMMYFUNCTION("""COMPUTED_VALUE"""),"Clostridium spp., unspecified")</f>
        <v>Clostridium spp., unspecified</v>
      </c>
      <c r="B1201" t="str">
        <f ca="1">IFERROR(__xludf.DUMMYFUNCTION("""COMPUTED_VALUE"""),"RF-00000081-MCG")</f>
        <v>RF-00000081-MCG</v>
      </c>
    </row>
    <row r="1202" spans="1:2" ht="12.5" x14ac:dyDescent="0.25">
      <c r="A1202" t="str">
        <f ca="1">IFERROR(__xludf.DUMMYFUNCTION("""COMPUTED_VALUE"""),"Clothianidin")</f>
        <v>Clothianidin</v>
      </c>
      <c r="B1202" t="str">
        <f ca="1">IFERROR(__xludf.DUMMYFUNCTION("""COMPUTED_VALUE"""),"RF-0101-001-PPP")</f>
        <v>RF-0101-001-PPP</v>
      </c>
    </row>
    <row r="1203" spans="1:2" ht="12.5" x14ac:dyDescent="0.25">
      <c r="A1203" t="str">
        <f ca="1">IFERROR(__xludf.DUMMYFUNCTION("""COMPUTED_VALUE"""),"Cloxacillin")</f>
        <v>Cloxacillin</v>
      </c>
      <c r="B1203" t="str">
        <f ca="1">IFERROR(__xludf.DUMMYFUNCTION("""COMPUTED_VALUE"""),"RF-00000566-VET")</f>
        <v>RF-00000566-VET</v>
      </c>
    </row>
    <row r="1204" spans="1:2" ht="12.5" x14ac:dyDescent="0.25">
      <c r="A1204" t="str">
        <f ca="1">IFERROR(__xludf.DUMMYFUNCTION("""COMPUTED_VALUE"""),"CMY")</f>
        <v>CMY</v>
      </c>
      <c r="B1204" t="str">
        <f ca="1">IFERROR(__xludf.DUMMYFUNCTION("""COMPUTED_VALUE"""),"RF-00000768-PAR")</f>
        <v>RF-00000768-PAR</v>
      </c>
    </row>
    <row r="1205" spans="1:2" ht="12.5" x14ac:dyDescent="0.25">
      <c r="A1205" t="str">
        <f ca="1">IFERROR(__xludf.DUMMYFUNCTION("""COMPUTED_VALUE"""),"CMY-1")</f>
        <v>CMY-1</v>
      </c>
      <c r="B1205" t="str">
        <f ca="1">IFERROR(__xludf.DUMMYFUNCTION("""COMPUTED_VALUE"""),"RF-00000769-PAR")</f>
        <v>RF-00000769-PAR</v>
      </c>
    </row>
    <row r="1206" spans="1:2" ht="12.5" x14ac:dyDescent="0.25">
      <c r="A1206" t="str">
        <f ca="1">IFERROR(__xludf.DUMMYFUNCTION("""COMPUTED_VALUE"""),"CMY-10")</f>
        <v>CMY-10</v>
      </c>
      <c r="B1206" t="str">
        <f ca="1">IFERROR(__xludf.DUMMYFUNCTION("""COMPUTED_VALUE"""),"RF-00000778-PAR")</f>
        <v>RF-00000778-PAR</v>
      </c>
    </row>
    <row r="1207" spans="1:2" ht="12.5" x14ac:dyDescent="0.25">
      <c r="A1207" t="str">
        <f ca="1">IFERROR(__xludf.DUMMYFUNCTION("""COMPUTED_VALUE"""),"CMY-11")</f>
        <v>CMY-11</v>
      </c>
      <c r="B1207" t="str">
        <f ca="1">IFERROR(__xludf.DUMMYFUNCTION("""COMPUTED_VALUE"""),"RF-00000779-PAR")</f>
        <v>RF-00000779-PAR</v>
      </c>
    </row>
    <row r="1208" spans="1:2" ht="12.5" x14ac:dyDescent="0.25">
      <c r="A1208" t="str">
        <f ca="1">IFERROR(__xludf.DUMMYFUNCTION("""COMPUTED_VALUE"""),"CMY-12")</f>
        <v>CMY-12</v>
      </c>
      <c r="B1208" t="str">
        <f ca="1">IFERROR(__xludf.DUMMYFUNCTION("""COMPUTED_VALUE"""),"RF-00000780-PAR")</f>
        <v>RF-00000780-PAR</v>
      </c>
    </row>
    <row r="1209" spans="1:2" ht="12.5" x14ac:dyDescent="0.25">
      <c r="A1209" t="str">
        <f ca="1">IFERROR(__xludf.DUMMYFUNCTION("""COMPUTED_VALUE"""),"CMY-13")</f>
        <v>CMY-13</v>
      </c>
      <c r="B1209" t="str">
        <f ca="1">IFERROR(__xludf.DUMMYFUNCTION("""COMPUTED_VALUE"""),"RF-00000781-PAR")</f>
        <v>RF-00000781-PAR</v>
      </c>
    </row>
    <row r="1210" spans="1:2" ht="12.5" x14ac:dyDescent="0.25">
      <c r="A1210" t="str">
        <f ca="1">IFERROR(__xludf.DUMMYFUNCTION("""COMPUTED_VALUE"""),"CMY-14")</f>
        <v>CMY-14</v>
      </c>
      <c r="B1210" t="str">
        <f ca="1">IFERROR(__xludf.DUMMYFUNCTION("""COMPUTED_VALUE"""),"RF-00000782-PAR")</f>
        <v>RF-00000782-PAR</v>
      </c>
    </row>
    <row r="1211" spans="1:2" ht="12.5" x14ac:dyDescent="0.25">
      <c r="A1211" t="str">
        <f ca="1">IFERROR(__xludf.DUMMYFUNCTION("""COMPUTED_VALUE"""),"CMY-15")</f>
        <v>CMY-15</v>
      </c>
      <c r="B1211" t="str">
        <f ca="1">IFERROR(__xludf.DUMMYFUNCTION("""COMPUTED_VALUE"""),"RF-00000783-PAR")</f>
        <v>RF-00000783-PAR</v>
      </c>
    </row>
    <row r="1212" spans="1:2" ht="12.5" x14ac:dyDescent="0.25">
      <c r="A1212" t="str">
        <f ca="1">IFERROR(__xludf.DUMMYFUNCTION("""COMPUTED_VALUE"""),"CMY-16")</f>
        <v>CMY-16</v>
      </c>
      <c r="B1212" t="str">
        <f ca="1">IFERROR(__xludf.DUMMYFUNCTION("""COMPUTED_VALUE"""),"RF-00000784-PAR")</f>
        <v>RF-00000784-PAR</v>
      </c>
    </row>
    <row r="1213" spans="1:2" ht="12.5" x14ac:dyDescent="0.25">
      <c r="A1213" t="str">
        <f ca="1">IFERROR(__xludf.DUMMYFUNCTION("""COMPUTED_VALUE"""),"CMY-17")</f>
        <v>CMY-17</v>
      </c>
      <c r="B1213" t="str">
        <f ca="1">IFERROR(__xludf.DUMMYFUNCTION("""COMPUTED_VALUE"""),"RF-00000785-PAR")</f>
        <v>RF-00000785-PAR</v>
      </c>
    </row>
    <row r="1214" spans="1:2" ht="12.5" x14ac:dyDescent="0.25">
      <c r="A1214" t="str">
        <f ca="1">IFERROR(__xludf.DUMMYFUNCTION("""COMPUTED_VALUE"""),"CMY-18")</f>
        <v>CMY-18</v>
      </c>
      <c r="B1214" t="str">
        <f ca="1">IFERROR(__xludf.DUMMYFUNCTION("""COMPUTED_VALUE"""),"RF-00000786-PAR")</f>
        <v>RF-00000786-PAR</v>
      </c>
    </row>
    <row r="1215" spans="1:2" ht="12.5" x14ac:dyDescent="0.25">
      <c r="A1215" t="str">
        <f ca="1">IFERROR(__xludf.DUMMYFUNCTION("""COMPUTED_VALUE"""),"CMY-19")</f>
        <v>CMY-19</v>
      </c>
      <c r="B1215" t="str">
        <f ca="1">IFERROR(__xludf.DUMMYFUNCTION("""COMPUTED_VALUE"""),"RF-00000787-PAR")</f>
        <v>RF-00000787-PAR</v>
      </c>
    </row>
    <row r="1216" spans="1:2" ht="12.5" x14ac:dyDescent="0.25">
      <c r="A1216" t="str">
        <f ca="1">IFERROR(__xludf.DUMMYFUNCTION("""COMPUTED_VALUE"""),"CMY-2")</f>
        <v>CMY-2</v>
      </c>
      <c r="B1216" t="str">
        <f ca="1">IFERROR(__xludf.DUMMYFUNCTION("""COMPUTED_VALUE"""),"RF-00000770-PAR")</f>
        <v>RF-00000770-PAR</v>
      </c>
    </row>
    <row r="1217" spans="1:2" ht="12.5" x14ac:dyDescent="0.25">
      <c r="A1217" t="str">
        <f ca="1">IFERROR(__xludf.DUMMYFUNCTION("""COMPUTED_VALUE"""),"CMY-20")</f>
        <v>CMY-20</v>
      </c>
      <c r="B1217" t="str">
        <f ca="1">IFERROR(__xludf.DUMMYFUNCTION("""COMPUTED_VALUE"""),"RF-00000788-PAR")</f>
        <v>RF-00000788-PAR</v>
      </c>
    </row>
    <row r="1218" spans="1:2" ht="12.5" x14ac:dyDescent="0.25">
      <c r="A1218" t="str">
        <f ca="1">IFERROR(__xludf.DUMMYFUNCTION("""COMPUTED_VALUE"""),"CMY-21")</f>
        <v>CMY-21</v>
      </c>
      <c r="B1218" t="str">
        <f ca="1">IFERROR(__xludf.DUMMYFUNCTION("""COMPUTED_VALUE"""),"RF-00000789-PAR")</f>
        <v>RF-00000789-PAR</v>
      </c>
    </row>
    <row r="1219" spans="1:2" ht="12.5" x14ac:dyDescent="0.25">
      <c r="A1219" t="str">
        <f ca="1">IFERROR(__xludf.DUMMYFUNCTION("""COMPUTED_VALUE"""),"CMY-22")</f>
        <v>CMY-22</v>
      </c>
      <c r="B1219" t="str">
        <f ca="1">IFERROR(__xludf.DUMMYFUNCTION("""COMPUTED_VALUE"""),"RF-00000790-PAR")</f>
        <v>RF-00000790-PAR</v>
      </c>
    </row>
    <row r="1220" spans="1:2" ht="12.5" x14ac:dyDescent="0.25">
      <c r="A1220" t="str">
        <f ca="1">IFERROR(__xludf.DUMMYFUNCTION("""COMPUTED_VALUE"""),"CMY-23")</f>
        <v>CMY-23</v>
      </c>
      <c r="B1220" t="str">
        <f ca="1">IFERROR(__xludf.DUMMYFUNCTION("""COMPUTED_VALUE"""),"RF-00000791-PAR")</f>
        <v>RF-00000791-PAR</v>
      </c>
    </row>
    <row r="1221" spans="1:2" ht="12.5" x14ac:dyDescent="0.25">
      <c r="A1221" t="str">
        <f ca="1">IFERROR(__xludf.DUMMYFUNCTION("""COMPUTED_VALUE"""),"CMY-24")</f>
        <v>CMY-24</v>
      </c>
      <c r="B1221" t="str">
        <f ca="1">IFERROR(__xludf.DUMMYFUNCTION("""COMPUTED_VALUE"""),"RF-00000792-PAR")</f>
        <v>RF-00000792-PAR</v>
      </c>
    </row>
    <row r="1222" spans="1:2" ht="12.5" x14ac:dyDescent="0.25">
      <c r="A1222" t="str">
        <f ca="1">IFERROR(__xludf.DUMMYFUNCTION("""COMPUTED_VALUE"""),"CMY-25")</f>
        <v>CMY-25</v>
      </c>
      <c r="B1222" t="str">
        <f ca="1">IFERROR(__xludf.DUMMYFUNCTION("""COMPUTED_VALUE"""),"RF-00000793-PAR")</f>
        <v>RF-00000793-PAR</v>
      </c>
    </row>
    <row r="1223" spans="1:2" ht="12.5" x14ac:dyDescent="0.25">
      <c r="A1223" t="str">
        <f ca="1">IFERROR(__xludf.DUMMYFUNCTION("""COMPUTED_VALUE"""),"CMY-26")</f>
        <v>CMY-26</v>
      </c>
      <c r="B1223" t="str">
        <f ca="1">IFERROR(__xludf.DUMMYFUNCTION("""COMPUTED_VALUE"""),"RF-00000794-PAR")</f>
        <v>RF-00000794-PAR</v>
      </c>
    </row>
    <row r="1224" spans="1:2" ht="12.5" x14ac:dyDescent="0.25">
      <c r="A1224" t="str">
        <f ca="1">IFERROR(__xludf.DUMMYFUNCTION("""COMPUTED_VALUE"""),"CMY-27")</f>
        <v>CMY-27</v>
      </c>
      <c r="B1224" t="str">
        <f ca="1">IFERROR(__xludf.DUMMYFUNCTION("""COMPUTED_VALUE"""),"RF-00000795-PAR")</f>
        <v>RF-00000795-PAR</v>
      </c>
    </row>
    <row r="1225" spans="1:2" ht="12.5" x14ac:dyDescent="0.25">
      <c r="A1225" t="str">
        <f ca="1">IFERROR(__xludf.DUMMYFUNCTION("""COMPUTED_VALUE"""),"CMY-28")</f>
        <v>CMY-28</v>
      </c>
      <c r="B1225" t="str">
        <f ca="1">IFERROR(__xludf.DUMMYFUNCTION("""COMPUTED_VALUE"""),"RF-00000796-PAR")</f>
        <v>RF-00000796-PAR</v>
      </c>
    </row>
    <row r="1226" spans="1:2" ht="12.5" x14ac:dyDescent="0.25">
      <c r="A1226" t="str">
        <f ca="1">IFERROR(__xludf.DUMMYFUNCTION("""COMPUTED_VALUE"""),"CMY-29")</f>
        <v>CMY-29</v>
      </c>
      <c r="B1226" t="str">
        <f ca="1">IFERROR(__xludf.DUMMYFUNCTION("""COMPUTED_VALUE"""),"RF-00000797-PAR")</f>
        <v>RF-00000797-PAR</v>
      </c>
    </row>
    <row r="1227" spans="1:2" ht="12.5" x14ac:dyDescent="0.25">
      <c r="A1227" t="str">
        <f ca="1">IFERROR(__xludf.DUMMYFUNCTION("""COMPUTED_VALUE"""),"CMY-3")</f>
        <v>CMY-3</v>
      </c>
      <c r="B1227" t="str">
        <f ca="1">IFERROR(__xludf.DUMMYFUNCTION("""COMPUTED_VALUE"""),"RF-00000771-PAR")</f>
        <v>RF-00000771-PAR</v>
      </c>
    </row>
    <row r="1228" spans="1:2" ht="12.5" x14ac:dyDescent="0.25">
      <c r="A1228" t="str">
        <f ca="1">IFERROR(__xludf.DUMMYFUNCTION("""COMPUTED_VALUE"""),"CMY-30")</f>
        <v>CMY-30</v>
      </c>
      <c r="B1228" t="str">
        <f ca="1">IFERROR(__xludf.DUMMYFUNCTION("""COMPUTED_VALUE"""),"RF-00000798-PAR")</f>
        <v>RF-00000798-PAR</v>
      </c>
    </row>
    <row r="1229" spans="1:2" ht="12.5" x14ac:dyDescent="0.25">
      <c r="A1229" t="str">
        <f ca="1">IFERROR(__xludf.DUMMYFUNCTION("""COMPUTED_VALUE"""),"CMY-31")</f>
        <v>CMY-31</v>
      </c>
      <c r="B1229" t="str">
        <f ca="1">IFERROR(__xludf.DUMMYFUNCTION("""COMPUTED_VALUE"""),"RF-00000799-PAR")</f>
        <v>RF-00000799-PAR</v>
      </c>
    </row>
    <row r="1230" spans="1:2" ht="12.5" x14ac:dyDescent="0.25">
      <c r="A1230" t="str">
        <f ca="1">IFERROR(__xludf.DUMMYFUNCTION("""COMPUTED_VALUE"""),"CMY-32")</f>
        <v>CMY-32</v>
      </c>
      <c r="B1230" t="str">
        <f ca="1">IFERROR(__xludf.DUMMYFUNCTION("""COMPUTED_VALUE"""),"RF-00000800-PAR")</f>
        <v>RF-00000800-PAR</v>
      </c>
    </row>
    <row r="1231" spans="1:2" ht="12.5" x14ac:dyDescent="0.25">
      <c r="A1231" t="str">
        <f ca="1">IFERROR(__xludf.DUMMYFUNCTION("""COMPUTED_VALUE"""),"CMY-33")</f>
        <v>CMY-33</v>
      </c>
      <c r="B1231" t="str">
        <f ca="1">IFERROR(__xludf.DUMMYFUNCTION("""COMPUTED_VALUE"""),"RF-00000801-PAR")</f>
        <v>RF-00000801-PAR</v>
      </c>
    </row>
    <row r="1232" spans="1:2" ht="12.5" x14ac:dyDescent="0.25">
      <c r="A1232" t="str">
        <f ca="1">IFERROR(__xludf.DUMMYFUNCTION("""COMPUTED_VALUE"""),"CMY-34")</f>
        <v>CMY-34</v>
      </c>
      <c r="B1232" t="str">
        <f ca="1">IFERROR(__xludf.DUMMYFUNCTION("""COMPUTED_VALUE"""),"RF-00000802-PAR")</f>
        <v>RF-00000802-PAR</v>
      </c>
    </row>
    <row r="1233" spans="1:2" ht="12.5" x14ac:dyDescent="0.25">
      <c r="A1233" t="str">
        <f ca="1">IFERROR(__xludf.DUMMYFUNCTION("""COMPUTED_VALUE"""),"CMY-35")</f>
        <v>CMY-35</v>
      </c>
      <c r="B1233" t="str">
        <f ca="1">IFERROR(__xludf.DUMMYFUNCTION("""COMPUTED_VALUE"""),"RF-00000803-PAR")</f>
        <v>RF-00000803-PAR</v>
      </c>
    </row>
    <row r="1234" spans="1:2" ht="12.5" x14ac:dyDescent="0.25">
      <c r="A1234" t="str">
        <f ca="1">IFERROR(__xludf.DUMMYFUNCTION("""COMPUTED_VALUE"""),"CMY-36")</f>
        <v>CMY-36</v>
      </c>
      <c r="B1234" t="str">
        <f ca="1">IFERROR(__xludf.DUMMYFUNCTION("""COMPUTED_VALUE"""),"RF-00000804-PAR")</f>
        <v>RF-00000804-PAR</v>
      </c>
    </row>
    <row r="1235" spans="1:2" ht="12.5" x14ac:dyDescent="0.25">
      <c r="A1235" t="str">
        <f ca="1">IFERROR(__xludf.DUMMYFUNCTION("""COMPUTED_VALUE"""),"CMY-37")</f>
        <v>CMY-37</v>
      </c>
      <c r="B1235" t="str">
        <f ca="1">IFERROR(__xludf.DUMMYFUNCTION("""COMPUTED_VALUE"""),"RF-00000805-PAR")</f>
        <v>RF-00000805-PAR</v>
      </c>
    </row>
    <row r="1236" spans="1:2" ht="12.5" x14ac:dyDescent="0.25">
      <c r="A1236" t="str">
        <f ca="1">IFERROR(__xludf.DUMMYFUNCTION("""COMPUTED_VALUE"""),"CMY-38")</f>
        <v>CMY-38</v>
      </c>
      <c r="B1236" t="str">
        <f ca="1">IFERROR(__xludf.DUMMYFUNCTION("""COMPUTED_VALUE"""),"RF-00000806-PAR")</f>
        <v>RF-00000806-PAR</v>
      </c>
    </row>
    <row r="1237" spans="1:2" ht="12.5" x14ac:dyDescent="0.25">
      <c r="A1237" t="str">
        <f ca="1">IFERROR(__xludf.DUMMYFUNCTION("""COMPUTED_VALUE"""),"CMY-39")</f>
        <v>CMY-39</v>
      </c>
      <c r="B1237" t="str">
        <f ca="1">IFERROR(__xludf.DUMMYFUNCTION("""COMPUTED_VALUE"""),"RF-00000807-PAR")</f>
        <v>RF-00000807-PAR</v>
      </c>
    </row>
    <row r="1238" spans="1:2" ht="12.5" x14ac:dyDescent="0.25">
      <c r="A1238" t="str">
        <f ca="1">IFERROR(__xludf.DUMMYFUNCTION("""COMPUTED_VALUE"""),"CMY-4")</f>
        <v>CMY-4</v>
      </c>
      <c r="B1238" t="str">
        <f ca="1">IFERROR(__xludf.DUMMYFUNCTION("""COMPUTED_VALUE"""),"RF-00000772-PAR")</f>
        <v>RF-00000772-PAR</v>
      </c>
    </row>
    <row r="1239" spans="1:2" ht="12.5" x14ac:dyDescent="0.25">
      <c r="A1239" t="str">
        <f ca="1">IFERROR(__xludf.DUMMYFUNCTION("""COMPUTED_VALUE"""),"CMY-40")</f>
        <v>CMY-40</v>
      </c>
      <c r="B1239" t="str">
        <f ca="1">IFERROR(__xludf.DUMMYFUNCTION("""COMPUTED_VALUE"""),"RF-00000808-PAR")</f>
        <v>RF-00000808-PAR</v>
      </c>
    </row>
    <row r="1240" spans="1:2" ht="12.5" x14ac:dyDescent="0.25">
      <c r="A1240" t="str">
        <f ca="1">IFERROR(__xludf.DUMMYFUNCTION("""COMPUTED_VALUE"""),"CMY-41")</f>
        <v>CMY-41</v>
      </c>
      <c r="B1240" t="str">
        <f ca="1">IFERROR(__xludf.DUMMYFUNCTION("""COMPUTED_VALUE"""),"RF-00000809-PAR")</f>
        <v>RF-00000809-PAR</v>
      </c>
    </row>
    <row r="1241" spans="1:2" ht="12.5" x14ac:dyDescent="0.25">
      <c r="A1241" t="str">
        <f ca="1">IFERROR(__xludf.DUMMYFUNCTION("""COMPUTED_VALUE"""),"CMY-42")</f>
        <v>CMY-42</v>
      </c>
      <c r="B1241" t="str">
        <f ca="1">IFERROR(__xludf.DUMMYFUNCTION("""COMPUTED_VALUE"""),"RF-00000810-PAR")</f>
        <v>RF-00000810-PAR</v>
      </c>
    </row>
    <row r="1242" spans="1:2" ht="12.5" x14ac:dyDescent="0.25">
      <c r="A1242" t="str">
        <f ca="1">IFERROR(__xludf.DUMMYFUNCTION("""COMPUTED_VALUE"""),"CMY-43")</f>
        <v>CMY-43</v>
      </c>
      <c r="B1242" t="str">
        <f ca="1">IFERROR(__xludf.DUMMYFUNCTION("""COMPUTED_VALUE"""),"RF-00000811-PAR")</f>
        <v>RF-00000811-PAR</v>
      </c>
    </row>
    <row r="1243" spans="1:2" ht="12.5" x14ac:dyDescent="0.25">
      <c r="A1243" t="str">
        <f ca="1">IFERROR(__xludf.DUMMYFUNCTION("""COMPUTED_VALUE"""),"CMY-44")</f>
        <v>CMY-44</v>
      </c>
      <c r="B1243" t="str">
        <f ca="1">IFERROR(__xludf.DUMMYFUNCTION("""COMPUTED_VALUE"""),"RF-00000812-PAR")</f>
        <v>RF-00000812-PAR</v>
      </c>
    </row>
    <row r="1244" spans="1:2" ht="12.5" x14ac:dyDescent="0.25">
      <c r="A1244" t="str">
        <f ca="1">IFERROR(__xludf.DUMMYFUNCTION("""COMPUTED_VALUE"""),"CMY-45")</f>
        <v>CMY-45</v>
      </c>
      <c r="B1244" t="str">
        <f ca="1">IFERROR(__xludf.DUMMYFUNCTION("""COMPUTED_VALUE"""),"RF-00000813-PAR")</f>
        <v>RF-00000813-PAR</v>
      </c>
    </row>
    <row r="1245" spans="1:2" ht="12.5" x14ac:dyDescent="0.25">
      <c r="A1245" t="str">
        <f ca="1">IFERROR(__xludf.DUMMYFUNCTION("""COMPUTED_VALUE"""),"CMY-46")</f>
        <v>CMY-46</v>
      </c>
      <c r="B1245" t="str">
        <f ca="1">IFERROR(__xludf.DUMMYFUNCTION("""COMPUTED_VALUE"""),"RF-00000814-PAR")</f>
        <v>RF-00000814-PAR</v>
      </c>
    </row>
    <row r="1246" spans="1:2" ht="12.5" x14ac:dyDescent="0.25">
      <c r="A1246" t="str">
        <f ca="1">IFERROR(__xludf.DUMMYFUNCTION("""COMPUTED_VALUE"""),"CMY-47")</f>
        <v>CMY-47</v>
      </c>
      <c r="B1246" t="str">
        <f ca="1">IFERROR(__xludf.DUMMYFUNCTION("""COMPUTED_VALUE"""),"RF-00000815-PAR")</f>
        <v>RF-00000815-PAR</v>
      </c>
    </row>
    <row r="1247" spans="1:2" ht="12.5" x14ac:dyDescent="0.25">
      <c r="A1247" t="str">
        <f ca="1">IFERROR(__xludf.DUMMYFUNCTION("""COMPUTED_VALUE"""),"CMY-48")</f>
        <v>CMY-48</v>
      </c>
      <c r="B1247" t="str">
        <f ca="1">IFERROR(__xludf.DUMMYFUNCTION("""COMPUTED_VALUE"""),"RF-00000816-PAR")</f>
        <v>RF-00000816-PAR</v>
      </c>
    </row>
    <row r="1248" spans="1:2" ht="12.5" x14ac:dyDescent="0.25">
      <c r="A1248" t="str">
        <f ca="1">IFERROR(__xludf.DUMMYFUNCTION("""COMPUTED_VALUE"""),"CMY-49")</f>
        <v>CMY-49</v>
      </c>
      <c r="B1248" t="str">
        <f ca="1">IFERROR(__xludf.DUMMYFUNCTION("""COMPUTED_VALUE"""),"RF-00000817-PAR")</f>
        <v>RF-00000817-PAR</v>
      </c>
    </row>
    <row r="1249" spans="1:2" ht="12.5" x14ac:dyDescent="0.25">
      <c r="A1249" t="str">
        <f ca="1">IFERROR(__xludf.DUMMYFUNCTION("""COMPUTED_VALUE"""),"CMY-5")</f>
        <v>CMY-5</v>
      </c>
      <c r="B1249" t="str">
        <f ca="1">IFERROR(__xludf.DUMMYFUNCTION("""COMPUTED_VALUE"""),"RF-00000773-PAR")</f>
        <v>RF-00000773-PAR</v>
      </c>
    </row>
    <row r="1250" spans="1:2" ht="12.5" x14ac:dyDescent="0.25">
      <c r="A1250" t="str">
        <f ca="1">IFERROR(__xludf.DUMMYFUNCTION("""COMPUTED_VALUE"""),"CMY-50")</f>
        <v>CMY-50</v>
      </c>
      <c r="B1250" t="str">
        <f ca="1">IFERROR(__xludf.DUMMYFUNCTION("""COMPUTED_VALUE"""),"RF-00000818-PAR")</f>
        <v>RF-00000818-PAR</v>
      </c>
    </row>
    <row r="1251" spans="1:2" ht="12.5" x14ac:dyDescent="0.25">
      <c r="A1251" t="str">
        <f ca="1">IFERROR(__xludf.DUMMYFUNCTION("""COMPUTED_VALUE"""),"CMY-51")</f>
        <v>CMY-51</v>
      </c>
      <c r="B1251" t="str">
        <f ca="1">IFERROR(__xludf.DUMMYFUNCTION("""COMPUTED_VALUE"""),"RF-00000819-PAR")</f>
        <v>RF-00000819-PAR</v>
      </c>
    </row>
    <row r="1252" spans="1:2" ht="12.5" x14ac:dyDescent="0.25">
      <c r="A1252" t="str">
        <f ca="1">IFERROR(__xludf.DUMMYFUNCTION("""COMPUTED_VALUE"""),"CMY-52")</f>
        <v>CMY-52</v>
      </c>
      <c r="B1252" t="str">
        <f ca="1">IFERROR(__xludf.DUMMYFUNCTION("""COMPUTED_VALUE"""),"RF-00000820-PAR")</f>
        <v>RF-00000820-PAR</v>
      </c>
    </row>
    <row r="1253" spans="1:2" ht="12.5" x14ac:dyDescent="0.25">
      <c r="A1253" t="str">
        <f ca="1">IFERROR(__xludf.DUMMYFUNCTION("""COMPUTED_VALUE"""),"CMY-53")</f>
        <v>CMY-53</v>
      </c>
      <c r="B1253" t="str">
        <f ca="1">IFERROR(__xludf.DUMMYFUNCTION("""COMPUTED_VALUE"""),"RF-00000821-PAR")</f>
        <v>RF-00000821-PAR</v>
      </c>
    </row>
    <row r="1254" spans="1:2" ht="12.5" x14ac:dyDescent="0.25">
      <c r="A1254" t="str">
        <f ca="1">IFERROR(__xludf.DUMMYFUNCTION("""COMPUTED_VALUE"""),"CMY-54")</f>
        <v>CMY-54</v>
      </c>
      <c r="B1254" t="str">
        <f ca="1">IFERROR(__xludf.DUMMYFUNCTION("""COMPUTED_VALUE"""),"RF-00000822-PAR")</f>
        <v>RF-00000822-PAR</v>
      </c>
    </row>
    <row r="1255" spans="1:2" ht="12.5" x14ac:dyDescent="0.25">
      <c r="A1255" t="str">
        <f ca="1">IFERROR(__xludf.DUMMYFUNCTION("""COMPUTED_VALUE"""),"CMY-55")</f>
        <v>CMY-55</v>
      </c>
      <c r="B1255" t="str">
        <f ca="1">IFERROR(__xludf.DUMMYFUNCTION("""COMPUTED_VALUE"""),"RF-00000823-PAR")</f>
        <v>RF-00000823-PAR</v>
      </c>
    </row>
    <row r="1256" spans="1:2" ht="12.5" x14ac:dyDescent="0.25">
      <c r="A1256" t="str">
        <f ca="1">IFERROR(__xludf.DUMMYFUNCTION("""COMPUTED_VALUE"""),"CMY-56")</f>
        <v>CMY-56</v>
      </c>
      <c r="B1256" t="str">
        <f ca="1">IFERROR(__xludf.DUMMYFUNCTION("""COMPUTED_VALUE"""),"RF-00000824-PAR")</f>
        <v>RF-00000824-PAR</v>
      </c>
    </row>
    <row r="1257" spans="1:2" ht="12.5" x14ac:dyDescent="0.25">
      <c r="A1257" t="str">
        <f ca="1">IFERROR(__xludf.DUMMYFUNCTION("""COMPUTED_VALUE"""),"CMY-57")</f>
        <v>CMY-57</v>
      </c>
      <c r="B1257" t="str">
        <f ca="1">IFERROR(__xludf.DUMMYFUNCTION("""COMPUTED_VALUE"""),"RF-00000825-PAR")</f>
        <v>RF-00000825-PAR</v>
      </c>
    </row>
    <row r="1258" spans="1:2" ht="12.5" x14ac:dyDescent="0.25">
      <c r="A1258" t="str">
        <f ca="1">IFERROR(__xludf.DUMMYFUNCTION("""COMPUTED_VALUE"""),"CMY-58")</f>
        <v>CMY-58</v>
      </c>
      <c r="B1258" t="str">
        <f ca="1">IFERROR(__xludf.DUMMYFUNCTION("""COMPUTED_VALUE"""),"RF-00000826-PAR")</f>
        <v>RF-00000826-PAR</v>
      </c>
    </row>
    <row r="1259" spans="1:2" ht="12.5" x14ac:dyDescent="0.25">
      <c r="A1259" t="str">
        <f ca="1">IFERROR(__xludf.DUMMYFUNCTION("""COMPUTED_VALUE"""),"CMY-59")</f>
        <v>CMY-59</v>
      </c>
      <c r="B1259" t="str">
        <f ca="1">IFERROR(__xludf.DUMMYFUNCTION("""COMPUTED_VALUE"""),"RF-00000827-PAR")</f>
        <v>RF-00000827-PAR</v>
      </c>
    </row>
    <row r="1260" spans="1:2" ht="12.5" x14ac:dyDescent="0.25">
      <c r="A1260" t="str">
        <f ca="1">IFERROR(__xludf.DUMMYFUNCTION("""COMPUTED_VALUE"""),"CMY-6")</f>
        <v>CMY-6</v>
      </c>
      <c r="B1260" t="str">
        <f ca="1">IFERROR(__xludf.DUMMYFUNCTION("""COMPUTED_VALUE"""),"RF-00000774-PAR")</f>
        <v>RF-00000774-PAR</v>
      </c>
    </row>
    <row r="1261" spans="1:2" ht="12.5" x14ac:dyDescent="0.25">
      <c r="A1261" t="str">
        <f ca="1">IFERROR(__xludf.DUMMYFUNCTION("""COMPUTED_VALUE"""),"CMY-60")</f>
        <v>CMY-60</v>
      </c>
      <c r="B1261" t="str">
        <f ca="1">IFERROR(__xludf.DUMMYFUNCTION("""COMPUTED_VALUE"""),"RF-00000828-PAR")</f>
        <v>RF-00000828-PAR</v>
      </c>
    </row>
    <row r="1262" spans="1:2" ht="12.5" x14ac:dyDescent="0.25">
      <c r="A1262" t="str">
        <f ca="1">IFERROR(__xludf.DUMMYFUNCTION("""COMPUTED_VALUE"""),"CMY-61")</f>
        <v>CMY-61</v>
      </c>
      <c r="B1262" t="str">
        <f ca="1">IFERROR(__xludf.DUMMYFUNCTION("""COMPUTED_VALUE"""),"RF-00000829-PAR")</f>
        <v>RF-00000829-PAR</v>
      </c>
    </row>
    <row r="1263" spans="1:2" ht="12.5" x14ac:dyDescent="0.25">
      <c r="A1263" t="str">
        <f ca="1">IFERROR(__xludf.DUMMYFUNCTION("""COMPUTED_VALUE"""),"CMY-62")</f>
        <v>CMY-62</v>
      </c>
      <c r="B1263" t="str">
        <f ca="1">IFERROR(__xludf.DUMMYFUNCTION("""COMPUTED_VALUE"""),"RF-00000830-PAR")</f>
        <v>RF-00000830-PAR</v>
      </c>
    </row>
    <row r="1264" spans="1:2" ht="12.5" x14ac:dyDescent="0.25">
      <c r="A1264" t="str">
        <f ca="1">IFERROR(__xludf.DUMMYFUNCTION("""COMPUTED_VALUE"""),"CMY-63")</f>
        <v>CMY-63</v>
      </c>
      <c r="B1264" t="str">
        <f ca="1">IFERROR(__xludf.DUMMYFUNCTION("""COMPUTED_VALUE"""),"RF-00000831-PAR")</f>
        <v>RF-00000831-PAR</v>
      </c>
    </row>
    <row r="1265" spans="1:2" ht="12.5" x14ac:dyDescent="0.25">
      <c r="A1265" t="str">
        <f ca="1">IFERROR(__xludf.DUMMYFUNCTION("""COMPUTED_VALUE"""),"CMY-64")</f>
        <v>CMY-64</v>
      </c>
      <c r="B1265" t="str">
        <f ca="1">IFERROR(__xludf.DUMMYFUNCTION("""COMPUTED_VALUE"""),"RF-00000832-PAR")</f>
        <v>RF-00000832-PAR</v>
      </c>
    </row>
    <row r="1266" spans="1:2" ht="12.5" x14ac:dyDescent="0.25">
      <c r="A1266" t="str">
        <f ca="1">IFERROR(__xludf.DUMMYFUNCTION("""COMPUTED_VALUE"""),"CMY-65")</f>
        <v>CMY-65</v>
      </c>
      <c r="B1266" t="str">
        <f ca="1">IFERROR(__xludf.DUMMYFUNCTION("""COMPUTED_VALUE"""),"RF-00000833-PAR")</f>
        <v>RF-00000833-PAR</v>
      </c>
    </row>
    <row r="1267" spans="1:2" ht="12.5" x14ac:dyDescent="0.25">
      <c r="A1267" t="str">
        <f ca="1">IFERROR(__xludf.DUMMYFUNCTION("""COMPUTED_VALUE"""),"CMY-66")</f>
        <v>CMY-66</v>
      </c>
      <c r="B1267" t="str">
        <f ca="1">IFERROR(__xludf.DUMMYFUNCTION("""COMPUTED_VALUE"""),"RF-00000834-PAR")</f>
        <v>RF-00000834-PAR</v>
      </c>
    </row>
    <row r="1268" spans="1:2" ht="12.5" x14ac:dyDescent="0.25">
      <c r="A1268" t="str">
        <f ca="1">IFERROR(__xludf.DUMMYFUNCTION("""COMPUTED_VALUE"""),"CMY-67")</f>
        <v>CMY-67</v>
      </c>
      <c r="B1268" t="str">
        <f ca="1">IFERROR(__xludf.DUMMYFUNCTION("""COMPUTED_VALUE"""),"RF-00000835-PAR")</f>
        <v>RF-00000835-PAR</v>
      </c>
    </row>
    <row r="1269" spans="1:2" ht="12.5" x14ac:dyDescent="0.25">
      <c r="A1269" t="str">
        <f ca="1">IFERROR(__xludf.DUMMYFUNCTION("""COMPUTED_VALUE"""),"CMY-68")</f>
        <v>CMY-68</v>
      </c>
      <c r="B1269" t="str">
        <f ca="1">IFERROR(__xludf.DUMMYFUNCTION("""COMPUTED_VALUE"""),"RF-00000836-PAR")</f>
        <v>RF-00000836-PAR</v>
      </c>
    </row>
    <row r="1270" spans="1:2" ht="12.5" x14ac:dyDescent="0.25">
      <c r="A1270" t="str">
        <f ca="1">IFERROR(__xludf.DUMMYFUNCTION("""COMPUTED_VALUE"""),"CMY-69")</f>
        <v>CMY-69</v>
      </c>
      <c r="B1270" t="str">
        <f ca="1">IFERROR(__xludf.DUMMYFUNCTION("""COMPUTED_VALUE"""),"RF-00000837-PAR")</f>
        <v>RF-00000837-PAR</v>
      </c>
    </row>
    <row r="1271" spans="1:2" ht="12.5" x14ac:dyDescent="0.25">
      <c r="A1271" t="str">
        <f ca="1">IFERROR(__xludf.DUMMYFUNCTION("""COMPUTED_VALUE"""),"CMY-7")</f>
        <v>CMY-7</v>
      </c>
      <c r="B1271" t="str">
        <f ca="1">IFERROR(__xludf.DUMMYFUNCTION("""COMPUTED_VALUE"""),"RF-00000775-PAR")</f>
        <v>RF-00000775-PAR</v>
      </c>
    </row>
    <row r="1272" spans="1:2" ht="12.5" x14ac:dyDescent="0.25">
      <c r="A1272" t="str">
        <f ca="1">IFERROR(__xludf.DUMMYFUNCTION("""COMPUTED_VALUE"""),"CMY-70")</f>
        <v>CMY-70</v>
      </c>
      <c r="B1272" t="str">
        <f ca="1">IFERROR(__xludf.DUMMYFUNCTION("""COMPUTED_VALUE"""),"RF-00000838-PAR")</f>
        <v>RF-00000838-PAR</v>
      </c>
    </row>
    <row r="1273" spans="1:2" ht="12.5" x14ac:dyDescent="0.25">
      <c r="A1273" t="str">
        <f ca="1">IFERROR(__xludf.DUMMYFUNCTION("""COMPUTED_VALUE"""),"CMY-71")</f>
        <v>CMY-71</v>
      </c>
      <c r="B1273" t="str">
        <f ca="1">IFERROR(__xludf.DUMMYFUNCTION("""COMPUTED_VALUE"""),"RF-00000839-PAR")</f>
        <v>RF-00000839-PAR</v>
      </c>
    </row>
    <row r="1274" spans="1:2" ht="12.5" x14ac:dyDescent="0.25">
      <c r="A1274" t="str">
        <f ca="1">IFERROR(__xludf.DUMMYFUNCTION("""COMPUTED_VALUE"""),"CMY-72")</f>
        <v>CMY-72</v>
      </c>
      <c r="B1274" t="str">
        <f ca="1">IFERROR(__xludf.DUMMYFUNCTION("""COMPUTED_VALUE"""),"RF-00000840-PAR")</f>
        <v>RF-00000840-PAR</v>
      </c>
    </row>
    <row r="1275" spans="1:2" ht="12.5" x14ac:dyDescent="0.25">
      <c r="A1275" t="str">
        <f ca="1">IFERROR(__xludf.DUMMYFUNCTION("""COMPUTED_VALUE"""),"CMY-73")</f>
        <v>CMY-73</v>
      </c>
      <c r="B1275" t="str">
        <f ca="1">IFERROR(__xludf.DUMMYFUNCTION("""COMPUTED_VALUE"""),"RF-00000841-PAR")</f>
        <v>RF-00000841-PAR</v>
      </c>
    </row>
    <row r="1276" spans="1:2" ht="12.5" x14ac:dyDescent="0.25">
      <c r="A1276" t="str">
        <f ca="1">IFERROR(__xludf.DUMMYFUNCTION("""COMPUTED_VALUE"""),"CMY-74")</f>
        <v>CMY-74</v>
      </c>
      <c r="B1276" t="str">
        <f ca="1">IFERROR(__xludf.DUMMYFUNCTION("""COMPUTED_VALUE"""),"RF-00000842-PAR")</f>
        <v>RF-00000842-PAR</v>
      </c>
    </row>
    <row r="1277" spans="1:2" ht="12.5" x14ac:dyDescent="0.25">
      <c r="A1277" t="str">
        <f ca="1">IFERROR(__xludf.DUMMYFUNCTION("""COMPUTED_VALUE"""),"CMY-75")</f>
        <v>CMY-75</v>
      </c>
      <c r="B1277" t="str">
        <f ca="1">IFERROR(__xludf.DUMMYFUNCTION("""COMPUTED_VALUE"""),"RF-00000843-PAR")</f>
        <v>RF-00000843-PAR</v>
      </c>
    </row>
    <row r="1278" spans="1:2" ht="12.5" x14ac:dyDescent="0.25">
      <c r="A1278" t="str">
        <f ca="1">IFERROR(__xludf.DUMMYFUNCTION("""COMPUTED_VALUE"""),"CMY-76")</f>
        <v>CMY-76</v>
      </c>
      <c r="B1278" t="str">
        <f ca="1">IFERROR(__xludf.DUMMYFUNCTION("""COMPUTED_VALUE"""),"RF-00000844-PAR")</f>
        <v>RF-00000844-PAR</v>
      </c>
    </row>
    <row r="1279" spans="1:2" ht="12.5" x14ac:dyDescent="0.25">
      <c r="A1279" t="str">
        <f ca="1">IFERROR(__xludf.DUMMYFUNCTION("""COMPUTED_VALUE"""),"CMY-77")</f>
        <v>CMY-77</v>
      </c>
      <c r="B1279" t="str">
        <f ca="1">IFERROR(__xludf.DUMMYFUNCTION("""COMPUTED_VALUE"""),"RF-00000845-PAR")</f>
        <v>RF-00000845-PAR</v>
      </c>
    </row>
    <row r="1280" spans="1:2" ht="12.5" x14ac:dyDescent="0.25">
      <c r="A1280" t="str">
        <f ca="1">IFERROR(__xludf.DUMMYFUNCTION("""COMPUTED_VALUE"""),"CMY-78")</f>
        <v>CMY-78</v>
      </c>
      <c r="B1280" t="str">
        <f ca="1">IFERROR(__xludf.DUMMYFUNCTION("""COMPUTED_VALUE"""),"RF-00000846-PAR")</f>
        <v>RF-00000846-PAR</v>
      </c>
    </row>
    <row r="1281" spans="1:2" ht="12.5" x14ac:dyDescent="0.25">
      <c r="A1281" t="str">
        <f ca="1">IFERROR(__xludf.DUMMYFUNCTION("""COMPUTED_VALUE"""),"CMY-79")</f>
        <v>CMY-79</v>
      </c>
      <c r="B1281" t="str">
        <f ca="1">IFERROR(__xludf.DUMMYFUNCTION("""COMPUTED_VALUE"""),"RF-00000847-PAR")</f>
        <v>RF-00000847-PAR</v>
      </c>
    </row>
    <row r="1282" spans="1:2" ht="12.5" x14ac:dyDescent="0.25">
      <c r="A1282" t="str">
        <f ca="1">IFERROR(__xludf.DUMMYFUNCTION("""COMPUTED_VALUE"""),"CMY-8")</f>
        <v>CMY-8</v>
      </c>
      <c r="B1282" t="str">
        <f ca="1">IFERROR(__xludf.DUMMYFUNCTION("""COMPUTED_VALUE"""),"RF-00000776-PAR")</f>
        <v>RF-00000776-PAR</v>
      </c>
    </row>
    <row r="1283" spans="1:2" ht="12.5" x14ac:dyDescent="0.25">
      <c r="A1283" t="str">
        <f ca="1">IFERROR(__xludf.DUMMYFUNCTION("""COMPUTED_VALUE"""),"CMY-80")</f>
        <v>CMY-80</v>
      </c>
      <c r="B1283" t="str">
        <f ca="1">IFERROR(__xludf.DUMMYFUNCTION("""COMPUTED_VALUE"""),"RF-00000848-PAR")</f>
        <v>RF-00000848-PAR</v>
      </c>
    </row>
    <row r="1284" spans="1:2" ht="12.5" x14ac:dyDescent="0.25">
      <c r="A1284" t="str">
        <f ca="1">IFERROR(__xludf.DUMMYFUNCTION("""COMPUTED_VALUE"""),"CMY-81")</f>
        <v>CMY-81</v>
      </c>
      <c r="B1284" t="str">
        <f ca="1">IFERROR(__xludf.DUMMYFUNCTION("""COMPUTED_VALUE"""),"RF-00000849-PAR")</f>
        <v>RF-00000849-PAR</v>
      </c>
    </row>
    <row r="1285" spans="1:2" ht="12.5" x14ac:dyDescent="0.25">
      <c r="A1285" t="str">
        <f ca="1">IFERROR(__xludf.DUMMYFUNCTION("""COMPUTED_VALUE"""),"CMY-82")</f>
        <v>CMY-82</v>
      </c>
      <c r="B1285" t="str">
        <f ca="1">IFERROR(__xludf.DUMMYFUNCTION("""COMPUTED_VALUE"""),"RF-00000850-PAR")</f>
        <v>RF-00000850-PAR</v>
      </c>
    </row>
    <row r="1286" spans="1:2" ht="12.5" x14ac:dyDescent="0.25">
      <c r="A1286" t="str">
        <f ca="1">IFERROR(__xludf.DUMMYFUNCTION("""COMPUTED_VALUE"""),"CMY-83")</f>
        <v>CMY-83</v>
      </c>
      <c r="B1286" t="str">
        <f ca="1">IFERROR(__xludf.DUMMYFUNCTION("""COMPUTED_VALUE"""),"RF-00000851-PAR")</f>
        <v>RF-00000851-PAR</v>
      </c>
    </row>
    <row r="1287" spans="1:2" ht="12.5" x14ac:dyDescent="0.25">
      <c r="A1287" t="str">
        <f ca="1">IFERROR(__xludf.DUMMYFUNCTION("""COMPUTED_VALUE"""),"CMY-84")</f>
        <v>CMY-84</v>
      </c>
      <c r="B1287" t="str">
        <f ca="1">IFERROR(__xludf.DUMMYFUNCTION("""COMPUTED_VALUE"""),"RF-00000852-PAR")</f>
        <v>RF-00000852-PAR</v>
      </c>
    </row>
    <row r="1288" spans="1:2" ht="12.5" x14ac:dyDescent="0.25">
      <c r="A1288" t="str">
        <f ca="1">IFERROR(__xludf.DUMMYFUNCTION("""COMPUTED_VALUE"""),"CMY-85")</f>
        <v>CMY-85</v>
      </c>
      <c r="B1288" t="str">
        <f ca="1">IFERROR(__xludf.DUMMYFUNCTION("""COMPUTED_VALUE"""),"RF-00000853-PAR")</f>
        <v>RF-00000853-PAR</v>
      </c>
    </row>
    <row r="1289" spans="1:2" ht="12.5" x14ac:dyDescent="0.25">
      <c r="A1289" t="str">
        <f ca="1">IFERROR(__xludf.DUMMYFUNCTION("""COMPUTED_VALUE"""),"CMY-86")</f>
        <v>CMY-86</v>
      </c>
      <c r="B1289" t="str">
        <f ca="1">IFERROR(__xludf.DUMMYFUNCTION("""COMPUTED_VALUE"""),"RF-00000854-PAR")</f>
        <v>RF-00000854-PAR</v>
      </c>
    </row>
    <row r="1290" spans="1:2" ht="12.5" x14ac:dyDescent="0.25">
      <c r="A1290" t="str">
        <f ca="1">IFERROR(__xludf.DUMMYFUNCTION("""COMPUTED_VALUE"""),"CMY-87")</f>
        <v>CMY-87</v>
      </c>
      <c r="B1290" t="str">
        <f ca="1">IFERROR(__xludf.DUMMYFUNCTION("""COMPUTED_VALUE"""),"RF-00000855-PAR")</f>
        <v>RF-00000855-PAR</v>
      </c>
    </row>
    <row r="1291" spans="1:2" ht="12.5" x14ac:dyDescent="0.25">
      <c r="A1291" t="str">
        <f ca="1">IFERROR(__xludf.DUMMYFUNCTION("""COMPUTED_VALUE"""),"CMY-88")</f>
        <v>CMY-88</v>
      </c>
      <c r="B1291" t="str">
        <f ca="1">IFERROR(__xludf.DUMMYFUNCTION("""COMPUTED_VALUE"""),"RF-00000856-PAR")</f>
        <v>RF-00000856-PAR</v>
      </c>
    </row>
    <row r="1292" spans="1:2" ht="12.5" x14ac:dyDescent="0.25">
      <c r="A1292" t="str">
        <f ca="1">IFERROR(__xludf.DUMMYFUNCTION("""COMPUTED_VALUE"""),"CMY-89")</f>
        <v>CMY-89</v>
      </c>
      <c r="B1292" t="str">
        <f ca="1">IFERROR(__xludf.DUMMYFUNCTION("""COMPUTED_VALUE"""),"RF-00000857-PAR")</f>
        <v>RF-00000857-PAR</v>
      </c>
    </row>
    <row r="1293" spans="1:2" ht="12.5" x14ac:dyDescent="0.25">
      <c r="A1293" t="str">
        <f ca="1">IFERROR(__xludf.DUMMYFUNCTION("""COMPUTED_VALUE"""),"CMY-9")</f>
        <v>CMY-9</v>
      </c>
      <c r="B1293" t="str">
        <f ca="1">IFERROR(__xludf.DUMMYFUNCTION("""COMPUTED_VALUE"""),"RF-00000777-PAR")</f>
        <v>RF-00000777-PAR</v>
      </c>
    </row>
    <row r="1294" spans="1:2" ht="12.5" x14ac:dyDescent="0.25">
      <c r="A1294" t="str">
        <f ca="1">IFERROR(__xludf.DUMMYFUNCTION("""COMPUTED_VALUE"""),"CMY-90")</f>
        <v>CMY-90</v>
      </c>
      <c r="B1294" t="str">
        <f ca="1">IFERROR(__xludf.DUMMYFUNCTION("""COMPUTED_VALUE"""),"RF-00000858-PAR")</f>
        <v>RF-00000858-PAR</v>
      </c>
    </row>
    <row r="1295" spans="1:2" ht="12.5" x14ac:dyDescent="0.25">
      <c r="A1295" t="str">
        <f ca="1">IFERROR(__xludf.DUMMYFUNCTION("""COMPUTED_VALUE"""),"CMY-91")</f>
        <v>CMY-91</v>
      </c>
      <c r="B1295" t="str">
        <f ca="1">IFERROR(__xludf.DUMMYFUNCTION("""COMPUTED_VALUE"""),"RF-00000859-PAR")</f>
        <v>RF-00000859-PAR</v>
      </c>
    </row>
    <row r="1296" spans="1:2" ht="12.5" x14ac:dyDescent="0.25">
      <c r="A1296" t="str">
        <f ca="1">IFERROR(__xludf.DUMMYFUNCTION("""COMPUTED_VALUE"""),"CMY-92")</f>
        <v>CMY-92</v>
      </c>
      <c r="B1296" t="str">
        <f ca="1">IFERROR(__xludf.DUMMYFUNCTION("""COMPUTED_VALUE"""),"RF-00000860-PAR")</f>
        <v>RF-00000860-PAR</v>
      </c>
    </row>
    <row r="1297" spans="1:2" ht="12.5" x14ac:dyDescent="0.25">
      <c r="A1297" t="str">
        <f ca="1">IFERROR(__xludf.DUMMYFUNCTION("""COMPUTED_VALUE"""),"CMY-93")</f>
        <v>CMY-93</v>
      </c>
      <c r="B1297" t="str">
        <f ca="1">IFERROR(__xludf.DUMMYFUNCTION("""COMPUTED_VALUE"""),"RF-00000861-PAR")</f>
        <v>RF-00000861-PAR</v>
      </c>
    </row>
    <row r="1298" spans="1:2" ht="12.5" x14ac:dyDescent="0.25">
      <c r="A1298" t="str">
        <f ca="1">IFERROR(__xludf.DUMMYFUNCTION("""COMPUTED_VALUE"""),"CMY-94")</f>
        <v>CMY-94</v>
      </c>
      <c r="B1298" t="str">
        <f ca="1">IFERROR(__xludf.DUMMYFUNCTION("""COMPUTED_VALUE"""),"RF-00000862-PAR")</f>
        <v>RF-00000862-PAR</v>
      </c>
    </row>
    <row r="1299" spans="1:2" ht="12.5" x14ac:dyDescent="0.25">
      <c r="A1299" t="str">
        <f ca="1">IFERROR(__xludf.DUMMYFUNCTION("""COMPUTED_VALUE"""),"CMY-95")</f>
        <v>CMY-95</v>
      </c>
      <c r="B1299" t="str">
        <f ca="1">IFERROR(__xludf.DUMMYFUNCTION("""COMPUTED_VALUE"""),"RF-00000863-PAR")</f>
        <v>RF-00000863-PAR</v>
      </c>
    </row>
    <row r="1300" spans="1:2" ht="12.5" x14ac:dyDescent="0.25">
      <c r="A1300" t="str">
        <f ca="1">IFERROR(__xludf.DUMMYFUNCTION("""COMPUTED_VALUE"""),"CMY-96")</f>
        <v>CMY-96</v>
      </c>
      <c r="B1300" t="str">
        <f ca="1">IFERROR(__xludf.DUMMYFUNCTION("""COMPUTED_VALUE"""),"RF-00000864-PAR")</f>
        <v>RF-00000864-PAR</v>
      </c>
    </row>
    <row r="1301" spans="1:2" ht="12.5" x14ac:dyDescent="0.25">
      <c r="A1301" t="str">
        <f ca="1">IFERROR(__xludf.DUMMYFUNCTION("""COMPUTED_VALUE"""),"CMY-97")</f>
        <v>CMY-97</v>
      </c>
      <c r="B1301" t="str">
        <f ca="1">IFERROR(__xludf.DUMMYFUNCTION("""COMPUTED_VALUE"""),"RF-00000865-PAR")</f>
        <v>RF-00000865-PAR</v>
      </c>
    </row>
    <row r="1302" spans="1:2" ht="12.5" x14ac:dyDescent="0.25">
      <c r="A1302" t="str">
        <f ca="1">IFERROR(__xludf.DUMMYFUNCTION("""COMPUTED_VALUE"""),"CMY-98")</f>
        <v>CMY-98</v>
      </c>
      <c r="B1302" t="str">
        <f ca="1">IFERROR(__xludf.DUMMYFUNCTION("""COMPUTED_VALUE"""),"RF-00000866-PAR")</f>
        <v>RF-00000866-PAR</v>
      </c>
    </row>
    <row r="1303" spans="1:2" ht="12.5" x14ac:dyDescent="0.25">
      <c r="A1303" t="str">
        <f ca="1">IFERROR(__xludf.DUMMYFUNCTION("""COMPUTED_VALUE"""),"CMY-99")</f>
        <v>CMY-99</v>
      </c>
      <c r="B1303" t="str">
        <f ca="1">IFERROR(__xludf.DUMMYFUNCTION("""COMPUTED_VALUE"""),"RF-00000867-PAR")</f>
        <v>RF-00000867-PAR</v>
      </c>
    </row>
    <row r="1304" spans="1:2" ht="12.5" x14ac:dyDescent="0.25">
      <c r="A1304" t="str">
        <f ca="1">IFERROR(__xludf.DUMMYFUNCTION("""COMPUTED_VALUE"""),"Cobalt (Co)")</f>
        <v>Cobalt (Co)</v>
      </c>
      <c r="B1304" t="str">
        <f ca="1">IFERROR(__xludf.DUMMYFUNCTION("""COMPUTED_VALUE"""),"RF-00000161-CHE")</f>
        <v>RF-00000161-CHE</v>
      </c>
    </row>
    <row r="1305" spans="1:2" ht="12.5" x14ac:dyDescent="0.25">
      <c r="A1305" t="str">
        <f ca="1">IFERROR(__xludf.DUMMYFUNCTION("""COMPUTED_VALUE"""),"Cobalt and derivatives")</f>
        <v>Cobalt and derivatives</v>
      </c>
      <c r="B1305" t="str">
        <f ca="1">IFERROR(__xludf.DUMMYFUNCTION("""COMPUTED_VALUE"""),"RF-00000160-CHE")</f>
        <v>RF-00000160-CHE</v>
      </c>
    </row>
    <row r="1306" spans="1:2" ht="12.5" x14ac:dyDescent="0.25">
      <c r="A1306" t="str">
        <f ca="1">IFERROR(__xludf.DUMMYFUNCTION("""COMPUTED_VALUE"""),"Cobalt total")</f>
        <v>Cobalt total</v>
      </c>
      <c r="B1306" t="str">
        <f ca="1">IFERROR(__xludf.DUMMYFUNCTION("""COMPUTED_VALUE"""),"RF-00000162-CHE")</f>
        <v>RF-00000162-CHE</v>
      </c>
    </row>
    <row r="1307" spans="1:2" ht="12.5" x14ac:dyDescent="0.25">
      <c r="A1307" t="str">
        <f ca="1">IFERROR(__xludf.DUMMYFUNCTION("""COMPUTED_VALUE"""),"Cocain")</f>
        <v>Cocain</v>
      </c>
      <c r="B1307" t="str">
        <f ca="1">IFERROR(__xludf.DUMMYFUNCTION("""COMPUTED_VALUE"""),"RF-00000457-TOX")</f>
        <v>RF-00000457-TOX</v>
      </c>
    </row>
    <row r="1308" spans="1:2" ht="12.5" x14ac:dyDescent="0.25">
      <c r="A1308" t="str">
        <f ca="1">IFERROR(__xludf.DUMMYFUNCTION("""COMPUTED_VALUE"""),"Cochineal, Carminic acid, Carmines")</f>
        <v>Cochineal, Carminic acid, Carmines</v>
      </c>
      <c r="B1308" t="str">
        <f ca="1">IFERROR(__xludf.DUMMYFUNCTION("""COMPUTED_VALUE"""),"RF-00000105-ADD")</f>
        <v>RF-00000105-ADD</v>
      </c>
    </row>
    <row r="1309" spans="1:2" ht="12.5" x14ac:dyDescent="0.25">
      <c r="A1309" t="str">
        <f ca="1">IFERROR(__xludf.DUMMYFUNCTION("""COMPUTED_VALUE"""),"Codeine")</f>
        <v>Codeine</v>
      </c>
      <c r="B1309" t="str">
        <f ca="1">IFERROR(__xludf.DUMMYFUNCTION("""COMPUTED_VALUE"""),"RF-00000251-TOX")</f>
        <v>RF-00000251-TOX</v>
      </c>
    </row>
    <row r="1310" spans="1:2" ht="12.5" x14ac:dyDescent="0.25">
      <c r="A1310" t="str">
        <f ca="1">IFERROR(__xludf.DUMMYFUNCTION("""COMPUTED_VALUE"""),"Colchicin")</f>
        <v>Colchicin</v>
      </c>
      <c r="B1310" t="str">
        <f ca="1">IFERROR(__xludf.DUMMYFUNCTION("""COMPUTED_VALUE"""),"RF-00000506-VET")</f>
        <v>RF-00000506-VET</v>
      </c>
    </row>
    <row r="1311" spans="1:2" ht="12.5" x14ac:dyDescent="0.25">
      <c r="A1311" t="str">
        <f ca="1">IFERROR(__xludf.DUMMYFUNCTION("""COMPUTED_VALUE"""),"Colistin")</f>
        <v>Colistin</v>
      </c>
      <c r="B1311" t="str">
        <f ca="1">IFERROR(__xludf.DUMMYFUNCTION("""COMPUTED_VALUE"""),"RF-00000595-VET")</f>
        <v>RF-00000595-VET</v>
      </c>
    </row>
    <row r="1312" spans="1:2" ht="12.5" x14ac:dyDescent="0.25">
      <c r="A1312" t="str">
        <f ca="1">IFERROR(__xludf.DUMMYFUNCTION("""COMPUTED_VALUE"""),"collagen")</f>
        <v>collagen</v>
      </c>
      <c r="B1312" t="str">
        <f ca="1">IFERROR(__xludf.DUMMYFUNCTION("""COMPUTED_VALUE"""),"RF-00000054-NTR")</f>
        <v>RF-00000054-NTR</v>
      </c>
    </row>
    <row r="1313" spans="1:2" ht="12.5" x14ac:dyDescent="0.25">
      <c r="A1313" t="str">
        <f ca="1">IFERROR(__xludf.DUMMYFUNCTION("""COMPUTED_VALUE"""),"Compounds included in Annex IV Reg 2377-90")</f>
        <v>Compounds included in Annex IV Reg 2377-90</v>
      </c>
      <c r="B1313" t="str">
        <f ca="1">IFERROR(__xludf.DUMMYFUNCTION("""COMPUTED_VALUE"""),"RF-00000497-VET")</f>
        <v>RF-00000497-VET</v>
      </c>
    </row>
    <row r="1314" spans="1:2" ht="12.5" x14ac:dyDescent="0.25">
      <c r="A1314" t="str">
        <f ca="1">IFERROR(__xludf.DUMMYFUNCTION("""COMPUTED_VALUE"""),"Copper (Cu)")</f>
        <v>Copper (Cu)</v>
      </c>
      <c r="B1314" t="str">
        <f ca="1">IFERROR(__xludf.DUMMYFUNCTION("""COMPUTED_VALUE"""),"RF-00000167-CHE")</f>
        <v>RF-00000167-CHE</v>
      </c>
    </row>
    <row r="1315" spans="1:2" ht="12.5" x14ac:dyDescent="0.25">
      <c r="A1315" t="str">
        <f ca="1">IFERROR(__xludf.DUMMYFUNCTION("""COMPUTED_VALUE"""),"Copper and derivatives")</f>
        <v>Copper and derivatives</v>
      </c>
      <c r="B1315" t="str">
        <f ca="1">IFERROR(__xludf.DUMMYFUNCTION("""COMPUTED_VALUE"""),"RF-00000166-CHE")</f>
        <v>RF-00000166-CHE</v>
      </c>
    </row>
    <row r="1316" spans="1:2" ht="12.5" x14ac:dyDescent="0.25">
      <c r="A1316" t="str">
        <f ca="1">IFERROR(__xludf.DUMMYFUNCTION("""COMPUTED_VALUE"""),"Copper complexes of chlorophyllins")</f>
        <v>Copper complexes of chlorophyllins</v>
      </c>
      <c r="B1316" t="str">
        <f ca="1">IFERROR(__xludf.DUMMYFUNCTION("""COMPUTED_VALUE"""),"RF-00001294-PAR")</f>
        <v>RF-00001294-PAR</v>
      </c>
    </row>
    <row r="1317" spans="1:2" ht="12.5" x14ac:dyDescent="0.25">
      <c r="A1317" t="str">
        <f ca="1">IFERROR(__xludf.DUMMYFUNCTION("""COMPUTED_VALUE"""),"Copper complexes of chlorophylls")</f>
        <v>Copper complexes of chlorophylls</v>
      </c>
      <c r="B1317" t="str">
        <f ca="1">IFERROR(__xludf.DUMMYFUNCTION("""COMPUTED_VALUE"""),"RF-00001293-PAR")</f>
        <v>RF-00001293-PAR</v>
      </c>
    </row>
    <row r="1318" spans="1:2" ht="12.5" x14ac:dyDescent="0.25">
      <c r="A1318" t="str">
        <f ca="1">IFERROR(__xludf.DUMMYFUNCTION("""COMPUTED_VALUE"""),"Copper complexes of chlorophylls, chlorophyllins")</f>
        <v>Copper complexes of chlorophylls, chlorophyllins</v>
      </c>
      <c r="B1318" t="str">
        <f ca="1">IFERROR(__xludf.DUMMYFUNCTION("""COMPUTED_VALUE"""),"RF-00000106-ADD")</f>
        <v>RF-00000106-ADD</v>
      </c>
    </row>
    <row r="1319" spans="1:2" ht="12.5" x14ac:dyDescent="0.25">
      <c r="A1319" t="str">
        <f ca="1">IFERROR(__xludf.DUMMYFUNCTION("""COMPUTED_VALUE"""),"Copper compounds")</f>
        <v>Copper compounds</v>
      </c>
      <c r="B1319" t="str">
        <f ca="1">IFERROR(__xludf.DUMMYFUNCTION("""COMPUTED_VALUE"""),"RF-0102-001-PPP")</f>
        <v>RF-0102-001-PPP</v>
      </c>
    </row>
    <row r="1320" spans="1:2" ht="12.5" x14ac:dyDescent="0.25">
      <c r="A1320" t="str">
        <f ca="1">IFERROR(__xludf.DUMMYFUNCTION("""COMPUTED_VALUE"""),"Corticosterone")</f>
        <v>Corticosterone</v>
      </c>
      <c r="B1320" t="str">
        <f ca="1">IFERROR(__xludf.DUMMYFUNCTION("""COMPUTED_VALUE"""),"RF-00000372-VET")</f>
        <v>RF-00000372-VET</v>
      </c>
    </row>
    <row r="1321" spans="1:2" ht="12.5" x14ac:dyDescent="0.25">
      <c r="A1321" t="str">
        <f ca="1">IFERROR(__xludf.DUMMYFUNCTION("""COMPUTED_VALUE"""),"Cortisol")</f>
        <v>Cortisol</v>
      </c>
      <c r="B1321" t="str">
        <f ca="1">IFERROR(__xludf.DUMMYFUNCTION("""COMPUTED_VALUE"""),"RF-00000373-VET")</f>
        <v>RF-00000373-VET</v>
      </c>
    </row>
    <row r="1322" spans="1:2" ht="12.5" x14ac:dyDescent="0.25">
      <c r="A1322" t="str">
        <f ca="1">IFERROR(__xludf.DUMMYFUNCTION("""COMPUTED_VALUE"""),"Cortisol (Hydrocortisone)")</f>
        <v>Cortisol (Hydrocortisone)</v>
      </c>
      <c r="B1322" t="str">
        <f ca="1">IFERROR(__xludf.DUMMYFUNCTION("""COMPUTED_VALUE"""),"RF-00000278-VET")</f>
        <v>RF-00000278-VET</v>
      </c>
    </row>
    <row r="1323" spans="1:2" ht="12.5" x14ac:dyDescent="0.25">
      <c r="A1323" t="str">
        <f ca="1">IFERROR(__xludf.DUMMYFUNCTION("""COMPUTED_VALUE"""),"Cortisone")</f>
        <v>Cortisone</v>
      </c>
      <c r="B1323" t="str">
        <f ca="1">IFERROR(__xludf.DUMMYFUNCTION("""COMPUTED_VALUE"""),"RF-00000277-VET")</f>
        <v>RF-00000277-VET</v>
      </c>
    </row>
    <row r="1324" spans="1:2" ht="12.5" x14ac:dyDescent="0.25">
      <c r="A1324" t="str">
        <f ca="1">IFERROR(__xludf.DUMMYFUNCTION("""COMPUTED_VALUE"""),"Cotinine")</f>
        <v>Cotinine</v>
      </c>
      <c r="B1324" t="str">
        <f ca="1">IFERROR(__xludf.DUMMYFUNCTION("""COMPUTED_VALUE"""),"RF-00000014-PAR")</f>
        <v>RF-00000014-PAR</v>
      </c>
    </row>
    <row r="1325" spans="1:2" ht="12.5" x14ac:dyDescent="0.25">
      <c r="A1325" t="str">
        <f ca="1">IFERROR(__xludf.DUMMYFUNCTION("""COMPUTED_VALUE"""),"Coumachlor")</f>
        <v>Coumachlor</v>
      </c>
      <c r="B1325" t="str">
        <f ca="1">IFERROR(__xludf.DUMMYFUNCTION("""COMPUTED_VALUE"""),"RF-0570-001-PPP")</f>
        <v>RF-0570-001-PPP</v>
      </c>
    </row>
    <row r="1326" spans="1:2" ht="12.5" x14ac:dyDescent="0.25">
      <c r="A1326" t="str">
        <f ca="1">IFERROR(__xludf.DUMMYFUNCTION("""COMPUTED_VALUE"""),"Coumaphos")</f>
        <v>Coumaphos</v>
      </c>
      <c r="B1326" t="str">
        <f ca="1">IFERROR(__xludf.DUMMYFUNCTION("""COMPUTED_VALUE"""),"RF-0571-001-PPP")</f>
        <v>RF-0571-001-PPP</v>
      </c>
    </row>
    <row r="1327" spans="1:2" ht="12.5" x14ac:dyDescent="0.25">
      <c r="A1327" t="str">
        <f ca="1">IFERROR(__xludf.DUMMYFUNCTION("""COMPUTED_VALUE"""),"Coumarin")</f>
        <v>Coumarin</v>
      </c>
      <c r="B1327" t="str">
        <f ca="1">IFERROR(__xludf.DUMMYFUNCTION("""COMPUTED_VALUE"""),"RF-00000370-TOX")</f>
        <v>RF-00000370-TOX</v>
      </c>
    </row>
    <row r="1328" spans="1:2" ht="12.5" x14ac:dyDescent="0.25">
      <c r="A1328" t="str">
        <f ca="1">IFERROR(__xludf.DUMMYFUNCTION("""COMPUTED_VALUE"""),"Coumarin glycosides")</f>
        <v>Coumarin glycosides</v>
      </c>
      <c r="B1328" t="str">
        <f ca="1">IFERROR(__xludf.DUMMYFUNCTION("""COMPUTED_VALUE"""),"RF-00000810-VET")</f>
        <v>RF-00000810-VET</v>
      </c>
    </row>
    <row r="1329" spans="1:2" ht="12.5" x14ac:dyDescent="0.25">
      <c r="A1329" t="str">
        <f ca="1">IFERROR(__xludf.DUMMYFUNCTION("""COMPUTED_VALUE"""),"Coumatetralyl")</f>
        <v>Coumatetralyl</v>
      </c>
      <c r="B1329" t="str">
        <f ca="1">IFERROR(__xludf.DUMMYFUNCTION("""COMPUTED_VALUE"""),"RF-0572-001-PPP")</f>
        <v>RF-0572-001-PPP</v>
      </c>
    </row>
    <row r="1330" spans="1:2" ht="12.5" x14ac:dyDescent="0.25">
      <c r="A1330" t="str">
        <f ca="1">IFERROR(__xludf.DUMMYFUNCTION("""COMPUTED_VALUE"""),"coumestrol")</f>
        <v>coumestrol</v>
      </c>
      <c r="B1330" t="str">
        <f ca="1">IFERROR(__xludf.DUMMYFUNCTION("""COMPUTED_VALUE"""),"RF-00000055-NTR")</f>
        <v>RF-00000055-NTR</v>
      </c>
    </row>
    <row r="1331" spans="1:2" ht="12.5" x14ac:dyDescent="0.25">
      <c r="A1331" t="str">
        <f ca="1">IFERROR(__xludf.DUMMYFUNCTION("""COMPUTED_VALUE"""),"Coxiella")</f>
        <v>Coxiella</v>
      </c>
      <c r="B1331" t="str">
        <f ca="1">IFERROR(__xludf.DUMMYFUNCTION("""COMPUTED_VALUE"""),"RF-00000083-MCG")</f>
        <v>RF-00000083-MCG</v>
      </c>
    </row>
    <row r="1332" spans="1:2" ht="12.5" x14ac:dyDescent="0.25">
      <c r="A1332" t="str">
        <f ca="1">IFERROR(__xludf.DUMMYFUNCTION("""COMPUTED_VALUE"""),"Coxiella burnetii")</f>
        <v>Coxiella burnetii</v>
      </c>
      <c r="B1332" t="str">
        <f ca="1">IFERROR(__xludf.DUMMYFUNCTION("""COMPUTED_VALUE"""),"RF-00000084-MCG")</f>
        <v>RF-00000084-MCG</v>
      </c>
    </row>
    <row r="1333" spans="1:2" ht="12.5" x14ac:dyDescent="0.25">
      <c r="A1333" t="str">
        <f ca="1">IFERROR(__xludf.DUMMYFUNCTION("""COMPUTED_VALUE"""),"Coxiella popilliae")</f>
        <v>Coxiella popilliae</v>
      </c>
      <c r="B1333" t="str">
        <f ca="1">IFERROR(__xludf.DUMMYFUNCTION("""COMPUTED_VALUE"""),"RF-00002785-MCG")</f>
        <v>RF-00002785-MCG</v>
      </c>
    </row>
    <row r="1334" spans="1:2" ht="12.5" x14ac:dyDescent="0.25">
      <c r="A1334" t="str">
        <f ca="1">IFERROR(__xludf.DUMMYFUNCTION("""COMPUTED_VALUE"""),"Coxiella spp., unspecified")</f>
        <v>Coxiella spp., unspecified</v>
      </c>
      <c r="B1334" t="str">
        <f ca="1">IFERROR(__xludf.DUMMYFUNCTION("""COMPUTED_VALUE"""),"RF-00000085-MCG")</f>
        <v>RF-00000085-MCG</v>
      </c>
    </row>
    <row r="1335" spans="1:2" ht="12.5" x14ac:dyDescent="0.25">
      <c r="A1335" t="str">
        <f ca="1">IFERROR(__xludf.DUMMYFUNCTION("""COMPUTED_VALUE"""),"creatine-creatinine")</f>
        <v>creatine-creatinine</v>
      </c>
      <c r="B1335" t="str">
        <f ca="1">IFERROR(__xludf.DUMMYFUNCTION("""COMPUTED_VALUE"""),"RF-00000056-NTR")</f>
        <v>RF-00000056-NTR</v>
      </c>
    </row>
    <row r="1336" spans="1:2" ht="12.5" x14ac:dyDescent="0.25">
      <c r="A1336" t="str">
        <f ca="1">IFERROR(__xludf.DUMMYFUNCTION("""COMPUTED_VALUE"""),"Crimidine")</f>
        <v>Crimidine</v>
      </c>
      <c r="B1336" t="str">
        <f ca="1">IFERROR(__xludf.DUMMYFUNCTION("""COMPUTED_VALUE"""),"RF-0573-001-PPP")</f>
        <v>RF-0573-001-PPP</v>
      </c>
    </row>
    <row r="1337" spans="1:2" ht="12.5" x14ac:dyDescent="0.25">
      <c r="A1337" t="str">
        <f ca="1">IFERROR(__xludf.DUMMYFUNCTION("""COMPUTED_VALUE"""),"Cronobacter")</f>
        <v>Cronobacter</v>
      </c>
      <c r="B1337" t="str">
        <f ca="1">IFERROR(__xludf.DUMMYFUNCTION("""COMPUTED_VALUE"""),"RF-00000109-MCG")</f>
        <v>RF-00000109-MCG</v>
      </c>
    </row>
    <row r="1338" spans="1:2" ht="12.5" x14ac:dyDescent="0.25">
      <c r="A1338" t="str">
        <f ca="1">IFERROR(__xludf.DUMMYFUNCTION("""COMPUTED_VALUE"""),"Cronobacter condimenti")</f>
        <v>Cronobacter condimenti</v>
      </c>
      <c r="B1338" t="str">
        <f ca="1">IFERROR(__xludf.DUMMYFUNCTION("""COMPUTED_VALUE"""),"RF-00001231-PAR")</f>
        <v>RF-00001231-PAR</v>
      </c>
    </row>
    <row r="1339" spans="1:2" ht="12.5" x14ac:dyDescent="0.25">
      <c r="A1339" t="str">
        <f ca="1">IFERROR(__xludf.DUMMYFUNCTION("""COMPUTED_VALUE"""),"Cronobacter dublinensis")</f>
        <v>Cronobacter dublinensis</v>
      </c>
      <c r="B1339" t="str">
        <f ca="1">IFERROR(__xludf.DUMMYFUNCTION("""COMPUTED_VALUE"""),"RF-00001232-PAR")</f>
        <v>RF-00001232-PAR</v>
      </c>
    </row>
    <row r="1340" spans="1:2" ht="12.5" x14ac:dyDescent="0.25">
      <c r="A1340" t="str">
        <f ca="1">IFERROR(__xludf.DUMMYFUNCTION("""COMPUTED_VALUE"""),"Cronobacter malonaticus")</f>
        <v>Cronobacter malonaticus</v>
      </c>
      <c r="B1340" t="str">
        <f ca="1">IFERROR(__xludf.DUMMYFUNCTION("""COMPUTED_VALUE"""),"RF-00001233-PAR")</f>
        <v>RF-00001233-PAR</v>
      </c>
    </row>
    <row r="1341" spans="1:2" ht="12.5" x14ac:dyDescent="0.25">
      <c r="A1341" t="str">
        <f ca="1">IFERROR(__xludf.DUMMYFUNCTION("""COMPUTED_VALUE"""),"Cronobacter muytjensii")</f>
        <v>Cronobacter muytjensii</v>
      </c>
      <c r="B1341" t="str">
        <f ca="1">IFERROR(__xludf.DUMMYFUNCTION("""COMPUTED_VALUE"""),"RF-00001234-PAR")</f>
        <v>RF-00001234-PAR</v>
      </c>
    </row>
    <row r="1342" spans="1:2" ht="12.5" x14ac:dyDescent="0.25">
      <c r="A1342" t="str">
        <f ca="1">IFERROR(__xludf.DUMMYFUNCTION("""COMPUTED_VALUE"""),"Cronobacter sakazakii")</f>
        <v>Cronobacter sakazakii</v>
      </c>
      <c r="B1342" t="str">
        <f ca="1">IFERROR(__xludf.DUMMYFUNCTION("""COMPUTED_VALUE"""),"RF-00000110-MCG")</f>
        <v>RF-00000110-MCG</v>
      </c>
    </row>
    <row r="1343" spans="1:2" ht="12.5" x14ac:dyDescent="0.25">
      <c r="A1343" t="str">
        <f ca="1">IFERROR(__xludf.DUMMYFUNCTION("""COMPUTED_VALUE"""),"Cronobacter spp., unspecified")</f>
        <v>Cronobacter spp., unspecified</v>
      </c>
      <c r="B1343" t="str">
        <f ca="1">IFERROR(__xludf.DUMMYFUNCTION("""COMPUTED_VALUE"""),"RF-00000111-MCG")</f>
        <v>RF-00000111-MCG</v>
      </c>
    </row>
    <row r="1344" spans="1:2" ht="12.5" x14ac:dyDescent="0.25">
      <c r="A1344" t="str">
        <f ca="1">IFERROR(__xludf.DUMMYFUNCTION("""COMPUTED_VALUE"""),"Cronobacter turicensis")</f>
        <v>Cronobacter turicensis</v>
      </c>
      <c r="B1344" t="str">
        <f ca="1">IFERROR(__xludf.DUMMYFUNCTION("""COMPUTED_VALUE"""),"RF-00001235-PAR")</f>
        <v>RF-00001235-PAR</v>
      </c>
    </row>
    <row r="1345" spans="1:2" ht="12.5" x14ac:dyDescent="0.25">
      <c r="A1345" t="str">
        <f ca="1">IFERROR(__xludf.DUMMYFUNCTION("""COMPUTED_VALUE"""),"Cronobacter universalis")</f>
        <v>Cronobacter universalis</v>
      </c>
      <c r="B1345" t="str">
        <f ca="1">IFERROR(__xludf.DUMMYFUNCTION("""COMPUTED_VALUE"""),"RF-00001236-PAR")</f>
        <v>RF-00001236-PAR</v>
      </c>
    </row>
    <row r="1346" spans="1:2" ht="12.5" x14ac:dyDescent="0.25">
      <c r="A1346" t="str">
        <f ca="1">IFERROR(__xludf.DUMMYFUNCTION("""COMPUTED_VALUE"""),"Cross-linked sodium carboxy methyl cellulose, cross linked cellulose gum")</f>
        <v>Cross-linked sodium carboxy methyl cellulose, cross linked cellulose gum</v>
      </c>
      <c r="B1346" t="str">
        <f ca="1">IFERROR(__xludf.DUMMYFUNCTION("""COMPUTED_VALUE"""),"RF-00000107-ADD")</f>
        <v>RF-00000107-ADD</v>
      </c>
    </row>
    <row r="1347" spans="1:2" ht="12.5" x14ac:dyDescent="0.25">
      <c r="A1347" t="str">
        <f ca="1">IFERROR(__xludf.DUMMYFUNCTION("""COMPUTED_VALUE"""),"Crotin I")</f>
        <v>Crotin I</v>
      </c>
      <c r="B1347" t="str">
        <f ca="1">IFERROR(__xludf.DUMMYFUNCTION("""COMPUTED_VALUE"""),"RF-00000337-TOX")</f>
        <v>RF-00000337-TOX</v>
      </c>
    </row>
    <row r="1348" spans="1:2" ht="12.5" x14ac:dyDescent="0.25">
      <c r="A1348" t="str">
        <f ca="1">IFERROR(__xludf.DUMMYFUNCTION("""COMPUTED_VALUE"""),"crotonylidenediurea")</f>
        <v>crotonylidenediurea</v>
      </c>
      <c r="B1348" t="str">
        <f ca="1">IFERROR(__xludf.DUMMYFUNCTION("""COMPUTED_VALUE"""),"RF-00000108-CHE")</f>
        <v>RF-00000108-CHE</v>
      </c>
    </row>
    <row r="1349" spans="1:2" ht="12.5" x14ac:dyDescent="0.25">
      <c r="A1349" t="str">
        <f ca="1">IFERROR(__xludf.DUMMYFUNCTION("""COMPUTED_VALUE"""),"Crotoxyphos")</f>
        <v>Crotoxyphos</v>
      </c>
      <c r="B1349" t="str">
        <f ca="1">IFERROR(__xludf.DUMMYFUNCTION("""COMPUTED_VALUE"""),"RF-0574-001-PPP")</f>
        <v>RF-0574-001-PPP</v>
      </c>
    </row>
    <row r="1350" spans="1:2" ht="12.5" x14ac:dyDescent="0.25">
      <c r="A1350" t="str">
        <f ca="1">IFERROR(__xludf.DUMMYFUNCTION("""COMPUTED_VALUE"""),"Crufomate")</f>
        <v>Crufomate</v>
      </c>
      <c r="B1350" t="str">
        <f ca="1">IFERROR(__xludf.DUMMYFUNCTION("""COMPUTED_VALUE"""),"RF-0575-001-PPP")</f>
        <v>RF-0575-001-PPP</v>
      </c>
    </row>
    <row r="1351" spans="1:2" ht="12.5" x14ac:dyDescent="0.25">
      <c r="A1351" t="str">
        <f ca="1">IFERROR(__xludf.DUMMYFUNCTION("""COMPUTED_VALUE"""),"Cryptosporidium")</f>
        <v>Cryptosporidium</v>
      </c>
      <c r="B1351" t="str">
        <f ca="1">IFERROR(__xludf.DUMMYFUNCTION("""COMPUTED_VALUE"""),"RF-00000086-MCG")</f>
        <v>RF-00000086-MCG</v>
      </c>
    </row>
    <row r="1352" spans="1:2" ht="12.5" x14ac:dyDescent="0.25">
      <c r="A1352" t="str">
        <f ca="1">IFERROR(__xludf.DUMMYFUNCTION("""COMPUTED_VALUE"""),"Cryptosporidium parvum")</f>
        <v>Cryptosporidium parvum</v>
      </c>
      <c r="B1352" t="str">
        <f ca="1">IFERROR(__xludf.DUMMYFUNCTION("""COMPUTED_VALUE"""),"RF-00000088-MCG")</f>
        <v>RF-00000088-MCG</v>
      </c>
    </row>
    <row r="1353" spans="1:2" ht="12.5" x14ac:dyDescent="0.25">
      <c r="A1353" t="str">
        <f ca="1">IFERROR(__xludf.DUMMYFUNCTION("""COMPUTED_VALUE"""),"Cryptosporidium spp., unspecified")</f>
        <v>Cryptosporidium spp., unspecified</v>
      </c>
      <c r="B1353" t="str">
        <f ca="1">IFERROR(__xludf.DUMMYFUNCTION("""COMPUTED_VALUE"""),"RF-00000087-MCG")</f>
        <v>RF-00000087-MCG</v>
      </c>
    </row>
    <row r="1354" spans="1:2" ht="12.5" x14ac:dyDescent="0.25">
      <c r="A1354" t="str">
        <f ca="1">IFERROR(__xludf.DUMMYFUNCTION("""COMPUTED_VALUE"""),"cryptoxanthins")</f>
        <v>cryptoxanthins</v>
      </c>
      <c r="B1354" t="str">
        <f ca="1">IFERROR(__xludf.DUMMYFUNCTION("""COMPUTED_VALUE"""),"RF-00000057-NTR")</f>
        <v>RF-00000057-NTR</v>
      </c>
    </row>
    <row r="1355" spans="1:2" ht="12.5" x14ac:dyDescent="0.25">
      <c r="A1355" t="str">
        <f ca="1">IFERROR(__xludf.DUMMYFUNCTION("""COMPUTED_VALUE"""),"CTX-M")</f>
        <v>CTX-M</v>
      </c>
      <c r="B1355" t="str">
        <f ca="1">IFERROR(__xludf.DUMMYFUNCTION("""COMPUTED_VALUE"""),"RF-00000200-PAR")</f>
        <v>RF-00000200-PAR</v>
      </c>
    </row>
    <row r="1356" spans="1:2" ht="12.5" x14ac:dyDescent="0.25">
      <c r="A1356" t="str">
        <f ca="1">IFERROR(__xludf.DUMMYFUNCTION("""COMPUTED_VALUE"""),"CTX-M-1")</f>
        <v>CTX-M-1</v>
      </c>
      <c r="B1356" t="str">
        <f ca="1">IFERROR(__xludf.DUMMYFUNCTION("""COMPUTED_VALUE"""),"RF-00000201-PAR")</f>
        <v>RF-00000201-PAR</v>
      </c>
    </row>
    <row r="1357" spans="1:2" ht="12.5" x14ac:dyDescent="0.25">
      <c r="A1357" t="str">
        <f ca="1">IFERROR(__xludf.DUMMYFUNCTION("""COMPUTED_VALUE"""),"CTX-M-10")</f>
        <v>CTX-M-10</v>
      </c>
      <c r="B1357" t="str">
        <f ca="1">IFERROR(__xludf.DUMMYFUNCTION("""COMPUTED_VALUE"""),"RF-00000210-PAR")</f>
        <v>RF-00000210-PAR</v>
      </c>
    </row>
    <row r="1358" spans="1:2" ht="12.5" x14ac:dyDescent="0.25">
      <c r="A1358" t="str">
        <f ca="1">IFERROR(__xludf.DUMMYFUNCTION("""COMPUTED_VALUE"""),"CTX-M-100")</f>
        <v>CTX-M-100</v>
      </c>
      <c r="B1358" t="str">
        <f ca="1">IFERROR(__xludf.DUMMYFUNCTION("""COMPUTED_VALUE"""),"RF-00000300-PAR")</f>
        <v>RF-00000300-PAR</v>
      </c>
    </row>
    <row r="1359" spans="1:2" ht="12.5" x14ac:dyDescent="0.25">
      <c r="A1359" t="str">
        <f ca="1">IFERROR(__xludf.DUMMYFUNCTION("""COMPUTED_VALUE"""),"CTX-M-101")</f>
        <v>CTX-M-101</v>
      </c>
      <c r="B1359" t="str">
        <f ca="1">IFERROR(__xludf.DUMMYFUNCTION("""COMPUTED_VALUE"""),"RF-00000301-PAR")</f>
        <v>RF-00000301-PAR</v>
      </c>
    </row>
    <row r="1360" spans="1:2" ht="12.5" x14ac:dyDescent="0.25">
      <c r="A1360" t="str">
        <f ca="1">IFERROR(__xludf.DUMMYFUNCTION("""COMPUTED_VALUE"""),"CTX-M-102")</f>
        <v>CTX-M-102</v>
      </c>
      <c r="B1360" t="str">
        <f ca="1">IFERROR(__xludf.DUMMYFUNCTION("""COMPUTED_VALUE"""),"RF-00000302-PAR")</f>
        <v>RF-00000302-PAR</v>
      </c>
    </row>
    <row r="1361" spans="1:2" ht="12.5" x14ac:dyDescent="0.25">
      <c r="A1361" t="str">
        <f ca="1">IFERROR(__xludf.DUMMYFUNCTION("""COMPUTED_VALUE"""),"CTX-M-103")</f>
        <v>CTX-M-103</v>
      </c>
      <c r="B1361" t="str">
        <f ca="1">IFERROR(__xludf.DUMMYFUNCTION("""COMPUTED_VALUE"""),"RF-00000303-PAR")</f>
        <v>RF-00000303-PAR</v>
      </c>
    </row>
    <row r="1362" spans="1:2" ht="12.5" x14ac:dyDescent="0.25">
      <c r="A1362" t="str">
        <f ca="1">IFERROR(__xludf.DUMMYFUNCTION("""COMPUTED_VALUE"""),"CTX-M-104")</f>
        <v>CTX-M-104</v>
      </c>
      <c r="B1362" t="str">
        <f ca="1">IFERROR(__xludf.DUMMYFUNCTION("""COMPUTED_VALUE"""),"RF-00000304-PAR")</f>
        <v>RF-00000304-PAR</v>
      </c>
    </row>
    <row r="1363" spans="1:2" ht="12.5" x14ac:dyDescent="0.25">
      <c r="A1363" t="str">
        <f ca="1">IFERROR(__xludf.DUMMYFUNCTION("""COMPUTED_VALUE"""),"CTX-M-105")</f>
        <v>CTX-M-105</v>
      </c>
      <c r="B1363" t="str">
        <f ca="1">IFERROR(__xludf.DUMMYFUNCTION("""COMPUTED_VALUE"""),"RF-00000305-PAR")</f>
        <v>RF-00000305-PAR</v>
      </c>
    </row>
    <row r="1364" spans="1:2" ht="12.5" x14ac:dyDescent="0.25">
      <c r="A1364" t="str">
        <f ca="1">IFERROR(__xludf.DUMMYFUNCTION("""COMPUTED_VALUE"""),"CTX-M-106")</f>
        <v>CTX-M-106</v>
      </c>
      <c r="B1364" t="str">
        <f ca="1">IFERROR(__xludf.DUMMYFUNCTION("""COMPUTED_VALUE"""),"RF-00000306-PAR")</f>
        <v>RF-00000306-PAR</v>
      </c>
    </row>
    <row r="1365" spans="1:2" ht="12.5" x14ac:dyDescent="0.25">
      <c r="A1365" t="str">
        <f ca="1">IFERROR(__xludf.DUMMYFUNCTION("""COMPUTED_VALUE"""),"CTX-M-107")</f>
        <v>CTX-M-107</v>
      </c>
      <c r="B1365" t="str">
        <f ca="1">IFERROR(__xludf.DUMMYFUNCTION("""COMPUTED_VALUE"""),"RF-00000307-PAR")</f>
        <v>RF-00000307-PAR</v>
      </c>
    </row>
    <row r="1366" spans="1:2" ht="12.5" x14ac:dyDescent="0.25">
      <c r="A1366" t="str">
        <f ca="1">IFERROR(__xludf.DUMMYFUNCTION("""COMPUTED_VALUE"""),"CTX-M-108")</f>
        <v>CTX-M-108</v>
      </c>
      <c r="B1366" t="str">
        <f ca="1">IFERROR(__xludf.DUMMYFUNCTION("""COMPUTED_VALUE"""),"RF-00000308-PAR")</f>
        <v>RF-00000308-PAR</v>
      </c>
    </row>
    <row r="1367" spans="1:2" ht="12.5" x14ac:dyDescent="0.25">
      <c r="A1367" t="str">
        <f ca="1">IFERROR(__xludf.DUMMYFUNCTION("""COMPUTED_VALUE"""),"CTX-M-109")</f>
        <v>CTX-M-109</v>
      </c>
      <c r="B1367" t="str">
        <f ca="1">IFERROR(__xludf.DUMMYFUNCTION("""COMPUTED_VALUE"""),"RF-00000309-PAR")</f>
        <v>RF-00000309-PAR</v>
      </c>
    </row>
    <row r="1368" spans="1:2" ht="12.5" x14ac:dyDescent="0.25">
      <c r="A1368" t="str">
        <f ca="1">IFERROR(__xludf.DUMMYFUNCTION("""COMPUTED_VALUE"""),"CTX-M-11")</f>
        <v>CTX-M-11</v>
      </c>
      <c r="B1368" t="str">
        <f ca="1">IFERROR(__xludf.DUMMYFUNCTION("""COMPUTED_VALUE"""),"RF-00000211-PAR")</f>
        <v>RF-00000211-PAR</v>
      </c>
    </row>
    <row r="1369" spans="1:2" ht="12.5" x14ac:dyDescent="0.25">
      <c r="A1369" t="str">
        <f ca="1">IFERROR(__xludf.DUMMYFUNCTION("""COMPUTED_VALUE"""),"CTX-M-110")</f>
        <v>CTX-M-110</v>
      </c>
      <c r="B1369" t="str">
        <f ca="1">IFERROR(__xludf.DUMMYFUNCTION("""COMPUTED_VALUE"""),"RF-00000310-PAR")</f>
        <v>RF-00000310-PAR</v>
      </c>
    </row>
    <row r="1370" spans="1:2" ht="12.5" x14ac:dyDescent="0.25">
      <c r="A1370" t="str">
        <f ca="1">IFERROR(__xludf.DUMMYFUNCTION("""COMPUTED_VALUE"""),"CTX-M-111")</f>
        <v>CTX-M-111</v>
      </c>
      <c r="B1370" t="str">
        <f ca="1">IFERROR(__xludf.DUMMYFUNCTION("""COMPUTED_VALUE"""),"RF-00000311-PAR")</f>
        <v>RF-00000311-PAR</v>
      </c>
    </row>
    <row r="1371" spans="1:2" ht="12.5" x14ac:dyDescent="0.25">
      <c r="A1371" t="str">
        <f ca="1">IFERROR(__xludf.DUMMYFUNCTION("""COMPUTED_VALUE"""),"CTX-M-112")</f>
        <v>CTX-M-112</v>
      </c>
      <c r="B1371" t="str">
        <f ca="1">IFERROR(__xludf.DUMMYFUNCTION("""COMPUTED_VALUE"""),"RF-00000312-PAR")</f>
        <v>RF-00000312-PAR</v>
      </c>
    </row>
    <row r="1372" spans="1:2" ht="12.5" x14ac:dyDescent="0.25">
      <c r="A1372" t="str">
        <f ca="1">IFERROR(__xludf.DUMMYFUNCTION("""COMPUTED_VALUE"""),"CTX-M-113")</f>
        <v>CTX-M-113</v>
      </c>
      <c r="B1372" t="str">
        <f ca="1">IFERROR(__xludf.DUMMYFUNCTION("""COMPUTED_VALUE"""),"RF-00000313-PAR")</f>
        <v>RF-00000313-PAR</v>
      </c>
    </row>
    <row r="1373" spans="1:2" ht="12.5" x14ac:dyDescent="0.25">
      <c r="A1373" t="str">
        <f ca="1">IFERROR(__xludf.DUMMYFUNCTION("""COMPUTED_VALUE"""),"CTX-M-114")</f>
        <v>CTX-M-114</v>
      </c>
      <c r="B1373" t="str">
        <f ca="1">IFERROR(__xludf.DUMMYFUNCTION("""COMPUTED_VALUE"""),"RF-00000314-PAR")</f>
        <v>RF-00000314-PAR</v>
      </c>
    </row>
    <row r="1374" spans="1:2" ht="12.5" x14ac:dyDescent="0.25">
      <c r="A1374" t="str">
        <f ca="1">IFERROR(__xludf.DUMMYFUNCTION("""COMPUTED_VALUE"""),"CTX-M-115")</f>
        <v>CTX-M-115</v>
      </c>
      <c r="B1374" t="str">
        <f ca="1">IFERROR(__xludf.DUMMYFUNCTION("""COMPUTED_VALUE"""),"RF-00000315-PAR")</f>
        <v>RF-00000315-PAR</v>
      </c>
    </row>
    <row r="1375" spans="1:2" ht="12.5" x14ac:dyDescent="0.25">
      <c r="A1375" t="str">
        <f ca="1">IFERROR(__xludf.DUMMYFUNCTION("""COMPUTED_VALUE"""),"CTX-M-116")</f>
        <v>CTX-M-116</v>
      </c>
      <c r="B1375" t="str">
        <f ca="1">IFERROR(__xludf.DUMMYFUNCTION("""COMPUTED_VALUE"""),"RF-00000316-PAR")</f>
        <v>RF-00000316-PAR</v>
      </c>
    </row>
    <row r="1376" spans="1:2" ht="12.5" x14ac:dyDescent="0.25">
      <c r="A1376" t="str">
        <f ca="1">IFERROR(__xludf.DUMMYFUNCTION("""COMPUTED_VALUE"""),"CTX-M-117")</f>
        <v>CTX-M-117</v>
      </c>
      <c r="B1376" t="str">
        <f ca="1">IFERROR(__xludf.DUMMYFUNCTION("""COMPUTED_VALUE"""),"RF-00000317-PAR")</f>
        <v>RF-00000317-PAR</v>
      </c>
    </row>
    <row r="1377" spans="1:2" ht="12.5" x14ac:dyDescent="0.25">
      <c r="A1377" t="str">
        <f ca="1">IFERROR(__xludf.DUMMYFUNCTION("""COMPUTED_VALUE"""),"CTX-M-118")</f>
        <v>CTX-M-118</v>
      </c>
      <c r="B1377" t="str">
        <f ca="1">IFERROR(__xludf.DUMMYFUNCTION("""COMPUTED_VALUE"""),"RF-00000318-PAR")</f>
        <v>RF-00000318-PAR</v>
      </c>
    </row>
    <row r="1378" spans="1:2" ht="12.5" x14ac:dyDescent="0.25">
      <c r="A1378" t="str">
        <f ca="1">IFERROR(__xludf.DUMMYFUNCTION("""COMPUTED_VALUE"""),"CTX-M-119")</f>
        <v>CTX-M-119</v>
      </c>
      <c r="B1378" t="str">
        <f ca="1">IFERROR(__xludf.DUMMYFUNCTION("""COMPUTED_VALUE"""),"RF-00000319-PAR")</f>
        <v>RF-00000319-PAR</v>
      </c>
    </row>
    <row r="1379" spans="1:2" ht="12.5" x14ac:dyDescent="0.25">
      <c r="A1379" t="str">
        <f ca="1">IFERROR(__xludf.DUMMYFUNCTION("""COMPUTED_VALUE"""),"CTX-M-12")</f>
        <v>CTX-M-12</v>
      </c>
      <c r="B1379" t="str">
        <f ca="1">IFERROR(__xludf.DUMMYFUNCTION("""COMPUTED_VALUE"""),"RF-00000212-PAR")</f>
        <v>RF-00000212-PAR</v>
      </c>
    </row>
    <row r="1380" spans="1:2" ht="12.5" x14ac:dyDescent="0.25">
      <c r="A1380" t="str">
        <f ca="1">IFERROR(__xludf.DUMMYFUNCTION("""COMPUTED_VALUE"""),"CTX-M-120")</f>
        <v>CTX-M-120</v>
      </c>
      <c r="B1380" t="str">
        <f ca="1">IFERROR(__xludf.DUMMYFUNCTION("""COMPUTED_VALUE"""),"RF-00000320-PAR")</f>
        <v>RF-00000320-PAR</v>
      </c>
    </row>
    <row r="1381" spans="1:2" ht="12.5" x14ac:dyDescent="0.25">
      <c r="A1381" t="str">
        <f ca="1">IFERROR(__xludf.DUMMYFUNCTION("""COMPUTED_VALUE"""),"CTX-M-121")</f>
        <v>CTX-M-121</v>
      </c>
      <c r="B1381" t="str">
        <f ca="1">IFERROR(__xludf.DUMMYFUNCTION("""COMPUTED_VALUE"""),"RF-00000321-PAR")</f>
        <v>RF-00000321-PAR</v>
      </c>
    </row>
    <row r="1382" spans="1:2" ht="12.5" x14ac:dyDescent="0.25">
      <c r="A1382" t="str">
        <f ca="1">IFERROR(__xludf.DUMMYFUNCTION("""COMPUTED_VALUE"""),"CTX-M-122")</f>
        <v>CTX-M-122</v>
      </c>
      <c r="B1382" t="str">
        <f ca="1">IFERROR(__xludf.DUMMYFUNCTION("""COMPUTED_VALUE"""),"RF-00000322-PAR")</f>
        <v>RF-00000322-PAR</v>
      </c>
    </row>
    <row r="1383" spans="1:2" ht="12.5" x14ac:dyDescent="0.25">
      <c r="A1383" t="str">
        <f ca="1">IFERROR(__xludf.DUMMYFUNCTION("""COMPUTED_VALUE"""),"CTX-M-123")</f>
        <v>CTX-M-123</v>
      </c>
      <c r="B1383" t="str">
        <f ca="1">IFERROR(__xludf.DUMMYFUNCTION("""COMPUTED_VALUE"""),"RF-00000323-PAR")</f>
        <v>RF-00000323-PAR</v>
      </c>
    </row>
    <row r="1384" spans="1:2" ht="12.5" x14ac:dyDescent="0.25">
      <c r="A1384" t="str">
        <f ca="1">IFERROR(__xludf.DUMMYFUNCTION("""COMPUTED_VALUE"""),"CTX-M-124")</f>
        <v>CTX-M-124</v>
      </c>
      <c r="B1384" t="str">
        <f ca="1">IFERROR(__xludf.DUMMYFUNCTION("""COMPUTED_VALUE"""),"RF-00000324-PAR")</f>
        <v>RF-00000324-PAR</v>
      </c>
    </row>
    <row r="1385" spans="1:2" ht="12.5" x14ac:dyDescent="0.25">
      <c r="A1385" t="str">
        <f ca="1">IFERROR(__xludf.DUMMYFUNCTION("""COMPUTED_VALUE"""),"CTX-M-125")</f>
        <v>CTX-M-125</v>
      </c>
      <c r="B1385" t="str">
        <f ca="1">IFERROR(__xludf.DUMMYFUNCTION("""COMPUTED_VALUE"""),"RF-00000325-PAR")</f>
        <v>RF-00000325-PAR</v>
      </c>
    </row>
    <row r="1386" spans="1:2" ht="12.5" x14ac:dyDescent="0.25">
      <c r="A1386" t="str">
        <f ca="1">IFERROR(__xludf.DUMMYFUNCTION("""COMPUTED_VALUE"""),"CTX-M-126")</f>
        <v>CTX-M-126</v>
      </c>
      <c r="B1386" t="str">
        <f ca="1">IFERROR(__xludf.DUMMYFUNCTION("""COMPUTED_VALUE"""),"RF-00000326-PAR")</f>
        <v>RF-00000326-PAR</v>
      </c>
    </row>
    <row r="1387" spans="1:2" ht="12.5" x14ac:dyDescent="0.25">
      <c r="A1387" t="str">
        <f ca="1">IFERROR(__xludf.DUMMYFUNCTION("""COMPUTED_VALUE"""),"CTX-M-127")</f>
        <v>CTX-M-127</v>
      </c>
      <c r="B1387" t="str">
        <f ca="1">IFERROR(__xludf.DUMMYFUNCTION("""COMPUTED_VALUE"""),"RF-00000327-PAR")</f>
        <v>RF-00000327-PAR</v>
      </c>
    </row>
    <row r="1388" spans="1:2" ht="12.5" x14ac:dyDescent="0.25">
      <c r="A1388" t="str">
        <f ca="1">IFERROR(__xludf.DUMMYFUNCTION("""COMPUTED_VALUE"""),"CTX-M-128")</f>
        <v>CTX-M-128</v>
      </c>
      <c r="B1388" t="str">
        <f ca="1">IFERROR(__xludf.DUMMYFUNCTION("""COMPUTED_VALUE"""),"RF-00000328-PAR")</f>
        <v>RF-00000328-PAR</v>
      </c>
    </row>
    <row r="1389" spans="1:2" ht="12.5" x14ac:dyDescent="0.25">
      <c r="A1389" t="str">
        <f ca="1">IFERROR(__xludf.DUMMYFUNCTION("""COMPUTED_VALUE"""),"CTX-M-129")</f>
        <v>CTX-M-129</v>
      </c>
      <c r="B1389" t="str">
        <f ca="1">IFERROR(__xludf.DUMMYFUNCTION("""COMPUTED_VALUE"""),"RF-00000329-PAR")</f>
        <v>RF-00000329-PAR</v>
      </c>
    </row>
    <row r="1390" spans="1:2" ht="12.5" x14ac:dyDescent="0.25">
      <c r="A1390" t="str">
        <f ca="1">IFERROR(__xludf.DUMMYFUNCTION("""COMPUTED_VALUE"""),"CTX-M-13")</f>
        <v>CTX-M-13</v>
      </c>
      <c r="B1390" t="str">
        <f ca="1">IFERROR(__xludf.DUMMYFUNCTION("""COMPUTED_VALUE"""),"RF-00000213-PAR")</f>
        <v>RF-00000213-PAR</v>
      </c>
    </row>
    <row r="1391" spans="1:2" ht="12.5" x14ac:dyDescent="0.25">
      <c r="A1391" t="str">
        <f ca="1">IFERROR(__xludf.DUMMYFUNCTION("""COMPUTED_VALUE"""),"CTX-M-130")</f>
        <v>CTX-M-130</v>
      </c>
      <c r="B1391" t="str">
        <f ca="1">IFERROR(__xludf.DUMMYFUNCTION("""COMPUTED_VALUE"""),"RF-00000330-PAR")</f>
        <v>RF-00000330-PAR</v>
      </c>
    </row>
    <row r="1392" spans="1:2" ht="12.5" x14ac:dyDescent="0.25">
      <c r="A1392" t="str">
        <f ca="1">IFERROR(__xludf.DUMMYFUNCTION("""COMPUTED_VALUE"""),"CTX-M-131")</f>
        <v>CTX-M-131</v>
      </c>
      <c r="B1392" t="str">
        <f ca="1">IFERROR(__xludf.DUMMYFUNCTION("""COMPUTED_VALUE"""),"RF-00000331-PAR")</f>
        <v>RF-00000331-PAR</v>
      </c>
    </row>
    <row r="1393" spans="1:2" ht="12.5" x14ac:dyDescent="0.25">
      <c r="A1393" t="str">
        <f ca="1">IFERROR(__xludf.DUMMYFUNCTION("""COMPUTED_VALUE"""),"CTX-M-132")</f>
        <v>CTX-M-132</v>
      </c>
      <c r="B1393" t="str">
        <f ca="1">IFERROR(__xludf.DUMMYFUNCTION("""COMPUTED_VALUE"""),"RF-00000332-PAR")</f>
        <v>RF-00000332-PAR</v>
      </c>
    </row>
    <row r="1394" spans="1:2" ht="12.5" x14ac:dyDescent="0.25">
      <c r="A1394" t="str">
        <f ca="1">IFERROR(__xludf.DUMMYFUNCTION("""COMPUTED_VALUE"""),"CTX-M-133")</f>
        <v>CTX-M-133</v>
      </c>
      <c r="B1394" t="str">
        <f ca="1">IFERROR(__xludf.DUMMYFUNCTION("""COMPUTED_VALUE"""),"RF-00000333-PAR")</f>
        <v>RF-00000333-PAR</v>
      </c>
    </row>
    <row r="1395" spans="1:2" ht="12.5" x14ac:dyDescent="0.25">
      <c r="A1395" t="str">
        <f ca="1">IFERROR(__xludf.DUMMYFUNCTION("""COMPUTED_VALUE"""),"CTX-M-134")</f>
        <v>CTX-M-134</v>
      </c>
      <c r="B1395" t="str">
        <f ca="1">IFERROR(__xludf.DUMMYFUNCTION("""COMPUTED_VALUE"""),"RF-00000334-PAR")</f>
        <v>RF-00000334-PAR</v>
      </c>
    </row>
    <row r="1396" spans="1:2" ht="12.5" x14ac:dyDescent="0.25">
      <c r="A1396" t="str">
        <f ca="1">IFERROR(__xludf.DUMMYFUNCTION("""COMPUTED_VALUE"""),"CTX-M-135")</f>
        <v>CTX-M-135</v>
      </c>
      <c r="B1396" t="str">
        <f ca="1">IFERROR(__xludf.DUMMYFUNCTION("""COMPUTED_VALUE"""),"RF-00000335-PAR")</f>
        <v>RF-00000335-PAR</v>
      </c>
    </row>
    <row r="1397" spans="1:2" ht="12.5" x14ac:dyDescent="0.25">
      <c r="A1397" t="str">
        <f ca="1">IFERROR(__xludf.DUMMYFUNCTION("""COMPUTED_VALUE"""),"CTX-M-136")</f>
        <v>CTX-M-136</v>
      </c>
      <c r="B1397" t="str">
        <f ca="1">IFERROR(__xludf.DUMMYFUNCTION("""COMPUTED_VALUE"""),"RF-00000336-PAR")</f>
        <v>RF-00000336-PAR</v>
      </c>
    </row>
    <row r="1398" spans="1:2" ht="12.5" x14ac:dyDescent="0.25">
      <c r="A1398" t="str">
        <f ca="1">IFERROR(__xludf.DUMMYFUNCTION("""COMPUTED_VALUE"""),"CTX-M-137")</f>
        <v>CTX-M-137</v>
      </c>
      <c r="B1398" t="str">
        <f ca="1">IFERROR(__xludf.DUMMYFUNCTION("""COMPUTED_VALUE"""),"RF-00000337-PAR")</f>
        <v>RF-00000337-PAR</v>
      </c>
    </row>
    <row r="1399" spans="1:2" ht="12.5" x14ac:dyDescent="0.25">
      <c r="A1399" t="str">
        <f ca="1">IFERROR(__xludf.DUMMYFUNCTION("""COMPUTED_VALUE"""),"CTX-M-14")</f>
        <v>CTX-M-14</v>
      </c>
      <c r="B1399" t="str">
        <f ca="1">IFERROR(__xludf.DUMMYFUNCTION("""COMPUTED_VALUE"""),"RF-00000214-PAR")</f>
        <v>RF-00000214-PAR</v>
      </c>
    </row>
    <row r="1400" spans="1:2" ht="12.5" x14ac:dyDescent="0.25">
      <c r="A1400" t="str">
        <f ca="1">IFERROR(__xludf.DUMMYFUNCTION("""COMPUTED_VALUE"""),"CTX-M-15  (UOE-1)")</f>
        <v>CTX-M-15  (UOE-1)</v>
      </c>
      <c r="B1400" t="str">
        <f ca="1">IFERROR(__xludf.DUMMYFUNCTION("""COMPUTED_VALUE"""),"RF-00000215-PAR")</f>
        <v>RF-00000215-PAR</v>
      </c>
    </row>
    <row r="1401" spans="1:2" ht="12.5" x14ac:dyDescent="0.25">
      <c r="A1401" t="str">
        <f ca="1">IFERROR(__xludf.DUMMYFUNCTION("""COMPUTED_VALUE"""),"CTX-M-16")</f>
        <v>CTX-M-16</v>
      </c>
      <c r="B1401" t="str">
        <f ca="1">IFERROR(__xludf.DUMMYFUNCTION("""COMPUTED_VALUE"""),"RF-00000216-PAR")</f>
        <v>RF-00000216-PAR</v>
      </c>
    </row>
    <row r="1402" spans="1:2" ht="12.5" x14ac:dyDescent="0.25">
      <c r="A1402" t="str">
        <f ca="1">IFERROR(__xludf.DUMMYFUNCTION("""COMPUTED_VALUE"""),"CTX-M-17")</f>
        <v>CTX-M-17</v>
      </c>
      <c r="B1402" t="str">
        <f ca="1">IFERROR(__xludf.DUMMYFUNCTION("""COMPUTED_VALUE"""),"RF-00000217-PAR")</f>
        <v>RF-00000217-PAR</v>
      </c>
    </row>
    <row r="1403" spans="1:2" ht="12.5" x14ac:dyDescent="0.25">
      <c r="A1403" t="str">
        <f ca="1">IFERROR(__xludf.DUMMYFUNCTION("""COMPUTED_VALUE"""),"CTX-M-18")</f>
        <v>CTX-M-18</v>
      </c>
      <c r="B1403" t="str">
        <f ca="1">IFERROR(__xludf.DUMMYFUNCTION("""COMPUTED_VALUE"""),"RF-00000218-PAR")</f>
        <v>RF-00000218-PAR</v>
      </c>
    </row>
    <row r="1404" spans="1:2" ht="12.5" x14ac:dyDescent="0.25">
      <c r="A1404" t="str">
        <f ca="1">IFERROR(__xludf.DUMMYFUNCTION("""COMPUTED_VALUE"""),"CTX-M-19")</f>
        <v>CTX-M-19</v>
      </c>
      <c r="B1404" t="str">
        <f ca="1">IFERROR(__xludf.DUMMYFUNCTION("""COMPUTED_VALUE"""),"RF-00000219-PAR")</f>
        <v>RF-00000219-PAR</v>
      </c>
    </row>
    <row r="1405" spans="1:2" ht="12.5" x14ac:dyDescent="0.25">
      <c r="A1405" t="str">
        <f ca="1">IFERROR(__xludf.DUMMYFUNCTION("""COMPUTED_VALUE"""),"CTX-M-2")</f>
        <v>CTX-M-2</v>
      </c>
      <c r="B1405" t="str">
        <f ca="1">IFERROR(__xludf.DUMMYFUNCTION("""COMPUTED_VALUE"""),"RF-00000202-PAR")</f>
        <v>RF-00000202-PAR</v>
      </c>
    </row>
    <row r="1406" spans="1:2" ht="12.5" x14ac:dyDescent="0.25">
      <c r="A1406" t="str">
        <f ca="1">IFERROR(__xludf.DUMMYFUNCTION("""COMPUTED_VALUE"""),"CTX-M-20")</f>
        <v>CTX-M-20</v>
      </c>
      <c r="B1406" t="str">
        <f ca="1">IFERROR(__xludf.DUMMYFUNCTION("""COMPUTED_VALUE"""),"RF-00000220-PAR")</f>
        <v>RF-00000220-PAR</v>
      </c>
    </row>
    <row r="1407" spans="1:2" ht="12.5" x14ac:dyDescent="0.25">
      <c r="A1407" t="str">
        <f ca="1">IFERROR(__xludf.DUMMYFUNCTION("""COMPUTED_VALUE"""),"CTX-M-21")</f>
        <v>CTX-M-21</v>
      </c>
      <c r="B1407" t="str">
        <f ca="1">IFERROR(__xludf.DUMMYFUNCTION("""COMPUTED_VALUE"""),"RF-00000221-PAR")</f>
        <v>RF-00000221-PAR</v>
      </c>
    </row>
    <row r="1408" spans="1:2" ht="12.5" x14ac:dyDescent="0.25">
      <c r="A1408" t="str">
        <f ca="1">IFERROR(__xludf.DUMMYFUNCTION("""COMPUTED_VALUE"""),"CTX-M-22")</f>
        <v>CTX-M-22</v>
      </c>
      <c r="B1408" t="str">
        <f ca="1">IFERROR(__xludf.DUMMYFUNCTION("""COMPUTED_VALUE"""),"RF-00000222-PAR")</f>
        <v>RF-00000222-PAR</v>
      </c>
    </row>
    <row r="1409" spans="1:2" ht="12.5" x14ac:dyDescent="0.25">
      <c r="A1409" t="str">
        <f ca="1">IFERROR(__xludf.DUMMYFUNCTION("""COMPUTED_VALUE"""),"CTX-M-23")</f>
        <v>CTX-M-23</v>
      </c>
      <c r="B1409" t="str">
        <f ca="1">IFERROR(__xludf.DUMMYFUNCTION("""COMPUTED_VALUE"""),"RF-00000223-PAR")</f>
        <v>RF-00000223-PAR</v>
      </c>
    </row>
    <row r="1410" spans="1:2" ht="12.5" x14ac:dyDescent="0.25">
      <c r="A1410" t="str">
        <f ca="1">IFERROR(__xludf.DUMMYFUNCTION("""COMPUTED_VALUE"""),"CTX-M-24")</f>
        <v>CTX-M-24</v>
      </c>
      <c r="B1410" t="str">
        <f ca="1">IFERROR(__xludf.DUMMYFUNCTION("""COMPUTED_VALUE"""),"RF-00000224-PAR")</f>
        <v>RF-00000224-PAR</v>
      </c>
    </row>
    <row r="1411" spans="1:2" ht="12.5" x14ac:dyDescent="0.25">
      <c r="A1411" t="str">
        <f ca="1">IFERROR(__xludf.DUMMYFUNCTION("""COMPUTED_VALUE"""),"CTX-M-25")</f>
        <v>CTX-M-25</v>
      </c>
      <c r="B1411" t="str">
        <f ca="1">IFERROR(__xludf.DUMMYFUNCTION("""COMPUTED_VALUE"""),"RF-00000225-PAR")</f>
        <v>RF-00000225-PAR</v>
      </c>
    </row>
    <row r="1412" spans="1:2" ht="12.5" x14ac:dyDescent="0.25">
      <c r="A1412" t="str">
        <f ca="1">IFERROR(__xludf.DUMMYFUNCTION("""COMPUTED_VALUE"""),"CTX-M-26")</f>
        <v>CTX-M-26</v>
      </c>
      <c r="B1412" t="str">
        <f ca="1">IFERROR(__xludf.DUMMYFUNCTION("""COMPUTED_VALUE"""),"RF-00000226-PAR")</f>
        <v>RF-00000226-PAR</v>
      </c>
    </row>
    <row r="1413" spans="1:2" ht="12.5" x14ac:dyDescent="0.25">
      <c r="A1413" t="str">
        <f ca="1">IFERROR(__xludf.DUMMYFUNCTION("""COMPUTED_VALUE"""),"CTX-M-27")</f>
        <v>CTX-M-27</v>
      </c>
      <c r="B1413" t="str">
        <f ca="1">IFERROR(__xludf.DUMMYFUNCTION("""COMPUTED_VALUE"""),"RF-00000227-PAR")</f>
        <v>RF-00000227-PAR</v>
      </c>
    </row>
    <row r="1414" spans="1:2" ht="12.5" x14ac:dyDescent="0.25">
      <c r="A1414" t="str">
        <f ca="1">IFERROR(__xludf.DUMMYFUNCTION("""COMPUTED_VALUE"""),"CTX-M-28")</f>
        <v>CTX-M-28</v>
      </c>
      <c r="B1414" t="str">
        <f ca="1">IFERROR(__xludf.DUMMYFUNCTION("""COMPUTED_VALUE"""),"RF-00000228-PAR")</f>
        <v>RF-00000228-PAR</v>
      </c>
    </row>
    <row r="1415" spans="1:2" ht="12.5" x14ac:dyDescent="0.25">
      <c r="A1415" t="str">
        <f ca="1">IFERROR(__xludf.DUMMYFUNCTION("""COMPUTED_VALUE"""),"CTX-M-29")</f>
        <v>CTX-M-29</v>
      </c>
      <c r="B1415" t="str">
        <f ca="1">IFERROR(__xludf.DUMMYFUNCTION("""COMPUTED_VALUE"""),"RF-00000229-PAR")</f>
        <v>RF-00000229-PAR</v>
      </c>
    </row>
    <row r="1416" spans="1:2" ht="12.5" x14ac:dyDescent="0.25">
      <c r="A1416" t="str">
        <f ca="1">IFERROR(__xludf.DUMMYFUNCTION("""COMPUTED_VALUE"""),"CTX-M-3")</f>
        <v>CTX-M-3</v>
      </c>
      <c r="B1416" t="str">
        <f ca="1">IFERROR(__xludf.DUMMYFUNCTION("""COMPUTED_VALUE"""),"RF-00000203-PAR")</f>
        <v>RF-00000203-PAR</v>
      </c>
    </row>
    <row r="1417" spans="1:2" ht="12.5" x14ac:dyDescent="0.25">
      <c r="A1417" t="str">
        <f ca="1">IFERROR(__xludf.DUMMYFUNCTION("""COMPUTED_VALUE"""),"CTX-M-30")</f>
        <v>CTX-M-30</v>
      </c>
      <c r="B1417" t="str">
        <f ca="1">IFERROR(__xludf.DUMMYFUNCTION("""COMPUTED_VALUE"""),"RF-00000230-PAR")</f>
        <v>RF-00000230-PAR</v>
      </c>
    </row>
    <row r="1418" spans="1:2" ht="12.5" x14ac:dyDescent="0.25">
      <c r="A1418" t="str">
        <f ca="1">IFERROR(__xludf.DUMMYFUNCTION("""COMPUTED_VALUE"""),"CTX-M-31")</f>
        <v>CTX-M-31</v>
      </c>
      <c r="B1418" t="str">
        <f ca="1">IFERROR(__xludf.DUMMYFUNCTION("""COMPUTED_VALUE"""),"RF-00000231-PAR")</f>
        <v>RF-00000231-PAR</v>
      </c>
    </row>
    <row r="1419" spans="1:2" ht="12.5" x14ac:dyDescent="0.25">
      <c r="A1419" t="str">
        <f ca="1">IFERROR(__xludf.DUMMYFUNCTION("""COMPUTED_VALUE"""),"CTX-M-32")</f>
        <v>CTX-M-32</v>
      </c>
      <c r="B1419" t="str">
        <f ca="1">IFERROR(__xludf.DUMMYFUNCTION("""COMPUTED_VALUE"""),"RF-00000232-PAR")</f>
        <v>RF-00000232-PAR</v>
      </c>
    </row>
    <row r="1420" spans="1:2" ht="12.5" x14ac:dyDescent="0.25">
      <c r="A1420" t="str">
        <f ca="1">IFERROR(__xludf.DUMMYFUNCTION("""COMPUTED_VALUE"""),"CTX-M-33")</f>
        <v>CTX-M-33</v>
      </c>
      <c r="B1420" t="str">
        <f ca="1">IFERROR(__xludf.DUMMYFUNCTION("""COMPUTED_VALUE"""),"RF-00000233-PAR")</f>
        <v>RF-00000233-PAR</v>
      </c>
    </row>
    <row r="1421" spans="1:2" ht="12.5" x14ac:dyDescent="0.25">
      <c r="A1421" t="str">
        <f ca="1">IFERROR(__xludf.DUMMYFUNCTION("""COMPUTED_VALUE"""),"CTX-M-34")</f>
        <v>CTX-M-34</v>
      </c>
      <c r="B1421" t="str">
        <f ca="1">IFERROR(__xludf.DUMMYFUNCTION("""COMPUTED_VALUE"""),"RF-00000234-PAR")</f>
        <v>RF-00000234-PAR</v>
      </c>
    </row>
    <row r="1422" spans="1:2" ht="12.5" x14ac:dyDescent="0.25">
      <c r="A1422" t="str">
        <f ca="1">IFERROR(__xludf.DUMMYFUNCTION("""COMPUTED_VALUE"""),"CTX-M-35")</f>
        <v>CTX-M-35</v>
      </c>
      <c r="B1422" t="str">
        <f ca="1">IFERROR(__xludf.DUMMYFUNCTION("""COMPUTED_VALUE"""),"RF-00000235-PAR")</f>
        <v>RF-00000235-PAR</v>
      </c>
    </row>
    <row r="1423" spans="1:2" ht="12.5" x14ac:dyDescent="0.25">
      <c r="A1423" t="str">
        <f ca="1">IFERROR(__xludf.DUMMYFUNCTION("""COMPUTED_VALUE"""),"CTX-M-36")</f>
        <v>CTX-M-36</v>
      </c>
      <c r="B1423" t="str">
        <f ca="1">IFERROR(__xludf.DUMMYFUNCTION("""COMPUTED_VALUE"""),"RF-00000236-PAR")</f>
        <v>RF-00000236-PAR</v>
      </c>
    </row>
    <row r="1424" spans="1:2" ht="12.5" x14ac:dyDescent="0.25">
      <c r="A1424" t="str">
        <f ca="1">IFERROR(__xludf.DUMMYFUNCTION("""COMPUTED_VALUE"""),"CTX-M-37")</f>
        <v>CTX-M-37</v>
      </c>
      <c r="B1424" t="str">
        <f ca="1">IFERROR(__xludf.DUMMYFUNCTION("""COMPUTED_VALUE"""),"RF-00000237-PAR")</f>
        <v>RF-00000237-PAR</v>
      </c>
    </row>
    <row r="1425" spans="1:2" ht="12.5" x14ac:dyDescent="0.25">
      <c r="A1425" t="str">
        <f ca="1">IFERROR(__xludf.DUMMYFUNCTION("""COMPUTED_VALUE"""),"CTX-M-38")</f>
        <v>CTX-M-38</v>
      </c>
      <c r="B1425" t="str">
        <f ca="1">IFERROR(__xludf.DUMMYFUNCTION("""COMPUTED_VALUE"""),"RF-00000238-PAR")</f>
        <v>RF-00000238-PAR</v>
      </c>
    </row>
    <row r="1426" spans="1:2" ht="12.5" x14ac:dyDescent="0.25">
      <c r="A1426" t="str">
        <f ca="1">IFERROR(__xludf.DUMMYFUNCTION("""COMPUTED_VALUE"""),"CTX-M-39")</f>
        <v>CTX-M-39</v>
      </c>
      <c r="B1426" t="str">
        <f ca="1">IFERROR(__xludf.DUMMYFUNCTION("""COMPUTED_VALUE"""),"RF-00000239-PAR")</f>
        <v>RF-00000239-PAR</v>
      </c>
    </row>
    <row r="1427" spans="1:2" ht="12.5" x14ac:dyDescent="0.25">
      <c r="A1427" t="str">
        <f ca="1">IFERROR(__xludf.DUMMYFUNCTION("""COMPUTED_VALUE"""),"CTX-M-4")</f>
        <v>CTX-M-4</v>
      </c>
      <c r="B1427" t="str">
        <f ca="1">IFERROR(__xludf.DUMMYFUNCTION("""COMPUTED_VALUE"""),"RF-00000204-PAR")</f>
        <v>RF-00000204-PAR</v>
      </c>
    </row>
    <row r="1428" spans="1:2" ht="12.5" x14ac:dyDescent="0.25">
      <c r="A1428" t="str">
        <f ca="1">IFERROR(__xludf.DUMMYFUNCTION("""COMPUTED_VALUE"""),"CTX-M-40")</f>
        <v>CTX-M-40</v>
      </c>
      <c r="B1428" t="str">
        <f ca="1">IFERROR(__xludf.DUMMYFUNCTION("""COMPUTED_VALUE"""),"RF-00000240-PAR")</f>
        <v>RF-00000240-PAR</v>
      </c>
    </row>
    <row r="1429" spans="1:2" ht="12.5" x14ac:dyDescent="0.25">
      <c r="A1429" t="str">
        <f ca="1">IFERROR(__xludf.DUMMYFUNCTION("""COMPUTED_VALUE"""),"CTX-M-41")</f>
        <v>CTX-M-41</v>
      </c>
      <c r="B1429" t="str">
        <f ca="1">IFERROR(__xludf.DUMMYFUNCTION("""COMPUTED_VALUE"""),"RF-00000241-PAR")</f>
        <v>RF-00000241-PAR</v>
      </c>
    </row>
    <row r="1430" spans="1:2" ht="12.5" x14ac:dyDescent="0.25">
      <c r="A1430" t="str">
        <f ca="1">IFERROR(__xludf.DUMMYFUNCTION("""COMPUTED_VALUE"""),"CTX-M-42")</f>
        <v>CTX-M-42</v>
      </c>
      <c r="B1430" t="str">
        <f ca="1">IFERROR(__xludf.DUMMYFUNCTION("""COMPUTED_VALUE"""),"RF-00000242-PAR")</f>
        <v>RF-00000242-PAR</v>
      </c>
    </row>
    <row r="1431" spans="1:2" ht="12.5" x14ac:dyDescent="0.25">
      <c r="A1431" t="str">
        <f ca="1">IFERROR(__xludf.DUMMYFUNCTION("""COMPUTED_VALUE"""),"CTX-M-43")</f>
        <v>CTX-M-43</v>
      </c>
      <c r="B1431" t="str">
        <f ca="1">IFERROR(__xludf.DUMMYFUNCTION("""COMPUTED_VALUE"""),"RF-00000243-PAR")</f>
        <v>RF-00000243-PAR</v>
      </c>
    </row>
    <row r="1432" spans="1:2" ht="12.5" x14ac:dyDescent="0.25">
      <c r="A1432" t="str">
        <f ca="1">IFERROR(__xludf.DUMMYFUNCTION("""COMPUTED_VALUE"""),"CTX-M-44 (Toho-1)")</f>
        <v>CTX-M-44 (Toho-1)</v>
      </c>
      <c r="B1432" t="str">
        <f ca="1">IFERROR(__xludf.DUMMYFUNCTION("""COMPUTED_VALUE"""),"RF-00000244-PAR")</f>
        <v>RF-00000244-PAR</v>
      </c>
    </row>
    <row r="1433" spans="1:2" ht="12.5" x14ac:dyDescent="0.25">
      <c r="A1433" t="str">
        <f ca="1">IFERROR(__xludf.DUMMYFUNCTION("""COMPUTED_VALUE"""),"CTX-M-45 (Toho-2)")</f>
        <v>CTX-M-45 (Toho-2)</v>
      </c>
      <c r="B1433" t="str">
        <f ca="1">IFERROR(__xludf.DUMMYFUNCTION("""COMPUTED_VALUE"""),"RF-00000245-PAR")</f>
        <v>RF-00000245-PAR</v>
      </c>
    </row>
    <row r="1434" spans="1:2" ht="12.5" x14ac:dyDescent="0.25">
      <c r="A1434" t="str">
        <f ca="1">IFERROR(__xludf.DUMMYFUNCTION("""COMPUTED_VALUE"""),"CTX-M-46")</f>
        <v>CTX-M-46</v>
      </c>
      <c r="B1434" t="str">
        <f ca="1">IFERROR(__xludf.DUMMYFUNCTION("""COMPUTED_VALUE"""),"RF-00000246-PAR")</f>
        <v>RF-00000246-PAR</v>
      </c>
    </row>
    <row r="1435" spans="1:2" ht="12.5" x14ac:dyDescent="0.25">
      <c r="A1435" t="str">
        <f ca="1">IFERROR(__xludf.DUMMYFUNCTION("""COMPUTED_VALUE"""),"CTX-M-47")</f>
        <v>CTX-M-47</v>
      </c>
      <c r="B1435" t="str">
        <f ca="1">IFERROR(__xludf.DUMMYFUNCTION("""COMPUTED_VALUE"""),"RF-00000247-PAR")</f>
        <v>RF-00000247-PAR</v>
      </c>
    </row>
    <row r="1436" spans="1:2" ht="12.5" x14ac:dyDescent="0.25">
      <c r="A1436" t="str">
        <f ca="1">IFERROR(__xludf.DUMMYFUNCTION("""COMPUTED_VALUE"""),"CTX-M-48")</f>
        <v>CTX-M-48</v>
      </c>
      <c r="B1436" t="str">
        <f ca="1">IFERROR(__xludf.DUMMYFUNCTION("""COMPUTED_VALUE"""),"RF-00000248-PAR")</f>
        <v>RF-00000248-PAR</v>
      </c>
    </row>
    <row r="1437" spans="1:2" ht="12.5" x14ac:dyDescent="0.25">
      <c r="A1437" t="str">
        <f ca="1">IFERROR(__xludf.DUMMYFUNCTION("""COMPUTED_VALUE"""),"CTX-M-49")</f>
        <v>CTX-M-49</v>
      </c>
      <c r="B1437" t="str">
        <f ca="1">IFERROR(__xludf.DUMMYFUNCTION("""COMPUTED_VALUE"""),"RF-00000249-PAR")</f>
        <v>RF-00000249-PAR</v>
      </c>
    </row>
    <row r="1438" spans="1:2" ht="12.5" x14ac:dyDescent="0.25">
      <c r="A1438" t="str">
        <f ca="1">IFERROR(__xludf.DUMMYFUNCTION("""COMPUTED_VALUE"""),"CTX-M-5")</f>
        <v>CTX-M-5</v>
      </c>
      <c r="B1438" t="str">
        <f ca="1">IFERROR(__xludf.DUMMYFUNCTION("""COMPUTED_VALUE"""),"RF-00000205-PAR")</f>
        <v>RF-00000205-PAR</v>
      </c>
    </row>
    <row r="1439" spans="1:2" ht="12.5" x14ac:dyDescent="0.25">
      <c r="A1439" t="str">
        <f ca="1">IFERROR(__xludf.DUMMYFUNCTION("""COMPUTED_VALUE"""),"CTX-M-50")</f>
        <v>CTX-M-50</v>
      </c>
      <c r="B1439" t="str">
        <f ca="1">IFERROR(__xludf.DUMMYFUNCTION("""COMPUTED_VALUE"""),"RF-00000250-PAR")</f>
        <v>RF-00000250-PAR</v>
      </c>
    </row>
    <row r="1440" spans="1:2" ht="12.5" x14ac:dyDescent="0.25">
      <c r="A1440" t="str">
        <f ca="1">IFERROR(__xludf.DUMMYFUNCTION("""COMPUTED_VALUE"""),"CTX-M-51")</f>
        <v>CTX-M-51</v>
      </c>
      <c r="B1440" t="str">
        <f ca="1">IFERROR(__xludf.DUMMYFUNCTION("""COMPUTED_VALUE"""),"RF-00000251-PAR")</f>
        <v>RF-00000251-PAR</v>
      </c>
    </row>
    <row r="1441" spans="1:2" ht="12.5" x14ac:dyDescent="0.25">
      <c r="A1441" t="str">
        <f ca="1">IFERROR(__xludf.DUMMYFUNCTION("""COMPUTED_VALUE"""),"CTX-M-52")</f>
        <v>CTX-M-52</v>
      </c>
      <c r="B1441" t="str">
        <f ca="1">IFERROR(__xludf.DUMMYFUNCTION("""COMPUTED_VALUE"""),"RF-00000252-PAR")</f>
        <v>RF-00000252-PAR</v>
      </c>
    </row>
    <row r="1442" spans="1:2" ht="12.5" x14ac:dyDescent="0.25">
      <c r="A1442" t="str">
        <f ca="1">IFERROR(__xludf.DUMMYFUNCTION("""COMPUTED_VALUE"""),"CTX-M-53")</f>
        <v>CTX-M-53</v>
      </c>
      <c r="B1442" t="str">
        <f ca="1">IFERROR(__xludf.DUMMYFUNCTION("""COMPUTED_VALUE"""),"RF-00000253-PAR")</f>
        <v>RF-00000253-PAR</v>
      </c>
    </row>
    <row r="1443" spans="1:2" ht="12.5" x14ac:dyDescent="0.25">
      <c r="A1443" t="str">
        <f ca="1">IFERROR(__xludf.DUMMYFUNCTION("""COMPUTED_VALUE"""),"CTX-M-54")</f>
        <v>CTX-M-54</v>
      </c>
      <c r="B1443" t="str">
        <f ca="1">IFERROR(__xludf.DUMMYFUNCTION("""COMPUTED_VALUE"""),"RF-00000254-PAR")</f>
        <v>RF-00000254-PAR</v>
      </c>
    </row>
    <row r="1444" spans="1:2" ht="12.5" x14ac:dyDescent="0.25">
      <c r="A1444" t="str">
        <f ca="1">IFERROR(__xludf.DUMMYFUNCTION("""COMPUTED_VALUE"""),"CTX-M-55")</f>
        <v>CTX-M-55</v>
      </c>
      <c r="B1444" t="str">
        <f ca="1">IFERROR(__xludf.DUMMYFUNCTION("""COMPUTED_VALUE"""),"RF-00000255-PAR")</f>
        <v>RF-00000255-PAR</v>
      </c>
    </row>
    <row r="1445" spans="1:2" ht="12.5" x14ac:dyDescent="0.25">
      <c r="A1445" t="str">
        <f ca="1">IFERROR(__xludf.DUMMYFUNCTION("""COMPUTED_VALUE"""),"CTX-M-56")</f>
        <v>CTX-M-56</v>
      </c>
      <c r="B1445" t="str">
        <f ca="1">IFERROR(__xludf.DUMMYFUNCTION("""COMPUTED_VALUE"""),"RF-00000256-PAR")</f>
        <v>RF-00000256-PAR</v>
      </c>
    </row>
    <row r="1446" spans="1:2" ht="12.5" x14ac:dyDescent="0.25">
      <c r="A1446" t="str">
        <f ca="1">IFERROR(__xludf.DUMMYFUNCTION("""COMPUTED_VALUE"""),"CTX-M-57")</f>
        <v>CTX-M-57</v>
      </c>
      <c r="B1446" t="str">
        <f ca="1">IFERROR(__xludf.DUMMYFUNCTION("""COMPUTED_VALUE"""),"RF-00000257-PAR")</f>
        <v>RF-00000257-PAR</v>
      </c>
    </row>
    <row r="1447" spans="1:2" ht="12.5" x14ac:dyDescent="0.25">
      <c r="A1447" t="str">
        <f ca="1">IFERROR(__xludf.DUMMYFUNCTION("""COMPUTED_VALUE"""),"CTX-M-58")</f>
        <v>CTX-M-58</v>
      </c>
      <c r="B1447" t="str">
        <f ca="1">IFERROR(__xludf.DUMMYFUNCTION("""COMPUTED_VALUE"""),"RF-00000258-PAR")</f>
        <v>RF-00000258-PAR</v>
      </c>
    </row>
    <row r="1448" spans="1:2" ht="12.5" x14ac:dyDescent="0.25">
      <c r="A1448" t="str">
        <f ca="1">IFERROR(__xludf.DUMMYFUNCTION("""COMPUTED_VALUE"""),"CTX-M-59")</f>
        <v>CTX-M-59</v>
      </c>
      <c r="B1448" t="str">
        <f ca="1">IFERROR(__xludf.DUMMYFUNCTION("""COMPUTED_VALUE"""),"RF-00000259-PAR")</f>
        <v>RF-00000259-PAR</v>
      </c>
    </row>
    <row r="1449" spans="1:2" ht="12.5" x14ac:dyDescent="0.25">
      <c r="A1449" t="str">
        <f ca="1">IFERROR(__xludf.DUMMYFUNCTION("""COMPUTED_VALUE"""),"CTX-M-6")</f>
        <v>CTX-M-6</v>
      </c>
      <c r="B1449" t="str">
        <f ca="1">IFERROR(__xludf.DUMMYFUNCTION("""COMPUTED_VALUE"""),"RF-00000206-PAR")</f>
        <v>RF-00000206-PAR</v>
      </c>
    </row>
    <row r="1450" spans="1:2" ht="12.5" x14ac:dyDescent="0.25">
      <c r="A1450" t="str">
        <f ca="1">IFERROR(__xludf.DUMMYFUNCTION("""COMPUTED_VALUE"""),"CTX-M-60")</f>
        <v>CTX-M-60</v>
      </c>
      <c r="B1450" t="str">
        <f ca="1">IFERROR(__xludf.DUMMYFUNCTION("""COMPUTED_VALUE"""),"RF-00000260-PAR")</f>
        <v>RF-00000260-PAR</v>
      </c>
    </row>
    <row r="1451" spans="1:2" ht="12.5" x14ac:dyDescent="0.25">
      <c r="A1451" t="str">
        <f ca="1">IFERROR(__xludf.DUMMYFUNCTION("""COMPUTED_VALUE"""),"CTX-M-61")</f>
        <v>CTX-M-61</v>
      </c>
      <c r="B1451" t="str">
        <f ca="1">IFERROR(__xludf.DUMMYFUNCTION("""COMPUTED_VALUE"""),"RF-00000261-PAR")</f>
        <v>RF-00000261-PAR</v>
      </c>
    </row>
    <row r="1452" spans="1:2" ht="12.5" x14ac:dyDescent="0.25">
      <c r="A1452" t="str">
        <f ca="1">IFERROR(__xludf.DUMMYFUNCTION("""COMPUTED_VALUE"""),"CTX-M-62")</f>
        <v>CTX-M-62</v>
      </c>
      <c r="B1452" t="str">
        <f ca="1">IFERROR(__xludf.DUMMYFUNCTION("""COMPUTED_VALUE"""),"RF-00000262-PAR")</f>
        <v>RF-00000262-PAR</v>
      </c>
    </row>
    <row r="1453" spans="1:2" ht="12.5" x14ac:dyDescent="0.25">
      <c r="A1453" t="str">
        <f ca="1">IFERROR(__xludf.DUMMYFUNCTION("""COMPUTED_VALUE"""),"CTX-M-63")</f>
        <v>CTX-M-63</v>
      </c>
      <c r="B1453" t="str">
        <f ca="1">IFERROR(__xludf.DUMMYFUNCTION("""COMPUTED_VALUE"""),"RF-00000263-PAR")</f>
        <v>RF-00000263-PAR</v>
      </c>
    </row>
    <row r="1454" spans="1:2" ht="12.5" x14ac:dyDescent="0.25">
      <c r="A1454" t="str">
        <f ca="1">IFERROR(__xludf.DUMMYFUNCTION("""COMPUTED_VALUE"""),"CTX-M-64")</f>
        <v>CTX-M-64</v>
      </c>
      <c r="B1454" t="str">
        <f ca="1">IFERROR(__xludf.DUMMYFUNCTION("""COMPUTED_VALUE"""),"RF-00000264-PAR")</f>
        <v>RF-00000264-PAR</v>
      </c>
    </row>
    <row r="1455" spans="1:2" ht="12.5" x14ac:dyDescent="0.25">
      <c r="A1455" t="str">
        <f ca="1">IFERROR(__xludf.DUMMYFUNCTION("""COMPUTED_VALUE"""),"CTX-M-65")</f>
        <v>CTX-M-65</v>
      </c>
      <c r="B1455" t="str">
        <f ca="1">IFERROR(__xludf.DUMMYFUNCTION("""COMPUTED_VALUE"""),"RF-00000265-PAR")</f>
        <v>RF-00000265-PAR</v>
      </c>
    </row>
    <row r="1456" spans="1:2" ht="12.5" x14ac:dyDescent="0.25">
      <c r="A1456" t="str">
        <f ca="1">IFERROR(__xludf.DUMMYFUNCTION("""COMPUTED_VALUE"""),"CTX-M-66")</f>
        <v>CTX-M-66</v>
      </c>
      <c r="B1456" t="str">
        <f ca="1">IFERROR(__xludf.DUMMYFUNCTION("""COMPUTED_VALUE"""),"RF-00000266-PAR")</f>
        <v>RF-00000266-PAR</v>
      </c>
    </row>
    <row r="1457" spans="1:2" ht="12.5" x14ac:dyDescent="0.25">
      <c r="A1457" t="str">
        <f ca="1">IFERROR(__xludf.DUMMYFUNCTION("""COMPUTED_VALUE"""),"CTX-M-67")</f>
        <v>CTX-M-67</v>
      </c>
      <c r="B1457" t="str">
        <f ca="1">IFERROR(__xludf.DUMMYFUNCTION("""COMPUTED_VALUE"""),"RF-00000267-PAR")</f>
        <v>RF-00000267-PAR</v>
      </c>
    </row>
    <row r="1458" spans="1:2" ht="12.5" x14ac:dyDescent="0.25">
      <c r="A1458" t="str">
        <f ca="1">IFERROR(__xludf.DUMMYFUNCTION("""COMPUTED_VALUE"""),"CTX-M-68")</f>
        <v>CTX-M-68</v>
      </c>
      <c r="B1458" t="str">
        <f ca="1">IFERROR(__xludf.DUMMYFUNCTION("""COMPUTED_VALUE"""),"RF-00000268-PAR")</f>
        <v>RF-00000268-PAR</v>
      </c>
    </row>
    <row r="1459" spans="1:2" ht="12.5" x14ac:dyDescent="0.25">
      <c r="A1459" t="str">
        <f ca="1">IFERROR(__xludf.DUMMYFUNCTION("""COMPUTED_VALUE"""),"CTX-M-69")</f>
        <v>CTX-M-69</v>
      </c>
      <c r="B1459" t="str">
        <f ca="1">IFERROR(__xludf.DUMMYFUNCTION("""COMPUTED_VALUE"""),"RF-00000269-PAR")</f>
        <v>RF-00000269-PAR</v>
      </c>
    </row>
    <row r="1460" spans="1:2" ht="12.5" x14ac:dyDescent="0.25">
      <c r="A1460" t="str">
        <f ca="1">IFERROR(__xludf.DUMMYFUNCTION("""COMPUTED_VALUE"""),"CTX-M-7")</f>
        <v>CTX-M-7</v>
      </c>
      <c r="B1460" t="str">
        <f ca="1">IFERROR(__xludf.DUMMYFUNCTION("""COMPUTED_VALUE"""),"RF-00000207-PAR")</f>
        <v>RF-00000207-PAR</v>
      </c>
    </row>
    <row r="1461" spans="1:2" ht="12.5" x14ac:dyDescent="0.25">
      <c r="A1461" t="str">
        <f ca="1">IFERROR(__xludf.DUMMYFUNCTION("""COMPUTED_VALUE"""),"CTX-M-70")</f>
        <v>CTX-M-70</v>
      </c>
      <c r="B1461" t="str">
        <f ca="1">IFERROR(__xludf.DUMMYFUNCTION("""COMPUTED_VALUE"""),"RF-00000270-PAR")</f>
        <v>RF-00000270-PAR</v>
      </c>
    </row>
    <row r="1462" spans="1:2" ht="12.5" x14ac:dyDescent="0.25">
      <c r="A1462" t="str">
        <f ca="1">IFERROR(__xludf.DUMMYFUNCTION("""COMPUTED_VALUE"""),"CTX-M-71")</f>
        <v>CTX-M-71</v>
      </c>
      <c r="B1462" t="str">
        <f ca="1">IFERROR(__xludf.DUMMYFUNCTION("""COMPUTED_VALUE"""),"RF-00000271-PAR")</f>
        <v>RF-00000271-PAR</v>
      </c>
    </row>
    <row r="1463" spans="1:2" ht="12.5" x14ac:dyDescent="0.25">
      <c r="A1463" t="str">
        <f ca="1">IFERROR(__xludf.DUMMYFUNCTION("""COMPUTED_VALUE"""),"CTX-M-72")</f>
        <v>CTX-M-72</v>
      </c>
      <c r="B1463" t="str">
        <f ca="1">IFERROR(__xludf.DUMMYFUNCTION("""COMPUTED_VALUE"""),"RF-00000272-PAR")</f>
        <v>RF-00000272-PAR</v>
      </c>
    </row>
    <row r="1464" spans="1:2" ht="12.5" x14ac:dyDescent="0.25">
      <c r="A1464" t="str">
        <f ca="1">IFERROR(__xludf.DUMMYFUNCTION("""COMPUTED_VALUE"""),"CTX-M-73")</f>
        <v>CTX-M-73</v>
      </c>
      <c r="B1464" t="str">
        <f ca="1">IFERROR(__xludf.DUMMYFUNCTION("""COMPUTED_VALUE"""),"RF-00000273-PAR")</f>
        <v>RF-00000273-PAR</v>
      </c>
    </row>
    <row r="1465" spans="1:2" ht="12.5" x14ac:dyDescent="0.25">
      <c r="A1465" t="str">
        <f ca="1">IFERROR(__xludf.DUMMYFUNCTION("""COMPUTED_VALUE"""),"CTX-M-74")</f>
        <v>CTX-M-74</v>
      </c>
      <c r="B1465" t="str">
        <f ca="1">IFERROR(__xludf.DUMMYFUNCTION("""COMPUTED_VALUE"""),"RF-00000274-PAR")</f>
        <v>RF-00000274-PAR</v>
      </c>
    </row>
    <row r="1466" spans="1:2" ht="12.5" x14ac:dyDescent="0.25">
      <c r="A1466" t="str">
        <f ca="1">IFERROR(__xludf.DUMMYFUNCTION("""COMPUTED_VALUE"""),"CTX-M-75")</f>
        <v>CTX-M-75</v>
      </c>
      <c r="B1466" t="str">
        <f ca="1">IFERROR(__xludf.DUMMYFUNCTION("""COMPUTED_VALUE"""),"RF-00000275-PAR")</f>
        <v>RF-00000275-PAR</v>
      </c>
    </row>
    <row r="1467" spans="1:2" ht="12.5" x14ac:dyDescent="0.25">
      <c r="A1467" t="str">
        <f ca="1">IFERROR(__xludf.DUMMYFUNCTION("""COMPUTED_VALUE"""),"CTX-M-76")</f>
        <v>CTX-M-76</v>
      </c>
      <c r="B1467" t="str">
        <f ca="1">IFERROR(__xludf.DUMMYFUNCTION("""COMPUTED_VALUE"""),"RF-00000276-PAR")</f>
        <v>RF-00000276-PAR</v>
      </c>
    </row>
    <row r="1468" spans="1:2" ht="12.5" x14ac:dyDescent="0.25">
      <c r="A1468" t="str">
        <f ca="1">IFERROR(__xludf.DUMMYFUNCTION("""COMPUTED_VALUE"""),"CTX-M-77")</f>
        <v>CTX-M-77</v>
      </c>
      <c r="B1468" t="str">
        <f ca="1">IFERROR(__xludf.DUMMYFUNCTION("""COMPUTED_VALUE"""),"RF-00000277-PAR")</f>
        <v>RF-00000277-PAR</v>
      </c>
    </row>
    <row r="1469" spans="1:2" ht="12.5" x14ac:dyDescent="0.25">
      <c r="A1469" t="str">
        <f ca="1">IFERROR(__xludf.DUMMYFUNCTION("""COMPUTED_VALUE"""),"CTX-M-78")</f>
        <v>CTX-M-78</v>
      </c>
      <c r="B1469" t="str">
        <f ca="1">IFERROR(__xludf.DUMMYFUNCTION("""COMPUTED_VALUE"""),"RF-00000278-PAR")</f>
        <v>RF-00000278-PAR</v>
      </c>
    </row>
    <row r="1470" spans="1:2" ht="12.5" x14ac:dyDescent="0.25">
      <c r="A1470" t="str">
        <f ca="1">IFERROR(__xludf.DUMMYFUNCTION("""COMPUTED_VALUE"""),"CTX-M-79")</f>
        <v>CTX-M-79</v>
      </c>
      <c r="B1470" t="str">
        <f ca="1">IFERROR(__xludf.DUMMYFUNCTION("""COMPUTED_VALUE"""),"RF-00000279-PAR")</f>
        <v>RF-00000279-PAR</v>
      </c>
    </row>
    <row r="1471" spans="1:2" ht="12.5" x14ac:dyDescent="0.25">
      <c r="A1471" t="str">
        <f ca="1">IFERROR(__xludf.DUMMYFUNCTION("""COMPUTED_VALUE"""),"CTX-M-8")</f>
        <v>CTX-M-8</v>
      </c>
      <c r="B1471" t="str">
        <f ca="1">IFERROR(__xludf.DUMMYFUNCTION("""COMPUTED_VALUE"""),"RF-00000208-PAR")</f>
        <v>RF-00000208-PAR</v>
      </c>
    </row>
    <row r="1472" spans="1:2" ht="12.5" x14ac:dyDescent="0.25">
      <c r="A1472" t="str">
        <f ca="1">IFERROR(__xludf.DUMMYFUNCTION("""COMPUTED_VALUE"""),"CTX-M-80")</f>
        <v>CTX-M-80</v>
      </c>
      <c r="B1472" t="str">
        <f ca="1">IFERROR(__xludf.DUMMYFUNCTION("""COMPUTED_VALUE"""),"RF-00000280-PAR")</f>
        <v>RF-00000280-PAR</v>
      </c>
    </row>
    <row r="1473" spans="1:2" ht="12.5" x14ac:dyDescent="0.25">
      <c r="A1473" t="str">
        <f ca="1">IFERROR(__xludf.DUMMYFUNCTION("""COMPUTED_VALUE"""),"CTX-M-81")</f>
        <v>CTX-M-81</v>
      </c>
      <c r="B1473" t="str">
        <f ca="1">IFERROR(__xludf.DUMMYFUNCTION("""COMPUTED_VALUE"""),"RF-00000281-PAR")</f>
        <v>RF-00000281-PAR</v>
      </c>
    </row>
    <row r="1474" spans="1:2" ht="12.5" x14ac:dyDescent="0.25">
      <c r="A1474" t="str">
        <f ca="1">IFERROR(__xludf.DUMMYFUNCTION("""COMPUTED_VALUE"""),"CTX-M-82")</f>
        <v>CTX-M-82</v>
      </c>
      <c r="B1474" t="str">
        <f ca="1">IFERROR(__xludf.DUMMYFUNCTION("""COMPUTED_VALUE"""),"RF-00000282-PAR")</f>
        <v>RF-00000282-PAR</v>
      </c>
    </row>
    <row r="1475" spans="1:2" ht="12.5" x14ac:dyDescent="0.25">
      <c r="A1475" t="str">
        <f ca="1">IFERROR(__xludf.DUMMYFUNCTION("""COMPUTED_VALUE"""),"CTX-M-83")</f>
        <v>CTX-M-83</v>
      </c>
      <c r="B1475" t="str">
        <f ca="1">IFERROR(__xludf.DUMMYFUNCTION("""COMPUTED_VALUE"""),"RF-00000283-PAR")</f>
        <v>RF-00000283-PAR</v>
      </c>
    </row>
    <row r="1476" spans="1:2" ht="12.5" x14ac:dyDescent="0.25">
      <c r="A1476" t="str">
        <f ca="1">IFERROR(__xludf.DUMMYFUNCTION("""COMPUTED_VALUE"""),"CTX-M-84")</f>
        <v>CTX-M-84</v>
      </c>
      <c r="B1476" t="str">
        <f ca="1">IFERROR(__xludf.DUMMYFUNCTION("""COMPUTED_VALUE"""),"RF-00000284-PAR")</f>
        <v>RF-00000284-PAR</v>
      </c>
    </row>
    <row r="1477" spans="1:2" ht="12.5" x14ac:dyDescent="0.25">
      <c r="A1477" t="str">
        <f ca="1">IFERROR(__xludf.DUMMYFUNCTION("""COMPUTED_VALUE"""),"CTX-M-85")</f>
        <v>CTX-M-85</v>
      </c>
      <c r="B1477" t="str">
        <f ca="1">IFERROR(__xludf.DUMMYFUNCTION("""COMPUTED_VALUE"""),"RF-00000285-PAR")</f>
        <v>RF-00000285-PAR</v>
      </c>
    </row>
    <row r="1478" spans="1:2" ht="12.5" x14ac:dyDescent="0.25">
      <c r="A1478" t="str">
        <f ca="1">IFERROR(__xludf.DUMMYFUNCTION("""COMPUTED_VALUE"""),"CTX-M-86")</f>
        <v>CTX-M-86</v>
      </c>
      <c r="B1478" t="str">
        <f ca="1">IFERROR(__xludf.DUMMYFUNCTION("""COMPUTED_VALUE"""),"RF-00000286-PAR")</f>
        <v>RF-00000286-PAR</v>
      </c>
    </row>
    <row r="1479" spans="1:2" ht="12.5" x14ac:dyDescent="0.25">
      <c r="A1479" t="str">
        <f ca="1">IFERROR(__xludf.DUMMYFUNCTION("""COMPUTED_VALUE"""),"CTX-M-87")</f>
        <v>CTX-M-87</v>
      </c>
      <c r="B1479" t="str">
        <f ca="1">IFERROR(__xludf.DUMMYFUNCTION("""COMPUTED_VALUE"""),"RF-00000287-PAR")</f>
        <v>RF-00000287-PAR</v>
      </c>
    </row>
    <row r="1480" spans="1:2" ht="12.5" x14ac:dyDescent="0.25">
      <c r="A1480" t="str">
        <f ca="1">IFERROR(__xludf.DUMMYFUNCTION("""COMPUTED_VALUE"""),"CTX-M-88")</f>
        <v>CTX-M-88</v>
      </c>
      <c r="B1480" t="str">
        <f ca="1">IFERROR(__xludf.DUMMYFUNCTION("""COMPUTED_VALUE"""),"RF-00000288-PAR")</f>
        <v>RF-00000288-PAR</v>
      </c>
    </row>
    <row r="1481" spans="1:2" ht="12.5" x14ac:dyDescent="0.25">
      <c r="A1481" t="str">
        <f ca="1">IFERROR(__xludf.DUMMYFUNCTION("""COMPUTED_VALUE"""),"CTX-M-89")</f>
        <v>CTX-M-89</v>
      </c>
      <c r="B1481" t="str">
        <f ca="1">IFERROR(__xludf.DUMMYFUNCTION("""COMPUTED_VALUE"""),"RF-00000289-PAR")</f>
        <v>RF-00000289-PAR</v>
      </c>
    </row>
    <row r="1482" spans="1:2" ht="12.5" x14ac:dyDescent="0.25">
      <c r="A1482" t="str">
        <f ca="1">IFERROR(__xludf.DUMMYFUNCTION("""COMPUTED_VALUE"""),"CTX-M-9")</f>
        <v>CTX-M-9</v>
      </c>
      <c r="B1482" t="str">
        <f ca="1">IFERROR(__xludf.DUMMYFUNCTION("""COMPUTED_VALUE"""),"RF-00000209-PAR")</f>
        <v>RF-00000209-PAR</v>
      </c>
    </row>
    <row r="1483" spans="1:2" ht="12.5" x14ac:dyDescent="0.25">
      <c r="A1483" t="str">
        <f ca="1">IFERROR(__xludf.DUMMYFUNCTION("""COMPUTED_VALUE"""),"CTX-M-90")</f>
        <v>CTX-M-90</v>
      </c>
      <c r="B1483" t="str">
        <f ca="1">IFERROR(__xludf.DUMMYFUNCTION("""COMPUTED_VALUE"""),"RF-00000290-PAR")</f>
        <v>RF-00000290-PAR</v>
      </c>
    </row>
    <row r="1484" spans="1:2" ht="12.5" x14ac:dyDescent="0.25">
      <c r="A1484" t="str">
        <f ca="1">IFERROR(__xludf.DUMMYFUNCTION("""COMPUTED_VALUE"""),"CTX-M-91")</f>
        <v>CTX-M-91</v>
      </c>
      <c r="B1484" t="str">
        <f ca="1">IFERROR(__xludf.DUMMYFUNCTION("""COMPUTED_VALUE"""),"RF-00000291-PAR")</f>
        <v>RF-00000291-PAR</v>
      </c>
    </row>
    <row r="1485" spans="1:2" ht="12.5" x14ac:dyDescent="0.25">
      <c r="A1485" t="str">
        <f ca="1">IFERROR(__xludf.DUMMYFUNCTION("""COMPUTED_VALUE"""),"CTX-M-92")</f>
        <v>CTX-M-92</v>
      </c>
      <c r="B1485" t="str">
        <f ca="1">IFERROR(__xludf.DUMMYFUNCTION("""COMPUTED_VALUE"""),"RF-00000292-PAR")</f>
        <v>RF-00000292-PAR</v>
      </c>
    </row>
    <row r="1486" spans="1:2" ht="12.5" x14ac:dyDescent="0.25">
      <c r="A1486" t="str">
        <f ca="1">IFERROR(__xludf.DUMMYFUNCTION("""COMPUTED_VALUE"""),"CTX-M-93")</f>
        <v>CTX-M-93</v>
      </c>
      <c r="B1486" t="str">
        <f ca="1">IFERROR(__xludf.DUMMYFUNCTION("""COMPUTED_VALUE"""),"RF-00000293-PAR")</f>
        <v>RF-00000293-PAR</v>
      </c>
    </row>
    <row r="1487" spans="1:2" ht="12.5" x14ac:dyDescent="0.25">
      <c r="A1487" t="str">
        <f ca="1">IFERROR(__xludf.DUMMYFUNCTION("""COMPUTED_VALUE"""),"CTX-M-94")</f>
        <v>CTX-M-94</v>
      </c>
      <c r="B1487" t="str">
        <f ca="1">IFERROR(__xludf.DUMMYFUNCTION("""COMPUTED_VALUE"""),"RF-00000294-PAR")</f>
        <v>RF-00000294-PAR</v>
      </c>
    </row>
    <row r="1488" spans="1:2" ht="12.5" x14ac:dyDescent="0.25">
      <c r="A1488" t="str">
        <f ca="1">IFERROR(__xludf.DUMMYFUNCTION("""COMPUTED_VALUE"""),"CTX-M-95")</f>
        <v>CTX-M-95</v>
      </c>
      <c r="B1488" t="str">
        <f ca="1">IFERROR(__xludf.DUMMYFUNCTION("""COMPUTED_VALUE"""),"RF-00000295-PAR")</f>
        <v>RF-00000295-PAR</v>
      </c>
    </row>
    <row r="1489" spans="1:2" ht="12.5" x14ac:dyDescent="0.25">
      <c r="A1489" t="str">
        <f ca="1">IFERROR(__xludf.DUMMYFUNCTION("""COMPUTED_VALUE"""),"CTX-M-96")</f>
        <v>CTX-M-96</v>
      </c>
      <c r="B1489" t="str">
        <f ca="1">IFERROR(__xludf.DUMMYFUNCTION("""COMPUTED_VALUE"""),"RF-00000296-PAR")</f>
        <v>RF-00000296-PAR</v>
      </c>
    </row>
    <row r="1490" spans="1:2" ht="12.5" x14ac:dyDescent="0.25">
      <c r="A1490" t="str">
        <f ca="1">IFERROR(__xludf.DUMMYFUNCTION("""COMPUTED_VALUE"""),"CTX-M-97")</f>
        <v>CTX-M-97</v>
      </c>
      <c r="B1490" t="str">
        <f ca="1">IFERROR(__xludf.DUMMYFUNCTION("""COMPUTED_VALUE"""),"RF-00000297-PAR")</f>
        <v>RF-00000297-PAR</v>
      </c>
    </row>
    <row r="1491" spans="1:2" ht="12.5" x14ac:dyDescent="0.25">
      <c r="A1491" t="str">
        <f ca="1">IFERROR(__xludf.DUMMYFUNCTION("""COMPUTED_VALUE"""),"CTX-M-98")</f>
        <v>CTX-M-98</v>
      </c>
      <c r="B1491" t="str">
        <f ca="1">IFERROR(__xludf.DUMMYFUNCTION("""COMPUTED_VALUE"""),"RF-00000298-PAR")</f>
        <v>RF-00000298-PAR</v>
      </c>
    </row>
    <row r="1492" spans="1:2" ht="12.5" x14ac:dyDescent="0.25">
      <c r="A1492" t="str">
        <f ca="1">IFERROR(__xludf.DUMMYFUNCTION("""COMPUTED_VALUE"""),"CTX-M-99")</f>
        <v>CTX-M-99</v>
      </c>
      <c r="B1492" t="str">
        <f ca="1">IFERROR(__xludf.DUMMYFUNCTION("""COMPUTED_VALUE"""),"RF-00000299-PAR")</f>
        <v>RF-00000299-PAR</v>
      </c>
    </row>
    <row r="1493" spans="1:2" ht="12.5" x14ac:dyDescent="0.25">
      <c r="A1493" t="str">
        <f ca="1">IFERROR(__xludf.DUMMYFUNCTION("""COMPUTED_VALUE"""),"Curcumin")</f>
        <v>Curcumin</v>
      </c>
      <c r="B1493" t="str">
        <f ca="1">IFERROR(__xludf.DUMMYFUNCTION("""COMPUTED_VALUE"""),"RF-00000108-ADD")</f>
        <v>RF-00000108-ADD</v>
      </c>
    </row>
    <row r="1494" spans="1:2" ht="12.5" x14ac:dyDescent="0.25">
      <c r="A1494" t="str">
        <f ca="1">IFERROR(__xludf.DUMMYFUNCTION("""COMPUTED_VALUE"""),"Cyanamide including salts expressed as cyanamide")</f>
        <v>Cyanamide including salts expressed as cyanamide</v>
      </c>
      <c r="B1494" t="str">
        <f ca="1">IFERROR(__xludf.DUMMYFUNCTION("""COMPUTED_VALUE"""),"RF-0103-001-PPP")</f>
        <v>RF-0103-001-PPP</v>
      </c>
    </row>
    <row r="1495" spans="1:2" ht="12.5" x14ac:dyDescent="0.25">
      <c r="A1495" t="str">
        <f ca="1">IFERROR(__xludf.DUMMYFUNCTION("""COMPUTED_VALUE"""),"Cyanamide nitrogen")</f>
        <v>Cyanamide nitrogen</v>
      </c>
      <c r="B1495" t="str">
        <f ca="1">IFERROR(__xludf.DUMMYFUNCTION("""COMPUTED_VALUE"""),"RF-00000095-CHE")</f>
        <v>RF-00000095-CHE</v>
      </c>
    </row>
    <row r="1496" spans="1:2" ht="12.5" x14ac:dyDescent="0.25">
      <c r="A1496" t="str">
        <f ca="1">IFERROR(__xludf.DUMMYFUNCTION("""COMPUTED_VALUE"""),"Cyanazine")</f>
        <v>Cyanazine</v>
      </c>
      <c r="B1496" t="str">
        <f ca="1">IFERROR(__xludf.DUMMYFUNCTION("""COMPUTED_VALUE"""),"RF-0576-001-PPP")</f>
        <v>RF-0576-001-PPP</v>
      </c>
    </row>
    <row r="1497" spans="1:2" ht="12.5" x14ac:dyDescent="0.25">
      <c r="A1497" t="str">
        <f ca="1">IFERROR(__xludf.DUMMYFUNCTION("""COMPUTED_VALUE"""),"Cyanide")</f>
        <v>Cyanide</v>
      </c>
      <c r="B1497" t="str">
        <f ca="1">IFERROR(__xludf.DUMMYFUNCTION("""COMPUTED_VALUE"""),"RF-00000021-CHE")</f>
        <v>RF-00000021-CHE</v>
      </c>
    </row>
    <row r="1498" spans="1:2" ht="12.5" x14ac:dyDescent="0.25">
      <c r="A1498" t="str">
        <f ca="1">IFERROR(__xludf.DUMMYFUNCTION("""COMPUTED_VALUE"""),"Cyanide and derivatives")</f>
        <v>Cyanide and derivatives</v>
      </c>
      <c r="B1498" t="str">
        <f ca="1">IFERROR(__xludf.DUMMYFUNCTION("""COMPUTED_VALUE"""),"RF-00000020-CHE")</f>
        <v>RF-00000020-CHE</v>
      </c>
    </row>
    <row r="1499" spans="1:2" ht="12.5" x14ac:dyDescent="0.25">
      <c r="A1499" t="str">
        <f ca="1">IFERROR(__xludf.DUMMYFUNCTION("""COMPUTED_VALUE"""),"Cyanides")</f>
        <v>Cyanides</v>
      </c>
      <c r="B1499" t="str">
        <f ca="1">IFERROR(__xludf.DUMMYFUNCTION("""COMPUTED_VALUE"""),"RF-00000022-CHE")</f>
        <v>RF-00000022-CHE</v>
      </c>
    </row>
    <row r="1500" spans="1:2" ht="12.5" x14ac:dyDescent="0.25">
      <c r="A1500" t="str">
        <f ca="1">IFERROR(__xludf.DUMMYFUNCTION("""COMPUTED_VALUE"""),"Cyanofenphos")</f>
        <v>Cyanofenphos</v>
      </c>
      <c r="B1500" t="str">
        <f ca="1">IFERROR(__xludf.DUMMYFUNCTION("""COMPUTED_VALUE"""),"RF-0577-001-PPP")</f>
        <v>RF-0577-001-PPP</v>
      </c>
    </row>
    <row r="1501" spans="1:2" ht="12.5" x14ac:dyDescent="0.25">
      <c r="A1501" t="str">
        <f ca="1">IFERROR(__xludf.DUMMYFUNCTION("""COMPUTED_VALUE"""),"Cyanophos")</f>
        <v>Cyanophos</v>
      </c>
      <c r="B1501" t="str">
        <f ca="1">IFERROR(__xludf.DUMMYFUNCTION("""COMPUTED_VALUE"""),"RF-0578-001-PPP")</f>
        <v>RF-0578-001-PPP</v>
      </c>
    </row>
    <row r="1502" spans="1:2" ht="12.5" x14ac:dyDescent="0.25">
      <c r="A1502" t="str">
        <f ca="1">IFERROR(__xludf.DUMMYFUNCTION("""COMPUTED_VALUE"""),"Cyanuric acid")</f>
        <v>Cyanuric acid</v>
      </c>
      <c r="B1502" t="str">
        <f ca="1">IFERROR(__xludf.DUMMYFUNCTION("""COMPUTED_VALUE"""),"RF-00000211-CHE")</f>
        <v>RF-00000211-CHE</v>
      </c>
    </row>
    <row r="1503" spans="1:2" ht="12.5" x14ac:dyDescent="0.25">
      <c r="A1503" t="str">
        <f ca="1">IFERROR(__xludf.DUMMYFUNCTION("""COMPUTED_VALUE"""),"Cyazofamid")</f>
        <v>Cyazofamid</v>
      </c>
      <c r="B1503" t="str">
        <f ca="1">IFERROR(__xludf.DUMMYFUNCTION("""COMPUTED_VALUE"""),"RF-0104-001-PPP")</f>
        <v>RF-0104-001-PPP</v>
      </c>
    </row>
    <row r="1504" spans="1:2" ht="12.5" x14ac:dyDescent="0.25">
      <c r="A1504" t="str">
        <f ca="1">IFERROR(__xludf.DUMMYFUNCTION("""COMPUTED_VALUE"""),"Cybutryne")</f>
        <v>Cybutryne</v>
      </c>
      <c r="B1504" t="str">
        <f ca="1">IFERROR(__xludf.DUMMYFUNCTION("""COMPUTED_VALUE"""),"RF-0579-001-PPP")</f>
        <v>RF-0579-001-PPP</v>
      </c>
    </row>
    <row r="1505" spans="1:2" ht="12.5" x14ac:dyDescent="0.25">
      <c r="A1505" t="str">
        <f ca="1">IFERROR(__xludf.DUMMYFUNCTION("""COMPUTED_VALUE"""),"cyclamate")</f>
        <v>cyclamate</v>
      </c>
      <c r="B1505" t="str">
        <f ca="1">IFERROR(__xludf.DUMMYFUNCTION("""COMPUTED_VALUE"""),"RF-00000058-NTR")</f>
        <v>RF-00000058-NTR</v>
      </c>
    </row>
    <row r="1506" spans="1:2" ht="12.5" x14ac:dyDescent="0.25">
      <c r="A1506" t="str">
        <f ca="1">IFERROR(__xludf.DUMMYFUNCTION("""COMPUTED_VALUE"""),"Cyclanilide")</f>
        <v>Cyclanilide</v>
      </c>
      <c r="B1506" t="str">
        <f ca="1">IFERROR(__xludf.DUMMYFUNCTION("""COMPUTED_VALUE"""),"RF-0105-001-PPP")</f>
        <v>RF-0105-001-PPP</v>
      </c>
    </row>
    <row r="1507" spans="1:2" ht="12.5" x14ac:dyDescent="0.25">
      <c r="A1507" t="str">
        <f ca="1">IFERROR(__xludf.DUMMYFUNCTION("""COMPUTED_VALUE"""),"Cyclic hydrocarbons")</f>
        <v>Cyclic hydrocarbons</v>
      </c>
      <c r="B1507" t="str">
        <f ca="1">IFERROR(__xludf.DUMMYFUNCTION("""COMPUTED_VALUE"""),"RF-00000072-ORG")</f>
        <v>RF-00000072-ORG</v>
      </c>
    </row>
    <row r="1508" spans="1:2" ht="12.5" x14ac:dyDescent="0.25">
      <c r="A1508" t="str">
        <f ca="1">IFERROR(__xludf.DUMMYFUNCTION("""COMPUTED_VALUE"""),"Cyclic imines-group toxins")</f>
        <v>Cyclic imines-group toxins</v>
      </c>
      <c r="B1508" t="str">
        <f ca="1">IFERROR(__xludf.DUMMYFUNCTION("""COMPUTED_VALUE"""),"RF-00000043-TOX")</f>
        <v>RF-00000043-TOX</v>
      </c>
    </row>
    <row r="1509" spans="1:2" ht="12.5" x14ac:dyDescent="0.25">
      <c r="A1509" t="str">
        <f ca="1">IFERROR(__xludf.DUMMYFUNCTION("""COMPUTED_VALUE"""),"Cycloate")</f>
        <v>Cycloate</v>
      </c>
      <c r="B1509" t="str">
        <f ca="1">IFERROR(__xludf.DUMMYFUNCTION("""COMPUTED_VALUE"""),"RF-0580-001-PPP")</f>
        <v>RF-0580-001-PPP</v>
      </c>
    </row>
    <row r="1510" spans="1:2" ht="12.5" x14ac:dyDescent="0.25">
      <c r="A1510" t="str">
        <f ca="1">IFERROR(__xludf.DUMMYFUNCTION("""COMPUTED_VALUE"""),"Cyclopenta-c,d-pyrene")</f>
        <v>Cyclopenta-c,d-pyrene</v>
      </c>
      <c r="B1510" t="str">
        <f ca="1">IFERROR(__xludf.DUMMYFUNCTION("""COMPUTED_VALUE"""),"RF-00000054-ORG")</f>
        <v>RF-00000054-ORG</v>
      </c>
    </row>
    <row r="1511" spans="1:2" ht="12.5" x14ac:dyDescent="0.25">
      <c r="A1511" t="str">
        <f ca="1">IFERROR(__xludf.DUMMYFUNCTION("""COMPUTED_VALUE"""),"Cycloprothrin")</f>
        <v>Cycloprothrin</v>
      </c>
      <c r="B1511" t="str">
        <f ca="1">IFERROR(__xludf.DUMMYFUNCTION("""COMPUTED_VALUE"""),"RF-0581-001-PPP")</f>
        <v>RF-0581-001-PPP</v>
      </c>
    </row>
    <row r="1512" spans="1:2" ht="12.5" x14ac:dyDescent="0.25">
      <c r="A1512" t="str">
        <f ca="1">IFERROR(__xludf.DUMMYFUNCTION("""COMPUTED_VALUE"""),"Cyclospora")</f>
        <v>Cyclospora</v>
      </c>
      <c r="B1512" t="str">
        <f ca="1">IFERROR(__xludf.DUMMYFUNCTION("""COMPUTED_VALUE"""),"RF-00000089-MCG")</f>
        <v>RF-00000089-MCG</v>
      </c>
    </row>
    <row r="1513" spans="1:2" ht="12.5" x14ac:dyDescent="0.25">
      <c r="A1513" t="str">
        <f ca="1">IFERROR(__xludf.DUMMYFUNCTION("""COMPUTED_VALUE"""),"Cyclospora cayetanensis")</f>
        <v>Cyclospora cayetanensis</v>
      </c>
      <c r="B1513" t="str">
        <f ca="1">IFERROR(__xludf.DUMMYFUNCTION("""COMPUTED_VALUE"""),"RF-00000090-MCG")</f>
        <v>RF-00000090-MCG</v>
      </c>
    </row>
    <row r="1514" spans="1:2" ht="12.5" x14ac:dyDescent="0.25">
      <c r="A1514" t="str">
        <f ca="1">IFERROR(__xludf.DUMMYFUNCTION("""COMPUTED_VALUE"""),"Cyclospora spp., unspecified")</f>
        <v>Cyclospora spp., unspecified</v>
      </c>
      <c r="B1514" t="str">
        <f ca="1">IFERROR(__xludf.DUMMYFUNCTION("""COMPUTED_VALUE"""),"RF-00000091-MCG")</f>
        <v>RF-00000091-MCG</v>
      </c>
    </row>
    <row r="1515" spans="1:2" ht="12.5" x14ac:dyDescent="0.25">
      <c r="A1515" t="str">
        <f ca="1">IFERROR(__xludf.DUMMYFUNCTION("""COMPUTED_VALUE"""),"Cyclosulfamuron")</f>
        <v>Cyclosulfamuron</v>
      </c>
      <c r="B1515" t="str">
        <f ca="1">IFERROR(__xludf.DUMMYFUNCTION("""COMPUTED_VALUE"""),"RF-0582-001-PPP")</f>
        <v>RF-0582-001-PPP</v>
      </c>
    </row>
    <row r="1516" spans="1:2" ht="12.5" x14ac:dyDescent="0.25">
      <c r="A1516" t="str">
        <f ca="1">IFERROR(__xludf.DUMMYFUNCTION("""COMPUTED_VALUE"""),"Cycloxydim")</f>
        <v>Cycloxydim</v>
      </c>
      <c r="B1516" t="str">
        <f ca="1">IFERROR(__xludf.DUMMYFUNCTION("""COMPUTED_VALUE"""),"RF-0106-002-PPP")</f>
        <v>RF-0106-002-PPP</v>
      </c>
    </row>
    <row r="1517" spans="1:2" ht="12.5" x14ac:dyDescent="0.25">
      <c r="A1517" t="str">
        <f ca="1">IFERROR(__xludf.DUMMYFUNCTION("""COMPUTED_VALUE"""),"Cycloxydim including degradation and reaction products which can be determined as 3-(3-thianyl)glutaric acid S-dioxide (BH 517-TGSO2) and-or 3-hydroxy-3-(3-thianyl)glutaric acid S-dioxide (BH 517-5-OH-TGSO2) or methyl esters thereof, calculated in to")</f>
        <v>Cycloxydim including degradation and reaction products which can be determined as 3-(3-thianyl)glutaric acid S-dioxide (BH 517-TGSO2) and-or 3-hydroxy-3-(3-thianyl)glutaric acid S-dioxide (BH 517-5-OH-TGSO2) or methyl esters thereof, calculated in to</v>
      </c>
      <c r="B1517" t="str">
        <f ca="1">IFERROR(__xludf.DUMMYFUNCTION("""COMPUTED_VALUE"""),"RF-0106-001-PPP")</f>
        <v>RF-0106-001-PPP</v>
      </c>
    </row>
    <row r="1518" spans="1:2" ht="12.5" x14ac:dyDescent="0.25">
      <c r="A1518" t="str">
        <f ca="1">IFERROR(__xludf.DUMMYFUNCTION("""COMPUTED_VALUE"""),"Cycluron")</f>
        <v>Cycluron</v>
      </c>
      <c r="B1518" t="str">
        <f ca="1">IFERROR(__xludf.DUMMYFUNCTION("""COMPUTED_VALUE"""),"RF-0583-001-PPP")</f>
        <v>RF-0583-001-PPP</v>
      </c>
    </row>
    <row r="1519" spans="1:2" ht="12.5" x14ac:dyDescent="0.25">
      <c r="A1519" t="str">
        <f ca="1">IFERROR(__xludf.DUMMYFUNCTION("""COMPUTED_VALUE"""),"Cyenopyrafen")</f>
        <v>Cyenopyrafen</v>
      </c>
      <c r="B1519" t="str">
        <f ca="1">IFERROR(__xludf.DUMMYFUNCTION("""COMPUTED_VALUE"""),"RF-00000015-PAR")</f>
        <v>RF-00000015-PAR</v>
      </c>
    </row>
    <row r="1520" spans="1:2" ht="12.5" x14ac:dyDescent="0.25">
      <c r="A1520" t="str">
        <f ca="1">IFERROR(__xludf.DUMMYFUNCTION("""COMPUTED_VALUE"""),"Cyflufenamid")</f>
        <v>Cyflufenamid</v>
      </c>
      <c r="B1520" t="str">
        <f ca="1">IFERROR(__xludf.DUMMYFUNCTION("""COMPUTED_VALUE"""),"RF-0107-001-PPP")</f>
        <v>RF-0107-001-PPP</v>
      </c>
    </row>
    <row r="1521" spans="1:2" ht="12.5" x14ac:dyDescent="0.25">
      <c r="A1521" t="str">
        <f ca="1">IFERROR(__xludf.DUMMYFUNCTION("""COMPUTED_VALUE"""),"Cyfluthrin")</f>
        <v>Cyfluthrin</v>
      </c>
      <c r="B1521" t="str">
        <f ca="1">IFERROR(__xludf.DUMMYFUNCTION("""COMPUTED_VALUE"""),"RF-0108-003-PPP")</f>
        <v>RF-0108-003-PPP</v>
      </c>
    </row>
    <row r="1522" spans="1:2" ht="12.5" x14ac:dyDescent="0.25">
      <c r="A1522" t="str">
        <f ca="1">IFERROR(__xludf.DUMMYFUNCTION("""COMPUTED_VALUE"""),"Cyfluthrin (Cyfluthrin including other mixtures of constituent isomers (sum of isomers))")</f>
        <v>Cyfluthrin (Cyfluthrin including other mixtures of constituent isomers (sum of isomers))</v>
      </c>
      <c r="B1522" t="str">
        <f ca="1">IFERROR(__xludf.DUMMYFUNCTION("""COMPUTED_VALUE"""),"RF-0108-001-PPP")</f>
        <v>RF-0108-001-PPP</v>
      </c>
    </row>
    <row r="1523" spans="1:2" ht="12.5" x14ac:dyDescent="0.25">
      <c r="A1523" t="str">
        <f ca="1">IFERROR(__xludf.DUMMYFUNCTION("""COMPUTED_VALUE"""),"Cyfluthrin (Cyfluthrin-Beta)")</f>
        <v>Cyfluthrin (Cyfluthrin-Beta)</v>
      </c>
      <c r="B1523" t="str">
        <f ca="1">IFERROR(__xludf.DUMMYFUNCTION("""COMPUTED_VALUE"""),"RF-00000126-VET")</f>
        <v>RF-00000126-VET</v>
      </c>
    </row>
    <row r="1524" spans="1:2" ht="12.5" x14ac:dyDescent="0.25">
      <c r="A1524" t="str">
        <f ca="1">IFERROR(__xludf.DUMMYFUNCTION("""COMPUTED_VALUE"""),"Cyfluthrin, beta-")</f>
        <v>Cyfluthrin, beta-</v>
      </c>
      <c r="B1524" t="str">
        <f ca="1">IFERROR(__xludf.DUMMYFUNCTION("""COMPUTED_VALUE"""),"RF-0108-002-PPP")</f>
        <v>RF-0108-002-PPP</v>
      </c>
    </row>
    <row r="1525" spans="1:2" ht="12.5" x14ac:dyDescent="0.25">
      <c r="A1525" t="str">
        <f ca="1">IFERROR(__xludf.DUMMYFUNCTION("""COMPUTED_VALUE"""),"Cyhalofop-butyl (sum of cyhalofop butyl and its free acids)")</f>
        <v>Cyhalofop-butyl (sum of cyhalofop butyl and its free acids)</v>
      </c>
      <c r="B1525" t="str">
        <f ca="1">IFERROR(__xludf.DUMMYFUNCTION("""COMPUTED_VALUE"""),"RF-0109-001-PPP")</f>
        <v>RF-0109-001-PPP</v>
      </c>
    </row>
    <row r="1526" spans="1:2" ht="12.5" x14ac:dyDescent="0.25">
      <c r="A1526" t="str">
        <f ca="1">IFERROR(__xludf.DUMMYFUNCTION("""COMPUTED_VALUE"""),"Cyhalothrin")</f>
        <v>Cyhalothrin</v>
      </c>
      <c r="B1526" t="str">
        <f ca="1">IFERROR(__xludf.DUMMYFUNCTION("""COMPUTED_VALUE"""),"RF-00000125-VET")</f>
        <v>RF-00000125-VET</v>
      </c>
    </row>
    <row r="1527" spans="1:2" ht="12.5" x14ac:dyDescent="0.25">
      <c r="A1527" t="str">
        <f ca="1">IFERROR(__xludf.DUMMYFUNCTION("""COMPUTED_VALUE"""),"Cyhalothrin")</f>
        <v>Cyhalothrin</v>
      </c>
      <c r="B1527" t="str">
        <f ca="1">IFERROR(__xludf.DUMMYFUNCTION("""COMPUTED_VALUE"""),"RF-0584-001-PPP")</f>
        <v>RF-0584-001-PPP</v>
      </c>
    </row>
    <row r="1528" spans="1:2" ht="12.5" x14ac:dyDescent="0.25">
      <c r="A1528" t="str">
        <f ca="1">IFERROR(__xludf.DUMMYFUNCTION("""COMPUTED_VALUE"""),"Cyhalothrin-Lambda")</f>
        <v>Cyhalothrin-Lambda</v>
      </c>
      <c r="B1528" t="str">
        <f ca="1">IFERROR(__xludf.DUMMYFUNCTION("""COMPUTED_VALUE"""),"RF-00000158-VET")</f>
        <v>RF-00000158-VET</v>
      </c>
    </row>
    <row r="1529" spans="1:2" ht="12.5" x14ac:dyDescent="0.25">
      <c r="A1529" t="str">
        <f ca="1">IFERROR(__xludf.DUMMYFUNCTION("""COMPUTED_VALUE"""),"Cyhalothrin, gamma-")</f>
        <v>Cyhalothrin, gamma-</v>
      </c>
      <c r="B1529" t="str">
        <f ca="1">IFERROR(__xludf.DUMMYFUNCTION("""COMPUTED_VALUE"""),"RF-0585-001-PPP")</f>
        <v>RF-0585-001-PPP</v>
      </c>
    </row>
    <row r="1530" spans="1:2" ht="12.5" x14ac:dyDescent="0.25">
      <c r="A1530" t="str">
        <f ca="1">IFERROR(__xludf.DUMMYFUNCTION("""COMPUTED_VALUE"""),"Cyhexatin")</f>
        <v>Cyhexatin</v>
      </c>
      <c r="B1530" t="str">
        <f ca="1">IFERROR(__xludf.DUMMYFUNCTION("""COMPUTED_VALUE"""),"RF-0034-002-PPP")</f>
        <v>RF-0034-002-PPP</v>
      </c>
    </row>
    <row r="1531" spans="1:2" ht="12.5" x14ac:dyDescent="0.25">
      <c r="A1531" t="str">
        <f ca="1">IFERROR(__xludf.DUMMYFUNCTION("""COMPUTED_VALUE"""),"Cymiazole")</f>
        <v>Cymiazole</v>
      </c>
      <c r="B1531" t="str">
        <f ca="1">IFERROR(__xludf.DUMMYFUNCTION("""COMPUTED_VALUE"""),"RF-00000255-VET")</f>
        <v>RF-00000255-VET</v>
      </c>
    </row>
    <row r="1532" spans="1:2" ht="12.5" x14ac:dyDescent="0.25">
      <c r="A1532" t="str">
        <f ca="1">IFERROR(__xludf.DUMMYFUNCTION("""COMPUTED_VALUE"""),"Cymiazole")</f>
        <v>Cymiazole</v>
      </c>
      <c r="B1532" t="str">
        <f ca="1">IFERROR(__xludf.DUMMYFUNCTION("""COMPUTED_VALUE"""),"RF-0586-001-PPP")</f>
        <v>RF-0586-001-PPP</v>
      </c>
    </row>
    <row r="1533" spans="1:2" ht="12.5" x14ac:dyDescent="0.25">
      <c r="A1533" t="str">
        <f ca="1">IFERROR(__xludf.DUMMYFUNCTION("""COMPUTED_VALUE"""),"Cymoxanil")</f>
        <v>Cymoxanil</v>
      </c>
      <c r="B1533" t="str">
        <f ca="1">IFERROR(__xludf.DUMMYFUNCTION("""COMPUTED_VALUE"""),"RF-0111-001-PPP")</f>
        <v>RF-0111-001-PPP</v>
      </c>
    </row>
    <row r="1534" spans="1:2" ht="12.5" x14ac:dyDescent="0.25">
      <c r="A1534" t="str">
        <f ca="1">IFERROR(__xludf.DUMMYFUNCTION("""COMPUTED_VALUE"""),"Cypermethrin")</f>
        <v>Cypermethrin</v>
      </c>
      <c r="B1534" t="str">
        <f ca="1">IFERROR(__xludf.DUMMYFUNCTION("""COMPUTED_VALUE"""),"RF-00000162-VET")</f>
        <v>RF-00000162-VET</v>
      </c>
    </row>
    <row r="1535" spans="1:2" ht="12.5" x14ac:dyDescent="0.25">
      <c r="A1535" t="str">
        <f ca="1">IFERROR(__xludf.DUMMYFUNCTION("""COMPUTED_VALUE"""),"Cypermethrin")</f>
        <v>Cypermethrin</v>
      </c>
      <c r="B1535" t="str">
        <f ca="1">IFERROR(__xludf.DUMMYFUNCTION("""COMPUTED_VALUE"""),"RF-0112-004-PPP")</f>
        <v>RF-0112-004-PPP</v>
      </c>
    </row>
    <row r="1536" spans="1:2" ht="12.5" x14ac:dyDescent="0.25">
      <c r="A1536" t="str">
        <f ca="1">IFERROR(__xludf.DUMMYFUNCTION("""COMPUTED_VALUE"""),"Cypermethrin (Cypermethrin including other mixtures of constituent isomers (sum of isomers))")</f>
        <v>Cypermethrin (Cypermethrin including other mixtures of constituent isomers (sum of isomers))</v>
      </c>
      <c r="B1536" t="str">
        <f ca="1">IFERROR(__xludf.DUMMYFUNCTION("""COMPUTED_VALUE"""),"RF-0112-001-PPP")</f>
        <v>RF-0112-001-PPP</v>
      </c>
    </row>
    <row r="1537" spans="1:2" ht="12.5" x14ac:dyDescent="0.25">
      <c r="A1537" t="str">
        <f ca="1">IFERROR(__xludf.DUMMYFUNCTION("""COMPUTED_VALUE"""),"Cypermethrin-Alpha")</f>
        <v>Cypermethrin-Alpha</v>
      </c>
      <c r="B1537" t="str">
        <f ca="1">IFERROR(__xludf.DUMMYFUNCTION("""COMPUTED_VALUE"""),"RF-00000161-VET")</f>
        <v>RF-00000161-VET</v>
      </c>
    </row>
    <row r="1538" spans="1:2" ht="12.5" x14ac:dyDescent="0.25">
      <c r="A1538" t="str">
        <f ca="1">IFERROR(__xludf.DUMMYFUNCTION("""COMPUTED_VALUE"""),"Cyphenothrin")</f>
        <v>Cyphenothrin</v>
      </c>
      <c r="B1538" t="str">
        <f ca="1">IFERROR(__xludf.DUMMYFUNCTION("""COMPUTED_VALUE"""),"RF-00000160-VET")</f>
        <v>RF-00000160-VET</v>
      </c>
    </row>
    <row r="1539" spans="1:2" ht="12.5" x14ac:dyDescent="0.25">
      <c r="A1539" t="str">
        <f ca="1">IFERROR(__xludf.DUMMYFUNCTION("""COMPUTED_VALUE"""),"Cyphenothrin")</f>
        <v>Cyphenothrin</v>
      </c>
      <c r="B1539" t="str">
        <f ca="1">IFERROR(__xludf.DUMMYFUNCTION("""COMPUTED_VALUE"""),"RF-0587-001-PPP")</f>
        <v>RF-0587-001-PPP</v>
      </c>
    </row>
    <row r="1540" spans="1:2" ht="12.5" x14ac:dyDescent="0.25">
      <c r="A1540" t="str">
        <f ca="1">IFERROR(__xludf.DUMMYFUNCTION("""COMPUTED_VALUE"""),"Cyprazin")</f>
        <v>Cyprazin</v>
      </c>
      <c r="B1540" t="str">
        <f ca="1">IFERROR(__xludf.DUMMYFUNCTION("""COMPUTED_VALUE"""),"RF-0588-001-PPP")</f>
        <v>RF-0588-001-PPP</v>
      </c>
    </row>
    <row r="1541" spans="1:2" ht="12.5" x14ac:dyDescent="0.25">
      <c r="A1541" t="str">
        <f ca="1">IFERROR(__xludf.DUMMYFUNCTION("""COMPUTED_VALUE"""),"Cyproconazole")</f>
        <v>Cyproconazole</v>
      </c>
      <c r="B1541" t="str">
        <f ca="1">IFERROR(__xludf.DUMMYFUNCTION("""COMPUTED_VALUE"""),"RF-0113-001-PPP")</f>
        <v>RF-0113-001-PPP</v>
      </c>
    </row>
    <row r="1542" spans="1:2" ht="12.5" x14ac:dyDescent="0.25">
      <c r="A1542" t="str">
        <f ca="1">IFERROR(__xludf.DUMMYFUNCTION("""COMPUTED_VALUE"""),"Cyprodinil")</f>
        <v>Cyprodinil</v>
      </c>
      <c r="B1542" t="str">
        <f ca="1">IFERROR(__xludf.DUMMYFUNCTION("""COMPUTED_VALUE"""),"RF-0114-001-PPP")</f>
        <v>RF-0114-001-PPP</v>
      </c>
    </row>
    <row r="1543" spans="1:2" ht="12.5" x14ac:dyDescent="0.25">
      <c r="A1543" t="str">
        <f ca="1">IFERROR(__xludf.DUMMYFUNCTION("""COMPUTED_VALUE"""),"Cyprodinil (sum cyprodinil and metabolite CGA 304075)")</f>
        <v>Cyprodinil (sum cyprodinil and metabolite CGA 304075)</v>
      </c>
      <c r="B1543" t="str">
        <f ca="1">IFERROR(__xludf.DUMMYFUNCTION("""COMPUTED_VALUE"""),"RF-0114-002-PPP")</f>
        <v>RF-0114-002-PPP</v>
      </c>
    </row>
    <row r="1544" spans="1:2" ht="12.5" x14ac:dyDescent="0.25">
      <c r="A1544" t="str">
        <f ca="1">IFERROR(__xludf.DUMMYFUNCTION("""COMPUTED_VALUE"""),"Cyprofuram")</f>
        <v>Cyprofuram</v>
      </c>
      <c r="B1544" t="str">
        <f ca="1">IFERROR(__xludf.DUMMYFUNCTION("""COMPUTED_VALUE"""),"RF-0589-001-PPP")</f>
        <v>RF-0589-001-PPP</v>
      </c>
    </row>
    <row r="1545" spans="1:2" ht="12.5" x14ac:dyDescent="0.25">
      <c r="A1545" t="str">
        <f ca="1">IFERROR(__xludf.DUMMYFUNCTION("""COMPUTED_VALUE"""),"Cyromazine")</f>
        <v>Cyromazine</v>
      </c>
      <c r="B1545" t="str">
        <f ca="1">IFERROR(__xludf.DUMMYFUNCTION("""COMPUTED_VALUE"""),"RF-00000245-VET")</f>
        <v>RF-00000245-VET</v>
      </c>
    </row>
    <row r="1546" spans="1:2" ht="12.5" x14ac:dyDescent="0.25">
      <c r="A1546" t="str">
        <f ca="1">IFERROR(__xludf.DUMMYFUNCTION("""COMPUTED_VALUE"""),"Cyromazine")</f>
        <v>Cyromazine</v>
      </c>
      <c r="B1546" t="str">
        <f ca="1">IFERROR(__xludf.DUMMYFUNCTION("""COMPUTED_VALUE"""),"RF-0115-001-PPP")</f>
        <v>RF-0115-001-PPP</v>
      </c>
    </row>
    <row r="1547" spans="1:2" ht="12.5" x14ac:dyDescent="0.25">
      <c r="A1547" t="str">
        <f ca="1">IFERROR(__xludf.DUMMYFUNCTION("""COMPUTED_VALUE"""),"cysteine, L-cysteine")</f>
        <v>cysteine, L-cysteine</v>
      </c>
      <c r="B1547" t="str">
        <f ca="1">IFERROR(__xludf.DUMMYFUNCTION("""COMPUTED_VALUE"""),"RF-00000059-NTR")</f>
        <v>RF-00000059-NTR</v>
      </c>
    </row>
    <row r="1548" spans="1:2" ht="12.5" x14ac:dyDescent="0.25">
      <c r="A1548" t="str">
        <f ca="1">IFERROR(__xludf.DUMMYFUNCTION("""COMPUTED_VALUE"""),"Cysticerci")</f>
        <v>Cysticerci</v>
      </c>
      <c r="B1548" t="str">
        <f ca="1">IFERROR(__xludf.DUMMYFUNCTION("""COMPUTED_VALUE"""),"RF-00000092-MCG")</f>
        <v>RF-00000092-MCG</v>
      </c>
    </row>
    <row r="1549" spans="1:2" ht="12.5" x14ac:dyDescent="0.25">
      <c r="A1549" t="str">
        <f ca="1">IFERROR(__xludf.DUMMYFUNCTION("""COMPUTED_VALUE"""),"Cysticerci  of Taenia saginata")</f>
        <v>Cysticerci  of Taenia saginata</v>
      </c>
      <c r="B1549" t="str">
        <f ca="1">IFERROR(__xludf.DUMMYFUNCTION("""COMPUTED_VALUE"""),"RF-00000093-MCG")</f>
        <v>RF-00000093-MCG</v>
      </c>
    </row>
    <row r="1550" spans="1:2" ht="12.5" x14ac:dyDescent="0.25">
      <c r="A1550" t="str">
        <f ca="1">IFERROR(__xludf.DUMMYFUNCTION("""COMPUTED_VALUE"""),"Cysticerci  of Taenia solium")</f>
        <v>Cysticerci  of Taenia solium</v>
      </c>
      <c r="B1550" t="str">
        <f ca="1">IFERROR(__xludf.DUMMYFUNCTION("""COMPUTED_VALUE"""),"RF-00000094-MCG")</f>
        <v>RF-00000094-MCG</v>
      </c>
    </row>
    <row r="1551" spans="1:2" ht="12.5" x14ac:dyDescent="0.25">
      <c r="A1551" t="str">
        <f ca="1">IFERROR(__xludf.DUMMYFUNCTION("""COMPUTED_VALUE"""),"Cysticerci spp., unspecified")</f>
        <v>Cysticerci spp., unspecified</v>
      </c>
      <c r="B1551" t="str">
        <f ca="1">IFERROR(__xludf.DUMMYFUNCTION("""COMPUTED_VALUE"""),"RF-00000095-MCG")</f>
        <v>RF-00000095-MCG</v>
      </c>
    </row>
    <row r="1552" spans="1:2" ht="12.5" x14ac:dyDescent="0.25">
      <c r="A1552" t="str">
        <f ca="1">IFERROR(__xludf.DUMMYFUNCTION("""COMPUTED_VALUE"""),"cystine")</f>
        <v>cystine</v>
      </c>
      <c r="B1552" t="str">
        <f ca="1">IFERROR(__xludf.DUMMYFUNCTION("""COMPUTED_VALUE"""),"RF-00000060-NTR")</f>
        <v>RF-00000060-NTR</v>
      </c>
    </row>
    <row r="1553" spans="1:2" ht="12.5" x14ac:dyDescent="0.25">
      <c r="A1553" t="str">
        <f ca="1">IFERROR(__xludf.DUMMYFUNCTION("""COMPUTED_VALUE"""),"Cythioate")</f>
        <v>Cythioate</v>
      </c>
      <c r="B1553" t="str">
        <f ca="1">IFERROR(__xludf.DUMMYFUNCTION("""COMPUTED_VALUE"""),"RF-0590-001-PPP")</f>
        <v>RF-0590-001-PPP</v>
      </c>
    </row>
    <row r="1554" spans="1:2" ht="12.5" x14ac:dyDescent="0.25">
      <c r="A1554" t="str">
        <f ca="1">IFERROR(__xludf.DUMMYFUNCTION("""COMPUTED_VALUE"""),"Cytostatin")</f>
        <v>Cytostatin</v>
      </c>
      <c r="B1554" t="str">
        <f ca="1">IFERROR(__xludf.DUMMYFUNCTION("""COMPUTED_VALUE"""),"RF-00000288-VET")</f>
        <v>RF-00000288-VET</v>
      </c>
    </row>
    <row r="1555" spans="1:2" ht="12.5" x14ac:dyDescent="0.25">
      <c r="A1555" t="str">
        <f ca="1">IFERROR(__xludf.DUMMYFUNCTION("""COMPUTED_VALUE"""),"D-lactic acid")</f>
        <v>D-lactic acid</v>
      </c>
      <c r="B1555" t="str">
        <f ca="1">IFERROR(__xludf.DUMMYFUNCTION("""COMPUTED_VALUE"""),"RF-00000075-NTR")</f>
        <v>RF-00000075-NTR</v>
      </c>
    </row>
    <row r="1556" spans="1:2" ht="12.5" x14ac:dyDescent="0.25">
      <c r="A1556" t="str">
        <f ca="1">IFERROR(__xludf.DUMMYFUNCTION("""COMPUTED_VALUE"""),"daidzein")</f>
        <v>daidzein</v>
      </c>
      <c r="B1556" t="str">
        <f ca="1">IFERROR(__xludf.DUMMYFUNCTION("""COMPUTED_VALUE"""),"RF-00000061-NTR")</f>
        <v>RF-00000061-NTR</v>
      </c>
    </row>
    <row r="1557" spans="1:2" ht="12.5" x14ac:dyDescent="0.25">
      <c r="A1557" t="str">
        <f ca="1">IFERROR(__xludf.DUMMYFUNCTION("""COMPUTED_VALUE"""),"Daimuron")</f>
        <v>Daimuron</v>
      </c>
      <c r="B1557" t="str">
        <f ca="1">IFERROR(__xludf.DUMMYFUNCTION("""COMPUTED_VALUE"""),"RF-0591-001-PPP")</f>
        <v>RF-0591-001-PPP</v>
      </c>
    </row>
    <row r="1558" spans="1:2" ht="12.5" x14ac:dyDescent="0.25">
      <c r="A1558" t="str">
        <f ca="1">IFERROR(__xludf.DUMMYFUNCTION("""COMPUTED_VALUE"""),"Dalapon")</f>
        <v>Dalapon</v>
      </c>
      <c r="B1558" t="str">
        <f ca="1">IFERROR(__xludf.DUMMYFUNCTION("""COMPUTED_VALUE"""),"RF-0116-001-PPP")</f>
        <v>RF-0116-001-PPP</v>
      </c>
    </row>
    <row r="1559" spans="1:2" ht="12.5" x14ac:dyDescent="0.25">
      <c r="A1559" t="str">
        <f ca="1">IFERROR(__xludf.DUMMYFUNCTION("""COMPUTED_VALUE"""),"Dalfopristin")</f>
        <v>Dalfopristin</v>
      </c>
      <c r="B1559" t="str">
        <f ca="1">IFERROR(__xludf.DUMMYFUNCTION("""COMPUTED_VALUE"""),"RF-00000774-VET")</f>
        <v>RF-00000774-VET</v>
      </c>
    </row>
    <row r="1560" spans="1:2" ht="12.5" x14ac:dyDescent="0.25">
      <c r="A1560" t="str">
        <f ca="1">IFERROR(__xludf.DUMMYFUNCTION("""COMPUTED_VALUE"""),"Daminozide (sum of daminozide and 1,1-dimethyl-hydrazine, expressed as daminazide)")</f>
        <v>Daminozide (sum of daminozide and 1,1-dimethyl-hydrazine, expressed as daminazide)</v>
      </c>
      <c r="B1560" t="str">
        <f ca="1">IFERROR(__xludf.DUMMYFUNCTION("""COMPUTED_VALUE"""),"RF-0117-001-PPP")</f>
        <v>RF-0117-001-PPP</v>
      </c>
    </row>
    <row r="1561" spans="1:2" ht="12.5" x14ac:dyDescent="0.25">
      <c r="A1561" t="str">
        <f ca="1">IFERROR(__xludf.DUMMYFUNCTION("""COMPUTED_VALUE"""),"Danazol")</f>
        <v>Danazol</v>
      </c>
      <c r="B1561" t="str">
        <f ca="1">IFERROR(__xludf.DUMMYFUNCTION("""COMPUTED_VALUE"""),"RF-00000437-VET")</f>
        <v>RF-00000437-VET</v>
      </c>
    </row>
    <row r="1562" spans="1:2" ht="12.5" x14ac:dyDescent="0.25">
      <c r="A1562" t="str">
        <f ca="1">IFERROR(__xludf.DUMMYFUNCTION("""COMPUTED_VALUE"""),"Danifos")</f>
        <v>Danifos</v>
      </c>
      <c r="B1562" t="str">
        <f ca="1">IFERROR(__xludf.DUMMYFUNCTION("""COMPUTED_VALUE"""),"RF-1044-001-PPP")</f>
        <v>RF-1044-001-PPP</v>
      </c>
    </row>
    <row r="1563" spans="1:2" ht="12.5" x14ac:dyDescent="0.25">
      <c r="A1563" t="str">
        <f ca="1">IFERROR(__xludf.DUMMYFUNCTION("""COMPUTED_VALUE"""),"Danofloxacin")</f>
        <v>Danofloxacin</v>
      </c>
      <c r="B1563" t="str">
        <f ca="1">IFERROR(__xludf.DUMMYFUNCTION("""COMPUTED_VALUE"""),"RF-00000581-VET")</f>
        <v>RF-00000581-VET</v>
      </c>
    </row>
    <row r="1564" spans="1:2" ht="12.5" x14ac:dyDescent="0.25">
      <c r="A1564" t="str">
        <f ca="1">IFERROR(__xludf.DUMMYFUNCTION("""COMPUTED_VALUE"""),"Dapsone")</f>
        <v>Dapsone</v>
      </c>
      <c r="B1564" t="str">
        <f ca="1">IFERROR(__xludf.DUMMYFUNCTION("""COMPUTED_VALUE"""),"RF-00000514-VET")</f>
        <v>RF-00000514-VET</v>
      </c>
    </row>
    <row r="1565" spans="1:2" ht="12.5" x14ac:dyDescent="0.25">
      <c r="A1565" t="str">
        <f ca="1">IFERROR(__xludf.DUMMYFUNCTION("""COMPUTED_VALUE"""),"Daptomycin")</f>
        <v>Daptomycin</v>
      </c>
      <c r="B1565" t="str">
        <f ca="1">IFERROR(__xludf.DUMMYFUNCTION("""COMPUTED_VALUE"""),"RF-00000743-VET")</f>
        <v>RF-00000743-VET</v>
      </c>
    </row>
    <row r="1566" spans="1:2" ht="12.5" x14ac:dyDescent="0.25">
      <c r="A1566" t="str">
        <f ca="1">IFERROR(__xludf.DUMMYFUNCTION("""COMPUTED_VALUE"""),"Dazomet")</f>
        <v>Dazomet</v>
      </c>
      <c r="B1566" t="str">
        <f ca="1">IFERROR(__xludf.DUMMYFUNCTION("""COMPUTED_VALUE"""),"RF-0118-003-PPP")</f>
        <v>RF-0118-003-PPP</v>
      </c>
    </row>
    <row r="1567" spans="1:2" ht="12.5" x14ac:dyDescent="0.25">
      <c r="A1567" t="str">
        <f ca="1">IFERROR(__xludf.DUMMYFUNCTION("""COMPUTED_VALUE"""),"Dazomet (Methylisothiocyanate resulting from the use of dazomet and metam)")</f>
        <v>Dazomet (Methylisothiocyanate resulting from the use of dazomet and metam)</v>
      </c>
      <c r="B1567" t="str">
        <f ca="1">IFERROR(__xludf.DUMMYFUNCTION("""COMPUTED_VALUE"""),"RF-0118-001-PPP")</f>
        <v>RF-0118-001-PPP</v>
      </c>
    </row>
    <row r="1568" spans="1:2" ht="12.5" x14ac:dyDescent="0.25">
      <c r="A1568" t="str">
        <f ca="1">IFERROR(__xludf.DUMMYFUNCTION("""COMPUTED_VALUE"""),"DDAC")</f>
        <v>DDAC</v>
      </c>
      <c r="B1568" t="str">
        <f ca="1">IFERROR(__xludf.DUMMYFUNCTION("""COMPUTED_VALUE"""),"RF-1078-002-PPP")</f>
        <v>RF-1078-002-PPP</v>
      </c>
    </row>
    <row r="1569" spans="1:2" ht="12.5" x14ac:dyDescent="0.25">
      <c r="A1569" t="str">
        <f ca="1">IFERROR(__xludf.DUMMYFUNCTION("""COMPUTED_VALUE"""),"DDD, o,p-")</f>
        <v>DDD, o,p-</v>
      </c>
      <c r="B1569" t="str">
        <f ca="1">IFERROR(__xludf.DUMMYFUNCTION("""COMPUTED_VALUE"""),"RF-0119-005-PPP")</f>
        <v>RF-0119-005-PPP</v>
      </c>
    </row>
    <row r="1570" spans="1:2" ht="12.5" x14ac:dyDescent="0.25">
      <c r="A1570" t="str">
        <f ca="1">IFERROR(__xludf.DUMMYFUNCTION("""COMPUTED_VALUE"""),"DDD, p,p-")</f>
        <v>DDD, p,p-</v>
      </c>
      <c r="B1570" t="str">
        <f ca="1">IFERROR(__xludf.DUMMYFUNCTION("""COMPUTED_VALUE"""),"RF-0119-004-PPP")</f>
        <v>RF-0119-004-PPP</v>
      </c>
    </row>
    <row r="1571" spans="1:2" ht="12.5" x14ac:dyDescent="0.25">
      <c r="A1571" t="str">
        <f ca="1">IFERROR(__xludf.DUMMYFUNCTION("""COMPUTED_VALUE"""),"DDE, o,p-")</f>
        <v>DDE, o,p-</v>
      </c>
      <c r="B1571" t="str">
        <f ca="1">IFERROR(__xludf.DUMMYFUNCTION("""COMPUTED_VALUE"""),"RF-0119-007-PPP")</f>
        <v>RF-0119-007-PPP</v>
      </c>
    </row>
    <row r="1572" spans="1:2" ht="12.5" x14ac:dyDescent="0.25">
      <c r="A1572" t="str">
        <f ca="1">IFERROR(__xludf.DUMMYFUNCTION("""COMPUTED_VALUE"""),"DDE, p,p-")</f>
        <v>DDE, p,p-</v>
      </c>
      <c r="B1572" t="str">
        <f ca="1">IFERROR(__xludf.DUMMYFUNCTION("""COMPUTED_VALUE"""),"RF-0119-002-PPP")</f>
        <v>RF-0119-002-PPP</v>
      </c>
    </row>
    <row r="1573" spans="1:2" ht="12.5" x14ac:dyDescent="0.25">
      <c r="A1573" t="str">
        <f ca="1">IFERROR(__xludf.DUMMYFUNCTION("""COMPUTED_VALUE"""),"DDMU")</f>
        <v>DDMU</v>
      </c>
      <c r="B1573" t="str">
        <f ca="1">IFERROR(__xludf.DUMMYFUNCTION("""COMPUTED_VALUE"""),"RF-0996-001-PPP")</f>
        <v>RF-0996-001-PPP</v>
      </c>
    </row>
    <row r="1574" spans="1:2" ht="12.5" x14ac:dyDescent="0.25">
      <c r="A1574" t="str">
        <f ca="1">IFERROR(__xludf.DUMMYFUNCTION("""COMPUTED_VALUE"""),"DDT (sum of p,p'-DDT, o,p'-DDT, p-p'-DDE and p,p'-TDE (DDD) expressed as DDT)")</f>
        <v>DDT (sum of p,p'-DDT, o,p'-DDT, p-p'-DDE and p,p'-TDE (DDD) expressed as DDT)</v>
      </c>
      <c r="B1574" t="str">
        <f ca="1">IFERROR(__xludf.DUMMYFUNCTION("""COMPUTED_VALUE"""),"RF-0119-001-PPP")</f>
        <v>RF-0119-001-PPP</v>
      </c>
    </row>
    <row r="1575" spans="1:2" ht="12.5" x14ac:dyDescent="0.25">
      <c r="A1575" t="str">
        <f ca="1">IFERROR(__xludf.DUMMYFUNCTION("""COMPUTED_VALUE"""),"DDT, o,p-")</f>
        <v>DDT, o,p-</v>
      </c>
      <c r="B1575" t="str">
        <f ca="1">IFERROR(__xludf.DUMMYFUNCTION("""COMPUTED_VALUE"""),"RF-0119-003-PPP")</f>
        <v>RF-0119-003-PPP</v>
      </c>
    </row>
    <row r="1576" spans="1:2" ht="12.5" x14ac:dyDescent="0.25">
      <c r="A1576" t="str">
        <f ca="1">IFERROR(__xludf.DUMMYFUNCTION("""COMPUTED_VALUE"""),"DDT, p,p-")</f>
        <v>DDT, p,p-</v>
      </c>
      <c r="B1576" t="str">
        <f ca="1">IFERROR(__xludf.DUMMYFUNCTION("""COMPUTED_VALUE"""),"RF-0119-006-PPP")</f>
        <v>RF-0119-006-PPP</v>
      </c>
    </row>
    <row r="1577" spans="1:2" ht="12.5" x14ac:dyDescent="0.25">
      <c r="A1577" t="str">
        <f ca="1">IFERROR(__xludf.DUMMYFUNCTION("""COMPUTED_VALUE"""),"Decabromodiphenylethane")</f>
        <v>Decabromodiphenylethane</v>
      </c>
      <c r="B1577" t="str">
        <f ca="1">IFERROR(__xludf.DUMMYFUNCTION("""COMPUTED_VALUE"""),"RF-00000083-ORG")</f>
        <v>RF-00000083-ORG</v>
      </c>
    </row>
    <row r="1578" spans="1:2" ht="12.5" x14ac:dyDescent="0.25">
      <c r="A1578" t="str">
        <f ca="1">IFERROR(__xludf.DUMMYFUNCTION("""COMPUTED_VALUE"""),"decarbamoyl (dc-) gonyautoxins 1")</f>
        <v>decarbamoyl (dc-) gonyautoxins 1</v>
      </c>
      <c r="B1578" t="str">
        <f ca="1">IFERROR(__xludf.DUMMYFUNCTION("""COMPUTED_VALUE"""),"RF-00000107-TOX")</f>
        <v>RF-00000107-TOX</v>
      </c>
    </row>
    <row r="1579" spans="1:2" ht="12.5" x14ac:dyDescent="0.25">
      <c r="A1579" t="str">
        <f ca="1">IFERROR(__xludf.DUMMYFUNCTION("""COMPUTED_VALUE"""),"decarbamoyl (dc-) gonyautoxins 2")</f>
        <v>decarbamoyl (dc-) gonyautoxins 2</v>
      </c>
      <c r="B1579" t="str">
        <f ca="1">IFERROR(__xludf.DUMMYFUNCTION("""COMPUTED_VALUE"""),"RF-00000108-TOX")</f>
        <v>RF-00000108-TOX</v>
      </c>
    </row>
    <row r="1580" spans="1:2" ht="12.5" x14ac:dyDescent="0.25">
      <c r="A1580" t="str">
        <f ca="1">IFERROR(__xludf.DUMMYFUNCTION("""COMPUTED_VALUE"""),"decarbamoyl (dc-) gonyautoxins 2,3")</f>
        <v>decarbamoyl (dc-) gonyautoxins 2,3</v>
      </c>
      <c r="B1580" t="str">
        <f ca="1">IFERROR(__xludf.DUMMYFUNCTION("""COMPUTED_VALUE"""),"RF-00000111-TOX")</f>
        <v>RF-00000111-TOX</v>
      </c>
    </row>
    <row r="1581" spans="1:2" ht="12.5" x14ac:dyDescent="0.25">
      <c r="A1581" t="str">
        <f ca="1">IFERROR(__xludf.DUMMYFUNCTION("""COMPUTED_VALUE"""),"decarbamoyl (dc-) gonyautoxins 3")</f>
        <v>decarbamoyl (dc-) gonyautoxins 3</v>
      </c>
      <c r="B1581" t="str">
        <f ca="1">IFERROR(__xludf.DUMMYFUNCTION("""COMPUTED_VALUE"""),"RF-00000109-TOX")</f>
        <v>RF-00000109-TOX</v>
      </c>
    </row>
    <row r="1582" spans="1:2" ht="12.5" x14ac:dyDescent="0.25">
      <c r="A1582" t="str">
        <f ca="1">IFERROR(__xludf.DUMMYFUNCTION("""COMPUTED_VALUE"""),"decarbamoyl (dc-) gonyautoxins 4")</f>
        <v>decarbamoyl (dc-) gonyautoxins 4</v>
      </c>
      <c r="B1582" t="str">
        <f ca="1">IFERROR(__xludf.DUMMYFUNCTION("""COMPUTED_VALUE"""),"RF-00000110-TOX")</f>
        <v>RF-00000110-TOX</v>
      </c>
    </row>
    <row r="1583" spans="1:2" ht="12.5" x14ac:dyDescent="0.25">
      <c r="A1583" t="str">
        <f ca="1">IFERROR(__xludf.DUMMYFUNCTION("""COMPUTED_VALUE"""),"decarbamoyl (dc-) neosaxitoxin")</f>
        <v>decarbamoyl (dc-) neosaxitoxin</v>
      </c>
      <c r="B1583" t="str">
        <f ca="1">IFERROR(__xludf.DUMMYFUNCTION("""COMPUTED_VALUE"""),"RF-00000114-TOX")</f>
        <v>RF-00000114-TOX</v>
      </c>
    </row>
    <row r="1584" spans="1:2" ht="12.5" x14ac:dyDescent="0.25">
      <c r="A1584" t="str">
        <f ca="1">IFERROR(__xludf.DUMMYFUNCTION("""COMPUTED_VALUE"""),"decarbamoyl (dc-) Saxitoxin")</f>
        <v>decarbamoyl (dc-) Saxitoxin</v>
      </c>
      <c r="B1584" t="str">
        <f ca="1">IFERROR(__xludf.DUMMYFUNCTION("""COMPUTED_VALUE"""),"RF-00000113-TOX")</f>
        <v>RF-00000113-TOX</v>
      </c>
    </row>
    <row r="1585" spans="1:2" ht="12.5" x14ac:dyDescent="0.25">
      <c r="A1585" t="str">
        <f ca="1">IFERROR(__xludf.DUMMYFUNCTION("""COMPUTED_VALUE"""),"Decarbamoyl saxitoxins")</f>
        <v>Decarbamoyl saxitoxins</v>
      </c>
      <c r="B1585" t="str">
        <f ca="1">IFERROR(__xludf.DUMMYFUNCTION("""COMPUTED_VALUE"""),"RF-00000106-TOX")</f>
        <v>RF-00000106-TOX</v>
      </c>
    </row>
    <row r="1586" spans="1:2" ht="12.5" x14ac:dyDescent="0.25">
      <c r="A1586" t="str">
        <f ca="1">IFERROR(__xludf.DUMMYFUNCTION("""COMPUTED_VALUE"""),"Decoquinate")</f>
        <v>Decoquinate</v>
      </c>
      <c r="B1586" t="str">
        <f ca="1">IFERROR(__xludf.DUMMYFUNCTION("""COMPUTED_VALUE"""),"RF-00000546-VET")</f>
        <v>RF-00000546-VET</v>
      </c>
    </row>
    <row r="1587" spans="1:2" ht="12.5" x14ac:dyDescent="0.25">
      <c r="A1587" t="str">
        <f ca="1">IFERROR(__xludf.DUMMYFUNCTION("""COMPUTED_VALUE"""),"Dehydrojaconine")</f>
        <v>Dehydrojaconine</v>
      </c>
      <c r="B1587" t="str">
        <f ca="1">IFERROR(__xludf.DUMMYFUNCTION("""COMPUTED_VALUE"""),"RF-00000382-TOX")</f>
        <v>RF-00000382-TOX</v>
      </c>
    </row>
    <row r="1588" spans="1:2" ht="12.5" x14ac:dyDescent="0.25">
      <c r="A1588" t="str">
        <f ca="1">IFERROR(__xludf.DUMMYFUNCTION("""COMPUTED_VALUE"""),"dehydroretinol")</f>
        <v>dehydroretinol</v>
      </c>
      <c r="B1588" t="str">
        <f ca="1">IFERROR(__xludf.DUMMYFUNCTION("""COMPUTED_VALUE"""),"RF-00000062-NTR")</f>
        <v>RF-00000062-NTR</v>
      </c>
    </row>
    <row r="1589" spans="1:2" ht="12.5" x14ac:dyDescent="0.25">
      <c r="A1589" t="str">
        <f ca="1">IFERROR(__xludf.DUMMYFUNCTION("""COMPUTED_VALUE"""),"Dehydroretronecine")</f>
        <v>Dehydroretronecine</v>
      </c>
      <c r="B1589" t="str">
        <f ca="1">IFERROR(__xludf.DUMMYFUNCTION("""COMPUTED_VALUE"""),"RF-00000273-TOX")</f>
        <v>RF-00000273-TOX</v>
      </c>
    </row>
    <row r="1590" spans="1:2" ht="12.5" x14ac:dyDescent="0.25">
      <c r="A1590" t="str">
        <f ca="1">IFERROR(__xludf.DUMMYFUNCTION("""COMPUTED_VALUE"""),"Delmadinone")</f>
        <v>Delmadinone</v>
      </c>
      <c r="B1590" t="str">
        <f ca="1">IFERROR(__xludf.DUMMYFUNCTION("""COMPUTED_VALUE"""),"RF-00000368-VET")</f>
        <v>RF-00000368-VET</v>
      </c>
    </row>
    <row r="1591" spans="1:2" ht="12.5" x14ac:dyDescent="0.25">
      <c r="A1591" t="str">
        <f ca="1">IFERROR(__xludf.DUMMYFUNCTION("""COMPUTED_VALUE"""),"Delmadinone acetate")</f>
        <v>Delmadinone acetate</v>
      </c>
      <c r="B1591" t="str">
        <f ca="1">IFERROR(__xludf.DUMMYFUNCTION("""COMPUTED_VALUE"""),"RF-00000407-VET")</f>
        <v>RF-00000407-VET</v>
      </c>
    </row>
    <row r="1592" spans="1:2" ht="12.5" x14ac:dyDescent="0.25">
      <c r="A1592" t="str">
        <f ca="1">IFERROR(__xludf.DUMMYFUNCTION("""COMPUTED_VALUE"""),"delta 5-avenasterol (delta 5-avenastenol)")</f>
        <v>delta 5-avenasterol (delta 5-avenastenol)</v>
      </c>
      <c r="B1592" t="str">
        <f ca="1">IFERROR(__xludf.DUMMYFUNCTION("""COMPUTED_VALUE"""),"RF-00000063-NTR")</f>
        <v>RF-00000063-NTR</v>
      </c>
    </row>
    <row r="1593" spans="1:2" ht="12.5" x14ac:dyDescent="0.25">
      <c r="A1593" t="str">
        <f ca="1">IFERROR(__xludf.DUMMYFUNCTION("""COMPUTED_VALUE"""),"delta 5-campesterol (delta 5-campestenol)")</f>
        <v>delta 5-campesterol (delta 5-campestenol)</v>
      </c>
      <c r="B1593" t="str">
        <f ca="1">IFERROR(__xludf.DUMMYFUNCTION("""COMPUTED_VALUE"""),"RF-00000064-NTR")</f>
        <v>RF-00000064-NTR</v>
      </c>
    </row>
    <row r="1594" spans="1:2" ht="12.5" x14ac:dyDescent="0.25">
      <c r="A1594" t="str">
        <f ca="1">IFERROR(__xludf.DUMMYFUNCTION("""COMPUTED_VALUE"""),"delta 7 stigmasterol")</f>
        <v>delta 7 stigmasterol</v>
      </c>
      <c r="B1594" t="str">
        <f ca="1">IFERROR(__xludf.DUMMYFUNCTION("""COMPUTED_VALUE"""),"RF-00000065-NTR")</f>
        <v>RF-00000065-NTR</v>
      </c>
    </row>
    <row r="1595" spans="1:2" ht="12.5" x14ac:dyDescent="0.25">
      <c r="A1595" t="str">
        <f ca="1">IFERROR(__xludf.DUMMYFUNCTION("""COMPUTED_VALUE"""),"delta 7-avenasterol (delta 7-avenastenol)")</f>
        <v>delta 7-avenasterol (delta 7-avenastenol)</v>
      </c>
      <c r="B1595" t="str">
        <f ca="1">IFERROR(__xludf.DUMMYFUNCTION("""COMPUTED_VALUE"""),"RF-00000067-NTR")</f>
        <v>RF-00000067-NTR</v>
      </c>
    </row>
    <row r="1596" spans="1:2" ht="12.5" x14ac:dyDescent="0.25">
      <c r="A1596" t="str">
        <f ca="1">IFERROR(__xludf.DUMMYFUNCTION("""COMPUTED_VALUE"""),"delta 7-campesterol (delta 7-campestenol)")</f>
        <v>delta 7-campesterol (delta 7-campestenol)</v>
      </c>
      <c r="B1596" t="str">
        <f ca="1">IFERROR(__xludf.DUMMYFUNCTION("""COMPUTED_VALUE"""),"RF-00000068-NTR")</f>
        <v>RF-00000068-NTR</v>
      </c>
    </row>
    <row r="1597" spans="1:2" ht="12.5" x14ac:dyDescent="0.25">
      <c r="A1597" t="str">
        <f ca="1">IFERROR(__xludf.DUMMYFUNCTION("""COMPUTED_VALUE"""),"delta 7,9,11-stigmastadienol")</f>
        <v>delta 7,9,11-stigmastadienol</v>
      </c>
      <c r="B1597" t="str">
        <f ca="1">IFERROR(__xludf.DUMMYFUNCTION("""COMPUTED_VALUE"""),"RF-00000066-NTR")</f>
        <v>RF-00000066-NTR</v>
      </c>
    </row>
    <row r="1598" spans="1:2" ht="12.5" x14ac:dyDescent="0.25">
      <c r="A1598" t="str">
        <f ca="1">IFERROR(__xludf.DUMMYFUNCTION("""COMPUTED_VALUE"""),"Delta-tocopherol")</f>
        <v>Delta-tocopherol</v>
      </c>
      <c r="B1598" t="str">
        <f ca="1">IFERROR(__xludf.DUMMYFUNCTION("""COMPUTED_VALUE"""),"RF-00000110-ADD")</f>
        <v>RF-00000110-ADD</v>
      </c>
    </row>
    <row r="1599" spans="1:2" ht="12.5" x14ac:dyDescent="0.25">
      <c r="A1599" t="str">
        <f ca="1">IFERROR(__xludf.DUMMYFUNCTION("""COMPUTED_VALUE"""),"delta-tocotrienol")</f>
        <v>delta-tocotrienol</v>
      </c>
      <c r="B1599" t="str">
        <f ca="1">IFERROR(__xludf.DUMMYFUNCTION("""COMPUTED_VALUE"""),"RF-00000069-NTR")</f>
        <v>RF-00000069-NTR</v>
      </c>
    </row>
    <row r="1600" spans="1:2" ht="12.5" x14ac:dyDescent="0.25">
      <c r="A1600" t="str">
        <f ca="1">IFERROR(__xludf.DUMMYFUNCTION("""COMPUTED_VALUE"""),"Deltamethrin")</f>
        <v>Deltamethrin</v>
      </c>
      <c r="B1600" t="str">
        <f ca="1">IFERROR(__xludf.DUMMYFUNCTION("""COMPUTED_VALUE"""),"RF-00000147-VET")</f>
        <v>RF-00000147-VET</v>
      </c>
    </row>
    <row r="1601" spans="1:2" ht="12.5" x14ac:dyDescent="0.25">
      <c r="A1601" t="str">
        <f ca="1">IFERROR(__xludf.DUMMYFUNCTION("""COMPUTED_VALUE"""),"Deltamethrin (cis-deltamethrin)")</f>
        <v>Deltamethrin (cis-deltamethrin)</v>
      </c>
      <c r="B1601" t="str">
        <f ca="1">IFERROR(__xludf.DUMMYFUNCTION("""COMPUTED_VALUE"""),"RF-0120-001-PPP")</f>
        <v>RF-0120-001-PPP</v>
      </c>
    </row>
    <row r="1602" spans="1:2" ht="12.5" x14ac:dyDescent="0.25">
      <c r="A1602" t="str">
        <f ca="1">IFERROR(__xludf.DUMMYFUNCTION("""COMPUTED_VALUE"""),"Demeclocyclin")</f>
        <v>Demeclocyclin</v>
      </c>
      <c r="B1602" t="str">
        <f ca="1">IFERROR(__xludf.DUMMYFUNCTION("""COMPUTED_VALUE"""),"RF-00000675-VET")</f>
        <v>RF-00000675-VET</v>
      </c>
    </row>
    <row r="1603" spans="1:2" ht="12.5" x14ac:dyDescent="0.25">
      <c r="A1603" t="str">
        <f ca="1">IFERROR(__xludf.DUMMYFUNCTION("""COMPUTED_VALUE"""),"Demephion-O")</f>
        <v>Demephion-O</v>
      </c>
      <c r="B1603" t="str">
        <f ca="1">IFERROR(__xludf.DUMMYFUNCTION("""COMPUTED_VALUE"""),"RF-0592-001-PPP")</f>
        <v>RF-0592-001-PPP</v>
      </c>
    </row>
    <row r="1604" spans="1:2" ht="12.5" x14ac:dyDescent="0.25">
      <c r="A1604" t="str">
        <f ca="1">IFERROR(__xludf.DUMMYFUNCTION("""COMPUTED_VALUE"""),"Demephion-S")</f>
        <v>Demephion-S</v>
      </c>
      <c r="B1604" t="str">
        <f ca="1">IFERROR(__xludf.DUMMYFUNCTION("""COMPUTED_VALUE"""),"RF-0593-001-PPP")</f>
        <v>RF-0593-001-PPP</v>
      </c>
    </row>
    <row r="1605" spans="1:2" ht="12.5" x14ac:dyDescent="0.25">
      <c r="A1605" t="str">
        <f ca="1">IFERROR(__xludf.DUMMYFUNCTION("""COMPUTED_VALUE"""),"Demethylsterigmatocystin")</f>
        <v>Demethylsterigmatocystin</v>
      </c>
      <c r="B1605" t="str">
        <f ca="1">IFERROR(__xludf.DUMMYFUNCTION("""COMPUTED_VALUE"""),"RF-00000198-TOX")</f>
        <v>RF-00000198-TOX</v>
      </c>
    </row>
    <row r="1606" spans="1:2" ht="12.5" x14ac:dyDescent="0.25">
      <c r="A1606" t="str">
        <f ca="1">IFERROR(__xludf.DUMMYFUNCTION("""COMPUTED_VALUE"""),"Demeton")</f>
        <v>Demeton</v>
      </c>
      <c r="B1606" t="str">
        <f ca="1">IFERROR(__xludf.DUMMYFUNCTION("""COMPUTED_VALUE"""),"RF-1045-001-PPP")</f>
        <v>RF-1045-001-PPP</v>
      </c>
    </row>
    <row r="1607" spans="1:2" ht="12.5" x14ac:dyDescent="0.25">
      <c r="A1607" t="str">
        <f ca="1">IFERROR(__xludf.DUMMYFUNCTION("""COMPUTED_VALUE"""),"Demeton-S")</f>
        <v>Demeton-S</v>
      </c>
      <c r="B1607" t="str">
        <f ca="1">IFERROR(__xludf.DUMMYFUNCTION("""COMPUTED_VALUE"""),"RF-1022-001-PPP")</f>
        <v>RF-1022-001-PPP</v>
      </c>
    </row>
    <row r="1608" spans="1:2" ht="12.5" x14ac:dyDescent="0.25">
      <c r="A1608" t="str">
        <f ca="1">IFERROR(__xludf.DUMMYFUNCTION("""COMPUTED_VALUE"""),"Demeton-S-Methyl")</f>
        <v>Demeton-S-Methyl</v>
      </c>
      <c r="B1608" t="str">
        <f ca="1">IFERROR(__xludf.DUMMYFUNCTION("""COMPUTED_VALUE"""),"RF-0594-002-PPP")</f>
        <v>RF-0594-002-PPP</v>
      </c>
    </row>
    <row r="1609" spans="1:2" ht="12.5" x14ac:dyDescent="0.25">
      <c r="A1609" t="str">
        <f ca="1">IFERROR(__xludf.DUMMYFUNCTION("""COMPUTED_VALUE"""),"Demeton-S-Methyl-Demeton-S-methyl sulfone-oxydemeton-methyl (individually or combined expressed as demeton-S-methyl)")</f>
        <v>Demeton-S-Methyl-Demeton-S-methyl sulfone-oxydemeton-methyl (individually or combined expressed as demeton-S-methyl)</v>
      </c>
      <c r="B1609" t="str">
        <f ca="1">IFERROR(__xludf.DUMMYFUNCTION("""COMPUTED_VALUE"""),"RF-0594-001-PPP")</f>
        <v>RF-0594-001-PPP</v>
      </c>
    </row>
    <row r="1610" spans="1:2" ht="12.5" x14ac:dyDescent="0.25">
      <c r="A1610" t="str">
        <f ca="1">IFERROR(__xludf.DUMMYFUNCTION("""COMPUTED_VALUE"""),"Demeton-S-Methylsulfone")</f>
        <v>Demeton-S-Methylsulfone</v>
      </c>
      <c r="B1610" t="str">
        <f ca="1">IFERROR(__xludf.DUMMYFUNCTION("""COMPUTED_VALUE"""),"RF-0323-003-PPP")</f>
        <v>RF-0323-003-PPP</v>
      </c>
    </row>
    <row r="1611" spans="1:2" ht="12.5" x14ac:dyDescent="0.25">
      <c r="A1611" t="str">
        <f ca="1">IFERROR(__xludf.DUMMYFUNCTION("""COMPUTED_VALUE"""),"Demeton-S-Methylsulfoxid")</f>
        <v>Demeton-S-Methylsulfoxid</v>
      </c>
      <c r="B1611" t="str">
        <f ca="1">IFERROR(__xludf.DUMMYFUNCTION("""COMPUTED_VALUE"""),"RF-0323-002-PPP")</f>
        <v>RF-0323-002-PPP</v>
      </c>
    </row>
    <row r="1612" spans="1:2" ht="12.5" x14ac:dyDescent="0.25">
      <c r="A1612" t="str">
        <f ca="1">IFERROR(__xludf.DUMMYFUNCTION("""COMPUTED_VALUE"""),"density-specific gravity")</f>
        <v>density-specific gravity</v>
      </c>
      <c r="B1612" t="str">
        <f ca="1">IFERROR(__xludf.DUMMYFUNCTION("""COMPUTED_VALUE"""),"RF-00000070-NTR")</f>
        <v>RF-00000070-NTR</v>
      </c>
    </row>
    <row r="1613" spans="1:2" ht="12.5" x14ac:dyDescent="0.25">
      <c r="A1613" t="str">
        <f ca="1">IFERROR(__xludf.DUMMYFUNCTION("""COMPUTED_VALUE"""),"Deopalytoxin")</f>
        <v>Deopalytoxin</v>
      </c>
      <c r="B1613" t="str">
        <f ca="1">IFERROR(__xludf.DUMMYFUNCTION("""COMPUTED_VALUE"""),"RF-00000078-TOX")</f>
        <v>RF-00000078-TOX</v>
      </c>
    </row>
    <row r="1614" spans="1:2" ht="12.5" x14ac:dyDescent="0.25">
      <c r="A1614" t="str">
        <f ca="1">IFERROR(__xludf.DUMMYFUNCTION("""COMPUTED_VALUE"""),"Deoxynivalenol")</f>
        <v>Deoxynivalenol</v>
      </c>
      <c r="B1614" t="str">
        <f ca="1">IFERROR(__xludf.DUMMYFUNCTION("""COMPUTED_VALUE"""),"RF-00000165-TOX")</f>
        <v>RF-00000165-TOX</v>
      </c>
    </row>
    <row r="1615" spans="1:2" ht="12.5" x14ac:dyDescent="0.25">
      <c r="A1615" t="str">
        <f ca="1">IFERROR(__xludf.DUMMYFUNCTION("""COMPUTED_VALUE"""),"Deoxynivalenol and derivatives")</f>
        <v>Deoxynivalenol and derivatives</v>
      </c>
      <c r="B1615" t="str">
        <f ca="1">IFERROR(__xludf.DUMMYFUNCTION("""COMPUTED_VALUE"""),"RF-00000433-TOX")</f>
        <v>RF-00000433-TOX</v>
      </c>
    </row>
    <row r="1616" spans="1:2" ht="12.5" x14ac:dyDescent="0.25">
      <c r="A1616" t="str">
        <f ca="1">IFERROR(__xludf.DUMMYFUNCTION("""COMPUTED_VALUE"""),"Deoxynivalenol-3-glucoside")</f>
        <v>Deoxynivalenol-3-glucoside</v>
      </c>
      <c r="B1616" t="str">
        <f ca="1">IFERROR(__xludf.DUMMYFUNCTION("""COMPUTED_VALUE"""),"RF-00000460-TOX")</f>
        <v>RF-00000460-TOX</v>
      </c>
    </row>
    <row r="1617" spans="1:2" ht="12.5" x14ac:dyDescent="0.25">
      <c r="A1617" t="str">
        <f ca="1">IFERROR(__xludf.DUMMYFUNCTION("""COMPUTED_VALUE"""),"Desacetylcephapirin")</f>
        <v>Desacetylcephapirin</v>
      </c>
      <c r="B1617" t="str">
        <f ca="1">IFERROR(__xludf.DUMMYFUNCTION("""COMPUTED_VALUE"""),"RF-00000674-VET")</f>
        <v>RF-00000674-VET</v>
      </c>
    </row>
    <row r="1618" spans="1:2" ht="12.5" x14ac:dyDescent="0.25">
      <c r="A1618" t="str">
        <f ca="1">IFERROR(__xludf.DUMMYFUNCTION("""COMPUTED_VALUE"""),"Desacetyldoronine")</f>
        <v>Desacetyldoronine</v>
      </c>
      <c r="B1618" t="str">
        <f ca="1">IFERROR(__xludf.DUMMYFUNCTION("""COMPUTED_VALUE"""),"RF-00000383-TOX")</f>
        <v>RF-00000383-TOX</v>
      </c>
    </row>
    <row r="1619" spans="1:2" ht="12.5" x14ac:dyDescent="0.25">
      <c r="A1619" t="str">
        <f ca="1">IFERROR(__xludf.DUMMYFUNCTION("""COMPUTED_VALUE"""),"Desethyl-Atrazine")</f>
        <v>Desethyl-Atrazine</v>
      </c>
      <c r="B1619" t="str">
        <f ca="1">IFERROR(__xludf.DUMMYFUNCTION("""COMPUTED_VALUE"""),"RF-0478-001-PPP")</f>
        <v>RF-0478-001-PPP</v>
      </c>
    </row>
    <row r="1620" spans="1:2" ht="12.5" x14ac:dyDescent="0.25">
      <c r="A1620" t="str">
        <f ca="1">IFERROR(__xludf.DUMMYFUNCTION("""COMPUTED_VALUE"""),"Desisopropyl atrazine")</f>
        <v>Desisopropyl atrazine</v>
      </c>
      <c r="B1620" t="str">
        <f ca="1">IFERROR(__xludf.DUMMYFUNCTION("""COMPUTED_VALUE"""),"RF-0983-001-PPP")</f>
        <v>RF-0983-001-PPP</v>
      </c>
    </row>
    <row r="1621" spans="1:2" ht="12.5" x14ac:dyDescent="0.25">
      <c r="A1621" t="str">
        <f ca="1">IFERROR(__xludf.DUMMYFUNCTION("""COMPUTED_VALUE"""),"Desmedipham")</f>
        <v>Desmedipham</v>
      </c>
      <c r="B1621" t="str">
        <f ca="1">IFERROR(__xludf.DUMMYFUNCTION("""COMPUTED_VALUE"""),"RF-0121-001-PPP")</f>
        <v>RF-0121-001-PPP</v>
      </c>
    </row>
    <row r="1622" spans="1:2" ht="12.5" x14ac:dyDescent="0.25">
      <c r="A1622" t="str">
        <f ca="1">IFERROR(__xludf.DUMMYFUNCTION("""COMPUTED_VALUE"""),"Desmethyl Pirimicarb")</f>
        <v>Desmethyl Pirimicarb</v>
      </c>
      <c r="B1622" t="str">
        <f ca="1">IFERROR(__xludf.DUMMYFUNCTION("""COMPUTED_VALUE"""),"RF-0347-003-PPP")</f>
        <v>RF-0347-003-PPP</v>
      </c>
    </row>
    <row r="1623" spans="1:2" ht="12.5" x14ac:dyDescent="0.25">
      <c r="A1623" t="str">
        <f ca="1">IFERROR(__xludf.DUMMYFUNCTION("""COMPUTED_VALUE"""),"Desmetryn")</f>
        <v>Desmetryn</v>
      </c>
      <c r="B1623" t="str">
        <f ca="1">IFERROR(__xludf.DUMMYFUNCTION("""COMPUTED_VALUE"""),"RF-0595-001-PPP")</f>
        <v>RF-0595-001-PPP</v>
      </c>
    </row>
    <row r="1624" spans="1:2" ht="12.5" x14ac:dyDescent="0.25">
      <c r="A1624" t="str">
        <f ca="1">IFERROR(__xludf.DUMMYFUNCTION("""COMPUTED_VALUE"""),"Desoxycorticosterone")</f>
        <v>Desoxycorticosterone</v>
      </c>
      <c r="B1624" t="str">
        <f ca="1">IFERROR(__xludf.DUMMYFUNCTION("""COMPUTED_VALUE"""),"RF-00000246-VET")</f>
        <v>RF-00000246-VET</v>
      </c>
    </row>
    <row r="1625" spans="1:2" ht="12.5" x14ac:dyDescent="0.25">
      <c r="A1625" t="str">
        <f ca="1">IFERROR(__xludf.DUMMYFUNCTION("""COMPUTED_VALUE"""),"Desoxycorticosterone acetate")</f>
        <v>Desoxycorticosterone acetate</v>
      </c>
      <c r="B1625" t="str">
        <f ca="1">IFERROR(__xludf.DUMMYFUNCTION("""COMPUTED_VALUE"""),"RF-00000254-VET")</f>
        <v>RF-00000254-VET</v>
      </c>
    </row>
    <row r="1626" spans="1:2" ht="12.5" x14ac:dyDescent="0.25">
      <c r="A1626" t="str">
        <f ca="1">IFERROR(__xludf.DUMMYFUNCTION("""COMPUTED_VALUE"""),"Desoxymethasone")</f>
        <v>Desoxymethasone</v>
      </c>
      <c r="B1626" t="str">
        <f ca="1">IFERROR(__xludf.DUMMYFUNCTION("""COMPUTED_VALUE"""),"RF-00000257-VET")</f>
        <v>RF-00000257-VET</v>
      </c>
    </row>
    <row r="1627" spans="1:2" ht="12.5" x14ac:dyDescent="0.25">
      <c r="A1627" t="str">
        <f ca="1">IFERROR(__xludf.DUMMYFUNCTION("""COMPUTED_VALUE"""),"Dexamethasone")</f>
        <v>Dexamethasone</v>
      </c>
      <c r="B1627" t="str">
        <f ca="1">IFERROR(__xludf.DUMMYFUNCTION("""COMPUTED_VALUE"""),"RF-00000321-VET")</f>
        <v>RF-00000321-VET</v>
      </c>
    </row>
    <row r="1628" spans="1:2" ht="12.5" x14ac:dyDescent="0.25">
      <c r="A1628" t="str">
        <f ca="1">IFERROR(__xludf.DUMMYFUNCTION("""COMPUTED_VALUE"""),"Dexamethasone acetate")</f>
        <v>Dexamethasone acetate</v>
      </c>
      <c r="B1628" t="str">
        <f ca="1">IFERROR(__xludf.DUMMYFUNCTION("""COMPUTED_VALUE"""),"RF-00000253-VET")</f>
        <v>RF-00000253-VET</v>
      </c>
    </row>
    <row r="1629" spans="1:2" ht="12.5" x14ac:dyDescent="0.25">
      <c r="A1629" t="str">
        <f ca="1">IFERROR(__xludf.DUMMYFUNCTION("""COMPUTED_VALUE"""),"dextrins")</f>
        <v>dextrins</v>
      </c>
      <c r="B1629" t="str">
        <f ca="1">IFERROR(__xludf.DUMMYFUNCTION("""COMPUTED_VALUE"""),"RF-00000071-NTR")</f>
        <v>RF-00000071-NTR</v>
      </c>
    </row>
    <row r="1630" spans="1:2" ht="12.5" x14ac:dyDescent="0.25">
      <c r="A1630" t="str">
        <f ca="1">IFERROR(__xludf.DUMMYFUNCTION("""COMPUTED_VALUE"""),"Dextronorgestrel")</f>
        <v>Dextronorgestrel</v>
      </c>
      <c r="B1630" t="str">
        <f ca="1">IFERROR(__xludf.DUMMYFUNCTION("""COMPUTED_VALUE"""),"RF-00000311-VET")</f>
        <v>RF-00000311-VET</v>
      </c>
    </row>
    <row r="1631" spans="1:2" ht="12.5" x14ac:dyDescent="0.25">
      <c r="A1631" t="str">
        <f ca="1">IFERROR(__xludf.DUMMYFUNCTION("""COMPUTED_VALUE"""),"DHA")</f>
        <v>DHA</v>
      </c>
      <c r="B1631" t="str">
        <f ca="1">IFERROR(__xludf.DUMMYFUNCTION("""COMPUTED_VALUE"""),"RF-00000739-PAR")</f>
        <v>RF-00000739-PAR</v>
      </c>
    </row>
    <row r="1632" spans="1:2" ht="12.5" x14ac:dyDescent="0.25">
      <c r="A1632" t="str">
        <f ca="1">IFERROR(__xludf.DUMMYFUNCTION("""COMPUTED_VALUE"""),"DHA-1")</f>
        <v>DHA-1</v>
      </c>
      <c r="B1632" t="str">
        <f ca="1">IFERROR(__xludf.DUMMYFUNCTION("""COMPUTED_VALUE"""),"RF-00000740-PAR")</f>
        <v>RF-00000740-PAR</v>
      </c>
    </row>
    <row r="1633" spans="1:2" ht="12.5" x14ac:dyDescent="0.25">
      <c r="A1633" t="str">
        <f ca="1">IFERROR(__xludf.DUMMYFUNCTION("""COMPUTED_VALUE"""),"DHA-2")</f>
        <v>DHA-2</v>
      </c>
      <c r="B1633" t="str">
        <f ca="1">IFERROR(__xludf.DUMMYFUNCTION("""COMPUTED_VALUE"""),"RF-00000741-PAR")</f>
        <v>RF-00000741-PAR</v>
      </c>
    </row>
    <row r="1634" spans="1:2" ht="12.5" x14ac:dyDescent="0.25">
      <c r="A1634" t="str">
        <f ca="1">IFERROR(__xludf.DUMMYFUNCTION("""COMPUTED_VALUE"""),"DHA-3")</f>
        <v>DHA-3</v>
      </c>
      <c r="B1634" t="str">
        <f ca="1">IFERROR(__xludf.DUMMYFUNCTION("""COMPUTED_VALUE"""),"RF-00000742-PAR")</f>
        <v>RF-00000742-PAR</v>
      </c>
    </row>
    <row r="1635" spans="1:2" ht="12.5" x14ac:dyDescent="0.25">
      <c r="A1635" t="str">
        <f ca="1">IFERROR(__xludf.DUMMYFUNCTION("""COMPUTED_VALUE"""),"DHA-4")</f>
        <v>DHA-4</v>
      </c>
      <c r="B1635" t="str">
        <f ca="1">IFERROR(__xludf.DUMMYFUNCTION("""COMPUTED_VALUE"""),"RF-00000743-PAR")</f>
        <v>RF-00000743-PAR</v>
      </c>
    </row>
    <row r="1636" spans="1:2" ht="12.5" x14ac:dyDescent="0.25">
      <c r="A1636" t="str">
        <f ca="1">IFERROR(__xludf.DUMMYFUNCTION("""COMPUTED_VALUE"""),"DHA-5")</f>
        <v>DHA-5</v>
      </c>
      <c r="B1636" t="str">
        <f ca="1">IFERROR(__xludf.DUMMYFUNCTION("""COMPUTED_VALUE"""),"RF-00000744-PAR")</f>
        <v>RF-00000744-PAR</v>
      </c>
    </row>
    <row r="1637" spans="1:2" ht="12.5" x14ac:dyDescent="0.25">
      <c r="A1637" t="str">
        <f ca="1">IFERROR(__xludf.DUMMYFUNCTION("""COMPUTED_VALUE"""),"DHA-6")</f>
        <v>DHA-6</v>
      </c>
      <c r="B1637" t="str">
        <f ca="1">IFERROR(__xludf.DUMMYFUNCTION("""COMPUTED_VALUE"""),"RF-00000745-PAR")</f>
        <v>RF-00000745-PAR</v>
      </c>
    </row>
    <row r="1638" spans="1:2" ht="12.5" x14ac:dyDescent="0.25">
      <c r="A1638" t="str">
        <f ca="1">IFERROR(__xludf.DUMMYFUNCTION("""COMPUTED_VALUE"""),"DHA-7")</f>
        <v>DHA-7</v>
      </c>
      <c r="B1638" t="str">
        <f ca="1">IFERROR(__xludf.DUMMYFUNCTION("""COMPUTED_VALUE"""),"RF-00000746-PAR")</f>
        <v>RF-00000746-PAR</v>
      </c>
    </row>
    <row r="1639" spans="1:2" ht="12.5" x14ac:dyDescent="0.25">
      <c r="A1639" t="str">
        <f ca="1">IFERROR(__xludf.DUMMYFUNCTION("""COMPUTED_VALUE"""),"DHA-8")</f>
        <v>DHA-8</v>
      </c>
      <c r="B1639" t="str">
        <f ca="1">IFERROR(__xludf.DUMMYFUNCTION("""COMPUTED_VALUE"""),"RF-00000747-PAR")</f>
        <v>RF-00000747-PAR</v>
      </c>
    </row>
    <row r="1640" spans="1:2" ht="12.5" x14ac:dyDescent="0.25">
      <c r="A1640" t="str">
        <f ca="1">IFERROR(__xludf.DUMMYFUNCTION("""COMPUTED_VALUE"""),"Di-(2-ethylhexyl)phthalate")</f>
        <v>Di-(2-ethylhexyl)phthalate</v>
      </c>
      <c r="B1640" t="str">
        <f ca="1">IFERROR(__xludf.DUMMYFUNCTION("""COMPUTED_VALUE"""),"RF-00000004-ORG")</f>
        <v>RF-00000004-ORG</v>
      </c>
    </row>
    <row r="1641" spans="1:2" ht="12.5" x14ac:dyDescent="0.25">
      <c r="A1641" t="str">
        <f ca="1">IFERROR(__xludf.DUMMYFUNCTION("""COMPUTED_VALUE"""),"di-keto-cholanic acid")</f>
        <v>di-keto-cholanic acid</v>
      </c>
      <c r="B1641" t="str">
        <f ca="1">IFERROR(__xludf.DUMMYFUNCTION("""COMPUTED_VALUE"""),"RF-00000073-NTR")</f>
        <v>RF-00000073-NTR</v>
      </c>
    </row>
    <row r="1642" spans="1:2" ht="12.5" x14ac:dyDescent="0.25">
      <c r="A1642" t="str">
        <f ca="1">IFERROR(__xludf.DUMMYFUNCTION("""COMPUTED_VALUE"""),"Di-n-decyl phthalate")</f>
        <v>Di-n-decyl phthalate</v>
      </c>
      <c r="B1642" t="str">
        <f ca="1">IFERROR(__xludf.DUMMYFUNCTION("""COMPUTED_VALUE"""),"RF-00000449-ORG")</f>
        <v>RF-00000449-ORG</v>
      </c>
    </row>
    <row r="1643" spans="1:2" ht="12.5" x14ac:dyDescent="0.25">
      <c r="A1643" t="str">
        <f ca="1">IFERROR(__xludf.DUMMYFUNCTION("""COMPUTED_VALUE"""),"Di-n-hexyl phthalate")</f>
        <v>Di-n-hexyl phthalate</v>
      </c>
      <c r="B1643" t="str">
        <f ca="1">IFERROR(__xludf.DUMMYFUNCTION("""COMPUTED_VALUE"""),"RF-00000450-ORG")</f>
        <v>RF-00000450-ORG</v>
      </c>
    </row>
    <row r="1644" spans="1:2" ht="12.5" x14ac:dyDescent="0.25">
      <c r="A1644" t="str">
        <f ca="1">IFERROR(__xludf.DUMMYFUNCTION("""COMPUTED_VALUE"""),"Di-n-octyl phthalate")</f>
        <v>Di-n-octyl phthalate</v>
      </c>
      <c r="B1644" t="str">
        <f ca="1">IFERROR(__xludf.DUMMYFUNCTION("""COMPUTED_VALUE"""),"RF-00000451-ORG")</f>
        <v>RF-00000451-ORG</v>
      </c>
    </row>
    <row r="1645" spans="1:2" ht="12.5" x14ac:dyDescent="0.25">
      <c r="A1645" t="str">
        <f ca="1">IFERROR(__xludf.DUMMYFUNCTION("""COMPUTED_VALUE"""),"Di-n-pentyl phthalate")</f>
        <v>Di-n-pentyl phthalate</v>
      </c>
      <c r="B1645" t="str">
        <f ca="1">IFERROR(__xludf.DUMMYFUNCTION("""COMPUTED_VALUE"""),"RF-00000452-ORG")</f>
        <v>RF-00000452-ORG</v>
      </c>
    </row>
    <row r="1646" spans="1:2" ht="12.5" x14ac:dyDescent="0.25">
      <c r="A1646" t="str">
        <f ca="1">IFERROR(__xludf.DUMMYFUNCTION("""COMPUTED_VALUE"""),"Diacetoxyscirpenol")</f>
        <v>Diacetoxyscirpenol</v>
      </c>
      <c r="B1646" t="str">
        <f ca="1">IFERROR(__xludf.DUMMYFUNCTION("""COMPUTED_VALUE"""),"RF-00000163-TOX")</f>
        <v>RF-00000163-TOX</v>
      </c>
    </row>
    <row r="1647" spans="1:2" ht="12.5" x14ac:dyDescent="0.25">
      <c r="A1647" t="str">
        <f ca="1">IFERROR(__xludf.DUMMYFUNCTION("""COMPUTED_VALUE"""),"Diafenthiuron")</f>
        <v>Diafenthiuron</v>
      </c>
      <c r="B1647" t="str">
        <f ca="1">IFERROR(__xludf.DUMMYFUNCTION("""COMPUTED_VALUE"""),"RF-0596-001-PPP")</f>
        <v>RF-0596-001-PPP</v>
      </c>
    </row>
    <row r="1648" spans="1:2" ht="12.5" x14ac:dyDescent="0.25">
      <c r="A1648" t="str">
        <f ca="1">IFERROR(__xludf.DUMMYFUNCTION("""COMPUTED_VALUE"""),"Dialifos")</f>
        <v>Dialifos</v>
      </c>
      <c r="B1648" t="str">
        <f ca="1">IFERROR(__xludf.DUMMYFUNCTION("""COMPUTED_VALUE"""),"RF-0597-001-PPP")</f>
        <v>RF-0597-001-PPP</v>
      </c>
    </row>
    <row r="1649" spans="1:2" ht="12.5" x14ac:dyDescent="0.25">
      <c r="A1649" t="str">
        <f ca="1">IFERROR(__xludf.DUMMYFUNCTION("""COMPUTED_VALUE"""),"Diallat")</f>
        <v>Diallat</v>
      </c>
      <c r="B1649" t="str">
        <f ca="1">IFERROR(__xludf.DUMMYFUNCTION("""COMPUTED_VALUE"""),"RF-00000152-VET")</f>
        <v>RF-00000152-VET</v>
      </c>
    </row>
    <row r="1650" spans="1:2" ht="12.5" x14ac:dyDescent="0.25">
      <c r="A1650" t="str">
        <f ca="1">IFERROR(__xludf.DUMMYFUNCTION("""COMPUTED_VALUE"""),"Diallate")</f>
        <v>Diallate</v>
      </c>
      <c r="B1650" t="str">
        <f ca="1">IFERROR(__xludf.DUMMYFUNCTION("""COMPUTED_VALUE"""),"RF-0122-001-PPP")</f>
        <v>RF-0122-001-PPP</v>
      </c>
    </row>
    <row r="1651" spans="1:2" ht="12.5" x14ac:dyDescent="0.25">
      <c r="A1651" t="str">
        <f ca="1">IFERROR(__xludf.DUMMYFUNCTION("""COMPUTED_VALUE"""),"Diallyl phthalate")</f>
        <v>Diallyl phthalate</v>
      </c>
      <c r="B1651" t="str">
        <f ca="1">IFERROR(__xludf.DUMMYFUNCTION("""COMPUTED_VALUE"""),"RF-00000453-ORG")</f>
        <v>RF-00000453-ORG</v>
      </c>
    </row>
    <row r="1652" spans="1:2" ht="12.5" x14ac:dyDescent="0.25">
      <c r="A1652" t="str">
        <f ca="1">IFERROR(__xludf.DUMMYFUNCTION("""COMPUTED_VALUE"""),"Diaminopyrimidine")</f>
        <v>Diaminopyrimidine</v>
      </c>
      <c r="B1652" t="str">
        <f ca="1">IFERROR(__xludf.DUMMYFUNCTION("""COMPUTED_VALUE"""),"RF-00000663-VET")</f>
        <v>RF-00000663-VET</v>
      </c>
    </row>
    <row r="1653" spans="1:2" ht="12.5" x14ac:dyDescent="0.25">
      <c r="A1653" t="str">
        <f ca="1">IFERROR(__xludf.DUMMYFUNCTION("""COMPUTED_VALUE"""),"Diaveridin")</f>
        <v>Diaveridin</v>
      </c>
      <c r="B1653" t="str">
        <f ca="1">IFERROR(__xludf.DUMMYFUNCTION("""COMPUTED_VALUE"""),"RF-00000074-VET")</f>
        <v>RF-00000074-VET</v>
      </c>
    </row>
    <row r="1654" spans="1:2" ht="12.5" x14ac:dyDescent="0.25">
      <c r="A1654" t="str">
        <f ca="1">IFERROR(__xludf.DUMMYFUNCTION("""COMPUTED_VALUE"""),"Diazepam")</f>
        <v>Diazepam</v>
      </c>
      <c r="B1654" t="str">
        <f ca="1">IFERROR(__xludf.DUMMYFUNCTION("""COMPUTED_VALUE"""),"RF-00000170-VET")</f>
        <v>RF-00000170-VET</v>
      </c>
    </row>
    <row r="1655" spans="1:2" ht="12.5" x14ac:dyDescent="0.25">
      <c r="A1655" t="str">
        <f ca="1">IFERROR(__xludf.DUMMYFUNCTION("""COMPUTED_VALUE"""),"Diazinon")</f>
        <v>Diazinon</v>
      </c>
      <c r="B1655" t="str">
        <f ca="1">IFERROR(__xludf.DUMMYFUNCTION("""COMPUTED_VALUE"""),"RF-0123-001-PPP")</f>
        <v>RF-0123-001-PPP</v>
      </c>
    </row>
    <row r="1656" spans="1:2" ht="12.5" x14ac:dyDescent="0.25">
      <c r="A1656" t="str">
        <f ca="1">IFERROR(__xludf.DUMMYFUNCTION("""COMPUTED_VALUE"""),"Dibenzo-a,e-pyrene")</f>
        <v>Dibenzo-a,e-pyrene</v>
      </c>
      <c r="B1656" t="str">
        <f ca="1">IFERROR(__xludf.DUMMYFUNCTION("""COMPUTED_VALUE"""),"RF-00000055-ORG")</f>
        <v>RF-00000055-ORG</v>
      </c>
    </row>
    <row r="1657" spans="1:2" ht="12.5" x14ac:dyDescent="0.25">
      <c r="A1657" t="str">
        <f ca="1">IFERROR(__xludf.DUMMYFUNCTION("""COMPUTED_VALUE"""),"Dibenzo-a,h-anthracene")</f>
        <v>Dibenzo-a,h-anthracene</v>
      </c>
      <c r="B1657" t="str">
        <f ca="1">IFERROR(__xludf.DUMMYFUNCTION("""COMPUTED_VALUE"""),"RF-00000056-ORG")</f>
        <v>RF-00000056-ORG</v>
      </c>
    </row>
    <row r="1658" spans="1:2" ht="12.5" x14ac:dyDescent="0.25">
      <c r="A1658" t="str">
        <f ca="1">IFERROR(__xludf.DUMMYFUNCTION("""COMPUTED_VALUE"""),"Dibenzo-a,h-pyrene")</f>
        <v>Dibenzo-a,h-pyrene</v>
      </c>
      <c r="B1658" t="str">
        <f ca="1">IFERROR(__xludf.DUMMYFUNCTION("""COMPUTED_VALUE"""),"RF-00000057-ORG")</f>
        <v>RF-00000057-ORG</v>
      </c>
    </row>
    <row r="1659" spans="1:2" ht="12.5" x14ac:dyDescent="0.25">
      <c r="A1659" t="str">
        <f ca="1">IFERROR(__xludf.DUMMYFUNCTION("""COMPUTED_VALUE"""),"Dibenzo-a,i-pyrene")</f>
        <v>Dibenzo-a,i-pyrene</v>
      </c>
      <c r="B1659" t="str">
        <f ca="1">IFERROR(__xludf.DUMMYFUNCTION("""COMPUTED_VALUE"""),"RF-00000058-ORG")</f>
        <v>RF-00000058-ORG</v>
      </c>
    </row>
    <row r="1660" spans="1:2" ht="12.5" x14ac:dyDescent="0.25">
      <c r="A1660" t="str">
        <f ca="1">IFERROR(__xludf.DUMMYFUNCTION("""COMPUTED_VALUE"""),"Dibenzo-a,l-pyrene")</f>
        <v>Dibenzo-a,l-pyrene</v>
      </c>
      <c r="B1660" t="str">
        <f ca="1">IFERROR(__xludf.DUMMYFUNCTION("""COMPUTED_VALUE"""),"RF-00000059-ORG")</f>
        <v>RF-00000059-ORG</v>
      </c>
    </row>
    <row r="1661" spans="1:2" ht="12.5" x14ac:dyDescent="0.25">
      <c r="A1661" t="str">
        <f ca="1">IFERROR(__xludf.DUMMYFUNCTION("""COMPUTED_VALUE"""),"Dibromobenzophenone, 4,4`-")</f>
        <v>Dibromobenzophenone, 4,4`-</v>
      </c>
      <c r="B1661" t="str">
        <f ca="1">IFERROR(__xludf.DUMMYFUNCTION("""COMPUTED_VALUE"""),"RF-0598-001-PPP")</f>
        <v>RF-0598-001-PPP</v>
      </c>
    </row>
    <row r="1662" spans="1:2" ht="12.5" x14ac:dyDescent="0.25">
      <c r="A1662" t="str">
        <f ca="1">IFERROR(__xludf.DUMMYFUNCTION("""COMPUTED_VALUE"""),"Dibromochloromethane")</f>
        <v>Dibromochloromethane</v>
      </c>
      <c r="B1662" t="str">
        <f ca="1">IFERROR(__xludf.DUMMYFUNCTION("""COMPUTED_VALUE"""),"RF-00000039-ORG")</f>
        <v>RF-00000039-ORG</v>
      </c>
    </row>
    <row r="1663" spans="1:2" ht="12.5" x14ac:dyDescent="0.25">
      <c r="A1663" t="str">
        <f ca="1">IFERROR(__xludf.DUMMYFUNCTION("""COMPUTED_VALUE"""),"Dibutyl phthalate")</f>
        <v>Dibutyl phthalate</v>
      </c>
      <c r="B1663" t="str">
        <f ca="1">IFERROR(__xludf.DUMMYFUNCTION("""COMPUTED_VALUE"""),"RF-00000005-ORG")</f>
        <v>RF-00000005-ORG</v>
      </c>
    </row>
    <row r="1664" spans="1:2" ht="12.5" x14ac:dyDescent="0.25">
      <c r="A1664" t="str">
        <f ca="1">IFERROR(__xludf.DUMMYFUNCTION("""COMPUTED_VALUE"""),"Dibutyltin")</f>
        <v>Dibutyltin</v>
      </c>
      <c r="B1664" t="str">
        <f ca="1">IFERROR(__xludf.DUMMYFUNCTION("""COMPUTED_VALUE"""),"RF-00000268-CHE")</f>
        <v>RF-00000268-CHE</v>
      </c>
    </row>
    <row r="1665" spans="1:2" ht="12.5" x14ac:dyDescent="0.25">
      <c r="A1665" t="str">
        <f ca="1">IFERROR(__xludf.DUMMYFUNCTION("""COMPUTED_VALUE"""),"dicalcium phosphate")</f>
        <v>dicalcium phosphate</v>
      </c>
      <c r="B1665" t="str">
        <f ca="1">IFERROR(__xludf.DUMMYFUNCTION("""COMPUTED_VALUE"""),"RF-00000047-CHE")</f>
        <v>RF-00000047-CHE</v>
      </c>
    </row>
    <row r="1666" spans="1:2" ht="12.5" x14ac:dyDescent="0.25">
      <c r="A1666" t="str">
        <f ca="1">IFERROR(__xludf.DUMMYFUNCTION("""COMPUTED_VALUE"""),"Dicamba")</f>
        <v>Dicamba</v>
      </c>
      <c r="B1666" t="str">
        <f ca="1">IFERROR(__xludf.DUMMYFUNCTION("""COMPUTED_VALUE"""),"RF-0124-001-PPP")</f>
        <v>RF-0124-001-PPP</v>
      </c>
    </row>
    <row r="1667" spans="1:2" ht="12.5" x14ac:dyDescent="0.25">
      <c r="A1667" t="str">
        <f ca="1">IFERROR(__xludf.DUMMYFUNCTION("""COMPUTED_VALUE"""),"Dichlobenil")</f>
        <v>Dichlobenil</v>
      </c>
      <c r="B1667" t="str">
        <f ca="1">IFERROR(__xludf.DUMMYFUNCTION("""COMPUTED_VALUE"""),"RF-0125-001-PPP")</f>
        <v>RF-0125-001-PPP</v>
      </c>
    </row>
    <row r="1668" spans="1:2" ht="12.5" x14ac:dyDescent="0.25">
      <c r="A1668" t="str">
        <f ca="1">IFERROR(__xludf.DUMMYFUNCTION("""COMPUTED_VALUE"""),"Dichlofenthion")</f>
        <v>Dichlofenthion</v>
      </c>
      <c r="B1668" t="str">
        <f ca="1">IFERROR(__xludf.DUMMYFUNCTION("""COMPUTED_VALUE"""),"RF-0599-001-PPP")</f>
        <v>RF-0599-001-PPP</v>
      </c>
    </row>
    <row r="1669" spans="1:2" ht="12.5" x14ac:dyDescent="0.25">
      <c r="A1669" t="str">
        <f ca="1">IFERROR(__xludf.DUMMYFUNCTION("""COMPUTED_VALUE"""),"Dichlofluanid")</f>
        <v>Dichlofluanid</v>
      </c>
      <c r="B1669" t="str">
        <f ca="1">IFERROR(__xludf.DUMMYFUNCTION("""COMPUTED_VALUE"""),"RF-0453-001-PPP")</f>
        <v>RF-0453-001-PPP</v>
      </c>
    </row>
    <row r="1670" spans="1:2" ht="12.5" x14ac:dyDescent="0.25">
      <c r="A1670" t="str">
        <f ca="1">IFERROR(__xludf.DUMMYFUNCTION("""COMPUTED_VALUE"""),"Dichlofluanid and DMSA (sum of Dichlofluanid and DMSA)")</f>
        <v>Dichlofluanid and DMSA (sum of Dichlofluanid and DMSA)</v>
      </c>
      <c r="B1670" t="str">
        <f ca="1">IFERROR(__xludf.DUMMYFUNCTION("""COMPUTED_VALUE"""),"RF-00000016-PAR")</f>
        <v>RF-00000016-PAR</v>
      </c>
    </row>
    <row r="1671" spans="1:2" ht="12.5" x14ac:dyDescent="0.25">
      <c r="A1671" t="str">
        <f ca="1">IFERROR(__xludf.DUMMYFUNCTION("""COMPUTED_VALUE"""),"Dichlone")</f>
        <v>Dichlone</v>
      </c>
      <c r="B1671" t="str">
        <f ca="1">IFERROR(__xludf.DUMMYFUNCTION("""COMPUTED_VALUE"""),"RF-0600-001-PPP")</f>
        <v>RF-0600-001-PPP</v>
      </c>
    </row>
    <row r="1672" spans="1:2" ht="12.5" x14ac:dyDescent="0.25">
      <c r="A1672" t="str">
        <f ca="1">IFERROR(__xludf.DUMMYFUNCTION("""COMPUTED_VALUE"""),"Dichlormid")</f>
        <v>Dichlormid</v>
      </c>
      <c r="B1672" t="str">
        <f ca="1">IFERROR(__xludf.DUMMYFUNCTION("""COMPUTED_VALUE"""),"RF-0601-001-PPP")</f>
        <v>RF-0601-001-PPP</v>
      </c>
    </row>
    <row r="1673" spans="1:2" ht="12.5" x14ac:dyDescent="0.25">
      <c r="A1673" t="str">
        <f ca="1">IFERROR(__xludf.DUMMYFUNCTION("""COMPUTED_VALUE"""),"Dichloro-p-Cresol, 2,6-")</f>
        <v>Dichloro-p-Cresol, 2,6-</v>
      </c>
      <c r="B1673" t="str">
        <f ca="1">IFERROR(__xludf.DUMMYFUNCTION("""COMPUTED_VALUE"""),"RF-0606-001-PPP")</f>
        <v>RF-0606-001-PPP</v>
      </c>
    </row>
    <row r="1674" spans="1:2" ht="12.5" x14ac:dyDescent="0.25">
      <c r="A1674" t="str">
        <f ca="1">IFERROR(__xludf.DUMMYFUNCTION("""COMPUTED_VALUE"""),"Dichloroaniline, 3,5-")</f>
        <v>Dichloroaniline, 3,5-</v>
      </c>
      <c r="B1674" t="str">
        <f ca="1">IFERROR(__xludf.DUMMYFUNCTION("""COMPUTED_VALUE"""),"RF-0450-002-PPP")</f>
        <v>RF-0450-002-PPP</v>
      </c>
    </row>
    <row r="1675" spans="1:2" ht="12.5" x14ac:dyDescent="0.25">
      <c r="A1675" t="str">
        <f ca="1">IFERROR(__xludf.DUMMYFUNCTION("""COMPUTED_VALUE"""),"Dichlorobenzamide, 2,6-")</f>
        <v>Dichlorobenzamide, 2,6-</v>
      </c>
      <c r="B1675" t="str">
        <f ca="1">IFERROR(__xludf.DUMMYFUNCTION("""COMPUTED_VALUE"""),"RF-0602-001-PPP")</f>
        <v>RF-0602-001-PPP</v>
      </c>
    </row>
    <row r="1676" spans="1:2" ht="12.5" x14ac:dyDescent="0.25">
      <c r="A1676" t="str">
        <f ca="1">IFERROR(__xludf.DUMMYFUNCTION("""COMPUTED_VALUE"""),"Dichlorobenzene, 1,4-")</f>
        <v>Dichlorobenzene, 1,4-</v>
      </c>
      <c r="B1676" t="str">
        <f ca="1">IFERROR(__xludf.DUMMYFUNCTION("""COMPUTED_VALUE"""),"RF-0603-001-PPP")</f>
        <v>RF-0603-001-PPP</v>
      </c>
    </row>
    <row r="1677" spans="1:2" ht="12.5" x14ac:dyDescent="0.25">
      <c r="A1677" t="str">
        <f ca="1">IFERROR(__xludf.DUMMYFUNCTION("""COMPUTED_VALUE"""),"Dichlorobenzoic acid, 2,4-")</f>
        <v>Dichlorobenzoic acid, 2,4-</v>
      </c>
      <c r="B1677" t="str">
        <f ca="1">IFERROR(__xludf.DUMMYFUNCTION("""COMPUTED_VALUE"""),"RF-0604-001-PPP")</f>
        <v>RF-0604-001-PPP</v>
      </c>
    </row>
    <row r="1678" spans="1:2" ht="12.5" x14ac:dyDescent="0.25">
      <c r="A1678" t="str">
        <f ca="1">IFERROR(__xludf.DUMMYFUNCTION("""COMPUTED_VALUE"""),"Dichlorobenzoic acid, 2,6-")</f>
        <v>Dichlorobenzoic acid, 2,6-</v>
      </c>
      <c r="B1678" t="str">
        <f ca="1">IFERROR(__xludf.DUMMYFUNCTION("""COMPUTED_VALUE"""),"RF-0604-002-PPP")</f>
        <v>RF-0604-002-PPP</v>
      </c>
    </row>
    <row r="1679" spans="1:2" ht="12.5" x14ac:dyDescent="0.25">
      <c r="A1679" t="str">
        <f ca="1">IFERROR(__xludf.DUMMYFUNCTION("""COMPUTED_VALUE"""),"Dichlorobenzophenone, 2,4-")</f>
        <v>Dichlorobenzophenone, 2,4-</v>
      </c>
      <c r="B1679" t="str">
        <f ca="1">IFERROR(__xludf.DUMMYFUNCTION("""COMPUTED_VALUE"""),"RF-00000017-PAR")</f>
        <v>RF-00000017-PAR</v>
      </c>
    </row>
    <row r="1680" spans="1:2" ht="12.5" x14ac:dyDescent="0.25">
      <c r="A1680" t="str">
        <f ca="1">IFERROR(__xludf.DUMMYFUNCTION("""COMPUTED_VALUE"""),"Dichlorobenzophenone, 4,4`-")</f>
        <v>Dichlorobenzophenone, 4,4`-</v>
      </c>
      <c r="B1680" t="str">
        <f ca="1">IFERROR(__xludf.DUMMYFUNCTION("""COMPUTED_VALUE"""),"RF-0605-001-PPP")</f>
        <v>RF-0605-001-PPP</v>
      </c>
    </row>
    <row r="1681" spans="1:2" ht="12.5" x14ac:dyDescent="0.25">
      <c r="A1681" t="str">
        <f ca="1">IFERROR(__xludf.DUMMYFUNCTION("""COMPUTED_VALUE"""),"Dichlorobromomethane")</f>
        <v>Dichlorobromomethane</v>
      </c>
      <c r="B1681" t="str">
        <f ca="1">IFERROR(__xludf.DUMMYFUNCTION("""COMPUTED_VALUE"""),"RF-00000038-ORG")</f>
        <v>RF-00000038-ORG</v>
      </c>
    </row>
    <row r="1682" spans="1:2" ht="12.5" x14ac:dyDescent="0.25">
      <c r="A1682" t="str">
        <f ca="1">IFERROR(__xludf.DUMMYFUNCTION("""COMPUTED_VALUE"""),"Dichlorophen")</f>
        <v>Dichlorophen</v>
      </c>
      <c r="B1682" t="str">
        <f ca="1">IFERROR(__xludf.DUMMYFUNCTION("""COMPUTED_VALUE"""),"RF-0607-001-PPP")</f>
        <v>RF-0607-001-PPP</v>
      </c>
    </row>
    <row r="1683" spans="1:2" ht="12.5" x14ac:dyDescent="0.25">
      <c r="A1683" t="str">
        <f ca="1">IFERROR(__xludf.DUMMYFUNCTION("""COMPUTED_VALUE"""),"Dichloropropane, 1,2-")</f>
        <v>Dichloropropane, 1,2-</v>
      </c>
      <c r="B1683" t="str">
        <f ca="1">IFERROR(__xludf.DUMMYFUNCTION("""COMPUTED_VALUE"""),"RF-0608-001-PPP")</f>
        <v>RF-0608-001-PPP</v>
      </c>
    </row>
    <row r="1684" spans="1:2" ht="12.5" x14ac:dyDescent="0.25">
      <c r="A1684" t="str">
        <f ca="1">IFERROR(__xludf.DUMMYFUNCTION("""COMPUTED_VALUE"""),"Dichlorprop")</f>
        <v>Dichlorprop</v>
      </c>
      <c r="B1684" t="str">
        <f ca="1">IFERROR(__xludf.DUMMYFUNCTION("""COMPUTED_VALUE"""),"RF-0126-002-PPP")</f>
        <v>RF-0126-002-PPP</v>
      </c>
    </row>
    <row r="1685" spans="1:2" ht="12.5" x14ac:dyDescent="0.25">
      <c r="A1685" t="str">
        <f ca="1">IFERROR(__xludf.DUMMYFUNCTION("""COMPUTED_VALUE"""),"Dichlorprop-p")</f>
        <v>Dichlorprop-p</v>
      </c>
      <c r="B1685" t="str">
        <f ca="1">IFERROR(__xludf.DUMMYFUNCTION("""COMPUTED_VALUE"""),"RF-0126-003-PPP")</f>
        <v>RF-0126-003-PPP</v>
      </c>
    </row>
    <row r="1686" spans="1:2" ht="12.5" x14ac:dyDescent="0.25">
      <c r="A1686" t="str">
        <f ca="1">IFERROR(__xludf.DUMMYFUNCTION("""COMPUTED_VALUE"""),"Dichlorprop, incl. Dichlorprop-p")</f>
        <v>Dichlorprop, incl. Dichlorprop-p</v>
      </c>
      <c r="B1686" t="str">
        <f ca="1">IFERROR(__xludf.DUMMYFUNCTION("""COMPUTED_VALUE"""),"RF-0126-001-PPP")</f>
        <v>RF-0126-001-PPP</v>
      </c>
    </row>
    <row r="1687" spans="1:2" ht="12.5" x14ac:dyDescent="0.25">
      <c r="A1687" t="str">
        <f ca="1">IFERROR(__xludf.DUMMYFUNCTION("""COMPUTED_VALUE"""),"Dichlorvos")</f>
        <v>Dichlorvos</v>
      </c>
      <c r="B1687" t="str">
        <f ca="1">IFERROR(__xludf.DUMMYFUNCTION("""COMPUTED_VALUE"""),"RF-0127-001-PPP")</f>
        <v>RF-0127-001-PPP</v>
      </c>
    </row>
    <row r="1688" spans="1:2" ht="12.5" x14ac:dyDescent="0.25">
      <c r="A1688" t="str">
        <f ca="1">IFERROR(__xludf.DUMMYFUNCTION("""COMPUTED_VALUE"""),"Dichlozoline")</f>
        <v>Dichlozoline</v>
      </c>
      <c r="B1688" t="str">
        <f ca="1">IFERROR(__xludf.DUMMYFUNCTION("""COMPUTED_VALUE"""),"RF-0609-001-PPP")</f>
        <v>RF-0609-001-PPP</v>
      </c>
    </row>
    <row r="1689" spans="1:2" ht="12.5" x14ac:dyDescent="0.25">
      <c r="A1689" t="str">
        <f ca="1">IFERROR(__xludf.DUMMYFUNCTION("""COMPUTED_VALUE"""),"Diclazuril")</f>
        <v>Diclazuril</v>
      </c>
      <c r="B1689" t="str">
        <f ca="1">IFERROR(__xludf.DUMMYFUNCTION("""COMPUTED_VALUE"""),"RF-00000068-VET")</f>
        <v>RF-00000068-VET</v>
      </c>
    </row>
    <row r="1690" spans="1:2" ht="12.5" x14ac:dyDescent="0.25">
      <c r="A1690" t="str">
        <f ca="1">IFERROR(__xludf.DUMMYFUNCTION("""COMPUTED_VALUE"""),"Diclobutrazol")</f>
        <v>Diclobutrazol</v>
      </c>
      <c r="B1690" t="str">
        <f ca="1">IFERROR(__xludf.DUMMYFUNCTION("""COMPUTED_VALUE"""),"RF-0610-001-PPP")</f>
        <v>RF-0610-001-PPP</v>
      </c>
    </row>
    <row r="1691" spans="1:2" ht="12.5" x14ac:dyDescent="0.25">
      <c r="A1691" t="str">
        <f ca="1">IFERROR(__xludf.DUMMYFUNCTION("""COMPUTED_VALUE"""),"Diclofen (Diclofenac)")</f>
        <v>Diclofen (Diclofenac)</v>
      </c>
      <c r="B1691" t="str">
        <f ca="1">IFERROR(__xludf.DUMMYFUNCTION("""COMPUTED_VALUE"""),"RF-00000239-VET")</f>
        <v>RF-00000239-VET</v>
      </c>
    </row>
    <row r="1692" spans="1:2" ht="12.5" x14ac:dyDescent="0.25">
      <c r="A1692" t="str">
        <f ca="1">IFERROR(__xludf.DUMMYFUNCTION("""COMPUTED_VALUE"""),"Diclofop")</f>
        <v>Diclofop</v>
      </c>
      <c r="B1692" t="str">
        <f ca="1">IFERROR(__xludf.DUMMYFUNCTION("""COMPUTED_VALUE"""),"RF-0128-002-PPP")</f>
        <v>RF-0128-002-PPP</v>
      </c>
    </row>
    <row r="1693" spans="1:2" ht="12.5" x14ac:dyDescent="0.25">
      <c r="A1693" t="str">
        <f ca="1">IFERROR(__xludf.DUMMYFUNCTION("""COMPUTED_VALUE"""),"Diclofop (sum Diclofop-methyl and Diclofop acid expressed as Diclofop-methyl)")</f>
        <v>Diclofop (sum Diclofop-methyl and Diclofop acid expressed as Diclofop-methyl)</v>
      </c>
      <c r="B1693" t="str">
        <f ca="1">IFERROR(__xludf.DUMMYFUNCTION("""COMPUTED_VALUE"""),"RF-0128-001-PPP")</f>
        <v>RF-0128-001-PPP</v>
      </c>
    </row>
    <row r="1694" spans="1:2" ht="12.5" x14ac:dyDescent="0.25">
      <c r="A1694" t="str">
        <f ca="1">IFERROR(__xludf.DUMMYFUNCTION("""COMPUTED_VALUE"""),"Diclofop-Methyl")</f>
        <v>Diclofop-Methyl</v>
      </c>
      <c r="B1694" t="str">
        <f ca="1">IFERROR(__xludf.DUMMYFUNCTION("""COMPUTED_VALUE"""),"RF-0128-003-PPP")</f>
        <v>RF-0128-003-PPP</v>
      </c>
    </row>
    <row r="1695" spans="1:2" ht="12.5" x14ac:dyDescent="0.25">
      <c r="A1695" t="str">
        <f ca="1">IFERROR(__xludf.DUMMYFUNCTION("""COMPUTED_VALUE"""),"Dicloran")</f>
        <v>Dicloran</v>
      </c>
      <c r="B1695" t="str">
        <f ca="1">IFERROR(__xludf.DUMMYFUNCTION("""COMPUTED_VALUE"""),"RF-0129-001-PPP")</f>
        <v>RF-0129-001-PPP</v>
      </c>
    </row>
    <row r="1696" spans="1:2" ht="12.5" x14ac:dyDescent="0.25">
      <c r="A1696" t="str">
        <f ca="1">IFERROR(__xludf.DUMMYFUNCTION("""COMPUTED_VALUE"""),"Diclosulam")</f>
        <v>Diclosulam</v>
      </c>
      <c r="B1696" t="str">
        <f ca="1">IFERROR(__xludf.DUMMYFUNCTION("""COMPUTED_VALUE"""),"RF-0611-001-PPP")</f>
        <v>RF-0611-001-PPP</v>
      </c>
    </row>
    <row r="1697" spans="1:2" ht="12.5" x14ac:dyDescent="0.25">
      <c r="A1697" t="str">
        <f ca="1">IFERROR(__xludf.DUMMYFUNCTION("""COMPUTED_VALUE"""),"Dicloxacillin")</f>
        <v>Dicloxacillin</v>
      </c>
      <c r="B1697" t="str">
        <f ca="1">IFERROR(__xludf.DUMMYFUNCTION("""COMPUTED_VALUE"""),"RF-00000616-VET")</f>
        <v>RF-00000616-VET</v>
      </c>
    </row>
    <row r="1698" spans="1:2" ht="12.5" x14ac:dyDescent="0.25">
      <c r="A1698" t="str">
        <f ca="1">IFERROR(__xludf.DUMMYFUNCTION("""COMPUTED_VALUE"""),"Dicofol (sum of p, p' and o,p' isomers)")</f>
        <v>Dicofol (sum of p, p' and o,p' isomers)</v>
      </c>
      <c r="B1698" t="str">
        <f ca="1">IFERROR(__xludf.DUMMYFUNCTION("""COMPUTED_VALUE"""),"RF-0130-001-PPP")</f>
        <v>RF-0130-001-PPP</v>
      </c>
    </row>
    <row r="1699" spans="1:2" ht="12.5" x14ac:dyDescent="0.25">
      <c r="A1699" t="str">
        <f ca="1">IFERROR(__xludf.DUMMYFUNCTION("""COMPUTED_VALUE"""),"Dicofol o, p'")</f>
        <v>Dicofol o, p'</v>
      </c>
      <c r="B1699" t="str">
        <f ca="1">IFERROR(__xludf.DUMMYFUNCTION("""COMPUTED_VALUE"""),"RF-0130-003-PPP")</f>
        <v>RF-0130-003-PPP</v>
      </c>
    </row>
    <row r="1700" spans="1:2" ht="12.5" x14ac:dyDescent="0.25">
      <c r="A1700" t="str">
        <f ca="1">IFERROR(__xludf.DUMMYFUNCTION("""COMPUTED_VALUE"""),"Dicofol p, p'")</f>
        <v>Dicofol p, p'</v>
      </c>
      <c r="B1700" t="str">
        <f ca="1">IFERROR(__xludf.DUMMYFUNCTION("""COMPUTED_VALUE"""),"RF-0130-002-PPP")</f>
        <v>RF-0130-002-PPP</v>
      </c>
    </row>
    <row r="1701" spans="1:2" ht="12.5" x14ac:dyDescent="0.25">
      <c r="A1701" t="str">
        <f ca="1">IFERROR(__xludf.DUMMYFUNCTION("""COMPUTED_VALUE"""),"Dicrotophos")</f>
        <v>Dicrotophos</v>
      </c>
      <c r="B1701" t="str">
        <f ca="1">IFERROR(__xludf.DUMMYFUNCTION("""COMPUTED_VALUE"""),"RF-0612-001-PPP")</f>
        <v>RF-0612-001-PPP</v>
      </c>
    </row>
    <row r="1702" spans="1:2" ht="12.5" x14ac:dyDescent="0.25">
      <c r="A1702" t="str">
        <f ca="1">IFERROR(__xludf.DUMMYFUNCTION("""COMPUTED_VALUE"""),"Dicyclanil")</f>
        <v>Dicyclanil</v>
      </c>
      <c r="B1702" t="str">
        <f ca="1">IFERROR(__xludf.DUMMYFUNCTION("""COMPUTED_VALUE"""),"RF-00000260-VET")</f>
        <v>RF-00000260-VET</v>
      </c>
    </row>
    <row r="1703" spans="1:2" ht="12.5" x14ac:dyDescent="0.25">
      <c r="A1703" t="str">
        <f ca="1">IFERROR(__xludf.DUMMYFUNCTION("""COMPUTED_VALUE"""),"Dicyclanil")</f>
        <v>Dicyclanil</v>
      </c>
      <c r="B1703" t="str">
        <f ca="1">IFERROR(__xludf.DUMMYFUNCTION("""COMPUTED_VALUE"""),"RF-0613-001-PPP")</f>
        <v>RF-0613-001-PPP</v>
      </c>
    </row>
    <row r="1704" spans="1:2" ht="12.5" x14ac:dyDescent="0.25">
      <c r="A1704" t="str">
        <f ca="1">IFERROR(__xludf.DUMMYFUNCTION("""COMPUTED_VALUE"""),"Dicyclohexyl phthalate")</f>
        <v>Dicyclohexyl phthalate</v>
      </c>
      <c r="B1704" t="str">
        <f ca="1">IFERROR(__xludf.DUMMYFUNCTION("""COMPUTED_VALUE"""),"RF-00000454-ORG")</f>
        <v>RF-00000454-ORG</v>
      </c>
    </row>
    <row r="1705" spans="1:2" ht="12.5" x14ac:dyDescent="0.25">
      <c r="A1705" t="str">
        <f ca="1">IFERROR(__xludf.DUMMYFUNCTION("""COMPUTED_VALUE"""),"Dieldrin")</f>
        <v>Dieldrin</v>
      </c>
      <c r="B1705" t="str">
        <f ca="1">IFERROR(__xludf.DUMMYFUNCTION("""COMPUTED_VALUE"""),"RF-0021-003-PPP")</f>
        <v>RF-0021-003-PPP</v>
      </c>
    </row>
    <row r="1706" spans="1:2" ht="12.5" x14ac:dyDescent="0.25">
      <c r="A1706" t="str">
        <f ca="1">IFERROR(__xludf.DUMMYFUNCTION("""COMPUTED_VALUE"""),"Dienestrol")</f>
        <v>Dienestrol</v>
      </c>
      <c r="B1706" t="str">
        <f ca="1">IFERROR(__xludf.DUMMYFUNCTION("""COMPUTED_VALUE"""),"RF-00000291-VET")</f>
        <v>RF-00000291-VET</v>
      </c>
    </row>
    <row r="1707" spans="1:2" ht="12.5" x14ac:dyDescent="0.25">
      <c r="A1707" t="str">
        <f ca="1">IFERROR(__xludf.DUMMYFUNCTION("""COMPUTED_VALUE"""),"Dienochlor")</f>
        <v>Dienochlor</v>
      </c>
      <c r="B1707" t="str">
        <f ca="1">IFERROR(__xludf.DUMMYFUNCTION("""COMPUTED_VALUE"""),"RF-0614-001-PPP")</f>
        <v>RF-0614-001-PPP</v>
      </c>
    </row>
    <row r="1708" spans="1:2" ht="12.5" x14ac:dyDescent="0.25">
      <c r="A1708" t="str">
        <f ca="1">IFERROR(__xludf.DUMMYFUNCTION("""COMPUTED_VALUE"""),"Diethatyl")</f>
        <v>Diethatyl</v>
      </c>
      <c r="B1708" t="str">
        <f ca="1">IFERROR(__xludf.DUMMYFUNCTION("""COMPUTED_VALUE"""),"RF-0615-001-PPP")</f>
        <v>RF-0615-001-PPP</v>
      </c>
    </row>
    <row r="1709" spans="1:2" ht="12.5" x14ac:dyDescent="0.25">
      <c r="A1709" t="str">
        <f ca="1">IFERROR(__xludf.DUMMYFUNCTION("""COMPUTED_VALUE"""),"Diethofencarb")</f>
        <v>Diethofencarb</v>
      </c>
      <c r="B1709" t="str">
        <f ca="1">IFERROR(__xludf.DUMMYFUNCTION("""COMPUTED_VALUE"""),"RF-00000148-VET")</f>
        <v>RF-00000148-VET</v>
      </c>
    </row>
    <row r="1710" spans="1:2" ht="12.5" x14ac:dyDescent="0.25">
      <c r="A1710" t="str">
        <f ca="1">IFERROR(__xludf.DUMMYFUNCTION("""COMPUTED_VALUE"""),"Diethofencarb")</f>
        <v>Diethofencarb</v>
      </c>
      <c r="B1710" t="str">
        <f ca="1">IFERROR(__xludf.DUMMYFUNCTION("""COMPUTED_VALUE"""),"RF-0132-001-PPP")</f>
        <v>RF-0132-001-PPP</v>
      </c>
    </row>
    <row r="1711" spans="1:2" ht="12.5" x14ac:dyDescent="0.25">
      <c r="A1711" t="str">
        <f ca="1">IFERROR(__xludf.DUMMYFUNCTION("""COMPUTED_VALUE"""),"Diethyl-m-toluamid, N,N-")</f>
        <v>Diethyl-m-toluamid, N,N-</v>
      </c>
      <c r="B1711" t="str">
        <f ca="1">IFERROR(__xludf.DUMMYFUNCTION("""COMPUTED_VALUE"""),"RF-0616-001-PPP")</f>
        <v>RF-0616-001-PPP</v>
      </c>
    </row>
    <row r="1712" spans="1:2" ht="12.5" x14ac:dyDescent="0.25">
      <c r="A1712" t="str">
        <f ca="1">IFERROR(__xludf.DUMMYFUNCTION("""COMPUTED_VALUE"""),"Diethylstilbestrol (Stilbestrol)")</f>
        <v>Diethylstilbestrol (Stilbestrol)</v>
      </c>
      <c r="B1712" t="str">
        <f ca="1">IFERROR(__xludf.DUMMYFUNCTION("""COMPUTED_VALUE"""),"RF-00000289-VET")</f>
        <v>RF-00000289-VET</v>
      </c>
    </row>
    <row r="1713" spans="1:2" ht="12.5" x14ac:dyDescent="0.25">
      <c r="A1713" t="str">
        <f ca="1">IFERROR(__xludf.DUMMYFUNCTION("""COMPUTED_VALUE"""),"Diethylstilbestrol dipropionate (Stilbestroldipropionate)")</f>
        <v>Diethylstilbestrol dipropionate (Stilbestroldipropionate)</v>
      </c>
      <c r="B1713" t="str">
        <f ca="1">IFERROR(__xludf.DUMMYFUNCTION("""COMPUTED_VALUE"""),"RF-00000290-VET")</f>
        <v>RF-00000290-VET</v>
      </c>
    </row>
    <row r="1714" spans="1:2" ht="12.5" x14ac:dyDescent="0.25">
      <c r="A1714" t="str">
        <f ca="1">IFERROR(__xludf.DUMMYFUNCTION("""COMPUTED_VALUE"""),"Difenacoum")</f>
        <v>Difenacoum</v>
      </c>
      <c r="B1714" t="str">
        <f ca="1">IFERROR(__xludf.DUMMYFUNCTION("""COMPUTED_VALUE"""),"RF-0617-001-PPP")</f>
        <v>RF-0617-001-PPP</v>
      </c>
    </row>
    <row r="1715" spans="1:2" ht="12.5" x14ac:dyDescent="0.25">
      <c r="A1715" t="str">
        <f ca="1">IFERROR(__xludf.DUMMYFUNCTION("""COMPUTED_VALUE"""),"Difenoconazole")</f>
        <v>Difenoconazole</v>
      </c>
      <c r="B1715" t="str">
        <f ca="1">IFERROR(__xludf.DUMMYFUNCTION("""COMPUTED_VALUE"""),"RF-0133-001-PPP")</f>
        <v>RF-0133-001-PPP</v>
      </c>
    </row>
    <row r="1716" spans="1:2" ht="12.5" x14ac:dyDescent="0.25">
      <c r="A1716" t="str">
        <f ca="1">IFERROR(__xludf.DUMMYFUNCTION("""COMPUTED_VALUE"""),"Difenoxuron")</f>
        <v>Difenoxuron</v>
      </c>
      <c r="B1716" t="str">
        <f ca="1">IFERROR(__xludf.DUMMYFUNCTION("""COMPUTED_VALUE"""),"RF-0618-001-PPP")</f>
        <v>RF-0618-001-PPP</v>
      </c>
    </row>
    <row r="1717" spans="1:2" ht="12.5" x14ac:dyDescent="0.25">
      <c r="A1717" t="str">
        <f ca="1">IFERROR(__xludf.DUMMYFUNCTION("""COMPUTED_VALUE"""),"Difenzoquat")</f>
        <v>Difenzoquat</v>
      </c>
      <c r="B1717" t="str">
        <f ca="1">IFERROR(__xludf.DUMMYFUNCTION("""COMPUTED_VALUE"""),"RF-0619-001-PPP")</f>
        <v>RF-0619-001-PPP</v>
      </c>
    </row>
    <row r="1718" spans="1:2" ht="12.5" x14ac:dyDescent="0.25">
      <c r="A1718" t="str">
        <f ca="1">IFERROR(__xludf.DUMMYFUNCTION("""COMPUTED_VALUE"""),"Difloxacin")</f>
        <v>Difloxacin</v>
      </c>
      <c r="B1718" t="str">
        <f ca="1">IFERROR(__xludf.DUMMYFUNCTION("""COMPUTED_VALUE"""),"RF-00000644-VET")</f>
        <v>RF-00000644-VET</v>
      </c>
    </row>
    <row r="1719" spans="1:2" ht="12.5" x14ac:dyDescent="0.25">
      <c r="A1719" t="str">
        <f ca="1">IFERROR(__xludf.DUMMYFUNCTION("""COMPUTED_VALUE"""),"Diflubenzuron")</f>
        <v>Diflubenzuron</v>
      </c>
      <c r="B1719" t="str">
        <f ca="1">IFERROR(__xludf.DUMMYFUNCTION("""COMPUTED_VALUE"""),"RF-00000259-VET")</f>
        <v>RF-00000259-VET</v>
      </c>
    </row>
    <row r="1720" spans="1:2" ht="12.5" x14ac:dyDescent="0.25">
      <c r="A1720" t="str">
        <f ca="1">IFERROR(__xludf.DUMMYFUNCTION("""COMPUTED_VALUE"""),"Diflubenzuron")</f>
        <v>Diflubenzuron</v>
      </c>
      <c r="B1720" t="str">
        <f ca="1">IFERROR(__xludf.DUMMYFUNCTION("""COMPUTED_VALUE"""),"RF-0134-001-PPP")</f>
        <v>RF-0134-001-PPP</v>
      </c>
    </row>
    <row r="1721" spans="1:2" ht="12.5" x14ac:dyDescent="0.25">
      <c r="A1721" t="str">
        <f ca="1">IFERROR(__xludf.DUMMYFUNCTION("""COMPUTED_VALUE"""),"Diflubenzuron (sum of Diflubenzuron and 4 –chlorophenylurea expressed as Diflubenzuron)")</f>
        <v>Diflubenzuron (sum of Diflubenzuron and 4 –chlorophenylurea expressed as Diflubenzuron)</v>
      </c>
      <c r="B1721" t="str">
        <f ca="1">IFERROR(__xludf.DUMMYFUNCTION("""COMPUTED_VALUE"""),"RF-0134-002-PPP")</f>
        <v>RF-0134-002-PPP</v>
      </c>
    </row>
    <row r="1722" spans="1:2" ht="12.5" x14ac:dyDescent="0.25">
      <c r="A1722" t="str">
        <f ca="1">IFERROR(__xludf.DUMMYFUNCTION("""COMPUTED_VALUE"""),"Diflufenican")</f>
        <v>Diflufenican</v>
      </c>
      <c r="B1722" t="str">
        <f ca="1">IFERROR(__xludf.DUMMYFUNCTION("""COMPUTED_VALUE"""),"RF-0135-001-PPP")</f>
        <v>RF-0135-001-PPP</v>
      </c>
    </row>
    <row r="1723" spans="1:2" ht="12.5" x14ac:dyDescent="0.25">
      <c r="A1723" t="str">
        <f ca="1">IFERROR(__xludf.DUMMYFUNCTION("""COMPUTED_VALUE"""),"Diflufenzopyr")</f>
        <v>Diflufenzopyr</v>
      </c>
      <c r="B1723" t="str">
        <f ca="1">IFERROR(__xludf.DUMMYFUNCTION("""COMPUTED_VALUE"""),"RF-0620-001-PPP")</f>
        <v>RF-0620-001-PPP</v>
      </c>
    </row>
    <row r="1724" spans="1:2" ht="12.5" x14ac:dyDescent="0.25">
      <c r="A1724" t="str">
        <f ca="1">IFERROR(__xludf.DUMMYFUNCTION("""COMPUTED_VALUE"""),"dihydro-vitamin K-1")</f>
        <v>dihydro-vitamin K-1</v>
      </c>
      <c r="B1724" t="str">
        <f ca="1">IFERROR(__xludf.DUMMYFUNCTION("""COMPUTED_VALUE"""),"RF-00000072-NTR")</f>
        <v>RF-00000072-NTR</v>
      </c>
    </row>
    <row r="1725" spans="1:2" ht="12.5" x14ac:dyDescent="0.25">
      <c r="A1725" t="str">
        <f ca="1">IFERROR(__xludf.DUMMYFUNCTION("""COMPUTED_VALUE"""),"Dihydrostreptomycin")</f>
        <v>Dihydrostreptomycin</v>
      </c>
      <c r="B1725" t="str">
        <f ca="1">IFERROR(__xludf.DUMMYFUNCTION("""COMPUTED_VALUE"""),"RF-00000641-VET")</f>
        <v>RF-00000641-VET</v>
      </c>
    </row>
    <row r="1726" spans="1:2" ht="12.5" x14ac:dyDescent="0.25">
      <c r="A1726" t="str">
        <f ca="1">IFERROR(__xludf.DUMMYFUNCTION("""COMPUTED_VALUE"""),"Diisobutyl phthalate")</f>
        <v>Diisobutyl phthalate</v>
      </c>
      <c r="B1726" t="str">
        <f ca="1">IFERROR(__xludf.DUMMYFUNCTION("""COMPUTED_VALUE"""),"RF-00000006-ORG")</f>
        <v>RF-00000006-ORG</v>
      </c>
    </row>
    <row r="1727" spans="1:2" ht="12.5" x14ac:dyDescent="0.25">
      <c r="A1727" t="str">
        <f ca="1">IFERROR(__xludf.DUMMYFUNCTION("""COMPUTED_VALUE"""),"Diisodecylphthalate")</f>
        <v>Diisodecylphthalate</v>
      </c>
      <c r="B1727" t="str">
        <f ca="1">IFERROR(__xludf.DUMMYFUNCTION("""COMPUTED_VALUE"""),"RF-00000007-ORG")</f>
        <v>RF-00000007-ORG</v>
      </c>
    </row>
    <row r="1728" spans="1:2" ht="12.5" x14ac:dyDescent="0.25">
      <c r="A1728" t="str">
        <f ca="1">IFERROR(__xludf.DUMMYFUNCTION("""COMPUTED_VALUE"""),"Diisononylphthalate")</f>
        <v>Diisononylphthalate</v>
      </c>
      <c r="B1728" t="str">
        <f ca="1">IFERROR(__xludf.DUMMYFUNCTION("""COMPUTED_VALUE"""),"RF-00000008-ORG")</f>
        <v>RF-00000008-ORG</v>
      </c>
    </row>
    <row r="1729" spans="1:2" ht="12.5" x14ac:dyDescent="0.25">
      <c r="A1729" t="str">
        <f ca="1">IFERROR(__xludf.DUMMYFUNCTION("""COMPUTED_VALUE"""),"Diisopropyl phthalate")</f>
        <v>Diisopropyl phthalate</v>
      </c>
      <c r="B1729" t="str">
        <f ca="1">IFERROR(__xludf.DUMMYFUNCTION("""COMPUTED_VALUE"""),"RF-00000455-ORG")</f>
        <v>RF-00000455-ORG</v>
      </c>
    </row>
    <row r="1730" spans="1:2" ht="12.5" x14ac:dyDescent="0.25">
      <c r="A1730" t="str">
        <f ca="1">IFERROR(__xludf.DUMMYFUNCTION("""COMPUTED_VALUE"""),"Dikegulac")</f>
        <v>Dikegulac</v>
      </c>
      <c r="B1730" t="str">
        <f ca="1">IFERROR(__xludf.DUMMYFUNCTION("""COMPUTED_VALUE"""),"RF-0621-001-PPP")</f>
        <v>RF-0621-001-PPP</v>
      </c>
    </row>
    <row r="1731" spans="1:2" ht="12.5" x14ac:dyDescent="0.25">
      <c r="A1731" t="str">
        <f ca="1">IFERROR(__xludf.DUMMYFUNCTION("""COMPUTED_VALUE"""),"Dimefox")</f>
        <v>Dimefox</v>
      </c>
      <c r="B1731" t="str">
        <f ca="1">IFERROR(__xludf.DUMMYFUNCTION("""COMPUTED_VALUE"""),"RF-0622-001-PPP")</f>
        <v>RF-0622-001-PPP</v>
      </c>
    </row>
    <row r="1732" spans="1:2" ht="12.5" x14ac:dyDescent="0.25">
      <c r="A1732" t="str">
        <f ca="1">IFERROR(__xludf.DUMMYFUNCTION("""COMPUTED_VALUE"""),"Dimefuron")</f>
        <v>Dimefuron</v>
      </c>
      <c r="B1732" t="str">
        <f ca="1">IFERROR(__xludf.DUMMYFUNCTION("""COMPUTED_VALUE"""),"RF-0623-001-PPP")</f>
        <v>RF-0623-001-PPP</v>
      </c>
    </row>
    <row r="1733" spans="1:2" ht="12.5" x14ac:dyDescent="0.25">
      <c r="A1733" t="str">
        <f ca="1">IFERROR(__xludf.DUMMYFUNCTION("""COMPUTED_VALUE"""),"Dimepiperate")</f>
        <v>Dimepiperate</v>
      </c>
      <c r="B1733" t="str">
        <f ca="1">IFERROR(__xludf.DUMMYFUNCTION("""COMPUTED_VALUE"""),"RF-0624-001-PPP")</f>
        <v>RF-0624-001-PPP</v>
      </c>
    </row>
    <row r="1734" spans="1:2" ht="12.5" x14ac:dyDescent="0.25">
      <c r="A1734" t="str">
        <f ca="1">IFERROR(__xludf.DUMMYFUNCTION("""COMPUTED_VALUE"""),"Dimethachlor")</f>
        <v>Dimethachlor</v>
      </c>
      <c r="B1734" t="str">
        <f ca="1">IFERROR(__xludf.DUMMYFUNCTION("""COMPUTED_VALUE"""),"RF-0136-001-PPP")</f>
        <v>RF-0136-001-PPP</v>
      </c>
    </row>
    <row r="1735" spans="1:2" ht="12.5" x14ac:dyDescent="0.25">
      <c r="A1735" t="str">
        <f ca="1">IFERROR(__xludf.DUMMYFUNCTION("""COMPUTED_VALUE"""),"Dimethametryn")</f>
        <v>Dimethametryn</v>
      </c>
      <c r="B1735" t="str">
        <f ca="1">IFERROR(__xludf.DUMMYFUNCTION("""COMPUTED_VALUE"""),"RF-0625-001-PPP")</f>
        <v>RF-0625-001-PPP</v>
      </c>
    </row>
    <row r="1736" spans="1:2" ht="12.5" x14ac:dyDescent="0.25">
      <c r="A1736" t="str">
        <f ca="1">IFERROR(__xludf.DUMMYFUNCTION("""COMPUTED_VALUE"""),"Dimethenamid")</f>
        <v>Dimethenamid</v>
      </c>
      <c r="B1736" t="str">
        <f ca="1">IFERROR(__xludf.DUMMYFUNCTION("""COMPUTED_VALUE"""),"RF-1058-001-PPP")</f>
        <v>RF-1058-001-PPP</v>
      </c>
    </row>
    <row r="1737" spans="1:2" ht="12.5" x14ac:dyDescent="0.25">
      <c r="A1737" t="str">
        <f ca="1">IFERROR(__xludf.DUMMYFUNCTION("""COMPUTED_VALUE"""),"Dimethenamid–p")</f>
        <v>Dimethenamid–p</v>
      </c>
      <c r="B1737" t="str">
        <f ca="1">IFERROR(__xludf.DUMMYFUNCTION("""COMPUTED_VALUE"""),"RF-0137-001-PPP")</f>
        <v>RF-0137-001-PPP</v>
      </c>
    </row>
    <row r="1738" spans="1:2" ht="12.5" x14ac:dyDescent="0.25">
      <c r="A1738" t="str">
        <f ca="1">IFERROR(__xludf.DUMMYFUNCTION("""COMPUTED_VALUE"""),"Dimethenamid–p (Dimethenamid-p including other mixtures of constituent isomers (sum of isomers))")</f>
        <v>Dimethenamid–p (Dimethenamid-p including other mixtures of constituent isomers (sum of isomers))</v>
      </c>
      <c r="B1738" t="str">
        <f ca="1">IFERROR(__xludf.DUMMYFUNCTION("""COMPUTED_VALUE"""),"RF-0137-002-PPP")</f>
        <v>RF-0137-002-PPP</v>
      </c>
    </row>
    <row r="1739" spans="1:2" ht="12.5" x14ac:dyDescent="0.25">
      <c r="A1739" t="str">
        <f ca="1">IFERROR(__xludf.DUMMYFUNCTION("""COMPUTED_VALUE"""),"Dimethipin")</f>
        <v>Dimethipin</v>
      </c>
      <c r="B1739" t="str">
        <f ca="1">IFERROR(__xludf.DUMMYFUNCTION("""COMPUTED_VALUE"""),"RF-0138-001-PPP")</f>
        <v>RF-0138-001-PPP</v>
      </c>
    </row>
    <row r="1740" spans="1:2" ht="12.5" x14ac:dyDescent="0.25">
      <c r="A1740" t="str">
        <f ca="1">IFERROR(__xludf.DUMMYFUNCTION("""COMPUTED_VALUE"""),"Dimethirimol")</f>
        <v>Dimethirimol</v>
      </c>
      <c r="B1740" t="str">
        <f ca="1">IFERROR(__xludf.DUMMYFUNCTION("""COMPUTED_VALUE"""),"RF-0626-001-PPP")</f>
        <v>RF-0626-001-PPP</v>
      </c>
    </row>
    <row r="1741" spans="1:2" ht="12.5" x14ac:dyDescent="0.25">
      <c r="A1741" t="str">
        <f ca="1">IFERROR(__xludf.DUMMYFUNCTION("""COMPUTED_VALUE"""),"Dimethisterone")</f>
        <v>Dimethisterone</v>
      </c>
      <c r="B1741" t="str">
        <f ca="1">IFERROR(__xludf.DUMMYFUNCTION("""COMPUTED_VALUE"""),"RF-00000406-VET")</f>
        <v>RF-00000406-VET</v>
      </c>
    </row>
    <row r="1742" spans="1:2" ht="12.5" x14ac:dyDescent="0.25">
      <c r="A1742" t="str">
        <f ca="1">IFERROR(__xludf.DUMMYFUNCTION("""COMPUTED_VALUE"""),"Dimethoate")</f>
        <v>Dimethoate</v>
      </c>
      <c r="B1742" t="str">
        <f ca="1">IFERROR(__xludf.DUMMYFUNCTION("""COMPUTED_VALUE"""),"RF-0139-003-PPP")</f>
        <v>RF-0139-003-PPP</v>
      </c>
    </row>
    <row r="1743" spans="1:2" ht="12.5" x14ac:dyDescent="0.25">
      <c r="A1743" t="str">
        <f ca="1">IFERROR(__xludf.DUMMYFUNCTION("""COMPUTED_VALUE"""),"Dimethoate (sum of dimethoate and omethoate expressed as dimethoate)")</f>
        <v>Dimethoate (sum of dimethoate and omethoate expressed as dimethoate)</v>
      </c>
      <c r="B1743" t="str">
        <f ca="1">IFERROR(__xludf.DUMMYFUNCTION("""COMPUTED_VALUE"""),"RF-0139-001-PPP")</f>
        <v>RF-0139-001-PPP</v>
      </c>
    </row>
    <row r="1744" spans="1:2" ht="12.5" x14ac:dyDescent="0.25">
      <c r="A1744" t="str">
        <f ca="1">IFERROR(__xludf.DUMMYFUNCTION("""COMPUTED_VALUE"""),"Dimethomorph")</f>
        <v>Dimethomorph</v>
      </c>
      <c r="B1744" t="str">
        <f ca="1">IFERROR(__xludf.DUMMYFUNCTION("""COMPUTED_VALUE"""),"RF-0140-001-PPP")</f>
        <v>RF-0140-001-PPP</v>
      </c>
    </row>
    <row r="1745" spans="1:2" ht="12.5" x14ac:dyDescent="0.25">
      <c r="A1745" t="str">
        <f ca="1">IFERROR(__xludf.DUMMYFUNCTION("""COMPUTED_VALUE"""),"Dimethyl dicarbonate")</f>
        <v>Dimethyl dicarbonate</v>
      </c>
      <c r="B1745" t="str">
        <f ca="1">IFERROR(__xludf.DUMMYFUNCTION("""COMPUTED_VALUE"""),"RF-00000111-ADD")</f>
        <v>RF-00000111-ADD</v>
      </c>
    </row>
    <row r="1746" spans="1:2" ht="12.5" x14ac:dyDescent="0.25">
      <c r="A1746" t="str">
        <f ca="1">IFERROR(__xludf.DUMMYFUNCTION("""COMPUTED_VALUE"""),"Dimethyl fumarate")</f>
        <v>Dimethyl fumarate</v>
      </c>
      <c r="B1746" t="str">
        <f ca="1">IFERROR(__xludf.DUMMYFUNCTION("""COMPUTED_VALUE"""),"RF-1067-001-PPP")</f>
        <v>RF-1067-001-PPP</v>
      </c>
    </row>
    <row r="1747" spans="1:2" ht="12.5" x14ac:dyDescent="0.25">
      <c r="A1747" t="str">
        <f ca="1">IFERROR(__xludf.DUMMYFUNCTION("""COMPUTED_VALUE"""),"Dimethyl phthalate")</f>
        <v>Dimethyl phthalate</v>
      </c>
      <c r="B1747" t="str">
        <f ca="1">IFERROR(__xludf.DUMMYFUNCTION("""COMPUTED_VALUE"""),"RF-00000456-ORG")</f>
        <v>RF-00000456-ORG</v>
      </c>
    </row>
    <row r="1748" spans="1:2" ht="12.5" x14ac:dyDescent="0.25">
      <c r="A1748" t="str">
        <f ca="1">IFERROR(__xludf.DUMMYFUNCTION("""COMPUTED_VALUE"""),"Dimethyl polysiloxane")</f>
        <v>Dimethyl polysiloxane</v>
      </c>
      <c r="B1748" t="str">
        <f ca="1">IFERROR(__xludf.DUMMYFUNCTION("""COMPUTED_VALUE"""),"RF-00000112-ADD")</f>
        <v>RF-00000112-ADD</v>
      </c>
    </row>
    <row r="1749" spans="1:2" ht="12.5" x14ac:dyDescent="0.25">
      <c r="A1749" t="str">
        <f ca="1">IFERROR(__xludf.DUMMYFUNCTION("""COMPUTED_VALUE"""),"Dimethylanilin")</f>
        <v>Dimethylanilin</v>
      </c>
      <c r="B1749" t="str">
        <f ca="1">IFERROR(__xludf.DUMMYFUNCTION("""COMPUTED_VALUE"""),"RF-00000171-VET")</f>
        <v>RF-00000171-VET</v>
      </c>
    </row>
    <row r="1750" spans="1:2" ht="12.5" x14ac:dyDescent="0.25">
      <c r="A1750" t="str">
        <f ca="1">IFERROR(__xludf.DUMMYFUNCTION("""COMPUTED_VALUE"""),"Dimethylanilin-2,4")</f>
        <v>Dimethylanilin-2,4</v>
      </c>
      <c r="B1750" t="str">
        <f ca="1">IFERROR(__xludf.DUMMYFUNCTION("""COMPUTED_VALUE"""),"RF-00000250-VET")</f>
        <v>RF-00000250-VET</v>
      </c>
    </row>
    <row r="1751" spans="1:2" ht="12.5" x14ac:dyDescent="0.25">
      <c r="A1751" t="str">
        <f ca="1">IFERROR(__xludf.DUMMYFUNCTION("""COMPUTED_VALUE"""),"Dimethylarsinate (DMA))")</f>
        <v>Dimethylarsinate (DMA))</v>
      </c>
      <c r="B1751" t="str">
        <f ca="1">IFERROR(__xludf.DUMMYFUNCTION("""COMPUTED_VALUE"""),"RF-00000136-CHE")</f>
        <v>RF-00000136-CHE</v>
      </c>
    </row>
    <row r="1752" spans="1:2" ht="12.5" x14ac:dyDescent="0.25">
      <c r="A1752" t="str">
        <f ca="1">IFERROR(__xludf.DUMMYFUNCTION("""COMPUTED_VALUE"""),"Dimethylarsinite (DMA(III))")</f>
        <v>Dimethylarsinite (DMA(III))</v>
      </c>
      <c r="B1752" t="str">
        <f ca="1">IFERROR(__xludf.DUMMYFUNCTION("""COMPUTED_VALUE"""),"RF-00000137-CHE")</f>
        <v>RF-00000137-CHE</v>
      </c>
    </row>
    <row r="1753" spans="1:2" ht="12.5" x14ac:dyDescent="0.25">
      <c r="A1753" t="str">
        <f ca="1">IFERROR(__xludf.DUMMYFUNCTION("""COMPUTED_VALUE"""),"Dimethylphenyl-N-methylformamidine, N-2,4-")</f>
        <v>Dimethylphenyl-N-methylformamidine, N-2,4-</v>
      </c>
      <c r="B1753" t="str">
        <f ca="1">IFERROR(__xludf.DUMMYFUNCTION("""COMPUTED_VALUE"""),"RF-0024-004-PPP")</f>
        <v>RF-0024-004-PPP</v>
      </c>
    </row>
    <row r="1754" spans="1:2" ht="12.5" x14ac:dyDescent="0.25">
      <c r="A1754" t="str">
        <f ca="1">IFERROR(__xludf.DUMMYFUNCTION("""COMPUTED_VALUE"""),"Dimethylphenylformamide, 2,4-")</f>
        <v>Dimethylphenylformamide, 2,4-</v>
      </c>
      <c r="B1754" t="str">
        <f ca="1">IFERROR(__xludf.DUMMYFUNCTION("""COMPUTED_VALUE"""),"RF-0024-003-PPP")</f>
        <v>RF-0024-003-PPP</v>
      </c>
    </row>
    <row r="1755" spans="1:2" ht="12.5" x14ac:dyDescent="0.25">
      <c r="A1755" t="str">
        <f ca="1">IFERROR(__xludf.DUMMYFUNCTION("""COMPUTED_VALUE"""),"Dimethylthiouracil")</f>
        <v>Dimethylthiouracil</v>
      </c>
      <c r="B1755" t="str">
        <f ca="1">IFERROR(__xludf.DUMMYFUNCTION("""COMPUTED_VALUE"""),"RF-00000294-VET")</f>
        <v>RF-00000294-VET</v>
      </c>
    </row>
    <row r="1756" spans="1:2" ht="12.5" x14ac:dyDescent="0.25">
      <c r="A1756" t="str">
        <f ca="1">IFERROR(__xludf.DUMMYFUNCTION("""COMPUTED_VALUE"""),"Dimethylvinphos")</f>
        <v>Dimethylvinphos</v>
      </c>
      <c r="B1756" t="str">
        <f ca="1">IFERROR(__xludf.DUMMYFUNCTION("""COMPUTED_VALUE"""),"RF-0627-001-PPP")</f>
        <v>RF-0627-001-PPP</v>
      </c>
    </row>
    <row r="1757" spans="1:2" ht="12.5" x14ac:dyDescent="0.25">
      <c r="A1757" t="str">
        <f ca="1">IFERROR(__xludf.DUMMYFUNCTION("""COMPUTED_VALUE"""),"Dimetilan")</f>
        <v>Dimetilan</v>
      </c>
      <c r="B1757" t="str">
        <f ca="1">IFERROR(__xludf.DUMMYFUNCTION("""COMPUTED_VALUE"""),"RF-0628-001-PPP")</f>
        <v>RF-0628-001-PPP</v>
      </c>
    </row>
    <row r="1758" spans="1:2" ht="12.5" x14ac:dyDescent="0.25">
      <c r="A1758" t="str">
        <f ca="1">IFERROR(__xludf.DUMMYFUNCTION("""COMPUTED_VALUE"""),"Dimetridazole")</f>
        <v>Dimetridazole</v>
      </c>
      <c r="B1758" t="str">
        <f ca="1">IFERROR(__xludf.DUMMYFUNCTION("""COMPUTED_VALUE"""),"RF-00000522-VET")</f>
        <v>RF-00000522-VET</v>
      </c>
    </row>
    <row r="1759" spans="1:2" ht="12.5" x14ac:dyDescent="0.25">
      <c r="A1759" t="str">
        <f ca="1">IFERROR(__xludf.DUMMYFUNCTION("""COMPUTED_VALUE"""),"Dimexano")</f>
        <v>Dimexano</v>
      </c>
      <c r="B1759" t="str">
        <f ca="1">IFERROR(__xludf.DUMMYFUNCTION("""COMPUTED_VALUE"""),"RF-0629-001-PPP")</f>
        <v>RF-0629-001-PPP</v>
      </c>
    </row>
    <row r="1760" spans="1:2" ht="12.5" x14ac:dyDescent="0.25">
      <c r="A1760" t="str">
        <f ca="1">IFERROR(__xludf.DUMMYFUNCTION("""COMPUTED_VALUE"""),"Dimoxystrobin")</f>
        <v>Dimoxystrobin</v>
      </c>
      <c r="B1760" t="str">
        <f ca="1">IFERROR(__xludf.DUMMYFUNCTION("""COMPUTED_VALUE"""),"RF-0141-001-PPP")</f>
        <v>RF-0141-001-PPP</v>
      </c>
    </row>
    <row r="1761" spans="1:2" ht="12.5" x14ac:dyDescent="0.25">
      <c r="A1761" t="str">
        <f ca="1">IFERROR(__xludf.DUMMYFUNCTION("""COMPUTED_VALUE"""),"Diniconazole")</f>
        <v>Diniconazole</v>
      </c>
      <c r="B1761" t="str">
        <f ca="1">IFERROR(__xludf.DUMMYFUNCTION("""COMPUTED_VALUE"""),"RF-0142-001-PPP")</f>
        <v>RF-0142-001-PPP</v>
      </c>
    </row>
    <row r="1762" spans="1:2" ht="12.5" x14ac:dyDescent="0.25">
      <c r="A1762" t="str">
        <f ca="1">IFERROR(__xludf.DUMMYFUNCTION("""COMPUTED_VALUE"""),"Dinitolmid")</f>
        <v>Dinitolmid</v>
      </c>
      <c r="B1762" t="str">
        <f ca="1">IFERROR(__xludf.DUMMYFUNCTION("""COMPUTED_VALUE"""),"RF-00000058-VET")</f>
        <v>RF-00000058-VET</v>
      </c>
    </row>
    <row r="1763" spans="1:2" ht="12.5" x14ac:dyDescent="0.25">
      <c r="A1763" t="str">
        <f ca="1">IFERROR(__xludf.DUMMYFUNCTION("""COMPUTED_VALUE"""),"Dinitramine")</f>
        <v>Dinitramine</v>
      </c>
      <c r="B1763" t="str">
        <f ca="1">IFERROR(__xludf.DUMMYFUNCTION("""COMPUTED_VALUE"""),"RF-0630-001-PPP")</f>
        <v>RF-0630-001-PPP</v>
      </c>
    </row>
    <row r="1764" spans="1:2" ht="12.5" x14ac:dyDescent="0.25">
      <c r="A1764" t="str">
        <f ca="1">IFERROR(__xludf.DUMMYFUNCTION("""COMPUTED_VALUE"""),"Dinitrocarbanilide")</f>
        <v>Dinitrocarbanilide</v>
      </c>
      <c r="B1764" t="str">
        <f ca="1">IFERROR(__xludf.DUMMYFUNCTION("""COMPUTED_VALUE"""),"RF-00000095-VET")</f>
        <v>RF-00000095-VET</v>
      </c>
    </row>
    <row r="1765" spans="1:2" ht="12.5" x14ac:dyDescent="0.25">
      <c r="A1765" t="str">
        <f ca="1">IFERROR(__xludf.DUMMYFUNCTION("""COMPUTED_VALUE"""),"Dinobuton")</f>
        <v>Dinobuton</v>
      </c>
      <c r="B1765" t="str">
        <f ca="1">IFERROR(__xludf.DUMMYFUNCTION("""COMPUTED_VALUE"""),"RF-0631-001-PPP")</f>
        <v>RF-0631-001-PPP</v>
      </c>
    </row>
    <row r="1766" spans="1:2" ht="12.5" x14ac:dyDescent="0.25">
      <c r="A1766" t="str">
        <f ca="1">IFERROR(__xludf.DUMMYFUNCTION("""COMPUTED_VALUE"""),"Dinobuton sulfone")</f>
        <v>Dinobuton sulfone</v>
      </c>
      <c r="B1766" t="str">
        <f ca="1">IFERROR(__xludf.DUMMYFUNCTION("""COMPUTED_VALUE"""),"RF-00000018-PAR")</f>
        <v>RF-00000018-PAR</v>
      </c>
    </row>
    <row r="1767" spans="1:2" ht="12.5" x14ac:dyDescent="0.25">
      <c r="A1767" t="str">
        <f ca="1">IFERROR(__xludf.DUMMYFUNCTION("""COMPUTED_VALUE"""),"Dinocap")</f>
        <v>Dinocap</v>
      </c>
      <c r="B1767" t="str">
        <f ca="1">IFERROR(__xludf.DUMMYFUNCTION("""COMPUTED_VALUE"""),"RF-0143-002-PPP")</f>
        <v>RF-0143-002-PPP</v>
      </c>
    </row>
    <row r="1768" spans="1:2" ht="12.5" x14ac:dyDescent="0.25">
      <c r="A1768" t="str">
        <f ca="1">IFERROR(__xludf.DUMMYFUNCTION("""COMPUTED_VALUE"""),"Dinocap (sum of dinocap isomers and their corresponding phenols expressed as dinocap)")</f>
        <v>Dinocap (sum of dinocap isomers and their corresponding phenols expressed as dinocap)</v>
      </c>
      <c r="B1768" t="str">
        <f ca="1">IFERROR(__xludf.DUMMYFUNCTION("""COMPUTED_VALUE"""),"RF-0143-001-PPP")</f>
        <v>RF-0143-001-PPP</v>
      </c>
    </row>
    <row r="1769" spans="1:2" ht="12.5" x14ac:dyDescent="0.25">
      <c r="A1769" t="str">
        <f ca="1">IFERROR(__xludf.DUMMYFUNCTION("""COMPUTED_VALUE"""),"Dinophysistoxins 1 (DTX1 )")</f>
        <v>Dinophysistoxins 1 (DTX1 )</v>
      </c>
      <c r="B1769" t="str">
        <f ca="1">IFERROR(__xludf.DUMMYFUNCTION("""COMPUTED_VALUE"""),"RF-00000066-TOX")</f>
        <v>RF-00000066-TOX</v>
      </c>
    </row>
    <row r="1770" spans="1:2" ht="12.5" x14ac:dyDescent="0.25">
      <c r="A1770" t="str">
        <f ca="1">IFERROR(__xludf.DUMMYFUNCTION("""COMPUTED_VALUE"""),"Dinophysistoxins 2 (DTX2)")</f>
        <v>Dinophysistoxins 2 (DTX2)</v>
      </c>
      <c r="B1770" t="str">
        <f ca="1">IFERROR(__xludf.DUMMYFUNCTION("""COMPUTED_VALUE"""),"RF-00000067-TOX")</f>
        <v>RF-00000067-TOX</v>
      </c>
    </row>
    <row r="1771" spans="1:2" ht="12.5" x14ac:dyDescent="0.25">
      <c r="A1771" t="str">
        <f ca="1">IFERROR(__xludf.DUMMYFUNCTION("""COMPUTED_VALUE"""),"Dinoseb")</f>
        <v>Dinoseb</v>
      </c>
      <c r="B1771" t="str">
        <f ca="1">IFERROR(__xludf.DUMMYFUNCTION("""COMPUTED_VALUE"""),"RF-0144-001-PPP")</f>
        <v>RF-0144-001-PPP</v>
      </c>
    </row>
    <row r="1772" spans="1:2" ht="12.5" x14ac:dyDescent="0.25">
      <c r="A1772" t="str">
        <f ca="1">IFERROR(__xludf.DUMMYFUNCTION("""COMPUTED_VALUE"""),"Dinoseb Acetate")</f>
        <v>Dinoseb Acetate</v>
      </c>
      <c r="B1772" t="str">
        <f ca="1">IFERROR(__xludf.DUMMYFUNCTION("""COMPUTED_VALUE"""),"RF-0632-001-PPP")</f>
        <v>RF-0632-001-PPP</v>
      </c>
    </row>
    <row r="1773" spans="1:2" ht="12.5" x14ac:dyDescent="0.25">
      <c r="A1773" t="str">
        <f ca="1">IFERROR(__xludf.DUMMYFUNCTION("""COMPUTED_VALUE"""),"Dinotefuran")</f>
        <v>Dinotefuran</v>
      </c>
      <c r="B1773" t="str">
        <f ca="1">IFERROR(__xludf.DUMMYFUNCTION("""COMPUTED_VALUE"""),"RF-0633-001-PPP")</f>
        <v>RF-0633-001-PPP</v>
      </c>
    </row>
    <row r="1774" spans="1:2" ht="12.5" x14ac:dyDescent="0.25">
      <c r="A1774" t="str">
        <f ca="1">IFERROR(__xludf.DUMMYFUNCTION("""COMPUTED_VALUE"""),"Dinoterb")</f>
        <v>Dinoterb</v>
      </c>
      <c r="B1774" t="str">
        <f ca="1">IFERROR(__xludf.DUMMYFUNCTION("""COMPUTED_VALUE"""),"RF-0145-001-PPP")</f>
        <v>RF-0145-001-PPP</v>
      </c>
    </row>
    <row r="1775" spans="1:2" ht="12.5" x14ac:dyDescent="0.25">
      <c r="A1775" t="str">
        <f ca="1">IFERROR(__xludf.DUMMYFUNCTION("""COMPUTED_VALUE"""),"Dioctyltin")</f>
        <v>Dioctyltin</v>
      </c>
      <c r="B1775" t="str">
        <f ca="1">IFERROR(__xludf.DUMMYFUNCTION("""COMPUTED_VALUE"""),"RF-00000273-CHE")</f>
        <v>RF-00000273-CHE</v>
      </c>
    </row>
    <row r="1776" spans="1:2" ht="12.5" x14ac:dyDescent="0.25">
      <c r="A1776" t="str">
        <f ca="1">IFERROR(__xludf.DUMMYFUNCTION("""COMPUTED_VALUE"""),"Diofenolan")</f>
        <v>Diofenolan</v>
      </c>
      <c r="B1776" t="str">
        <f ca="1">IFERROR(__xludf.DUMMYFUNCTION("""COMPUTED_VALUE"""),"RF-0634-001-PPP")</f>
        <v>RF-0634-001-PPP</v>
      </c>
    </row>
    <row r="1777" spans="1:2" ht="12.5" x14ac:dyDescent="0.25">
      <c r="A1777" t="str">
        <f ca="1">IFERROR(__xludf.DUMMYFUNCTION("""COMPUTED_VALUE"""),"Dioxabenzofos")</f>
        <v>Dioxabenzofos</v>
      </c>
      <c r="B1777" t="str">
        <f ca="1">IFERROR(__xludf.DUMMYFUNCTION("""COMPUTED_VALUE"""),"RF-0635-001-PPP")</f>
        <v>RF-0635-001-PPP</v>
      </c>
    </row>
    <row r="1778" spans="1:2" ht="12.5" x14ac:dyDescent="0.25">
      <c r="A1778" t="str">
        <f ca="1">IFERROR(__xludf.DUMMYFUNCTION("""COMPUTED_VALUE"""),"Dioxacarb")</f>
        <v>Dioxacarb</v>
      </c>
      <c r="B1778" t="str">
        <f ca="1">IFERROR(__xludf.DUMMYFUNCTION("""COMPUTED_VALUE"""),"RF-00000163-VET")</f>
        <v>RF-00000163-VET</v>
      </c>
    </row>
    <row r="1779" spans="1:2" ht="12.5" x14ac:dyDescent="0.25">
      <c r="A1779" t="str">
        <f ca="1">IFERROR(__xludf.DUMMYFUNCTION("""COMPUTED_VALUE"""),"Dioxacarb")</f>
        <v>Dioxacarb</v>
      </c>
      <c r="B1779" t="str">
        <f ca="1">IFERROR(__xludf.DUMMYFUNCTION("""COMPUTED_VALUE"""),"RF-0636-001-PPP")</f>
        <v>RF-0636-001-PPP</v>
      </c>
    </row>
    <row r="1780" spans="1:2" ht="12.5" x14ac:dyDescent="0.25">
      <c r="A1780" t="str">
        <f ca="1">IFERROR(__xludf.DUMMYFUNCTION("""COMPUTED_VALUE"""),"Dioxathion")</f>
        <v>Dioxathion</v>
      </c>
      <c r="B1780" t="str">
        <f ca="1">IFERROR(__xludf.DUMMYFUNCTION("""COMPUTED_VALUE"""),"RF-0146-001-PPP")</f>
        <v>RF-0146-001-PPP</v>
      </c>
    </row>
    <row r="1781" spans="1:2" ht="12.5" x14ac:dyDescent="0.25">
      <c r="A1781" t="str">
        <f ca="1">IFERROR(__xludf.DUMMYFUNCTION("""COMPUTED_VALUE"""),"Dioxins")</f>
        <v>Dioxins</v>
      </c>
      <c r="B1781" t="str">
        <f ca="1">IFERROR(__xludf.DUMMYFUNCTION("""COMPUTED_VALUE"""),"RF-00000328-ORG")</f>
        <v>RF-00000328-ORG</v>
      </c>
    </row>
    <row r="1782" spans="1:2" ht="12.5" x14ac:dyDescent="0.25">
      <c r="A1782" t="str">
        <f ca="1">IFERROR(__xludf.DUMMYFUNCTION("""COMPUTED_VALUE"""),"Dioxins and PCBs")</f>
        <v>Dioxins and PCBs</v>
      </c>
      <c r="B1782" t="str">
        <f ca="1">IFERROR(__xludf.DUMMYFUNCTION("""COMPUTED_VALUE"""),"RF-00000114-ORG")</f>
        <v>RF-00000114-ORG</v>
      </c>
    </row>
    <row r="1783" spans="1:2" ht="12.5" x14ac:dyDescent="0.25">
      <c r="A1783" t="str">
        <f ca="1">IFERROR(__xludf.DUMMYFUNCTION("""COMPUTED_VALUE"""),"Diphacinone")</f>
        <v>Diphacinone</v>
      </c>
      <c r="B1783" t="str">
        <f ca="1">IFERROR(__xludf.DUMMYFUNCTION("""COMPUTED_VALUE"""),"RF-0637-001-PPP")</f>
        <v>RF-0637-001-PPP</v>
      </c>
    </row>
    <row r="1784" spans="1:2" ht="12.5" x14ac:dyDescent="0.25">
      <c r="A1784" t="str">
        <f ca="1">IFERROR(__xludf.DUMMYFUNCTION("""COMPUTED_VALUE"""),"Diphenamid")</f>
        <v>Diphenamid</v>
      </c>
      <c r="B1784" t="str">
        <f ca="1">IFERROR(__xludf.DUMMYFUNCTION("""COMPUTED_VALUE"""),"RF-0638-001-PPP")</f>
        <v>RF-0638-001-PPP</v>
      </c>
    </row>
    <row r="1785" spans="1:2" ht="12.5" x14ac:dyDescent="0.25">
      <c r="A1785" t="str">
        <f ca="1">IFERROR(__xludf.DUMMYFUNCTION("""COMPUTED_VALUE"""),"Diphenylamine")</f>
        <v>Diphenylamine</v>
      </c>
      <c r="B1785" t="str">
        <f ca="1">IFERROR(__xludf.DUMMYFUNCTION("""COMPUTED_VALUE"""),"RF-0147-001-PPP")</f>
        <v>RF-0147-001-PPP</v>
      </c>
    </row>
    <row r="1786" spans="1:2" ht="12.5" x14ac:dyDescent="0.25">
      <c r="A1786" t="str">
        <f ca="1">IFERROR(__xludf.DUMMYFUNCTION("""COMPUTED_VALUE"""),"Diphenylsulfon")</f>
        <v>Diphenylsulfon</v>
      </c>
      <c r="B1786" t="str">
        <f ca="1">IFERROR(__xludf.DUMMYFUNCTION("""COMPUTED_VALUE"""),"RF-1063-001-PPP")</f>
        <v>RF-1063-001-PPP</v>
      </c>
    </row>
    <row r="1787" spans="1:2" ht="12.5" x14ac:dyDescent="0.25">
      <c r="A1787" t="str">
        <f ca="1">IFERROR(__xludf.DUMMYFUNCTION("""COMPUTED_VALUE"""),"Diphenyltin")</f>
        <v>Diphenyltin</v>
      </c>
      <c r="B1787" t="str">
        <f ca="1">IFERROR(__xludf.DUMMYFUNCTION("""COMPUTED_VALUE"""),"RF-00000271-CHE")</f>
        <v>RF-00000271-CHE</v>
      </c>
    </row>
    <row r="1788" spans="1:2" ht="12.5" x14ac:dyDescent="0.25">
      <c r="A1788" t="str">
        <f ca="1">IFERROR(__xludf.DUMMYFUNCTION("""COMPUTED_VALUE"""),"Diphosphates")</f>
        <v>Diphosphates</v>
      </c>
      <c r="B1788" t="str">
        <f ca="1">IFERROR(__xludf.DUMMYFUNCTION("""COMPUTED_VALUE"""),"RF-00000113-ADD")</f>
        <v>RF-00000113-ADD</v>
      </c>
    </row>
    <row r="1789" spans="1:2" ht="12.5" x14ac:dyDescent="0.25">
      <c r="A1789" t="str">
        <f ca="1">IFERROR(__xludf.DUMMYFUNCTION("""COMPUTED_VALUE"""),"Diphyllobothrium")</f>
        <v>Diphyllobothrium</v>
      </c>
      <c r="B1789" t="str">
        <f ca="1">IFERROR(__xludf.DUMMYFUNCTION("""COMPUTED_VALUE"""),"RF-00000096-MCG")</f>
        <v>RF-00000096-MCG</v>
      </c>
    </row>
    <row r="1790" spans="1:2" ht="12.5" x14ac:dyDescent="0.25">
      <c r="A1790" t="str">
        <f ca="1">IFERROR(__xludf.DUMMYFUNCTION("""COMPUTED_VALUE"""),"Diphyllobothrium latum")</f>
        <v>Diphyllobothrium latum</v>
      </c>
      <c r="B1790" t="str">
        <f ca="1">IFERROR(__xludf.DUMMYFUNCTION("""COMPUTED_VALUE"""),"RF-00000097-MCG")</f>
        <v>RF-00000097-MCG</v>
      </c>
    </row>
    <row r="1791" spans="1:2" ht="12.5" x14ac:dyDescent="0.25">
      <c r="A1791" t="str">
        <f ca="1">IFERROR(__xludf.DUMMYFUNCTION("""COMPUTED_VALUE"""),"Dipotassium guanylate")</f>
        <v>Dipotassium guanylate</v>
      </c>
      <c r="B1791" t="str">
        <f ca="1">IFERROR(__xludf.DUMMYFUNCTION("""COMPUTED_VALUE"""),"RF-00000114-ADD")</f>
        <v>RF-00000114-ADD</v>
      </c>
    </row>
    <row r="1792" spans="1:2" ht="12.5" x14ac:dyDescent="0.25">
      <c r="A1792" t="str">
        <f ca="1">IFERROR(__xludf.DUMMYFUNCTION("""COMPUTED_VALUE"""),"Dipotassium inosinate")</f>
        <v>Dipotassium inosinate</v>
      </c>
      <c r="B1792" t="str">
        <f ca="1">IFERROR(__xludf.DUMMYFUNCTION("""COMPUTED_VALUE"""),"RF-00000115-ADD")</f>
        <v>RF-00000115-ADD</v>
      </c>
    </row>
    <row r="1793" spans="1:2" ht="12.5" x14ac:dyDescent="0.25">
      <c r="A1793" t="str">
        <f ca="1">IFERROR(__xludf.DUMMYFUNCTION("""COMPUTED_VALUE"""),"Dipotassium tin trioxide")</f>
        <v>Dipotassium tin trioxide</v>
      </c>
      <c r="B1793" t="str">
        <f ca="1">IFERROR(__xludf.DUMMYFUNCTION("""COMPUTED_VALUE"""),"RF-00000260-CHE")</f>
        <v>RF-00000260-CHE</v>
      </c>
    </row>
    <row r="1794" spans="1:2" ht="12.5" x14ac:dyDescent="0.25">
      <c r="A1794" t="str">
        <f ca="1">IFERROR(__xludf.DUMMYFUNCTION("""COMPUTED_VALUE"""),"Dipropetryn")</f>
        <v>Dipropetryn</v>
      </c>
      <c r="B1794" t="str">
        <f ca="1">IFERROR(__xludf.DUMMYFUNCTION("""COMPUTED_VALUE"""),"RF-1030-001-PPP")</f>
        <v>RF-1030-001-PPP</v>
      </c>
    </row>
    <row r="1795" spans="1:2" ht="12.5" x14ac:dyDescent="0.25">
      <c r="A1795" t="str">
        <f ca="1">IFERROR(__xludf.DUMMYFUNCTION("""COMPUTED_VALUE"""),"Dipropyl isocinchomeronate")</f>
        <v>Dipropyl isocinchomeronate</v>
      </c>
      <c r="B1795" t="str">
        <f ca="1">IFERROR(__xludf.DUMMYFUNCTION("""COMPUTED_VALUE"""),"RF-0982-001-PPP")</f>
        <v>RF-0982-001-PPP</v>
      </c>
    </row>
    <row r="1796" spans="1:2" ht="12.5" x14ac:dyDescent="0.25">
      <c r="A1796" t="str">
        <f ca="1">IFERROR(__xludf.DUMMYFUNCTION("""COMPUTED_VALUE"""),"Dipyrone")</f>
        <v>Dipyrone</v>
      </c>
      <c r="B1796" t="str">
        <f ca="1">IFERROR(__xludf.DUMMYFUNCTION("""COMPUTED_VALUE"""),"RF-00000223-VET")</f>
        <v>RF-00000223-VET</v>
      </c>
    </row>
    <row r="1797" spans="1:2" ht="12.5" x14ac:dyDescent="0.25">
      <c r="A1797" t="str">
        <f ca="1">IFERROR(__xludf.DUMMYFUNCTION("""COMPUTED_VALUE"""),"Diquat")</f>
        <v>Diquat</v>
      </c>
      <c r="B1797" t="str">
        <f ca="1">IFERROR(__xludf.DUMMYFUNCTION("""COMPUTED_VALUE"""),"RF-0148-001-PPP")</f>
        <v>RF-0148-001-PPP</v>
      </c>
    </row>
    <row r="1798" spans="1:2" ht="12.5" x14ac:dyDescent="0.25">
      <c r="A1798" t="str">
        <f ca="1">IFERROR(__xludf.DUMMYFUNCTION("""COMPUTED_VALUE"""),"disaccharides, total")</f>
        <v>disaccharides, total</v>
      </c>
      <c r="B1798" t="str">
        <f ca="1">IFERROR(__xludf.DUMMYFUNCTION("""COMPUTED_VALUE"""),"RF-00000074-NTR")</f>
        <v>RF-00000074-NTR</v>
      </c>
    </row>
    <row r="1799" spans="1:2" ht="12.5" x14ac:dyDescent="0.25">
      <c r="A1799" t="str">
        <f ca="1">IFERROR(__xludf.DUMMYFUNCTION("""COMPUTED_VALUE"""),"Disodium 5'-ribonucleotides")</f>
        <v>Disodium 5'-ribonucleotides</v>
      </c>
      <c r="B1799" t="str">
        <f ca="1">IFERROR(__xludf.DUMMYFUNCTION("""COMPUTED_VALUE"""),"RF-00000116-ADD")</f>
        <v>RF-00000116-ADD</v>
      </c>
    </row>
    <row r="1800" spans="1:2" ht="12.5" x14ac:dyDescent="0.25">
      <c r="A1800" t="str">
        <f ca="1">IFERROR(__xludf.DUMMYFUNCTION("""COMPUTED_VALUE"""),"Disodium guanylate")</f>
        <v>Disodium guanylate</v>
      </c>
      <c r="B1800" t="str">
        <f ca="1">IFERROR(__xludf.DUMMYFUNCTION("""COMPUTED_VALUE"""),"RF-00000117-ADD")</f>
        <v>RF-00000117-ADD</v>
      </c>
    </row>
    <row r="1801" spans="1:2" ht="12.5" x14ac:dyDescent="0.25">
      <c r="A1801" t="str">
        <f ca="1">IFERROR(__xludf.DUMMYFUNCTION("""COMPUTED_VALUE"""),"Disodium inosinate")</f>
        <v>Disodium inosinate</v>
      </c>
      <c r="B1801" t="str">
        <f ca="1">IFERROR(__xludf.DUMMYFUNCTION("""COMPUTED_VALUE"""),"RF-00000118-ADD")</f>
        <v>RF-00000118-ADD</v>
      </c>
    </row>
    <row r="1802" spans="1:2" ht="12.5" x14ac:dyDescent="0.25">
      <c r="A1802" t="str">
        <f ca="1">IFERROR(__xludf.DUMMYFUNCTION("""COMPUTED_VALUE"""),"Disodium tin trioxide")</f>
        <v>Disodium tin trioxide</v>
      </c>
      <c r="B1802" t="str">
        <f ca="1">IFERROR(__xludf.DUMMYFUNCTION("""COMPUTED_VALUE"""),"RF-00000262-CHE")</f>
        <v>RF-00000262-CHE</v>
      </c>
    </row>
    <row r="1803" spans="1:2" ht="12.5" x14ac:dyDescent="0.25">
      <c r="A1803" t="str">
        <f ca="1">IFERROR(__xludf.DUMMYFUNCTION("""COMPUTED_VALUE"""),"Distarch phosphate")</f>
        <v>Distarch phosphate</v>
      </c>
      <c r="B1803" t="str">
        <f ca="1">IFERROR(__xludf.DUMMYFUNCTION("""COMPUTED_VALUE"""),"RF-00000119-ADD")</f>
        <v>RF-00000119-ADD</v>
      </c>
    </row>
    <row r="1804" spans="1:2" ht="12.5" x14ac:dyDescent="0.25">
      <c r="A1804" t="str">
        <f ca="1">IFERROR(__xludf.DUMMYFUNCTION("""COMPUTED_VALUE"""),"Disulfiram")</f>
        <v>Disulfiram</v>
      </c>
      <c r="B1804" t="str">
        <f ca="1">IFERROR(__xludf.DUMMYFUNCTION("""COMPUTED_VALUE"""),"RF-0639-001-PPP")</f>
        <v>RF-0639-001-PPP</v>
      </c>
    </row>
    <row r="1805" spans="1:2" ht="12.5" x14ac:dyDescent="0.25">
      <c r="A1805" t="str">
        <f ca="1">IFERROR(__xludf.DUMMYFUNCTION("""COMPUTED_VALUE"""),"Disulfoton")</f>
        <v>Disulfoton</v>
      </c>
      <c r="B1805" t="str">
        <f ca="1">IFERROR(__xludf.DUMMYFUNCTION("""COMPUTED_VALUE"""),"RF-0149-002-PPP")</f>
        <v>RF-0149-002-PPP</v>
      </c>
    </row>
    <row r="1806" spans="1:2" ht="12.5" x14ac:dyDescent="0.25">
      <c r="A1806" t="str">
        <f ca="1">IFERROR(__xludf.DUMMYFUNCTION("""COMPUTED_VALUE"""),"Disulfoton (sum of disulfoton, disulfoton sulfoxide and disulfoton sulfone expressed as disulfoton)")</f>
        <v>Disulfoton (sum of disulfoton, disulfoton sulfoxide and disulfoton sulfone expressed as disulfoton)</v>
      </c>
      <c r="B1806" t="str">
        <f ca="1">IFERROR(__xludf.DUMMYFUNCTION("""COMPUTED_VALUE"""),"RF-0149-001-PPP")</f>
        <v>RF-0149-001-PPP</v>
      </c>
    </row>
    <row r="1807" spans="1:2" ht="12.5" x14ac:dyDescent="0.25">
      <c r="A1807" t="str">
        <f ca="1">IFERROR(__xludf.DUMMYFUNCTION("""COMPUTED_VALUE"""),"Disulfoton-Sulfon")</f>
        <v>Disulfoton-Sulfon</v>
      </c>
      <c r="B1807" t="str">
        <f ca="1">IFERROR(__xludf.DUMMYFUNCTION("""COMPUTED_VALUE"""),"RF-0149-004-PPP")</f>
        <v>RF-0149-004-PPP</v>
      </c>
    </row>
    <row r="1808" spans="1:2" ht="12.5" x14ac:dyDescent="0.25">
      <c r="A1808" t="str">
        <f ca="1">IFERROR(__xludf.DUMMYFUNCTION("""COMPUTED_VALUE"""),"Disulfoton-Sulfoxid")</f>
        <v>Disulfoton-Sulfoxid</v>
      </c>
      <c r="B1808" t="str">
        <f ca="1">IFERROR(__xludf.DUMMYFUNCTION("""COMPUTED_VALUE"""),"RF-0149-003-PPP")</f>
        <v>RF-0149-003-PPP</v>
      </c>
    </row>
    <row r="1809" spans="1:2" ht="12.5" x14ac:dyDescent="0.25">
      <c r="A1809" t="str">
        <f ca="1">IFERROR(__xludf.DUMMYFUNCTION("""COMPUTED_VALUE"""),"Ditalimfos")</f>
        <v>Ditalimfos</v>
      </c>
      <c r="B1809" t="str">
        <f ca="1">IFERROR(__xludf.DUMMYFUNCTION("""COMPUTED_VALUE"""),"RF-0640-001-PPP")</f>
        <v>RF-0640-001-PPP</v>
      </c>
    </row>
    <row r="1810" spans="1:2" ht="12.5" x14ac:dyDescent="0.25">
      <c r="A1810" t="str">
        <f ca="1">IFERROR(__xludf.DUMMYFUNCTION("""COMPUTED_VALUE"""),"Dithianon")</f>
        <v>Dithianon</v>
      </c>
      <c r="B1810" t="str">
        <f ca="1">IFERROR(__xludf.DUMMYFUNCTION("""COMPUTED_VALUE"""),"RF-0150-001-PPP")</f>
        <v>RF-0150-001-PPP</v>
      </c>
    </row>
    <row r="1811" spans="1:2" ht="12.5" x14ac:dyDescent="0.25">
      <c r="A1811" t="str">
        <f ca="1">IFERROR(__xludf.DUMMYFUNCTION("""COMPUTED_VALUE"""),"Dithiocarbamates (Dithiocarbamates expressed as CS2, including Maneb, Mancozeb, Metiram, Propineb, Thiram and Ziram)")</f>
        <v>Dithiocarbamates (Dithiocarbamates expressed as CS2, including Maneb, Mancozeb, Metiram, Propineb, Thiram and Ziram)</v>
      </c>
      <c r="B1811" t="str">
        <f ca="1">IFERROR(__xludf.DUMMYFUNCTION("""COMPUTED_VALUE"""),"RF-0151-001-PPP")</f>
        <v>RF-0151-001-PPP</v>
      </c>
    </row>
    <row r="1812" spans="1:2" ht="12.5" x14ac:dyDescent="0.25">
      <c r="A1812" t="str">
        <f ca="1">IFERROR(__xludf.DUMMYFUNCTION("""COMPUTED_VALUE"""),"Dithiopyr")</f>
        <v>Dithiopyr</v>
      </c>
      <c r="B1812" t="str">
        <f ca="1">IFERROR(__xludf.DUMMYFUNCTION("""COMPUTED_VALUE"""),"RF-0641-001-PPP")</f>
        <v>RF-0641-001-PPP</v>
      </c>
    </row>
    <row r="1813" spans="1:2" ht="12.5" x14ac:dyDescent="0.25">
      <c r="A1813" t="str">
        <f ca="1">IFERROR(__xludf.DUMMYFUNCTION("""COMPUTED_VALUE"""),"Diuron")</f>
        <v>Diuron</v>
      </c>
      <c r="B1813" t="str">
        <f ca="1">IFERROR(__xludf.DUMMYFUNCTION("""COMPUTED_VALUE"""),"RF-0152-002-PPP")</f>
        <v>RF-0152-002-PPP</v>
      </c>
    </row>
    <row r="1814" spans="1:2" ht="12.5" x14ac:dyDescent="0.25">
      <c r="A1814" t="str">
        <f ca="1">IFERROR(__xludf.DUMMYFUNCTION("""COMPUTED_VALUE"""),"Diuron (Diuron including all components containing 3,4- dichloraniline moiety expressed as 3,4-dichloraniline)")</f>
        <v>Diuron (Diuron including all components containing 3,4- dichloraniline moiety expressed as 3,4-dichloraniline)</v>
      </c>
      <c r="B1814" t="str">
        <f ca="1">IFERROR(__xludf.DUMMYFUNCTION("""COMPUTED_VALUE"""),"RF-0152-001-PPP")</f>
        <v>RF-0152-001-PPP</v>
      </c>
    </row>
    <row r="1815" spans="1:2" ht="12.5" x14ac:dyDescent="0.25">
      <c r="A1815" t="str">
        <f ca="1">IFERROR(__xludf.DUMMYFUNCTION("""COMPUTED_VALUE"""),"DMS")</f>
        <v>DMS</v>
      </c>
      <c r="B1815" t="str">
        <f ca="1">IFERROR(__xludf.DUMMYFUNCTION("""COMPUTED_VALUE"""),"RF-0642-001-PPP")</f>
        <v>RF-0642-001-PPP</v>
      </c>
    </row>
    <row r="1816" spans="1:2" ht="12.5" x14ac:dyDescent="0.25">
      <c r="A1816" t="str">
        <f ca="1">IFERROR(__xludf.DUMMYFUNCTION("""COMPUTED_VALUE"""),"DMSA")</f>
        <v>DMSA</v>
      </c>
      <c r="B1816" t="str">
        <f ca="1">IFERROR(__xludf.DUMMYFUNCTION("""COMPUTED_VALUE"""),"RF-0643-001-PPP")</f>
        <v>RF-0643-001-PPP</v>
      </c>
    </row>
    <row r="1817" spans="1:2" ht="12.5" x14ac:dyDescent="0.25">
      <c r="A1817" t="str">
        <f ca="1">IFERROR(__xludf.DUMMYFUNCTION("""COMPUTED_VALUE"""),"DMST")</f>
        <v>DMST</v>
      </c>
      <c r="B1817" t="str">
        <f ca="1">IFERROR(__xludf.DUMMYFUNCTION("""COMPUTED_VALUE"""),"RF-0644-001-PPP")</f>
        <v>RF-0644-001-PPP</v>
      </c>
    </row>
    <row r="1818" spans="1:2" ht="12.5" x14ac:dyDescent="0.25">
      <c r="A1818" t="str">
        <f ca="1">IFERROR(__xludf.DUMMYFUNCTION("""COMPUTED_VALUE"""),"DNOC")</f>
        <v>DNOC</v>
      </c>
      <c r="B1818" t="str">
        <f ca="1">IFERROR(__xludf.DUMMYFUNCTION("""COMPUTED_VALUE"""),"RF-0153-001-PPP")</f>
        <v>RF-0153-001-PPP</v>
      </c>
    </row>
    <row r="1819" spans="1:2" ht="12.5" x14ac:dyDescent="0.25">
      <c r="A1819" t="str">
        <f ca="1">IFERROR(__xludf.DUMMYFUNCTION("""COMPUTED_VALUE"""),"Dodecyl gallate")</f>
        <v>Dodecyl gallate</v>
      </c>
      <c r="B1819" t="str">
        <f ca="1">IFERROR(__xludf.DUMMYFUNCTION("""COMPUTED_VALUE"""),"RF-00000120-ADD")</f>
        <v>RF-00000120-ADD</v>
      </c>
    </row>
    <row r="1820" spans="1:2" ht="12.5" x14ac:dyDescent="0.25">
      <c r="A1820" t="str">
        <f ca="1">IFERROR(__xludf.DUMMYFUNCTION("""COMPUTED_VALUE"""),"Dodemorph")</f>
        <v>Dodemorph</v>
      </c>
      <c r="B1820" t="str">
        <f ca="1">IFERROR(__xludf.DUMMYFUNCTION("""COMPUTED_VALUE"""),"RF-0645-001-PPP")</f>
        <v>RF-0645-001-PPP</v>
      </c>
    </row>
    <row r="1821" spans="1:2" ht="12.5" x14ac:dyDescent="0.25">
      <c r="A1821" t="str">
        <f ca="1">IFERROR(__xludf.DUMMYFUNCTION("""COMPUTED_VALUE"""),"Dodine")</f>
        <v>Dodine</v>
      </c>
      <c r="B1821" t="str">
        <f ca="1">IFERROR(__xludf.DUMMYFUNCTION("""COMPUTED_VALUE"""),"RF-0154-001-PPP")</f>
        <v>RF-0154-001-PPP</v>
      </c>
    </row>
    <row r="1822" spans="1:2" ht="12.5" x14ac:dyDescent="0.25">
      <c r="A1822" t="str">
        <f ca="1">IFERROR(__xludf.DUMMYFUNCTION("""COMPUTED_VALUE"""),"Domoic acid C5'-diastereomer")</f>
        <v>Domoic acid C5'-diastereomer</v>
      </c>
      <c r="B1822" t="str">
        <f ca="1">IFERROR(__xludf.DUMMYFUNCTION("""COMPUTED_VALUE"""),"RF-00000054-TOX")</f>
        <v>RF-00000054-TOX</v>
      </c>
    </row>
    <row r="1823" spans="1:2" ht="12.5" x14ac:dyDescent="0.25">
      <c r="A1823" t="str">
        <f ca="1">IFERROR(__xludf.DUMMYFUNCTION("""COMPUTED_VALUE"""),"Domoic acid group toxins")</f>
        <v>Domoic acid group toxins</v>
      </c>
      <c r="B1823" t="str">
        <f ca="1">IFERROR(__xludf.DUMMYFUNCTION("""COMPUTED_VALUE"""),"RF-00000052-TOX")</f>
        <v>RF-00000052-TOX</v>
      </c>
    </row>
    <row r="1824" spans="1:2" ht="12.5" x14ac:dyDescent="0.25">
      <c r="A1824" t="str">
        <f ca="1">IFERROR(__xludf.DUMMYFUNCTION("""COMPUTED_VALUE"""),"dopamine")</f>
        <v>dopamine</v>
      </c>
      <c r="B1824" t="str">
        <f ca="1">IFERROR(__xludf.DUMMYFUNCTION("""COMPUTED_VALUE"""),"RF-00000076-NTR")</f>
        <v>RF-00000076-NTR</v>
      </c>
    </row>
    <row r="1825" spans="1:2" ht="12.5" x14ac:dyDescent="0.25">
      <c r="A1825" t="str">
        <f ca="1">IFERROR(__xludf.DUMMYFUNCTION("""COMPUTED_VALUE"""),"Doramectin")</f>
        <v>Doramectin</v>
      </c>
      <c r="B1825" t="str">
        <f ca="1">IFERROR(__xludf.DUMMYFUNCTION("""COMPUTED_VALUE"""),"RF-00000025-VET")</f>
        <v>RF-00000025-VET</v>
      </c>
    </row>
    <row r="1826" spans="1:2" ht="12.5" x14ac:dyDescent="0.25">
      <c r="A1826" t="str">
        <f ca="1">IFERROR(__xludf.DUMMYFUNCTION("""COMPUTED_VALUE"""),"Doronenine")</f>
        <v>Doronenine</v>
      </c>
      <c r="B1826" t="str">
        <f ca="1">IFERROR(__xludf.DUMMYFUNCTION("""COMPUTED_VALUE"""),"RF-00000274-TOX")</f>
        <v>RF-00000274-TOX</v>
      </c>
    </row>
    <row r="1827" spans="1:2" ht="12.5" x14ac:dyDescent="0.25">
      <c r="A1827" t="str">
        <f ca="1">IFERROR(__xludf.DUMMYFUNCTION("""COMPUTED_VALUE"""),"Doronine")</f>
        <v>Doronine</v>
      </c>
      <c r="B1827" t="str">
        <f ca="1">IFERROR(__xludf.DUMMYFUNCTION("""COMPUTED_VALUE"""),"RF-00000275-TOX")</f>
        <v>RF-00000275-TOX</v>
      </c>
    </row>
    <row r="1828" spans="1:2" ht="12.5" x14ac:dyDescent="0.25">
      <c r="A1828" t="str">
        <f ca="1">IFERROR(__xludf.DUMMYFUNCTION("""COMPUTED_VALUE"""),"Doxycycline")</f>
        <v>Doxycycline</v>
      </c>
      <c r="B1828" t="str">
        <f ca="1">IFERROR(__xludf.DUMMYFUNCTION("""COMPUTED_VALUE"""),"RF-00000678-VET")</f>
        <v>RF-00000678-VET</v>
      </c>
    </row>
    <row r="1829" spans="1:2" ht="12.5" x14ac:dyDescent="0.25">
      <c r="A1829" t="str">
        <f ca="1">IFERROR(__xludf.DUMMYFUNCTION("""COMPUTED_VALUE"""),"Drazoxolon")</f>
        <v>Drazoxolon</v>
      </c>
      <c r="B1829" t="str">
        <f ca="1">IFERROR(__xludf.DUMMYFUNCTION("""COMPUTED_VALUE"""),"RF-0646-001-PPP")</f>
        <v>RF-0646-001-PPP</v>
      </c>
    </row>
    <row r="1830" spans="1:2" ht="12.5" x14ac:dyDescent="0.25">
      <c r="A1830" t="str">
        <f ca="1">IFERROR(__xludf.DUMMYFUNCTION("""COMPUTED_VALUE"""),"Drostanolone")</f>
        <v>Drostanolone</v>
      </c>
      <c r="B1830" t="str">
        <f ca="1">IFERROR(__xludf.DUMMYFUNCTION("""COMPUTED_VALUE"""),"RF-00000341-VET")</f>
        <v>RF-00000341-VET</v>
      </c>
    </row>
    <row r="1831" spans="1:2" ht="12.5" x14ac:dyDescent="0.25">
      <c r="A1831" t="str">
        <f ca="1">IFERROR(__xludf.DUMMYFUNCTION("""COMPUTED_VALUE"""),"dry matter")</f>
        <v>dry matter</v>
      </c>
      <c r="B1831" t="str">
        <f ca="1">IFERROR(__xludf.DUMMYFUNCTION("""COMPUTED_VALUE"""),"RF-00000077-NTR")</f>
        <v>RF-00000077-NTR</v>
      </c>
    </row>
    <row r="1832" spans="1:2" ht="12.5" x14ac:dyDescent="0.25">
      <c r="A1832" t="str">
        <f ca="1">IFERROR(__xludf.DUMMYFUNCTION("""COMPUTED_VALUE"""),"DSH (2-Hydroxy-3,5-dinitrobenzohydrazid)")</f>
        <v>DSH (2-Hydroxy-3,5-dinitrobenzohydrazid)</v>
      </c>
      <c r="B1832" t="str">
        <f ca="1">IFERROR(__xludf.DUMMYFUNCTION("""COMPUTED_VALUE"""),"RF-00000515-VET")</f>
        <v>RF-00000515-VET</v>
      </c>
    </row>
    <row r="1833" spans="1:2" ht="12.5" x14ac:dyDescent="0.25">
      <c r="A1833" t="str">
        <f ca="1">IFERROR(__xludf.DUMMYFUNCTION("""COMPUTED_VALUE"""),"Dulcoside A")</f>
        <v>Dulcoside A</v>
      </c>
      <c r="B1833" t="str">
        <f ca="1">IFERROR(__xludf.DUMMYFUNCTION("""COMPUTED_VALUE"""),"RF-00000005-ADD")</f>
        <v>RF-00000005-ADD</v>
      </c>
    </row>
    <row r="1834" spans="1:2" ht="12.5" x14ac:dyDescent="0.25">
      <c r="A1834" t="str">
        <f ca="1">IFERROR(__xludf.DUMMYFUNCTION("""COMPUTED_VALUE"""),"Duvenhage virus")</f>
        <v>Duvenhage virus</v>
      </c>
      <c r="B1834" t="str">
        <f ca="1">IFERROR(__xludf.DUMMYFUNCTION("""COMPUTED_VALUE"""),"RF-00000263-MCG")</f>
        <v>RF-00000263-MCG</v>
      </c>
    </row>
    <row r="1835" spans="1:2" ht="12.5" x14ac:dyDescent="0.25">
      <c r="A1835" t="str">
        <f ca="1">IFERROR(__xludf.DUMMYFUNCTION("""COMPUTED_VALUE"""),"Ecetylechiumine-N-oxide")</f>
        <v>Ecetylechiumine-N-oxide</v>
      </c>
      <c r="B1835" t="str">
        <f ca="1">IFERROR(__xludf.DUMMYFUNCTION("""COMPUTED_VALUE"""),"RF-00000355-TOX")</f>
        <v>RF-00000355-TOX</v>
      </c>
    </row>
    <row r="1836" spans="1:2" ht="12.5" x14ac:dyDescent="0.25">
      <c r="A1836" t="str">
        <f ca="1">IFERROR(__xludf.DUMMYFUNCTION("""COMPUTED_VALUE"""),"Echimidine")</f>
        <v>Echimidine</v>
      </c>
      <c r="B1836" t="str">
        <f ca="1">IFERROR(__xludf.DUMMYFUNCTION("""COMPUTED_VALUE"""),"RF-00000276-TOX")</f>
        <v>RF-00000276-TOX</v>
      </c>
    </row>
    <row r="1837" spans="1:2" ht="12.5" x14ac:dyDescent="0.25">
      <c r="A1837" t="str">
        <f ca="1">IFERROR(__xludf.DUMMYFUNCTION("""COMPUTED_VALUE"""),"Echimidine-N-oxide")</f>
        <v>Echimidine-N-oxide</v>
      </c>
      <c r="B1837" t="str">
        <f ca="1">IFERROR(__xludf.DUMMYFUNCTION("""COMPUTED_VALUE"""),"RF-00000350-TOX")</f>
        <v>RF-00000350-TOX</v>
      </c>
    </row>
    <row r="1838" spans="1:2" ht="12.5" x14ac:dyDescent="0.25">
      <c r="A1838" t="str">
        <f ca="1">IFERROR(__xludf.DUMMYFUNCTION("""COMPUTED_VALUE"""),"Echinatine")</f>
        <v>Echinatine</v>
      </c>
      <c r="B1838" t="str">
        <f ca="1">IFERROR(__xludf.DUMMYFUNCTION("""COMPUTED_VALUE"""),"RF-00000277-TOX")</f>
        <v>RF-00000277-TOX</v>
      </c>
    </row>
    <row r="1839" spans="1:2" ht="12.5" x14ac:dyDescent="0.25">
      <c r="A1839" t="str">
        <f ca="1">IFERROR(__xludf.DUMMYFUNCTION("""COMPUTED_VALUE"""),"Echinococcus")</f>
        <v>Echinococcus</v>
      </c>
      <c r="B1839" t="str">
        <f ca="1">IFERROR(__xludf.DUMMYFUNCTION("""COMPUTED_VALUE"""),"RF-00000098-MCG")</f>
        <v>RF-00000098-MCG</v>
      </c>
    </row>
    <row r="1840" spans="1:2" ht="12.5" x14ac:dyDescent="0.25">
      <c r="A1840" t="str">
        <f ca="1">IFERROR(__xludf.DUMMYFUNCTION("""COMPUTED_VALUE"""),"Echinococcus - E. granulosus - Genotype G1")</f>
        <v>Echinococcus - E. granulosus - Genotype G1</v>
      </c>
      <c r="B1840" t="str">
        <f ca="1">IFERROR(__xludf.DUMMYFUNCTION("""COMPUTED_VALUE"""),"RF-00003545-MCG")</f>
        <v>RF-00003545-MCG</v>
      </c>
    </row>
    <row r="1841" spans="1:2" ht="12.5" x14ac:dyDescent="0.25">
      <c r="A1841" t="str">
        <f ca="1">IFERROR(__xludf.DUMMYFUNCTION("""COMPUTED_VALUE"""),"Echinococcus - E. granulosus - Genotype G2")</f>
        <v>Echinococcus - E. granulosus - Genotype G2</v>
      </c>
      <c r="B1841" t="str">
        <f ca="1">IFERROR(__xludf.DUMMYFUNCTION("""COMPUTED_VALUE"""),"RF-00003546-MCG")</f>
        <v>RF-00003546-MCG</v>
      </c>
    </row>
    <row r="1842" spans="1:2" ht="12.5" x14ac:dyDescent="0.25">
      <c r="A1842" t="str">
        <f ca="1">IFERROR(__xludf.DUMMYFUNCTION("""COMPUTED_VALUE"""),"Echinococcus - E. granulosus - Genotype G3")</f>
        <v>Echinococcus - E. granulosus - Genotype G3</v>
      </c>
      <c r="B1842" t="str">
        <f ca="1">IFERROR(__xludf.DUMMYFUNCTION("""COMPUTED_VALUE"""),"RF-00003547-MCG")</f>
        <v>RF-00003547-MCG</v>
      </c>
    </row>
    <row r="1843" spans="1:2" ht="12.5" x14ac:dyDescent="0.25">
      <c r="A1843" t="str">
        <f ca="1">IFERROR(__xludf.DUMMYFUNCTION("""COMPUTED_VALUE"""),"Echinococcus - E. granulosus - Genotype G6")</f>
        <v>Echinococcus - E. granulosus - Genotype G6</v>
      </c>
      <c r="B1843" t="str">
        <f ca="1">IFERROR(__xludf.DUMMYFUNCTION("""COMPUTED_VALUE"""),"RF-00003548-MCG")</f>
        <v>RF-00003548-MCG</v>
      </c>
    </row>
    <row r="1844" spans="1:2" ht="12.5" x14ac:dyDescent="0.25">
      <c r="A1844" t="str">
        <f ca="1">IFERROR(__xludf.DUMMYFUNCTION("""COMPUTED_VALUE"""),"Echinococcus - E. granulosus - Genotype G7")</f>
        <v>Echinococcus - E. granulosus - Genotype G7</v>
      </c>
      <c r="B1844" t="str">
        <f ca="1">IFERROR(__xludf.DUMMYFUNCTION("""COMPUTED_VALUE"""),"RF-00003549-MCG")</f>
        <v>RF-00003549-MCG</v>
      </c>
    </row>
    <row r="1845" spans="1:2" ht="12.5" x14ac:dyDescent="0.25">
      <c r="A1845" t="str">
        <f ca="1">IFERROR(__xludf.DUMMYFUNCTION("""COMPUTED_VALUE"""),"Echinococcus granulosus")</f>
        <v>Echinococcus granulosus</v>
      </c>
      <c r="B1845" t="str">
        <f ca="1">IFERROR(__xludf.DUMMYFUNCTION("""COMPUTED_VALUE"""),"RF-00000099-MCG")</f>
        <v>RF-00000099-MCG</v>
      </c>
    </row>
    <row r="1846" spans="1:2" ht="12.5" x14ac:dyDescent="0.25">
      <c r="A1846" t="str">
        <f ca="1">IFERROR(__xludf.DUMMYFUNCTION("""COMPUTED_VALUE"""),"Echinococcus multilocularis")</f>
        <v>Echinococcus multilocularis</v>
      </c>
      <c r="B1846" t="str">
        <f ca="1">IFERROR(__xludf.DUMMYFUNCTION("""COMPUTED_VALUE"""),"RF-00000102-MCG")</f>
        <v>RF-00000102-MCG</v>
      </c>
    </row>
    <row r="1847" spans="1:2" ht="12.5" x14ac:dyDescent="0.25">
      <c r="A1847" t="str">
        <f ca="1">IFERROR(__xludf.DUMMYFUNCTION("""COMPUTED_VALUE"""),"Echinococcus oligarthrus")</f>
        <v>Echinococcus oligarthrus</v>
      </c>
      <c r="B1847" t="str">
        <f ca="1">IFERROR(__xludf.DUMMYFUNCTION("""COMPUTED_VALUE"""),"RF-00000100-MCG")</f>
        <v>RF-00000100-MCG</v>
      </c>
    </row>
    <row r="1848" spans="1:2" ht="12.5" x14ac:dyDescent="0.25">
      <c r="A1848" t="str">
        <f ca="1">IFERROR(__xludf.DUMMYFUNCTION("""COMPUTED_VALUE"""),"Echinococcus spp., unspecified")</f>
        <v>Echinococcus spp., unspecified</v>
      </c>
      <c r="B1848" t="str">
        <f ca="1">IFERROR(__xludf.DUMMYFUNCTION("""COMPUTED_VALUE"""),"RF-00000101-MCG")</f>
        <v>RF-00000101-MCG</v>
      </c>
    </row>
    <row r="1849" spans="1:2" ht="12.5" x14ac:dyDescent="0.25">
      <c r="A1849" t="str">
        <f ca="1">IFERROR(__xludf.DUMMYFUNCTION("""COMPUTED_VALUE"""),"Echiumine")</f>
        <v>Echiumine</v>
      </c>
      <c r="B1849" t="str">
        <f ca="1">IFERROR(__xludf.DUMMYFUNCTION("""COMPUTED_VALUE"""),"RF-00000353-TOX")</f>
        <v>RF-00000353-TOX</v>
      </c>
    </row>
    <row r="1850" spans="1:2" ht="12.5" x14ac:dyDescent="0.25">
      <c r="A1850" t="str">
        <f ca="1">IFERROR(__xludf.DUMMYFUNCTION("""COMPUTED_VALUE"""),"Echiumine-N-oxide")</f>
        <v>Echiumine-N-oxide</v>
      </c>
      <c r="B1850" t="str">
        <f ca="1">IFERROR(__xludf.DUMMYFUNCTION("""COMPUTED_VALUE"""),"RF-00000354-TOX")</f>
        <v>RF-00000354-TOX</v>
      </c>
    </row>
    <row r="1851" spans="1:2" ht="12.5" x14ac:dyDescent="0.25">
      <c r="A1851" t="str">
        <f ca="1">IFERROR(__xludf.DUMMYFUNCTION("""COMPUTED_VALUE"""),"Echiuplatine")</f>
        <v>Echiuplatine</v>
      </c>
      <c r="B1851" t="str">
        <f ca="1">IFERROR(__xludf.DUMMYFUNCTION("""COMPUTED_VALUE"""),"RF-00000356-TOX")</f>
        <v>RF-00000356-TOX</v>
      </c>
    </row>
    <row r="1852" spans="1:2" ht="12.5" x14ac:dyDescent="0.25">
      <c r="A1852" t="str">
        <f ca="1">IFERROR(__xludf.DUMMYFUNCTION("""COMPUTED_VALUE"""),"Echiuplatine-N-oxide")</f>
        <v>Echiuplatine-N-oxide</v>
      </c>
      <c r="B1852" t="str">
        <f ca="1">IFERROR(__xludf.DUMMYFUNCTION("""COMPUTED_VALUE"""),"RF-00000357-TOX")</f>
        <v>RF-00000357-TOX</v>
      </c>
    </row>
    <row r="1853" spans="1:2" ht="12.5" x14ac:dyDescent="0.25">
      <c r="A1853" t="str">
        <f ca="1">IFERROR(__xludf.DUMMYFUNCTION("""COMPUTED_VALUE"""),"Echivulgarine")</f>
        <v>Echivulgarine</v>
      </c>
      <c r="B1853" t="str">
        <f ca="1">IFERROR(__xludf.DUMMYFUNCTION("""COMPUTED_VALUE"""),"RF-00000358-TOX")</f>
        <v>RF-00000358-TOX</v>
      </c>
    </row>
    <row r="1854" spans="1:2" ht="12.5" x14ac:dyDescent="0.25">
      <c r="A1854" t="str">
        <f ca="1">IFERROR(__xludf.DUMMYFUNCTION("""COMPUTED_VALUE"""),"Echivulgarine-N-oxide")</f>
        <v>Echivulgarine-N-oxide</v>
      </c>
      <c r="B1854" t="str">
        <f ca="1">IFERROR(__xludf.DUMMYFUNCTION("""COMPUTED_VALUE"""),"RF-00000359-TOX")</f>
        <v>RF-00000359-TOX</v>
      </c>
    </row>
    <row r="1855" spans="1:2" ht="12.5" x14ac:dyDescent="0.25">
      <c r="A1855" t="str">
        <f ca="1">IFERROR(__xludf.DUMMYFUNCTION("""COMPUTED_VALUE"""),"edible portion")</f>
        <v>edible portion</v>
      </c>
      <c r="B1855" t="str">
        <f ca="1">IFERROR(__xludf.DUMMYFUNCTION("""COMPUTED_VALUE"""),"RF-00000078-NTR")</f>
        <v>RF-00000078-NTR</v>
      </c>
    </row>
    <row r="1856" spans="1:2" ht="12.5" x14ac:dyDescent="0.25">
      <c r="A1856" t="str">
        <f ca="1">IFERROR(__xludf.DUMMYFUNCTION("""COMPUTED_VALUE"""),"Edifenphos")</f>
        <v>Edifenphos</v>
      </c>
      <c r="B1856" t="str">
        <f ca="1">IFERROR(__xludf.DUMMYFUNCTION("""COMPUTED_VALUE"""),"RF-0647-001-PPP")</f>
        <v>RF-0647-001-PPP</v>
      </c>
    </row>
    <row r="1857" spans="1:2" ht="12.5" x14ac:dyDescent="0.25">
      <c r="A1857" t="str">
        <f ca="1">IFERROR(__xludf.DUMMYFUNCTION("""COMPUTED_VALUE"""),"Efrotomycin")</f>
        <v>Efrotomycin</v>
      </c>
      <c r="B1857" t="str">
        <f ca="1">IFERROR(__xludf.DUMMYFUNCTION("""COMPUTED_VALUE"""),"RF-00000729-VET")</f>
        <v>RF-00000729-VET</v>
      </c>
    </row>
    <row r="1858" spans="1:2" ht="12.5" x14ac:dyDescent="0.25">
      <c r="A1858" t="str">
        <f ca="1">IFERROR(__xludf.DUMMYFUNCTION("""COMPUTED_VALUE"""),"Ehrlichia")</f>
        <v>Ehrlichia</v>
      </c>
      <c r="B1858" t="str">
        <f ca="1">IFERROR(__xludf.DUMMYFUNCTION("""COMPUTED_VALUE"""),"RF-00000103-MCG")</f>
        <v>RF-00000103-MCG</v>
      </c>
    </row>
    <row r="1859" spans="1:2" ht="12.5" x14ac:dyDescent="0.25">
      <c r="A1859" t="str">
        <f ca="1">IFERROR(__xludf.DUMMYFUNCTION("""COMPUTED_VALUE"""),"Ehrlichia canis")</f>
        <v>Ehrlichia canis</v>
      </c>
      <c r="B1859" t="str">
        <f ca="1">IFERROR(__xludf.DUMMYFUNCTION("""COMPUTED_VALUE"""),"RF-00002745-MCG")</f>
        <v>RF-00002745-MCG</v>
      </c>
    </row>
    <row r="1860" spans="1:2" ht="12.5" x14ac:dyDescent="0.25">
      <c r="A1860" t="str">
        <f ca="1">IFERROR(__xludf.DUMMYFUNCTION("""COMPUTED_VALUE"""),"Ehrlichia chaffeensis")</f>
        <v>Ehrlichia chaffeensis</v>
      </c>
      <c r="B1860" t="str">
        <f ca="1">IFERROR(__xludf.DUMMYFUNCTION("""COMPUTED_VALUE"""),"RF-00000105-MCG")</f>
        <v>RF-00000105-MCG</v>
      </c>
    </row>
    <row r="1861" spans="1:2" ht="12.5" x14ac:dyDescent="0.25">
      <c r="A1861" t="str">
        <f ca="1">IFERROR(__xludf.DUMMYFUNCTION("""COMPUTED_VALUE"""),"Ehrlichia ewingii")</f>
        <v>Ehrlichia ewingii</v>
      </c>
      <c r="B1861" t="str">
        <f ca="1">IFERROR(__xludf.DUMMYFUNCTION("""COMPUTED_VALUE"""),"RF-00002747-MCG")</f>
        <v>RF-00002747-MCG</v>
      </c>
    </row>
    <row r="1862" spans="1:2" ht="12.5" x14ac:dyDescent="0.25">
      <c r="A1862" t="str">
        <f ca="1">IFERROR(__xludf.DUMMYFUNCTION("""COMPUTED_VALUE"""),"Ehrlichia muris")</f>
        <v>Ehrlichia muris</v>
      </c>
      <c r="B1862" t="str">
        <f ca="1">IFERROR(__xludf.DUMMYFUNCTION("""COMPUTED_VALUE"""),"RF-00002748-MCG")</f>
        <v>RF-00002748-MCG</v>
      </c>
    </row>
    <row r="1863" spans="1:2" ht="12.5" x14ac:dyDescent="0.25">
      <c r="A1863" t="str">
        <f ca="1">IFERROR(__xludf.DUMMYFUNCTION("""COMPUTED_VALUE"""),"Ehrlichia ruminantium")</f>
        <v>Ehrlichia ruminantium</v>
      </c>
      <c r="B1863" t="str">
        <f ca="1">IFERROR(__xludf.DUMMYFUNCTION("""COMPUTED_VALUE"""),"RF-00002749-MCG")</f>
        <v>RF-00002749-MCG</v>
      </c>
    </row>
    <row r="1864" spans="1:2" ht="12.5" x14ac:dyDescent="0.25">
      <c r="A1864" t="str">
        <f ca="1">IFERROR(__xludf.DUMMYFUNCTION("""COMPUTED_VALUE"""),"Ehrlichia spp., unspecified")</f>
        <v>Ehrlichia spp., unspecified</v>
      </c>
      <c r="B1864" t="str">
        <f ca="1">IFERROR(__xludf.DUMMYFUNCTION("""COMPUTED_VALUE"""),"RF-00000104-MCG")</f>
        <v>RF-00000104-MCG</v>
      </c>
    </row>
    <row r="1865" spans="1:2" ht="12.5" x14ac:dyDescent="0.25">
      <c r="A1865" t="str">
        <f ca="1">IFERROR(__xludf.DUMMYFUNCTION("""COMPUTED_VALUE"""),"Elemental sulfur")</f>
        <v>Elemental sulfur</v>
      </c>
      <c r="B1865" t="str">
        <f ca="1">IFERROR(__xludf.DUMMYFUNCTION("""COMPUTED_VALUE"""),"RF-00000118-CHE")</f>
        <v>RF-00000118-CHE</v>
      </c>
    </row>
    <row r="1866" spans="1:2" ht="12.5" x14ac:dyDescent="0.25">
      <c r="A1866" t="str">
        <f ca="1">IFERROR(__xludf.DUMMYFUNCTION("""COMPUTED_VALUE"""),"Elfamycin")</f>
        <v>Elfamycin</v>
      </c>
      <c r="B1866" t="str">
        <f ca="1">IFERROR(__xludf.DUMMYFUNCTION("""COMPUTED_VALUE"""),"RF-00000728-VET")</f>
        <v>RF-00000728-VET</v>
      </c>
    </row>
    <row r="1867" spans="1:2" ht="12.5" x14ac:dyDescent="0.25">
      <c r="A1867" t="str">
        <f ca="1">IFERROR(__xludf.DUMMYFUNCTION("""COMPUTED_VALUE"""),"Elymoclavine")</f>
        <v>Elymoclavine</v>
      </c>
      <c r="B1867" t="str">
        <f ca="1">IFERROR(__xludf.DUMMYFUNCTION("""COMPUTED_VALUE"""),"RF-00000384-TOX")</f>
        <v>RF-00000384-TOX</v>
      </c>
    </row>
    <row r="1868" spans="1:2" ht="12.5" x14ac:dyDescent="0.25">
      <c r="A1868" t="str">
        <f ca="1">IFERROR(__xludf.DUMMYFUNCTION("""COMPUTED_VALUE"""),"Emamectin B1a")</f>
        <v>Emamectin B1a</v>
      </c>
      <c r="B1868" t="str">
        <f ca="1">IFERROR(__xludf.DUMMYFUNCTION("""COMPUTED_VALUE"""),"RF-00000008-VET")</f>
        <v>RF-00000008-VET</v>
      </c>
    </row>
    <row r="1869" spans="1:2" ht="12.5" x14ac:dyDescent="0.25">
      <c r="A1869" t="str">
        <f ca="1">IFERROR(__xludf.DUMMYFUNCTION("""COMPUTED_VALUE"""),"Emamectin B1a")</f>
        <v>Emamectin B1a</v>
      </c>
      <c r="B1869" t="str">
        <f ca="1">IFERROR(__xludf.DUMMYFUNCTION("""COMPUTED_VALUE"""),"RF-0649-001-PPP")</f>
        <v>RF-0649-001-PPP</v>
      </c>
    </row>
    <row r="1870" spans="1:2" ht="12.5" x14ac:dyDescent="0.25">
      <c r="A1870" t="str">
        <f ca="1">IFERROR(__xludf.DUMMYFUNCTION("""COMPUTED_VALUE"""),"Emamectin B1a - B1b")</f>
        <v>Emamectin B1a - B1b</v>
      </c>
      <c r="B1870" t="str">
        <f ca="1">IFERROR(__xludf.DUMMYFUNCTION("""COMPUTED_VALUE"""),"RF-00000016-VET")</f>
        <v>RF-00000016-VET</v>
      </c>
    </row>
    <row r="1871" spans="1:2" ht="12.5" x14ac:dyDescent="0.25">
      <c r="A1871" t="str">
        <f ca="1">IFERROR(__xludf.DUMMYFUNCTION("""COMPUTED_VALUE"""),"Emamectin B1b")</f>
        <v>Emamectin B1b</v>
      </c>
      <c r="B1871" t="str">
        <f ca="1">IFERROR(__xludf.DUMMYFUNCTION("""COMPUTED_VALUE"""),"RF-00000005-VET")</f>
        <v>RF-00000005-VET</v>
      </c>
    </row>
    <row r="1872" spans="1:2" ht="12.5" x14ac:dyDescent="0.25">
      <c r="A1872" t="str">
        <f ca="1">IFERROR(__xludf.DUMMYFUNCTION("""COMPUTED_VALUE"""),"Emamectin B1b")</f>
        <v>Emamectin B1b</v>
      </c>
      <c r="B1872" t="str">
        <f ca="1">IFERROR(__xludf.DUMMYFUNCTION("""COMPUTED_VALUE"""),"RF-0650-001-PPP")</f>
        <v>RF-0650-001-PPP</v>
      </c>
    </row>
    <row r="1873" spans="1:2" ht="12.5" x14ac:dyDescent="0.25">
      <c r="A1873" t="str">
        <f ca="1">IFERROR(__xludf.DUMMYFUNCTION("""COMPUTED_VALUE"""),"Emamectin benzoate")</f>
        <v>Emamectin benzoate</v>
      </c>
      <c r="B1873" t="str">
        <f ca="1">IFERROR(__xludf.DUMMYFUNCTION("""COMPUTED_VALUE"""),"RF-00000051-VET")</f>
        <v>RF-00000051-VET</v>
      </c>
    </row>
    <row r="1874" spans="1:2" ht="12.5" x14ac:dyDescent="0.25">
      <c r="A1874" t="str">
        <f ca="1">IFERROR(__xludf.DUMMYFUNCTION("""COMPUTED_VALUE"""),"Emamectin benzoate B1a, expressed as emamectin")</f>
        <v>Emamectin benzoate B1a, expressed as emamectin</v>
      </c>
      <c r="B1874" t="str">
        <f ca="1">IFERROR(__xludf.DUMMYFUNCTION("""COMPUTED_VALUE"""),"RF-0648-001-PPP")</f>
        <v>RF-0648-001-PPP</v>
      </c>
    </row>
    <row r="1875" spans="1:2" ht="12.5" x14ac:dyDescent="0.25">
      <c r="A1875" t="str">
        <f ca="1">IFERROR(__xludf.DUMMYFUNCTION("""COMPUTED_VALUE"""),"Embutramid")</f>
        <v>Embutramid</v>
      </c>
      <c r="B1875" t="str">
        <f ca="1">IFERROR(__xludf.DUMMYFUNCTION("""COMPUTED_VALUE"""),"RF-00000184-VET")</f>
        <v>RF-00000184-VET</v>
      </c>
    </row>
    <row r="1876" spans="1:2" ht="12.5" x14ac:dyDescent="0.25">
      <c r="A1876" t="str">
        <f ca="1">IFERROR(__xludf.DUMMYFUNCTION("""COMPUTED_VALUE"""),"Empenthrin")</f>
        <v>Empenthrin</v>
      </c>
      <c r="B1876" t="str">
        <f ca="1">IFERROR(__xludf.DUMMYFUNCTION("""COMPUTED_VALUE"""),"RF-0651-001-PPP")</f>
        <v>RF-0651-001-PPP</v>
      </c>
    </row>
    <row r="1877" spans="1:2" ht="12.5" x14ac:dyDescent="0.25">
      <c r="A1877" t="str">
        <f ca="1">IFERROR(__xludf.DUMMYFUNCTION("""COMPUTED_VALUE"""),"Endosulfan (sum of alpha- and beta-isomers and endosulfan-sulphate expresses as endosulfan)")</f>
        <v>Endosulfan (sum of alpha- and beta-isomers and endosulfan-sulphate expresses as endosulfan)</v>
      </c>
      <c r="B1877" t="str">
        <f ca="1">IFERROR(__xludf.DUMMYFUNCTION("""COMPUTED_VALUE"""),"RF-0155-001-PPP")</f>
        <v>RF-0155-001-PPP</v>
      </c>
    </row>
    <row r="1878" spans="1:2" ht="12.5" x14ac:dyDescent="0.25">
      <c r="A1878" t="str">
        <f ca="1">IFERROR(__xludf.DUMMYFUNCTION("""COMPUTED_VALUE"""),"Endosulfan ether")</f>
        <v>Endosulfan ether</v>
      </c>
      <c r="B1878" t="str">
        <f ca="1">IFERROR(__xludf.DUMMYFUNCTION("""COMPUTED_VALUE"""),"RF-00000019-PAR")</f>
        <v>RF-00000019-PAR</v>
      </c>
    </row>
    <row r="1879" spans="1:2" ht="12.5" x14ac:dyDescent="0.25">
      <c r="A1879" t="str">
        <f ca="1">IFERROR(__xludf.DUMMYFUNCTION("""COMPUTED_VALUE"""),"Endosulfan lactone")</f>
        <v>Endosulfan lactone</v>
      </c>
      <c r="B1879" t="str">
        <f ca="1">IFERROR(__xludf.DUMMYFUNCTION("""COMPUTED_VALUE"""),"RF-00000020-PAR")</f>
        <v>RF-00000020-PAR</v>
      </c>
    </row>
    <row r="1880" spans="1:2" ht="12.5" x14ac:dyDescent="0.25">
      <c r="A1880" t="str">
        <f ca="1">IFERROR(__xludf.DUMMYFUNCTION("""COMPUTED_VALUE"""),"Endosulfan, alpha-")</f>
        <v>Endosulfan, alpha-</v>
      </c>
      <c r="B1880" t="str">
        <f ca="1">IFERROR(__xludf.DUMMYFUNCTION("""COMPUTED_VALUE"""),"RF-0155-004-PPP")</f>
        <v>RF-0155-004-PPP</v>
      </c>
    </row>
    <row r="1881" spans="1:2" ht="12.5" x14ac:dyDescent="0.25">
      <c r="A1881" t="str">
        <f ca="1">IFERROR(__xludf.DUMMYFUNCTION("""COMPUTED_VALUE"""),"Endosulfan, beta-")</f>
        <v>Endosulfan, beta-</v>
      </c>
      <c r="B1881" t="str">
        <f ca="1">IFERROR(__xludf.DUMMYFUNCTION("""COMPUTED_VALUE"""),"RF-0155-003-PPP")</f>
        <v>RF-0155-003-PPP</v>
      </c>
    </row>
    <row r="1882" spans="1:2" ht="12.5" x14ac:dyDescent="0.25">
      <c r="A1882" t="str">
        <f ca="1">IFERROR(__xludf.DUMMYFUNCTION("""COMPUTED_VALUE"""),"Endosulfandiol")</f>
        <v>Endosulfandiol</v>
      </c>
      <c r="B1882" t="str">
        <f ca="1">IFERROR(__xludf.DUMMYFUNCTION("""COMPUTED_VALUE"""),"RF-1068-001-PPP")</f>
        <v>RF-1068-001-PPP</v>
      </c>
    </row>
    <row r="1883" spans="1:2" ht="12.5" x14ac:dyDescent="0.25">
      <c r="A1883" t="str">
        <f ca="1">IFERROR(__xludf.DUMMYFUNCTION("""COMPUTED_VALUE"""),"Endosulfansulfate")</f>
        <v>Endosulfansulfate</v>
      </c>
      <c r="B1883" t="str">
        <f ca="1">IFERROR(__xludf.DUMMYFUNCTION("""COMPUTED_VALUE"""),"RF-0155-002-PPP")</f>
        <v>RF-0155-002-PPP</v>
      </c>
    </row>
    <row r="1884" spans="1:2" ht="12.5" x14ac:dyDescent="0.25">
      <c r="A1884" t="str">
        <f ca="1">IFERROR(__xludf.DUMMYFUNCTION("""COMPUTED_VALUE"""),"Endothal")</f>
        <v>Endothal</v>
      </c>
      <c r="B1884" t="str">
        <f ca="1">IFERROR(__xludf.DUMMYFUNCTION("""COMPUTED_VALUE"""),"RF-0652-001-PPP")</f>
        <v>RF-0652-001-PPP</v>
      </c>
    </row>
    <row r="1885" spans="1:2" ht="12.5" x14ac:dyDescent="0.25">
      <c r="A1885" t="str">
        <f ca="1">IFERROR(__xludf.DUMMYFUNCTION("""COMPUTED_VALUE"""),"Endrin")</f>
        <v>Endrin</v>
      </c>
      <c r="B1885" t="str">
        <f ca="1">IFERROR(__xludf.DUMMYFUNCTION("""COMPUTED_VALUE"""),"RF-0156-001-PPP")</f>
        <v>RF-0156-001-PPP</v>
      </c>
    </row>
    <row r="1886" spans="1:2" ht="12.5" x14ac:dyDescent="0.25">
      <c r="A1886" t="str">
        <f ca="1">IFERROR(__xludf.DUMMYFUNCTION("""COMPUTED_VALUE"""),"Endrin aldehyde")</f>
        <v>Endrin aldehyde</v>
      </c>
      <c r="B1886" t="str">
        <f ca="1">IFERROR(__xludf.DUMMYFUNCTION("""COMPUTED_VALUE"""),"RF-0997-001-PPP")</f>
        <v>RF-0997-001-PPP</v>
      </c>
    </row>
    <row r="1887" spans="1:2" ht="12.5" x14ac:dyDescent="0.25">
      <c r="A1887" t="str">
        <f ca="1">IFERROR(__xludf.DUMMYFUNCTION("""COMPUTED_VALUE"""),"Endrin, Keto-")</f>
        <v>Endrin, Keto-</v>
      </c>
      <c r="B1887" t="str">
        <f ca="1">IFERROR(__xludf.DUMMYFUNCTION("""COMPUTED_VALUE"""),"RF-0653-001-PPP")</f>
        <v>RF-0653-001-PPP</v>
      </c>
    </row>
    <row r="1888" spans="1:2" ht="12.5" x14ac:dyDescent="0.25">
      <c r="A1888" t="str">
        <f ca="1">IFERROR(__xludf.DUMMYFUNCTION("""COMPUTED_VALUE"""),"Energy and macronutrients")</f>
        <v>Energy and macronutrients</v>
      </c>
      <c r="B1888" t="str">
        <f ca="1">IFERROR(__xludf.DUMMYFUNCTION("""COMPUTED_VALUE"""),"RF-00000436-NTR")</f>
        <v>RF-00000436-NTR</v>
      </c>
    </row>
    <row r="1889" spans="1:2" ht="12.5" x14ac:dyDescent="0.25">
      <c r="A1889" t="str">
        <f ca="1">IFERROR(__xludf.DUMMYFUNCTION("""COMPUTED_VALUE"""),"energy, gross, determined by direct analysis")</f>
        <v>energy, gross, determined by direct analysis</v>
      </c>
      <c r="B1889" t="str">
        <f ca="1">IFERROR(__xludf.DUMMYFUNCTION("""COMPUTED_VALUE"""),"RF-00000079-NTR")</f>
        <v>RF-00000079-NTR</v>
      </c>
    </row>
    <row r="1890" spans="1:2" ht="12.5" x14ac:dyDescent="0.25">
      <c r="A1890" t="str">
        <f ca="1">IFERROR(__xludf.DUMMYFUNCTION("""COMPUTED_VALUE"""),"energy, total metabolisable; calculated from energy-producing food components")</f>
        <v>energy, total metabolisable; calculated from energy-producing food components</v>
      </c>
      <c r="B1890" t="str">
        <f ca="1">IFERROR(__xludf.DUMMYFUNCTION("""COMPUTED_VALUE"""),"RF-00000080-NTR")</f>
        <v>RF-00000080-NTR</v>
      </c>
    </row>
    <row r="1891" spans="1:2" ht="12.5" x14ac:dyDescent="0.25">
      <c r="A1891" t="str">
        <f ca="1">IFERROR(__xludf.DUMMYFUNCTION("""COMPUTED_VALUE"""),"Enniatin  C")</f>
        <v>Enniatin  C</v>
      </c>
      <c r="B1891" t="str">
        <f ca="1">IFERROR(__xludf.DUMMYFUNCTION("""COMPUTED_VALUE"""),"RF-00000215-TOX")</f>
        <v>RF-00000215-TOX</v>
      </c>
    </row>
    <row r="1892" spans="1:2" ht="12.5" x14ac:dyDescent="0.25">
      <c r="A1892" t="str">
        <f ca="1">IFERROR(__xludf.DUMMYFUNCTION("""COMPUTED_VALUE"""),"Enniatin A")</f>
        <v>Enniatin A</v>
      </c>
      <c r="B1892" t="str">
        <f ca="1">IFERROR(__xludf.DUMMYFUNCTION("""COMPUTED_VALUE"""),"RF-00000211-TOX")</f>
        <v>RF-00000211-TOX</v>
      </c>
    </row>
    <row r="1893" spans="1:2" ht="12.5" x14ac:dyDescent="0.25">
      <c r="A1893" t="str">
        <f ca="1">IFERROR(__xludf.DUMMYFUNCTION("""COMPUTED_VALUE"""),"Enniatin A1")</f>
        <v>Enniatin A1</v>
      </c>
      <c r="B1893" t="str">
        <f ca="1">IFERROR(__xludf.DUMMYFUNCTION("""COMPUTED_VALUE"""),"RF-00000212-TOX")</f>
        <v>RF-00000212-TOX</v>
      </c>
    </row>
    <row r="1894" spans="1:2" ht="12.5" x14ac:dyDescent="0.25">
      <c r="A1894" t="str">
        <f ca="1">IFERROR(__xludf.DUMMYFUNCTION("""COMPUTED_VALUE"""),"Enniatin B")</f>
        <v>Enniatin B</v>
      </c>
      <c r="B1894" t="str">
        <f ca="1">IFERROR(__xludf.DUMMYFUNCTION("""COMPUTED_VALUE"""),"RF-00000213-TOX")</f>
        <v>RF-00000213-TOX</v>
      </c>
    </row>
    <row r="1895" spans="1:2" ht="12.5" x14ac:dyDescent="0.25">
      <c r="A1895" t="str">
        <f ca="1">IFERROR(__xludf.DUMMYFUNCTION("""COMPUTED_VALUE"""),"Enniatin B1")</f>
        <v>Enniatin B1</v>
      </c>
      <c r="B1895" t="str">
        <f ca="1">IFERROR(__xludf.DUMMYFUNCTION("""COMPUTED_VALUE"""),"RF-00000214-TOX")</f>
        <v>RF-00000214-TOX</v>
      </c>
    </row>
    <row r="1896" spans="1:2" ht="12.5" x14ac:dyDescent="0.25">
      <c r="A1896" t="str">
        <f ca="1">IFERROR(__xludf.DUMMYFUNCTION("""COMPUTED_VALUE"""),"Enniatin D")</f>
        <v>Enniatin D</v>
      </c>
      <c r="B1896" t="str">
        <f ca="1">IFERROR(__xludf.DUMMYFUNCTION("""COMPUTED_VALUE"""),"RF-00000216-TOX")</f>
        <v>RF-00000216-TOX</v>
      </c>
    </row>
    <row r="1897" spans="1:2" ht="12.5" x14ac:dyDescent="0.25">
      <c r="A1897" t="str">
        <f ca="1">IFERROR(__xludf.DUMMYFUNCTION("""COMPUTED_VALUE"""),"Enniatin E")</f>
        <v>Enniatin E</v>
      </c>
      <c r="B1897" t="str">
        <f ca="1">IFERROR(__xludf.DUMMYFUNCTION("""COMPUTED_VALUE"""),"RF-00000217-TOX")</f>
        <v>RF-00000217-TOX</v>
      </c>
    </row>
    <row r="1898" spans="1:2" ht="12.5" x14ac:dyDescent="0.25">
      <c r="A1898" t="str">
        <f ca="1">IFERROR(__xludf.DUMMYFUNCTION("""COMPUTED_VALUE"""),"Enniatin F")</f>
        <v>Enniatin F</v>
      </c>
      <c r="B1898" t="str">
        <f ca="1">IFERROR(__xludf.DUMMYFUNCTION("""COMPUTED_VALUE"""),"RF-00000218-TOX")</f>
        <v>RF-00000218-TOX</v>
      </c>
    </row>
    <row r="1899" spans="1:2" ht="12.5" x14ac:dyDescent="0.25">
      <c r="A1899" t="str">
        <f ca="1">IFERROR(__xludf.DUMMYFUNCTION("""COMPUTED_VALUE"""),"Enniatins")</f>
        <v>Enniatins</v>
      </c>
      <c r="B1899" t="str">
        <f ca="1">IFERROR(__xludf.DUMMYFUNCTION("""COMPUTED_VALUE"""),"RF-00000209-TOX")</f>
        <v>RF-00000209-TOX</v>
      </c>
    </row>
    <row r="1900" spans="1:2" ht="12.5" x14ac:dyDescent="0.25">
      <c r="A1900" t="str">
        <f ca="1">IFERROR(__xludf.DUMMYFUNCTION("""COMPUTED_VALUE"""),"Enrofloxacin")</f>
        <v>Enrofloxacin</v>
      </c>
      <c r="B1900" t="str">
        <f ca="1">IFERROR(__xludf.DUMMYFUNCTION("""COMPUTED_VALUE"""),"RF-00000551-VET")</f>
        <v>RF-00000551-VET</v>
      </c>
    </row>
    <row r="1901" spans="1:2" ht="12.5" x14ac:dyDescent="0.25">
      <c r="A1901" t="str">
        <f ca="1">IFERROR(__xludf.DUMMYFUNCTION("""COMPUTED_VALUE"""),"Entamoeba")</f>
        <v>Entamoeba</v>
      </c>
      <c r="B1901" t="str">
        <f ca="1">IFERROR(__xludf.DUMMYFUNCTION("""COMPUTED_VALUE"""),"RF-00000106-MCG")</f>
        <v>RF-00000106-MCG</v>
      </c>
    </row>
    <row r="1902" spans="1:2" ht="12.5" x14ac:dyDescent="0.25">
      <c r="A1902" t="str">
        <f ca="1">IFERROR(__xludf.DUMMYFUNCTION("""COMPUTED_VALUE"""),"Entamoeba histolytica")</f>
        <v>Entamoeba histolytica</v>
      </c>
      <c r="B1902" t="str">
        <f ca="1">IFERROR(__xludf.DUMMYFUNCTION("""COMPUTED_VALUE"""),"RF-00000107-MCG")</f>
        <v>RF-00000107-MCG</v>
      </c>
    </row>
    <row r="1903" spans="1:2" ht="12.5" x14ac:dyDescent="0.25">
      <c r="A1903" t="str">
        <f ca="1">IFERROR(__xludf.DUMMYFUNCTION("""COMPUTED_VALUE"""),"Entamoeba spp.,  unspecified")</f>
        <v>Entamoeba spp.,  unspecified</v>
      </c>
      <c r="B1903" t="str">
        <f ca="1">IFERROR(__xludf.DUMMYFUNCTION("""COMPUTED_VALUE"""),"RF-00000108-MCG")</f>
        <v>RF-00000108-MCG</v>
      </c>
    </row>
    <row r="1904" spans="1:2" ht="12.5" x14ac:dyDescent="0.25">
      <c r="A1904" t="str">
        <f ca="1">IFERROR(__xludf.DUMMYFUNCTION("""COMPUTED_VALUE"""),"Enterococcus")</f>
        <v>Enterococcus</v>
      </c>
      <c r="B1904" t="str">
        <f ca="1">IFERROR(__xludf.DUMMYFUNCTION("""COMPUTED_VALUE"""),"RF-00002665-MCG")</f>
        <v>RF-00002665-MCG</v>
      </c>
    </row>
    <row r="1905" spans="1:2" ht="12.5" x14ac:dyDescent="0.25">
      <c r="A1905" t="str">
        <f ca="1">IFERROR(__xludf.DUMMYFUNCTION("""COMPUTED_VALUE"""),"Enterococcus  spp., unspecified")</f>
        <v>Enterococcus  spp., unspecified</v>
      </c>
      <c r="B1905" t="str">
        <f ca="1">IFERROR(__xludf.DUMMYFUNCTION("""COMPUTED_VALUE"""),"RF-00000119-MCG")</f>
        <v>RF-00000119-MCG</v>
      </c>
    </row>
    <row r="1906" spans="1:2" ht="12.5" x14ac:dyDescent="0.25">
      <c r="A1906" t="str">
        <f ca="1">IFERROR(__xludf.DUMMYFUNCTION("""COMPUTED_VALUE"""),"Enterococcus faecalis")</f>
        <v>Enterococcus faecalis</v>
      </c>
      <c r="B1906" t="str">
        <f ca="1">IFERROR(__xludf.DUMMYFUNCTION("""COMPUTED_VALUE"""),"RF-00000118-MCG")</f>
        <v>RF-00000118-MCG</v>
      </c>
    </row>
    <row r="1907" spans="1:2" ht="12.5" x14ac:dyDescent="0.25">
      <c r="A1907" t="str">
        <f ca="1">IFERROR(__xludf.DUMMYFUNCTION("""COMPUTED_VALUE"""),"Enterococcus faecium")</f>
        <v>Enterococcus faecium</v>
      </c>
      <c r="B1907" t="str">
        <f ca="1">IFERROR(__xludf.DUMMYFUNCTION("""COMPUTED_VALUE"""),"RF-00000117-MCG")</f>
        <v>RF-00000117-MCG</v>
      </c>
    </row>
    <row r="1908" spans="1:2" ht="12.5" x14ac:dyDescent="0.25">
      <c r="A1908" t="str">
        <f ca="1">IFERROR(__xludf.DUMMYFUNCTION("""COMPUTED_VALUE"""),"Enterococcus, non-pathogenic")</f>
        <v>Enterococcus, non-pathogenic</v>
      </c>
      <c r="B1908" t="str">
        <f ca="1">IFERROR(__xludf.DUMMYFUNCTION("""COMPUTED_VALUE"""),"RF-00000112-MCG")</f>
        <v>RF-00000112-MCG</v>
      </c>
    </row>
    <row r="1909" spans="1:2" ht="12.5" x14ac:dyDescent="0.25">
      <c r="A1909" t="str">
        <f ca="1">IFERROR(__xludf.DUMMYFUNCTION("""COMPUTED_VALUE"""),"Enterococcus, non-pathogenic - E. Faecalis")</f>
        <v>Enterococcus, non-pathogenic - E. Faecalis</v>
      </c>
      <c r="B1909" t="str">
        <f ca="1">IFERROR(__xludf.DUMMYFUNCTION("""COMPUTED_VALUE"""),"RF-00000113-MCG")</f>
        <v>RF-00000113-MCG</v>
      </c>
    </row>
    <row r="1910" spans="1:2" ht="12.5" x14ac:dyDescent="0.25">
      <c r="A1910" t="str">
        <f ca="1">IFERROR(__xludf.DUMMYFUNCTION("""COMPUTED_VALUE"""),"Enterococcus, non-pathogenic - E. faecium")</f>
        <v>Enterococcus, non-pathogenic - E. faecium</v>
      </c>
      <c r="B1910" t="str">
        <f ca="1">IFERROR(__xludf.DUMMYFUNCTION("""COMPUTED_VALUE"""),"RF-00000114-MCG")</f>
        <v>RF-00000114-MCG</v>
      </c>
    </row>
    <row r="1911" spans="1:2" ht="12.5" x14ac:dyDescent="0.25">
      <c r="A1911" t="str">
        <f ca="1">IFERROR(__xludf.DUMMYFUNCTION("""COMPUTED_VALUE"""),"Enterococcus, non-pathogenic - Enterococcus  spp., unspecified")</f>
        <v>Enterococcus, non-pathogenic - Enterococcus  spp., unspecified</v>
      </c>
      <c r="B1911" t="str">
        <f ca="1">IFERROR(__xludf.DUMMYFUNCTION("""COMPUTED_VALUE"""),"RF-00000115-MCG")</f>
        <v>RF-00000115-MCG</v>
      </c>
    </row>
    <row r="1912" spans="1:2" ht="12.5" x14ac:dyDescent="0.25">
      <c r="A1912" t="str">
        <f ca="1">IFERROR(__xludf.DUMMYFUNCTION("""COMPUTED_VALUE"""),"Enterococcus, pathogenic")</f>
        <v>Enterococcus, pathogenic</v>
      </c>
      <c r="B1912" t="str">
        <f ca="1">IFERROR(__xludf.DUMMYFUNCTION("""COMPUTED_VALUE"""),"RF-00000116-MCG")</f>
        <v>RF-00000116-MCG</v>
      </c>
    </row>
    <row r="1913" spans="1:2" ht="12.5" x14ac:dyDescent="0.25">
      <c r="A1913" t="str">
        <f ca="1">IFERROR(__xludf.DUMMYFUNCTION("""COMPUTED_VALUE"""),"Enterococcus, pathogenic - E. faecalis")</f>
        <v>Enterococcus, pathogenic - E. faecalis</v>
      </c>
      <c r="B1913" t="str">
        <f ca="1">IFERROR(__xludf.DUMMYFUNCTION("""COMPUTED_VALUE"""),"RF-00004076-MCG")</f>
        <v>RF-00004076-MCG</v>
      </c>
    </row>
    <row r="1914" spans="1:2" ht="12.5" x14ac:dyDescent="0.25">
      <c r="A1914" t="str">
        <f ca="1">IFERROR(__xludf.DUMMYFUNCTION("""COMPUTED_VALUE"""),"Enterococcus, pathogenic - E. faecium")</f>
        <v>Enterococcus, pathogenic - E. faecium</v>
      </c>
      <c r="B1914" t="str">
        <f ca="1">IFERROR(__xludf.DUMMYFUNCTION("""COMPUTED_VALUE"""),"RF-00004078-MCG")</f>
        <v>RF-00004078-MCG</v>
      </c>
    </row>
    <row r="1915" spans="1:2" ht="12.5" x14ac:dyDescent="0.25">
      <c r="A1915" t="str">
        <f ca="1">IFERROR(__xludf.DUMMYFUNCTION("""COMPUTED_VALUE"""),"Enterococcus, pathogenic - Enterococcus  spp., unspecified")</f>
        <v>Enterococcus, pathogenic - Enterococcus  spp., unspecified</v>
      </c>
      <c r="B1915" t="str">
        <f ca="1">IFERROR(__xludf.DUMMYFUNCTION("""COMPUTED_VALUE"""),"RF-00004080-MCG")</f>
        <v>RF-00004080-MCG</v>
      </c>
    </row>
    <row r="1916" spans="1:2" ht="12.5" x14ac:dyDescent="0.25">
      <c r="A1916" t="str">
        <f ca="1">IFERROR(__xludf.DUMMYFUNCTION("""COMPUTED_VALUE"""),"Enteroinvasive E. coli (EIEC)")</f>
        <v>Enteroinvasive E. coli (EIEC)</v>
      </c>
      <c r="B1916" t="str">
        <f ca="1">IFERROR(__xludf.DUMMYFUNCTION("""COMPUTED_VALUE"""),"RF-00000130-MCG")</f>
        <v>RF-00000130-MCG</v>
      </c>
    </row>
    <row r="1917" spans="1:2" ht="12.5" x14ac:dyDescent="0.25">
      <c r="A1917" t="str">
        <f ca="1">IFERROR(__xludf.DUMMYFUNCTION("""COMPUTED_VALUE"""),"Enteropathogenic E. coli (EPEC)")</f>
        <v>Enteropathogenic E. coli (EPEC)</v>
      </c>
      <c r="B1917" t="str">
        <f ca="1">IFERROR(__xludf.DUMMYFUNCTION("""COMPUTED_VALUE"""),"RF-00000128-MCG")</f>
        <v>RF-00000128-MCG</v>
      </c>
    </row>
    <row r="1918" spans="1:2" ht="12.5" x14ac:dyDescent="0.25">
      <c r="A1918" t="str">
        <f ca="1">IFERROR(__xludf.DUMMYFUNCTION("""COMPUTED_VALUE"""),"Enterotoxigenic E. coli (ETEC)")</f>
        <v>Enterotoxigenic E. coli (ETEC)</v>
      </c>
      <c r="B1918" t="str">
        <f ca="1">IFERROR(__xludf.DUMMYFUNCTION("""COMPUTED_VALUE"""),"RF-00000129-MCG")</f>
        <v>RF-00000129-MCG</v>
      </c>
    </row>
    <row r="1919" spans="1:2" ht="12.5" x14ac:dyDescent="0.25">
      <c r="A1919" t="str">
        <f ca="1">IFERROR(__xludf.DUMMYFUNCTION("""COMPUTED_VALUE"""),"Enterotoxin A")</f>
        <v>Enterotoxin A</v>
      </c>
      <c r="B1919" t="str">
        <f ca="1">IFERROR(__xludf.DUMMYFUNCTION("""COMPUTED_VALUE"""),"RF-00002486-MCG")</f>
        <v>RF-00002486-MCG</v>
      </c>
    </row>
    <row r="1920" spans="1:2" ht="12.5" x14ac:dyDescent="0.25">
      <c r="A1920" t="str">
        <f ca="1">IFERROR(__xludf.DUMMYFUNCTION("""COMPUTED_VALUE"""),"Enterotoxin B")</f>
        <v>Enterotoxin B</v>
      </c>
      <c r="B1920" t="str">
        <f ca="1">IFERROR(__xludf.DUMMYFUNCTION("""COMPUTED_VALUE"""),"RF-00002487-MCG")</f>
        <v>RF-00002487-MCG</v>
      </c>
    </row>
    <row r="1921" spans="1:2" ht="12.5" x14ac:dyDescent="0.25">
      <c r="A1921" t="str">
        <f ca="1">IFERROR(__xludf.DUMMYFUNCTION("""COMPUTED_VALUE"""),"Enterotoxin C")</f>
        <v>Enterotoxin C</v>
      </c>
      <c r="B1921" t="str">
        <f ca="1">IFERROR(__xludf.DUMMYFUNCTION("""COMPUTED_VALUE"""),"RF-00002489-MCG")</f>
        <v>RF-00002489-MCG</v>
      </c>
    </row>
    <row r="1922" spans="1:2" ht="12.5" x14ac:dyDescent="0.25">
      <c r="A1922" t="str">
        <f ca="1">IFERROR(__xludf.DUMMYFUNCTION("""COMPUTED_VALUE"""),"Enterotoxin D")</f>
        <v>Enterotoxin D</v>
      </c>
      <c r="B1922" t="str">
        <f ca="1">IFERROR(__xludf.DUMMYFUNCTION("""COMPUTED_VALUE"""),"RF-00002491-MCG")</f>
        <v>RF-00002491-MCG</v>
      </c>
    </row>
    <row r="1923" spans="1:2" ht="12.5" x14ac:dyDescent="0.25">
      <c r="A1923" t="str">
        <f ca="1">IFERROR(__xludf.DUMMYFUNCTION("""COMPUTED_VALUE"""),"Enterotoxin E")</f>
        <v>Enterotoxin E</v>
      </c>
      <c r="B1923" t="str">
        <f ca="1">IFERROR(__xludf.DUMMYFUNCTION("""COMPUTED_VALUE"""),"RF-00002488-MCG")</f>
        <v>RF-00002488-MCG</v>
      </c>
    </row>
    <row r="1924" spans="1:2" ht="12.5" x14ac:dyDescent="0.25">
      <c r="A1924" t="str">
        <f ca="1">IFERROR(__xludf.DUMMYFUNCTION("""COMPUTED_VALUE"""),"Enterotoxin H")</f>
        <v>Enterotoxin H</v>
      </c>
      <c r="B1924" t="str">
        <f ca="1">IFERROR(__xludf.DUMMYFUNCTION("""COMPUTED_VALUE"""),"RF-00002490-MCG")</f>
        <v>RF-00002490-MCG</v>
      </c>
    </row>
    <row r="1925" spans="1:2" ht="12.5" x14ac:dyDescent="0.25">
      <c r="A1925" t="str">
        <f ca="1">IFERROR(__xludf.DUMMYFUNCTION("""COMPUTED_VALUE"""),"Enterovirus")</f>
        <v>Enterovirus</v>
      </c>
      <c r="B1925" t="str">
        <f ca="1">IFERROR(__xludf.DUMMYFUNCTION("""COMPUTED_VALUE"""),"RF-00000120-MCG")</f>
        <v>RF-00000120-MCG</v>
      </c>
    </row>
    <row r="1926" spans="1:2" ht="12.5" x14ac:dyDescent="0.25">
      <c r="A1926" t="str">
        <f ca="1">IFERROR(__xludf.DUMMYFUNCTION("""COMPUTED_VALUE"""),"Enzymatically hydrolysed carboxy methyl cellulose, Enzymatically hydrolysed cellulose gum")</f>
        <v>Enzymatically hydrolysed carboxy methyl cellulose, Enzymatically hydrolysed cellulose gum</v>
      </c>
      <c r="B1926" t="str">
        <f ca="1">IFERROR(__xludf.DUMMYFUNCTION("""COMPUTED_VALUE"""),"RF-00000122-ADD")</f>
        <v>RF-00000122-ADD</v>
      </c>
    </row>
    <row r="1927" spans="1:2" ht="12.5" x14ac:dyDescent="0.25">
      <c r="A1927" t="str">
        <f ca="1">IFERROR(__xludf.DUMMYFUNCTION("""COMPUTED_VALUE"""),"Epi-Chlortetracycline")</f>
        <v>Epi-Chlortetracycline</v>
      </c>
      <c r="B1927" t="str">
        <f ca="1">IFERROR(__xludf.DUMMYFUNCTION("""COMPUTED_VALUE"""),"RF-00000579-VET")</f>
        <v>RF-00000579-VET</v>
      </c>
    </row>
    <row r="1928" spans="1:2" ht="12.5" x14ac:dyDescent="0.25">
      <c r="A1928" t="str">
        <f ca="1">IFERROR(__xludf.DUMMYFUNCTION("""COMPUTED_VALUE"""),"Epi-domoic acid")</f>
        <v>Epi-domoic acid</v>
      </c>
      <c r="B1928" t="str">
        <f ca="1">IFERROR(__xludf.DUMMYFUNCTION("""COMPUTED_VALUE"""),"RF-00000053-TOX")</f>
        <v>RF-00000053-TOX</v>
      </c>
    </row>
    <row r="1929" spans="1:2" ht="12.5" x14ac:dyDescent="0.25">
      <c r="A1929" t="str">
        <f ca="1">IFERROR(__xludf.DUMMYFUNCTION("""COMPUTED_VALUE"""),"Epi-Oxytetracycline")</f>
        <v>Epi-Oxytetracycline</v>
      </c>
      <c r="B1929" t="str">
        <f ca="1">IFERROR(__xludf.DUMMYFUNCTION("""COMPUTED_VALUE"""),"RF-00000586-VET")</f>
        <v>RF-00000586-VET</v>
      </c>
    </row>
    <row r="1930" spans="1:2" ht="12.5" x14ac:dyDescent="0.25">
      <c r="A1930" t="str">
        <f ca="1">IFERROR(__xludf.DUMMYFUNCTION("""COMPUTED_VALUE"""),"Epi-Tetracycline")</f>
        <v>Epi-Tetracycline</v>
      </c>
      <c r="B1930" t="str">
        <f ca="1">IFERROR(__xludf.DUMMYFUNCTION("""COMPUTED_VALUE"""),"RF-00000588-VET")</f>
        <v>RF-00000588-VET</v>
      </c>
    </row>
    <row r="1931" spans="1:2" ht="12.5" x14ac:dyDescent="0.25">
      <c r="A1931" t="str">
        <f ca="1">IFERROR(__xludf.DUMMYFUNCTION("""COMPUTED_VALUE"""),"Epiandrosterone")</f>
        <v>Epiandrosterone</v>
      </c>
      <c r="B1931" t="str">
        <f ca="1">IFERROR(__xludf.DUMMYFUNCTION("""COMPUTED_VALUE"""),"RF-00000438-VET")</f>
        <v>RF-00000438-VET</v>
      </c>
    </row>
    <row r="1932" spans="1:2" ht="12.5" x14ac:dyDescent="0.25">
      <c r="A1932" t="str">
        <f ca="1">IFERROR(__xludf.DUMMYFUNCTION("""COMPUTED_VALUE"""),"epicatechin")</f>
        <v>epicatechin</v>
      </c>
      <c r="B1932" t="str">
        <f ca="1">IFERROR(__xludf.DUMMYFUNCTION("""COMPUTED_VALUE"""),"RF-00000081-NTR")</f>
        <v>RF-00000081-NTR</v>
      </c>
    </row>
    <row r="1933" spans="1:2" ht="12.5" x14ac:dyDescent="0.25">
      <c r="A1933" t="str">
        <f ca="1">IFERROR(__xludf.DUMMYFUNCTION("""COMPUTED_VALUE"""),"Epinandrolone (19-Norepitestosterone)")</f>
        <v>Epinandrolone (19-Norepitestosterone)</v>
      </c>
      <c r="B1933" t="str">
        <f ca="1">IFERROR(__xludf.DUMMYFUNCTION("""COMPUTED_VALUE"""),"RF-00000428-VET")</f>
        <v>RF-00000428-VET</v>
      </c>
    </row>
    <row r="1934" spans="1:2" ht="12.5" x14ac:dyDescent="0.25">
      <c r="A1934" t="str">
        <f ca="1">IFERROR(__xludf.DUMMYFUNCTION("""COMPUTED_VALUE"""),"Epitrenbolone")</f>
        <v>Epitrenbolone</v>
      </c>
      <c r="B1934" t="str">
        <f ca="1">IFERROR(__xludf.DUMMYFUNCTION("""COMPUTED_VALUE"""),"RF-00000434-VET")</f>
        <v>RF-00000434-VET</v>
      </c>
    </row>
    <row r="1935" spans="1:2" ht="12.5" x14ac:dyDescent="0.25">
      <c r="A1935" t="str">
        <f ca="1">IFERROR(__xludf.DUMMYFUNCTION("""COMPUTED_VALUE"""),"EPN")</f>
        <v>EPN</v>
      </c>
      <c r="B1935" t="str">
        <f ca="1">IFERROR(__xludf.DUMMYFUNCTION("""COMPUTED_VALUE"""),"RF-0654-001-PPP")</f>
        <v>RF-0654-001-PPP</v>
      </c>
    </row>
    <row r="1936" spans="1:2" ht="12.5" x14ac:dyDescent="0.25">
      <c r="A1936" t="str">
        <f ca="1">IFERROR(__xludf.DUMMYFUNCTION("""COMPUTED_VALUE"""),"Epoxiconazole")</f>
        <v>Epoxiconazole</v>
      </c>
      <c r="B1936" t="str">
        <f ca="1">IFERROR(__xludf.DUMMYFUNCTION("""COMPUTED_VALUE"""),"RF-0157-001-PPP")</f>
        <v>RF-0157-001-PPP</v>
      </c>
    </row>
    <row r="1937" spans="1:2" ht="12.5" x14ac:dyDescent="0.25">
      <c r="A1937" t="str">
        <f ca="1">IFERROR(__xludf.DUMMYFUNCTION("""COMPUTED_VALUE"""),"Eprinomectin")</f>
        <v>Eprinomectin</v>
      </c>
      <c r="B1937" t="str">
        <f ca="1">IFERROR(__xludf.DUMMYFUNCTION("""COMPUTED_VALUE"""),"RF-00000006-VET")</f>
        <v>RF-00000006-VET</v>
      </c>
    </row>
    <row r="1938" spans="1:2" ht="12.5" x14ac:dyDescent="0.25">
      <c r="A1938" t="str">
        <f ca="1">IFERROR(__xludf.DUMMYFUNCTION("""COMPUTED_VALUE"""),"Eprinomectin B1a")</f>
        <v>Eprinomectin B1a</v>
      </c>
      <c r="B1938" t="str">
        <f ca="1">IFERROR(__xludf.DUMMYFUNCTION("""COMPUTED_VALUE"""),"RF-00000003-VET")</f>
        <v>RF-00000003-VET</v>
      </c>
    </row>
    <row r="1939" spans="1:2" ht="12.5" x14ac:dyDescent="0.25">
      <c r="A1939" t="str">
        <f ca="1">IFERROR(__xludf.DUMMYFUNCTION("""COMPUTED_VALUE"""),"EPTC (ethyl dipropylthiocarbamate)")</f>
        <v>EPTC (ethyl dipropylthiocarbamate)</v>
      </c>
      <c r="B1939" t="str">
        <f ca="1">IFERROR(__xludf.DUMMYFUNCTION("""COMPUTED_VALUE"""),"RF-0158-001-PPP")</f>
        <v>RF-0158-001-PPP</v>
      </c>
    </row>
    <row r="1940" spans="1:2" ht="12.5" x14ac:dyDescent="0.25">
      <c r="A1940" t="str">
        <f ca="1">IFERROR(__xludf.DUMMYFUNCTION("""COMPUTED_VALUE"""),"Equilenin")</f>
        <v>Equilenin</v>
      </c>
      <c r="B1940" t="str">
        <f ca="1">IFERROR(__xludf.DUMMYFUNCTION("""COMPUTED_VALUE"""),"RF-00000441-VET")</f>
        <v>RF-00000441-VET</v>
      </c>
    </row>
    <row r="1941" spans="1:2" ht="12.5" x14ac:dyDescent="0.25">
      <c r="A1941" t="str">
        <f ca="1">IFERROR(__xludf.DUMMYFUNCTION("""COMPUTED_VALUE"""),"Equilenin-16-Hydroxy")</f>
        <v>Equilenin-16-Hydroxy</v>
      </c>
      <c r="B1941" t="str">
        <f ca="1">IFERROR(__xludf.DUMMYFUNCTION("""COMPUTED_VALUE"""),"RF-00000371-VET")</f>
        <v>RF-00000371-VET</v>
      </c>
    </row>
    <row r="1942" spans="1:2" ht="12.5" x14ac:dyDescent="0.25">
      <c r="A1942" t="str">
        <f ca="1">IFERROR(__xludf.DUMMYFUNCTION("""COMPUTED_VALUE"""),"Equilenin-17-Dihydro")</f>
        <v>Equilenin-17-Dihydro</v>
      </c>
      <c r="B1942" t="str">
        <f ca="1">IFERROR(__xludf.DUMMYFUNCTION("""COMPUTED_VALUE"""),"RF-00000399-VET")</f>
        <v>RF-00000399-VET</v>
      </c>
    </row>
    <row r="1943" spans="1:2" ht="12.5" x14ac:dyDescent="0.25">
      <c r="A1943" t="str">
        <f ca="1">IFERROR(__xludf.DUMMYFUNCTION("""COMPUTED_VALUE"""),"Equilenin-4-Hydroxy")</f>
        <v>Equilenin-4-Hydroxy</v>
      </c>
      <c r="B1943" t="str">
        <f ca="1">IFERROR(__xludf.DUMMYFUNCTION("""COMPUTED_VALUE"""),"RF-00000366-VET")</f>
        <v>RF-00000366-VET</v>
      </c>
    </row>
    <row r="1944" spans="1:2" ht="12.5" x14ac:dyDescent="0.25">
      <c r="A1944" t="str">
        <f ca="1">IFERROR(__xludf.DUMMYFUNCTION("""COMPUTED_VALUE"""),"Equilin")</f>
        <v>Equilin</v>
      </c>
      <c r="B1944" t="str">
        <f ca="1">IFERROR(__xludf.DUMMYFUNCTION("""COMPUTED_VALUE"""),"RF-00000365-VET")</f>
        <v>RF-00000365-VET</v>
      </c>
    </row>
    <row r="1945" spans="1:2" ht="12.5" x14ac:dyDescent="0.25">
      <c r="A1945" t="str">
        <f ca="1">IFERROR(__xludf.DUMMYFUNCTION("""COMPUTED_VALUE"""),"Ergine")</f>
        <v>Ergine</v>
      </c>
      <c r="B1945" t="str">
        <f ca="1">IFERROR(__xludf.DUMMYFUNCTION("""COMPUTED_VALUE"""),"RF-00000385-TOX")</f>
        <v>RF-00000385-TOX</v>
      </c>
    </row>
    <row r="1946" spans="1:2" ht="12.5" x14ac:dyDescent="0.25">
      <c r="A1946" t="str">
        <f ca="1">IFERROR(__xludf.DUMMYFUNCTION("""COMPUTED_VALUE"""),"Erginine")</f>
        <v>Erginine</v>
      </c>
      <c r="B1946" t="str">
        <f ca="1">IFERROR(__xludf.DUMMYFUNCTION("""COMPUTED_VALUE"""),"RF-00000386-TOX")</f>
        <v>RF-00000386-TOX</v>
      </c>
    </row>
    <row r="1947" spans="1:2" ht="12.5" x14ac:dyDescent="0.25">
      <c r="A1947" t="str">
        <f ca="1">IFERROR(__xludf.DUMMYFUNCTION("""COMPUTED_VALUE"""),"ergocalciferol")</f>
        <v>ergocalciferol</v>
      </c>
      <c r="B1947" t="str">
        <f ca="1">IFERROR(__xludf.DUMMYFUNCTION("""COMPUTED_VALUE"""),"RF-00000082-NTR")</f>
        <v>RF-00000082-NTR</v>
      </c>
    </row>
    <row r="1948" spans="1:2" ht="12.5" x14ac:dyDescent="0.25">
      <c r="A1948" t="str">
        <f ca="1">IFERROR(__xludf.DUMMYFUNCTION("""COMPUTED_VALUE"""),"Ergocornine")</f>
        <v>Ergocornine</v>
      </c>
      <c r="B1948" t="str">
        <f ca="1">IFERROR(__xludf.DUMMYFUNCTION("""COMPUTED_VALUE"""),"RF-00000136-TOX")</f>
        <v>RF-00000136-TOX</v>
      </c>
    </row>
    <row r="1949" spans="1:2" ht="12.5" x14ac:dyDescent="0.25">
      <c r="A1949" t="str">
        <f ca="1">IFERROR(__xludf.DUMMYFUNCTION("""COMPUTED_VALUE"""),"Ergocorninine")</f>
        <v>Ergocorninine</v>
      </c>
      <c r="B1949" t="str">
        <f ca="1">IFERROR(__xludf.DUMMYFUNCTION("""COMPUTED_VALUE"""),"RF-00000143-TOX")</f>
        <v>RF-00000143-TOX</v>
      </c>
    </row>
    <row r="1950" spans="1:2" ht="12.5" x14ac:dyDescent="0.25">
      <c r="A1950" t="str">
        <f ca="1">IFERROR(__xludf.DUMMYFUNCTION("""COMPUTED_VALUE"""),"Ergocristine")</f>
        <v>Ergocristine</v>
      </c>
      <c r="B1950" t="str">
        <f ca="1">IFERROR(__xludf.DUMMYFUNCTION("""COMPUTED_VALUE"""),"RF-00000140-TOX")</f>
        <v>RF-00000140-TOX</v>
      </c>
    </row>
    <row r="1951" spans="1:2" ht="12.5" x14ac:dyDescent="0.25">
      <c r="A1951" t="str">
        <f ca="1">IFERROR(__xludf.DUMMYFUNCTION("""COMPUTED_VALUE"""),"Ergocristinine")</f>
        <v>Ergocristinine</v>
      </c>
      <c r="B1951" t="str">
        <f ca="1">IFERROR(__xludf.DUMMYFUNCTION("""COMPUTED_VALUE"""),"RF-00000147-TOX")</f>
        <v>RF-00000147-TOX</v>
      </c>
    </row>
    <row r="1952" spans="1:2" ht="12.5" x14ac:dyDescent="0.25">
      <c r="A1952" t="str">
        <f ca="1">IFERROR(__xludf.DUMMYFUNCTION("""COMPUTED_VALUE"""),"Ergocryptine (sum of alpha and beta epimers)")</f>
        <v>Ergocryptine (sum of alpha and beta epimers)</v>
      </c>
      <c r="B1952" t="str">
        <f ca="1">IFERROR(__xludf.DUMMYFUNCTION("""COMPUTED_VALUE"""),"RF-00000256-TOX")</f>
        <v>RF-00000256-TOX</v>
      </c>
    </row>
    <row r="1953" spans="1:2" ht="12.5" x14ac:dyDescent="0.25">
      <c r="A1953" t="str">
        <f ca="1">IFERROR(__xludf.DUMMYFUNCTION("""COMPUTED_VALUE"""),"Ergocryptinine (sum of alpha and beta epimers)")</f>
        <v>Ergocryptinine (sum of alpha and beta epimers)</v>
      </c>
      <c r="B1953" t="str">
        <f ca="1">IFERROR(__xludf.DUMMYFUNCTION("""COMPUTED_VALUE"""),"RF-00000257-TOX")</f>
        <v>RF-00000257-TOX</v>
      </c>
    </row>
    <row r="1954" spans="1:2" ht="12.5" x14ac:dyDescent="0.25">
      <c r="A1954" t="str">
        <f ca="1">IFERROR(__xludf.DUMMYFUNCTION("""COMPUTED_VALUE"""),"Ergometrine")</f>
        <v>Ergometrine</v>
      </c>
      <c r="B1954" t="str">
        <f ca="1">IFERROR(__xludf.DUMMYFUNCTION("""COMPUTED_VALUE"""),"RF-00000134-TOX")</f>
        <v>RF-00000134-TOX</v>
      </c>
    </row>
    <row r="1955" spans="1:2" ht="12.5" x14ac:dyDescent="0.25">
      <c r="A1955" t="str">
        <f ca="1">IFERROR(__xludf.DUMMYFUNCTION("""COMPUTED_VALUE"""),"Ergometrinine")</f>
        <v>Ergometrinine</v>
      </c>
      <c r="B1955" t="str">
        <f ca="1">IFERROR(__xludf.DUMMYFUNCTION("""COMPUTED_VALUE"""),"RF-00000141-TOX")</f>
        <v>RF-00000141-TOX</v>
      </c>
    </row>
    <row r="1956" spans="1:2" ht="12.5" x14ac:dyDescent="0.25">
      <c r="A1956" t="str">
        <f ca="1">IFERROR(__xludf.DUMMYFUNCTION("""COMPUTED_VALUE"""),"Ergonovine")</f>
        <v>Ergonovine</v>
      </c>
      <c r="B1956" t="str">
        <f ca="1">IFERROR(__xludf.DUMMYFUNCTION("""COMPUTED_VALUE"""),"RF-00000387-TOX")</f>
        <v>RF-00000387-TOX</v>
      </c>
    </row>
    <row r="1957" spans="1:2" ht="12.5" x14ac:dyDescent="0.25">
      <c r="A1957" t="str">
        <f ca="1">IFERROR(__xludf.DUMMYFUNCTION("""COMPUTED_VALUE"""),"Ergonovinine")</f>
        <v>Ergonovinine</v>
      </c>
      <c r="B1957" t="str">
        <f ca="1">IFERROR(__xludf.DUMMYFUNCTION("""COMPUTED_VALUE"""),"RF-00000388-TOX")</f>
        <v>RF-00000388-TOX</v>
      </c>
    </row>
    <row r="1958" spans="1:2" ht="12.5" x14ac:dyDescent="0.25">
      <c r="A1958" t="str">
        <f ca="1">IFERROR(__xludf.DUMMYFUNCTION("""COMPUTED_VALUE"""),"Ergosine")</f>
        <v>Ergosine</v>
      </c>
      <c r="B1958" t="str">
        <f ca="1">IFERROR(__xludf.DUMMYFUNCTION("""COMPUTED_VALUE"""),"RF-00000135-TOX")</f>
        <v>RF-00000135-TOX</v>
      </c>
    </row>
    <row r="1959" spans="1:2" ht="12.5" x14ac:dyDescent="0.25">
      <c r="A1959" t="str">
        <f ca="1">IFERROR(__xludf.DUMMYFUNCTION("""COMPUTED_VALUE"""),"Ergosinine")</f>
        <v>Ergosinine</v>
      </c>
      <c r="B1959" t="str">
        <f ca="1">IFERROR(__xludf.DUMMYFUNCTION("""COMPUTED_VALUE"""),"RF-00000142-TOX")</f>
        <v>RF-00000142-TOX</v>
      </c>
    </row>
    <row r="1960" spans="1:2" ht="12.5" x14ac:dyDescent="0.25">
      <c r="A1960" t="str">
        <f ca="1">IFERROR(__xludf.DUMMYFUNCTION("""COMPUTED_VALUE"""),"ergosterol")</f>
        <v>ergosterol</v>
      </c>
      <c r="B1960" t="str">
        <f ca="1">IFERROR(__xludf.DUMMYFUNCTION("""COMPUTED_VALUE"""),"RF-00000083-NTR")</f>
        <v>RF-00000083-NTR</v>
      </c>
    </row>
    <row r="1961" spans="1:2" ht="12.5" x14ac:dyDescent="0.25">
      <c r="A1961" t="str">
        <f ca="1">IFERROR(__xludf.DUMMYFUNCTION("""COMPUTED_VALUE"""),"Ergot alkaloids")</f>
        <v>Ergot alkaloids</v>
      </c>
      <c r="B1961" t="str">
        <f ca="1">IFERROR(__xludf.DUMMYFUNCTION("""COMPUTED_VALUE"""),"RF-00000133-TOX")</f>
        <v>RF-00000133-TOX</v>
      </c>
    </row>
    <row r="1962" spans="1:2" ht="12.5" x14ac:dyDescent="0.25">
      <c r="A1962" t="str">
        <f ca="1">IFERROR(__xludf.DUMMYFUNCTION("""COMPUTED_VALUE"""),"Ergotamine")</f>
        <v>Ergotamine</v>
      </c>
      <c r="B1962" t="str">
        <f ca="1">IFERROR(__xludf.DUMMYFUNCTION("""COMPUTED_VALUE"""),"RF-00000137-TOX")</f>
        <v>RF-00000137-TOX</v>
      </c>
    </row>
    <row r="1963" spans="1:2" ht="12.5" x14ac:dyDescent="0.25">
      <c r="A1963" t="str">
        <f ca="1">IFERROR(__xludf.DUMMYFUNCTION("""COMPUTED_VALUE"""),"Ergotaminine")</f>
        <v>Ergotaminine</v>
      </c>
      <c r="B1963" t="str">
        <f ca="1">IFERROR(__xludf.DUMMYFUNCTION("""COMPUTED_VALUE"""),"RF-00000144-TOX")</f>
        <v>RF-00000144-TOX</v>
      </c>
    </row>
    <row r="1964" spans="1:2" ht="12.5" x14ac:dyDescent="0.25">
      <c r="A1964" t="str">
        <f ca="1">IFERROR(__xludf.DUMMYFUNCTION("""COMPUTED_VALUE"""),"Ergovaline")</f>
        <v>Ergovaline</v>
      </c>
      <c r="B1964" t="str">
        <f ca="1">IFERROR(__xludf.DUMMYFUNCTION("""COMPUTED_VALUE"""),"RF-00000389-TOX")</f>
        <v>RF-00000389-TOX</v>
      </c>
    </row>
    <row r="1965" spans="1:2" ht="12.5" x14ac:dyDescent="0.25">
      <c r="A1965" t="str">
        <f ca="1">IFERROR(__xludf.DUMMYFUNCTION("""COMPUTED_VALUE"""),"Ertapenem")</f>
        <v>Ertapenem</v>
      </c>
      <c r="B1965" t="str">
        <f ca="1">IFERROR(__xludf.DUMMYFUNCTION("""COMPUTED_VALUE"""),"RF-00000143-PAR")</f>
        <v>RF-00000143-PAR</v>
      </c>
    </row>
    <row r="1966" spans="1:2" ht="12.5" x14ac:dyDescent="0.25">
      <c r="A1966" t="str">
        <f ca="1">IFERROR(__xludf.DUMMYFUNCTION("""COMPUTED_VALUE"""),"Eruciflorine")</f>
        <v>Eruciflorine</v>
      </c>
      <c r="B1966" t="str">
        <f ca="1">IFERROR(__xludf.DUMMYFUNCTION("""COMPUTED_VALUE"""),"RF-00000278-TOX")</f>
        <v>RF-00000278-TOX</v>
      </c>
    </row>
    <row r="1967" spans="1:2" ht="12.5" x14ac:dyDescent="0.25">
      <c r="A1967" t="str">
        <f ca="1">IFERROR(__xludf.DUMMYFUNCTION("""COMPUTED_VALUE"""),"Erucifoline")</f>
        <v>Erucifoline</v>
      </c>
      <c r="B1967" t="str">
        <f ca="1">IFERROR(__xludf.DUMMYFUNCTION("""COMPUTED_VALUE"""),"RF-00000279-TOX")</f>
        <v>RF-00000279-TOX</v>
      </c>
    </row>
    <row r="1968" spans="1:2" ht="12.5" x14ac:dyDescent="0.25">
      <c r="A1968" t="str">
        <f ca="1">IFERROR(__xludf.DUMMYFUNCTION("""COMPUTED_VALUE"""),"Erucifoline-N-oxide")</f>
        <v>Erucifoline-N-oxide</v>
      </c>
      <c r="B1968" t="str">
        <f ca="1">IFERROR(__xludf.DUMMYFUNCTION("""COMPUTED_VALUE"""),"RF-00000424-TOX")</f>
        <v>RF-00000424-TOX</v>
      </c>
    </row>
    <row r="1969" spans="1:2" ht="12.5" x14ac:dyDescent="0.25">
      <c r="A1969" t="str">
        <f ca="1">IFERROR(__xludf.DUMMYFUNCTION("""COMPUTED_VALUE"""),"Erysipelothrix")</f>
        <v>Erysipelothrix</v>
      </c>
      <c r="B1969" t="str">
        <f ca="1">IFERROR(__xludf.DUMMYFUNCTION("""COMPUTED_VALUE"""),"RF-00000122-MCG")</f>
        <v>RF-00000122-MCG</v>
      </c>
    </row>
    <row r="1970" spans="1:2" ht="12.5" x14ac:dyDescent="0.25">
      <c r="A1970" t="str">
        <f ca="1">IFERROR(__xludf.DUMMYFUNCTION("""COMPUTED_VALUE"""),"Erysipelothrix rhusiopathiae")</f>
        <v>Erysipelothrix rhusiopathiae</v>
      </c>
      <c r="B1970" t="str">
        <f ca="1">IFERROR(__xludf.DUMMYFUNCTION("""COMPUTED_VALUE"""),"RF-00000124-MCG")</f>
        <v>RF-00000124-MCG</v>
      </c>
    </row>
    <row r="1971" spans="1:2" ht="12.5" x14ac:dyDescent="0.25">
      <c r="A1971" t="str">
        <f ca="1">IFERROR(__xludf.DUMMYFUNCTION("""COMPUTED_VALUE"""),"Erysipelothrix spp., unspecified")</f>
        <v>Erysipelothrix spp., unspecified</v>
      </c>
      <c r="B1971" t="str">
        <f ca="1">IFERROR(__xludf.DUMMYFUNCTION("""COMPUTED_VALUE"""),"RF-00000123-MCG")</f>
        <v>RF-00000123-MCG</v>
      </c>
    </row>
    <row r="1972" spans="1:2" ht="12.5" x14ac:dyDescent="0.25">
      <c r="A1972" t="str">
        <f ca="1">IFERROR(__xludf.DUMMYFUNCTION("""COMPUTED_VALUE"""),"Erythorbic acid")</f>
        <v>Erythorbic acid</v>
      </c>
      <c r="B1972" t="str">
        <f ca="1">IFERROR(__xludf.DUMMYFUNCTION("""COMPUTED_VALUE"""),"RF-00000123-ADD")</f>
        <v>RF-00000123-ADD</v>
      </c>
    </row>
    <row r="1973" spans="1:2" ht="12.5" x14ac:dyDescent="0.25">
      <c r="A1973" t="str">
        <f ca="1">IFERROR(__xludf.DUMMYFUNCTION("""COMPUTED_VALUE"""),"Erythritol")</f>
        <v>Erythritol</v>
      </c>
      <c r="B1973" t="str">
        <f ca="1">IFERROR(__xludf.DUMMYFUNCTION("""COMPUTED_VALUE"""),"RF-00000124-ADD")</f>
        <v>RF-00000124-ADD</v>
      </c>
    </row>
    <row r="1974" spans="1:2" ht="12.5" x14ac:dyDescent="0.25">
      <c r="A1974" t="str">
        <f ca="1">IFERROR(__xludf.DUMMYFUNCTION("""COMPUTED_VALUE"""),"Erythromycin (Erythromycin A)")</f>
        <v>Erythromycin (Erythromycin A)</v>
      </c>
      <c r="B1974" t="str">
        <f ca="1">IFERROR(__xludf.DUMMYFUNCTION("""COMPUTED_VALUE"""),"RF-00000589-VET")</f>
        <v>RF-00000589-VET</v>
      </c>
    </row>
    <row r="1975" spans="1:2" ht="12.5" x14ac:dyDescent="0.25">
      <c r="A1975" t="str">
        <f ca="1">IFERROR(__xludf.DUMMYFUNCTION("""COMPUTED_VALUE"""),"Erythrosine B")</f>
        <v>Erythrosine B</v>
      </c>
      <c r="B1975" t="str">
        <f ca="1">IFERROR(__xludf.DUMMYFUNCTION("""COMPUTED_VALUE"""),"RF-00000125-ADD")</f>
        <v>RF-00000125-ADD</v>
      </c>
    </row>
    <row r="1976" spans="1:2" ht="12.5" x14ac:dyDescent="0.25">
      <c r="A1976" t="str">
        <f ca="1">IFERROR(__xludf.DUMMYFUNCTION("""COMPUTED_VALUE"""),"ESBL phenotype")</f>
        <v>ESBL phenotype</v>
      </c>
      <c r="B1976" t="str">
        <f ca="1">IFERROR(__xludf.DUMMYFUNCTION("""COMPUTED_VALUE"""),"RF-00000156-PAR")</f>
        <v>RF-00000156-PAR</v>
      </c>
    </row>
    <row r="1977" spans="1:2" ht="12.5" x14ac:dyDescent="0.25">
      <c r="A1977" t="str">
        <f ca="1">IFERROR(__xludf.DUMMYFUNCTION("""COMPUTED_VALUE"""),"Escherichia coli")</f>
        <v>Escherichia coli</v>
      </c>
      <c r="B1977" t="str">
        <f ca="1">IFERROR(__xludf.DUMMYFUNCTION("""COMPUTED_VALUE"""),"RF-00000126-MCG")</f>
        <v>RF-00000126-MCG</v>
      </c>
    </row>
    <row r="1978" spans="1:2" ht="12.5" x14ac:dyDescent="0.25">
      <c r="A1978" t="str">
        <f ca="1">IFERROR(__xludf.DUMMYFUNCTION("""COMPUTED_VALUE"""),"Escherichia coli O: 157 Enterotoxins")</f>
        <v>Escherichia coli O: 157 Enterotoxins</v>
      </c>
      <c r="B1978" t="str">
        <f ca="1">IFERROR(__xludf.DUMMYFUNCTION("""COMPUTED_VALUE"""),"RF-00000005-TOX")</f>
        <v>RF-00000005-TOX</v>
      </c>
    </row>
    <row r="1979" spans="1:2" ht="12.5" x14ac:dyDescent="0.25">
      <c r="A1979" t="str">
        <f ca="1">IFERROR(__xludf.DUMMYFUNCTION("""COMPUTED_VALUE"""),"Escherichia coli O128")</f>
        <v>Escherichia coli O128</v>
      </c>
      <c r="B1979" t="str">
        <f ca="1">IFERROR(__xludf.DUMMYFUNCTION("""COMPUTED_VALUE"""),"RF-00000194-MCG")</f>
        <v>RF-00000194-MCG</v>
      </c>
    </row>
    <row r="1980" spans="1:2" ht="12.5" x14ac:dyDescent="0.25">
      <c r="A1980" t="str">
        <f ca="1">IFERROR(__xludf.DUMMYFUNCTION("""COMPUTED_VALUE"""),"Escherichia coli VTEC  - O124:H28")</f>
        <v>Escherichia coli VTEC  - O124:H28</v>
      </c>
      <c r="B1980" t="str">
        <f ca="1">IFERROR(__xludf.DUMMYFUNCTION("""COMPUTED_VALUE"""),"RF-00001311-PAR")</f>
        <v>RF-00001311-PAR</v>
      </c>
    </row>
    <row r="1981" spans="1:2" ht="12.5" x14ac:dyDescent="0.25">
      <c r="A1981" t="str">
        <f ca="1">IFERROR(__xludf.DUMMYFUNCTION("""COMPUTED_VALUE"""),"Escherichia coli VTEC  O107:H4")</f>
        <v>Escherichia coli VTEC  O107:H4</v>
      </c>
      <c r="B1981" t="str">
        <f ca="1">IFERROR(__xludf.DUMMYFUNCTION("""COMPUTED_VALUE"""),"RF-00001309-PAR")</f>
        <v>RF-00001309-PAR</v>
      </c>
    </row>
    <row r="1982" spans="1:2" ht="12.5" x14ac:dyDescent="0.25">
      <c r="A1982" t="str">
        <f ca="1">IFERROR(__xludf.DUMMYFUNCTION("""COMPUTED_VALUE"""),"Escherichia coli VTEC  O107:H4 - eae negative vtx1 positive vtx2 positive")</f>
        <v>Escherichia coli VTEC  O107:H4 - eae negative vtx1 positive vtx2 positive</v>
      </c>
      <c r="B1982" t="str">
        <f ca="1">IFERROR(__xludf.DUMMYFUNCTION("""COMPUTED_VALUE"""),"RF-00001310-PAR")</f>
        <v>RF-00001310-PAR</v>
      </c>
    </row>
    <row r="1983" spans="1:2" ht="12.5" x14ac:dyDescent="0.25">
      <c r="A1983" t="str">
        <f ca="1">IFERROR(__xludf.DUMMYFUNCTION("""COMPUTED_VALUE"""),"Escherichia coli VTEC  O146:H28 - eae negative vtx1 negative vtx2 positive")</f>
        <v>Escherichia coli VTEC  O146:H28 - eae negative vtx1 negative vtx2 positive</v>
      </c>
      <c r="B1983" t="str">
        <f ca="1">IFERROR(__xludf.DUMMYFUNCTION("""COMPUTED_VALUE"""),"RF-00001301-PAR")</f>
        <v>RF-00001301-PAR</v>
      </c>
    </row>
    <row r="1984" spans="1:2" ht="12.5" x14ac:dyDescent="0.25">
      <c r="A1984" t="str">
        <f ca="1">IFERROR(__xludf.DUMMYFUNCTION("""COMPUTED_VALUE"""),"Escherichia coli VTEC  O146:HNM")</f>
        <v>Escherichia coli VTEC  O146:HNM</v>
      </c>
      <c r="B1984" t="str">
        <f ca="1">IFERROR(__xludf.DUMMYFUNCTION("""COMPUTED_VALUE"""),"RF-00001307-PAR")</f>
        <v>RF-00001307-PAR</v>
      </c>
    </row>
    <row r="1985" spans="1:2" ht="12.5" x14ac:dyDescent="0.25">
      <c r="A1985" t="str">
        <f ca="1">IFERROR(__xludf.DUMMYFUNCTION("""COMPUTED_VALUE"""),"Escherichia coli VTEC  O146:HNM - eae negative vtx1 negative vtx2 positive")</f>
        <v>Escherichia coli VTEC  O146:HNM - eae negative vtx1 negative vtx2 positive</v>
      </c>
      <c r="B1985" t="str">
        <f ca="1">IFERROR(__xludf.DUMMYFUNCTION("""COMPUTED_VALUE"""),"RF-00001308-PAR")</f>
        <v>RF-00001308-PAR</v>
      </c>
    </row>
    <row r="1986" spans="1:2" ht="12.5" x14ac:dyDescent="0.25">
      <c r="A1986" t="str">
        <f ca="1">IFERROR(__xludf.DUMMYFUNCTION("""COMPUTED_VALUE"""),"Escherichia coli VTEC  O51:H49")</f>
        <v>Escherichia coli VTEC  O51:H49</v>
      </c>
      <c r="B1986" t="str">
        <f ca="1">IFERROR(__xludf.DUMMYFUNCTION("""COMPUTED_VALUE"""),"RF-00001303-PAR")</f>
        <v>RF-00001303-PAR</v>
      </c>
    </row>
    <row r="1987" spans="1:2" ht="12.5" x14ac:dyDescent="0.25">
      <c r="A1987" t="str">
        <f ca="1">IFERROR(__xludf.DUMMYFUNCTION("""COMPUTED_VALUE"""),"Escherichia coli VTEC  O51:H49 - eae positive vtx1 negative vtx2 positive")</f>
        <v>Escherichia coli VTEC  O51:H49 - eae positive vtx1 negative vtx2 positive</v>
      </c>
      <c r="B1987" t="str">
        <f ca="1">IFERROR(__xludf.DUMMYFUNCTION("""COMPUTED_VALUE"""),"RF-00001304-PAR")</f>
        <v>RF-00001304-PAR</v>
      </c>
    </row>
    <row r="1988" spans="1:2" ht="12.5" x14ac:dyDescent="0.25">
      <c r="A1988" t="str">
        <f ca="1">IFERROR(__xludf.DUMMYFUNCTION("""COMPUTED_VALUE"""),"Escherichia coli VTEC  OX185:H16")</f>
        <v>Escherichia coli VTEC  OX185:H16</v>
      </c>
      <c r="B1988" t="str">
        <f ca="1">IFERROR(__xludf.DUMMYFUNCTION("""COMPUTED_VALUE"""),"RF-00001305-PAR")</f>
        <v>RF-00001305-PAR</v>
      </c>
    </row>
    <row r="1989" spans="1:2" ht="12.5" x14ac:dyDescent="0.25">
      <c r="A1989" t="str">
        <f ca="1">IFERROR(__xludf.DUMMYFUNCTION("""COMPUTED_VALUE"""),"Escherichia coli VTEC  OX185:H16 - eae negative vtx1 negative vtx2 positive")</f>
        <v>Escherichia coli VTEC  OX185:H16 - eae negative vtx1 negative vtx2 positive</v>
      </c>
      <c r="B1989" t="str">
        <f ca="1">IFERROR(__xludf.DUMMYFUNCTION("""COMPUTED_VALUE"""),"RF-00001306-PAR")</f>
        <v>RF-00001306-PAR</v>
      </c>
    </row>
    <row r="1990" spans="1:2" ht="12.5" x14ac:dyDescent="0.25">
      <c r="A1990" t="str">
        <f ca="1">IFERROR(__xludf.DUMMYFUNCTION("""COMPUTED_VALUE"""),"Escherichia coli VTEC non-O157")</f>
        <v>Escherichia coli VTEC non-O157</v>
      </c>
      <c r="B1990" t="str">
        <f ca="1">IFERROR(__xludf.DUMMYFUNCTION("""COMPUTED_VALUE"""),"RF-00000193-MCG")</f>
        <v>RF-00000193-MCG</v>
      </c>
    </row>
    <row r="1991" spans="1:2" ht="12.5" x14ac:dyDescent="0.25">
      <c r="A1991" t="str">
        <f ca="1">IFERROR(__xludf.DUMMYFUNCTION("""COMPUTED_VALUE"""),"Escherichia coli VTEC non-O157 - eae negative")</f>
        <v>Escherichia coli VTEC non-O157 - eae negative</v>
      </c>
      <c r="B1991" t="str">
        <f ca="1">IFERROR(__xludf.DUMMYFUNCTION("""COMPUTED_VALUE"""),"RF-00003928-MCG")</f>
        <v>RF-00003928-MCG</v>
      </c>
    </row>
    <row r="1992" spans="1:2" ht="12.5" x14ac:dyDescent="0.25">
      <c r="A1992" t="str">
        <f ca="1">IFERROR(__xludf.DUMMYFUNCTION("""COMPUTED_VALUE"""),"Escherichia coli VTEC non-O157 - eae positive")</f>
        <v>Escherichia coli VTEC non-O157 - eae positive</v>
      </c>
      <c r="B1992" t="str">
        <f ca="1">IFERROR(__xludf.DUMMYFUNCTION("""COMPUTED_VALUE"""),"RF-00003929-MCG")</f>
        <v>RF-00003929-MCG</v>
      </c>
    </row>
    <row r="1993" spans="1:2" ht="12.5" x14ac:dyDescent="0.25">
      <c r="A1993" t="str">
        <f ca="1">IFERROR(__xludf.DUMMYFUNCTION("""COMPUTED_VALUE"""),"Escherichia coli VTEC NT (Not Typeable)")</f>
        <v>Escherichia coli VTEC NT (Not Typeable)</v>
      </c>
      <c r="B1993" t="str">
        <f ca="1">IFERROR(__xludf.DUMMYFUNCTION("""COMPUTED_VALUE"""),"RF-00000192-MCG")</f>
        <v>RF-00000192-MCG</v>
      </c>
    </row>
    <row r="1994" spans="1:2" ht="12.5" x14ac:dyDescent="0.25">
      <c r="A1994" t="str">
        <f ca="1">IFERROR(__xludf.DUMMYFUNCTION("""COMPUTED_VALUE"""),"Escherichia coli VTEC O1")</f>
        <v>Escherichia coli VTEC O1</v>
      </c>
      <c r="B1994" t="str">
        <f ca="1">IFERROR(__xludf.DUMMYFUNCTION("""COMPUTED_VALUE"""),"RF-00000191-MCG")</f>
        <v>RF-00000191-MCG</v>
      </c>
    </row>
    <row r="1995" spans="1:2" ht="12.5" x14ac:dyDescent="0.25">
      <c r="A1995" t="str">
        <f ca="1">IFERROR(__xludf.DUMMYFUNCTION("""COMPUTED_VALUE"""),"Escherichia coli VTEC O1:H10")</f>
        <v>Escherichia coli VTEC O1:H10</v>
      </c>
      <c r="B1995" t="str">
        <f ca="1">IFERROR(__xludf.DUMMYFUNCTION("""COMPUTED_VALUE"""),"RF-00000190-MCG")</f>
        <v>RF-00000190-MCG</v>
      </c>
    </row>
    <row r="1996" spans="1:2" ht="12.5" x14ac:dyDescent="0.25">
      <c r="A1996" t="str">
        <f ca="1">IFERROR(__xludf.DUMMYFUNCTION("""COMPUTED_VALUE"""),"Escherichia coli VTEC O100")</f>
        <v>Escherichia coli VTEC O100</v>
      </c>
      <c r="B1996" t="str">
        <f ca="1">IFERROR(__xludf.DUMMYFUNCTION("""COMPUTED_VALUE"""),"RF-00000189-MCG")</f>
        <v>RF-00000189-MCG</v>
      </c>
    </row>
    <row r="1997" spans="1:2" ht="12.5" x14ac:dyDescent="0.25">
      <c r="A1997" t="str">
        <f ca="1">IFERROR(__xludf.DUMMYFUNCTION("""COMPUTED_VALUE"""),"Escherichia coli VTEC O100:H-")</f>
        <v>Escherichia coli VTEC O100:H-</v>
      </c>
      <c r="B1997" t="str">
        <f ca="1">IFERROR(__xludf.DUMMYFUNCTION("""COMPUTED_VALUE"""),"RF-00000188-MCG")</f>
        <v>RF-00000188-MCG</v>
      </c>
    </row>
    <row r="1998" spans="1:2" ht="12.5" x14ac:dyDescent="0.25">
      <c r="A1998" t="str">
        <f ca="1">IFERROR(__xludf.DUMMYFUNCTION("""COMPUTED_VALUE"""),"Escherichia coli VTEC O100:H8")</f>
        <v>Escherichia coli VTEC O100:H8</v>
      </c>
      <c r="B1998" t="str">
        <f ca="1">IFERROR(__xludf.DUMMYFUNCTION("""COMPUTED_VALUE"""),"RF-00003551-MCG")</f>
        <v>RF-00003551-MCG</v>
      </c>
    </row>
    <row r="1999" spans="1:2" ht="12.5" x14ac:dyDescent="0.25">
      <c r="A1999" t="str">
        <f ca="1">IFERROR(__xludf.DUMMYFUNCTION("""COMPUTED_VALUE"""),"Escherichia coli VTEC O102")</f>
        <v>Escherichia coli VTEC O102</v>
      </c>
      <c r="B1999" t="str">
        <f ca="1">IFERROR(__xludf.DUMMYFUNCTION("""COMPUTED_VALUE"""),"RF-00000208-MCG")</f>
        <v>RF-00000208-MCG</v>
      </c>
    </row>
    <row r="2000" spans="1:2" ht="12.5" x14ac:dyDescent="0.25">
      <c r="A2000" t="str">
        <f ca="1">IFERROR(__xludf.DUMMYFUNCTION("""COMPUTED_VALUE"""),"Escherichia coli VTEC O103")</f>
        <v>Escherichia coli VTEC O103</v>
      </c>
      <c r="B2000" t="str">
        <f ca="1">IFERROR(__xludf.DUMMYFUNCTION("""COMPUTED_VALUE"""),"RF-00000175-MCG")</f>
        <v>RF-00000175-MCG</v>
      </c>
    </row>
    <row r="2001" spans="1:2" ht="12.5" x14ac:dyDescent="0.25">
      <c r="A2001" t="str">
        <f ca="1">IFERROR(__xludf.DUMMYFUNCTION("""COMPUTED_VALUE"""),"Escherichia coli VTEC O103 - eae negative")</f>
        <v>Escherichia coli VTEC O103 - eae negative</v>
      </c>
      <c r="B2001" t="str">
        <f ca="1">IFERROR(__xludf.DUMMYFUNCTION("""COMPUTED_VALUE"""),"RF-00003690-MCG")</f>
        <v>RF-00003690-MCG</v>
      </c>
    </row>
    <row r="2002" spans="1:2" ht="12.5" x14ac:dyDescent="0.25">
      <c r="A2002" t="str">
        <f ca="1">IFERROR(__xludf.DUMMYFUNCTION("""COMPUTED_VALUE"""),"Escherichia coli VTEC O103 - eae positive")</f>
        <v>Escherichia coli VTEC O103 - eae positive</v>
      </c>
      <c r="B2002" t="str">
        <f ca="1">IFERROR(__xludf.DUMMYFUNCTION("""COMPUTED_VALUE"""),"RF-00003691-MCG")</f>
        <v>RF-00003691-MCG</v>
      </c>
    </row>
    <row r="2003" spans="1:2" ht="12.5" x14ac:dyDescent="0.25">
      <c r="A2003" t="str">
        <f ca="1">IFERROR(__xludf.DUMMYFUNCTION("""COMPUTED_VALUE"""),"Escherichia coli VTEC O103 - eae positive vtx1 and vtx2 positive")</f>
        <v>Escherichia coli VTEC O103 - eae positive vtx1 and vtx2 positive</v>
      </c>
      <c r="B2003" t="str">
        <f ca="1">IFERROR(__xludf.DUMMYFUNCTION("""COMPUTED_VALUE"""),"RF-00003692-MCG")</f>
        <v>RF-00003692-MCG</v>
      </c>
    </row>
    <row r="2004" spans="1:2" ht="12.5" x14ac:dyDescent="0.25">
      <c r="A2004" t="str">
        <f ca="1">IFERROR(__xludf.DUMMYFUNCTION("""COMPUTED_VALUE"""),"Escherichia coli VTEC O103 - eae positive vtx1 positive")</f>
        <v>Escherichia coli VTEC O103 - eae positive vtx1 positive</v>
      </c>
      <c r="B2004" t="str">
        <f ca="1">IFERROR(__xludf.DUMMYFUNCTION("""COMPUTED_VALUE"""),"RF-00003693-MCG")</f>
        <v>RF-00003693-MCG</v>
      </c>
    </row>
    <row r="2005" spans="1:2" ht="12.5" x14ac:dyDescent="0.25">
      <c r="A2005" t="str">
        <f ca="1">IFERROR(__xludf.DUMMYFUNCTION("""COMPUTED_VALUE"""),"Escherichia coli VTEC O103 - eae positive vtx2 positive")</f>
        <v>Escherichia coli VTEC O103 - eae positive vtx2 positive</v>
      </c>
      <c r="B2005" t="str">
        <f ca="1">IFERROR(__xludf.DUMMYFUNCTION("""COMPUTED_VALUE"""),"RF-00003694-MCG")</f>
        <v>RF-00003694-MCG</v>
      </c>
    </row>
    <row r="2006" spans="1:2" ht="12.5" x14ac:dyDescent="0.25">
      <c r="A2006" t="str">
        <f ca="1">IFERROR(__xludf.DUMMYFUNCTION("""COMPUTED_VALUE"""),"Escherichia coli VTEC O103:H-")</f>
        <v>Escherichia coli VTEC O103:H-</v>
      </c>
      <c r="B2006" t="str">
        <f ca="1">IFERROR(__xludf.DUMMYFUNCTION("""COMPUTED_VALUE"""),"RF-00003552-MCG")</f>
        <v>RF-00003552-MCG</v>
      </c>
    </row>
    <row r="2007" spans="1:2" ht="12.5" x14ac:dyDescent="0.25">
      <c r="A2007" t="str">
        <f ca="1">IFERROR(__xludf.DUMMYFUNCTION("""COMPUTED_VALUE"""),"Escherichia coli VTEC O103:H2")</f>
        <v>Escherichia coli VTEC O103:H2</v>
      </c>
      <c r="B2007" t="str">
        <f ca="1">IFERROR(__xludf.DUMMYFUNCTION("""COMPUTED_VALUE"""),"RF-00000186-MCG")</f>
        <v>RF-00000186-MCG</v>
      </c>
    </row>
    <row r="2008" spans="1:2" ht="12.5" x14ac:dyDescent="0.25">
      <c r="A2008" t="str">
        <f ca="1">IFERROR(__xludf.DUMMYFUNCTION("""COMPUTED_VALUE"""),"Escherichia coli VTEC O103:H2 - eae negative")</f>
        <v>Escherichia coli VTEC O103:H2 - eae negative</v>
      </c>
      <c r="B2008" t="str">
        <f ca="1">IFERROR(__xludf.DUMMYFUNCTION("""COMPUTED_VALUE"""),"RF-00003695-MCG")</f>
        <v>RF-00003695-MCG</v>
      </c>
    </row>
    <row r="2009" spans="1:2" ht="12.5" x14ac:dyDescent="0.25">
      <c r="A2009" t="str">
        <f ca="1">IFERROR(__xludf.DUMMYFUNCTION("""COMPUTED_VALUE"""),"Escherichia coli VTEC O103:H2 - eae positive")</f>
        <v>Escherichia coli VTEC O103:H2 - eae positive</v>
      </c>
      <c r="B2009" t="str">
        <f ca="1">IFERROR(__xludf.DUMMYFUNCTION("""COMPUTED_VALUE"""),"RF-00003696-MCG")</f>
        <v>RF-00003696-MCG</v>
      </c>
    </row>
    <row r="2010" spans="1:2" ht="12.5" x14ac:dyDescent="0.25">
      <c r="A2010" t="str">
        <f ca="1">IFERROR(__xludf.DUMMYFUNCTION("""COMPUTED_VALUE"""),"Escherichia coli VTEC O103:H2 - eae positive vtx1 and vtx2 positive")</f>
        <v>Escherichia coli VTEC O103:H2 - eae positive vtx1 and vtx2 positive</v>
      </c>
      <c r="B2010" t="str">
        <f ca="1">IFERROR(__xludf.DUMMYFUNCTION("""COMPUTED_VALUE"""),"RF-00003697-MCG")</f>
        <v>RF-00003697-MCG</v>
      </c>
    </row>
    <row r="2011" spans="1:2" ht="12.5" x14ac:dyDescent="0.25">
      <c r="A2011" t="str">
        <f ca="1">IFERROR(__xludf.DUMMYFUNCTION("""COMPUTED_VALUE"""),"Escherichia coli VTEC O103:H2 - eae positive vtx1 positive")</f>
        <v>Escherichia coli VTEC O103:H2 - eae positive vtx1 positive</v>
      </c>
      <c r="B2011" t="str">
        <f ca="1">IFERROR(__xludf.DUMMYFUNCTION("""COMPUTED_VALUE"""),"RF-00003698-MCG")</f>
        <v>RF-00003698-MCG</v>
      </c>
    </row>
    <row r="2012" spans="1:2" ht="12.5" x14ac:dyDescent="0.25">
      <c r="A2012" t="str">
        <f ca="1">IFERROR(__xludf.DUMMYFUNCTION("""COMPUTED_VALUE"""),"Escherichia coli VTEC O103:H2 - eae positive vtx1 positive vtx2 negative")</f>
        <v>Escherichia coli VTEC O103:H2 - eae positive vtx1 positive vtx2 negative</v>
      </c>
      <c r="B2012" t="str">
        <f ca="1">IFERROR(__xludf.DUMMYFUNCTION("""COMPUTED_VALUE"""),"RF-00003699-MCG")</f>
        <v>RF-00003699-MCG</v>
      </c>
    </row>
    <row r="2013" spans="1:2" ht="12.5" x14ac:dyDescent="0.25">
      <c r="A2013" t="str">
        <f ca="1">IFERROR(__xludf.DUMMYFUNCTION("""COMPUTED_VALUE"""),"Escherichia coli VTEC O103:H2 - eae positive vtx2 positive")</f>
        <v>Escherichia coli VTEC O103:H2 - eae positive vtx2 positive</v>
      </c>
      <c r="B2013" t="str">
        <f ca="1">IFERROR(__xludf.DUMMYFUNCTION("""COMPUTED_VALUE"""),"RF-00003700-MCG")</f>
        <v>RF-00003700-MCG</v>
      </c>
    </row>
    <row r="2014" spans="1:2" ht="12.5" x14ac:dyDescent="0.25">
      <c r="A2014" t="str">
        <f ca="1">IFERROR(__xludf.DUMMYFUNCTION("""COMPUTED_VALUE"""),"Escherichia coli VTEC O103:HNT")</f>
        <v>Escherichia coli VTEC O103:HNT</v>
      </c>
      <c r="B2014" t="str">
        <f ca="1">IFERROR(__xludf.DUMMYFUNCTION("""COMPUTED_VALUE"""),"RF-00003553-MCG")</f>
        <v>RF-00003553-MCG</v>
      </c>
    </row>
    <row r="2015" spans="1:2" ht="12.5" x14ac:dyDescent="0.25">
      <c r="A2015" t="str">
        <f ca="1">IFERROR(__xludf.DUMMYFUNCTION("""COMPUTED_VALUE"""),"Escherichia coli VTEC O103:HNT - eae positive vtx1 positive vtx2 negative")</f>
        <v>Escherichia coli VTEC O103:HNT - eae positive vtx1 positive vtx2 negative</v>
      </c>
      <c r="B2015" t="str">
        <f ca="1">IFERROR(__xludf.DUMMYFUNCTION("""COMPUTED_VALUE"""),"RF-00003701-MCG")</f>
        <v>RF-00003701-MCG</v>
      </c>
    </row>
    <row r="2016" spans="1:2" ht="12.5" x14ac:dyDescent="0.25">
      <c r="A2016" t="str">
        <f ca="1">IFERROR(__xludf.DUMMYFUNCTION("""COMPUTED_VALUE"""),"Escherichia coli VTEC O104")</f>
        <v>Escherichia coli VTEC O104</v>
      </c>
      <c r="B2016" t="str">
        <f ca="1">IFERROR(__xludf.DUMMYFUNCTION("""COMPUTED_VALUE"""),"RF-00000195-MCG")</f>
        <v>RF-00000195-MCG</v>
      </c>
    </row>
    <row r="2017" spans="1:2" ht="12.5" x14ac:dyDescent="0.25">
      <c r="A2017" t="str">
        <f ca="1">IFERROR(__xludf.DUMMYFUNCTION("""COMPUTED_VALUE"""),"Escherichia coli VTEC O104:H12")</f>
        <v>Escherichia coli VTEC O104:H12</v>
      </c>
      <c r="B2017" t="str">
        <f ca="1">IFERROR(__xludf.DUMMYFUNCTION("""COMPUTED_VALUE"""),"RF-00003554-MCG")</f>
        <v>RF-00003554-MCG</v>
      </c>
    </row>
    <row r="2018" spans="1:2" ht="12.5" x14ac:dyDescent="0.25">
      <c r="A2018" t="str">
        <f ca="1">IFERROR(__xludf.DUMMYFUNCTION("""COMPUTED_VALUE"""),"Escherichia coli VTEC O104:H21")</f>
        <v>Escherichia coli VTEC O104:H21</v>
      </c>
      <c r="B2018" t="str">
        <f ca="1">IFERROR(__xludf.DUMMYFUNCTION("""COMPUTED_VALUE"""),"RF-00003555-MCG")</f>
        <v>RF-00003555-MCG</v>
      </c>
    </row>
    <row r="2019" spans="1:2" ht="12.5" x14ac:dyDescent="0.25">
      <c r="A2019" t="str">
        <f ca="1">IFERROR(__xludf.DUMMYFUNCTION("""COMPUTED_VALUE"""),"Escherichia coli VTEC O104:H4 - EAggEC positive vtx2 positive")</f>
        <v>Escherichia coli VTEC O104:H4 - EAggEC positive vtx2 positive</v>
      </c>
      <c r="B2019" t="str">
        <f ca="1">IFERROR(__xludf.DUMMYFUNCTION("""COMPUTED_VALUE"""),"RF-00003930-MCG")</f>
        <v>RF-00003930-MCG</v>
      </c>
    </row>
    <row r="2020" spans="1:2" ht="12.5" x14ac:dyDescent="0.25">
      <c r="A2020" t="str">
        <f ca="1">IFERROR(__xludf.DUMMYFUNCTION("""COMPUTED_VALUE"""),"Escherichia coli VTEC O104:H8")</f>
        <v>Escherichia coli VTEC O104:H8</v>
      </c>
      <c r="B2020" t="str">
        <f ca="1">IFERROR(__xludf.DUMMYFUNCTION("""COMPUTED_VALUE"""),"RF-00003943-MCG")</f>
        <v>RF-00003943-MCG</v>
      </c>
    </row>
    <row r="2021" spans="1:2" ht="12.5" x14ac:dyDescent="0.25">
      <c r="A2021" t="str">
        <f ca="1">IFERROR(__xludf.DUMMYFUNCTION("""COMPUTED_VALUE"""),"Escherichia coli VTEC O104:H8 - eae negative vtx1 negative vtx2 positive")</f>
        <v>Escherichia coli VTEC O104:H8 - eae negative vtx1 negative vtx2 positive</v>
      </c>
      <c r="B2021" t="str">
        <f ca="1">IFERROR(__xludf.DUMMYFUNCTION("""COMPUTED_VALUE"""),"RF-00003944-MCG")</f>
        <v>RF-00003944-MCG</v>
      </c>
    </row>
    <row r="2022" spans="1:2" ht="12.5" x14ac:dyDescent="0.25">
      <c r="A2022" t="str">
        <f ca="1">IFERROR(__xludf.DUMMYFUNCTION("""COMPUTED_VALUE"""),"Escherichia coli VTEC O105:Hrough")</f>
        <v>Escherichia coli VTEC O105:Hrough</v>
      </c>
      <c r="B2022" t="str">
        <f ca="1">IFERROR(__xludf.DUMMYFUNCTION("""COMPUTED_VALUE"""),"RF-00003945-MCG")</f>
        <v>RF-00003945-MCG</v>
      </c>
    </row>
    <row r="2023" spans="1:2" ht="12.5" x14ac:dyDescent="0.25">
      <c r="A2023" t="str">
        <f ca="1">IFERROR(__xludf.DUMMYFUNCTION("""COMPUTED_VALUE"""),"Escherichia coli VTEC O105:Hrough - eae negative vtx1 positive vtx2 positive")</f>
        <v>Escherichia coli VTEC O105:Hrough - eae negative vtx1 positive vtx2 positive</v>
      </c>
      <c r="B2023" t="str">
        <f ca="1">IFERROR(__xludf.DUMMYFUNCTION("""COMPUTED_VALUE"""),"RF-00003946-MCG")</f>
        <v>RF-00003946-MCG</v>
      </c>
    </row>
    <row r="2024" spans="1:2" ht="12.5" x14ac:dyDescent="0.25">
      <c r="A2024" t="str">
        <f ca="1">IFERROR(__xludf.DUMMYFUNCTION("""COMPUTED_VALUE"""),"Escherichia coli VTEC O107:H28")</f>
        <v>Escherichia coli VTEC O107:H28</v>
      </c>
      <c r="B2024" t="str">
        <f ca="1">IFERROR(__xludf.DUMMYFUNCTION("""COMPUTED_VALUE"""),"RF-00003556-MCG")</f>
        <v>RF-00003556-MCG</v>
      </c>
    </row>
    <row r="2025" spans="1:2" ht="12.5" x14ac:dyDescent="0.25">
      <c r="A2025" t="str">
        <f ca="1">IFERROR(__xludf.DUMMYFUNCTION("""COMPUTED_VALUE"""),"Escherichia coli VTEC O107:H28 - eae negative vtx1 positive vtx2 positive")</f>
        <v>Escherichia coli VTEC O107:H28 - eae negative vtx1 positive vtx2 positive</v>
      </c>
      <c r="B2025" t="str">
        <f ca="1">IFERROR(__xludf.DUMMYFUNCTION("""COMPUTED_VALUE"""),"RF-00003702-MCG")</f>
        <v>RF-00003702-MCG</v>
      </c>
    </row>
    <row r="2026" spans="1:2" ht="12.5" x14ac:dyDescent="0.25">
      <c r="A2026" t="str">
        <f ca="1">IFERROR(__xludf.DUMMYFUNCTION("""COMPUTED_VALUE"""),"Escherichia coli VTEC O107:HNM - eae negative vtx1 positive vtx2 negative")</f>
        <v>Escherichia coli VTEC O107:HNM - eae negative vtx1 positive vtx2 negative</v>
      </c>
      <c r="B2026" t="str">
        <f ca="1">IFERROR(__xludf.DUMMYFUNCTION("""COMPUTED_VALUE"""),"RF-00001241-PAR")</f>
        <v>RF-00001241-PAR</v>
      </c>
    </row>
    <row r="2027" spans="1:2" ht="12.5" x14ac:dyDescent="0.25">
      <c r="A2027" t="str">
        <f ca="1">IFERROR(__xludf.DUMMYFUNCTION("""COMPUTED_VALUE"""),"Escherichia coli VTEC O107:HNT")</f>
        <v>Escherichia coli VTEC O107:HNT</v>
      </c>
      <c r="B2027" t="str">
        <f ca="1">IFERROR(__xludf.DUMMYFUNCTION("""COMPUTED_VALUE"""),"RF-00003947-MCG")</f>
        <v>RF-00003947-MCG</v>
      </c>
    </row>
    <row r="2028" spans="1:2" ht="12.5" x14ac:dyDescent="0.25">
      <c r="A2028" t="str">
        <f ca="1">IFERROR(__xludf.DUMMYFUNCTION("""COMPUTED_VALUE"""),"Escherichia coli VTEC O107:HNT - eae negative vtx1 positive vtx2 positive")</f>
        <v>Escherichia coli VTEC O107:HNT - eae negative vtx1 positive vtx2 positive</v>
      </c>
      <c r="B2028" t="str">
        <f ca="1">IFERROR(__xludf.DUMMYFUNCTION("""COMPUTED_VALUE"""),"RF-00003948-MCG")</f>
        <v>RF-00003948-MCG</v>
      </c>
    </row>
    <row r="2029" spans="1:2" ht="12.5" x14ac:dyDescent="0.25">
      <c r="A2029" t="str">
        <f ca="1">IFERROR(__xludf.DUMMYFUNCTION("""COMPUTED_VALUE"""),"Escherichia coli VTEC O107:Hrough")</f>
        <v>Escherichia coli VTEC O107:Hrough</v>
      </c>
      <c r="B2029" t="str">
        <f ca="1">IFERROR(__xludf.DUMMYFUNCTION("""COMPUTED_VALUE"""),"RF-00003949-MCG")</f>
        <v>RF-00003949-MCG</v>
      </c>
    </row>
    <row r="2030" spans="1:2" ht="12.5" x14ac:dyDescent="0.25">
      <c r="A2030" t="str">
        <f ca="1">IFERROR(__xludf.DUMMYFUNCTION("""COMPUTED_VALUE"""),"Escherichia coli VTEC O107:Hrough - eae negative vtx1 positive vtx2 positive")</f>
        <v>Escherichia coli VTEC O107:Hrough - eae negative vtx1 positive vtx2 positive</v>
      </c>
      <c r="B2030" t="str">
        <f ca="1">IFERROR(__xludf.DUMMYFUNCTION("""COMPUTED_VALUE"""),"RF-00003950-MCG")</f>
        <v>RF-00003950-MCG</v>
      </c>
    </row>
    <row r="2031" spans="1:2" ht="12.5" x14ac:dyDescent="0.25">
      <c r="A2031" t="str">
        <f ca="1">IFERROR(__xludf.DUMMYFUNCTION("""COMPUTED_VALUE"""),"Escherichia coli VTEC O108:H12")</f>
        <v>Escherichia coli VTEC O108:H12</v>
      </c>
      <c r="B2031" t="str">
        <f ca="1">IFERROR(__xludf.DUMMYFUNCTION("""COMPUTED_VALUE"""),"RF-00003951-MCG")</f>
        <v>RF-00003951-MCG</v>
      </c>
    </row>
    <row r="2032" spans="1:2" ht="12.5" x14ac:dyDescent="0.25">
      <c r="A2032" t="str">
        <f ca="1">IFERROR(__xludf.DUMMYFUNCTION("""COMPUTED_VALUE"""),"Escherichia coli VTEC O108:H12 - eae negative vtx1 positive vtx2 positive")</f>
        <v>Escherichia coli VTEC O108:H12 - eae negative vtx1 positive vtx2 positive</v>
      </c>
      <c r="B2032" t="str">
        <f ca="1">IFERROR(__xludf.DUMMYFUNCTION("""COMPUTED_VALUE"""),"RF-00003952-MCG")</f>
        <v>RF-00003952-MCG</v>
      </c>
    </row>
    <row r="2033" spans="1:2" ht="12.5" x14ac:dyDescent="0.25">
      <c r="A2033" t="str">
        <f ca="1">IFERROR(__xludf.DUMMYFUNCTION("""COMPUTED_VALUE"""),"Escherichia coli VTEC O109:H16 - eae negative vtx1 negative vtx2 positive")</f>
        <v>Escherichia coli VTEC O109:H16 - eae negative vtx1 negative vtx2 positive</v>
      </c>
      <c r="B2033" t="str">
        <f ca="1">IFERROR(__xludf.DUMMYFUNCTION("""COMPUTED_VALUE"""),"RF-00001242-PAR")</f>
        <v>RF-00001242-PAR</v>
      </c>
    </row>
    <row r="2034" spans="1:2" ht="12.5" x14ac:dyDescent="0.25">
      <c r="A2034" t="str">
        <f ca="1">IFERROR(__xludf.DUMMYFUNCTION("""COMPUTED_VALUE"""),"Escherichia coli VTEC O110")</f>
        <v>Escherichia coli VTEC O110</v>
      </c>
      <c r="B2034" t="str">
        <f ca="1">IFERROR(__xludf.DUMMYFUNCTION("""COMPUTED_VALUE"""),"RF-00000183-MCG")</f>
        <v>RF-00000183-MCG</v>
      </c>
    </row>
    <row r="2035" spans="1:2" ht="12.5" x14ac:dyDescent="0.25">
      <c r="A2035" t="str">
        <f ca="1">IFERROR(__xludf.DUMMYFUNCTION("""COMPUTED_VALUE"""),"Escherichia coli VTEC O111")</f>
        <v>Escherichia coli VTEC O111</v>
      </c>
      <c r="B2035" t="str">
        <f ca="1">IFERROR(__xludf.DUMMYFUNCTION("""COMPUTED_VALUE"""),"RF-00000182-MCG")</f>
        <v>RF-00000182-MCG</v>
      </c>
    </row>
    <row r="2036" spans="1:2" ht="12.5" x14ac:dyDescent="0.25">
      <c r="A2036" t="str">
        <f ca="1">IFERROR(__xludf.DUMMYFUNCTION("""COMPUTED_VALUE"""),"Escherichia coli VTEC O111 - eae negative")</f>
        <v>Escherichia coli VTEC O111 - eae negative</v>
      </c>
      <c r="B2036" t="str">
        <f ca="1">IFERROR(__xludf.DUMMYFUNCTION("""COMPUTED_VALUE"""),"RF-00003703-MCG")</f>
        <v>RF-00003703-MCG</v>
      </c>
    </row>
    <row r="2037" spans="1:2" ht="12.5" x14ac:dyDescent="0.25">
      <c r="A2037" t="str">
        <f ca="1">IFERROR(__xludf.DUMMYFUNCTION("""COMPUTED_VALUE"""),"Escherichia coli VTEC O111 - eae positive")</f>
        <v>Escherichia coli VTEC O111 - eae positive</v>
      </c>
      <c r="B2037" t="str">
        <f ca="1">IFERROR(__xludf.DUMMYFUNCTION("""COMPUTED_VALUE"""),"RF-00003704-MCG")</f>
        <v>RF-00003704-MCG</v>
      </c>
    </row>
    <row r="2038" spans="1:2" ht="12.5" x14ac:dyDescent="0.25">
      <c r="A2038" t="str">
        <f ca="1">IFERROR(__xludf.DUMMYFUNCTION("""COMPUTED_VALUE"""),"Escherichia coli VTEC O111 - eae positive vtx1 and vtx2 positive")</f>
        <v>Escherichia coli VTEC O111 - eae positive vtx1 and vtx2 positive</v>
      </c>
      <c r="B2038" t="str">
        <f ca="1">IFERROR(__xludf.DUMMYFUNCTION("""COMPUTED_VALUE"""),"RF-00003705-MCG")</f>
        <v>RF-00003705-MCG</v>
      </c>
    </row>
    <row r="2039" spans="1:2" ht="12.5" x14ac:dyDescent="0.25">
      <c r="A2039" t="str">
        <f ca="1">IFERROR(__xludf.DUMMYFUNCTION("""COMPUTED_VALUE"""),"Escherichia coli VTEC O111 - eae positive vtx1 positive")</f>
        <v>Escherichia coli VTEC O111 - eae positive vtx1 positive</v>
      </c>
      <c r="B2039" t="str">
        <f ca="1">IFERROR(__xludf.DUMMYFUNCTION("""COMPUTED_VALUE"""),"RF-00003706-MCG")</f>
        <v>RF-00003706-MCG</v>
      </c>
    </row>
    <row r="2040" spans="1:2" ht="12.5" x14ac:dyDescent="0.25">
      <c r="A2040" t="str">
        <f ca="1">IFERROR(__xludf.DUMMYFUNCTION("""COMPUTED_VALUE"""),"Escherichia coli VTEC O111 - eae positive vtx2 positive")</f>
        <v>Escherichia coli VTEC O111 - eae positive vtx2 positive</v>
      </c>
      <c r="B2040" t="str">
        <f ca="1">IFERROR(__xludf.DUMMYFUNCTION("""COMPUTED_VALUE"""),"RF-00003707-MCG")</f>
        <v>RF-00003707-MCG</v>
      </c>
    </row>
    <row r="2041" spans="1:2" ht="12.5" x14ac:dyDescent="0.25">
      <c r="A2041" t="str">
        <f ca="1">IFERROR(__xludf.DUMMYFUNCTION("""COMPUTED_VALUE"""),"Escherichia coli VTEC O111:H-")</f>
        <v>Escherichia coli VTEC O111:H-</v>
      </c>
      <c r="B2041" t="str">
        <f ca="1">IFERROR(__xludf.DUMMYFUNCTION("""COMPUTED_VALUE"""),"RF-00003557-MCG")</f>
        <v>RF-00003557-MCG</v>
      </c>
    </row>
    <row r="2042" spans="1:2" ht="12.5" x14ac:dyDescent="0.25">
      <c r="A2042" t="str">
        <f ca="1">IFERROR(__xludf.DUMMYFUNCTION("""COMPUTED_VALUE"""),"Escherichia coli VTEC O112ab:H2")</f>
        <v>Escherichia coli VTEC O112ab:H2</v>
      </c>
      <c r="B2042" t="str">
        <f ca="1">IFERROR(__xludf.DUMMYFUNCTION("""COMPUTED_VALUE"""),"RF-00003558-MCG")</f>
        <v>RF-00003558-MCG</v>
      </c>
    </row>
    <row r="2043" spans="1:2" ht="12.5" x14ac:dyDescent="0.25">
      <c r="A2043" t="str">
        <f ca="1">IFERROR(__xludf.DUMMYFUNCTION("""COMPUTED_VALUE"""),"Escherichia coli VTEC O112ab:H2 - eae negative vtx1 positive vtx2 negative")</f>
        <v>Escherichia coli VTEC O112ab:H2 - eae negative vtx1 positive vtx2 negative</v>
      </c>
      <c r="B2043" t="str">
        <f ca="1">IFERROR(__xludf.DUMMYFUNCTION("""COMPUTED_VALUE"""),"RF-00003708-MCG")</f>
        <v>RF-00003708-MCG</v>
      </c>
    </row>
    <row r="2044" spans="1:2" ht="12.5" x14ac:dyDescent="0.25">
      <c r="A2044" t="str">
        <f ca="1">IFERROR(__xludf.DUMMYFUNCTION("""COMPUTED_VALUE"""),"Escherichia coli VTEC O113")</f>
        <v>Escherichia coli VTEC O113</v>
      </c>
      <c r="B2044" t="str">
        <f ca="1">IFERROR(__xludf.DUMMYFUNCTION("""COMPUTED_VALUE"""),"RF-00000181-MCG")</f>
        <v>RF-00000181-MCG</v>
      </c>
    </row>
    <row r="2045" spans="1:2" ht="12.5" x14ac:dyDescent="0.25">
      <c r="A2045" t="str">
        <f ca="1">IFERROR(__xludf.DUMMYFUNCTION("""COMPUTED_VALUE"""),"Escherichia coli VTEC O113:H-")</f>
        <v>Escherichia coli VTEC O113:H-</v>
      </c>
      <c r="B2045" t="str">
        <f ca="1">IFERROR(__xludf.DUMMYFUNCTION("""COMPUTED_VALUE"""),"RF-00003559-MCG")</f>
        <v>RF-00003559-MCG</v>
      </c>
    </row>
    <row r="2046" spans="1:2" ht="12.5" x14ac:dyDescent="0.25">
      <c r="A2046" t="str">
        <f ca="1">IFERROR(__xludf.DUMMYFUNCTION("""COMPUTED_VALUE"""),"Escherichia coli VTEC O113:H18")</f>
        <v>Escherichia coli VTEC O113:H18</v>
      </c>
      <c r="B2046" t="str">
        <f ca="1">IFERROR(__xludf.DUMMYFUNCTION("""COMPUTED_VALUE"""),"RF-00003560-MCG")</f>
        <v>RF-00003560-MCG</v>
      </c>
    </row>
    <row r="2047" spans="1:2" ht="12.5" x14ac:dyDescent="0.25">
      <c r="A2047" t="str">
        <f ca="1">IFERROR(__xludf.DUMMYFUNCTION("""COMPUTED_VALUE"""),"Escherichia coli VTEC O113:H18 - eae negative vtx1 negative vtx2 positive")</f>
        <v>Escherichia coli VTEC O113:H18 - eae negative vtx1 negative vtx2 positive</v>
      </c>
      <c r="B2047" t="str">
        <f ca="1">IFERROR(__xludf.DUMMYFUNCTION("""COMPUTED_VALUE"""),"RF-00003709-MCG")</f>
        <v>RF-00003709-MCG</v>
      </c>
    </row>
    <row r="2048" spans="1:2" ht="12.5" x14ac:dyDescent="0.25">
      <c r="A2048" t="str">
        <f ca="1">IFERROR(__xludf.DUMMYFUNCTION("""COMPUTED_VALUE"""),"Escherichia coli VTEC O113:H21")</f>
        <v>Escherichia coli VTEC O113:H21</v>
      </c>
      <c r="B2048" t="str">
        <f ca="1">IFERROR(__xludf.DUMMYFUNCTION("""COMPUTED_VALUE"""),"RF-00003561-MCG")</f>
        <v>RF-00003561-MCG</v>
      </c>
    </row>
    <row r="2049" spans="1:2" ht="12.5" x14ac:dyDescent="0.25">
      <c r="A2049" t="str">
        <f ca="1">IFERROR(__xludf.DUMMYFUNCTION("""COMPUTED_VALUE"""),"Escherichia coli VTEC O113:H21 - eae negative vtx1 negative vtx2 positive")</f>
        <v>Escherichia coli VTEC O113:H21 - eae negative vtx1 negative vtx2 positive</v>
      </c>
      <c r="B2049" t="str">
        <f ca="1">IFERROR(__xludf.DUMMYFUNCTION("""COMPUTED_VALUE"""),"RF-00001243-PAR")</f>
        <v>RF-00001243-PAR</v>
      </c>
    </row>
    <row r="2050" spans="1:2" ht="12.5" x14ac:dyDescent="0.25">
      <c r="A2050" t="str">
        <f ca="1">IFERROR(__xludf.DUMMYFUNCTION("""COMPUTED_VALUE"""),"Escherichia coli VTEC O113:H4")</f>
        <v>Escherichia coli VTEC O113:H4</v>
      </c>
      <c r="B2050" t="str">
        <f ca="1">IFERROR(__xludf.DUMMYFUNCTION("""COMPUTED_VALUE"""),"RF-00000180-MCG")</f>
        <v>RF-00000180-MCG</v>
      </c>
    </row>
    <row r="2051" spans="1:2" ht="12.5" x14ac:dyDescent="0.25">
      <c r="A2051" t="str">
        <f ca="1">IFERROR(__xludf.DUMMYFUNCTION("""COMPUTED_VALUE"""),"Escherichia coli VTEC O113:H4 - eae negative vtx1 negative vtx2 positive")</f>
        <v>Escherichia coli VTEC O113:H4 - eae negative vtx1 negative vtx2 positive</v>
      </c>
      <c r="B2051" t="str">
        <f ca="1">IFERROR(__xludf.DUMMYFUNCTION("""COMPUTED_VALUE"""),"RF-00003710-MCG")</f>
        <v>RF-00003710-MCG</v>
      </c>
    </row>
    <row r="2052" spans="1:2" ht="12.5" x14ac:dyDescent="0.25">
      <c r="A2052" t="str">
        <f ca="1">IFERROR(__xludf.DUMMYFUNCTION("""COMPUTED_VALUE"""),"Escherichia coli VTEC O113:H4 - eae negative vtx1 positive vtx2 positive")</f>
        <v>Escherichia coli VTEC O113:H4 - eae negative vtx1 positive vtx2 positive</v>
      </c>
      <c r="B2052" t="str">
        <f ca="1">IFERROR(__xludf.DUMMYFUNCTION("""COMPUTED_VALUE"""),"RF-00003953-MCG")</f>
        <v>RF-00003953-MCG</v>
      </c>
    </row>
    <row r="2053" spans="1:2" ht="12.5" x14ac:dyDescent="0.25">
      <c r="A2053" t="str">
        <f ca="1">IFERROR(__xludf.DUMMYFUNCTION("""COMPUTED_VALUE"""),"Escherichia coli VTEC O113:H8")</f>
        <v>Escherichia coli VTEC O113:H8</v>
      </c>
      <c r="B2053" t="str">
        <f ca="1">IFERROR(__xludf.DUMMYFUNCTION("""COMPUTED_VALUE"""),"RF-00001318-PAR")</f>
        <v>RF-00001318-PAR</v>
      </c>
    </row>
    <row r="2054" spans="1:2" ht="12.5" x14ac:dyDescent="0.25">
      <c r="A2054" t="str">
        <f ca="1">IFERROR(__xludf.DUMMYFUNCTION("""COMPUTED_VALUE"""),"Escherichia coli VTEC O113:H8 - eae negative vtx1 positive vtx2 positive")</f>
        <v>Escherichia coli VTEC O113:H8 - eae negative vtx1 positive vtx2 positive</v>
      </c>
      <c r="B2054" t="str">
        <f ca="1">IFERROR(__xludf.DUMMYFUNCTION("""COMPUTED_VALUE"""),"RF-00001319-PAR")</f>
        <v>RF-00001319-PAR</v>
      </c>
    </row>
    <row r="2055" spans="1:2" ht="12.5" x14ac:dyDescent="0.25">
      <c r="A2055" t="str">
        <f ca="1">IFERROR(__xludf.DUMMYFUNCTION("""COMPUTED_VALUE"""),"Escherichia coli VTEC O113:HNM - eae negative vtx1 positive vtx2 positive")</f>
        <v>Escherichia coli VTEC O113:HNM - eae negative vtx1 positive vtx2 positive</v>
      </c>
      <c r="B2055" t="str">
        <f ca="1">IFERROR(__xludf.DUMMYFUNCTION("""COMPUTED_VALUE"""),"RF-00001244-PAR")</f>
        <v>RF-00001244-PAR</v>
      </c>
    </row>
    <row r="2056" spans="1:2" ht="12.5" x14ac:dyDescent="0.25">
      <c r="A2056" t="str">
        <f ca="1">IFERROR(__xludf.DUMMYFUNCTION("""COMPUTED_VALUE"""),"Escherichia coli VTEC O113:HNT")</f>
        <v>Escherichia coli VTEC O113:HNT</v>
      </c>
      <c r="B2056" t="str">
        <f ca="1">IFERROR(__xludf.DUMMYFUNCTION("""COMPUTED_VALUE"""),"RF-00003562-MCG")</f>
        <v>RF-00003562-MCG</v>
      </c>
    </row>
    <row r="2057" spans="1:2" ht="12.5" x14ac:dyDescent="0.25">
      <c r="A2057" t="str">
        <f ca="1">IFERROR(__xludf.DUMMYFUNCTION("""COMPUTED_VALUE"""),"Escherichia coli VTEC O113:HNT - eae negative vtx1 positive vtx2 negative")</f>
        <v>Escherichia coli VTEC O113:HNT - eae negative vtx1 positive vtx2 negative</v>
      </c>
      <c r="B2057" t="str">
        <f ca="1">IFERROR(__xludf.DUMMYFUNCTION("""COMPUTED_VALUE"""),"RF-00003711-MCG")</f>
        <v>RF-00003711-MCG</v>
      </c>
    </row>
    <row r="2058" spans="1:2" ht="12.5" x14ac:dyDescent="0.25">
      <c r="A2058" t="str">
        <f ca="1">IFERROR(__xludf.DUMMYFUNCTION("""COMPUTED_VALUE"""),"Escherichia coli VTEC O113:Hrough")</f>
        <v>Escherichia coli VTEC O113:Hrough</v>
      </c>
      <c r="B2058" t="str">
        <f ca="1">IFERROR(__xludf.DUMMYFUNCTION("""COMPUTED_VALUE"""),"RF-00003954-MCG")</f>
        <v>RF-00003954-MCG</v>
      </c>
    </row>
    <row r="2059" spans="1:2" ht="12.5" x14ac:dyDescent="0.25">
      <c r="A2059" t="str">
        <f ca="1">IFERROR(__xludf.DUMMYFUNCTION("""COMPUTED_VALUE"""),"Escherichia coli VTEC O113:Hrough - eae negative vtx1 positive vtx2 positive")</f>
        <v>Escherichia coli VTEC O113:Hrough - eae negative vtx1 positive vtx2 positive</v>
      </c>
      <c r="B2059" t="str">
        <f ca="1">IFERROR(__xludf.DUMMYFUNCTION("""COMPUTED_VALUE"""),"RF-00003955-MCG")</f>
        <v>RF-00003955-MCG</v>
      </c>
    </row>
    <row r="2060" spans="1:2" ht="12.5" x14ac:dyDescent="0.25">
      <c r="A2060" t="str">
        <f ca="1">IFERROR(__xludf.DUMMYFUNCTION("""COMPUTED_VALUE"""),"Escherichia coli VTEC O116:H-")</f>
        <v>Escherichia coli VTEC O116:H-</v>
      </c>
      <c r="B2060" t="str">
        <f ca="1">IFERROR(__xludf.DUMMYFUNCTION("""COMPUTED_VALUE"""),"RF-00000179-MCG")</f>
        <v>RF-00000179-MCG</v>
      </c>
    </row>
    <row r="2061" spans="1:2" ht="12.5" x14ac:dyDescent="0.25">
      <c r="A2061" t="str">
        <f ca="1">IFERROR(__xludf.DUMMYFUNCTION("""COMPUTED_VALUE"""),"Escherichia coli VTEC O116:H- - eae negative vtx1 negative vtx2 positive")</f>
        <v>Escherichia coli VTEC O116:H- - eae negative vtx1 negative vtx2 positive</v>
      </c>
      <c r="B2061" t="str">
        <f ca="1">IFERROR(__xludf.DUMMYFUNCTION("""COMPUTED_VALUE"""),"RF-00003712-MCG")</f>
        <v>RF-00003712-MCG</v>
      </c>
    </row>
    <row r="2062" spans="1:2" ht="12.5" x14ac:dyDescent="0.25">
      <c r="A2062" t="str">
        <f ca="1">IFERROR(__xludf.DUMMYFUNCTION("""COMPUTED_VALUE"""),"Escherichia coli VTEC O116:H- - eae negative vtx1 positive vtx2 negative")</f>
        <v>Escherichia coli VTEC O116:H- - eae negative vtx1 positive vtx2 negative</v>
      </c>
      <c r="B2062" t="str">
        <f ca="1">IFERROR(__xludf.DUMMYFUNCTION("""COMPUTED_VALUE"""),"RF-00003713-MCG")</f>
        <v>RF-00003713-MCG</v>
      </c>
    </row>
    <row r="2063" spans="1:2" ht="12.5" x14ac:dyDescent="0.25">
      <c r="A2063" t="str">
        <f ca="1">IFERROR(__xludf.DUMMYFUNCTION("""COMPUTED_VALUE"""),"Escherichia coli VTEC O116:H12")</f>
        <v>Escherichia coli VTEC O116:H12</v>
      </c>
      <c r="B2063" t="str">
        <f ca="1">IFERROR(__xludf.DUMMYFUNCTION("""COMPUTED_VALUE"""),"RF-00003563-MCG")</f>
        <v>RF-00003563-MCG</v>
      </c>
    </row>
    <row r="2064" spans="1:2" ht="12.5" x14ac:dyDescent="0.25">
      <c r="A2064" t="str">
        <f ca="1">IFERROR(__xludf.DUMMYFUNCTION("""COMPUTED_VALUE"""),"Escherichia coli VTEC O116:H21")</f>
        <v>Escherichia coli VTEC O116:H21</v>
      </c>
      <c r="B2064" t="str">
        <f ca="1">IFERROR(__xludf.DUMMYFUNCTION("""COMPUTED_VALUE"""),"RF-00003564-MCG")</f>
        <v>RF-00003564-MCG</v>
      </c>
    </row>
    <row r="2065" spans="1:2" ht="12.5" x14ac:dyDescent="0.25">
      <c r="A2065" t="str">
        <f ca="1">IFERROR(__xludf.DUMMYFUNCTION("""COMPUTED_VALUE"""),"Escherichia coli VTEC O116:H21 - eae negative vtx1 negative vtx2 positive")</f>
        <v>Escherichia coli VTEC O116:H21 - eae negative vtx1 negative vtx2 positive</v>
      </c>
      <c r="B2065" t="str">
        <f ca="1">IFERROR(__xludf.DUMMYFUNCTION("""COMPUTED_VALUE"""),"RF-00003714-MCG")</f>
        <v>RF-00003714-MCG</v>
      </c>
    </row>
    <row r="2066" spans="1:2" ht="12.5" x14ac:dyDescent="0.25">
      <c r="A2066" t="str">
        <f ca="1">IFERROR(__xludf.DUMMYFUNCTION("""COMPUTED_VALUE"""),"Escherichia coli VTEC O116:HNT")</f>
        <v>Escherichia coli VTEC O116:HNT</v>
      </c>
      <c r="B2066" t="str">
        <f ca="1">IFERROR(__xludf.DUMMYFUNCTION("""COMPUTED_VALUE"""),"RF-00003565-MCG")</f>
        <v>RF-00003565-MCG</v>
      </c>
    </row>
    <row r="2067" spans="1:2" ht="12.5" x14ac:dyDescent="0.25">
      <c r="A2067" t="str">
        <f ca="1">IFERROR(__xludf.DUMMYFUNCTION("""COMPUTED_VALUE"""),"Escherichia coli VTEC O116:HNT - eae negative vtx1 negative vtx2 positive")</f>
        <v>Escherichia coli VTEC O116:HNT - eae negative vtx1 negative vtx2 positive</v>
      </c>
      <c r="B2067" t="str">
        <f ca="1">IFERROR(__xludf.DUMMYFUNCTION("""COMPUTED_VALUE"""),"RF-00003715-MCG")</f>
        <v>RF-00003715-MCG</v>
      </c>
    </row>
    <row r="2068" spans="1:2" ht="12.5" x14ac:dyDescent="0.25">
      <c r="A2068" t="str">
        <f ca="1">IFERROR(__xludf.DUMMYFUNCTION("""COMPUTED_VALUE"""),"Escherichia coli VTEC O117:H-")</f>
        <v>Escherichia coli VTEC O117:H-</v>
      </c>
      <c r="B2068" t="str">
        <f ca="1">IFERROR(__xludf.DUMMYFUNCTION("""COMPUTED_VALUE"""),"RF-00003566-MCG")</f>
        <v>RF-00003566-MCG</v>
      </c>
    </row>
    <row r="2069" spans="1:2" ht="12.5" x14ac:dyDescent="0.25">
      <c r="A2069" t="str">
        <f ca="1">IFERROR(__xludf.DUMMYFUNCTION("""COMPUTED_VALUE"""),"Escherichia coli VTEC O117:H- - eae negative vtx1 positive vtx2 negative")</f>
        <v>Escherichia coli VTEC O117:H- - eae negative vtx1 positive vtx2 negative</v>
      </c>
      <c r="B2069" t="str">
        <f ca="1">IFERROR(__xludf.DUMMYFUNCTION("""COMPUTED_VALUE"""),"RF-00003716-MCG")</f>
        <v>RF-00003716-MCG</v>
      </c>
    </row>
    <row r="2070" spans="1:2" ht="12.5" x14ac:dyDescent="0.25">
      <c r="A2070" t="str">
        <f ca="1">IFERROR(__xludf.DUMMYFUNCTION("""COMPUTED_VALUE"""),"Escherichia coli VTEC O117:Hrough")</f>
        <v>Escherichia coli VTEC O117:Hrough</v>
      </c>
      <c r="B2070" t="str">
        <f ca="1">IFERROR(__xludf.DUMMYFUNCTION("""COMPUTED_VALUE"""),"RF-00003956-MCG")</f>
        <v>RF-00003956-MCG</v>
      </c>
    </row>
    <row r="2071" spans="1:2" ht="12.5" x14ac:dyDescent="0.25">
      <c r="A2071" t="str">
        <f ca="1">IFERROR(__xludf.DUMMYFUNCTION("""COMPUTED_VALUE"""),"Escherichia coli VTEC O117:Hrough - eae negative vtx1 positive vtx2 negative")</f>
        <v>Escherichia coli VTEC O117:Hrough - eae negative vtx1 positive vtx2 negative</v>
      </c>
      <c r="B2071" t="str">
        <f ca="1">IFERROR(__xludf.DUMMYFUNCTION("""COMPUTED_VALUE"""),"RF-00003957-MCG")</f>
        <v>RF-00003957-MCG</v>
      </c>
    </row>
    <row r="2072" spans="1:2" ht="12.5" x14ac:dyDescent="0.25">
      <c r="A2072" t="str">
        <f ca="1">IFERROR(__xludf.DUMMYFUNCTION("""COMPUTED_VALUE"""),"Escherichia coli VTEC O118:H16")</f>
        <v>Escherichia coli VTEC O118:H16</v>
      </c>
      <c r="B2072" t="str">
        <f ca="1">IFERROR(__xludf.DUMMYFUNCTION("""COMPUTED_VALUE"""),"RF-00003567-MCG")</f>
        <v>RF-00003567-MCG</v>
      </c>
    </row>
    <row r="2073" spans="1:2" ht="12.5" x14ac:dyDescent="0.25">
      <c r="A2073" t="str">
        <f ca="1">IFERROR(__xludf.DUMMYFUNCTION("""COMPUTED_VALUE"""),"Escherichia coli VTEC O119:H-")</f>
        <v>Escherichia coli VTEC O119:H-</v>
      </c>
      <c r="B2073" t="str">
        <f ca="1">IFERROR(__xludf.DUMMYFUNCTION("""COMPUTED_VALUE"""),"RF-00003568-MCG")</f>
        <v>RF-00003568-MCG</v>
      </c>
    </row>
    <row r="2074" spans="1:2" ht="12.5" x14ac:dyDescent="0.25">
      <c r="A2074" t="str">
        <f ca="1">IFERROR(__xludf.DUMMYFUNCTION("""COMPUTED_VALUE"""),"Escherichia coli VTEC O119:H4")</f>
        <v>Escherichia coli VTEC O119:H4</v>
      </c>
      <c r="B2074" t="str">
        <f ca="1">IFERROR(__xludf.DUMMYFUNCTION("""COMPUTED_VALUE"""),"RF-00003569-MCG")</f>
        <v>RF-00003569-MCG</v>
      </c>
    </row>
    <row r="2075" spans="1:2" ht="12.5" x14ac:dyDescent="0.25">
      <c r="A2075" t="str">
        <f ca="1">IFERROR(__xludf.DUMMYFUNCTION("""COMPUTED_VALUE"""),"Escherichia coli VTEC O119:HNT")</f>
        <v>Escherichia coli VTEC O119:HNT</v>
      </c>
      <c r="B2075" t="str">
        <f ca="1">IFERROR(__xludf.DUMMYFUNCTION("""COMPUTED_VALUE"""),"RF-00003570-MCG")</f>
        <v>RF-00003570-MCG</v>
      </c>
    </row>
    <row r="2076" spans="1:2" ht="12.5" x14ac:dyDescent="0.25">
      <c r="A2076" t="str">
        <f ca="1">IFERROR(__xludf.DUMMYFUNCTION("""COMPUTED_VALUE"""),"Escherichia coli VTEC O12")</f>
        <v>Escherichia coli VTEC O12</v>
      </c>
      <c r="B2076" t="str">
        <f ca="1">IFERROR(__xludf.DUMMYFUNCTION("""COMPUTED_VALUE"""),"RF-00000178-MCG")</f>
        <v>RF-00000178-MCG</v>
      </c>
    </row>
    <row r="2077" spans="1:2" ht="12.5" x14ac:dyDescent="0.25">
      <c r="A2077" t="str">
        <f ca="1">IFERROR(__xludf.DUMMYFUNCTION("""COMPUTED_VALUE"""),"Escherichia coli VTEC O121")</f>
        <v>Escherichia coli VTEC O121</v>
      </c>
      <c r="B2077" t="str">
        <f ca="1">IFERROR(__xludf.DUMMYFUNCTION("""COMPUTED_VALUE"""),"RF-00000177-MCG")</f>
        <v>RF-00000177-MCG</v>
      </c>
    </row>
    <row r="2078" spans="1:2" ht="12.5" x14ac:dyDescent="0.25">
      <c r="A2078" t="str">
        <f ca="1">IFERROR(__xludf.DUMMYFUNCTION("""COMPUTED_VALUE"""),"Escherichia coli VTEC O122ab:H2")</f>
        <v>Escherichia coli VTEC O122ab:H2</v>
      </c>
      <c r="B2078" t="str">
        <f ca="1">IFERROR(__xludf.DUMMYFUNCTION("""COMPUTED_VALUE"""),"RF-00003571-MCG")</f>
        <v>RF-00003571-MCG</v>
      </c>
    </row>
    <row r="2079" spans="1:2" ht="12.5" x14ac:dyDescent="0.25">
      <c r="A2079" t="str">
        <f ca="1">IFERROR(__xludf.DUMMYFUNCTION("""COMPUTED_VALUE"""),"Escherichia coli VTEC O122ab:H2 - eae negative vtx1 positive vtx2 negative")</f>
        <v>Escherichia coli VTEC O122ab:H2 - eae negative vtx1 positive vtx2 negative</v>
      </c>
      <c r="B2079" t="str">
        <f ca="1">IFERROR(__xludf.DUMMYFUNCTION("""COMPUTED_VALUE"""),"RF-00003717-MCG")</f>
        <v>RF-00003717-MCG</v>
      </c>
    </row>
    <row r="2080" spans="1:2" ht="12.5" x14ac:dyDescent="0.25">
      <c r="A2080" t="str">
        <f ca="1">IFERROR(__xludf.DUMMYFUNCTION("""COMPUTED_VALUE"""),"Escherichia coli VTEC O124abc:H10")</f>
        <v>Escherichia coli VTEC O124abc:H10</v>
      </c>
      <c r="B2080" t="str">
        <f ca="1">IFERROR(__xludf.DUMMYFUNCTION("""COMPUTED_VALUE"""),"RF-00000176-MCG")</f>
        <v>RF-00000176-MCG</v>
      </c>
    </row>
    <row r="2081" spans="1:2" ht="12.5" x14ac:dyDescent="0.25">
      <c r="A2081" t="str">
        <f ca="1">IFERROR(__xludf.DUMMYFUNCTION("""COMPUTED_VALUE"""),"Escherichia coli VTEC O125:H51")</f>
        <v>Escherichia coli VTEC O125:H51</v>
      </c>
      <c r="B2081" t="str">
        <f ca="1">IFERROR(__xludf.DUMMYFUNCTION("""COMPUTED_VALUE"""),"RF-00003572-MCG")</f>
        <v>RF-00003572-MCG</v>
      </c>
    </row>
    <row r="2082" spans="1:2" ht="12.5" x14ac:dyDescent="0.25">
      <c r="A2082" t="str">
        <f ca="1">IFERROR(__xludf.DUMMYFUNCTION("""COMPUTED_VALUE"""),"Escherichia coli VTEC O125abc:H21")</f>
        <v>Escherichia coli VTEC O125abc:H21</v>
      </c>
      <c r="B2082" t="str">
        <f ca="1">IFERROR(__xludf.DUMMYFUNCTION("""COMPUTED_VALUE"""),"RF-00003573-MCG")</f>
        <v>RF-00003573-MCG</v>
      </c>
    </row>
    <row r="2083" spans="1:2" ht="12.5" x14ac:dyDescent="0.25">
      <c r="A2083" t="str">
        <f ca="1">IFERROR(__xludf.DUMMYFUNCTION("""COMPUTED_VALUE"""),"Escherichia coli VTEC O125abc:H21 - eae negative vtx1 negative vtx2 positive")</f>
        <v>Escherichia coli VTEC O125abc:H21 - eae negative vtx1 negative vtx2 positive</v>
      </c>
      <c r="B2083" t="str">
        <f ca="1">IFERROR(__xludf.DUMMYFUNCTION("""COMPUTED_VALUE"""),"RF-00003718-MCG")</f>
        <v>RF-00003718-MCG</v>
      </c>
    </row>
    <row r="2084" spans="1:2" ht="12.5" x14ac:dyDescent="0.25">
      <c r="A2084" t="str">
        <f ca="1">IFERROR(__xludf.DUMMYFUNCTION("""COMPUTED_VALUE"""),"Escherichia coli VTEC O125abc:Hrough")</f>
        <v>Escherichia coli VTEC O125abc:Hrough</v>
      </c>
      <c r="B2084" t="str">
        <f ca="1">IFERROR(__xludf.DUMMYFUNCTION("""COMPUTED_VALUE"""),"RF-00003574-MCG")</f>
        <v>RF-00003574-MCG</v>
      </c>
    </row>
    <row r="2085" spans="1:2" ht="12.5" x14ac:dyDescent="0.25">
      <c r="A2085" t="str">
        <f ca="1">IFERROR(__xludf.DUMMYFUNCTION("""COMPUTED_VALUE"""),"Escherichia coli VTEC O125abc:Hrough - eae negative vtx1 positive vtx2 positive")</f>
        <v>Escherichia coli VTEC O125abc:Hrough - eae negative vtx1 positive vtx2 positive</v>
      </c>
      <c r="B2085" t="str">
        <f ca="1">IFERROR(__xludf.DUMMYFUNCTION("""COMPUTED_VALUE"""),"RF-00003719-MCG")</f>
        <v>RF-00003719-MCG</v>
      </c>
    </row>
    <row r="2086" spans="1:2" ht="12.5" x14ac:dyDescent="0.25">
      <c r="A2086" t="str">
        <f ca="1">IFERROR(__xludf.DUMMYFUNCTION("""COMPUTED_VALUE"""),"Escherichia coli VTEC O125ac:H4")</f>
        <v>Escherichia coli VTEC O125ac:H4</v>
      </c>
      <c r="B2086" t="str">
        <f ca="1">IFERROR(__xludf.DUMMYFUNCTION("""COMPUTED_VALUE"""),"RF-00003575-MCG")</f>
        <v>RF-00003575-MCG</v>
      </c>
    </row>
    <row r="2087" spans="1:2" ht="12.5" x14ac:dyDescent="0.25">
      <c r="A2087" t="str">
        <f ca="1">IFERROR(__xludf.DUMMYFUNCTION("""COMPUTED_VALUE"""),"Escherichia coli VTEC O128")</f>
        <v>Escherichia coli VTEC O128</v>
      </c>
      <c r="B2087" t="str">
        <f ca="1">IFERROR(__xludf.DUMMYFUNCTION("""COMPUTED_VALUE"""),"RF-00000184-MCG")</f>
        <v>RF-00000184-MCG</v>
      </c>
    </row>
    <row r="2088" spans="1:2" ht="12.5" x14ac:dyDescent="0.25">
      <c r="A2088" t="str">
        <f ca="1">IFERROR(__xludf.DUMMYFUNCTION("""COMPUTED_VALUE"""),"Escherichia coli VTEC O128 - vtx1 positive")</f>
        <v>Escherichia coli VTEC O128 - vtx1 positive</v>
      </c>
      <c r="B2088" t="str">
        <f ca="1">IFERROR(__xludf.DUMMYFUNCTION("""COMPUTED_VALUE"""),"RF-00003927-MCG")</f>
        <v>RF-00003927-MCG</v>
      </c>
    </row>
    <row r="2089" spans="1:2" ht="12.5" x14ac:dyDescent="0.25">
      <c r="A2089" t="str">
        <f ca="1">IFERROR(__xludf.DUMMYFUNCTION("""COMPUTED_VALUE"""),"Escherichia coli VTEC O128 - vtx1 positive and vtx2 positive")</f>
        <v>Escherichia coli VTEC O128 - vtx1 positive and vtx2 positive</v>
      </c>
      <c r="B2089" t="str">
        <f ca="1">IFERROR(__xludf.DUMMYFUNCTION("""COMPUTED_VALUE"""),"RF-00003931-MCG")</f>
        <v>RF-00003931-MCG</v>
      </c>
    </row>
    <row r="2090" spans="1:2" ht="12.5" x14ac:dyDescent="0.25">
      <c r="A2090" t="str">
        <f ca="1">IFERROR(__xludf.DUMMYFUNCTION("""COMPUTED_VALUE"""),"Escherichia coli VTEC O128 - vtx2 positive")</f>
        <v>Escherichia coli VTEC O128 - vtx2 positive</v>
      </c>
      <c r="B2090" t="str">
        <f ca="1">IFERROR(__xludf.DUMMYFUNCTION("""COMPUTED_VALUE"""),"RF-00003932-MCG")</f>
        <v>RF-00003932-MCG</v>
      </c>
    </row>
    <row r="2091" spans="1:2" ht="12.5" x14ac:dyDescent="0.25">
      <c r="A2091" t="str">
        <f ca="1">IFERROR(__xludf.DUMMYFUNCTION("""COMPUTED_VALUE"""),"Escherichia coli VTEC O128:H-")</f>
        <v>Escherichia coli VTEC O128:H-</v>
      </c>
      <c r="B2091" t="str">
        <f ca="1">IFERROR(__xludf.DUMMYFUNCTION("""COMPUTED_VALUE"""),"RF-00003576-MCG")</f>
        <v>RF-00003576-MCG</v>
      </c>
    </row>
    <row r="2092" spans="1:2" ht="12.5" x14ac:dyDescent="0.25">
      <c r="A2092" t="str">
        <f ca="1">IFERROR(__xludf.DUMMYFUNCTION("""COMPUTED_VALUE"""),"Escherichia coli VTEC O128ab:H-")</f>
        <v>Escherichia coli VTEC O128ab:H-</v>
      </c>
      <c r="B2092" t="str">
        <f ca="1">IFERROR(__xludf.DUMMYFUNCTION("""COMPUTED_VALUE"""),"RF-00003577-MCG")</f>
        <v>RF-00003577-MCG</v>
      </c>
    </row>
    <row r="2093" spans="1:2" ht="12.5" x14ac:dyDescent="0.25">
      <c r="A2093" t="str">
        <f ca="1">IFERROR(__xludf.DUMMYFUNCTION("""COMPUTED_VALUE"""),"Escherichia coli VTEC O128abc")</f>
        <v>Escherichia coli VTEC O128abc</v>
      </c>
      <c r="B2093" t="str">
        <f ca="1">IFERROR(__xludf.DUMMYFUNCTION("""COMPUTED_VALUE"""),"RF-00003578-MCG")</f>
        <v>RF-00003578-MCG</v>
      </c>
    </row>
    <row r="2094" spans="1:2" ht="12.5" x14ac:dyDescent="0.25">
      <c r="A2094" t="str">
        <f ca="1">IFERROR(__xludf.DUMMYFUNCTION("""COMPUTED_VALUE"""),"Escherichia coli VTEC O128abc:H-")</f>
        <v>Escherichia coli VTEC O128abc:H-</v>
      </c>
      <c r="B2094" t="str">
        <f ca="1">IFERROR(__xludf.DUMMYFUNCTION("""COMPUTED_VALUE"""),"RF-00004063-MCG")</f>
        <v>RF-00004063-MCG</v>
      </c>
    </row>
    <row r="2095" spans="1:2" ht="12.5" x14ac:dyDescent="0.25">
      <c r="A2095" t="str">
        <f ca="1">IFERROR(__xludf.DUMMYFUNCTION("""COMPUTED_VALUE"""),"Escherichia coli VTEC O128abc:H- - eae negative vtx1 positive vtx2 positive")</f>
        <v>Escherichia coli VTEC O128abc:H- - eae negative vtx1 positive vtx2 positive</v>
      </c>
      <c r="B2095" t="str">
        <f ca="1">IFERROR(__xludf.DUMMYFUNCTION("""COMPUTED_VALUE"""),"RF-00004064-MCG")</f>
        <v>RF-00004064-MCG</v>
      </c>
    </row>
    <row r="2096" spans="1:2" ht="12.5" x14ac:dyDescent="0.25">
      <c r="A2096" t="str">
        <f ca="1">IFERROR(__xludf.DUMMYFUNCTION("""COMPUTED_VALUE"""),"Escherichia coli VTEC O128abc:H2")</f>
        <v>Escherichia coli VTEC O128abc:H2</v>
      </c>
      <c r="B2096" t="str">
        <f ca="1">IFERROR(__xludf.DUMMYFUNCTION("""COMPUTED_VALUE"""),"RF-00000206-MCG")</f>
        <v>RF-00000206-MCG</v>
      </c>
    </row>
    <row r="2097" spans="1:2" ht="12.5" x14ac:dyDescent="0.25">
      <c r="A2097" t="str">
        <f ca="1">IFERROR(__xludf.DUMMYFUNCTION("""COMPUTED_VALUE"""),"Escherichia coli VTEC O128abc:H2 - eae negative vtx1 positive vtx2 positive")</f>
        <v>Escherichia coli VTEC O128abc:H2 - eae negative vtx1 positive vtx2 positive</v>
      </c>
      <c r="B2097" t="str">
        <f ca="1">IFERROR(__xludf.DUMMYFUNCTION("""COMPUTED_VALUE"""),"RF-00003958-MCG")</f>
        <v>RF-00003958-MCG</v>
      </c>
    </row>
    <row r="2098" spans="1:2" ht="12.5" x14ac:dyDescent="0.25">
      <c r="A2098" t="str">
        <f ca="1">IFERROR(__xludf.DUMMYFUNCTION("""COMPUTED_VALUE"""),"Escherichia coli VTEC O128abc:HNM - eae negative vtx1 positive vtx2 positive")</f>
        <v>Escherichia coli VTEC O128abc:HNM - eae negative vtx1 positive vtx2 positive</v>
      </c>
      <c r="B2098" t="str">
        <f ca="1">IFERROR(__xludf.DUMMYFUNCTION("""COMPUTED_VALUE"""),"RF-00003960-MCG")</f>
        <v>RF-00003960-MCG</v>
      </c>
    </row>
    <row r="2099" spans="1:2" ht="12.5" x14ac:dyDescent="0.25">
      <c r="A2099" t="str">
        <f ca="1">IFERROR(__xludf.DUMMYFUNCTION("""COMPUTED_VALUE"""),"Escherichia coli VTEC O128abc:HNT")</f>
        <v>Escherichia coli VTEC O128abc:HNT</v>
      </c>
      <c r="B2099" t="str">
        <f ca="1">IFERROR(__xludf.DUMMYFUNCTION("""COMPUTED_VALUE"""),"RF-00003579-MCG")</f>
        <v>RF-00003579-MCG</v>
      </c>
    </row>
    <row r="2100" spans="1:2" ht="12.5" x14ac:dyDescent="0.25">
      <c r="A2100" t="str">
        <f ca="1">IFERROR(__xludf.DUMMYFUNCTION("""COMPUTED_VALUE"""),"Escherichia coli VTEC O128abc:HNT - eae negative vtx1 positive vtx2 negative")</f>
        <v>Escherichia coli VTEC O128abc:HNT - eae negative vtx1 positive vtx2 negative</v>
      </c>
      <c r="B2100" t="str">
        <f ca="1">IFERROR(__xludf.DUMMYFUNCTION("""COMPUTED_VALUE"""),"RF-00003720-MCG")</f>
        <v>RF-00003720-MCG</v>
      </c>
    </row>
    <row r="2101" spans="1:2" ht="12.5" x14ac:dyDescent="0.25">
      <c r="A2101" t="str">
        <f ca="1">IFERROR(__xludf.DUMMYFUNCTION("""COMPUTED_VALUE"""),"Escherichia coli VTEC O128abc:HNT - eae negative vtx1 positive vtx2 positive")</f>
        <v>Escherichia coli VTEC O128abc:HNT - eae negative vtx1 positive vtx2 positive</v>
      </c>
      <c r="B2101" t="str">
        <f ca="1">IFERROR(__xludf.DUMMYFUNCTION("""COMPUTED_VALUE"""),"RF-00003959-MCG")</f>
        <v>RF-00003959-MCG</v>
      </c>
    </row>
    <row r="2102" spans="1:2" ht="12.5" x14ac:dyDescent="0.25">
      <c r="A2102" t="str">
        <f ca="1">IFERROR(__xludf.DUMMYFUNCTION("""COMPUTED_VALUE"""),"Escherichia coli VTEC O129:HNM - eae positive vtx1 positive vtx2 negative")</f>
        <v>Escherichia coli VTEC O129:HNM - eae positive vtx1 positive vtx2 negative</v>
      </c>
      <c r="B2102" t="str">
        <f ca="1">IFERROR(__xludf.DUMMYFUNCTION("""COMPUTED_VALUE"""),"RF-00001245-PAR")</f>
        <v>RF-00001245-PAR</v>
      </c>
    </row>
    <row r="2103" spans="1:2" ht="12.5" x14ac:dyDescent="0.25">
      <c r="A2103" t="str">
        <f ca="1">IFERROR(__xludf.DUMMYFUNCTION("""COMPUTED_VALUE"""),"Escherichia coli VTEC O13:Hrough")</f>
        <v>Escherichia coli VTEC O13:Hrough</v>
      </c>
      <c r="B2103" t="str">
        <f ca="1">IFERROR(__xludf.DUMMYFUNCTION("""COMPUTED_VALUE"""),"RF-00003961-MCG")</f>
        <v>RF-00003961-MCG</v>
      </c>
    </row>
    <row r="2104" spans="1:2" ht="12.5" x14ac:dyDescent="0.25">
      <c r="A2104" t="str">
        <f ca="1">IFERROR(__xludf.DUMMYFUNCTION("""COMPUTED_VALUE"""),"Escherichia coli VTEC O13:Hrough - eae negative vtx1 negative vtx2 negative")</f>
        <v>Escherichia coli VTEC O13:Hrough - eae negative vtx1 negative vtx2 negative</v>
      </c>
      <c r="B2104" t="str">
        <f ca="1">IFERROR(__xludf.DUMMYFUNCTION("""COMPUTED_VALUE"""),"RF-00003962-MCG")</f>
        <v>RF-00003962-MCG</v>
      </c>
    </row>
    <row r="2105" spans="1:2" ht="12.5" x14ac:dyDescent="0.25">
      <c r="A2105" t="str">
        <f ca="1">IFERROR(__xludf.DUMMYFUNCTION("""COMPUTED_VALUE"""),"Escherichia coli VTEC O13:Hrough - eae negative vtx1 negative vtx2 positive")</f>
        <v>Escherichia coli VTEC O13:Hrough - eae negative vtx1 negative vtx2 positive</v>
      </c>
      <c r="B2105" t="str">
        <f ca="1">IFERROR(__xludf.DUMMYFUNCTION("""COMPUTED_VALUE"""),"RF-00004073-MCG")</f>
        <v>RF-00004073-MCG</v>
      </c>
    </row>
    <row r="2106" spans="1:2" ht="12.5" x14ac:dyDescent="0.25">
      <c r="A2106" t="str">
        <f ca="1">IFERROR(__xludf.DUMMYFUNCTION("""COMPUTED_VALUE"""),"Escherichia coli VTEC O130:H11")</f>
        <v>Escherichia coli VTEC O130:H11</v>
      </c>
      <c r="B2106" t="str">
        <f ca="1">IFERROR(__xludf.DUMMYFUNCTION("""COMPUTED_VALUE"""),"RF-00003580-MCG")</f>
        <v>RF-00003580-MCG</v>
      </c>
    </row>
    <row r="2107" spans="1:2" ht="12.5" x14ac:dyDescent="0.25">
      <c r="A2107" t="str">
        <f ca="1">IFERROR(__xludf.DUMMYFUNCTION("""COMPUTED_VALUE"""),"Escherichia coli VTEC O132:H18")</f>
        <v>Escherichia coli VTEC O132:H18</v>
      </c>
      <c r="B2107" t="str">
        <f ca="1">IFERROR(__xludf.DUMMYFUNCTION("""COMPUTED_VALUE"""),"RF-00003581-MCG")</f>
        <v>RF-00003581-MCG</v>
      </c>
    </row>
    <row r="2108" spans="1:2" ht="12.5" x14ac:dyDescent="0.25">
      <c r="A2108" t="str">
        <f ca="1">IFERROR(__xludf.DUMMYFUNCTION("""COMPUTED_VALUE"""),"Escherichia coli VTEC O132:H18 - eae negative vtx1 positive vtx2 negative")</f>
        <v>Escherichia coli VTEC O132:H18 - eae negative vtx1 positive vtx2 negative</v>
      </c>
      <c r="B2108" t="str">
        <f ca="1">IFERROR(__xludf.DUMMYFUNCTION("""COMPUTED_VALUE"""),"RF-00003721-MCG")</f>
        <v>RF-00003721-MCG</v>
      </c>
    </row>
    <row r="2109" spans="1:2" ht="12.5" x14ac:dyDescent="0.25">
      <c r="A2109" t="str">
        <f ca="1">IFERROR(__xludf.DUMMYFUNCTION("""COMPUTED_VALUE"""),"Escherichia coli VTEC O134:H-")</f>
        <v>Escherichia coli VTEC O134:H-</v>
      </c>
      <c r="B2109" t="str">
        <f ca="1">IFERROR(__xludf.DUMMYFUNCTION("""COMPUTED_VALUE"""),"RF-00003582-MCG")</f>
        <v>RF-00003582-MCG</v>
      </c>
    </row>
    <row r="2110" spans="1:2" ht="12.5" x14ac:dyDescent="0.25">
      <c r="A2110" t="str">
        <f ca="1">IFERROR(__xludf.DUMMYFUNCTION("""COMPUTED_VALUE"""),"Escherichia coli VTEC O135:H4")</f>
        <v>Escherichia coli VTEC O135:H4</v>
      </c>
      <c r="B2110" t="str">
        <f ca="1">IFERROR(__xludf.DUMMYFUNCTION("""COMPUTED_VALUE"""),"RF-00000214-MCG")</f>
        <v>RF-00000214-MCG</v>
      </c>
    </row>
    <row r="2111" spans="1:2" ht="12.5" x14ac:dyDescent="0.25">
      <c r="A2111" t="str">
        <f ca="1">IFERROR(__xludf.DUMMYFUNCTION("""COMPUTED_VALUE"""),"Escherichia coli VTEC O136")</f>
        <v>Escherichia coli VTEC O136</v>
      </c>
      <c r="B2111" t="str">
        <f ca="1">IFERROR(__xludf.DUMMYFUNCTION("""COMPUTED_VALUE"""),"RF-00000213-MCG")</f>
        <v>RF-00000213-MCG</v>
      </c>
    </row>
    <row r="2112" spans="1:2" ht="12.5" x14ac:dyDescent="0.25">
      <c r="A2112" t="str">
        <f ca="1">IFERROR(__xludf.DUMMYFUNCTION("""COMPUTED_VALUE"""),"Escherichia coli VTEC O136:H-")</f>
        <v>Escherichia coli VTEC O136:H-</v>
      </c>
      <c r="B2112" t="str">
        <f ca="1">IFERROR(__xludf.DUMMYFUNCTION("""COMPUTED_VALUE"""),"RF-00000212-MCG")</f>
        <v>RF-00000212-MCG</v>
      </c>
    </row>
    <row r="2113" spans="1:2" ht="12.5" x14ac:dyDescent="0.25">
      <c r="A2113" t="str">
        <f ca="1">IFERROR(__xludf.DUMMYFUNCTION("""COMPUTED_VALUE"""),"Escherichia coli VTEC O137:HNM - eae negative vtx1 positive vtx2 positive")</f>
        <v>Escherichia coli VTEC O137:HNM - eae negative vtx1 positive vtx2 positive</v>
      </c>
      <c r="B2113" t="str">
        <f ca="1">IFERROR(__xludf.DUMMYFUNCTION("""COMPUTED_VALUE"""),"RF-00001246-PAR")</f>
        <v>RF-00001246-PAR</v>
      </c>
    </row>
    <row r="2114" spans="1:2" ht="12.5" x14ac:dyDescent="0.25">
      <c r="A2114" t="str">
        <f ca="1">IFERROR(__xludf.DUMMYFUNCTION("""COMPUTED_VALUE"""),"Escherichia coli VTEC O138:K81")</f>
        <v>Escherichia coli VTEC O138:K81</v>
      </c>
      <c r="B2114" t="str">
        <f ca="1">IFERROR(__xludf.DUMMYFUNCTION("""COMPUTED_VALUE"""),"RF-00000211-MCG")</f>
        <v>RF-00000211-MCG</v>
      </c>
    </row>
    <row r="2115" spans="1:2" ht="12.5" x14ac:dyDescent="0.25">
      <c r="A2115" t="str">
        <f ca="1">IFERROR(__xludf.DUMMYFUNCTION("""COMPUTED_VALUE"""),"Escherichia coli VTEC O139")</f>
        <v>Escherichia coli VTEC O139</v>
      </c>
      <c r="B2115" t="str">
        <f ca="1">IFERROR(__xludf.DUMMYFUNCTION("""COMPUTED_VALUE"""),"RF-00000210-MCG")</f>
        <v>RF-00000210-MCG</v>
      </c>
    </row>
    <row r="2116" spans="1:2" ht="12.5" x14ac:dyDescent="0.25">
      <c r="A2116" t="str">
        <f ca="1">IFERROR(__xludf.DUMMYFUNCTION("""COMPUTED_VALUE"""),"Escherichia coli VTEC O139:K82")</f>
        <v>Escherichia coli VTEC O139:K82</v>
      </c>
      <c r="B2116" t="str">
        <f ca="1">IFERROR(__xludf.DUMMYFUNCTION("""COMPUTED_VALUE"""),"RF-00000209-MCG")</f>
        <v>RF-00000209-MCG</v>
      </c>
    </row>
    <row r="2117" spans="1:2" ht="12.5" x14ac:dyDescent="0.25">
      <c r="A2117" t="str">
        <f ca="1">IFERROR(__xludf.DUMMYFUNCTION("""COMPUTED_VALUE"""),"Escherichia coli VTEC O141")</f>
        <v>Escherichia coli VTEC O141</v>
      </c>
      <c r="B2117" t="str">
        <f ca="1">IFERROR(__xludf.DUMMYFUNCTION("""COMPUTED_VALUE"""),"RF-00000207-MCG")</f>
        <v>RF-00000207-MCG</v>
      </c>
    </row>
    <row r="2118" spans="1:2" ht="12.5" x14ac:dyDescent="0.25">
      <c r="A2118" t="str">
        <f ca="1">IFERROR(__xludf.DUMMYFUNCTION("""COMPUTED_VALUE"""),"Escherichia coli VTEC O142:H16")</f>
        <v>Escherichia coli VTEC O142:H16</v>
      </c>
      <c r="B2118" t="str">
        <f ca="1">IFERROR(__xludf.DUMMYFUNCTION("""COMPUTED_VALUE"""),"RF-00003583-MCG")</f>
        <v>RF-00003583-MCG</v>
      </c>
    </row>
    <row r="2119" spans="1:2" ht="12.5" x14ac:dyDescent="0.25">
      <c r="A2119" t="str">
        <f ca="1">IFERROR(__xludf.DUMMYFUNCTION("""COMPUTED_VALUE"""),"Escherichia coli VTEC O142:H16 - eae negative vtx1 negative vtx2 positive")</f>
        <v>Escherichia coli VTEC O142:H16 - eae negative vtx1 negative vtx2 positive</v>
      </c>
      <c r="B2119" t="str">
        <f ca="1">IFERROR(__xludf.DUMMYFUNCTION("""COMPUTED_VALUE"""),"RF-00003722-MCG")</f>
        <v>RF-00003722-MCG</v>
      </c>
    </row>
    <row r="2120" spans="1:2" ht="12.5" x14ac:dyDescent="0.25">
      <c r="A2120" t="str">
        <f ca="1">IFERROR(__xludf.DUMMYFUNCTION("""COMPUTED_VALUE"""),"Escherichia coli VTEC O143:H8 - eae negative vtx1 negative vtx2 positive")</f>
        <v>Escherichia coli VTEC O143:H8 - eae negative vtx1 negative vtx2 positive</v>
      </c>
      <c r="B2120" t="str">
        <f ca="1">IFERROR(__xludf.DUMMYFUNCTION("""COMPUTED_VALUE"""),"RF-00001247-PAR")</f>
        <v>RF-00001247-PAR</v>
      </c>
    </row>
    <row r="2121" spans="1:2" ht="12.5" x14ac:dyDescent="0.25">
      <c r="A2121" t="str">
        <f ca="1">IFERROR(__xludf.DUMMYFUNCTION("""COMPUTED_VALUE"""),"Escherichia coli VTEC O145")</f>
        <v>Escherichia coli VTEC O145</v>
      </c>
      <c r="B2121" t="str">
        <f ca="1">IFERROR(__xludf.DUMMYFUNCTION("""COMPUTED_VALUE"""),"RF-00000155-MCG")</f>
        <v>RF-00000155-MCG</v>
      </c>
    </row>
    <row r="2122" spans="1:2" ht="12.5" x14ac:dyDescent="0.25">
      <c r="A2122" t="str">
        <f ca="1">IFERROR(__xludf.DUMMYFUNCTION("""COMPUTED_VALUE"""),"Escherichia coli VTEC O145 - eae negative")</f>
        <v>Escherichia coli VTEC O145 - eae negative</v>
      </c>
      <c r="B2122" t="str">
        <f ca="1">IFERROR(__xludf.DUMMYFUNCTION("""COMPUTED_VALUE"""),"RF-00003723-MCG")</f>
        <v>RF-00003723-MCG</v>
      </c>
    </row>
    <row r="2123" spans="1:2" ht="12.5" x14ac:dyDescent="0.25">
      <c r="A2123" t="str">
        <f ca="1">IFERROR(__xludf.DUMMYFUNCTION("""COMPUTED_VALUE"""),"Escherichia coli VTEC O145 - eae positive")</f>
        <v>Escherichia coli VTEC O145 - eae positive</v>
      </c>
      <c r="B2123" t="str">
        <f ca="1">IFERROR(__xludf.DUMMYFUNCTION("""COMPUTED_VALUE"""),"RF-00003724-MCG")</f>
        <v>RF-00003724-MCG</v>
      </c>
    </row>
    <row r="2124" spans="1:2" ht="12.5" x14ac:dyDescent="0.25">
      <c r="A2124" t="str">
        <f ca="1">IFERROR(__xludf.DUMMYFUNCTION("""COMPUTED_VALUE"""),"Escherichia coli VTEC O145 - eae positive vtx1 and vtx2 positive")</f>
        <v>Escherichia coli VTEC O145 - eae positive vtx1 and vtx2 positive</v>
      </c>
      <c r="B2124" t="str">
        <f ca="1">IFERROR(__xludf.DUMMYFUNCTION("""COMPUTED_VALUE"""),"RF-00003725-MCG")</f>
        <v>RF-00003725-MCG</v>
      </c>
    </row>
    <row r="2125" spans="1:2" ht="12.5" x14ac:dyDescent="0.25">
      <c r="A2125" t="str">
        <f ca="1">IFERROR(__xludf.DUMMYFUNCTION("""COMPUTED_VALUE"""),"Escherichia coli VTEC O145 - eae positive vtx1 positive")</f>
        <v>Escherichia coli VTEC O145 - eae positive vtx1 positive</v>
      </c>
      <c r="B2125" t="str">
        <f ca="1">IFERROR(__xludf.DUMMYFUNCTION("""COMPUTED_VALUE"""),"RF-00003726-MCG")</f>
        <v>RF-00003726-MCG</v>
      </c>
    </row>
    <row r="2126" spans="1:2" ht="12.5" x14ac:dyDescent="0.25">
      <c r="A2126" t="str">
        <f ca="1">IFERROR(__xludf.DUMMYFUNCTION("""COMPUTED_VALUE"""),"Escherichia coli VTEC O145 - eae positive vtx2 positive")</f>
        <v>Escherichia coli VTEC O145 - eae positive vtx2 positive</v>
      </c>
      <c r="B2126" t="str">
        <f ca="1">IFERROR(__xludf.DUMMYFUNCTION("""COMPUTED_VALUE"""),"RF-00003727-MCG")</f>
        <v>RF-00003727-MCG</v>
      </c>
    </row>
    <row r="2127" spans="1:2" ht="12.5" x14ac:dyDescent="0.25">
      <c r="A2127" t="str">
        <f ca="1">IFERROR(__xludf.DUMMYFUNCTION("""COMPUTED_VALUE"""),"Escherichia coli VTEC O145:H-")</f>
        <v>Escherichia coli VTEC O145:H-</v>
      </c>
      <c r="B2127" t="str">
        <f ca="1">IFERROR(__xludf.DUMMYFUNCTION("""COMPUTED_VALUE"""),"RF-00003584-MCG")</f>
        <v>RF-00003584-MCG</v>
      </c>
    </row>
    <row r="2128" spans="1:2" ht="12.5" x14ac:dyDescent="0.25">
      <c r="A2128" t="str">
        <f ca="1">IFERROR(__xludf.DUMMYFUNCTION("""COMPUTED_VALUE"""),"Escherichia coli VTEC O145:H- - eae positive vtx1 negative vtx2 positive")</f>
        <v>Escherichia coli VTEC O145:H- - eae positive vtx1 negative vtx2 positive</v>
      </c>
      <c r="B2128" t="str">
        <f ca="1">IFERROR(__xludf.DUMMYFUNCTION("""COMPUTED_VALUE"""),"RF-00004065-MCG")</f>
        <v>RF-00004065-MCG</v>
      </c>
    </row>
    <row r="2129" spans="1:2" ht="12.5" x14ac:dyDescent="0.25">
      <c r="A2129" t="str">
        <f ca="1">IFERROR(__xludf.DUMMYFUNCTION("""COMPUTED_VALUE"""),"Escherichia coli VTEC O145:H12")</f>
        <v>Escherichia coli VTEC O145:H12</v>
      </c>
      <c r="B2129" t="str">
        <f ca="1">IFERROR(__xludf.DUMMYFUNCTION("""COMPUTED_VALUE"""),"RF-00003963-MCG")</f>
        <v>RF-00003963-MCG</v>
      </c>
    </row>
    <row r="2130" spans="1:2" ht="12.5" x14ac:dyDescent="0.25">
      <c r="A2130" t="str">
        <f ca="1">IFERROR(__xludf.DUMMYFUNCTION("""COMPUTED_VALUE"""),"Escherichia coli VTEC O145:H12 - eae positive vtx1 positive vtx2 negative")</f>
        <v>Escherichia coli VTEC O145:H12 - eae positive vtx1 positive vtx2 negative</v>
      </c>
      <c r="B2130" t="str">
        <f ca="1">IFERROR(__xludf.DUMMYFUNCTION("""COMPUTED_VALUE"""),"RF-00003964-MCG")</f>
        <v>RF-00003964-MCG</v>
      </c>
    </row>
    <row r="2131" spans="1:2" ht="12.5" x14ac:dyDescent="0.25">
      <c r="A2131" t="str">
        <f ca="1">IFERROR(__xludf.DUMMYFUNCTION("""COMPUTED_VALUE"""),"Escherichia coli VTEC O145:H28")</f>
        <v>Escherichia coli VTEC O145:H28</v>
      </c>
      <c r="B2131" t="str">
        <f ca="1">IFERROR(__xludf.DUMMYFUNCTION("""COMPUTED_VALUE"""),"RF-00003585-MCG")</f>
        <v>RF-00003585-MCG</v>
      </c>
    </row>
    <row r="2132" spans="1:2" ht="12.5" x14ac:dyDescent="0.25">
      <c r="A2132" t="str">
        <f ca="1">IFERROR(__xludf.DUMMYFUNCTION("""COMPUTED_VALUE"""),"Escherichia coli VTEC O145:H28  - eae negative")</f>
        <v>Escherichia coli VTEC O145:H28  - eae negative</v>
      </c>
      <c r="B2132" t="str">
        <f ca="1">IFERROR(__xludf.DUMMYFUNCTION("""COMPUTED_VALUE"""),"RF-00003728-MCG")</f>
        <v>RF-00003728-MCG</v>
      </c>
    </row>
    <row r="2133" spans="1:2" ht="12.5" x14ac:dyDescent="0.25">
      <c r="A2133" t="str">
        <f ca="1">IFERROR(__xludf.DUMMYFUNCTION("""COMPUTED_VALUE"""),"Escherichia coli VTEC O145:H28  - eae positive")</f>
        <v>Escherichia coli VTEC O145:H28  - eae positive</v>
      </c>
      <c r="B2133" t="str">
        <f ca="1">IFERROR(__xludf.DUMMYFUNCTION("""COMPUTED_VALUE"""),"RF-00003729-MCG")</f>
        <v>RF-00003729-MCG</v>
      </c>
    </row>
    <row r="2134" spans="1:2" ht="12.5" x14ac:dyDescent="0.25">
      <c r="A2134" t="str">
        <f ca="1">IFERROR(__xludf.DUMMYFUNCTION("""COMPUTED_VALUE"""),"Escherichia coli VTEC O145:H28  - eae positive vtx1 and vtx2 positive")</f>
        <v>Escherichia coli VTEC O145:H28  - eae positive vtx1 and vtx2 positive</v>
      </c>
      <c r="B2134" t="str">
        <f ca="1">IFERROR(__xludf.DUMMYFUNCTION("""COMPUTED_VALUE"""),"RF-00003730-MCG")</f>
        <v>RF-00003730-MCG</v>
      </c>
    </row>
    <row r="2135" spans="1:2" ht="12.5" x14ac:dyDescent="0.25">
      <c r="A2135" t="str">
        <f ca="1">IFERROR(__xludf.DUMMYFUNCTION("""COMPUTED_VALUE"""),"Escherichia coli VTEC O145:H28  - eae positive vtx1 positive")</f>
        <v>Escherichia coli VTEC O145:H28  - eae positive vtx1 positive</v>
      </c>
      <c r="B2135" t="str">
        <f ca="1">IFERROR(__xludf.DUMMYFUNCTION("""COMPUTED_VALUE"""),"RF-00003731-MCG")</f>
        <v>RF-00003731-MCG</v>
      </c>
    </row>
    <row r="2136" spans="1:2" ht="12.5" x14ac:dyDescent="0.25">
      <c r="A2136" t="str">
        <f ca="1">IFERROR(__xludf.DUMMYFUNCTION("""COMPUTED_VALUE"""),"Escherichia coli VTEC O145:H28  - eae positive vtx2 positive")</f>
        <v>Escherichia coli VTEC O145:H28  - eae positive vtx2 positive</v>
      </c>
      <c r="B2136" t="str">
        <f ca="1">IFERROR(__xludf.DUMMYFUNCTION("""COMPUTED_VALUE"""),"RF-00003732-MCG")</f>
        <v>RF-00003732-MCG</v>
      </c>
    </row>
    <row r="2137" spans="1:2" ht="12.5" x14ac:dyDescent="0.25">
      <c r="A2137" t="str">
        <f ca="1">IFERROR(__xludf.DUMMYFUNCTION("""COMPUTED_VALUE"""),"Escherichia coli VTEC O145:H8")</f>
        <v>Escherichia coli VTEC O145:H8</v>
      </c>
      <c r="B2137" t="str">
        <f ca="1">IFERROR(__xludf.DUMMYFUNCTION("""COMPUTED_VALUE"""),"RF-00003586-MCG")</f>
        <v>RF-00003586-MCG</v>
      </c>
    </row>
    <row r="2138" spans="1:2" ht="12.5" x14ac:dyDescent="0.25">
      <c r="A2138" t="str">
        <f ca="1">IFERROR(__xludf.DUMMYFUNCTION("""COMPUTED_VALUE"""),"Escherichia coli VTEC O145:H8 - eae negative vtx1 positive vtx2 positive")</f>
        <v>Escherichia coli VTEC O145:H8 - eae negative vtx1 positive vtx2 positive</v>
      </c>
      <c r="B2138" t="str">
        <f ca="1">IFERROR(__xludf.DUMMYFUNCTION("""COMPUTED_VALUE"""),"RF-00003733-MCG")</f>
        <v>RF-00003733-MCG</v>
      </c>
    </row>
    <row r="2139" spans="1:2" ht="12.5" x14ac:dyDescent="0.25">
      <c r="A2139" t="str">
        <f ca="1">IFERROR(__xludf.DUMMYFUNCTION("""COMPUTED_VALUE"""),"Escherichia coli VTEC O145:HNM")</f>
        <v>Escherichia coli VTEC O145:HNM</v>
      </c>
      <c r="B2139" t="str">
        <f ca="1">IFERROR(__xludf.DUMMYFUNCTION("""COMPUTED_VALUE"""),"RF-00003965-MCG")</f>
        <v>RF-00003965-MCG</v>
      </c>
    </row>
    <row r="2140" spans="1:2" ht="12.5" x14ac:dyDescent="0.25">
      <c r="A2140" t="str">
        <f ca="1">IFERROR(__xludf.DUMMYFUNCTION("""COMPUTED_VALUE"""),"Escherichia coli VTEC O145:HNM - eae positive vtx1 negative vtx2 positive")</f>
        <v>Escherichia coli VTEC O145:HNM - eae positive vtx1 negative vtx2 positive</v>
      </c>
      <c r="B2140" t="str">
        <f ca="1">IFERROR(__xludf.DUMMYFUNCTION("""COMPUTED_VALUE"""),"RF-00003966-MCG")</f>
        <v>RF-00003966-MCG</v>
      </c>
    </row>
    <row r="2141" spans="1:2" ht="12.5" x14ac:dyDescent="0.25">
      <c r="A2141" t="str">
        <f ca="1">IFERROR(__xludf.DUMMYFUNCTION("""COMPUTED_VALUE"""),"Escherichia coli VTEC O146")</f>
        <v>Escherichia coli VTEC O146</v>
      </c>
      <c r="B2141" t="str">
        <f ca="1">IFERROR(__xludf.DUMMYFUNCTION("""COMPUTED_VALUE"""),"RF-00000196-MCG")</f>
        <v>RF-00000196-MCG</v>
      </c>
    </row>
    <row r="2142" spans="1:2" ht="12.5" x14ac:dyDescent="0.25">
      <c r="A2142" t="str">
        <f ca="1">IFERROR(__xludf.DUMMYFUNCTION("""COMPUTED_VALUE"""),"Escherichia coli VTEC O146 - eae negative vtx1 positive")</f>
        <v>Escherichia coli VTEC O146 - eae negative vtx1 positive</v>
      </c>
      <c r="B2142" t="str">
        <f ca="1">IFERROR(__xludf.DUMMYFUNCTION("""COMPUTED_VALUE"""),"RF-00003734-MCG")</f>
        <v>RF-00003734-MCG</v>
      </c>
    </row>
    <row r="2143" spans="1:2" ht="12.5" x14ac:dyDescent="0.25">
      <c r="A2143" t="str">
        <f ca="1">IFERROR(__xludf.DUMMYFUNCTION("""COMPUTED_VALUE"""),"Escherichia coli VTEC O146 - vtx1 positive")</f>
        <v>Escherichia coli VTEC O146 - vtx1 positive</v>
      </c>
      <c r="B2143" t="str">
        <f ca="1">IFERROR(__xludf.DUMMYFUNCTION("""COMPUTED_VALUE"""),"RF-00003933-MCG")</f>
        <v>RF-00003933-MCG</v>
      </c>
    </row>
    <row r="2144" spans="1:2" ht="12.5" x14ac:dyDescent="0.25">
      <c r="A2144" t="str">
        <f ca="1">IFERROR(__xludf.DUMMYFUNCTION("""COMPUTED_VALUE"""),"Escherichia coli VTEC O146 - vtx1 positive and vtx2 positive")</f>
        <v>Escherichia coli VTEC O146 - vtx1 positive and vtx2 positive</v>
      </c>
      <c r="B2144" t="str">
        <f ca="1">IFERROR(__xludf.DUMMYFUNCTION("""COMPUTED_VALUE"""),"RF-00003934-MCG")</f>
        <v>RF-00003934-MCG</v>
      </c>
    </row>
    <row r="2145" spans="1:2" ht="12.5" x14ac:dyDescent="0.25">
      <c r="A2145" t="str">
        <f ca="1">IFERROR(__xludf.DUMMYFUNCTION("""COMPUTED_VALUE"""),"Escherichia coli VTEC O146 - vtx2 positive")</f>
        <v>Escherichia coli VTEC O146 - vtx2 positive</v>
      </c>
      <c r="B2145" t="str">
        <f ca="1">IFERROR(__xludf.DUMMYFUNCTION("""COMPUTED_VALUE"""),"RF-00003935-MCG")</f>
        <v>RF-00003935-MCG</v>
      </c>
    </row>
    <row r="2146" spans="1:2" ht="12.5" x14ac:dyDescent="0.25">
      <c r="A2146" t="str">
        <f ca="1">IFERROR(__xludf.DUMMYFUNCTION("""COMPUTED_VALUE"""),"Escherichia coli VTEC O146:H-")</f>
        <v>Escherichia coli VTEC O146:H-</v>
      </c>
      <c r="B2146" t="str">
        <f ca="1">IFERROR(__xludf.DUMMYFUNCTION("""COMPUTED_VALUE"""),"RF-00003587-MCG")</f>
        <v>RF-00003587-MCG</v>
      </c>
    </row>
    <row r="2147" spans="1:2" ht="12.5" x14ac:dyDescent="0.25">
      <c r="A2147" t="str">
        <f ca="1">IFERROR(__xludf.DUMMYFUNCTION("""COMPUTED_VALUE"""),"Escherichia coli VTEC O146:H- - eae negative vtx1 positive vtx2 positive")</f>
        <v>Escherichia coli VTEC O146:H- - eae negative vtx1 positive vtx2 positive</v>
      </c>
      <c r="B2147" t="str">
        <f ca="1">IFERROR(__xludf.DUMMYFUNCTION("""COMPUTED_VALUE"""),"RF-00003735-MCG")</f>
        <v>RF-00003735-MCG</v>
      </c>
    </row>
    <row r="2148" spans="1:2" ht="12.5" x14ac:dyDescent="0.25">
      <c r="A2148" t="str">
        <f ca="1">IFERROR(__xludf.DUMMYFUNCTION("""COMPUTED_VALUE"""),"Escherichia coli VTEC O146:H12")</f>
        <v>Escherichia coli VTEC O146:H12</v>
      </c>
      <c r="B2148" t="str">
        <f ca="1">IFERROR(__xludf.DUMMYFUNCTION("""COMPUTED_VALUE"""),"RF-00004061-MCG")</f>
        <v>RF-00004061-MCG</v>
      </c>
    </row>
    <row r="2149" spans="1:2" ht="12.5" x14ac:dyDescent="0.25">
      <c r="A2149" t="str">
        <f ca="1">IFERROR(__xludf.DUMMYFUNCTION("""COMPUTED_VALUE"""),"Escherichia coli VTEC O146:H12 - eae negative vtx1 negative vtx2 positive")</f>
        <v>Escherichia coli VTEC O146:H12 - eae negative vtx1 negative vtx2 positive</v>
      </c>
      <c r="B2149" t="str">
        <f ca="1">IFERROR(__xludf.DUMMYFUNCTION("""COMPUTED_VALUE"""),"RF-00003967-MCG")</f>
        <v>RF-00003967-MCG</v>
      </c>
    </row>
    <row r="2150" spans="1:2" ht="12.5" x14ac:dyDescent="0.25">
      <c r="A2150" t="str">
        <f ca="1">IFERROR(__xludf.DUMMYFUNCTION("""COMPUTED_VALUE"""),"Escherichia coli VTEC O146:H12 - eae negative vtx1 positive vtx2 negative")</f>
        <v>Escherichia coli VTEC O146:H12 - eae negative vtx1 positive vtx2 negative</v>
      </c>
      <c r="B2150" t="str">
        <f ca="1">IFERROR(__xludf.DUMMYFUNCTION("""COMPUTED_VALUE"""),"RF-00003968-MCG")</f>
        <v>RF-00003968-MCG</v>
      </c>
    </row>
    <row r="2151" spans="1:2" ht="12.5" x14ac:dyDescent="0.25">
      <c r="A2151" t="str">
        <f ca="1">IFERROR(__xludf.DUMMYFUNCTION("""COMPUTED_VALUE"""),"Escherichia coli VTEC O146:H12 - eae negative vtx1 positive vtx2 positive")</f>
        <v>Escherichia coli VTEC O146:H12 - eae negative vtx1 positive vtx2 positive</v>
      </c>
      <c r="B2151" t="str">
        <f ca="1">IFERROR(__xludf.DUMMYFUNCTION("""COMPUTED_VALUE"""),"RF-00003969-MCG")</f>
        <v>RF-00003969-MCG</v>
      </c>
    </row>
    <row r="2152" spans="1:2" ht="12.5" x14ac:dyDescent="0.25">
      <c r="A2152" t="str">
        <f ca="1">IFERROR(__xludf.DUMMYFUNCTION("""COMPUTED_VALUE"""),"Escherichia coli VTEC O146:H21")</f>
        <v>Escherichia coli VTEC O146:H21</v>
      </c>
      <c r="B2152" t="str">
        <f ca="1">IFERROR(__xludf.DUMMYFUNCTION("""COMPUTED_VALUE"""),"RF-00003588-MCG")</f>
        <v>RF-00003588-MCG</v>
      </c>
    </row>
    <row r="2153" spans="1:2" ht="12.5" x14ac:dyDescent="0.25">
      <c r="A2153" t="str">
        <f ca="1">IFERROR(__xludf.DUMMYFUNCTION("""COMPUTED_VALUE"""),"Escherichia coli VTEC O146:H21 - eae negative vtx1 positive vtx2 negative")</f>
        <v>Escherichia coli VTEC O146:H21 - eae negative vtx1 positive vtx2 negative</v>
      </c>
      <c r="B2153" t="str">
        <f ca="1">IFERROR(__xludf.DUMMYFUNCTION("""COMPUTED_VALUE"""),"RF-00003736-MCG")</f>
        <v>RF-00003736-MCG</v>
      </c>
    </row>
    <row r="2154" spans="1:2" ht="12.5" x14ac:dyDescent="0.25">
      <c r="A2154" t="str">
        <f ca="1">IFERROR(__xludf.DUMMYFUNCTION("""COMPUTED_VALUE"""),"Escherichia coli VTEC O146:H21 - eae negative vtx1 positive vtx2 positive")</f>
        <v>Escherichia coli VTEC O146:H21 - eae negative vtx1 positive vtx2 positive</v>
      </c>
      <c r="B2154" t="str">
        <f ca="1">IFERROR(__xludf.DUMMYFUNCTION("""COMPUTED_VALUE"""),"RF-00003737-MCG")</f>
        <v>RF-00003737-MCG</v>
      </c>
    </row>
    <row r="2155" spans="1:2" ht="12.5" x14ac:dyDescent="0.25">
      <c r="A2155" t="str">
        <f ca="1">IFERROR(__xludf.DUMMYFUNCTION("""COMPUTED_VALUE"""),"Escherichia coli VTEC O146:H28")</f>
        <v>Escherichia coli VTEC O146:H28</v>
      </c>
      <c r="B2155" t="str">
        <f ca="1">IFERROR(__xludf.DUMMYFUNCTION("""COMPUTED_VALUE"""),"RF-00003589-MCG")</f>
        <v>RF-00003589-MCG</v>
      </c>
    </row>
    <row r="2156" spans="1:2" ht="12.5" x14ac:dyDescent="0.25">
      <c r="A2156" t="str">
        <f ca="1">IFERROR(__xludf.DUMMYFUNCTION("""COMPUTED_VALUE"""),"Escherichia coli VTEC O146:H28 - eae negative vtx1 positive vtx2 positive")</f>
        <v>Escherichia coli VTEC O146:H28 - eae negative vtx1 positive vtx2 positive</v>
      </c>
      <c r="B2156" t="str">
        <f ca="1">IFERROR(__xludf.DUMMYFUNCTION("""COMPUTED_VALUE"""),"RF-00001320-PAR")</f>
        <v>RF-00001320-PAR</v>
      </c>
    </row>
    <row r="2157" spans="1:2" ht="12.5" x14ac:dyDescent="0.25">
      <c r="A2157" t="str">
        <f ca="1">IFERROR(__xludf.DUMMYFUNCTION("""COMPUTED_VALUE"""),"Escherichia coli VTEC O146:H32")</f>
        <v>Escherichia coli VTEC O146:H32</v>
      </c>
      <c r="B2157" t="str">
        <f ca="1">IFERROR(__xludf.DUMMYFUNCTION("""COMPUTED_VALUE"""),"RF-00003590-MCG")</f>
        <v>RF-00003590-MCG</v>
      </c>
    </row>
    <row r="2158" spans="1:2" ht="12.5" x14ac:dyDescent="0.25">
      <c r="A2158" t="str">
        <f ca="1">IFERROR(__xludf.DUMMYFUNCTION("""COMPUTED_VALUE"""),"Escherichia coli VTEC O146:H32 - eae negative vtx1 positive vtx2 negative")</f>
        <v>Escherichia coli VTEC O146:H32 - eae negative vtx1 positive vtx2 negative</v>
      </c>
      <c r="B2158" t="str">
        <f ca="1">IFERROR(__xludf.DUMMYFUNCTION("""COMPUTED_VALUE"""),"RF-00003738-MCG")</f>
        <v>RF-00003738-MCG</v>
      </c>
    </row>
    <row r="2159" spans="1:2" ht="12.5" x14ac:dyDescent="0.25">
      <c r="A2159" t="str">
        <f ca="1">IFERROR(__xludf.DUMMYFUNCTION("""COMPUTED_VALUE"""),"Escherichia coli VTEC O146:HNM")</f>
        <v>Escherichia coli VTEC O146:HNM</v>
      </c>
      <c r="B2159" t="str">
        <f ca="1">IFERROR(__xludf.DUMMYFUNCTION("""COMPUTED_VALUE"""),"RF-00004062-MCG")</f>
        <v>RF-00004062-MCG</v>
      </c>
    </row>
    <row r="2160" spans="1:2" ht="12.5" x14ac:dyDescent="0.25">
      <c r="A2160" t="str">
        <f ca="1">IFERROR(__xludf.DUMMYFUNCTION("""COMPUTED_VALUE"""),"Escherichia coli VTEC O146:HNM - eae negative vtx1 positive vtx2 positive")</f>
        <v>Escherichia coli VTEC O146:HNM - eae negative vtx1 positive vtx2 positive</v>
      </c>
      <c r="B2160" t="str">
        <f ca="1">IFERROR(__xludf.DUMMYFUNCTION("""COMPUTED_VALUE"""),"RF-00003970-MCG")</f>
        <v>RF-00003970-MCG</v>
      </c>
    </row>
    <row r="2161" spans="1:2" ht="12.5" x14ac:dyDescent="0.25">
      <c r="A2161" t="str">
        <f ca="1">IFERROR(__xludf.DUMMYFUNCTION("""COMPUTED_VALUE"""),"Escherichia coli VTEC O146:HNT")</f>
        <v>Escherichia coli VTEC O146:HNT</v>
      </c>
      <c r="B2161" t="str">
        <f ca="1">IFERROR(__xludf.DUMMYFUNCTION("""COMPUTED_VALUE"""),"RF-00003591-MCG")</f>
        <v>RF-00003591-MCG</v>
      </c>
    </row>
    <row r="2162" spans="1:2" ht="12.5" x14ac:dyDescent="0.25">
      <c r="A2162" t="str">
        <f ca="1">IFERROR(__xludf.DUMMYFUNCTION("""COMPUTED_VALUE"""),"Escherichia coli VTEC O146:HNT - eae negative vtx1 negative vtx2 positive")</f>
        <v>Escherichia coli VTEC O146:HNT - eae negative vtx1 negative vtx2 positive</v>
      </c>
      <c r="B2162" t="str">
        <f ca="1">IFERROR(__xludf.DUMMYFUNCTION("""COMPUTED_VALUE"""),"RF-00003739-MCG")</f>
        <v>RF-00003739-MCG</v>
      </c>
    </row>
    <row r="2163" spans="1:2" ht="12.5" x14ac:dyDescent="0.25">
      <c r="A2163" t="str">
        <f ca="1">IFERROR(__xludf.DUMMYFUNCTION("""COMPUTED_VALUE"""),"Escherichia coli VTEC O146:HNT - eae negative vtx1 positive vtx2 positive")</f>
        <v>Escherichia coli VTEC O146:HNT - eae negative vtx1 positive vtx2 positive</v>
      </c>
      <c r="B2163" t="str">
        <f ca="1">IFERROR(__xludf.DUMMYFUNCTION("""COMPUTED_VALUE"""),"RF-00003971-MCG")</f>
        <v>RF-00003971-MCG</v>
      </c>
    </row>
    <row r="2164" spans="1:2" ht="12.5" x14ac:dyDescent="0.25">
      <c r="A2164" t="str">
        <f ca="1">IFERROR(__xludf.DUMMYFUNCTION("""COMPUTED_VALUE"""),"Escherichia coli VTEC O146:Hrough")</f>
        <v>Escherichia coli VTEC O146:Hrough</v>
      </c>
      <c r="B2164" t="str">
        <f ca="1">IFERROR(__xludf.DUMMYFUNCTION("""COMPUTED_VALUE"""),"RF-00003972-MCG")</f>
        <v>RF-00003972-MCG</v>
      </c>
    </row>
    <row r="2165" spans="1:2" ht="12.5" x14ac:dyDescent="0.25">
      <c r="A2165" t="str">
        <f ca="1">IFERROR(__xludf.DUMMYFUNCTION("""COMPUTED_VALUE"""),"Escherichia coli VTEC O146:Hrough - eae negative vtx1 positive vtx2 negative")</f>
        <v>Escherichia coli VTEC O146:Hrough - eae negative vtx1 positive vtx2 negative</v>
      </c>
      <c r="B2165" t="str">
        <f ca="1">IFERROR(__xludf.DUMMYFUNCTION("""COMPUTED_VALUE"""),"RF-00003973-MCG")</f>
        <v>RF-00003973-MCG</v>
      </c>
    </row>
    <row r="2166" spans="1:2" ht="12.5" x14ac:dyDescent="0.25">
      <c r="A2166" t="str">
        <f ca="1">IFERROR(__xludf.DUMMYFUNCTION("""COMPUTED_VALUE"""),"Escherichia coli VTEC O146:Hrough - eae negative vtx1 positive vtx2 positive")</f>
        <v>Escherichia coli VTEC O146:Hrough - eae negative vtx1 positive vtx2 positive</v>
      </c>
      <c r="B2166" t="str">
        <f ca="1">IFERROR(__xludf.DUMMYFUNCTION("""COMPUTED_VALUE"""),"RF-00003974-MCG")</f>
        <v>RF-00003974-MCG</v>
      </c>
    </row>
    <row r="2167" spans="1:2" ht="12.5" x14ac:dyDescent="0.25">
      <c r="A2167" t="str">
        <f ca="1">IFERROR(__xludf.DUMMYFUNCTION("""COMPUTED_VALUE"""),"Escherichia coli VTEC O149:HNT")</f>
        <v>Escherichia coli VTEC O149:HNT</v>
      </c>
      <c r="B2167" t="str">
        <f ca="1">IFERROR(__xludf.DUMMYFUNCTION("""COMPUTED_VALUE"""),"RF-00003592-MCG")</f>
        <v>RF-00003592-MCG</v>
      </c>
    </row>
    <row r="2168" spans="1:2" ht="12.5" x14ac:dyDescent="0.25">
      <c r="A2168" t="str">
        <f ca="1">IFERROR(__xludf.DUMMYFUNCTION("""COMPUTED_VALUE"""),"Escherichia coli VTEC O149:HNT - eae negative vtx1 positive vtx2 positive")</f>
        <v>Escherichia coli VTEC O149:HNT - eae negative vtx1 positive vtx2 positive</v>
      </c>
      <c r="B2168" t="str">
        <f ca="1">IFERROR(__xludf.DUMMYFUNCTION("""COMPUTED_VALUE"""),"RF-00003740-MCG")</f>
        <v>RF-00003740-MCG</v>
      </c>
    </row>
    <row r="2169" spans="1:2" ht="12.5" x14ac:dyDescent="0.25">
      <c r="A2169" t="str">
        <f ca="1">IFERROR(__xludf.DUMMYFUNCTION("""COMPUTED_VALUE"""),"Escherichia coli VTEC O15")</f>
        <v>Escherichia coli VTEC O15</v>
      </c>
      <c r="B2169" t="str">
        <f ca="1">IFERROR(__xludf.DUMMYFUNCTION("""COMPUTED_VALUE"""),"RF-00000187-MCG")</f>
        <v>RF-00000187-MCG</v>
      </c>
    </row>
    <row r="2170" spans="1:2" ht="12.5" x14ac:dyDescent="0.25">
      <c r="A2170" t="str">
        <f ca="1">IFERROR(__xludf.DUMMYFUNCTION("""COMPUTED_VALUE"""),"Escherichia coli VTEC O15:H2 - eae negative vtx1 positive vtx2 positive")</f>
        <v>Escherichia coli VTEC O15:H2 - eae negative vtx1 positive vtx2 positive</v>
      </c>
      <c r="B2170" t="str">
        <f ca="1">IFERROR(__xludf.DUMMYFUNCTION("""COMPUTED_VALUE"""),"RF-00001248-PAR")</f>
        <v>RF-00001248-PAR</v>
      </c>
    </row>
    <row r="2171" spans="1:2" ht="12.5" x14ac:dyDescent="0.25">
      <c r="A2171" t="str">
        <f ca="1">IFERROR(__xludf.DUMMYFUNCTION("""COMPUTED_VALUE"""),"Escherichia coli VTEC O15:HNM - eae negative vtx1 positive vtx2 positive")</f>
        <v>Escherichia coli VTEC O15:HNM - eae negative vtx1 positive vtx2 positive</v>
      </c>
      <c r="B2171" t="str">
        <f ca="1">IFERROR(__xludf.DUMMYFUNCTION("""COMPUTED_VALUE"""),"RF-00001249-PAR")</f>
        <v>RF-00001249-PAR</v>
      </c>
    </row>
    <row r="2172" spans="1:2" ht="12.5" x14ac:dyDescent="0.25">
      <c r="A2172" t="str">
        <f ca="1">IFERROR(__xludf.DUMMYFUNCTION("""COMPUTED_VALUE"""),"Escherichia coli VTEC O150")</f>
        <v>Escherichia coli VTEC O150</v>
      </c>
      <c r="B2172" t="str">
        <f ca="1">IFERROR(__xludf.DUMMYFUNCTION("""COMPUTED_VALUE"""),"RF-00000204-MCG")</f>
        <v>RF-00000204-MCG</v>
      </c>
    </row>
    <row r="2173" spans="1:2" ht="12.5" x14ac:dyDescent="0.25">
      <c r="A2173" t="str">
        <f ca="1">IFERROR(__xludf.DUMMYFUNCTION("""COMPUTED_VALUE"""),"Escherichia coli VTEC O150:H-")</f>
        <v>Escherichia coli VTEC O150:H-</v>
      </c>
      <c r="B2173" t="str">
        <f ca="1">IFERROR(__xludf.DUMMYFUNCTION("""COMPUTED_VALUE"""),"RF-00003593-MCG")</f>
        <v>RF-00003593-MCG</v>
      </c>
    </row>
    <row r="2174" spans="1:2" ht="12.5" x14ac:dyDescent="0.25">
      <c r="A2174" t="str">
        <f ca="1">IFERROR(__xludf.DUMMYFUNCTION("""COMPUTED_VALUE"""),"Escherichia coli VTEC O150:H8 - eae negative vtx1 positive vtx2 positive")</f>
        <v>Escherichia coli VTEC O150:H8 - eae negative vtx1 positive vtx2 positive</v>
      </c>
      <c r="B2174" t="str">
        <f ca="1">IFERROR(__xludf.DUMMYFUNCTION("""COMPUTED_VALUE"""),"RF-00001250-PAR")</f>
        <v>RF-00001250-PAR</v>
      </c>
    </row>
    <row r="2175" spans="1:2" ht="12.5" x14ac:dyDescent="0.25">
      <c r="A2175" t="str">
        <f ca="1">IFERROR(__xludf.DUMMYFUNCTION("""COMPUTED_VALUE"""),"Escherichia coli VTEC O150:HNM - eae negative vtx1 positive vtx2 positive")</f>
        <v>Escherichia coli VTEC O150:HNM - eae negative vtx1 positive vtx2 positive</v>
      </c>
      <c r="B2175" t="str">
        <f ca="1">IFERROR(__xludf.DUMMYFUNCTION("""COMPUTED_VALUE"""),"RF-00001251-PAR")</f>
        <v>RF-00001251-PAR</v>
      </c>
    </row>
    <row r="2176" spans="1:2" ht="12.5" x14ac:dyDescent="0.25">
      <c r="A2176" t="str">
        <f ca="1">IFERROR(__xludf.DUMMYFUNCTION("""COMPUTED_VALUE"""),"Escherichia coli VTEC O153")</f>
        <v>Escherichia coli VTEC O153</v>
      </c>
      <c r="B2176" t="str">
        <f ca="1">IFERROR(__xludf.DUMMYFUNCTION("""COMPUTED_VALUE"""),"RF-00000203-MCG")</f>
        <v>RF-00000203-MCG</v>
      </c>
    </row>
    <row r="2177" spans="1:2" ht="12.5" x14ac:dyDescent="0.25">
      <c r="A2177" t="str">
        <f ca="1">IFERROR(__xludf.DUMMYFUNCTION("""COMPUTED_VALUE"""),"Escherichia coli VTEC O153:H25")</f>
        <v>Escherichia coli VTEC O153:H25</v>
      </c>
      <c r="B2177" t="str">
        <f ca="1">IFERROR(__xludf.DUMMYFUNCTION("""COMPUTED_VALUE"""),"RF-00003594-MCG")</f>
        <v>RF-00003594-MCG</v>
      </c>
    </row>
    <row r="2178" spans="1:2" ht="12.5" x14ac:dyDescent="0.25">
      <c r="A2178" t="str">
        <f ca="1">IFERROR(__xludf.DUMMYFUNCTION("""COMPUTED_VALUE"""),"Escherichia coli VTEC O153:H25 - eae negative vtx1 negative vtx2 positive")</f>
        <v>Escherichia coli VTEC O153:H25 - eae negative vtx1 negative vtx2 positive</v>
      </c>
      <c r="B2178" t="str">
        <f ca="1">IFERROR(__xludf.DUMMYFUNCTION("""COMPUTED_VALUE"""),"RF-00003741-MCG")</f>
        <v>RF-00003741-MCG</v>
      </c>
    </row>
    <row r="2179" spans="1:2" ht="12.5" x14ac:dyDescent="0.25">
      <c r="A2179" t="str">
        <f ca="1">IFERROR(__xludf.DUMMYFUNCTION("""COMPUTED_VALUE"""),"Escherichia coli VTEC O154:H34")</f>
        <v>Escherichia coli VTEC O154:H34</v>
      </c>
      <c r="B2179" t="str">
        <f ca="1">IFERROR(__xludf.DUMMYFUNCTION("""COMPUTED_VALUE"""),"RF-00003595-MCG")</f>
        <v>RF-00003595-MCG</v>
      </c>
    </row>
    <row r="2180" spans="1:2" ht="12.5" x14ac:dyDescent="0.25">
      <c r="A2180" t="str">
        <f ca="1">IFERROR(__xludf.DUMMYFUNCTION("""COMPUTED_VALUE"""),"Escherichia coli VTEC O156:H-")</f>
        <v>Escherichia coli VTEC O156:H-</v>
      </c>
      <c r="B2180" t="str">
        <f ca="1">IFERROR(__xludf.DUMMYFUNCTION("""COMPUTED_VALUE"""),"RF-00003596-MCG")</f>
        <v>RF-00003596-MCG</v>
      </c>
    </row>
    <row r="2181" spans="1:2" ht="12.5" x14ac:dyDescent="0.25">
      <c r="A2181" t="str">
        <f ca="1">IFERROR(__xludf.DUMMYFUNCTION("""COMPUTED_VALUE"""),"Escherichia coli VTEC O156:H- - eae positive vtx1 and vtx2 positive")</f>
        <v>Escherichia coli VTEC O156:H- - eae positive vtx1 and vtx2 positive</v>
      </c>
      <c r="B2181" t="str">
        <f ca="1">IFERROR(__xludf.DUMMYFUNCTION("""COMPUTED_VALUE"""),"RF-00003742-MCG")</f>
        <v>RF-00003742-MCG</v>
      </c>
    </row>
    <row r="2182" spans="1:2" ht="12.5" x14ac:dyDescent="0.25">
      <c r="A2182" t="str">
        <f ca="1">IFERROR(__xludf.DUMMYFUNCTION("""COMPUTED_VALUE"""),"Escherichia coli VTEC O157")</f>
        <v>Escherichia coli VTEC O157</v>
      </c>
      <c r="B2182" t="str">
        <f ca="1">IFERROR(__xludf.DUMMYFUNCTION("""COMPUTED_VALUE"""),"RF-00000202-MCG")</f>
        <v>RF-00000202-MCG</v>
      </c>
    </row>
    <row r="2183" spans="1:2" ht="12.5" x14ac:dyDescent="0.25">
      <c r="A2183" t="str">
        <f ca="1">IFERROR(__xludf.DUMMYFUNCTION("""COMPUTED_VALUE"""),"Escherichia coli VTEC O157 - eae negative")</f>
        <v>Escherichia coli VTEC O157 - eae negative</v>
      </c>
      <c r="B2183" t="str">
        <f ca="1">IFERROR(__xludf.DUMMYFUNCTION("""COMPUTED_VALUE"""),"RF-00003743-MCG")</f>
        <v>RF-00003743-MCG</v>
      </c>
    </row>
    <row r="2184" spans="1:2" ht="12.5" x14ac:dyDescent="0.25">
      <c r="A2184" t="str">
        <f ca="1">IFERROR(__xludf.DUMMYFUNCTION("""COMPUTED_VALUE"""),"Escherichia coli VTEC O157 - eae positive")</f>
        <v>Escherichia coli VTEC O157 - eae positive</v>
      </c>
      <c r="B2184" t="str">
        <f ca="1">IFERROR(__xludf.DUMMYFUNCTION("""COMPUTED_VALUE"""),"RF-00003744-MCG")</f>
        <v>RF-00003744-MCG</v>
      </c>
    </row>
    <row r="2185" spans="1:2" ht="12.5" x14ac:dyDescent="0.25">
      <c r="A2185" t="str">
        <f ca="1">IFERROR(__xludf.DUMMYFUNCTION("""COMPUTED_VALUE"""),"Escherichia coli VTEC O157 - eae positive vtx1 and vtx2 positive")</f>
        <v>Escherichia coli VTEC O157 - eae positive vtx1 and vtx2 positive</v>
      </c>
      <c r="B2185" t="str">
        <f ca="1">IFERROR(__xludf.DUMMYFUNCTION("""COMPUTED_VALUE"""),"RF-00003745-MCG")</f>
        <v>RF-00003745-MCG</v>
      </c>
    </row>
    <row r="2186" spans="1:2" ht="12.5" x14ac:dyDescent="0.25">
      <c r="A2186" t="str">
        <f ca="1">IFERROR(__xludf.DUMMYFUNCTION("""COMPUTED_VALUE"""),"Escherichia coli VTEC O157 - eae positive vtx1 positive")</f>
        <v>Escherichia coli VTEC O157 - eae positive vtx1 positive</v>
      </c>
      <c r="B2186" t="str">
        <f ca="1">IFERROR(__xludf.DUMMYFUNCTION("""COMPUTED_VALUE"""),"RF-00003746-MCG")</f>
        <v>RF-00003746-MCG</v>
      </c>
    </row>
    <row r="2187" spans="1:2" ht="12.5" x14ac:dyDescent="0.25">
      <c r="A2187" t="str">
        <f ca="1">IFERROR(__xludf.DUMMYFUNCTION("""COMPUTED_VALUE"""),"Escherichia coli VTEC O157 - eae positive vtx2 positive")</f>
        <v>Escherichia coli VTEC O157 - eae positive vtx2 positive</v>
      </c>
      <c r="B2187" t="str">
        <f ca="1">IFERROR(__xludf.DUMMYFUNCTION("""COMPUTED_VALUE"""),"RF-00003747-MCG")</f>
        <v>RF-00003747-MCG</v>
      </c>
    </row>
    <row r="2188" spans="1:2" ht="12.5" x14ac:dyDescent="0.25">
      <c r="A2188" t="str">
        <f ca="1">IFERROR(__xludf.DUMMYFUNCTION("""COMPUTED_VALUE"""),"Escherichia coli VTEC O157:H")</f>
        <v>Escherichia coli VTEC O157:H</v>
      </c>
      <c r="B2188" t="str">
        <f ca="1">IFERROR(__xludf.DUMMYFUNCTION("""COMPUTED_VALUE"""),"RF-00000201-MCG")</f>
        <v>RF-00000201-MCG</v>
      </c>
    </row>
    <row r="2189" spans="1:2" ht="12.5" x14ac:dyDescent="0.25">
      <c r="A2189" t="str">
        <f ca="1">IFERROR(__xludf.DUMMYFUNCTION("""COMPUTED_VALUE"""),"Escherichia coli VTEC O157:H - eae negative")</f>
        <v>Escherichia coli VTEC O157:H - eae negative</v>
      </c>
      <c r="B2189" t="str">
        <f ca="1">IFERROR(__xludf.DUMMYFUNCTION("""COMPUTED_VALUE"""),"RF-00003748-MCG")</f>
        <v>RF-00003748-MCG</v>
      </c>
    </row>
    <row r="2190" spans="1:2" ht="12.5" x14ac:dyDescent="0.25">
      <c r="A2190" t="str">
        <f ca="1">IFERROR(__xludf.DUMMYFUNCTION("""COMPUTED_VALUE"""),"Escherichia coli VTEC O157:H - eae positive")</f>
        <v>Escherichia coli VTEC O157:H - eae positive</v>
      </c>
      <c r="B2190" t="str">
        <f ca="1">IFERROR(__xludf.DUMMYFUNCTION("""COMPUTED_VALUE"""),"RF-00003749-MCG")</f>
        <v>RF-00003749-MCG</v>
      </c>
    </row>
    <row r="2191" spans="1:2" ht="12.5" x14ac:dyDescent="0.25">
      <c r="A2191" t="str">
        <f ca="1">IFERROR(__xludf.DUMMYFUNCTION("""COMPUTED_VALUE"""),"Escherichia coli VTEC O157:H - eae positive vtx1 and vtx2 positive")</f>
        <v>Escherichia coli VTEC O157:H - eae positive vtx1 and vtx2 positive</v>
      </c>
      <c r="B2191" t="str">
        <f ca="1">IFERROR(__xludf.DUMMYFUNCTION("""COMPUTED_VALUE"""),"RF-00003750-MCG")</f>
        <v>RF-00003750-MCG</v>
      </c>
    </row>
    <row r="2192" spans="1:2" ht="12.5" x14ac:dyDescent="0.25">
      <c r="A2192" t="str">
        <f ca="1">IFERROR(__xludf.DUMMYFUNCTION("""COMPUTED_VALUE"""),"Escherichia coli VTEC O157:H - eae positive vtx1 positive")</f>
        <v>Escherichia coli VTEC O157:H - eae positive vtx1 positive</v>
      </c>
      <c r="B2192" t="str">
        <f ca="1">IFERROR(__xludf.DUMMYFUNCTION("""COMPUTED_VALUE"""),"RF-00003751-MCG")</f>
        <v>RF-00003751-MCG</v>
      </c>
    </row>
    <row r="2193" spans="1:2" ht="12.5" x14ac:dyDescent="0.25">
      <c r="A2193" t="str">
        <f ca="1">IFERROR(__xludf.DUMMYFUNCTION("""COMPUTED_VALUE"""),"Escherichia coli VTEC O157:H - eae positive vtx2 positive")</f>
        <v>Escherichia coli VTEC O157:H - eae positive vtx2 positive</v>
      </c>
      <c r="B2193" t="str">
        <f ca="1">IFERROR(__xludf.DUMMYFUNCTION("""COMPUTED_VALUE"""),"RF-00003752-MCG")</f>
        <v>RF-00003752-MCG</v>
      </c>
    </row>
    <row r="2194" spans="1:2" ht="12.5" x14ac:dyDescent="0.25">
      <c r="A2194" t="str">
        <f ca="1">IFERROR(__xludf.DUMMYFUNCTION("""COMPUTED_VALUE"""),"Escherichia coli VTEC O157:H-")</f>
        <v>Escherichia coli VTEC O157:H-</v>
      </c>
      <c r="B2194" t="str">
        <f ca="1">IFERROR(__xludf.DUMMYFUNCTION("""COMPUTED_VALUE"""),"RF-00000200-MCG")</f>
        <v>RF-00000200-MCG</v>
      </c>
    </row>
    <row r="2195" spans="1:2" ht="12.5" x14ac:dyDescent="0.25">
      <c r="A2195" t="str">
        <f ca="1">IFERROR(__xludf.DUMMYFUNCTION("""COMPUTED_VALUE"""),"Escherichia coli VTEC O157:H- - eae negative")</f>
        <v>Escherichia coli VTEC O157:H- - eae negative</v>
      </c>
      <c r="B2195" t="str">
        <f ca="1">IFERROR(__xludf.DUMMYFUNCTION("""COMPUTED_VALUE"""),"RF-00003753-MCG")</f>
        <v>RF-00003753-MCG</v>
      </c>
    </row>
    <row r="2196" spans="1:2" ht="12.5" x14ac:dyDescent="0.25">
      <c r="A2196" t="str">
        <f ca="1">IFERROR(__xludf.DUMMYFUNCTION("""COMPUTED_VALUE"""),"Escherichia coli VTEC O157:H- - eae positive")</f>
        <v>Escherichia coli VTEC O157:H- - eae positive</v>
      </c>
      <c r="B2196" t="str">
        <f ca="1">IFERROR(__xludf.DUMMYFUNCTION("""COMPUTED_VALUE"""),"RF-00003754-MCG")</f>
        <v>RF-00003754-MCG</v>
      </c>
    </row>
    <row r="2197" spans="1:2" ht="12.5" x14ac:dyDescent="0.25">
      <c r="A2197" t="str">
        <f ca="1">IFERROR(__xludf.DUMMYFUNCTION("""COMPUTED_VALUE"""),"Escherichia coli VTEC O157:H- - eae positive vtx1 negative vtx 2 negative")</f>
        <v>Escherichia coli VTEC O157:H- - eae positive vtx1 negative vtx 2 negative</v>
      </c>
      <c r="B2197" t="str">
        <f ca="1">IFERROR(__xludf.DUMMYFUNCTION("""COMPUTED_VALUE"""),"RF-00004066-MCG")</f>
        <v>RF-00004066-MCG</v>
      </c>
    </row>
    <row r="2198" spans="1:2" ht="12.5" x14ac:dyDescent="0.25">
      <c r="A2198" t="str">
        <f ca="1">IFERROR(__xludf.DUMMYFUNCTION("""COMPUTED_VALUE"""),"Escherichia coli VTEC O157:H- - eae positive vtx1 negative vtx 2 positive")</f>
        <v>Escherichia coli VTEC O157:H- - eae positive vtx1 negative vtx 2 positive</v>
      </c>
      <c r="B2198" t="str">
        <f ca="1">IFERROR(__xludf.DUMMYFUNCTION("""COMPUTED_VALUE"""),"RF-00004074-MCG")</f>
        <v>RF-00004074-MCG</v>
      </c>
    </row>
    <row r="2199" spans="1:2" ht="12.5" x14ac:dyDescent="0.25">
      <c r="A2199" t="str">
        <f ca="1">IFERROR(__xludf.DUMMYFUNCTION("""COMPUTED_VALUE"""),"Escherichia coli VTEC O157:H- - eae positive vtx1 positive")</f>
        <v>Escherichia coli VTEC O157:H- - eae positive vtx1 positive</v>
      </c>
      <c r="B2199" t="str">
        <f ca="1">IFERROR(__xludf.DUMMYFUNCTION("""COMPUTED_VALUE"""),"RF-00003756-MCG")</f>
        <v>RF-00003756-MCG</v>
      </c>
    </row>
    <row r="2200" spans="1:2" ht="12.5" x14ac:dyDescent="0.25">
      <c r="A2200" t="str">
        <f ca="1">IFERROR(__xludf.DUMMYFUNCTION("""COMPUTED_VALUE"""),"Escherichia coli VTEC O157:H- - eae positive vtx1 positive vtx2 positive")</f>
        <v>Escherichia coli VTEC O157:H- - eae positive vtx1 positive vtx2 positive</v>
      </c>
      <c r="B2200" t="str">
        <f ca="1">IFERROR(__xludf.DUMMYFUNCTION("""COMPUTED_VALUE"""),"RF-00003755-MCG")</f>
        <v>RF-00003755-MCG</v>
      </c>
    </row>
    <row r="2201" spans="1:2" ht="12.5" x14ac:dyDescent="0.25">
      <c r="A2201" t="str">
        <f ca="1">IFERROR(__xludf.DUMMYFUNCTION("""COMPUTED_VALUE"""),"Escherichia coli VTEC O157:H- - eae positive vtx2 positive")</f>
        <v>Escherichia coli VTEC O157:H- - eae positive vtx2 positive</v>
      </c>
      <c r="B2201" t="str">
        <f ca="1">IFERROR(__xludf.DUMMYFUNCTION("""COMPUTED_VALUE"""),"RF-00003757-MCG")</f>
        <v>RF-00003757-MCG</v>
      </c>
    </row>
    <row r="2202" spans="1:2" ht="12.5" x14ac:dyDescent="0.25">
      <c r="A2202" t="str">
        <f ca="1">IFERROR(__xludf.DUMMYFUNCTION("""COMPUTED_VALUE"""),"Escherichia coli VTEC O157:H16")</f>
        <v>Escherichia coli VTEC O157:H16</v>
      </c>
      <c r="B2202" t="str">
        <f ca="1">IFERROR(__xludf.DUMMYFUNCTION("""COMPUTED_VALUE"""),"RF-00000199-MCG")</f>
        <v>RF-00000199-MCG</v>
      </c>
    </row>
    <row r="2203" spans="1:2" ht="12.5" x14ac:dyDescent="0.25">
      <c r="A2203" t="str">
        <f ca="1">IFERROR(__xludf.DUMMYFUNCTION("""COMPUTED_VALUE"""),"Escherichia coli VTEC O157:H16 - eae negative")</f>
        <v>Escherichia coli VTEC O157:H16 - eae negative</v>
      </c>
      <c r="B2203" t="str">
        <f ca="1">IFERROR(__xludf.DUMMYFUNCTION("""COMPUTED_VALUE"""),"RF-00003758-MCG")</f>
        <v>RF-00003758-MCG</v>
      </c>
    </row>
    <row r="2204" spans="1:2" ht="12.5" x14ac:dyDescent="0.25">
      <c r="A2204" t="str">
        <f ca="1">IFERROR(__xludf.DUMMYFUNCTION("""COMPUTED_VALUE"""),"Escherichia coli VTEC O157:H16 - eae positive")</f>
        <v>Escherichia coli VTEC O157:H16 - eae positive</v>
      </c>
      <c r="B2204" t="str">
        <f ca="1">IFERROR(__xludf.DUMMYFUNCTION("""COMPUTED_VALUE"""),"RF-00003759-MCG")</f>
        <v>RF-00003759-MCG</v>
      </c>
    </row>
    <row r="2205" spans="1:2" ht="12.5" x14ac:dyDescent="0.25">
      <c r="A2205" t="str">
        <f ca="1">IFERROR(__xludf.DUMMYFUNCTION("""COMPUTED_VALUE"""),"Escherichia coli VTEC O157:H16 - eae positive vtx1 positive")</f>
        <v>Escherichia coli VTEC O157:H16 - eae positive vtx1 positive</v>
      </c>
      <c r="B2205" t="str">
        <f ca="1">IFERROR(__xludf.DUMMYFUNCTION("""COMPUTED_VALUE"""),"RF-00003761-MCG")</f>
        <v>RF-00003761-MCG</v>
      </c>
    </row>
    <row r="2206" spans="1:2" ht="12.5" x14ac:dyDescent="0.25">
      <c r="A2206" t="str">
        <f ca="1">IFERROR(__xludf.DUMMYFUNCTION("""COMPUTED_VALUE"""),"Escherichia coli VTEC O157:H16 - eae positive vtx1 positive vtx2 positive")</f>
        <v>Escherichia coli VTEC O157:H16 - eae positive vtx1 positive vtx2 positive</v>
      </c>
      <c r="B2206" t="str">
        <f ca="1">IFERROR(__xludf.DUMMYFUNCTION("""COMPUTED_VALUE"""),"RF-00003760-MCG")</f>
        <v>RF-00003760-MCG</v>
      </c>
    </row>
    <row r="2207" spans="1:2" ht="12.5" x14ac:dyDescent="0.25">
      <c r="A2207" t="str">
        <f ca="1">IFERROR(__xludf.DUMMYFUNCTION("""COMPUTED_VALUE"""),"Escherichia coli VTEC O157:H16 - eae positive vtx2 positive")</f>
        <v>Escherichia coli VTEC O157:H16 - eae positive vtx2 positive</v>
      </c>
      <c r="B2207" t="str">
        <f ca="1">IFERROR(__xludf.DUMMYFUNCTION("""COMPUTED_VALUE"""),"RF-00003762-MCG")</f>
        <v>RF-00003762-MCG</v>
      </c>
    </row>
    <row r="2208" spans="1:2" ht="12.5" x14ac:dyDescent="0.25">
      <c r="A2208" t="str">
        <f ca="1">IFERROR(__xludf.DUMMYFUNCTION("""COMPUTED_VALUE"""),"Escherichia coli VTEC O157:H18")</f>
        <v>Escherichia coli VTEC O157:H18</v>
      </c>
      <c r="B2208" t="str">
        <f ca="1">IFERROR(__xludf.DUMMYFUNCTION("""COMPUTED_VALUE"""),"RF-00000198-MCG")</f>
        <v>RF-00000198-MCG</v>
      </c>
    </row>
    <row r="2209" spans="1:2" ht="12.5" x14ac:dyDescent="0.25">
      <c r="A2209" t="str">
        <f ca="1">IFERROR(__xludf.DUMMYFUNCTION("""COMPUTED_VALUE"""),"Escherichia coli VTEC O157:H18 - eae negative")</f>
        <v>Escherichia coli VTEC O157:H18 - eae negative</v>
      </c>
      <c r="B2209" t="str">
        <f ca="1">IFERROR(__xludf.DUMMYFUNCTION("""COMPUTED_VALUE"""),"RF-00003763-MCG")</f>
        <v>RF-00003763-MCG</v>
      </c>
    </row>
    <row r="2210" spans="1:2" ht="12.5" x14ac:dyDescent="0.25">
      <c r="A2210" t="str">
        <f ca="1">IFERROR(__xludf.DUMMYFUNCTION("""COMPUTED_VALUE"""),"Escherichia coli VTEC O157:H18 - eae positive")</f>
        <v>Escherichia coli VTEC O157:H18 - eae positive</v>
      </c>
      <c r="B2210" t="str">
        <f ca="1">IFERROR(__xludf.DUMMYFUNCTION("""COMPUTED_VALUE"""),"RF-00003764-MCG")</f>
        <v>RF-00003764-MCG</v>
      </c>
    </row>
    <row r="2211" spans="1:2" ht="12.5" x14ac:dyDescent="0.25">
      <c r="A2211" t="str">
        <f ca="1">IFERROR(__xludf.DUMMYFUNCTION("""COMPUTED_VALUE"""),"Escherichia coli VTEC O157:H18 - eae positive vtx1 positive")</f>
        <v>Escherichia coli VTEC O157:H18 - eae positive vtx1 positive</v>
      </c>
      <c r="B2211" t="str">
        <f ca="1">IFERROR(__xludf.DUMMYFUNCTION("""COMPUTED_VALUE"""),"RF-00003766-MCG")</f>
        <v>RF-00003766-MCG</v>
      </c>
    </row>
    <row r="2212" spans="1:2" ht="12.5" x14ac:dyDescent="0.25">
      <c r="A2212" t="str">
        <f ca="1">IFERROR(__xludf.DUMMYFUNCTION("""COMPUTED_VALUE"""),"Escherichia coli VTEC O157:H18 - eae positive vtx1 positive vtx2 positive")</f>
        <v>Escherichia coli VTEC O157:H18 - eae positive vtx1 positive vtx2 positive</v>
      </c>
      <c r="B2212" t="str">
        <f ca="1">IFERROR(__xludf.DUMMYFUNCTION("""COMPUTED_VALUE"""),"RF-00003765-MCG")</f>
        <v>RF-00003765-MCG</v>
      </c>
    </row>
    <row r="2213" spans="1:2" ht="12.5" x14ac:dyDescent="0.25">
      <c r="A2213" t="str">
        <f ca="1">IFERROR(__xludf.DUMMYFUNCTION("""COMPUTED_VALUE"""),"Escherichia coli VTEC O157:H18 - eae positive vtx2 positive")</f>
        <v>Escherichia coli VTEC O157:H18 - eae positive vtx2 positive</v>
      </c>
      <c r="B2213" t="str">
        <f ca="1">IFERROR(__xludf.DUMMYFUNCTION("""COMPUTED_VALUE"""),"RF-00003767-MCG")</f>
        <v>RF-00003767-MCG</v>
      </c>
    </row>
    <row r="2214" spans="1:2" ht="12.5" x14ac:dyDescent="0.25">
      <c r="A2214" t="str">
        <f ca="1">IFERROR(__xludf.DUMMYFUNCTION("""COMPUTED_VALUE"""),"Escherichia coli VTEC O157:H19")</f>
        <v>Escherichia coli VTEC O157:H19</v>
      </c>
      <c r="B2214" t="str">
        <f ca="1">IFERROR(__xludf.DUMMYFUNCTION("""COMPUTED_VALUE"""),"RF-00000197-MCG")</f>
        <v>RF-00000197-MCG</v>
      </c>
    </row>
    <row r="2215" spans="1:2" ht="12.5" x14ac:dyDescent="0.25">
      <c r="A2215" t="str">
        <f ca="1">IFERROR(__xludf.DUMMYFUNCTION("""COMPUTED_VALUE"""),"Escherichia coli VTEC O157:H19 - eae negative")</f>
        <v>Escherichia coli VTEC O157:H19 - eae negative</v>
      </c>
      <c r="B2215" t="str">
        <f ca="1">IFERROR(__xludf.DUMMYFUNCTION("""COMPUTED_VALUE"""),"RF-00003768-MCG")</f>
        <v>RF-00003768-MCG</v>
      </c>
    </row>
    <row r="2216" spans="1:2" ht="12.5" x14ac:dyDescent="0.25">
      <c r="A2216" t="str">
        <f ca="1">IFERROR(__xludf.DUMMYFUNCTION("""COMPUTED_VALUE"""),"Escherichia coli VTEC O157:H19 - eae positive")</f>
        <v>Escherichia coli VTEC O157:H19 - eae positive</v>
      </c>
      <c r="B2216" t="str">
        <f ca="1">IFERROR(__xludf.DUMMYFUNCTION("""COMPUTED_VALUE"""),"RF-00003769-MCG")</f>
        <v>RF-00003769-MCG</v>
      </c>
    </row>
    <row r="2217" spans="1:2" ht="12.5" x14ac:dyDescent="0.25">
      <c r="A2217" t="str">
        <f ca="1">IFERROR(__xludf.DUMMYFUNCTION("""COMPUTED_VALUE"""),"Escherichia coli VTEC O157:H19 - eae positive vtx1 and vtx2 positive")</f>
        <v>Escherichia coli VTEC O157:H19 - eae positive vtx1 and vtx2 positive</v>
      </c>
      <c r="B2217" t="str">
        <f ca="1">IFERROR(__xludf.DUMMYFUNCTION("""COMPUTED_VALUE"""),"RF-00003770-MCG")</f>
        <v>RF-00003770-MCG</v>
      </c>
    </row>
    <row r="2218" spans="1:2" ht="12.5" x14ac:dyDescent="0.25">
      <c r="A2218" t="str">
        <f ca="1">IFERROR(__xludf.DUMMYFUNCTION("""COMPUTED_VALUE"""),"Escherichia coli VTEC O157:H19 - eae positive vtx1 positive")</f>
        <v>Escherichia coli VTEC O157:H19 - eae positive vtx1 positive</v>
      </c>
      <c r="B2218" t="str">
        <f ca="1">IFERROR(__xludf.DUMMYFUNCTION("""COMPUTED_VALUE"""),"RF-00003771-MCG")</f>
        <v>RF-00003771-MCG</v>
      </c>
    </row>
    <row r="2219" spans="1:2" ht="12.5" x14ac:dyDescent="0.25">
      <c r="A2219" t="str">
        <f ca="1">IFERROR(__xludf.DUMMYFUNCTION("""COMPUTED_VALUE"""),"Escherichia coli VTEC O157:H19 - eae positive vtx2 positive")</f>
        <v>Escherichia coli VTEC O157:H19 - eae positive vtx2 positive</v>
      </c>
      <c r="B2219" t="str">
        <f ca="1">IFERROR(__xludf.DUMMYFUNCTION("""COMPUTED_VALUE"""),"RF-00003772-MCG")</f>
        <v>RF-00003772-MCG</v>
      </c>
    </row>
    <row r="2220" spans="1:2" ht="12.5" x14ac:dyDescent="0.25">
      <c r="A2220" t="str">
        <f ca="1">IFERROR(__xludf.DUMMYFUNCTION("""COMPUTED_VALUE"""),"Escherichia coli VTEC O157:H7")</f>
        <v>Escherichia coli VTEC O157:H7</v>
      </c>
      <c r="B2220" t="str">
        <f ca="1">IFERROR(__xludf.DUMMYFUNCTION("""COMPUTED_VALUE"""),"RF-00000205-MCG")</f>
        <v>RF-00000205-MCG</v>
      </c>
    </row>
    <row r="2221" spans="1:2" ht="12.5" x14ac:dyDescent="0.25">
      <c r="A2221" t="str">
        <f ca="1">IFERROR(__xludf.DUMMYFUNCTION("""COMPUTED_VALUE"""),"Escherichia coli VTEC O157:H7 - eae negative")</f>
        <v>Escherichia coli VTEC O157:H7 - eae negative</v>
      </c>
      <c r="B2221" t="str">
        <f ca="1">IFERROR(__xludf.DUMMYFUNCTION("""COMPUTED_VALUE"""),"RF-00003773-MCG")</f>
        <v>RF-00003773-MCG</v>
      </c>
    </row>
    <row r="2222" spans="1:2" ht="12.5" x14ac:dyDescent="0.25">
      <c r="A2222" t="str">
        <f ca="1">IFERROR(__xludf.DUMMYFUNCTION("""COMPUTED_VALUE"""),"Escherichia coli VTEC O157:H7 - eae positive")</f>
        <v>Escherichia coli VTEC O157:H7 - eae positive</v>
      </c>
      <c r="B2222" t="str">
        <f ca="1">IFERROR(__xludf.DUMMYFUNCTION("""COMPUTED_VALUE"""),"RF-00003774-MCG")</f>
        <v>RF-00003774-MCG</v>
      </c>
    </row>
    <row r="2223" spans="1:2" ht="12.5" x14ac:dyDescent="0.25">
      <c r="A2223" t="str">
        <f ca="1">IFERROR(__xludf.DUMMYFUNCTION("""COMPUTED_VALUE"""),"Escherichia coli VTEC O157:H7 - eae positive vtx1 negative vtx2 negative")</f>
        <v>Escherichia coli VTEC O157:H7 - eae positive vtx1 negative vtx2 negative</v>
      </c>
      <c r="B2223" t="str">
        <f ca="1">IFERROR(__xludf.DUMMYFUNCTION("""COMPUTED_VALUE"""),"RF-00003975-MCG")</f>
        <v>RF-00003975-MCG</v>
      </c>
    </row>
    <row r="2224" spans="1:2" ht="12.5" x14ac:dyDescent="0.25">
      <c r="A2224" t="str">
        <f ca="1">IFERROR(__xludf.DUMMYFUNCTION("""COMPUTED_VALUE"""),"Escherichia coli VTEC O157:H7 - eae positive vtx1 negative vtx2 positive")</f>
        <v>Escherichia coli VTEC O157:H7 - eae positive vtx1 negative vtx2 positive</v>
      </c>
      <c r="B2224" t="str">
        <f ca="1">IFERROR(__xludf.DUMMYFUNCTION("""COMPUTED_VALUE"""),"RF-00003776-MCG")</f>
        <v>RF-00003776-MCG</v>
      </c>
    </row>
    <row r="2225" spans="1:2" ht="12.5" x14ac:dyDescent="0.25">
      <c r="A2225" t="str">
        <f ca="1">IFERROR(__xludf.DUMMYFUNCTION("""COMPUTED_VALUE"""),"Escherichia coli VTEC O157:H7 - eae positive vtx1 positive")</f>
        <v>Escherichia coli VTEC O157:H7 - eae positive vtx1 positive</v>
      </c>
      <c r="B2225" t="str">
        <f ca="1">IFERROR(__xludf.DUMMYFUNCTION("""COMPUTED_VALUE"""),"RF-00003777-MCG")</f>
        <v>RF-00003777-MCG</v>
      </c>
    </row>
    <row r="2226" spans="1:2" ht="12.5" x14ac:dyDescent="0.25">
      <c r="A2226" t="str">
        <f ca="1">IFERROR(__xludf.DUMMYFUNCTION("""COMPUTED_VALUE"""),"Escherichia coli VTEC O157:H7 - eae positive vtx1 positive vtx2 positive")</f>
        <v>Escherichia coli VTEC O157:H7 - eae positive vtx1 positive vtx2 positive</v>
      </c>
      <c r="B2226" t="str">
        <f ca="1">IFERROR(__xludf.DUMMYFUNCTION("""COMPUTED_VALUE"""),"RF-00003775-MCG")</f>
        <v>RF-00003775-MCG</v>
      </c>
    </row>
    <row r="2227" spans="1:2" ht="12.5" x14ac:dyDescent="0.25">
      <c r="A2227" t="str">
        <f ca="1">IFERROR(__xludf.DUMMYFUNCTION("""COMPUTED_VALUE"""),"Escherichia coli VTEC O157:H7 - eae positive vtx2 positive")</f>
        <v>Escherichia coli VTEC O157:H7 - eae positive vtx2 positive</v>
      </c>
      <c r="B2227" t="str">
        <f ca="1">IFERROR(__xludf.DUMMYFUNCTION("""COMPUTED_VALUE"""),"RF-00003778-MCG")</f>
        <v>RF-00003778-MCG</v>
      </c>
    </row>
    <row r="2228" spans="1:2" ht="12.5" x14ac:dyDescent="0.25">
      <c r="A2228" t="str">
        <f ca="1">IFERROR(__xludf.DUMMYFUNCTION("""COMPUTED_VALUE"""),"Escherichia coli VTEC O157:HNM")</f>
        <v>Escherichia coli VTEC O157:HNM</v>
      </c>
      <c r="B2228" t="str">
        <f ca="1">IFERROR(__xludf.DUMMYFUNCTION("""COMPUTED_VALUE"""),"RF-00003976-MCG")</f>
        <v>RF-00003976-MCG</v>
      </c>
    </row>
    <row r="2229" spans="1:2" ht="12.5" x14ac:dyDescent="0.25">
      <c r="A2229" t="str">
        <f ca="1">IFERROR(__xludf.DUMMYFUNCTION("""COMPUTED_VALUE"""),"Escherichia coli VTEC O157:HNM - eae positive vtx1 negative vtx2 negative")</f>
        <v>Escherichia coli VTEC O157:HNM - eae positive vtx1 negative vtx2 negative</v>
      </c>
      <c r="B2229" t="str">
        <f ca="1">IFERROR(__xludf.DUMMYFUNCTION("""COMPUTED_VALUE"""),"RF-00003977-MCG")</f>
        <v>RF-00003977-MCG</v>
      </c>
    </row>
    <row r="2230" spans="1:2" ht="12.5" x14ac:dyDescent="0.25">
      <c r="A2230" t="str">
        <f ca="1">IFERROR(__xludf.DUMMYFUNCTION("""COMPUTED_VALUE"""),"Escherichia coli VTEC O157:HNM - eae positive vtx1 positive vtx2 positive")</f>
        <v>Escherichia coli VTEC O157:HNM - eae positive vtx1 positive vtx2 positive</v>
      </c>
      <c r="B2230" t="str">
        <f ca="1">IFERROR(__xludf.DUMMYFUNCTION("""COMPUTED_VALUE"""),"RF-00003978-MCG")</f>
        <v>RF-00003978-MCG</v>
      </c>
    </row>
    <row r="2231" spans="1:2" ht="12.5" x14ac:dyDescent="0.25">
      <c r="A2231" t="str">
        <f ca="1">IFERROR(__xludf.DUMMYFUNCTION("""COMPUTED_VALUE"""),"Escherichia coli VTEC O160:HNT")</f>
        <v>Escherichia coli VTEC O160:HNT</v>
      </c>
      <c r="B2231" t="str">
        <f ca="1">IFERROR(__xludf.DUMMYFUNCTION("""COMPUTED_VALUE"""),"RF-00003979-MCG")</f>
        <v>RF-00003979-MCG</v>
      </c>
    </row>
    <row r="2232" spans="1:2" ht="12.5" x14ac:dyDescent="0.25">
      <c r="A2232" t="str">
        <f ca="1">IFERROR(__xludf.DUMMYFUNCTION("""COMPUTED_VALUE"""),"Escherichia coli VTEC O160:HNT - eae negative vtx1 positive vtx2 positive")</f>
        <v>Escherichia coli VTEC O160:HNT - eae negative vtx1 positive vtx2 positive</v>
      </c>
      <c r="B2232" t="str">
        <f ca="1">IFERROR(__xludf.DUMMYFUNCTION("""COMPUTED_VALUE"""),"RF-00003980-MCG")</f>
        <v>RF-00003980-MCG</v>
      </c>
    </row>
    <row r="2233" spans="1:2" ht="12.5" x14ac:dyDescent="0.25">
      <c r="A2233" t="str">
        <f ca="1">IFERROR(__xludf.DUMMYFUNCTION("""COMPUTED_VALUE"""),"Escherichia coli VTEC O166")</f>
        <v>Escherichia coli VTEC O166</v>
      </c>
      <c r="B2233" t="str">
        <f ca="1">IFERROR(__xludf.DUMMYFUNCTION("""COMPUTED_VALUE"""),"RF-00000185-MCG")</f>
        <v>RF-00000185-MCG</v>
      </c>
    </row>
    <row r="2234" spans="1:2" ht="12.5" x14ac:dyDescent="0.25">
      <c r="A2234" t="str">
        <f ca="1">IFERROR(__xludf.DUMMYFUNCTION("""COMPUTED_VALUE"""),"Escherichia coli VTEC O166:H12")</f>
        <v>Escherichia coli VTEC O166:H12</v>
      </c>
      <c r="B2234" t="str">
        <f ca="1">IFERROR(__xludf.DUMMYFUNCTION("""COMPUTED_VALUE"""),"RF-00001321-PAR")</f>
        <v>RF-00001321-PAR</v>
      </c>
    </row>
    <row r="2235" spans="1:2" ht="12.5" x14ac:dyDescent="0.25">
      <c r="A2235" t="str">
        <f ca="1">IFERROR(__xludf.DUMMYFUNCTION("""COMPUTED_VALUE"""),"Escherichia coli VTEC O166:H12 - eae negative vtx1 positive vtx2 positive")</f>
        <v>Escherichia coli VTEC O166:H12 - eae negative vtx1 positive vtx2 positive</v>
      </c>
      <c r="B2235" t="str">
        <f ca="1">IFERROR(__xludf.DUMMYFUNCTION("""COMPUTED_VALUE"""),"RF-00001322-PAR")</f>
        <v>RF-00001322-PAR</v>
      </c>
    </row>
    <row r="2236" spans="1:2" ht="12.5" x14ac:dyDescent="0.25">
      <c r="A2236" t="str">
        <f ca="1">IFERROR(__xludf.DUMMYFUNCTION("""COMPUTED_VALUE"""),"Escherichia coli VTEC O166:H28")</f>
        <v>Escherichia coli VTEC O166:H28</v>
      </c>
      <c r="B2236" t="str">
        <f ca="1">IFERROR(__xludf.DUMMYFUNCTION("""COMPUTED_VALUE"""),"RF-00003597-MCG")</f>
        <v>RF-00003597-MCG</v>
      </c>
    </row>
    <row r="2237" spans="1:2" ht="12.5" x14ac:dyDescent="0.25">
      <c r="A2237" t="str">
        <f ca="1">IFERROR(__xludf.DUMMYFUNCTION("""COMPUTED_VALUE"""),"Escherichia coli VTEC O166:H28 - eae negative vtx1 positive vtx2 negative")</f>
        <v>Escherichia coli VTEC O166:H28 - eae negative vtx1 positive vtx2 negative</v>
      </c>
      <c r="B2237" t="str">
        <f ca="1">IFERROR(__xludf.DUMMYFUNCTION("""COMPUTED_VALUE"""),"RF-00003779-MCG")</f>
        <v>RF-00003779-MCG</v>
      </c>
    </row>
    <row r="2238" spans="1:2" ht="12.5" x14ac:dyDescent="0.25">
      <c r="A2238" t="str">
        <f ca="1">IFERROR(__xludf.DUMMYFUNCTION("""COMPUTED_VALUE"""),"Escherichia coli VTEC O166:H28 - eae negative vtx1 positive vtx2 positive")</f>
        <v>Escherichia coli VTEC O166:H28 - eae negative vtx1 positive vtx2 positive</v>
      </c>
      <c r="B2238" t="str">
        <f ca="1">IFERROR(__xludf.DUMMYFUNCTION("""COMPUTED_VALUE"""),"RF-00001252-PAR")</f>
        <v>RF-00001252-PAR</v>
      </c>
    </row>
    <row r="2239" spans="1:2" ht="12.5" x14ac:dyDescent="0.25">
      <c r="A2239" t="str">
        <f ca="1">IFERROR(__xludf.DUMMYFUNCTION("""COMPUTED_VALUE"""),"Escherichia coli VTEC O166:HNM - eae negative vtx1 positive vtx2 negative")</f>
        <v>Escherichia coli VTEC O166:HNM - eae negative vtx1 positive vtx2 negative</v>
      </c>
      <c r="B2239" t="str">
        <f ca="1">IFERROR(__xludf.DUMMYFUNCTION("""COMPUTED_VALUE"""),"RF-00001253-PAR")</f>
        <v>RF-00001253-PAR</v>
      </c>
    </row>
    <row r="2240" spans="1:2" ht="12.5" x14ac:dyDescent="0.25">
      <c r="A2240" t="str">
        <f ca="1">IFERROR(__xludf.DUMMYFUNCTION("""COMPUTED_VALUE"""),"Escherichia coli VTEC O166:HNT")</f>
        <v>Escherichia coli VTEC O166:HNT</v>
      </c>
      <c r="B2240" t="str">
        <f ca="1">IFERROR(__xludf.DUMMYFUNCTION("""COMPUTED_VALUE"""),"RF-00003598-MCG")</f>
        <v>RF-00003598-MCG</v>
      </c>
    </row>
    <row r="2241" spans="1:2" ht="12.5" x14ac:dyDescent="0.25">
      <c r="A2241" t="str">
        <f ca="1">IFERROR(__xludf.DUMMYFUNCTION("""COMPUTED_VALUE"""),"Escherichia coli VTEC O166:HNT - eae negative vtx1 positive vtx2 negative")</f>
        <v>Escherichia coli VTEC O166:HNT - eae negative vtx1 positive vtx2 negative</v>
      </c>
      <c r="B2241" t="str">
        <f ca="1">IFERROR(__xludf.DUMMYFUNCTION("""COMPUTED_VALUE"""),"RF-00003780-MCG")</f>
        <v>RF-00003780-MCG</v>
      </c>
    </row>
    <row r="2242" spans="1:2" ht="12.5" x14ac:dyDescent="0.25">
      <c r="A2242" t="str">
        <f ca="1">IFERROR(__xludf.DUMMYFUNCTION("""COMPUTED_VALUE"""),"Escherichia coli VTEC O166:Hrough")</f>
        <v>Escherichia coli VTEC O166:Hrough</v>
      </c>
      <c r="B2242" t="str">
        <f ca="1">IFERROR(__xludf.DUMMYFUNCTION("""COMPUTED_VALUE"""),"RF-00003981-MCG")</f>
        <v>RF-00003981-MCG</v>
      </c>
    </row>
    <row r="2243" spans="1:2" ht="12.5" x14ac:dyDescent="0.25">
      <c r="A2243" t="str">
        <f ca="1">IFERROR(__xludf.DUMMYFUNCTION("""COMPUTED_VALUE"""),"Escherichia coli VTEC O166:Hrough - eae negative vtx1 positive vtx2 negative")</f>
        <v>Escherichia coli VTEC O166:Hrough - eae negative vtx1 positive vtx2 negative</v>
      </c>
      <c r="B2243" t="str">
        <f ca="1">IFERROR(__xludf.DUMMYFUNCTION("""COMPUTED_VALUE"""),"RF-00003982-MCG")</f>
        <v>RF-00003982-MCG</v>
      </c>
    </row>
    <row r="2244" spans="1:2" ht="12.5" x14ac:dyDescent="0.25">
      <c r="A2244" t="str">
        <f ca="1">IFERROR(__xludf.DUMMYFUNCTION("""COMPUTED_VALUE"""),"Escherichia coli VTEC O166:Hrough - eae negative vtx1 positive vtx2 positive")</f>
        <v>Escherichia coli VTEC O166:Hrough - eae negative vtx1 positive vtx2 positive</v>
      </c>
      <c r="B2244" t="str">
        <f ca="1">IFERROR(__xludf.DUMMYFUNCTION("""COMPUTED_VALUE"""),"RF-00003983-MCG")</f>
        <v>RF-00003983-MCG</v>
      </c>
    </row>
    <row r="2245" spans="1:2" ht="12.5" x14ac:dyDescent="0.25">
      <c r="A2245" t="str">
        <f ca="1">IFERROR(__xludf.DUMMYFUNCTION("""COMPUTED_VALUE"""),"Escherichia coli VTEC O168:H5")</f>
        <v>Escherichia coli VTEC O168:H5</v>
      </c>
      <c r="B2245" t="str">
        <f ca="1">IFERROR(__xludf.DUMMYFUNCTION("""COMPUTED_VALUE"""),"RF-00003599-MCG")</f>
        <v>RF-00003599-MCG</v>
      </c>
    </row>
    <row r="2246" spans="1:2" ht="12.5" x14ac:dyDescent="0.25">
      <c r="A2246" t="str">
        <f ca="1">IFERROR(__xludf.DUMMYFUNCTION("""COMPUTED_VALUE"""),"Escherichia coli VTEC O168:H7")</f>
        <v>Escherichia coli VTEC O168:H7</v>
      </c>
      <c r="B2246" t="str">
        <f ca="1">IFERROR(__xludf.DUMMYFUNCTION("""COMPUTED_VALUE"""),"RF-00003600-MCG")</f>
        <v>RF-00003600-MCG</v>
      </c>
    </row>
    <row r="2247" spans="1:2" ht="12.5" x14ac:dyDescent="0.25">
      <c r="A2247" t="str">
        <f ca="1">IFERROR(__xludf.DUMMYFUNCTION("""COMPUTED_VALUE"""),"Escherichia coli VTEC O168:H7 - eae negative vtx1 positive vtx2 negative")</f>
        <v>Escherichia coli VTEC O168:H7 - eae negative vtx1 positive vtx2 negative</v>
      </c>
      <c r="B2247" t="str">
        <f ca="1">IFERROR(__xludf.DUMMYFUNCTION("""COMPUTED_VALUE"""),"RF-00003781-MCG")</f>
        <v>RF-00003781-MCG</v>
      </c>
    </row>
    <row r="2248" spans="1:2" ht="12.5" x14ac:dyDescent="0.25">
      <c r="A2248" t="str">
        <f ca="1">IFERROR(__xludf.DUMMYFUNCTION("""COMPUTED_VALUE"""),"Escherichia coli VTEC O168:H8")</f>
        <v>Escherichia coli VTEC O168:H8</v>
      </c>
      <c r="B2248" t="str">
        <f ca="1">IFERROR(__xludf.DUMMYFUNCTION("""COMPUTED_VALUE"""),"RF-00003601-MCG")</f>
        <v>RF-00003601-MCG</v>
      </c>
    </row>
    <row r="2249" spans="1:2" ht="12.5" x14ac:dyDescent="0.25">
      <c r="A2249" t="str">
        <f ca="1">IFERROR(__xludf.DUMMYFUNCTION("""COMPUTED_VALUE"""),"Escherichia coli VTEC O168:H8 - eae negative vtx1 positive vtx2 negative")</f>
        <v>Escherichia coli VTEC O168:H8 - eae negative vtx1 positive vtx2 negative</v>
      </c>
      <c r="B2249" t="str">
        <f ca="1">IFERROR(__xludf.DUMMYFUNCTION("""COMPUTED_VALUE"""),"RF-00003782-MCG")</f>
        <v>RF-00003782-MCG</v>
      </c>
    </row>
    <row r="2250" spans="1:2" ht="12.5" x14ac:dyDescent="0.25">
      <c r="A2250" t="str">
        <f ca="1">IFERROR(__xludf.DUMMYFUNCTION("""COMPUTED_VALUE"""),"Escherichia coli VTEC O168:HNT")</f>
        <v>Escherichia coli VTEC O168:HNT</v>
      </c>
      <c r="B2250" t="str">
        <f ca="1">IFERROR(__xludf.DUMMYFUNCTION("""COMPUTED_VALUE"""),"RF-00003602-MCG")</f>
        <v>RF-00003602-MCG</v>
      </c>
    </row>
    <row r="2251" spans="1:2" ht="12.5" x14ac:dyDescent="0.25">
      <c r="A2251" t="str">
        <f ca="1">IFERROR(__xludf.DUMMYFUNCTION("""COMPUTED_VALUE"""),"Escherichia coli VTEC O168:Hrough")</f>
        <v>Escherichia coli VTEC O168:Hrough</v>
      </c>
      <c r="B2251" t="str">
        <f ca="1">IFERROR(__xludf.DUMMYFUNCTION("""COMPUTED_VALUE"""),"RF-00004097-MCG")</f>
        <v>RF-00004097-MCG</v>
      </c>
    </row>
    <row r="2252" spans="1:2" ht="12.5" x14ac:dyDescent="0.25">
      <c r="A2252" t="str">
        <f ca="1">IFERROR(__xludf.DUMMYFUNCTION("""COMPUTED_VALUE"""),"Escherichia coli VTEC O168:Hrough - eae negative vtx1 positive vtx2 negative")</f>
        <v>Escherichia coli VTEC O168:Hrough - eae negative vtx1 positive vtx2 negative</v>
      </c>
      <c r="B2252" t="str">
        <f ca="1">IFERROR(__xludf.DUMMYFUNCTION("""COMPUTED_VALUE"""),"RF-00004096-MCG")</f>
        <v>RF-00004096-MCG</v>
      </c>
    </row>
    <row r="2253" spans="1:2" ht="12.5" x14ac:dyDescent="0.25">
      <c r="A2253" t="str">
        <f ca="1">IFERROR(__xludf.DUMMYFUNCTION("""COMPUTED_VALUE"""),"Escherichia coli VTEC O17:H18")</f>
        <v>Escherichia coli VTEC O17:H18</v>
      </c>
      <c r="B2253" t="str">
        <f ca="1">IFERROR(__xludf.DUMMYFUNCTION("""COMPUTED_VALUE"""),"RF-00003617-MCG")</f>
        <v>RF-00003617-MCG</v>
      </c>
    </row>
    <row r="2254" spans="1:2" ht="12.5" x14ac:dyDescent="0.25">
      <c r="A2254" t="str">
        <f ca="1">IFERROR(__xludf.DUMMYFUNCTION("""COMPUTED_VALUE"""),"Escherichia coli VTEC O17:H18 - eae negative vtx1 positive vtx2 positive")</f>
        <v>Escherichia coli VTEC O17:H18 - eae negative vtx1 positive vtx2 positive</v>
      </c>
      <c r="B2254" t="str">
        <f ca="1">IFERROR(__xludf.DUMMYFUNCTION("""COMPUTED_VALUE"""),"RF-00003984-MCG")</f>
        <v>RF-00003984-MCG</v>
      </c>
    </row>
    <row r="2255" spans="1:2" ht="12.5" x14ac:dyDescent="0.25">
      <c r="A2255" t="str">
        <f ca="1">IFERROR(__xludf.DUMMYFUNCTION("""COMPUTED_VALUE"""),"Escherichia coli VTEC O172:H8")</f>
        <v>Escherichia coli VTEC O172:H8</v>
      </c>
      <c r="B2255" t="str">
        <f ca="1">IFERROR(__xludf.DUMMYFUNCTION("""COMPUTED_VALUE"""),"RF-00003603-MCG")</f>
        <v>RF-00003603-MCG</v>
      </c>
    </row>
    <row r="2256" spans="1:2" ht="12.5" x14ac:dyDescent="0.25">
      <c r="A2256" t="str">
        <f ca="1">IFERROR(__xludf.DUMMYFUNCTION("""COMPUTED_VALUE"""),"Escherichia coli VTEC O172:H9")</f>
        <v>Escherichia coli VTEC O172:H9</v>
      </c>
      <c r="B2256" t="str">
        <f ca="1">IFERROR(__xludf.DUMMYFUNCTION("""COMPUTED_VALUE"""),"RF-00003985-MCG")</f>
        <v>RF-00003985-MCG</v>
      </c>
    </row>
    <row r="2257" spans="1:2" ht="12.5" x14ac:dyDescent="0.25">
      <c r="A2257" t="str">
        <f ca="1">IFERROR(__xludf.DUMMYFUNCTION("""COMPUTED_VALUE"""),"Escherichia coli VTEC O172:H9 - eae negative vtx1 negative vtx2 positive")</f>
        <v>Escherichia coli VTEC O172:H9 - eae negative vtx1 negative vtx2 positive</v>
      </c>
      <c r="B2257" t="str">
        <f ca="1">IFERROR(__xludf.DUMMYFUNCTION("""COMPUTED_VALUE"""),"RF-00003986-MCG")</f>
        <v>RF-00003986-MCG</v>
      </c>
    </row>
    <row r="2258" spans="1:2" ht="12.5" x14ac:dyDescent="0.25">
      <c r="A2258" t="str">
        <f ca="1">IFERROR(__xludf.DUMMYFUNCTION("""COMPUTED_VALUE"""),"Escherichia coli VTEC O174")</f>
        <v>Escherichia coli VTEC O174</v>
      </c>
      <c r="B2258" t="str">
        <f ca="1">IFERROR(__xludf.DUMMYFUNCTION("""COMPUTED_VALUE"""),"RF-00000156-MCG")</f>
        <v>RF-00000156-MCG</v>
      </c>
    </row>
    <row r="2259" spans="1:2" ht="12.5" x14ac:dyDescent="0.25">
      <c r="A2259" t="str">
        <f ca="1">IFERROR(__xludf.DUMMYFUNCTION("""COMPUTED_VALUE"""),"Escherichia coli VTEC O174:H12")</f>
        <v>Escherichia coli VTEC O174:H12</v>
      </c>
      <c r="B2259" t="str">
        <f ca="1">IFERROR(__xludf.DUMMYFUNCTION("""COMPUTED_VALUE"""),"RF-00003604-MCG")</f>
        <v>RF-00003604-MCG</v>
      </c>
    </row>
    <row r="2260" spans="1:2" ht="12.5" x14ac:dyDescent="0.25">
      <c r="A2260" t="str">
        <f ca="1">IFERROR(__xludf.DUMMYFUNCTION("""COMPUTED_VALUE"""),"Escherichia coli VTEC O174:H2")</f>
        <v>Escherichia coli VTEC O174:H2</v>
      </c>
      <c r="B2260" t="str">
        <f ca="1">IFERROR(__xludf.DUMMYFUNCTION("""COMPUTED_VALUE"""),"RF-00000152-MCG")</f>
        <v>RF-00000152-MCG</v>
      </c>
    </row>
    <row r="2261" spans="1:2" ht="12.5" x14ac:dyDescent="0.25">
      <c r="A2261" t="str">
        <f ca="1">IFERROR(__xludf.DUMMYFUNCTION("""COMPUTED_VALUE"""),"Escherichia coli VTEC O174:H2 - eae negative vtx1 positive vtx2 positive")</f>
        <v>Escherichia coli VTEC O174:H2 - eae negative vtx1 positive vtx2 positive</v>
      </c>
      <c r="B2261" t="str">
        <f ca="1">IFERROR(__xludf.DUMMYFUNCTION("""COMPUTED_VALUE"""),"RF-00003987-MCG")</f>
        <v>RF-00003987-MCG</v>
      </c>
    </row>
    <row r="2262" spans="1:2" ht="12.5" x14ac:dyDescent="0.25">
      <c r="A2262" t="str">
        <f ca="1">IFERROR(__xludf.DUMMYFUNCTION("""COMPUTED_VALUE"""),"Escherichia coli VTEC O174:H21")</f>
        <v>Escherichia coli VTEC O174:H21</v>
      </c>
      <c r="B2262" t="str">
        <f ca="1">IFERROR(__xludf.DUMMYFUNCTION("""COMPUTED_VALUE"""),"RF-00000151-MCG")</f>
        <v>RF-00000151-MCG</v>
      </c>
    </row>
    <row r="2263" spans="1:2" ht="12.5" x14ac:dyDescent="0.25">
      <c r="A2263" t="str">
        <f ca="1">IFERROR(__xludf.DUMMYFUNCTION("""COMPUTED_VALUE"""),"Escherichia coli VTEC O174:H21 - eae negative vtx1 negative vtx2 positive")</f>
        <v>Escherichia coli VTEC O174:H21 - eae negative vtx1 negative vtx2 positive</v>
      </c>
      <c r="B2263" t="str">
        <f ca="1">IFERROR(__xludf.DUMMYFUNCTION("""COMPUTED_VALUE"""),"RF-00003988-MCG")</f>
        <v>RF-00003988-MCG</v>
      </c>
    </row>
    <row r="2264" spans="1:2" ht="12.5" x14ac:dyDescent="0.25">
      <c r="A2264" t="str">
        <f ca="1">IFERROR(__xludf.DUMMYFUNCTION("""COMPUTED_VALUE"""),"Escherichia coli VTEC O174:H28")</f>
        <v>Escherichia coli VTEC O174:H28</v>
      </c>
      <c r="B2264" t="str">
        <f ca="1">IFERROR(__xludf.DUMMYFUNCTION("""COMPUTED_VALUE"""),"RF-00000150-MCG")</f>
        <v>RF-00000150-MCG</v>
      </c>
    </row>
    <row r="2265" spans="1:2" ht="12.5" x14ac:dyDescent="0.25">
      <c r="A2265" t="str">
        <f ca="1">IFERROR(__xludf.DUMMYFUNCTION("""COMPUTED_VALUE"""),"Escherichia coli VTEC O174:H8")</f>
        <v>Escherichia coli VTEC O174:H8</v>
      </c>
      <c r="B2265" t="str">
        <f ca="1">IFERROR(__xludf.DUMMYFUNCTION("""COMPUTED_VALUE"""),"RF-00003605-MCG")</f>
        <v>RF-00003605-MCG</v>
      </c>
    </row>
    <row r="2266" spans="1:2" ht="12.5" x14ac:dyDescent="0.25">
      <c r="A2266" t="str">
        <f ca="1">IFERROR(__xludf.DUMMYFUNCTION("""COMPUTED_VALUE"""),"Escherichia coli VTEC O174:H8 - eae negative vtx1 positive vtx2 positive")</f>
        <v>Escherichia coli VTEC O174:H8 - eae negative vtx1 positive vtx2 positive</v>
      </c>
      <c r="B2266" t="str">
        <f ca="1">IFERROR(__xludf.DUMMYFUNCTION("""COMPUTED_VALUE"""),"RF-00003783-MCG")</f>
        <v>RF-00003783-MCG</v>
      </c>
    </row>
    <row r="2267" spans="1:2" ht="12.5" x14ac:dyDescent="0.25">
      <c r="A2267" t="str">
        <f ca="1">IFERROR(__xludf.DUMMYFUNCTION("""COMPUTED_VALUE"""),"Escherichia coli VTEC O174:HNT")</f>
        <v>Escherichia coli VTEC O174:HNT</v>
      </c>
      <c r="B2267" t="str">
        <f ca="1">IFERROR(__xludf.DUMMYFUNCTION("""COMPUTED_VALUE"""),"RF-00003989-MCG")</f>
        <v>RF-00003989-MCG</v>
      </c>
    </row>
    <row r="2268" spans="1:2" ht="12.5" x14ac:dyDescent="0.25">
      <c r="A2268" t="str">
        <f ca="1">IFERROR(__xludf.DUMMYFUNCTION("""COMPUTED_VALUE"""),"Escherichia coli VTEC O174:HNT - eae negative vtx1 positive vtx2 positive")</f>
        <v>Escherichia coli VTEC O174:HNT - eae negative vtx1 positive vtx2 positive</v>
      </c>
      <c r="B2268" t="str">
        <f ca="1">IFERROR(__xludf.DUMMYFUNCTION("""COMPUTED_VALUE"""),"RF-00003990-MCG")</f>
        <v>RF-00003990-MCG</v>
      </c>
    </row>
    <row r="2269" spans="1:2" ht="12.5" x14ac:dyDescent="0.25">
      <c r="A2269" t="str">
        <f ca="1">IFERROR(__xludf.DUMMYFUNCTION("""COMPUTED_VALUE"""),"Escherichia coli VTEC O174:Hrough - eae negative vtx1 positive vtx2 positive")</f>
        <v>Escherichia coli VTEC O174:Hrough - eae negative vtx1 positive vtx2 positive</v>
      </c>
      <c r="B2269" t="str">
        <f ca="1">IFERROR(__xludf.DUMMYFUNCTION("""COMPUTED_VALUE"""),"RF-00001254-PAR")</f>
        <v>RF-00001254-PAR</v>
      </c>
    </row>
    <row r="2270" spans="1:2" ht="12.5" x14ac:dyDescent="0.25">
      <c r="A2270" t="str">
        <f ca="1">IFERROR(__xludf.DUMMYFUNCTION("""COMPUTED_VALUE"""),"Escherichia coli VTEC O175:H21")</f>
        <v>Escherichia coli VTEC O175:H21</v>
      </c>
      <c r="B2270" t="str">
        <f ca="1">IFERROR(__xludf.DUMMYFUNCTION("""COMPUTED_VALUE"""),"RF-00003606-MCG")</f>
        <v>RF-00003606-MCG</v>
      </c>
    </row>
    <row r="2271" spans="1:2" ht="12.5" x14ac:dyDescent="0.25">
      <c r="A2271" t="str">
        <f ca="1">IFERROR(__xludf.DUMMYFUNCTION("""COMPUTED_VALUE"""),"Escherichia coli VTEC O175:H21 - eae negative vtx1 positive vtx2 positive")</f>
        <v>Escherichia coli VTEC O175:H21 - eae negative vtx1 positive vtx2 positive</v>
      </c>
      <c r="B2271" t="str">
        <f ca="1">IFERROR(__xludf.DUMMYFUNCTION("""COMPUTED_VALUE"""),"RF-00003784-MCG")</f>
        <v>RF-00003784-MCG</v>
      </c>
    </row>
    <row r="2272" spans="1:2" ht="12.5" x14ac:dyDescent="0.25">
      <c r="A2272" t="str">
        <f ca="1">IFERROR(__xludf.DUMMYFUNCTION("""COMPUTED_VALUE"""),"Escherichia coli VTEC O176:H-")</f>
        <v>Escherichia coli VTEC O176:H-</v>
      </c>
      <c r="B2272" t="str">
        <f ca="1">IFERROR(__xludf.DUMMYFUNCTION("""COMPUTED_VALUE"""),"RF-00003607-MCG")</f>
        <v>RF-00003607-MCG</v>
      </c>
    </row>
    <row r="2273" spans="1:2" ht="12.5" x14ac:dyDescent="0.25">
      <c r="A2273" t="str">
        <f ca="1">IFERROR(__xludf.DUMMYFUNCTION("""COMPUTED_VALUE"""),"Escherichia coli VTEC O176:H- - eae negative vtx1 positive vtx2 negative")</f>
        <v>Escherichia coli VTEC O176:H- - eae negative vtx1 positive vtx2 negative</v>
      </c>
      <c r="B2273" t="str">
        <f ca="1">IFERROR(__xludf.DUMMYFUNCTION("""COMPUTED_VALUE"""),"RF-00003785-MCG")</f>
        <v>RF-00003785-MCG</v>
      </c>
    </row>
    <row r="2274" spans="1:2" ht="12.5" x14ac:dyDescent="0.25">
      <c r="A2274" t="str">
        <f ca="1">IFERROR(__xludf.DUMMYFUNCTION("""COMPUTED_VALUE"""),"Escherichia coli VTEC O176:H- - eae negative vtx1 positive vtx2 positive")</f>
        <v>Escherichia coli VTEC O176:H- - eae negative vtx1 positive vtx2 positive</v>
      </c>
      <c r="B2274" t="str">
        <f ca="1">IFERROR(__xludf.DUMMYFUNCTION("""COMPUTED_VALUE"""),"RF-00003786-MCG")</f>
        <v>RF-00003786-MCG</v>
      </c>
    </row>
    <row r="2275" spans="1:2" ht="12.5" x14ac:dyDescent="0.25">
      <c r="A2275" t="str">
        <f ca="1">IFERROR(__xludf.DUMMYFUNCTION("""COMPUTED_VALUE"""),"Escherichia coli VTEC O176:H4")</f>
        <v>Escherichia coli VTEC O176:H4</v>
      </c>
      <c r="B2275" t="str">
        <f ca="1">IFERROR(__xludf.DUMMYFUNCTION("""COMPUTED_VALUE"""),"RF-00003608-MCG")</f>
        <v>RF-00003608-MCG</v>
      </c>
    </row>
    <row r="2276" spans="1:2" ht="12.5" x14ac:dyDescent="0.25">
      <c r="A2276" t="str">
        <f ca="1">IFERROR(__xludf.DUMMYFUNCTION("""COMPUTED_VALUE"""),"Escherichia coli VTEC O176:HNM - eae negative vtx1 positive vtx2 negative")</f>
        <v>Escherichia coli VTEC O176:HNM - eae negative vtx1 positive vtx2 negative</v>
      </c>
      <c r="B2276" t="str">
        <f ca="1">IFERROR(__xludf.DUMMYFUNCTION("""COMPUTED_VALUE"""),"RF-00001255-PAR")</f>
        <v>RF-00001255-PAR</v>
      </c>
    </row>
    <row r="2277" spans="1:2" ht="12.5" x14ac:dyDescent="0.25">
      <c r="A2277" t="str">
        <f ca="1">IFERROR(__xludf.DUMMYFUNCTION("""COMPUTED_VALUE"""),"Escherichia coli VTEC O176:HNT")</f>
        <v>Escherichia coli VTEC O176:HNT</v>
      </c>
      <c r="B2277" t="str">
        <f ca="1">IFERROR(__xludf.DUMMYFUNCTION("""COMPUTED_VALUE"""),"RF-00003609-MCG")</f>
        <v>RF-00003609-MCG</v>
      </c>
    </row>
    <row r="2278" spans="1:2" ht="12.5" x14ac:dyDescent="0.25">
      <c r="A2278" t="str">
        <f ca="1">IFERROR(__xludf.DUMMYFUNCTION("""COMPUTED_VALUE"""),"Escherichia coli VTEC O176:HNT - eae negative vtx1 positive vtx2 negative")</f>
        <v>Escherichia coli VTEC O176:HNT - eae negative vtx1 positive vtx2 negative</v>
      </c>
      <c r="B2278" t="str">
        <f ca="1">IFERROR(__xludf.DUMMYFUNCTION("""COMPUTED_VALUE"""),"RF-00003787-MCG")</f>
        <v>RF-00003787-MCG</v>
      </c>
    </row>
    <row r="2279" spans="1:2" ht="12.5" x14ac:dyDescent="0.25">
      <c r="A2279" t="str">
        <f ca="1">IFERROR(__xludf.DUMMYFUNCTION("""COMPUTED_VALUE"""),"Escherichia coli VTEC O177")</f>
        <v>Escherichia coli VTEC O177</v>
      </c>
      <c r="B2279" t="str">
        <f ca="1">IFERROR(__xludf.DUMMYFUNCTION("""COMPUTED_VALUE"""),"RF-00000149-MCG")</f>
        <v>RF-00000149-MCG</v>
      </c>
    </row>
    <row r="2280" spans="1:2" ht="12.5" x14ac:dyDescent="0.25">
      <c r="A2280" t="str">
        <f ca="1">IFERROR(__xludf.DUMMYFUNCTION("""COMPUTED_VALUE"""),"Escherichia coli VTEC O177:H-")</f>
        <v>Escherichia coli VTEC O177:H-</v>
      </c>
      <c r="B2280" t="str">
        <f ca="1">IFERROR(__xludf.DUMMYFUNCTION("""COMPUTED_VALUE"""),"RF-00003610-MCG")</f>
        <v>RF-00003610-MCG</v>
      </c>
    </row>
    <row r="2281" spans="1:2" ht="12.5" x14ac:dyDescent="0.25">
      <c r="A2281" t="str">
        <f ca="1">IFERROR(__xludf.DUMMYFUNCTION("""COMPUTED_VALUE"""),"Escherichia coli VTEC O177:H- - eae positive vtx1 negative vtx2 positive")</f>
        <v>Escherichia coli VTEC O177:H- - eae positive vtx1 negative vtx2 positive</v>
      </c>
      <c r="B2281" t="str">
        <f ca="1">IFERROR(__xludf.DUMMYFUNCTION("""COMPUTED_VALUE"""),"RF-00003788-MCG")</f>
        <v>RF-00003788-MCG</v>
      </c>
    </row>
    <row r="2282" spans="1:2" ht="12.5" x14ac:dyDescent="0.25">
      <c r="A2282" t="str">
        <f ca="1">IFERROR(__xludf.DUMMYFUNCTION("""COMPUTED_VALUE"""),"Escherichia coli VTEC O177:H11")</f>
        <v>Escherichia coli VTEC O177:H11</v>
      </c>
      <c r="B2282" t="str">
        <f ca="1">IFERROR(__xludf.DUMMYFUNCTION("""COMPUTED_VALUE"""),"RF-00003611-MCG")</f>
        <v>RF-00003611-MCG</v>
      </c>
    </row>
    <row r="2283" spans="1:2" ht="12.5" x14ac:dyDescent="0.25">
      <c r="A2283" t="str">
        <f ca="1">IFERROR(__xludf.DUMMYFUNCTION("""COMPUTED_VALUE"""),"Escherichia coli VTEC O177:HNM")</f>
        <v>Escherichia coli VTEC O177:HNM</v>
      </c>
      <c r="B2283" t="str">
        <f ca="1">IFERROR(__xludf.DUMMYFUNCTION("""COMPUTED_VALUE"""),"RF-00003991-MCG")</f>
        <v>RF-00003991-MCG</v>
      </c>
    </row>
    <row r="2284" spans="1:2" ht="12.5" x14ac:dyDescent="0.25">
      <c r="A2284" t="str">
        <f ca="1">IFERROR(__xludf.DUMMYFUNCTION("""COMPUTED_VALUE"""),"Escherichia coli VTEC O177:HNM - eae positive vtx1 negative vtx2 positive")</f>
        <v>Escherichia coli VTEC O177:HNM - eae positive vtx1 negative vtx2 positive</v>
      </c>
      <c r="B2284" t="str">
        <f ca="1">IFERROR(__xludf.DUMMYFUNCTION("""COMPUTED_VALUE"""),"RF-00003992-MCG")</f>
        <v>RF-00003992-MCG</v>
      </c>
    </row>
    <row r="2285" spans="1:2" ht="12.5" x14ac:dyDescent="0.25">
      <c r="A2285" t="str">
        <f ca="1">IFERROR(__xludf.DUMMYFUNCTION("""COMPUTED_VALUE"""),"Escherichia coli VTEC O178:H-")</f>
        <v>Escherichia coli VTEC O178:H-</v>
      </c>
      <c r="B2285" t="str">
        <f ca="1">IFERROR(__xludf.DUMMYFUNCTION("""COMPUTED_VALUE"""),"RF-00003612-MCG")</f>
        <v>RF-00003612-MCG</v>
      </c>
    </row>
    <row r="2286" spans="1:2" ht="12.5" x14ac:dyDescent="0.25">
      <c r="A2286" t="str">
        <f ca="1">IFERROR(__xludf.DUMMYFUNCTION("""COMPUTED_VALUE"""),"Escherichia coli VTEC O178:H- - eae negative vtx1 positive vtx2 positive")</f>
        <v>Escherichia coli VTEC O178:H- - eae negative vtx1 positive vtx2 positive</v>
      </c>
      <c r="B2286" t="str">
        <f ca="1">IFERROR(__xludf.DUMMYFUNCTION("""COMPUTED_VALUE"""),"RF-00003789-MCG")</f>
        <v>RF-00003789-MCG</v>
      </c>
    </row>
    <row r="2287" spans="1:2" ht="12.5" x14ac:dyDescent="0.25">
      <c r="A2287" t="str">
        <f ca="1">IFERROR(__xludf.DUMMYFUNCTION("""COMPUTED_VALUE"""),"Escherichia coli VTEC O178:H12 - eae negative vtx1 positive vtx2 positive")</f>
        <v>Escherichia coli VTEC O178:H12 - eae negative vtx1 positive vtx2 positive</v>
      </c>
      <c r="B2287" t="str">
        <f ca="1">IFERROR(__xludf.DUMMYFUNCTION("""COMPUTED_VALUE"""),"RF-00001256-PAR")</f>
        <v>RF-00001256-PAR</v>
      </c>
    </row>
    <row r="2288" spans="1:2" ht="12.5" x14ac:dyDescent="0.25">
      <c r="A2288" t="str">
        <f ca="1">IFERROR(__xludf.DUMMYFUNCTION("""COMPUTED_VALUE"""),"Escherichia coli VTEC O178:H19")</f>
        <v>Escherichia coli VTEC O178:H19</v>
      </c>
      <c r="B2288" t="str">
        <f ca="1">IFERROR(__xludf.DUMMYFUNCTION("""COMPUTED_VALUE"""),"RF-00003613-MCG")</f>
        <v>RF-00003613-MCG</v>
      </c>
    </row>
    <row r="2289" spans="1:2" ht="12.5" x14ac:dyDescent="0.25">
      <c r="A2289" t="str">
        <f ca="1">IFERROR(__xludf.DUMMYFUNCTION("""COMPUTED_VALUE"""),"Escherichia coli VTEC O178:H19 - eae negative vtx1 negative vtx2 positive")</f>
        <v>Escherichia coli VTEC O178:H19 - eae negative vtx1 negative vtx2 positive</v>
      </c>
      <c r="B2289" t="str">
        <f ca="1">IFERROR(__xludf.DUMMYFUNCTION("""COMPUTED_VALUE"""),"RF-00001257-PAR")</f>
        <v>RF-00001257-PAR</v>
      </c>
    </row>
    <row r="2290" spans="1:2" ht="12.5" x14ac:dyDescent="0.25">
      <c r="A2290" t="str">
        <f ca="1">IFERROR(__xludf.DUMMYFUNCTION("""COMPUTED_VALUE"""),"Escherichia coli VTEC O178:H19 - eae negative vtx1 positive vtx2 positive")</f>
        <v>Escherichia coli VTEC O178:H19 - eae negative vtx1 positive vtx2 positive</v>
      </c>
      <c r="B2290" t="str">
        <f ca="1">IFERROR(__xludf.DUMMYFUNCTION("""COMPUTED_VALUE"""),"RF-00003790-MCG")</f>
        <v>RF-00003790-MCG</v>
      </c>
    </row>
    <row r="2291" spans="1:2" ht="12.5" x14ac:dyDescent="0.25">
      <c r="A2291" t="str">
        <f ca="1">IFERROR(__xludf.DUMMYFUNCTION("""COMPUTED_VALUE"""),"Escherichia coli VTEC O178:H7")</f>
        <v>Escherichia coli VTEC O178:H7</v>
      </c>
      <c r="B2291" t="str">
        <f ca="1">IFERROR(__xludf.DUMMYFUNCTION("""COMPUTED_VALUE"""),"RF-00003614-MCG")</f>
        <v>RF-00003614-MCG</v>
      </c>
    </row>
    <row r="2292" spans="1:2" ht="12.5" x14ac:dyDescent="0.25">
      <c r="A2292" t="str">
        <f ca="1">IFERROR(__xludf.DUMMYFUNCTION("""COMPUTED_VALUE"""),"Escherichia coli VTEC O178:H7 - eae negative vtx1 negative vtx2 positive")</f>
        <v>Escherichia coli VTEC O178:H7 - eae negative vtx1 negative vtx2 positive</v>
      </c>
      <c r="B2292" t="str">
        <f ca="1">IFERROR(__xludf.DUMMYFUNCTION("""COMPUTED_VALUE"""),"RF-00003791-MCG")</f>
        <v>RF-00003791-MCG</v>
      </c>
    </row>
    <row r="2293" spans="1:2" ht="12.5" x14ac:dyDescent="0.25">
      <c r="A2293" t="str">
        <f ca="1">IFERROR(__xludf.DUMMYFUNCTION("""COMPUTED_VALUE"""),"Escherichia coli VTEC O178:HNM - eae negative vtx1 negative vtx2 positive")</f>
        <v>Escherichia coli VTEC O178:HNM - eae negative vtx1 negative vtx2 positive</v>
      </c>
      <c r="B2293" t="str">
        <f ca="1">IFERROR(__xludf.DUMMYFUNCTION("""COMPUTED_VALUE"""),"RF-00001258-PAR")</f>
        <v>RF-00001258-PAR</v>
      </c>
    </row>
    <row r="2294" spans="1:2" ht="12.5" x14ac:dyDescent="0.25">
      <c r="A2294" t="str">
        <f ca="1">IFERROR(__xludf.DUMMYFUNCTION("""COMPUTED_VALUE"""),"Escherichia coli VTEC O178:HNT")</f>
        <v>Escherichia coli VTEC O178:HNT</v>
      </c>
      <c r="B2294" t="str">
        <f ca="1">IFERROR(__xludf.DUMMYFUNCTION("""COMPUTED_VALUE"""),"RF-00003615-MCG")</f>
        <v>RF-00003615-MCG</v>
      </c>
    </row>
    <row r="2295" spans="1:2" ht="12.5" x14ac:dyDescent="0.25">
      <c r="A2295" t="str">
        <f ca="1">IFERROR(__xludf.DUMMYFUNCTION("""COMPUTED_VALUE"""),"Escherichia coli VTEC O178:HNT - eae negative vtx1 positive vtx2 positive")</f>
        <v>Escherichia coli VTEC O178:HNT - eae negative vtx1 positive vtx2 positive</v>
      </c>
      <c r="B2295" t="str">
        <f ca="1">IFERROR(__xludf.DUMMYFUNCTION("""COMPUTED_VALUE"""),"RF-00003792-MCG")</f>
        <v>RF-00003792-MCG</v>
      </c>
    </row>
    <row r="2296" spans="1:2" ht="12.5" x14ac:dyDescent="0.25">
      <c r="A2296" t="str">
        <f ca="1">IFERROR(__xludf.DUMMYFUNCTION("""COMPUTED_VALUE"""),"Escherichia coli VTEC O178:Hrough")</f>
        <v>Escherichia coli VTEC O178:Hrough</v>
      </c>
      <c r="B2296" t="str">
        <f ca="1">IFERROR(__xludf.DUMMYFUNCTION("""COMPUTED_VALUE"""),"RF-00003993-MCG")</f>
        <v>RF-00003993-MCG</v>
      </c>
    </row>
    <row r="2297" spans="1:2" ht="12.5" x14ac:dyDescent="0.25">
      <c r="A2297" t="str">
        <f ca="1">IFERROR(__xludf.DUMMYFUNCTION("""COMPUTED_VALUE"""),"Escherichia coli VTEC O178:Hrough - eae negative vtx1 positive vtx2 positive")</f>
        <v>Escherichia coli VTEC O178:Hrough - eae negative vtx1 positive vtx2 positive</v>
      </c>
      <c r="B2297" t="str">
        <f ca="1">IFERROR(__xludf.DUMMYFUNCTION("""COMPUTED_VALUE"""),"RF-00003994-MCG")</f>
        <v>RF-00003994-MCG</v>
      </c>
    </row>
    <row r="2298" spans="1:2" ht="12.5" x14ac:dyDescent="0.25">
      <c r="A2298" t="str">
        <f ca="1">IFERROR(__xludf.DUMMYFUNCTION("""COMPUTED_VALUE"""),"Escherichia coli VTEC O179")</f>
        <v>Escherichia coli VTEC O179</v>
      </c>
      <c r="B2298" t="str">
        <f ca="1">IFERROR(__xludf.DUMMYFUNCTION("""COMPUTED_VALUE"""),"RF-00000134-MCG")</f>
        <v>RF-00000134-MCG</v>
      </c>
    </row>
    <row r="2299" spans="1:2" ht="12.5" x14ac:dyDescent="0.25">
      <c r="A2299" t="str">
        <f ca="1">IFERROR(__xludf.DUMMYFUNCTION("""COMPUTED_VALUE"""),"Escherichia coli VTEC O179:H12")</f>
        <v>Escherichia coli VTEC O179:H12</v>
      </c>
      <c r="B2299" t="str">
        <f ca="1">IFERROR(__xludf.DUMMYFUNCTION("""COMPUTED_VALUE"""),"RF-00003616-MCG")</f>
        <v>RF-00003616-MCG</v>
      </c>
    </row>
    <row r="2300" spans="1:2" ht="12.5" x14ac:dyDescent="0.25">
      <c r="A2300" t="str">
        <f ca="1">IFERROR(__xludf.DUMMYFUNCTION("""COMPUTED_VALUE"""),"Escherichia coli VTEC O179:H8")</f>
        <v>Escherichia coli VTEC O179:H8</v>
      </c>
      <c r="B2300" t="str">
        <f ca="1">IFERROR(__xludf.DUMMYFUNCTION("""COMPUTED_VALUE"""),"RF-00000147-MCG")</f>
        <v>RF-00000147-MCG</v>
      </c>
    </row>
    <row r="2301" spans="1:2" ht="12.5" x14ac:dyDescent="0.25">
      <c r="A2301" t="str">
        <f ca="1">IFERROR(__xludf.DUMMYFUNCTION("""COMPUTED_VALUE"""),"Escherichia coli VTEC O179:H8 - eae negative vtx1 negative vtx2 positive")</f>
        <v>Escherichia coli VTEC O179:H8 - eae negative vtx1 negative vtx2 positive</v>
      </c>
      <c r="B2301" t="str">
        <f ca="1">IFERROR(__xludf.DUMMYFUNCTION("""COMPUTED_VALUE"""),"RF-00003793-MCG")</f>
        <v>RF-00003793-MCG</v>
      </c>
    </row>
    <row r="2302" spans="1:2" ht="12.5" x14ac:dyDescent="0.25">
      <c r="A2302" t="str">
        <f ca="1">IFERROR(__xludf.DUMMYFUNCTION("""COMPUTED_VALUE"""),"Escherichia coli VTEC O179:HNM - eae negative vtx1 positive vtx2 positive")</f>
        <v>Escherichia coli VTEC O179:HNM - eae negative vtx1 positive vtx2 positive</v>
      </c>
      <c r="B2302" t="str">
        <f ca="1">IFERROR(__xludf.DUMMYFUNCTION("""COMPUTED_VALUE"""),"RF-00001259-PAR")</f>
        <v>RF-00001259-PAR</v>
      </c>
    </row>
    <row r="2303" spans="1:2" ht="12.5" x14ac:dyDescent="0.25">
      <c r="A2303" t="str">
        <f ca="1">IFERROR(__xludf.DUMMYFUNCTION("""COMPUTED_VALUE"""),"Escherichia coli VTEC O179:Hrough")</f>
        <v>Escherichia coli VTEC O179:Hrough</v>
      </c>
      <c r="B2303" t="str">
        <f ca="1">IFERROR(__xludf.DUMMYFUNCTION("""COMPUTED_VALUE"""),"RF-00003995-MCG")</f>
        <v>RF-00003995-MCG</v>
      </c>
    </row>
    <row r="2304" spans="1:2" ht="12.5" x14ac:dyDescent="0.25">
      <c r="A2304" t="str">
        <f ca="1">IFERROR(__xludf.DUMMYFUNCTION("""COMPUTED_VALUE"""),"Escherichia coli VTEC O179:Hrough - eae negative vtx1 negative vtx2 negative")</f>
        <v>Escherichia coli VTEC O179:Hrough - eae negative vtx1 negative vtx2 negative</v>
      </c>
      <c r="B2304" t="str">
        <f ca="1">IFERROR(__xludf.DUMMYFUNCTION("""COMPUTED_VALUE"""),"RF-00003996-MCG")</f>
        <v>RF-00003996-MCG</v>
      </c>
    </row>
    <row r="2305" spans="1:2" ht="12.5" x14ac:dyDescent="0.25">
      <c r="A2305" t="str">
        <f ca="1">IFERROR(__xludf.DUMMYFUNCTION("""COMPUTED_VALUE"""),"Escherichia coli VTEC O179:Hrough - eae negative vtx1 negative vtx2 positive")</f>
        <v>Escherichia coli VTEC O179:Hrough - eae negative vtx1 negative vtx2 positive</v>
      </c>
      <c r="B2305" t="str">
        <f ca="1">IFERROR(__xludf.DUMMYFUNCTION("""COMPUTED_VALUE"""),"RF-00003997-MCG")</f>
        <v>RF-00003997-MCG</v>
      </c>
    </row>
    <row r="2306" spans="1:2" ht="12.5" x14ac:dyDescent="0.25">
      <c r="A2306" t="str">
        <f ca="1">IFERROR(__xludf.DUMMYFUNCTION("""COMPUTED_VALUE"""),"Escherichia coli VTEC O181:H-")</f>
        <v>Escherichia coli VTEC O181:H-</v>
      </c>
      <c r="B2306" t="str">
        <f ca="1">IFERROR(__xludf.DUMMYFUNCTION("""COMPUTED_VALUE"""),"RF-00003618-MCG")</f>
        <v>RF-00003618-MCG</v>
      </c>
    </row>
    <row r="2307" spans="1:2" ht="12.5" x14ac:dyDescent="0.25">
      <c r="A2307" t="str">
        <f ca="1">IFERROR(__xludf.DUMMYFUNCTION("""COMPUTED_VALUE"""),"Escherichia coli VTEC O181:H49")</f>
        <v>Escherichia coli VTEC O181:H49</v>
      </c>
      <c r="B2307" t="str">
        <f ca="1">IFERROR(__xludf.DUMMYFUNCTION("""COMPUTED_VALUE"""),"RF-00003619-MCG")</f>
        <v>RF-00003619-MCG</v>
      </c>
    </row>
    <row r="2308" spans="1:2" ht="12.5" x14ac:dyDescent="0.25">
      <c r="A2308" t="str">
        <f ca="1">IFERROR(__xludf.DUMMYFUNCTION("""COMPUTED_VALUE"""),"Escherichia coli VTEC O181:H49 - eae negative vtx1 positive vtx2 positive")</f>
        <v>Escherichia coli VTEC O181:H49 - eae negative vtx1 positive vtx2 positive</v>
      </c>
      <c r="B2308" t="str">
        <f ca="1">IFERROR(__xludf.DUMMYFUNCTION("""COMPUTED_VALUE"""),"RF-00003998-MCG")</f>
        <v>RF-00003998-MCG</v>
      </c>
    </row>
    <row r="2309" spans="1:2" ht="12.5" x14ac:dyDescent="0.25">
      <c r="A2309" t="str">
        <f ca="1">IFERROR(__xludf.DUMMYFUNCTION("""COMPUTED_VALUE"""),"Escherichia coli VTEC O183:H-")</f>
        <v>Escherichia coli VTEC O183:H-</v>
      </c>
      <c r="B2309" t="str">
        <f ca="1">IFERROR(__xludf.DUMMYFUNCTION("""COMPUTED_VALUE"""),"RF-00004067-MCG")</f>
        <v>RF-00004067-MCG</v>
      </c>
    </row>
    <row r="2310" spans="1:2" ht="12.5" x14ac:dyDescent="0.25">
      <c r="A2310" t="str">
        <f ca="1">IFERROR(__xludf.DUMMYFUNCTION("""COMPUTED_VALUE"""),"Escherichia coli VTEC O183:H- - eae negative vtx1 positive vtx2 positive")</f>
        <v>Escherichia coli VTEC O183:H- - eae negative vtx1 positive vtx2 positive</v>
      </c>
      <c r="B2310" t="str">
        <f ca="1">IFERROR(__xludf.DUMMYFUNCTION("""COMPUTED_VALUE"""),"RF-00004068-MCG")</f>
        <v>RF-00004068-MCG</v>
      </c>
    </row>
    <row r="2311" spans="1:2" ht="12.5" x14ac:dyDescent="0.25">
      <c r="A2311" t="str">
        <f ca="1">IFERROR(__xludf.DUMMYFUNCTION("""COMPUTED_VALUE"""),"Escherichia coli VTEC O183:H18")</f>
        <v>Escherichia coli VTEC O183:H18</v>
      </c>
      <c r="B2311" t="str">
        <f ca="1">IFERROR(__xludf.DUMMYFUNCTION("""COMPUTED_VALUE"""),"RF-00003999-MCG")</f>
        <v>RF-00003999-MCG</v>
      </c>
    </row>
    <row r="2312" spans="1:2" ht="12.5" x14ac:dyDescent="0.25">
      <c r="A2312" t="str">
        <f ca="1">IFERROR(__xludf.DUMMYFUNCTION("""COMPUTED_VALUE"""),"Escherichia coli VTEC O183:H18 - eae negative vtx1 positive vtx2 positive")</f>
        <v>Escherichia coli VTEC O183:H18 - eae negative vtx1 positive vtx2 positive</v>
      </c>
      <c r="B2312" t="str">
        <f ca="1">IFERROR(__xludf.DUMMYFUNCTION("""COMPUTED_VALUE"""),"RF-00004000-MCG")</f>
        <v>RF-00004000-MCG</v>
      </c>
    </row>
    <row r="2313" spans="1:2" ht="12.5" x14ac:dyDescent="0.25">
      <c r="A2313" t="str">
        <f ca="1">IFERROR(__xludf.DUMMYFUNCTION("""COMPUTED_VALUE"""),"Escherichia coli VTEC O183:HNM")</f>
        <v>Escherichia coli VTEC O183:HNM</v>
      </c>
      <c r="B2313" t="str">
        <f ca="1">IFERROR(__xludf.DUMMYFUNCTION("""COMPUTED_VALUE"""),"RF-00004001-MCG")</f>
        <v>RF-00004001-MCG</v>
      </c>
    </row>
    <row r="2314" spans="1:2" ht="12.5" x14ac:dyDescent="0.25">
      <c r="A2314" t="str">
        <f ca="1">IFERROR(__xludf.DUMMYFUNCTION("""COMPUTED_VALUE"""),"Escherichia coli VTEC O183:HNM - eae negative vtx1 positive vtx2 positive")</f>
        <v>Escherichia coli VTEC O183:HNM - eae negative vtx1 positive vtx2 positive</v>
      </c>
      <c r="B2314" t="str">
        <f ca="1">IFERROR(__xludf.DUMMYFUNCTION("""COMPUTED_VALUE"""),"RF-00004002-MCG")</f>
        <v>RF-00004002-MCG</v>
      </c>
    </row>
    <row r="2315" spans="1:2" ht="12.5" x14ac:dyDescent="0.25">
      <c r="A2315" t="str">
        <f ca="1">IFERROR(__xludf.DUMMYFUNCTION("""COMPUTED_VALUE"""),"Escherichia coli VTEC O183:Hrough")</f>
        <v>Escherichia coli VTEC O183:Hrough</v>
      </c>
      <c r="B2315" t="str">
        <f ca="1">IFERROR(__xludf.DUMMYFUNCTION("""COMPUTED_VALUE"""),"RF-00004003-MCG")</f>
        <v>RF-00004003-MCG</v>
      </c>
    </row>
    <row r="2316" spans="1:2" ht="12.5" x14ac:dyDescent="0.25">
      <c r="A2316" t="str">
        <f ca="1">IFERROR(__xludf.DUMMYFUNCTION("""COMPUTED_VALUE"""),"Escherichia coli VTEC O183:Hrough - eae negative vtx1 positive vtx2 positive")</f>
        <v>Escherichia coli VTEC O183:Hrough - eae negative vtx1 positive vtx2 positive</v>
      </c>
      <c r="B2316" t="str">
        <f ca="1">IFERROR(__xludf.DUMMYFUNCTION("""COMPUTED_VALUE"""),"RF-00004004-MCG")</f>
        <v>RF-00004004-MCG</v>
      </c>
    </row>
    <row r="2317" spans="1:2" ht="12.5" x14ac:dyDescent="0.25">
      <c r="A2317" t="str">
        <f ca="1">IFERROR(__xludf.DUMMYFUNCTION("""COMPUTED_VALUE"""),"Escherichia coli VTEC O185:H5 - eae negative vtx1 positive vtx2 positive")</f>
        <v>Escherichia coli VTEC O185:H5 - eae negative vtx1 positive vtx2 positive</v>
      </c>
      <c r="B2317" t="str">
        <f ca="1">IFERROR(__xludf.DUMMYFUNCTION("""COMPUTED_VALUE"""),"RF-00001260-PAR")</f>
        <v>RF-00001260-PAR</v>
      </c>
    </row>
    <row r="2318" spans="1:2" ht="12.5" x14ac:dyDescent="0.25">
      <c r="A2318" t="str">
        <f ca="1">IFERROR(__xludf.DUMMYFUNCTION("""COMPUTED_VALUE"""),"Escherichia coli VTEC O186:Hrough")</f>
        <v>Escherichia coli VTEC O186:Hrough</v>
      </c>
      <c r="B2318" t="str">
        <f ca="1">IFERROR(__xludf.DUMMYFUNCTION("""COMPUTED_VALUE"""),"RF-00004005-MCG")</f>
        <v>RF-00004005-MCG</v>
      </c>
    </row>
    <row r="2319" spans="1:2" ht="12.5" x14ac:dyDescent="0.25">
      <c r="A2319" t="str">
        <f ca="1">IFERROR(__xludf.DUMMYFUNCTION("""COMPUTED_VALUE"""),"Escherichia coli VTEC O186:Hrough - eae negative vtx1 negative vtx2 positive")</f>
        <v>Escherichia coli VTEC O186:Hrough - eae negative vtx1 negative vtx2 positive</v>
      </c>
      <c r="B2319" t="str">
        <f ca="1">IFERROR(__xludf.DUMMYFUNCTION("""COMPUTED_VALUE"""),"RF-00004006-MCG")</f>
        <v>RF-00004006-MCG</v>
      </c>
    </row>
    <row r="2320" spans="1:2" ht="12.5" x14ac:dyDescent="0.25">
      <c r="A2320" t="str">
        <f ca="1">IFERROR(__xludf.DUMMYFUNCTION("""COMPUTED_VALUE"""),"Escherichia coli VTEC O19")</f>
        <v>Escherichia coli VTEC O19</v>
      </c>
      <c r="B2320" t="str">
        <f ca="1">IFERROR(__xludf.DUMMYFUNCTION("""COMPUTED_VALUE"""),"RF-00000153-MCG")</f>
        <v>RF-00000153-MCG</v>
      </c>
    </row>
    <row r="2321" spans="1:2" ht="12.5" x14ac:dyDescent="0.25">
      <c r="A2321" t="str">
        <f ca="1">IFERROR(__xludf.DUMMYFUNCTION("""COMPUTED_VALUE"""),"Escherichia coli VTEC O2")</f>
        <v>Escherichia coli VTEC O2</v>
      </c>
      <c r="B2321" t="str">
        <f ca="1">IFERROR(__xludf.DUMMYFUNCTION("""COMPUTED_VALUE"""),"RF-00000145-MCG")</f>
        <v>RF-00000145-MCG</v>
      </c>
    </row>
    <row r="2322" spans="1:2" ht="12.5" x14ac:dyDescent="0.25">
      <c r="A2322" t="str">
        <f ca="1">IFERROR(__xludf.DUMMYFUNCTION("""COMPUTED_VALUE"""),"Escherichia coli VTEC O2:H6")</f>
        <v>Escherichia coli VTEC O2:H6</v>
      </c>
      <c r="B2322" t="str">
        <f ca="1">IFERROR(__xludf.DUMMYFUNCTION("""COMPUTED_VALUE"""),"RF-00000144-MCG")</f>
        <v>RF-00000144-MCG</v>
      </c>
    </row>
    <row r="2323" spans="1:2" ht="12.5" x14ac:dyDescent="0.25">
      <c r="A2323" t="str">
        <f ca="1">IFERROR(__xludf.DUMMYFUNCTION("""COMPUTED_VALUE"""),"Escherichia coli VTEC O2:H6")</f>
        <v>Escherichia coli VTEC O2:H6</v>
      </c>
      <c r="B2323" t="str">
        <f ca="1">IFERROR(__xludf.DUMMYFUNCTION("""COMPUTED_VALUE"""),"RF-00003625-MCG")</f>
        <v>RF-00003625-MCG</v>
      </c>
    </row>
    <row r="2324" spans="1:2" ht="12.5" x14ac:dyDescent="0.25">
      <c r="A2324" t="str">
        <f ca="1">IFERROR(__xludf.DUMMYFUNCTION("""COMPUTED_VALUE"""),"Escherichia coli VTEC O2:Hrough")</f>
        <v>Escherichia coli VTEC O2:Hrough</v>
      </c>
      <c r="B2324" t="str">
        <f ca="1">IFERROR(__xludf.DUMMYFUNCTION("""COMPUTED_VALUE"""),"RF-00004007-MCG")</f>
        <v>RF-00004007-MCG</v>
      </c>
    </row>
    <row r="2325" spans="1:2" ht="12.5" x14ac:dyDescent="0.25">
      <c r="A2325" t="str">
        <f ca="1">IFERROR(__xludf.DUMMYFUNCTION("""COMPUTED_VALUE"""),"Escherichia coli VTEC O2:Hrough - eae negative vtx1 negative vtx2 positive")</f>
        <v>Escherichia coli VTEC O2:Hrough - eae negative vtx1 negative vtx2 positive</v>
      </c>
      <c r="B2325" t="str">
        <f ca="1">IFERROR(__xludf.DUMMYFUNCTION("""COMPUTED_VALUE"""),"RF-00004008-MCG")</f>
        <v>RF-00004008-MCG</v>
      </c>
    </row>
    <row r="2326" spans="1:2" ht="12.5" x14ac:dyDescent="0.25">
      <c r="A2326" t="str">
        <f ca="1">IFERROR(__xludf.DUMMYFUNCTION("""COMPUTED_VALUE"""),"Escherichia coli VTEC O21")</f>
        <v>Escherichia coli VTEC O21</v>
      </c>
      <c r="B2326" t="str">
        <f ca="1">IFERROR(__xludf.DUMMYFUNCTION("""COMPUTED_VALUE"""),"RF-00000143-MCG")</f>
        <v>RF-00000143-MCG</v>
      </c>
    </row>
    <row r="2327" spans="1:2" ht="12.5" x14ac:dyDescent="0.25">
      <c r="A2327" t="str">
        <f ca="1">IFERROR(__xludf.DUMMYFUNCTION("""COMPUTED_VALUE"""),"Escherichia coli VTEC O22")</f>
        <v>Escherichia coli VTEC O22</v>
      </c>
      <c r="B2327" t="str">
        <f ca="1">IFERROR(__xludf.DUMMYFUNCTION("""COMPUTED_VALUE"""),"RF-00000142-MCG")</f>
        <v>RF-00000142-MCG</v>
      </c>
    </row>
    <row r="2328" spans="1:2" ht="12.5" x14ac:dyDescent="0.25">
      <c r="A2328" t="str">
        <f ca="1">IFERROR(__xludf.DUMMYFUNCTION("""COMPUTED_VALUE"""),"Escherichia coli VTEC O22")</f>
        <v>Escherichia coli VTEC O22</v>
      </c>
      <c r="B2328" t="str">
        <f ca="1">IFERROR(__xludf.DUMMYFUNCTION("""COMPUTED_VALUE"""),"RF-00003620-MCG")</f>
        <v>RF-00003620-MCG</v>
      </c>
    </row>
    <row r="2329" spans="1:2" ht="12.5" x14ac:dyDescent="0.25">
      <c r="A2329" t="str">
        <f ca="1">IFERROR(__xludf.DUMMYFUNCTION("""COMPUTED_VALUE"""),"Escherichia coli VTEC O22:H11")</f>
        <v>Escherichia coli VTEC O22:H11</v>
      </c>
      <c r="B2329" t="str">
        <f ca="1">IFERROR(__xludf.DUMMYFUNCTION("""COMPUTED_VALUE"""),"RF-00003621-MCG")</f>
        <v>RF-00003621-MCG</v>
      </c>
    </row>
    <row r="2330" spans="1:2" ht="12.5" x14ac:dyDescent="0.25">
      <c r="A2330" t="str">
        <f ca="1">IFERROR(__xludf.DUMMYFUNCTION("""COMPUTED_VALUE"""),"Escherichia coli VTEC O22:H11 - eae negative vtx1 positive vtx2 negative")</f>
        <v>Escherichia coli VTEC O22:H11 - eae negative vtx1 positive vtx2 negative</v>
      </c>
      <c r="B2330" t="str">
        <f ca="1">IFERROR(__xludf.DUMMYFUNCTION("""COMPUTED_VALUE"""),"RF-00003794-MCG")</f>
        <v>RF-00003794-MCG</v>
      </c>
    </row>
    <row r="2331" spans="1:2" ht="12.5" x14ac:dyDescent="0.25">
      <c r="A2331" t="str">
        <f ca="1">IFERROR(__xludf.DUMMYFUNCTION("""COMPUTED_VALUE"""),"Escherichia coli VTEC O22:H19")</f>
        <v>Escherichia coli VTEC O22:H19</v>
      </c>
      <c r="B2331" t="str">
        <f ca="1">IFERROR(__xludf.DUMMYFUNCTION("""COMPUTED_VALUE"""),"RF-00004009-MCG")</f>
        <v>RF-00004009-MCG</v>
      </c>
    </row>
    <row r="2332" spans="1:2" ht="12.5" x14ac:dyDescent="0.25">
      <c r="A2332" t="str">
        <f ca="1">IFERROR(__xludf.DUMMYFUNCTION("""COMPUTED_VALUE"""),"Escherichia coli VTEC O22:H19 - eae negative vtx1 positive vtx2 negative")</f>
        <v>Escherichia coli VTEC O22:H19 - eae negative vtx1 positive vtx2 negative</v>
      </c>
      <c r="B2332" t="str">
        <f ca="1">IFERROR(__xludf.DUMMYFUNCTION("""COMPUTED_VALUE"""),"RF-00004010-MCG")</f>
        <v>RF-00004010-MCG</v>
      </c>
    </row>
    <row r="2333" spans="1:2" ht="12.5" x14ac:dyDescent="0.25">
      <c r="A2333" t="str">
        <f ca="1">IFERROR(__xludf.DUMMYFUNCTION("""COMPUTED_VALUE"""),"Escherichia coli VTEC O22:H40")</f>
        <v>Escherichia coli VTEC O22:H40</v>
      </c>
      <c r="B2333" t="str">
        <f ca="1">IFERROR(__xludf.DUMMYFUNCTION("""COMPUTED_VALUE"""),"RF-00000135-MCG")</f>
        <v>RF-00000135-MCG</v>
      </c>
    </row>
    <row r="2334" spans="1:2" ht="12.5" x14ac:dyDescent="0.25">
      <c r="A2334" t="str">
        <f ca="1">IFERROR(__xludf.DUMMYFUNCTION("""COMPUTED_VALUE"""),"Escherichia coli VTEC O22:H8")</f>
        <v>Escherichia coli VTEC O22:H8</v>
      </c>
      <c r="B2334" t="str">
        <f ca="1">IFERROR(__xludf.DUMMYFUNCTION("""COMPUTED_VALUE"""),"RF-00000140-MCG")</f>
        <v>RF-00000140-MCG</v>
      </c>
    </row>
    <row r="2335" spans="1:2" ht="12.5" x14ac:dyDescent="0.25">
      <c r="A2335" t="str">
        <f ca="1">IFERROR(__xludf.DUMMYFUNCTION("""COMPUTED_VALUE"""),"Escherichia coli VTEC O22:H8 - eae negative vtx1 negative vtx2 positive")</f>
        <v>Escherichia coli VTEC O22:H8 - eae negative vtx1 negative vtx2 positive</v>
      </c>
      <c r="B2335" t="str">
        <f ca="1">IFERROR(__xludf.DUMMYFUNCTION("""COMPUTED_VALUE"""),"RF-00004011-MCG")</f>
        <v>RF-00004011-MCG</v>
      </c>
    </row>
    <row r="2336" spans="1:2" ht="12.5" x14ac:dyDescent="0.25">
      <c r="A2336" t="str">
        <f ca="1">IFERROR(__xludf.DUMMYFUNCTION("""COMPUTED_VALUE"""),"Escherichia coli VTEC O22:H8 - eae negative vtx1 positive vtx2 positive")</f>
        <v>Escherichia coli VTEC O22:H8 - eae negative vtx1 positive vtx2 positive</v>
      </c>
      <c r="B2336" t="str">
        <f ca="1">IFERROR(__xludf.DUMMYFUNCTION("""COMPUTED_VALUE"""),"RF-00003795-MCG")</f>
        <v>RF-00003795-MCG</v>
      </c>
    </row>
    <row r="2337" spans="1:2" ht="12.5" x14ac:dyDescent="0.25">
      <c r="A2337" t="str">
        <f ca="1">IFERROR(__xludf.DUMMYFUNCTION("""COMPUTED_VALUE"""),"Escherichia coli VTEC O22:HNT")</f>
        <v>Escherichia coli VTEC O22:HNT</v>
      </c>
      <c r="B2337" t="str">
        <f ca="1">IFERROR(__xludf.DUMMYFUNCTION("""COMPUTED_VALUE"""),"RF-00004012-MCG")</f>
        <v>RF-00004012-MCG</v>
      </c>
    </row>
    <row r="2338" spans="1:2" ht="12.5" x14ac:dyDescent="0.25">
      <c r="A2338" t="str">
        <f ca="1">IFERROR(__xludf.DUMMYFUNCTION("""COMPUTED_VALUE"""),"Escherichia coli VTEC O22:HNT - eae negative vtx1 negative vtx2 positive")</f>
        <v>Escherichia coli VTEC O22:HNT - eae negative vtx1 negative vtx2 positive</v>
      </c>
      <c r="B2338" t="str">
        <f ca="1">IFERROR(__xludf.DUMMYFUNCTION("""COMPUTED_VALUE"""),"RF-00004013-MCG")</f>
        <v>RF-00004013-MCG</v>
      </c>
    </row>
    <row r="2339" spans="1:2" ht="12.5" x14ac:dyDescent="0.25">
      <c r="A2339" t="str">
        <f ca="1">IFERROR(__xludf.DUMMYFUNCTION("""COMPUTED_VALUE"""),"Escherichia coli VTEC O22:HNT - eae negative vtx1 positive vtx2 positive")</f>
        <v>Escherichia coli VTEC O22:HNT - eae negative vtx1 positive vtx2 positive</v>
      </c>
      <c r="B2339" t="str">
        <f ca="1">IFERROR(__xludf.DUMMYFUNCTION("""COMPUTED_VALUE"""),"RF-00004014-MCG")</f>
        <v>RF-00004014-MCG</v>
      </c>
    </row>
    <row r="2340" spans="1:2" ht="12.5" x14ac:dyDescent="0.25">
      <c r="A2340" t="str">
        <f ca="1">IFERROR(__xludf.DUMMYFUNCTION("""COMPUTED_VALUE"""),"Escherichia coli VTEC O22:Hrough")</f>
        <v>Escherichia coli VTEC O22:Hrough</v>
      </c>
      <c r="B2340" t="str">
        <f ca="1">IFERROR(__xludf.DUMMYFUNCTION("""COMPUTED_VALUE"""),"RF-00003622-MCG")</f>
        <v>RF-00003622-MCG</v>
      </c>
    </row>
    <row r="2341" spans="1:2" ht="12.5" x14ac:dyDescent="0.25">
      <c r="A2341" t="str">
        <f ca="1">IFERROR(__xludf.DUMMYFUNCTION("""COMPUTED_VALUE"""),"Escherichia coli VTEC O22:Hrough - eae negative vtx1 negative vtx2 positive")</f>
        <v>Escherichia coli VTEC O22:Hrough - eae negative vtx1 negative vtx2 positive</v>
      </c>
      <c r="B2341" t="str">
        <f ca="1">IFERROR(__xludf.DUMMYFUNCTION("""COMPUTED_VALUE"""),"RF-00004069-MCG")</f>
        <v>RF-00004069-MCG</v>
      </c>
    </row>
    <row r="2342" spans="1:2" ht="12.5" x14ac:dyDescent="0.25">
      <c r="A2342" t="str">
        <f ca="1">IFERROR(__xludf.DUMMYFUNCTION("""COMPUTED_VALUE"""),"Escherichia coli VTEC O22:Hrough - eae negative vtx1 positive vtx2 positive")</f>
        <v>Escherichia coli VTEC O22:Hrough - eae negative vtx1 positive vtx2 positive</v>
      </c>
      <c r="B2342" t="str">
        <f ca="1">IFERROR(__xludf.DUMMYFUNCTION("""COMPUTED_VALUE"""),"RF-00003796-MCG")</f>
        <v>RF-00003796-MCG</v>
      </c>
    </row>
    <row r="2343" spans="1:2" ht="12.5" x14ac:dyDescent="0.25">
      <c r="A2343" t="str">
        <f ca="1">IFERROR(__xludf.DUMMYFUNCTION("""COMPUTED_VALUE"""),"Escherichia coli VTEC O23:H15")</f>
        <v>Escherichia coli VTEC O23:H15</v>
      </c>
      <c r="B2343" t="str">
        <f ca="1">IFERROR(__xludf.DUMMYFUNCTION("""COMPUTED_VALUE"""),"RF-00003623-MCG")</f>
        <v>RF-00003623-MCG</v>
      </c>
    </row>
    <row r="2344" spans="1:2" ht="12.5" x14ac:dyDescent="0.25">
      <c r="A2344" t="str">
        <f ca="1">IFERROR(__xludf.DUMMYFUNCTION("""COMPUTED_VALUE"""),"Escherichia coli VTEC O26")</f>
        <v>Escherichia coli VTEC O26</v>
      </c>
      <c r="B2344" t="str">
        <f ca="1">IFERROR(__xludf.DUMMYFUNCTION("""COMPUTED_VALUE"""),"RF-00000139-MCG")</f>
        <v>RF-00000139-MCG</v>
      </c>
    </row>
    <row r="2345" spans="1:2" ht="12.5" x14ac:dyDescent="0.25">
      <c r="A2345" t="str">
        <f ca="1">IFERROR(__xludf.DUMMYFUNCTION("""COMPUTED_VALUE"""),"Escherichia coli VTEC O26 - eae negative")</f>
        <v>Escherichia coli VTEC O26 - eae negative</v>
      </c>
      <c r="B2345" t="str">
        <f ca="1">IFERROR(__xludf.DUMMYFUNCTION("""COMPUTED_VALUE"""),"RF-00003797-MCG")</f>
        <v>RF-00003797-MCG</v>
      </c>
    </row>
    <row r="2346" spans="1:2" ht="12.5" x14ac:dyDescent="0.25">
      <c r="A2346" t="str">
        <f ca="1">IFERROR(__xludf.DUMMYFUNCTION("""COMPUTED_VALUE"""),"Escherichia coli VTEC O26 - eae positive")</f>
        <v>Escherichia coli VTEC O26 - eae positive</v>
      </c>
      <c r="B2346" t="str">
        <f ca="1">IFERROR(__xludf.DUMMYFUNCTION("""COMPUTED_VALUE"""),"RF-00003798-MCG")</f>
        <v>RF-00003798-MCG</v>
      </c>
    </row>
    <row r="2347" spans="1:2" ht="12.5" x14ac:dyDescent="0.25">
      <c r="A2347" t="str">
        <f ca="1">IFERROR(__xludf.DUMMYFUNCTION("""COMPUTED_VALUE"""),"Escherichia coli VTEC O26 - eae positive vtx1 and vtx2 positive")</f>
        <v>Escherichia coli VTEC O26 - eae positive vtx1 and vtx2 positive</v>
      </c>
      <c r="B2347" t="str">
        <f ca="1">IFERROR(__xludf.DUMMYFUNCTION("""COMPUTED_VALUE"""),"RF-00003799-MCG")</f>
        <v>RF-00003799-MCG</v>
      </c>
    </row>
    <row r="2348" spans="1:2" ht="12.5" x14ac:dyDescent="0.25">
      <c r="A2348" t="str">
        <f ca="1">IFERROR(__xludf.DUMMYFUNCTION("""COMPUTED_VALUE"""),"Escherichia coli VTEC O26 - eae positive vtx1 positive")</f>
        <v>Escherichia coli VTEC O26 - eae positive vtx1 positive</v>
      </c>
      <c r="B2348" t="str">
        <f ca="1">IFERROR(__xludf.DUMMYFUNCTION("""COMPUTED_VALUE"""),"RF-00003800-MCG")</f>
        <v>RF-00003800-MCG</v>
      </c>
    </row>
    <row r="2349" spans="1:2" ht="12.5" x14ac:dyDescent="0.25">
      <c r="A2349" t="str">
        <f ca="1">IFERROR(__xludf.DUMMYFUNCTION("""COMPUTED_VALUE"""),"Escherichia coli VTEC O26 - eae positive vtx2 positive")</f>
        <v>Escherichia coli VTEC O26 - eae positive vtx2 positive</v>
      </c>
      <c r="B2349" t="str">
        <f ca="1">IFERROR(__xludf.DUMMYFUNCTION("""COMPUTED_VALUE"""),"RF-00003801-MCG")</f>
        <v>RF-00003801-MCG</v>
      </c>
    </row>
    <row r="2350" spans="1:2" ht="12.5" x14ac:dyDescent="0.25">
      <c r="A2350" t="str">
        <f ca="1">IFERROR(__xludf.DUMMYFUNCTION("""COMPUTED_VALUE"""),"Escherichia coli VTEC O26:H-")</f>
        <v>Escherichia coli VTEC O26:H-</v>
      </c>
      <c r="B2350" t="str">
        <f ca="1">IFERROR(__xludf.DUMMYFUNCTION("""COMPUTED_VALUE"""),"RF-00000138-MCG")</f>
        <v>RF-00000138-MCG</v>
      </c>
    </row>
    <row r="2351" spans="1:2" ht="12.5" x14ac:dyDescent="0.25">
      <c r="A2351" t="str">
        <f ca="1">IFERROR(__xludf.DUMMYFUNCTION("""COMPUTED_VALUE"""),"Escherichia coli VTEC O26:H- - eae negative")</f>
        <v>Escherichia coli VTEC O26:H- - eae negative</v>
      </c>
      <c r="B2351" t="str">
        <f ca="1">IFERROR(__xludf.DUMMYFUNCTION("""COMPUTED_VALUE"""),"RF-00003802-MCG")</f>
        <v>RF-00003802-MCG</v>
      </c>
    </row>
    <row r="2352" spans="1:2" ht="12.5" x14ac:dyDescent="0.25">
      <c r="A2352" t="str">
        <f ca="1">IFERROR(__xludf.DUMMYFUNCTION("""COMPUTED_VALUE"""),"Escherichia coli VTEC O26:H- - eae positive")</f>
        <v>Escherichia coli VTEC O26:H- - eae positive</v>
      </c>
      <c r="B2352" t="str">
        <f ca="1">IFERROR(__xludf.DUMMYFUNCTION("""COMPUTED_VALUE"""),"RF-00003803-MCG")</f>
        <v>RF-00003803-MCG</v>
      </c>
    </row>
    <row r="2353" spans="1:2" ht="12.5" x14ac:dyDescent="0.25">
      <c r="A2353" t="str">
        <f ca="1">IFERROR(__xludf.DUMMYFUNCTION("""COMPUTED_VALUE"""),"Escherichia coli VTEC O26:H- - eae positive vtx1 and vtx2 positive")</f>
        <v>Escherichia coli VTEC O26:H- - eae positive vtx1 and vtx2 positive</v>
      </c>
      <c r="B2353" t="str">
        <f ca="1">IFERROR(__xludf.DUMMYFUNCTION("""COMPUTED_VALUE"""),"RF-00003804-MCG")</f>
        <v>RF-00003804-MCG</v>
      </c>
    </row>
    <row r="2354" spans="1:2" ht="12.5" x14ac:dyDescent="0.25">
      <c r="A2354" t="str">
        <f ca="1">IFERROR(__xludf.DUMMYFUNCTION("""COMPUTED_VALUE"""),"Escherichia coli VTEC O26:H- - eae positive vtx1 positive")</f>
        <v>Escherichia coli VTEC O26:H- - eae positive vtx1 positive</v>
      </c>
      <c r="B2354" t="str">
        <f ca="1">IFERROR(__xludf.DUMMYFUNCTION("""COMPUTED_VALUE"""),"RF-00003805-MCG")</f>
        <v>RF-00003805-MCG</v>
      </c>
    </row>
    <row r="2355" spans="1:2" ht="12.5" x14ac:dyDescent="0.25">
      <c r="A2355" t="str">
        <f ca="1">IFERROR(__xludf.DUMMYFUNCTION("""COMPUTED_VALUE"""),"Escherichia coli VTEC O26:H- - eae positive vtx2 positive")</f>
        <v>Escherichia coli VTEC O26:H- - eae positive vtx2 positive</v>
      </c>
      <c r="B2355" t="str">
        <f ca="1">IFERROR(__xludf.DUMMYFUNCTION("""COMPUTED_VALUE"""),"RF-00003806-MCG")</f>
        <v>RF-00003806-MCG</v>
      </c>
    </row>
    <row r="2356" spans="1:2" ht="12.5" x14ac:dyDescent="0.25">
      <c r="A2356" t="str">
        <f ca="1">IFERROR(__xludf.DUMMYFUNCTION("""COMPUTED_VALUE"""),"Escherichia coli VTEC O26:H11")</f>
        <v>Escherichia coli VTEC O26:H11</v>
      </c>
      <c r="B2356" t="str">
        <f ca="1">IFERROR(__xludf.DUMMYFUNCTION("""COMPUTED_VALUE"""),"RF-00003624-MCG")</f>
        <v>RF-00003624-MCG</v>
      </c>
    </row>
    <row r="2357" spans="1:2" ht="12.5" x14ac:dyDescent="0.25">
      <c r="A2357" t="str">
        <f ca="1">IFERROR(__xludf.DUMMYFUNCTION("""COMPUTED_VALUE"""),"Escherichia coli VTEC O26:H11 - eae negative")</f>
        <v>Escherichia coli VTEC O26:H11 - eae negative</v>
      </c>
      <c r="B2357" t="str">
        <f ca="1">IFERROR(__xludf.DUMMYFUNCTION("""COMPUTED_VALUE"""),"RF-00003807-MCG")</f>
        <v>RF-00003807-MCG</v>
      </c>
    </row>
    <row r="2358" spans="1:2" ht="12.5" x14ac:dyDescent="0.25">
      <c r="A2358" t="str">
        <f ca="1">IFERROR(__xludf.DUMMYFUNCTION("""COMPUTED_VALUE"""),"Escherichia coli VTEC O26:H11 - eae positive")</f>
        <v>Escherichia coli VTEC O26:H11 - eae positive</v>
      </c>
      <c r="B2358" t="str">
        <f ca="1">IFERROR(__xludf.DUMMYFUNCTION("""COMPUTED_VALUE"""),"RF-00003808-MCG")</f>
        <v>RF-00003808-MCG</v>
      </c>
    </row>
    <row r="2359" spans="1:2" ht="12.5" x14ac:dyDescent="0.25">
      <c r="A2359" t="str">
        <f ca="1">IFERROR(__xludf.DUMMYFUNCTION("""COMPUTED_VALUE"""),"Escherichia coli VTEC O26:H11 - eae positive vtx1 and vtx2 positive")</f>
        <v>Escherichia coli VTEC O26:H11 - eae positive vtx1 and vtx2 positive</v>
      </c>
      <c r="B2359" t="str">
        <f ca="1">IFERROR(__xludf.DUMMYFUNCTION("""COMPUTED_VALUE"""),"RF-00003809-MCG")</f>
        <v>RF-00003809-MCG</v>
      </c>
    </row>
    <row r="2360" spans="1:2" ht="12.5" x14ac:dyDescent="0.25">
      <c r="A2360" t="str">
        <f ca="1">IFERROR(__xludf.DUMMYFUNCTION("""COMPUTED_VALUE"""),"Escherichia coli VTEC O26:H11 - eae positive vtx1 positive")</f>
        <v>Escherichia coli VTEC O26:H11 - eae positive vtx1 positive</v>
      </c>
      <c r="B2360" t="str">
        <f ca="1">IFERROR(__xludf.DUMMYFUNCTION("""COMPUTED_VALUE"""),"RF-00003810-MCG")</f>
        <v>RF-00003810-MCG</v>
      </c>
    </row>
    <row r="2361" spans="1:2" ht="12.5" x14ac:dyDescent="0.25">
      <c r="A2361" t="str">
        <f ca="1">IFERROR(__xludf.DUMMYFUNCTION("""COMPUTED_VALUE"""),"Escherichia coli VTEC O26:H11 - eae positive vtx2 positive")</f>
        <v>Escherichia coli VTEC O26:H11 - eae positive vtx2 positive</v>
      </c>
      <c r="B2361" t="str">
        <f ca="1">IFERROR(__xludf.DUMMYFUNCTION("""COMPUTED_VALUE"""),"RF-00003811-MCG")</f>
        <v>RF-00003811-MCG</v>
      </c>
    </row>
    <row r="2362" spans="1:2" ht="12.5" x14ac:dyDescent="0.25">
      <c r="A2362" t="str">
        <f ca="1">IFERROR(__xludf.DUMMYFUNCTION("""COMPUTED_VALUE"""),"Escherichia coli VTEC O26:HNM - eae positive vtx1 positive vtx2 negative")</f>
        <v>Escherichia coli VTEC O26:HNM - eae positive vtx1 positive vtx2 negative</v>
      </c>
      <c r="B2362" t="str">
        <f ca="1">IFERROR(__xludf.DUMMYFUNCTION("""COMPUTED_VALUE"""),"RF-00001261-PAR")</f>
        <v>RF-00001261-PAR</v>
      </c>
    </row>
    <row r="2363" spans="1:2" ht="12.5" x14ac:dyDescent="0.25">
      <c r="A2363" t="str">
        <f ca="1">IFERROR(__xludf.DUMMYFUNCTION("""COMPUTED_VALUE"""),"Escherichia coli VTEC O27")</f>
        <v>Escherichia coli VTEC O27</v>
      </c>
      <c r="B2363" t="str">
        <f ca="1">IFERROR(__xludf.DUMMYFUNCTION("""COMPUTED_VALUE"""),"RF-00000137-MCG")</f>
        <v>RF-00000137-MCG</v>
      </c>
    </row>
    <row r="2364" spans="1:2" ht="12.5" x14ac:dyDescent="0.25">
      <c r="A2364" t="str">
        <f ca="1">IFERROR(__xludf.DUMMYFUNCTION("""COMPUTED_VALUE"""),"Escherichia coli VTEC O27:H30")</f>
        <v>Escherichia coli VTEC O27:H30</v>
      </c>
      <c r="B2364" t="str">
        <f ca="1">IFERROR(__xludf.DUMMYFUNCTION("""COMPUTED_VALUE"""),"RF-00004015-MCG")</f>
        <v>RF-00004015-MCG</v>
      </c>
    </row>
    <row r="2365" spans="1:2" ht="12.5" x14ac:dyDescent="0.25">
      <c r="A2365" t="str">
        <f ca="1">IFERROR(__xludf.DUMMYFUNCTION("""COMPUTED_VALUE"""),"Escherichia coli VTEC O27:H30 - eae negative vtx1 negative vtx2 positive")</f>
        <v>Escherichia coli VTEC O27:H30 - eae negative vtx1 negative vtx2 positive</v>
      </c>
      <c r="B2365" t="str">
        <f ca="1">IFERROR(__xludf.DUMMYFUNCTION("""COMPUTED_VALUE"""),"RF-00004016-MCG")</f>
        <v>RF-00004016-MCG</v>
      </c>
    </row>
    <row r="2366" spans="1:2" ht="12.5" x14ac:dyDescent="0.25">
      <c r="A2366" t="str">
        <f ca="1">IFERROR(__xludf.DUMMYFUNCTION("""COMPUTED_VALUE"""),"Escherichia coli VTEC O28")</f>
        <v>Escherichia coli VTEC O28</v>
      </c>
      <c r="B2366" t="str">
        <f ca="1">IFERROR(__xludf.DUMMYFUNCTION("""COMPUTED_VALUE"""),"RF-00000136-MCG")</f>
        <v>RF-00000136-MCG</v>
      </c>
    </row>
    <row r="2367" spans="1:2" ht="12.5" x14ac:dyDescent="0.25">
      <c r="A2367" t="str">
        <f ca="1">IFERROR(__xludf.DUMMYFUNCTION("""COMPUTED_VALUE"""),"Escherichia coli VTEC O36")</f>
        <v>Escherichia coli VTEC O36</v>
      </c>
      <c r="B2367" t="str">
        <f ca="1">IFERROR(__xludf.DUMMYFUNCTION("""COMPUTED_VALUE"""),"RF-00000141-MCG")</f>
        <v>RF-00000141-MCG</v>
      </c>
    </row>
    <row r="2368" spans="1:2" ht="12.5" x14ac:dyDescent="0.25">
      <c r="A2368" t="str">
        <f ca="1">IFERROR(__xludf.DUMMYFUNCTION("""COMPUTED_VALUE"""),"Escherichia coli VTEC O36:H2 - eae negative vtx1 positive vtx2 positive")</f>
        <v>Escherichia coli VTEC O36:H2 - eae negative vtx1 positive vtx2 positive</v>
      </c>
      <c r="B2368" t="str">
        <f ca="1">IFERROR(__xludf.DUMMYFUNCTION("""COMPUTED_VALUE"""),"RF-00001262-PAR")</f>
        <v>RF-00001262-PAR</v>
      </c>
    </row>
    <row r="2369" spans="1:2" ht="12.5" x14ac:dyDescent="0.25">
      <c r="A2369" t="str">
        <f ca="1">IFERROR(__xludf.DUMMYFUNCTION("""COMPUTED_VALUE"""),"Escherichia coli VTEC O36:Hrough - eae negative vtx1 negative vtx2 positive")</f>
        <v>Escherichia coli VTEC O36:Hrough - eae negative vtx1 negative vtx2 positive</v>
      </c>
      <c r="B2369" t="str">
        <f ca="1">IFERROR(__xludf.DUMMYFUNCTION("""COMPUTED_VALUE"""),"RF-00001263-PAR")</f>
        <v>RF-00001263-PAR</v>
      </c>
    </row>
    <row r="2370" spans="1:2" ht="12.5" x14ac:dyDescent="0.25">
      <c r="A2370" t="str">
        <f ca="1">IFERROR(__xludf.DUMMYFUNCTION("""COMPUTED_VALUE"""),"Escherichia coli VTEC O38:H21")</f>
        <v>Escherichia coli VTEC O38:H21</v>
      </c>
      <c r="B2370" t="str">
        <f ca="1">IFERROR(__xludf.DUMMYFUNCTION("""COMPUTED_VALUE"""),"RF-00003626-MCG")</f>
        <v>RF-00003626-MCG</v>
      </c>
    </row>
    <row r="2371" spans="1:2" ht="12.5" x14ac:dyDescent="0.25">
      <c r="A2371" t="str">
        <f ca="1">IFERROR(__xludf.DUMMYFUNCTION("""COMPUTED_VALUE"""),"Escherichia coli VTEC O38:H21 - eae negative vtx1 positive vtx2 positive")</f>
        <v>Escherichia coli VTEC O38:H21 - eae negative vtx1 positive vtx2 positive</v>
      </c>
      <c r="B2371" t="str">
        <f ca="1">IFERROR(__xludf.DUMMYFUNCTION("""COMPUTED_VALUE"""),"RF-00003812-MCG")</f>
        <v>RF-00003812-MCG</v>
      </c>
    </row>
    <row r="2372" spans="1:2" ht="12.5" x14ac:dyDescent="0.25">
      <c r="A2372" t="str">
        <f ca="1">IFERROR(__xludf.DUMMYFUNCTION("""COMPUTED_VALUE"""),"Escherichia coli VTEC O39:H12")</f>
        <v>Escherichia coli VTEC O39:H12</v>
      </c>
      <c r="B2372" t="str">
        <f ca="1">IFERROR(__xludf.DUMMYFUNCTION("""COMPUTED_VALUE"""),"RF-00003627-MCG")</f>
        <v>RF-00003627-MCG</v>
      </c>
    </row>
    <row r="2373" spans="1:2" ht="12.5" x14ac:dyDescent="0.25">
      <c r="A2373" t="str">
        <f ca="1">IFERROR(__xludf.DUMMYFUNCTION("""COMPUTED_VALUE"""),"Escherichia coli VTEC O39:H48 - eae negative vtx1 negative vtx2 positive")</f>
        <v>Escherichia coli VTEC O39:H48 - eae negative vtx1 negative vtx2 positive</v>
      </c>
      <c r="B2373" t="str">
        <f ca="1">IFERROR(__xludf.DUMMYFUNCTION("""COMPUTED_VALUE"""),"RF-00001264-PAR")</f>
        <v>RF-00001264-PAR</v>
      </c>
    </row>
    <row r="2374" spans="1:2" ht="12.5" x14ac:dyDescent="0.25">
      <c r="A2374" t="str">
        <f ca="1">IFERROR(__xludf.DUMMYFUNCTION("""COMPUTED_VALUE"""),"Escherichia coli VTEC O39:HNT")</f>
        <v>Escherichia coli VTEC O39:HNT</v>
      </c>
      <c r="B2374" t="str">
        <f ca="1">IFERROR(__xludf.DUMMYFUNCTION("""COMPUTED_VALUE"""),"RF-00003628-MCG")</f>
        <v>RF-00003628-MCG</v>
      </c>
    </row>
    <row r="2375" spans="1:2" ht="12.5" x14ac:dyDescent="0.25">
      <c r="A2375" t="str">
        <f ca="1">IFERROR(__xludf.DUMMYFUNCTION("""COMPUTED_VALUE"""),"Escherichia coli VTEC O39:Hrough")</f>
        <v>Escherichia coli VTEC O39:Hrough</v>
      </c>
      <c r="B2375" t="str">
        <f ca="1">IFERROR(__xludf.DUMMYFUNCTION("""COMPUTED_VALUE"""),"RF-00004017-MCG")</f>
        <v>RF-00004017-MCG</v>
      </c>
    </row>
    <row r="2376" spans="1:2" ht="12.5" x14ac:dyDescent="0.25">
      <c r="A2376" t="str">
        <f ca="1">IFERROR(__xludf.DUMMYFUNCTION("""COMPUTED_VALUE"""),"Escherichia coli VTEC O39:Hrough - eae negative vtx1 negative vtx2 positive")</f>
        <v>Escherichia coli VTEC O39:Hrough - eae negative vtx1 negative vtx2 positive</v>
      </c>
      <c r="B2376" t="str">
        <f ca="1">IFERROR(__xludf.DUMMYFUNCTION("""COMPUTED_VALUE"""),"RF-00004018-MCG")</f>
        <v>RF-00004018-MCG</v>
      </c>
    </row>
    <row r="2377" spans="1:2" ht="12.5" x14ac:dyDescent="0.25">
      <c r="A2377" t="str">
        <f ca="1">IFERROR(__xludf.DUMMYFUNCTION("""COMPUTED_VALUE"""),"Escherichia coli VTEC O4")</f>
        <v>Escherichia coli VTEC O4</v>
      </c>
      <c r="B2377" t="str">
        <f ca="1">IFERROR(__xludf.DUMMYFUNCTION("""COMPUTED_VALUE"""),"RF-00000133-MCG")</f>
        <v>RF-00000133-MCG</v>
      </c>
    </row>
    <row r="2378" spans="1:2" ht="12.5" x14ac:dyDescent="0.25">
      <c r="A2378" t="str">
        <f ca="1">IFERROR(__xludf.DUMMYFUNCTION("""COMPUTED_VALUE"""),"Escherichia coli VTEC O43:H2 - eae negative vtx1 negative vtx2 positive")</f>
        <v>Escherichia coli VTEC O43:H2 - eae negative vtx1 negative vtx2 positive</v>
      </c>
      <c r="B2378" t="str">
        <f ca="1">IFERROR(__xludf.DUMMYFUNCTION("""COMPUTED_VALUE"""),"RF-00001265-PAR")</f>
        <v>RF-00001265-PAR</v>
      </c>
    </row>
    <row r="2379" spans="1:2" ht="12.5" x14ac:dyDescent="0.25">
      <c r="A2379" t="str">
        <f ca="1">IFERROR(__xludf.DUMMYFUNCTION("""COMPUTED_VALUE"""),"Escherichia coli VTEC O43:Hrough - eae negative vtx1 negative vtx2 positive")</f>
        <v>Escherichia coli VTEC O43:Hrough - eae negative vtx1 negative vtx2 positive</v>
      </c>
      <c r="B2379" t="str">
        <f ca="1">IFERROR(__xludf.DUMMYFUNCTION("""COMPUTED_VALUE"""),"RF-00001266-PAR")</f>
        <v>RF-00001266-PAR</v>
      </c>
    </row>
    <row r="2380" spans="1:2" ht="12.5" x14ac:dyDescent="0.25">
      <c r="A2380" t="str">
        <f ca="1">IFERROR(__xludf.DUMMYFUNCTION("""COMPUTED_VALUE"""),"Escherichia coli VTEC O46")</f>
        <v>Escherichia coli VTEC O46</v>
      </c>
      <c r="B2380" t="str">
        <f ca="1">IFERROR(__xludf.DUMMYFUNCTION("""COMPUTED_VALUE"""),"RF-00000146-MCG")</f>
        <v>RF-00000146-MCG</v>
      </c>
    </row>
    <row r="2381" spans="1:2" ht="12.5" x14ac:dyDescent="0.25">
      <c r="A2381" t="str">
        <f ca="1">IFERROR(__xludf.DUMMYFUNCTION("""COMPUTED_VALUE"""),"Escherichia coli VTEC O46:H2 - eae negative vtx1 negative vtx2 positive")</f>
        <v>Escherichia coli VTEC O46:H2 - eae negative vtx1 negative vtx2 positive</v>
      </c>
      <c r="B2381" t="str">
        <f ca="1">IFERROR(__xludf.DUMMYFUNCTION("""COMPUTED_VALUE"""),"RF-00001267-PAR")</f>
        <v>RF-00001267-PAR</v>
      </c>
    </row>
    <row r="2382" spans="1:2" ht="12.5" x14ac:dyDescent="0.25">
      <c r="A2382" t="str">
        <f ca="1">IFERROR(__xludf.DUMMYFUNCTION("""COMPUTED_VALUE"""),"Escherichia coli VTEC O5")</f>
        <v>Escherichia coli VTEC O5</v>
      </c>
      <c r="B2382" t="str">
        <f ca="1">IFERROR(__xludf.DUMMYFUNCTION("""COMPUTED_VALUE"""),"RF-00000165-MCG")</f>
        <v>RF-00000165-MCG</v>
      </c>
    </row>
    <row r="2383" spans="1:2" ht="12.5" x14ac:dyDescent="0.25">
      <c r="A2383" t="str">
        <f ca="1">IFERROR(__xludf.DUMMYFUNCTION("""COMPUTED_VALUE"""),"Escherichia coli VTEC O5:H-")</f>
        <v>Escherichia coli VTEC O5:H-</v>
      </c>
      <c r="B2383" t="str">
        <f ca="1">IFERROR(__xludf.DUMMYFUNCTION("""COMPUTED_VALUE"""),"RF-00003633-MCG")</f>
        <v>RF-00003633-MCG</v>
      </c>
    </row>
    <row r="2384" spans="1:2" ht="12.5" x14ac:dyDescent="0.25">
      <c r="A2384" t="str">
        <f ca="1">IFERROR(__xludf.DUMMYFUNCTION("""COMPUTED_VALUE"""),"Escherichia coli VTEC O5:H- - eae negative vtx1 positive vtx2 negative")</f>
        <v>Escherichia coli VTEC O5:H- - eae negative vtx1 positive vtx2 negative</v>
      </c>
      <c r="B2384" t="str">
        <f ca="1">IFERROR(__xludf.DUMMYFUNCTION("""COMPUTED_VALUE"""),"RF-00003813-MCG")</f>
        <v>RF-00003813-MCG</v>
      </c>
    </row>
    <row r="2385" spans="1:2" ht="12.5" x14ac:dyDescent="0.25">
      <c r="A2385" t="str">
        <f ca="1">IFERROR(__xludf.DUMMYFUNCTION("""COMPUTED_VALUE"""),"Escherichia coli VTEC O5:H- - eae negative vtx1 positive vtx2 positive")</f>
        <v>Escherichia coli VTEC O5:H- - eae negative vtx1 positive vtx2 positive</v>
      </c>
      <c r="B2385" t="str">
        <f ca="1">IFERROR(__xludf.DUMMYFUNCTION("""COMPUTED_VALUE"""),"RF-00003814-MCG")</f>
        <v>RF-00003814-MCG</v>
      </c>
    </row>
    <row r="2386" spans="1:2" ht="12.5" x14ac:dyDescent="0.25">
      <c r="A2386" t="str">
        <f ca="1">IFERROR(__xludf.DUMMYFUNCTION("""COMPUTED_VALUE"""),"Escherichia coli VTEC O5:H- - eae positive vtx1 positive vtx2 negative")</f>
        <v>Escherichia coli VTEC O5:H- - eae positive vtx1 positive vtx2 negative</v>
      </c>
      <c r="B2386" t="str">
        <f ca="1">IFERROR(__xludf.DUMMYFUNCTION("""COMPUTED_VALUE"""),"RF-00004070-MCG")</f>
        <v>RF-00004070-MCG</v>
      </c>
    </row>
    <row r="2387" spans="1:2" ht="12.5" x14ac:dyDescent="0.25">
      <c r="A2387" t="str">
        <f ca="1">IFERROR(__xludf.DUMMYFUNCTION("""COMPUTED_VALUE"""),"Escherichia coli VTEC O5:H5 - eae negative vtx1 positive vtx2 negative")</f>
        <v>Escherichia coli VTEC O5:H5 - eae negative vtx1 positive vtx2 negative</v>
      </c>
      <c r="B2387" t="str">
        <f ca="1">IFERROR(__xludf.DUMMYFUNCTION("""COMPUTED_VALUE"""),"RF-00001268-PAR")</f>
        <v>RF-00001268-PAR</v>
      </c>
    </row>
    <row r="2388" spans="1:2" ht="12.5" x14ac:dyDescent="0.25">
      <c r="A2388" t="str">
        <f ca="1">IFERROR(__xludf.DUMMYFUNCTION("""COMPUTED_VALUE"""),"Escherichia coli VTEC O5:H8")</f>
        <v>Escherichia coli VTEC O5:H8</v>
      </c>
      <c r="B2388" t="str">
        <f ca="1">IFERROR(__xludf.DUMMYFUNCTION("""COMPUTED_VALUE"""),"RF-00003634-MCG")</f>
        <v>RF-00003634-MCG</v>
      </c>
    </row>
    <row r="2389" spans="1:2" ht="12.5" x14ac:dyDescent="0.25">
      <c r="A2389" t="str">
        <f ca="1">IFERROR(__xludf.DUMMYFUNCTION("""COMPUTED_VALUE"""),"Escherichia coli VTEC O5:HMN")</f>
        <v>Escherichia coli VTEC O5:HMN</v>
      </c>
      <c r="B2389" t="str">
        <f ca="1">IFERROR(__xludf.DUMMYFUNCTION("""COMPUTED_VALUE"""),"RF-00004019-MCG")</f>
        <v>RF-00004019-MCG</v>
      </c>
    </row>
    <row r="2390" spans="1:2" ht="12.5" x14ac:dyDescent="0.25">
      <c r="A2390" t="str">
        <f ca="1">IFERROR(__xludf.DUMMYFUNCTION("""COMPUTED_VALUE"""),"Escherichia coli VTEC O5:HMN - eae negative vtx1 positive vtx2 negative")</f>
        <v>Escherichia coli VTEC O5:HMN - eae negative vtx1 positive vtx2 negative</v>
      </c>
      <c r="B2390" t="str">
        <f ca="1">IFERROR(__xludf.DUMMYFUNCTION("""COMPUTED_VALUE"""),"RF-00004020-MCG")</f>
        <v>RF-00004020-MCG</v>
      </c>
    </row>
    <row r="2391" spans="1:2" ht="12.5" x14ac:dyDescent="0.25">
      <c r="A2391" t="str">
        <f ca="1">IFERROR(__xludf.DUMMYFUNCTION("""COMPUTED_VALUE"""),"Escherichia coli VTEC O5:HMN - eae negative vtx1 positive vtx2 positive")</f>
        <v>Escherichia coli VTEC O5:HMN - eae negative vtx1 positive vtx2 positive</v>
      </c>
      <c r="B2391" t="str">
        <f ca="1">IFERROR(__xludf.DUMMYFUNCTION("""COMPUTED_VALUE"""),"RF-00004021-MCG")</f>
        <v>RF-00004021-MCG</v>
      </c>
    </row>
    <row r="2392" spans="1:2" ht="12.5" x14ac:dyDescent="0.25">
      <c r="A2392" t="str">
        <f ca="1">IFERROR(__xludf.DUMMYFUNCTION("""COMPUTED_VALUE"""),"Escherichia coli VTEC O5:HMN - eae positive vtx1 positive vtx2 negative")</f>
        <v>Escherichia coli VTEC O5:HMN - eae positive vtx1 positive vtx2 negative</v>
      </c>
      <c r="B2392" t="str">
        <f ca="1">IFERROR(__xludf.DUMMYFUNCTION("""COMPUTED_VALUE"""),"RF-00004022-MCG")</f>
        <v>RF-00004022-MCG</v>
      </c>
    </row>
    <row r="2393" spans="1:2" ht="12.5" x14ac:dyDescent="0.25">
      <c r="A2393" t="str">
        <f ca="1">IFERROR(__xludf.DUMMYFUNCTION("""COMPUTED_VALUE"""),"Escherichia coli VTEC O5:HNM - eae negative vtx1 positive vtx2 negative")</f>
        <v>Escherichia coli VTEC O5:HNM - eae negative vtx1 positive vtx2 negative</v>
      </c>
      <c r="B2393" t="str">
        <f ca="1">IFERROR(__xludf.DUMMYFUNCTION("""COMPUTED_VALUE"""),"RF-00001269-PAR")</f>
        <v>RF-00001269-PAR</v>
      </c>
    </row>
    <row r="2394" spans="1:2" ht="12.5" x14ac:dyDescent="0.25">
      <c r="A2394" t="str">
        <f ca="1">IFERROR(__xludf.DUMMYFUNCTION("""COMPUTED_VALUE"""),"Escherichia coli VTEC O5:HNM - eae negative vtx1 positive vtx2 positive")</f>
        <v>Escherichia coli VTEC O5:HNM - eae negative vtx1 positive vtx2 positive</v>
      </c>
      <c r="B2394" t="str">
        <f ca="1">IFERROR(__xludf.DUMMYFUNCTION("""COMPUTED_VALUE"""),"RF-00001270-PAR")</f>
        <v>RF-00001270-PAR</v>
      </c>
    </row>
    <row r="2395" spans="1:2" ht="12.5" x14ac:dyDescent="0.25">
      <c r="A2395" t="str">
        <f ca="1">IFERROR(__xludf.DUMMYFUNCTION("""COMPUTED_VALUE"""),"Escherichia coli VTEC O5:HNM - eae positive vtx1 positive vtx2 positive")</f>
        <v>Escherichia coli VTEC O5:HNM - eae positive vtx1 positive vtx2 positive</v>
      </c>
      <c r="B2395" t="str">
        <f ca="1">IFERROR(__xludf.DUMMYFUNCTION("""COMPUTED_VALUE"""),"RF-00001271-PAR")</f>
        <v>RF-00001271-PAR</v>
      </c>
    </row>
    <row r="2396" spans="1:2" ht="12.5" x14ac:dyDescent="0.25">
      <c r="A2396" t="str">
        <f ca="1">IFERROR(__xludf.DUMMYFUNCTION("""COMPUTED_VALUE"""),"Escherichia coli VTEC O55")</f>
        <v>Escherichia coli VTEC O55</v>
      </c>
      <c r="B2396" t="str">
        <f ca="1">IFERROR(__xludf.DUMMYFUNCTION("""COMPUTED_VALUE"""),"RF-00000173-MCG")</f>
        <v>RF-00000173-MCG</v>
      </c>
    </row>
    <row r="2397" spans="1:2" ht="12.5" x14ac:dyDescent="0.25">
      <c r="A2397" t="str">
        <f ca="1">IFERROR(__xludf.DUMMYFUNCTION("""COMPUTED_VALUE"""),"Escherichia coli VTEC O55:H-")</f>
        <v>Escherichia coli VTEC O55:H-</v>
      </c>
      <c r="B2397" t="str">
        <f ca="1">IFERROR(__xludf.DUMMYFUNCTION("""COMPUTED_VALUE"""),"RF-00003629-MCG")</f>
        <v>RF-00003629-MCG</v>
      </c>
    </row>
    <row r="2398" spans="1:2" ht="12.5" x14ac:dyDescent="0.25">
      <c r="A2398" t="str">
        <f ca="1">IFERROR(__xludf.DUMMYFUNCTION("""COMPUTED_VALUE"""),"Escherichia coli VTEC O55:H11")</f>
        <v>Escherichia coli VTEC O55:H11</v>
      </c>
      <c r="B2398" t="str">
        <f ca="1">IFERROR(__xludf.DUMMYFUNCTION("""COMPUTED_VALUE"""),"RF-00003630-MCG")</f>
        <v>RF-00003630-MCG</v>
      </c>
    </row>
    <row r="2399" spans="1:2" ht="12.5" x14ac:dyDescent="0.25">
      <c r="A2399" t="str">
        <f ca="1">IFERROR(__xludf.DUMMYFUNCTION("""COMPUTED_VALUE"""),"Escherichia coli VTEC O55:H12")</f>
        <v>Escherichia coli VTEC O55:H12</v>
      </c>
      <c r="B2399" t="str">
        <f ca="1">IFERROR(__xludf.DUMMYFUNCTION("""COMPUTED_VALUE"""),"RF-00003631-MCG")</f>
        <v>RF-00003631-MCG</v>
      </c>
    </row>
    <row r="2400" spans="1:2" ht="12.5" x14ac:dyDescent="0.25">
      <c r="A2400" t="str">
        <f ca="1">IFERROR(__xludf.DUMMYFUNCTION("""COMPUTED_VALUE"""),"Escherichia coli VTEC O55:H2")</f>
        <v>Escherichia coli VTEC O55:H2</v>
      </c>
      <c r="B2400" t="str">
        <f ca="1">IFERROR(__xludf.DUMMYFUNCTION("""COMPUTED_VALUE"""),"RF-00003632-MCG")</f>
        <v>RF-00003632-MCG</v>
      </c>
    </row>
    <row r="2401" spans="1:2" ht="12.5" x14ac:dyDescent="0.25">
      <c r="A2401" t="str">
        <f ca="1">IFERROR(__xludf.DUMMYFUNCTION("""COMPUTED_VALUE"""),"Escherichia coli VTEC O59")</f>
        <v>Escherichia coli VTEC O59</v>
      </c>
      <c r="B2401" t="str">
        <f ca="1">IFERROR(__xludf.DUMMYFUNCTION("""COMPUTED_VALUE"""),"RF-00000172-MCG")</f>
        <v>RF-00000172-MCG</v>
      </c>
    </row>
    <row r="2402" spans="1:2" ht="12.5" x14ac:dyDescent="0.25">
      <c r="A2402" t="str">
        <f ca="1">IFERROR(__xludf.DUMMYFUNCTION("""COMPUTED_VALUE"""),"Escherichia coli VTEC O6:H-")</f>
        <v>Escherichia coli VTEC O6:H-</v>
      </c>
      <c r="B2402" t="str">
        <f ca="1">IFERROR(__xludf.DUMMYFUNCTION("""COMPUTED_VALUE"""),"RF-00003635-MCG")</f>
        <v>RF-00003635-MCG</v>
      </c>
    </row>
    <row r="2403" spans="1:2" ht="12.5" x14ac:dyDescent="0.25">
      <c r="A2403" t="str">
        <f ca="1">IFERROR(__xludf.DUMMYFUNCTION("""COMPUTED_VALUE"""),"Escherichia coli VTEC O6:H10")</f>
        <v>Escherichia coli VTEC O6:H10</v>
      </c>
      <c r="B2403" t="str">
        <f ca="1">IFERROR(__xludf.DUMMYFUNCTION("""COMPUTED_VALUE"""),"RF-00000171-MCG")</f>
        <v>RF-00000171-MCG</v>
      </c>
    </row>
    <row r="2404" spans="1:2" ht="12.5" x14ac:dyDescent="0.25">
      <c r="A2404" t="str">
        <f ca="1">IFERROR(__xludf.DUMMYFUNCTION("""COMPUTED_VALUE"""),"Escherichia coli VTEC O6:H10 - eae negative vtx1 positive vtx2 negative")</f>
        <v>Escherichia coli VTEC O6:H10 - eae negative vtx1 positive vtx2 negative</v>
      </c>
      <c r="B2404" t="str">
        <f ca="1">IFERROR(__xludf.DUMMYFUNCTION("""COMPUTED_VALUE"""),"RF-00004023-MCG")</f>
        <v>RF-00004023-MCG</v>
      </c>
    </row>
    <row r="2405" spans="1:2" ht="12.5" x14ac:dyDescent="0.25">
      <c r="A2405" t="str">
        <f ca="1">IFERROR(__xludf.DUMMYFUNCTION("""COMPUTED_VALUE"""),"Escherichia coli VTEC O63")</f>
        <v>Escherichia coli VTEC O63</v>
      </c>
      <c r="B2405" t="str">
        <f ca="1">IFERROR(__xludf.DUMMYFUNCTION("""COMPUTED_VALUE"""),"RF-00003936-MCG")</f>
        <v>RF-00003936-MCG</v>
      </c>
    </row>
    <row r="2406" spans="1:2" ht="12.5" x14ac:dyDescent="0.25">
      <c r="A2406" t="str">
        <f ca="1">IFERROR(__xludf.DUMMYFUNCTION("""COMPUTED_VALUE"""),"Escherichia coli VTEC O63 - vtx1 positive")</f>
        <v>Escherichia coli VTEC O63 - vtx1 positive</v>
      </c>
      <c r="B2406" t="str">
        <f ca="1">IFERROR(__xludf.DUMMYFUNCTION("""COMPUTED_VALUE"""),"RF-00003937-MCG")</f>
        <v>RF-00003937-MCG</v>
      </c>
    </row>
    <row r="2407" spans="1:2" ht="12.5" x14ac:dyDescent="0.25">
      <c r="A2407" t="str">
        <f ca="1">IFERROR(__xludf.DUMMYFUNCTION("""COMPUTED_VALUE"""),"Escherichia coli VTEC O63 - vtx1 positive and vtx2 positive")</f>
        <v>Escherichia coli VTEC O63 - vtx1 positive and vtx2 positive</v>
      </c>
      <c r="B2407" t="str">
        <f ca="1">IFERROR(__xludf.DUMMYFUNCTION("""COMPUTED_VALUE"""),"RF-00003938-MCG")</f>
        <v>RF-00003938-MCG</v>
      </c>
    </row>
    <row r="2408" spans="1:2" ht="12.5" x14ac:dyDescent="0.25">
      <c r="A2408" t="str">
        <f ca="1">IFERROR(__xludf.DUMMYFUNCTION("""COMPUTED_VALUE"""),"Escherichia coli VTEC O63 - vtx2 positive")</f>
        <v>Escherichia coli VTEC O63 - vtx2 positive</v>
      </c>
      <c r="B2408" t="str">
        <f ca="1">IFERROR(__xludf.DUMMYFUNCTION("""COMPUTED_VALUE"""),"RF-00003939-MCG")</f>
        <v>RF-00003939-MCG</v>
      </c>
    </row>
    <row r="2409" spans="1:2" ht="12.5" x14ac:dyDescent="0.25">
      <c r="A2409" t="str">
        <f ca="1">IFERROR(__xludf.DUMMYFUNCTION("""COMPUTED_VALUE"""),"Escherichia coli VTEC O66:H28")</f>
        <v>Escherichia coli VTEC O66:H28</v>
      </c>
      <c r="B2409" t="str">
        <f ca="1">IFERROR(__xludf.DUMMYFUNCTION("""COMPUTED_VALUE"""),"RF-00000170-MCG")</f>
        <v>RF-00000170-MCG</v>
      </c>
    </row>
    <row r="2410" spans="1:2" ht="12.5" x14ac:dyDescent="0.25">
      <c r="A2410" t="str">
        <f ca="1">IFERROR(__xludf.DUMMYFUNCTION("""COMPUTED_VALUE"""),"Escherichia coli VTEC O70:H-")</f>
        <v>Escherichia coli VTEC O70:H-</v>
      </c>
      <c r="B2410" t="str">
        <f ca="1">IFERROR(__xludf.DUMMYFUNCTION("""COMPUTED_VALUE"""),"RF-00003636-MCG")</f>
        <v>RF-00003636-MCG</v>
      </c>
    </row>
    <row r="2411" spans="1:2" ht="12.5" x14ac:dyDescent="0.25">
      <c r="A2411" t="str">
        <f ca="1">IFERROR(__xludf.DUMMYFUNCTION("""COMPUTED_VALUE"""),"Escherichia coli VTEC O70:H- - eae negative vtx1 positive vtx2 positive")</f>
        <v>Escherichia coli VTEC O70:H- - eae negative vtx1 positive vtx2 positive</v>
      </c>
      <c r="B2411" t="str">
        <f ca="1">IFERROR(__xludf.DUMMYFUNCTION("""COMPUTED_VALUE"""),"RF-00003815-MCG")</f>
        <v>RF-00003815-MCG</v>
      </c>
    </row>
    <row r="2412" spans="1:2" ht="12.5" x14ac:dyDescent="0.25">
      <c r="A2412" t="str">
        <f ca="1">IFERROR(__xludf.DUMMYFUNCTION("""COMPUTED_VALUE"""),"Escherichia coli VTEC O70:HNT")</f>
        <v>Escherichia coli VTEC O70:HNT</v>
      </c>
      <c r="B2412" t="str">
        <f ca="1">IFERROR(__xludf.DUMMYFUNCTION("""COMPUTED_VALUE"""),"RF-00003637-MCG")</f>
        <v>RF-00003637-MCG</v>
      </c>
    </row>
    <row r="2413" spans="1:2" ht="12.5" x14ac:dyDescent="0.25">
      <c r="A2413" t="str">
        <f ca="1">IFERROR(__xludf.DUMMYFUNCTION("""COMPUTED_VALUE"""),"Escherichia coli VTEC O70:HNT - eae negative vtx1 positive vtx2 negative")</f>
        <v>Escherichia coli VTEC O70:HNT - eae negative vtx1 positive vtx2 negative</v>
      </c>
      <c r="B2413" t="str">
        <f ca="1">IFERROR(__xludf.DUMMYFUNCTION("""COMPUTED_VALUE"""),"RF-00003816-MCG")</f>
        <v>RF-00003816-MCG</v>
      </c>
    </row>
    <row r="2414" spans="1:2" ht="12.5" x14ac:dyDescent="0.25">
      <c r="A2414" t="str">
        <f ca="1">IFERROR(__xludf.DUMMYFUNCTION("""COMPUTED_VALUE"""),"Escherichia coli VTEC O74")</f>
        <v>Escherichia coli VTEC O74</v>
      </c>
      <c r="B2414" t="str">
        <f ca="1">IFERROR(__xludf.DUMMYFUNCTION("""COMPUTED_VALUE"""),"RF-00000163-MCG")</f>
        <v>RF-00000163-MCG</v>
      </c>
    </row>
    <row r="2415" spans="1:2" ht="12.5" x14ac:dyDescent="0.25">
      <c r="A2415" t="str">
        <f ca="1">IFERROR(__xludf.DUMMYFUNCTION("""COMPUTED_VALUE"""),"Escherichia coli VTEC O74:H28 - eae negative vtx1 negative vtx2 positive")</f>
        <v>Escherichia coli VTEC O74:H28 - eae negative vtx1 negative vtx2 positive</v>
      </c>
      <c r="B2415" t="str">
        <f ca="1">IFERROR(__xludf.DUMMYFUNCTION("""COMPUTED_VALUE"""),"RF-00001272-PAR")</f>
        <v>RF-00001272-PAR</v>
      </c>
    </row>
    <row r="2416" spans="1:2" ht="12.5" x14ac:dyDescent="0.25">
      <c r="A2416" t="str">
        <f ca="1">IFERROR(__xludf.DUMMYFUNCTION("""COMPUTED_VALUE"""),"Escherichia coli VTEC O74:Hrough - eae negative vtx1 negative vtx2 positive")</f>
        <v>Escherichia coli VTEC O74:Hrough - eae negative vtx1 negative vtx2 positive</v>
      </c>
      <c r="B2416" t="str">
        <f ca="1">IFERROR(__xludf.DUMMYFUNCTION("""COMPUTED_VALUE"""),"RF-00001273-PAR")</f>
        <v>RF-00001273-PAR</v>
      </c>
    </row>
    <row r="2417" spans="1:2" ht="12.5" x14ac:dyDescent="0.25">
      <c r="A2417" t="str">
        <f ca="1">IFERROR(__xludf.DUMMYFUNCTION("""COMPUTED_VALUE"""),"Escherichia coli VTEC O75")</f>
        <v>Escherichia coli VTEC O75</v>
      </c>
      <c r="B2417" t="str">
        <f ca="1">IFERROR(__xludf.DUMMYFUNCTION("""COMPUTED_VALUE"""),"RF-00000169-MCG")</f>
        <v>RF-00000169-MCG</v>
      </c>
    </row>
    <row r="2418" spans="1:2" ht="12.5" x14ac:dyDescent="0.25">
      <c r="A2418" t="str">
        <f ca="1">IFERROR(__xludf.DUMMYFUNCTION("""COMPUTED_VALUE"""),"Escherichia coli VTEC O75:H-")</f>
        <v>Escherichia coli VTEC O75:H-</v>
      </c>
      <c r="B2418" t="str">
        <f ca="1">IFERROR(__xludf.DUMMYFUNCTION("""COMPUTED_VALUE"""),"RF-00003638-MCG")</f>
        <v>RF-00003638-MCG</v>
      </c>
    </row>
    <row r="2419" spans="1:2" ht="12.5" x14ac:dyDescent="0.25">
      <c r="A2419" t="str">
        <f ca="1">IFERROR(__xludf.DUMMYFUNCTION("""COMPUTED_VALUE"""),"Escherichia coli VTEC O75:H12")</f>
        <v>Escherichia coli VTEC O75:H12</v>
      </c>
      <c r="B2419" t="str">
        <f ca="1">IFERROR(__xludf.DUMMYFUNCTION("""COMPUTED_VALUE"""),"RF-00003639-MCG")</f>
        <v>RF-00003639-MCG</v>
      </c>
    </row>
    <row r="2420" spans="1:2" ht="12.5" x14ac:dyDescent="0.25">
      <c r="A2420" t="str">
        <f ca="1">IFERROR(__xludf.DUMMYFUNCTION("""COMPUTED_VALUE"""),"Escherichia coli VTEC O75:H5")</f>
        <v>Escherichia coli VTEC O75:H5</v>
      </c>
      <c r="B2420" t="str">
        <f ca="1">IFERROR(__xludf.DUMMYFUNCTION("""COMPUTED_VALUE"""),"RF-00004024-MCG")</f>
        <v>RF-00004024-MCG</v>
      </c>
    </row>
    <row r="2421" spans="1:2" ht="12.5" x14ac:dyDescent="0.25">
      <c r="A2421" t="str">
        <f ca="1">IFERROR(__xludf.DUMMYFUNCTION("""COMPUTED_VALUE"""),"Escherichia coli VTEC O75:H5 - eae negative vtx1 positive vtx2 positive")</f>
        <v>Escherichia coli VTEC O75:H5 - eae negative vtx1 positive vtx2 positive</v>
      </c>
      <c r="B2421" t="str">
        <f ca="1">IFERROR(__xludf.DUMMYFUNCTION("""COMPUTED_VALUE"""),"RF-00004025-MCG")</f>
        <v>RF-00004025-MCG</v>
      </c>
    </row>
    <row r="2422" spans="1:2" ht="12.5" x14ac:dyDescent="0.25">
      <c r="A2422" t="str">
        <f ca="1">IFERROR(__xludf.DUMMYFUNCTION("""COMPUTED_VALUE"""),"Escherichia coli VTEC O75:H8")</f>
        <v>Escherichia coli VTEC O75:H8</v>
      </c>
      <c r="B2422" t="str">
        <f ca="1">IFERROR(__xludf.DUMMYFUNCTION("""COMPUTED_VALUE"""),"RF-00003640-MCG")</f>
        <v>RF-00003640-MCG</v>
      </c>
    </row>
    <row r="2423" spans="1:2" ht="12.5" x14ac:dyDescent="0.25">
      <c r="A2423" t="str">
        <f ca="1">IFERROR(__xludf.DUMMYFUNCTION("""COMPUTED_VALUE"""),"Escherichia coli VTEC O75:H8 - eae negative vtx1 positive vtx2 positive")</f>
        <v>Escherichia coli VTEC O75:H8 - eae negative vtx1 positive vtx2 positive</v>
      </c>
      <c r="B2423" t="str">
        <f ca="1">IFERROR(__xludf.DUMMYFUNCTION("""COMPUTED_VALUE"""),"RF-00003817-MCG")</f>
        <v>RF-00003817-MCG</v>
      </c>
    </row>
    <row r="2424" spans="1:2" ht="12.5" x14ac:dyDescent="0.25">
      <c r="A2424" t="str">
        <f ca="1">IFERROR(__xludf.DUMMYFUNCTION("""COMPUTED_VALUE"""),"Escherichia coli VTEC O75:HNT")</f>
        <v>Escherichia coli VTEC O75:HNT</v>
      </c>
      <c r="B2424" t="str">
        <f ca="1">IFERROR(__xludf.DUMMYFUNCTION("""COMPUTED_VALUE"""),"RF-00003641-MCG")</f>
        <v>RF-00003641-MCG</v>
      </c>
    </row>
    <row r="2425" spans="1:2" ht="12.5" x14ac:dyDescent="0.25">
      <c r="A2425" t="str">
        <f ca="1">IFERROR(__xludf.DUMMYFUNCTION("""COMPUTED_VALUE"""),"Escherichia coli VTEC O75:HNT - eae negative vtx1 positive vtx2 positive")</f>
        <v>Escherichia coli VTEC O75:HNT - eae negative vtx1 positive vtx2 positive</v>
      </c>
      <c r="B2425" t="str">
        <f ca="1">IFERROR(__xludf.DUMMYFUNCTION("""COMPUTED_VALUE"""),"RF-00003818-MCG")</f>
        <v>RF-00003818-MCG</v>
      </c>
    </row>
    <row r="2426" spans="1:2" ht="12.5" x14ac:dyDescent="0.25">
      <c r="A2426" t="str">
        <f ca="1">IFERROR(__xludf.DUMMYFUNCTION("""COMPUTED_VALUE"""),"Escherichia coli VTEC O76")</f>
        <v>Escherichia coli VTEC O76</v>
      </c>
      <c r="B2426" t="str">
        <f ca="1">IFERROR(__xludf.DUMMYFUNCTION("""COMPUTED_VALUE"""),"RF-00000148-MCG")</f>
        <v>RF-00000148-MCG</v>
      </c>
    </row>
    <row r="2427" spans="1:2" ht="12.5" x14ac:dyDescent="0.25">
      <c r="A2427" t="str">
        <f ca="1">IFERROR(__xludf.DUMMYFUNCTION("""COMPUTED_VALUE"""),"Escherichia coli VTEC O76")</f>
        <v>Escherichia coli VTEC O76</v>
      </c>
      <c r="B2427" t="str">
        <f ca="1">IFERROR(__xludf.DUMMYFUNCTION("""COMPUTED_VALUE"""),"RF-00003642-MCG")</f>
        <v>RF-00003642-MCG</v>
      </c>
    </row>
    <row r="2428" spans="1:2" ht="12.5" x14ac:dyDescent="0.25">
      <c r="A2428" t="str">
        <f ca="1">IFERROR(__xludf.DUMMYFUNCTION("""COMPUTED_VALUE"""),"Escherichia coli VTEC O76:H-")</f>
        <v>Escherichia coli VTEC O76:H-</v>
      </c>
      <c r="B2428" t="str">
        <f ca="1">IFERROR(__xludf.DUMMYFUNCTION("""COMPUTED_VALUE"""),"RF-00000168-MCG")</f>
        <v>RF-00000168-MCG</v>
      </c>
    </row>
    <row r="2429" spans="1:2" ht="12.5" x14ac:dyDescent="0.25">
      <c r="A2429" t="str">
        <f ca="1">IFERROR(__xludf.DUMMYFUNCTION("""COMPUTED_VALUE"""),"Escherichia coli VTEC O76:H-")</f>
        <v>Escherichia coli VTEC O76:H-</v>
      </c>
      <c r="B2429" t="str">
        <f ca="1">IFERROR(__xludf.DUMMYFUNCTION("""COMPUTED_VALUE"""),"RF-00003643-MCG")</f>
        <v>RF-00003643-MCG</v>
      </c>
    </row>
    <row r="2430" spans="1:2" ht="12.5" x14ac:dyDescent="0.25">
      <c r="A2430" t="str">
        <f ca="1">IFERROR(__xludf.DUMMYFUNCTION("""COMPUTED_VALUE"""),"Escherichia coli VTEC O76:H- - eae negative vtx1 positive vtx2 negative")</f>
        <v>Escherichia coli VTEC O76:H- - eae negative vtx1 positive vtx2 negative</v>
      </c>
      <c r="B2430" t="str">
        <f ca="1">IFERROR(__xludf.DUMMYFUNCTION("""COMPUTED_VALUE"""),"RF-00003819-MCG")</f>
        <v>RF-00003819-MCG</v>
      </c>
    </row>
    <row r="2431" spans="1:2" ht="12.5" x14ac:dyDescent="0.25">
      <c r="A2431" t="str">
        <f ca="1">IFERROR(__xludf.DUMMYFUNCTION("""COMPUTED_VALUE"""),"Escherichia coli VTEC O76:H19")</f>
        <v>Escherichia coli VTEC O76:H19</v>
      </c>
      <c r="B2431" t="str">
        <f ca="1">IFERROR(__xludf.DUMMYFUNCTION("""COMPUTED_VALUE"""),"RF-00000167-MCG")</f>
        <v>RF-00000167-MCG</v>
      </c>
    </row>
    <row r="2432" spans="1:2" ht="12.5" x14ac:dyDescent="0.25">
      <c r="A2432" t="str">
        <f ca="1">IFERROR(__xludf.DUMMYFUNCTION("""COMPUTED_VALUE"""),"Escherichia coli VTEC O76:H19")</f>
        <v>Escherichia coli VTEC O76:H19</v>
      </c>
      <c r="B2432" t="str">
        <f ca="1">IFERROR(__xludf.DUMMYFUNCTION("""COMPUTED_VALUE"""),"RF-00003644-MCG")</f>
        <v>RF-00003644-MCG</v>
      </c>
    </row>
    <row r="2433" spans="1:2" ht="12.5" x14ac:dyDescent="0.25">
      <c r="A2433" t="str">
        <f ca="1">IFERROR(__xludf.DUMMYFUNCTION("""COMPUTED_VALUE"""),"Escherichia coli VTEC O76:H19 - eae negative vtx1 positive vtx2 negative")</f>
        <v>Escherichia coli VTEC O76:H19 - eae negative vtx1 positive vtx2 negative</v>
      </c>
      <c r="B2433" t="str">
        <f ca="1">IFERROR(__xludf.DUMMYFUNCTION("""COMPUTED_VALUE"""),"RF-00003820-MCG")</f>
        <v>RF-00003820-MCG</v>
      </c>
    </row>
    <row r="2434" spans="1:2" ht="12.5" x14ac:dyDescent="0.25">
      <c r="A2434" t="str">
        <f ca="1">IFERROR(__xludf.DUMMYFUNCTION("""COMPUTED_VALUE"""),"Escherichia coli VTEC O76:H19 - eae negative vtx1 positive vtx2 positive")</f>
        <v>Escherichia coli VTEC O76:H19 - eae negative vtx1 positive vtx2 positive</v>
      </c>
      <c r="B2434" t="str">
        <f ca="1">IFERROR(__xludf.DUMMYFUNCTION("""COMPUTED_VALUE"""),"RF-00001274-PAR")</f>
        <v>RF-00001274-PAR</v>
      </c>
    </row>
    <row r="2435" spans="1:2" ht="12.5" x14ac:dyDescent="0.25">
      <c r="A2435" t="str">
        <f ca="1">IFERROR(__xludf.DUMMYFUNCTION("""COMPUTED_VALUE"""),"Escherichia coli VTEC O76:HNM")</f>
        <v>Escherichia coli VTEC O76:HNM</v>
      </c>
      <c r="B2435" t="str">
        <f ca="1">IFERROR(__xludf.DUMMYFUNCTION("""COMPUTED_VALUE"""),"RF-00004026-MCG")</f>
        <v>RF-00004026-MCG</v>
      </c>
    </row>
    <row r="2436" spans="1:2" ht="12.5" x14ac:dyDescent="0.25">
      <c r="A2436" t="str">
        <f ca="1">IFERROR(__xludf.DUMMYFUNCTION("""COMPUTED_VALUE"""),"Escherichia coli VTEC O76:HNM - eae negative vtx1 positive vtx2 negative")</f>
        <v>Escherichia coli VTEC O76:HNM - eae negative vtx1 positive vtx2 negative</v>
      </c>
      <c r="B2436" t="str">
        <f ca="1">IFERROR(__xludf.DUMMYFUNCTION("""COMPUTED_VALUE"""),"RF-00004027-MCG")</f>
        <v>RF-00004027-MCG</v>
      </c>
    </row>
    <row r="2437" spans="1:2" ht="12.5" x14ac:dyDescent="0.25">
      <c r="A2437" t="str">
        <f ca="1">IFERROR(__xludf.DUMMYFUNCTION("""COMPUTED_VALUE"""),"Escherichia coli VTEC O76:HNM - eae negative vtx1 positive vtx2 positive")</f>
        <v>Escherichia coli VTEC O76:HNM - eae negative vtx1 positive vtx2 positive</v>
      </c>
      <c r="B2437" t="str">
        <f ca="1">IFERROR(__xludf.DUMMYFUNCTION("""COMPUTED_VALUE"""),"RF-00001275-PAR")</f>
        <v>RF-00001275-PAR</v>
      </c>
    </row>
    <row r="2438" spans="1:2" ht="12.5" x14ac:dyDescent="0.25">
      <c r="A2438" t="str">
        <f ca="1">IFERROR(__xludf.DUMMYFUNCTION("""COMPUTED_VALUE"""),"Escherichia coli VTEC O76:HNT")</f>
        <v>Escherichia coli VTEC O76:HNT</v>
      </c>
      <c r="B2438" t="str">
        <f ca="1">IFERROR(__xludf.DUMMYFUNCTION("""COMPUTED_VALUE"""),"RF-00003645-MCG")</f>
        <v>RF-00003645-MCG</v>
      </c>
    </row>
    <row r="2439" spans="1:2" ht="12.5" x14ac:dyDescent="0.25">
      <c r="A2439" t="str">
        <f ca="1">IFERROR(__xludf.DUMMYFUNCTION("""COMPUTED_VALUE"""),"Escherichia coli VTEC O76:HNT - eae negative vtx1 positive vtx2 negative")</f>
        <v>Escherichia coli VTEC O76:HNT - eae negative vtx1 positive vtx2 negative</v>
      </c>
      <c r="B2439" t="str">
        <f ca="1">IFERROR(__xludf.DUMMYFUNCTION("""COMPUTED_VALUE"""),"RF-00003821-MCG")</f>
        <v>RF-00003821-MCG</v>
      </c>
    </row>
    <row r="2440" spans="1:2" ht="12.5" x14ac:dyDescent="0.25">
      <c r="A2440" t="str">
        <f ca="1">IFERROR(__xludf.DUMMYFUNCTION("""COMPUTED_VALUE"""),"Escherichia coli VTEC O76:Hrough")</f>
        <v>Escherichia coli VTEC O76:Hrough</v>
      </c>
      <c r="B2440" t="str">
        <f ca="1">IFERROR(__xludf.DUMMYFUNCTION("""COMPUTED_VALUE"""),"RF-00004030-MCG")</f>
        <v>RF-00004030-MCG</v>
      </c>
    </row>
    <row r="2441" spans="1:2" ht="12.5" x14ac:dyDescent="0.25">
      <c r="A2441" t="str">
        <f ca="1">IFERROR(__xludf.DUMMYFUNCTION("""COMPUTED_VALUE"""),"Escherichia coli VTEC O76:Hrough - eae negative vtx1 positive vtx2 negative")</f>
        <v>Escherichia coli VTEC O76:Hrough - eae negative vtx1 positive vtx2 negative</v>
      </c>
      <c r="B2441" t="str">
        <f ca="1">IFERROR(__xludf.DUMMYFUNCTION("""COMPUTED_VALUE"""),"RF-00004031-MCG")</f>
        <v>RF-00004031-MCG</v>
      </c>
    </row>
    <row r="2442" spans="1:2" ht="12.5" x14ac:dyDescent="0.25">
      <c r="A2442" t="str">
        <f ca="1">IFERROR(__xludf.DUMMYFUNCTION("""COMPUTED_VALUE"""),"Escherichia coli VTEC O76:Hrough - eae negative vtx1 positive vtx2 positive")</f>
        <v>Escherichia coli VTEC O76:Hrough - eae negative vtx1 positive vtx2 positive</v>
      </c>
      <c r="B2442" t="str">
        <f ca="1">IFERROR(__xludf.DUMMYFUNCTION("""COMPUTED_VALUE"""),"RF-00001276-PAR")</f>
        <v>RF-00001276-PAR</v>
      </c>
    </row>
    <row r="2443" spans="1:2" ht="12.5" x14ac:dyDescent="0.25">
      <c r="A2443" t="str">
        <f ca="1">IFERROR(__xludf.DUMMYFUNCTION("""COMPUTED_VALUE"""),"Escherichia coli VTEC O78:H-")</f>
        <v>Escherichia coli VTEC O78:H-</v>
      </c>
      <c r="B2443" t="str">
        <f ca="1">IFERROR(__xludf.DUMMYFUNCTION("""COMPUTED_VALUE"""),"RF-00003646-MCG")</f>
        <v>RF-00003646-MCG</v>
      </c>
    </row>
    <row r="2444" spans="1:2" ht="12.5" x14ac:dyDescent="0.25">
      <c r="A2444" t="str">
        <f ca="1">IFERROR(__xludf.DUMMYFUNCTION("""COMPUTED_VALUE"""),"Escherichia coli VTEC O79")</f>
        <v>Escherichia coli VTEC O79</v>
      </c>
      <c r="B2444" t="str">
        <f ca="1">IFERROR(__xludf.DUMMYFUNCTION("""COMPUTED_VALUE"""),"RF-00000166-MCG")</f>
        <v>RF-00000166-MCG</v>
      </c>
    </row>
    <row r="2445" spans="1:2" ht="12.5" x14ac:dyDescent="0.25">
      <c r="A2445" t="str">
        <f ca="1">IFERROR(__xludf.DUMMYFUNCTION("""COMPUTED_VALUE"""),"Escherichia coli VTEC O79:H12 - eae negative vtx1 positive vtx2 negative")</f>
        <v>Escherichia coli VTEC O79:H12 - eae negative vtx1 positive vtx2 negative</v>
      </c>
      <c r="B2445" t="str">
        <f ca="1">IFERROR(__xludf.DUMMYFUNCTION("""COMPUTED_VALUE"""),"RF-00001277-PAR")</f>
        <v>RF-00001277-PAR</v>
      </c>
    </row>
    <row r="2446" spans="1:2" ht="12.5" x14ac:dyDescent="0.25">
      <c r="A2446" t="str">
        <f ca="1">IFERROR(__xludf.DUMMYFUNCTION("""COMPUTED_VALUE"""),"Escherichia coli VTEC O8")</f>
        <v>Escherichia coli VTEC O8</v>
      </c>
      <c r="B2446" t="str">
        <f ca="1">IFERROR(__xludf.DUMMYFUNCTION("""COMPUTED_VALUE"""),"RF-00000154-MCG")</f>
        <v>RF-00000154-MCG</v>
      </c>
    </row>
    <row r="2447" spans="1:2" ht="12.5" x14ac:dyDescent="0.25">
      <c r="A2447" t="str">
        <f ca="1">IFERROR(__xludf.DUMMYFUNCTION("""COMPUTED_VALUE"""),"Escherichia coli VTEC O8:H-")</f>
        <v>Escherichia coli VTEC O8:H-</v>
      </c>
      <c r="B2447" t="str">
        <f ca="1">IFERROR(__xludf.DUMMYFUNCTION("""COMPUTED_VALUE"""),"RF-00003658-MCG")</f>
        <v>RF-00003658-MCG</v>
      </c>
    </row>
    <row r="2448" spans="1:2" ht="12.5" x14ac:dyDescent="0.25">
      <c r="A2448" t="str">
        <f ca="1">IFERROR(__xludf.DUMMYFUNCTION("""COMPUTED_VALUE"""),"Escherichia coli VTEC O8:H- - eae negative vtx1 positive vtx2 positive")</f>
        <v>Escherichia coli VTEC O8:H- - eae negative vtx1 positive vtx2 positive</v>
      </c>
      <c r="B2448" t="str">
        <f ca="1">IFERROR(__xludf.DUMMYFUNCTION("""COMPUTED_VALUE"""),"RF-00003828-MCG")</f>
        <v>RF-00003828-MCG</v>
      </c>
    </row>
    <row r="2449" spans="1:2" ht="12.5" x14ac:dyDescent="0.25">
      <c r="A2449" t="str">
        <f ca="1">IFERROR(__xludf.DUMMYFUNCTION("""COMPUTED_VALUE"""),"Escherichia coli VTEC O8:H2")</f>
        <v>Escherichia coli VTEC O8:H2</v>
      </c>
      <c r="B2449" t="str">
        <f ca="1">IFERROR(__xludf.DUMMYFUNCTION("""COMPUTED_VALUE"""),"RF-00003659-MCG")</f>
        <v>RF-00003659-MCG</v>
      </c>
    </row>
    <row r="2450" spans="1:2" ht="12.5" x14ac:dyDescent="0.25">
      <c r="A2450" t="str">
        <f ca="1">IFERROR(__xludf.DUMMYFUNCTION("""COMPUTED_VALUE"""),"Escherichia coli VTEC O8:H21")</f>
        <v>Escherichia coli VTEC O8:H21</v>
      </c>
      <c r="B2450" t="str">
        <f ca="1">IFERROR(__xludf.DUMMYFUNCTION("""COMPUTED_VALUE"""),"RF-00003660-MCG")</f>
        <v>RF-00003660-MCG</v>
      </c>
    </row>
    <row r="2451" spans="1:2" ht="12.5" x14ac:dyDescent="0.25">
      <c r="A2451" t="str">
        <f ca="1">IFERROR(__xludf.DUMMYFUNCTION("""COMPUTED_VALUE"""),"Escherichia coli VTEC O8:HNT")</f>
        <v>Escherichia coli VTEC O8:HNT</v>
      </c>
      <c r="B2451" t="str">
        <f ca="1">IFERROR(__xludf.DUMMYFUNCTION("""COMPUTED_VALUE"""),"RF-00003661-MCG")</f>
        <v>RF-00003661-MCG</v>
      </c>
    </row>
    <row r="2452" spans="1:2" ht="12.5" x14ac:dyDescent="0.25">
      <c r="A2452" t="str">
        <f ca="1">IFERROR(__xludf.DUMMYFUNCTION("""COMPUTED_VALUE"""),"Escherichia coli VTEC O81:H21")</f>
        <v>Escherichia coli VTEC O81:H21</v>
      </c>
      <c r="B2452" t="str">
        <f ca="1">IFERROR(__xludf.DUMMYFUNCTION("""COMPUTED_VALUE"""),"RF-00003647-MCG")</f>
        <v>RF-00003647-MCG</v>
      </c>
    </row>
    <row r="2453" spans="1:2" ht="12.5" x14ac:dyDescent="0.25">
      <c r="A2453" t="str">
        <f ca="1">IFERROR(__xludf.DUMMYFUNCTION("""COMPUTED_VALUE"""),"Escherichia coli VTEC O81:H21 - eae negative vtx1 positive vtx2 negative")</f>
        <v>Escherichia coli VTEC O81:H21 - eae negative vtx1 positive vtx2 negative</v>
      </c>
      <c r="B2453" t="str">
        <f ca="1">IFERROR(__xludf.DUMMYFUNCTION("""COMPUTED_VALUE"""),"RF-00003822-MCG")</f>
        <v>RF-00003822-MCG</v>
      </c>
    </row>
    <row r="2454" spans="1:2" ht="12.5" x14ac:dyDescent="0.25">
      <c r="A2454" t="str">
        <f ca="1">IFERROR(__xludf.DUMMYFUNCTION("""COMPUTED_VALUE"""),"Escherichia coli VTEC O81:HNM - eae negative vtx1 positive vtx2 positive")</f>
        <v>Escherichia coli VTEC O81:HNM - eae negative vtx1 positive vtx2 positive</v>
      </c>
      <c r="B2454" t="str">
        <f ca="1">IFERROR(__xludf.DUMMYFUNCTION("""COMPUTED_VALUE"""),"RF-00001278-PAR")</f>
        <v>RF-00001278-PAR</v>
      </c>
    </row>
    <row r="2455" spans="1:2" ht="12.5" x14ac:dyDescent="0.25">
      <c r="A2455" t="str">
        <f ca="1">IFERROR(__xludf.DUMMYFUNCTION("""COMPUTED_VALUE"""),"Escherichia coli VTEC O82:H8")</f>
        <v>Escherichia coli VTEC O82:H8</v>
      </c>
      <c r="B2455" t="str">
        <f ca="1">IFERROR(__xludf.DUMMYFUNCTION("""COMPUTED_VALUE"""),"RF-00003648-MCG")</f>
        <v>RF-00003648-MCG</v>
      </c>
    </row>
    <row r="2456" spans="1:2" ht="12.5" x14ac:dyDescent="0.25">
      <c r="A2456" t="str">
        <f ca="1">IFERROR(__xludf.DUMMYFUNCTION("""COMPUTED_VALUE"""),"Escherichia coli VTEC O82:H8 - eae negative vtx1 negative vtx2 positive")</f>
        <v>Escherichia coli VTEC O82:H8 - eae negative vtx1 negative vtx2 positive</v>
      </c>
      <c r="B2456" t="str">
        <f ca="1">IFERROR(__xludf.DUMMYFUNCTION("""COMPUTED_VALUE"""),"RF-00003823-MCG")</f>
        <v>RF-00003823-MCG</v>
      </c>
    </row>
    <row r="2457" spans="1:2" ht="12.5" x14ac:dyDescent="0.25">
      <c r="A2457" t="str">
        <f ca="1">IFERROR(__xludf.DUMMYFUNCTION("""COMPUTED_VALUE"""),"Escherichia coli VTEC O82:Hrough")</f>
        <v>Escherichia coli VTEC O82:Hrough</v>
      </c>
      <c r="B2457" t="str">
        <f ca="1">IFERROR(__xludf.DUMMYFUNCTION("""COMPUTED_VALUE"""),"RF-00004032-MCG")</f>
        <v>RF-00004032-MCG</v>
      </c>
    </row>
    <row r="2458" spans="1:2" ht="12.5" x14ac:dyDescent="0.25">
      <c r="A2458" t="str">
        <f ca="1">IFERROR(__xludf.DUMMYFUNCTION("""COMPUTED_VALUE"""),"Escherichia coli VTEC O82:Hrough - eae negative vtx1 negative vtx2 positive")</f>
        <v>Escherichia coli VTEC O82:Hrough - eae negative vtx1 negative vtx2 positive</v>
      </c>
      <c r="B2458" t="str">
        <f ca="1">IFERROR(__xludf.DUMMYFUNCTION("""COMPUTED_VALUE"""),"RF-00004033-MCG")</f>
        <v>RF-00004033-MCG</v>
      </c>
    </row>
    <row r="2459" spans="1:2" ht="12.5" x14ac:dyDescent="0.25">
      <c r="A2459" t="str">
        <f ca="1">IFERROR(__xludf.DUMMYFUNCTION("""COMPUTED_VALUE"""),"Escherichia coli VTEC O84")</f>
        <v>Escherichia coli VTEC O84</v>
      </c>
      <c r="B2459" t="str">
        <f ca="1">IFERROR(__xludf.DUMMYFUNCTION("""COMPUTED_VALUE"""),"RF-00000164-MCG")</f>
        <v>RF-00000164-MCG</v>
      </c>
    </row>
    <row r="2460" spans="1:2" ht="12.5" x14ac:dyDescent="0.25">
      <c r="A2460" t="str">
        <f ca="1">IFERROR(__xludf.DUMMYFUNCTION("""COMPUTED_VALUE"""),"Escherichia coli VTEC O84:H-")</f>
        <v>Escherichia coli VTEC O84:H-</v>
      </c>
      <c r="B2460" t="str">
        <f ca="1">IFERROR(__xludf.DUMMYFUNCTION("""COMPUTED_VALUE"""),"RF-00000174-MCG")</f>
        <v>RF-00000174-MCG</v>
      </c>
    </row>
    <row r="2461" spans="1:2" ht="12.5" x14ac:dyDescent="0.25">
      <c r="A2461" t="str">
        <f ca="1">IFERROR(__xludf.DUMMYFUNCTION("""COMPUTED_VALUE"""),"Escherichia coli VTEC O84:H- - eae positive vtx1 positive vtx2 negative")</f>
        <v>Escherichia coli VTEC O84:H- - eae positive vtx1 positive vtx2 negative</v>
      </c>
      <c r="B2461" t="str">
        <f ca="1">IFERROR(__xludf.DUMMYFUNCTION("""COMPUTED_VALUE"""),"RF-00003824-MCG")</f>
        <v>RF-00003824-MCG</v>
      </c>
    </row>
    <row r="2462" spans="1:2" ht="12.5" x14ac:dyDescent="0.25">
      <c r="A2462" t="str">
        <f ca="1">IFERROR(__xludf.DUMMYFUNCTION("""COMPUTED_VALUE"""),"Escherichia coli VTEC O84:H2")</f>
        <v>Escherichia coli VTEC O84:H2</v>
      </c>
      <c r="B2462" t="str">
        <f ca="1">IFERROR(__xludf.DUMMYFUNCTION("""COMPUTED_VALUE"""),"RF-00003649-MCG")</f>
        <v>RF-00003649-MCG</v>
      </c>
    </row>
    <row r="2463" spans="1:2" ht="12.5" x14ac:dyDescent="0.25">
      <c r="A2463" t="str">
        <f ca="1">IFERROR(__xludf.DUMMYFUNCTION("""COMPUTED_VALUE"""),"Escherichia coli VTEC O84:HNT")</f>
        <v>Escherichia coli VTEC O84:HNT</v>
      </c>
      <c r="B2463" t="str">
        <f ca="1">IFERROR(__xludf.DUMMYFUNCTION("""COMPUTED_VALUE"""),"RF-00003650-MCG")</f>
        <v>RF-00003650-MCG</v>
      </c>
    </row>
    <row r="2464" spans="1:2" ht="12.5" x14ac:dyDescent="0.25">
      <c r="A2464" t="str">
        <f ca="1">IFERROR(__xludf.DUMMYFUNCTION("""COMPUTED_VALUE"""),"Escherichia coli VTEC O84:Hrough")</f>
        <v>Escherichia coli VTEC O84:Hrough</v>
      </c>
      <c r="B2464" t="str">
        <f ca="1">IFERROR(__xludf.DUMMYFUNCTION("""COMPUTED_VALUE"""),"RF-00003651-MCG")</f>
        <v>RF-00003651-MCG</v>
      </c>
    </row>
    <row r="2465" spans="1:2" ht="12.5" x14ac:dyDescent="0.25">
      <c r="A2465" t="str">
        <f ca="1">IFERROR(__xludf.DUMMYFUNCTION("""COMPUTED_VALUE"""),"Escherichia coli VTEC O86:H19")</f>
        <v>Escherichia coli VTEC O86:H19</v>
      </c>
      <c r="B2465" t="str">
        <f ca="1">IFERROR(__xludf.DUMMYFUNCTION("""COMPUTED_VALUE"""),"RF-00003652-MCG")</f>
        <v>RF-00003652-MCG</v>
      </c>
    </row>
    <row r="2466" spans="1:2" ht="12.5" x14ac:dyDescent="0.25">
      <c r="A2466" t="str">
        <f ca="1">IFERROR(__xludf.DUMMYFUNCTION("""COMPUTED_VALUE"""),"Escherichia coli VTEC O86:H28")</f>
        <v>Escherichia coli VTEC O86:H28</v>
      </c>
      <c r="B2466" t="str">
        <f ca="1">IFERROR(__xludf.DUMMYFUNCTION("""COMPUTED_VALUE"""),"RF-00003653-MCG")</f>
        <v>RF-00003653-MCG</v>
      </c>
    </row>
    <row r="2467" spans="1:2" ht="12.5" x14ac:dyDescent="0.25">
      <c r="A2467" t="str">
        <f ca="1">IFERROR(__xludf.DUMMYFUNCTION("""COMPUTED_VALUE"""),"Escherichia coli VTEC O87:H-")</f>
        <v>Escherichia coli VTEC O87:H-</v>
      </c>
      <c r="B2467" t="str">
        <f ca="1">IFERROR(__xludf.DUMMYFUNCTION("""COMPUTED_VALUE"""),"RF-00003654-MCG")</f>
        <v>RF-00003654-MCG</v>
      </c>
    </row>
    <row r="2468" spans="1:2" ht="12.5" x14ac:dyDescent="0.25">
      <c r="A2468" t="str">
        <f ca="1">IFERROR(__xludf.DUMMYFUNCTION("""COMPUTED_VALUE"""),"Escherichia coli VTEC O87:H- - eae negative vtx1 negative vtx2 positive")</f>
        <v>Escherichia coli VTEC O87:H- - eae negative vtx1 negative vtx2 positive</v>
      </c>
      <c r="B2468" t="str">
        <f ca="1">IFERROR(__xludf.DUMMYFUNCTION("""COMPUTED_VALUE"""),"RF-00003825-MCG")</f>
        <v>RF-00003825-MCG</v>
      </c>
    </row>
    <row r="2469" spans="1:2" ht="12.5" x14ac:dyDescent="0.25">
      <c r="A2469" t="str">
        <f ca="1">IFERROR(__xludf.DUMMYFUNCTION("""COMPUTED_VALUE"""),"Escherichia coli VTEC O87:H10")</f>
        <v>Escherichia coli VTEC O87:H10</v>
      </c>
      <c r="B2469" t="str">
        <f ca="1">IFERROR(__xludf.DUMMYFUNCTION("""COMPUTED_VALUE"""),"RF-00003655-MCG")</f>
        <v>RF-00003655-MCG</v>
      </c>
    </row>
    <row r="2470" spans="1:2" ht="12.5" x14ac:dyDescent="0.25">
      <c r="A2470" t="str">
        <f ca="1">IFERROR(__xludf.DUMMYFUNCTION("""COMPUTED_VALUE"""),"Escherichia coli VTEC O87:H10 - eae negative vtx1 negative vtx2 positive")</f>
        <v>Escherichia coli VTEC O87:H10 - eae negative vtx1 negative vtx2 positive</v>
      </c>
      <c r="B2470" t="str">
        <f ca="1">IFERROR(__xludf.DUMMYFUNCTION("""COMPUTED_VALUE"""),"RF-00003826-MCG")</f>
        <v>RF-00003826-MCG</v>
      </c>
    </row>
    <row r="2471" spans="1:2" ht="12.5" x14ac:dyDescent="0.25">
      <c r="A2471" t="str">
        <f ca="1">IFERROR(__xludf.DUMMYFUNCTION("""COMPUTED_VALUE"""),"Escherichia coli VTEC O87:H16")</f>
        <v>Escherichia coli VTEC O87:H16</v>
      </c>
      <c r="B2471" t="str">
        <f ca="1">IFERROR(__xludf.DUMMYFUNCTION("""COMPUTED_VALUE"""),"RF-00003656-MCG")</f>
        <v>RF-00003656-MCG</v>
      </c>
    </row>
    <row r="2472" spans="1:2" ht="12.5" x14ac:dyDescent="0.25">
      <c r="A2472" t="str">
        <f ca="1">IFERROR(__xludf.DUMMYFUNCTION("""COMPUTED_VALUE"""),"Escherichia coli VTEC O87:H16 - eae negative vtx1 negative vtx2 positive")</f>
        <v>Escherichia coli VTEC O87:H16 - eae negative vtx1 negative vtx2 positive</v>
      </c>
      <c r="B2472" t="str">
        <f ca="1">IFERROR(__xludf.DUMMYFUNCTION("""COMPUTED_VALUE"""),"RF-00003827-MCG")</f>
        <v>RF-00003827-MCG</v>
      </c>
    </row>
    <row r="2473" spans="1:2" ht="12.5" x14ac:dyDescent="0.25">
      <c r="A2473" t="str">
        <f ca="1">IFERROR(__xludf.DUMMYFUNCTION("""COMPUTED_VALUE"""),"Escherichia coli VTEC O87:HNM")</f>
        <v>Escherichia coli VTEC O87:HNM</v>
      </c>
      <c r="B2473" t="str">
        <f ca="1">IFERROR(__xludf.DUMMYFUNCTION("""COMPUTED_VALUE"""),"RF-00004034-MCG")</f>
        <v>RF-00004034-MCG</v>
      </c>
    </row>
    <row r="2474" spans="1:2" ht="12.5" x14ac:dyDescent="0.25">
      <c r="A2474" t="str">
        <f ca="1">IFERROR(__xludf.DUMMYFUNCTION("""COMPUTED_VALUE"""),"Escherichia coli VTEC O87:HNM - eae negative vtx1 negaitive vtx2 positive")</f>
        <v>Escherichia coli VTEC O87:HNM - eae negative vtx1 negaitive vtx2 positive</v>
      </c>
      <c r="B2474" t="str">
        <f ca="1">IFERROR(__xludf.DUMMYFUNCTION("""COMPUTED_VALUE"""),"RF-00004035-MCG")</f>
        <v>RF-00004035-MCG</v>
      </c>
    </row>
    <row r="2475" spans="1:2" ht="12.5" x14ac:dyDescent="0.25">
      <c r="A2475" t="str">
        <f ca="1">IFERROR(__xludf.DUMMYFUNCTION("""COMPUTED_VALUE"""),"Escherichia coli VTEC O87:HNT")</f>
        <v>Escherichia coli VTEC O87:HNT</v>
      </c>
      <c r="B2475" t="str">
        <f ca="1">IFERROR(__xludf.DUMMYFUNCTION("""COMPUTED_VALUE"""),"RF-00003657-MCG")</f>
        <v>RF-00003657-MCG</v>
      </c>
    </row>
    <row r="2476" spans="1:2" ht="12.5" x14ac:dyDescent="0.25">
      <c r="A2476" t="str">
        <f ca="1">IFERROR(__xludf.DUMMYFUNCTION("""COMPUTED_VALUE"""),"Escherichia coli VTEC O87:HNT - eae negative vtx1 negative vtx2 positive")</f>
        <v>Escherichia coli VTEC O87:HNT - eae negative vtx1 negative vtx2 positive</v>
      </c>
      <c r="B2476" t="str">
        <f ca="1">IFERROR(__xludf.DUMMYFUNCTION("""COMPUTED_VALUE"""),"RF-00004036-MCG")</f>
        <v>RF-00004036-MCG</v>
      </c>
    </row>
    <row r="2477" spans="1:2" ht="12.5" x14ac:dyDescent="0.25">
      <c r="A2477" t="str">
        <f ca="1">IFERROR(__xludf.DUMMYFUNCTION("""COMPUTED_VALUE"""),"Escherichia coli VTEC O88")</f>
        <v>Escherichia coli VTEC O88</v>
      </c>
      <c r="B2477" t="str">
        <f ca="1">IFERROR(__xludf.DUMMYFUNCTION("""COMPUTED_VALUE"""),"RF-00000162-MCG")</f>
        <v>RF-00000162-MCG</v>
      </c>
    </row>
    <row r="2478" spans="1:2" ht="12.5" x14ac:dyDescent="0.25">
      <c r="A2478" t="str">
        <f ca="1">IFERROR(__xludf.DUMMYFUNCTION("""COMPUTED_VALUE"""),"Escherichia coli VTEC O89:H8 - eae negative vtx1 positive vtx2 positive")</f>
        <v>Escherichia coli VTEC O89:H8 - eae negative vtx1 positive vtx2 positive</v>
      </c>
      <c r="B2478" t="str">
        <f ca="1">IFERROR(__xludf.DUMMYFUNCTION("""COMPUTED_VALUE"""),"RF-00001279-PAR")</f>
        <v>RF-00001279-PAR</v>
      </c>
    </row>
    <row r="2479" spans="1:2" ht="12.5" x14ac:dyDescent="0.25">
      <c r="A2479" t="str">
        <f ca="1">IFERROR(__xludf.DUMMYFUNCTION("""COMPUTED_VALUE"""),"Escherichia coli VTEC O9")</f>
        <v>Escherichia coli VTEC O9</v>
      </c>
      <c r="B2479" t="str">
        <f ca="1">IFERROR(__xludf.DUMMYFUNCTION("""COMPUTED_VALUE"""),"RF-00000161-MCG")</f>
        <v>RF-00000161-MCG</v>
      </c>
    </row>
    <row r="2480" spans="1:2" ht="12.5" x14ac:dyDescent="0.25">
      <c r="A2480" t="str">
        <f ca="1">IFERROR(__xludf.DUMMYFUNCTION("""COMPUTED_VALUE"""),"Escherichia coli VTEC O91")</f>
        <v>Escherichia coli VTEC O91</v>
      </c>
      <c r="B2480" t="str">
        <f ca="1">IFERROR(__xludf.DUMMYFUNCTION("""COMPUTED_VALUE"""),"RF-00000160-MCG")</f>
        <v>RF-00000160-MCG</v>
      </c>
    </row>
    <row r="2481" spans="1:2" ht="12.5" x14ac:dyDescent="0.25">
      <c r="A2481" t="str">
        <f ca="1">IFERROR(__xludf.DUMMYFUNCTION("""COMPUTED_VALUE"""),"Escherichia coli VTEC O91 - eae negative vtx1 positive")</f>
        <v>Escherichia coli VTEC O91 - eae negative vtx1 positive</v>
      </c>
      <c r="B2481" t="str">
        <f ca="1">IFERROR(__xludf.DUMMYFUNCTION("""COMPUTED_VALUE"""),"RF-00003940-MCG")</f>
        <v>RF-00003940-MCG</v>
      </c>
    </row>
    <row r="2482" spans="1:2" ht="12.5" x14ac:dyDescent="0.25">
      <c r="A2482" t="str">
        <f ca="1">IFERROR(__xludf.DUMMYFUNCTION("""COMPUTED_VALUE"""),"Escherichia coli VTEC O91 - eae negative vtx1 positive and vtx2 positive")</f>
        <v>Escherichia coli VTEC O91 - eae negative vtx1 positive and vtx2 positive</v>
      </c>
      <c r="B2482" t="str">
        <f ca="1">IFERROR(__xludf.DUMMYFUNCTION("""COMPUTED_VALUE"""),"RF-00003941-MCG")</f>
        <v>RF-00003941-MCG</v>
      </c>
    </row>
    <row r="2483" spans="1:2" ht="12.5" x14ac:dyDescent="0.25">
      <c r="A2483" t="str">
        <f ca="1">IFERROR(__xludf.DUMMYFUNCTION("""COMPUTED_VALUE"""),"Escherichia coli VTEC O91 - eae negative vtx2 positive")</f>
        <v>Escherichia coli VTEC O91 - eae negative vtx2 positive</v>
      </c>
      <c r="B2483" t="str">
        <f ca="1">IFERROR(__xludf.DUMMYFUNCTION("""COMPUTED_VALUE"""),"RF-00003942-MCG")</f>
        <v>RF-00003942-MCG</v>
      </c>
    </row>
    <row r="2484" spans="1:2" ht="12.5" x14ac:dyDescent="0.25">
      <c r="A2484" t="str">
        <f ca="1">IFERROR(__xludf.DUMMYFUNCTION("""COMPUTED_VALUE"""),"Escherichia coli VTEC O91:H-")</f>
        <v>Escherichia coli VTEC O91:H-</v>
      </c>
      <c r="B2484" t="str">
        <f ca="1">IFERROR(__xludf.DUMMYFUNCTION("""COMPUTED_VALUE"""),"RF-00003662-MCG")</f>
        <v>RF-00003662-MCG</v>
      </c>
    </row>
    <row r="2485" spans="1:2" ht="12.5" x14ac:dyDescent="0.25">
      <c r="A2485" t="str">
        <f ca="1">IFERROR(__xludf.DUMMYFUNCTION("""COMPUTED_VALUE"""),"Escherichia coli VTEC O91:H- - eae negative vtx1 positive vtx2 positive")</f>
        <v>Escherichia coli VTEC O91:H- - eae negative vtx1 positive vtx2 positive</v>
      </c>
      <c r="B2485" t="str">
        <f ca="1">IFERROR(__xludf.DUMMYFUNCTION("""COMPUTED_VALUE"""),"RF-00004071-MCG")</f>
        <v>RF-00004071-MCG</v>
      </c>
    </row>
    <row r="2486" spans="1:2" ht="12.5" x14ac:dyDescent="0.25">
      <c r="A2486" t="str">
        <f ca="1">IFERROR(__xludf.DUMMYFUNCTION("""COMPUTED_VALUE"""),"Escherichia coli VTEC O91:H10 - eae negative vtx1 negative vtx2 positive")</f>
        <v>Escherichia coli VTEC O91:H10 - eae negative vtx1 negative vtx2 positive</v>
      </c>
      <c r="B2486" t="str">
        <f ca="1">IFERROR(__xludf.DUMMYFUNCTION("""COMPUTED_VALUE"""),"RF-00001280-PAR")</f>
        <v>RF-00001280-PAR</v>
      </c>
    </row>
    <row r="2487" spans="1:2" ht="12.5" x14ac:dyDescent="0.25">
      <c r="A2487" t="str">
        <f ca="1">IFERROR(__xludf.DUMMYFUNCTION("""COMPUTED_VALUE"""),"Escherichia coli VTEC O91:H21")</f>
        <v>Escherichia coli VTEC O91:H21</v>
      </c>
      <c r="B2487" t="str">
        <f ca="1">IFERROR(__xludf.DUMMYFUNCTION("""COMPUTED_VALUE"""),"RF-00000159-MCG")</f>
        <v>RF-00000159-MCG</v>
      </c>
    </row>
    <row r="2488" spans="1:2" ht="12.5" x14ac:dyDescent="0.25">
      <c r="A2488" t="str">
        <f ca="1">IFERROR(__xludf.DUMMYFUNCTION("""COMPUTED_VALUE"""),"Escherichia coli VTEC O91:H21 - eae negative vtx1 negative vtx2 positive")</f>
        <v>Escherichia coli VTEC O91:H21 - eae negative vtx1 negative vtx2 positive</v>
      </c>
      <c r="B2488" t="str">
        <f ca="1">IFERROR(__xludf.DUMMYFUNCTION("""COMPUTED_VALUE"""),"RF-00003829-MCG")</f>
        <v>RF-00003829-MCG</v>
      </c>
    </row>
    <row r="2489" spans="1:2" ht="12.5" x14ac:dyDescent="0.25">
      <c r="A2489" t="str">
        <f ca="1">IFERROR(__xludf.DUMMYFUNCTION("""COMPUTED_VALUE"""),"Escherichia coli VTEC O91:H21 - eae negative vtx1 positive vtx2 negative")</f>
        <v>Escherichia coli VTEC O91:H21 - eae negative vtx1 positive vtx2 negative</v>
      </c>
      <c r="B2489" t="str">
        <f ca="1">IFERROR(__xludf.DUMMYFUNCTION("""COMPUTED_VALUE"""),"RF-00003830-MCG")</f>
        <v>RF-00003830-MCG</v>
      </c>
    </row>
    <row r="2490" spans="1:2" ht="12.5" x14ac:dyDescent="0.25">
      <c r="A2490" t="str">
        <f ca="1">IFERROR(__xludf.DUMMYFUNCTION("""COMPUTED_VALUE"""),"Escherichia coli VTEC O91:H21 - eae negative vtx1 positive vtx2 positive")</f>
        <v>Escherichia coli VTEC O91:H21 - eae negative vtx1 positive vtx2 positive</v>
      </c>
      <c r="B2490" t="str">
        <f ca="1">IFERROR(__xludf.DUMMYFUNCTION("""COMPUTED_VALUE"""),"RF-00003831-MCG")</f>
        <v>RF-00003831-MCG</v>
      </c>
    </row>
    <row r="2491" spans="1:2" ht="12.5" x14ac:dyDescent="0.25">
      <c r="A2491" t="str">
        <f ca="1">IFERROR(__xludf.DUMMYFUNCTION("""COMPUTED_VALUE"""),"Escherichia coli VTEC O91:HNM")</f>
        <v>Escherichia coli VTEC O91:HNM</v>
      </c>
      <c r="B2491" t="str">
        <f ca="1">IFERROR(__xludf.DUMMYFUNCTION("""COMPUTED_VALUE"""),"RF-00004037-MCG")</f>
        <v>RF-00004037-MCG</v>
      </c>
    </row>
    <row r="2492" spans="1:2" ht="12.5" x14ac:dyDescent="0.25">
      <c r="A2492" t="str">
        <f ca="1">IFERROR(__xludf.DUMMYFUNCTION("""COMPUTED_VALUE"""),"Escherichia coli VTEC O91:HNM - eae negative vtx1 positive vtx2 positive")</f>
        <v>Escherichia coli VTEC O91:HNM - eae negative vtx1 positive vtx2 positive</v>
      </c>
      <c r="B2492" t="str">
        <f ca="1">IFERROR(__xludf.DUMMYFUNCTION("""COMPUTED_VALUE"""),"RF-00004038-MCG")</f>
        <v>RF-00004038-MCG</v>
      </c>
    </row>
    <row r="2493" spans="1:2" ht="12.5" x14ac:dyDescent="0.25">
      <c r="A2493" t="str">
        <f ca="1">IFERROR(__xludf.DUMMYFUNCTION("""COMPUTED_VALUE"""),"Escherichia coli VTEC O91:HNT")</f>
        <v>Escherichia coli VTEC O91:HNT</v>
      </c>
      <c r="B2493" t="str">
        <f ca="1">IFERROR(__xludf.DUMMYFUNCTION("""COMPUTED_VALUE"""),"RF-00003663-MCG")</f>
        <v>RF-00003663-MCG</v>
      </c>
    </row>
    <row r="2494" spans="1:2" ht="12.5" x14ac:dyDescent="0.25">
      <c r="A2494" t="str">
        <f ca="1">IFERROR(__xludf.DUMMYFUNCTION("""COMPUTED_VALUE"""),"Escherichia coli VTEC O91:HNT - eae negative vtx1 positive vtx2 negative")</f>
        <v>Escherichia coli VTEC O91:HNT - eae negative vtx1 positive vtx2 negative</v>
      </c>
      <c r="B2494" t="str">
        <f ca="1">IFERROR(__xludf.DUMMYFUNCTION("""COMPUTED_VALUE"""),"RF-00003832-MCG")</f>
        <v>RF-00003832-MCG</v>
      </c>
    </row>
    <row r="2495" spans="1:2" ht="12.5" x14ac:dyDescent="0.25">
      <c r="A2495" t="str">
        <f ca="1">IFERROR(__xludf.DUMMYFUNCTION("""COMPUTED_VALUE"""),"Escherichia coli VTEC O91:Hrough")</f>
        <v>Escherichia coli VTEC O91:Hrough</v>
      </c>
      <c r="B2495" t="str">
        <f ca="1">IFERROR(__xludf.DUMMYFUNCTION("""COMPUTED_VALUE"""),"RF-00004039-MCG")</f>
        <v>RF-00004039-MCG</v>
      </c>
    </row>
    <row r="2496" spans="1:2" ht="12.5" x14ac:dyDescent="0.25">
      <c r="A2496" t="str">
        <f ca="1">IFERROR(__xludf.DUMMYFUNCTION("""COMPUTED_VALUE"""),"Escherichia coli VTEC O91:Hrough - eae negative vtx1 negative vtx2 positive")</f>
        <v>Escherichia coli VTEC O91:Hrough - eae negative vtx1 negative vtx2 positive</v>
      </c>
      <c r="B2496" t="str">
        <f ca="1">IFERROR(__xludf.DUMMYFUNCTION("""COMPUTED_VALUE"""),"RF-00004040-MCG")</f>
        <v>RF-00004040-MCG</v>
      </c>
    </row>
    <row r="2497" spans="1:2" ht="12.5" x14ac:dyDescent="0.25">
      <c r="A2497" t="str">
        <f ca="1">IFERROR(__xludf.DUMMYFUNCTION("""COMPUTED_VALUE"""),"Escherichia coli VTEC O91:Hrough - eae negative vtx1 positive vtx2 positive")</f>
        <v>Escherichia coli VTEC O91:Hrough - eae negative vtx1 positive vtx2 positive</v>
      </c>
      <c r="B2497" t="str">
        <f ca="1">IFERROR(__xludf.DUMMYFUNCTION("""COMPUTED_VALUE"""),"RF-00004041-MCG")</f>
        <v>RF-00004041-MCG</v>
      </c>
    </row>
    <row r="2498" spans="1:2" ht="12.5" x14ac:dyDescent="0.25">
      <c r="A2498" t="str">
        <f ca="1">IFERROR(__xludf.DUMMYFUNCTION("""COMPUTED_VALUE"""),"Escherichia coli VTEC O96:H19")</f>
        <v>Escherichia coli VTEC O96:H19</v>
      </c>
      <c r="B2498" t="str">
        <f ca="1">IFERROR(__xludf.DUMMYFUNCTION("""COMPUTED_VALUE"""),"RF-00004042-MCG")</f>
        <v>RF-00004042-MCG</v>
      </c>
    </row>
    <row r="2499" spans="1:2" ht="12.5" x14ac:dyDescent="0.25">
      <c r="A2499" t="str">
        <f ca="1">IFERROR(__xludf.DUMMYFUNCTION("""COMPUTED_VALUE"""),"Escherichia coli VTEC O96:H19 - eae negative vtx1 positive vtx2 positive")</f>
        <v>Escherichia coli VTEC O96:H19 - eae negative vtx1 positive vtx2 positive</v>
      </c>
      <c r="B2499" t="str">
        <f ca="1">IFERROR(__xludf.DUMMYFUNCTION("""COMPUTED_VALUE"""),"RF-00004043-MCG")</f>
        <v>RF-00004043-MCG</v>
      </c>
    </row>
    <row r="2500" spans="1:2" ht="12.5" x14ac:dyDescent="0.25">
      <c r="A2500" t="str">
        <f ca="1">IFERROR(__xludf.DUMMYFUNCTION("""COMPUTED_VALUE"""),"Escherichia coli VTEC ONT:H-")</f>
        <v>Escherichia coli VTEC ONT:H-</v>
      </c>
      <c r="B2500" t="str">
        <f ca="1">IFERROR(__xludf.DUMMYFUNCTION("""COMPUTED_VALUE"""),"RF-00003664-MCG")</f>
        <v>RF-00003664-MCG</v>
      </c>
    </row>
    <row r="2501" spans="1:2" ht="12.5" x14ac:dyDescent="0.25">
      <c r="A2501" t="str">
        <f ca="1">IFERROR(__xludf.DUMMYFUNCTION("""COMPUTED_VALUE"""),"Escherichia coli VTEC ONT:H- - eae negative vtx1 negative vtx2 positive")</f>
        <v>Escherichia coli VTEC ONT:H- - eae negative vtx1 negative vtx2 positive</v>
      </c>
      <c r="B2501" t="str">
        <f ca="1">IFERROR(__xludf.DUMMYFUNCTION("""COMPUTED_VALUE"""),"RF-00003833-MCG")</f>
        <v>RF-00003833-MCG</v>
      </c>
    </row>
    <row r="2502" spans="1:2" ht="12.5" x14ac:dyDescent="0.25">
      <c r="A2502" t="str">
        <f ca="1">IFERROR(__xludf.DUMMYFUNCTION("""COMPUTED_VALUE"""),"Escherichia coli VTEC ONT:H- - eae positive vtx1 negative vtx2 positive")</f>
        <v>Escherichia coli VTEC ONT:H- - eae positive vtx1 negative vtx2 positive</v>
      </c>
      <c r="B2502" t="str">
        <f ca="1">IFERROR(__xludf.DUMMYFUNCTION("""COMPUTED_VALUE"""),"RF-00003834-MCG")</f>
        <v>RF-00003834-MCG</v>
      </c>
    </row>
    <row r="2503" spans="1:2" ht="12.5" x14ac:dyDescent="0.25">
      <c r="A2503" t="str">
        <f ca="1">IFERROR(__xludf.DUMMYFUNCTION("""COMPUTED_VALUE"""),"Escherichia coli VTEC ONT:H10")</f>
        <v>Escherichia coli VTEC ONT:H10</v>
      </c>
      <c r="B2503" t="str">
        <f ca="1">IFERROR(__xludf.DUMMYFUNCTION("""COMPUTED_VALUE"""),"RF-00003665-MCG")</f>
        <v>RF-00003665-MCG</v>
      </c>
    </row>
    <row r="2504" spans="1:2" ht="12.5" x14ac:dyDescent="0.25">
      <c r="A2504" t="str">
        <f ca="1">IFERROR(__xludf.DUMMYFUNCTION("""COMPUTED_VALUE"""),"Escherichia coli VTEC ONT:H10 - eae negative vtx1 negative vtx2 positive")</f>
        <v>Escherichia coli VTEC ONT:H10 - eae negative vtx1 negative vtx2 positive</v>
      </c>
      <c r="B2504" t="str">
        <f ca="1">IFERROR(__xludf.DUMMYFUNCTION("""COMPUTED_VALUE"""),"RF-00004044-MCG")</f>
        <v>RF-00004044-MCG</v>
      </c>
    </row>
    <row r="2505" spans="1:2" ht="12.5" x14ac:dyDescent="0.25">
      <c r="A2505" t="str">
        <f ca="1">IFERROR(__xludf.DUMMYFUNCTION("""COMPUTED_VALUE"""),"Escherichia coli VTEC ONT:H10 - eae negative vtx1 positive vtx2 positive")</f>
        <v>Escherichia coli VTEC ONT:H10 - eae negative vtx1 positive vtx2 positive</v>
      </c>
      <c r="B2505" t="str">
        <f ca="1">IFERROR(__xludf.DUMMYFUNCTION("""COMPUTED_VALUE"""),"RF-00003835-MCG")</f>
        <v>RF-00003835-MCG</v>
      </c>
    </row>
    <row r="2506" spans="1:2" ht="12.5" x14ac:dyDescent="0.25">
      <c r="A2506" t="str">
        <f ca="1">IFERROR(__xludf.DUMMYFUNCTION("""COMPUTED_VALUE"""),"Escherichia coli VTEC ONT:H12")</f>
        <v>Escherichia coli VTEC ONT:H12</v>
      </c>
      <c r="B2506" t="str">
        <f ca="1">IFERROR(__xludf.DUMMYFUNCTION("""COMPUTED_VALUE"""),"RF-00004045-MCG")</f>
        <v>RF-00004045-MCG</v>
      </c>
    </row>
    <row r="2507" spans="1:2" ht="12.5" x14ac:dyDescent="0.25">
      <c r="A2507" t="str">
        <f ca="1">IFERROR(__xludf.DUMMYFUNCTION("""COMPUTED_VALUE"""),"Escherichia coli VTEC ONT:H12 - eae negative vtx1 positive vtx2 negative")</f>
        <v>Escherichia coli VTEC ONT:H12 - eae negative vtx1 positive vtx2 negative</v>
      </c>
      <c r="B2507" t="str">
        <f ca="1">IFERROR(__xludf.DUMMYFUNCTION("""COMPUTED_VALUE"""),"RF-00004046-MCG")</f>
        <v>RF-00004046-MCG</v>
      </c>
    </row>
    <row r="2508" spans="1:2" ht="12.5" x14ac:dyDescent="0.25">
      <c r="A2508" t="str">
        <f ca="1">IFERROR(__xludf.DUMMYFUNCTION("""COMPUTED_VALUE"""),"Escherichia coli VTEC ONT:H14")</f>
        <v>Escherichia coli VTEC ONT:H14</v>
      </c>
      <c r="B2508" t="str">
        <f ca="1">IFERROR(__xludf.DUMMYFUNCTION("""COMPUTED_VALUE"""),"RF-00003666-MCG")</f>
        <v>RF-00003666-MCG</v>
      </c>
    </row>
    <row r="2509" spans="1:2" ht="12.5" x14ac:dyDescent="0.25">
      <c r="A2509" t="str">
        <f ca="1">IFERROR(__xludf.DUMMYFUNCTION("""COMPUTED_VALUE"""),"Escherichia coli VTEC ONT:H16")</f>
        <v>Escherichia coli VTEC ONT:H16</v>
      </c>
      <c r="B2509" t="str">
        <f ca="1">IFERROR(__xludf.DUMMYFUNCTION("""COMPUTED_VALUE"""),"RF-00003667-MCG")</f>
        <v>RF-00003667-MCG</v>
      </c>
    </row>
    <row r="2510" spans="1:2" ht="12.5" x14ac:dyDescent="0.25">
      <c r="A2510" t="str">
        <f ca="1">IFERROR(__xludf.DUMMYFUNCTION("""COMPUTED_VALUE"""),"Escherichia coli VTEC ONT:H18")</f>
        <v>Escherichia coli VTEC ONT:H18</v>
      </c>
      <c r="B2510" t="str">
        <f ca="1">IFERROR(__xludf.DUMMYFUNCTION("""COMPUTED_VALUE"""),"RF-00003668-MCG")</f>
        <v>RF-00003668-MCG</v>
      </c>
    </row>
    <row r="2511" spans="1:2" ht="12.5" x14ac:dyDescent="0.25">
      <c r="A2511" t="str">
        <f ca="1">IFERROR(__xludf.DUMMYFUNCTION("""COMPUTED_VALUE"""),"Escherichia coli VTEC ONT:H19")</f>
        <v>Escherichia coli VTEC ONT:H19</v>
      </c>
      <c r="B2511" t="str">
        <f ca="1">IFERROR(__xludf.DUMMYFUNCTION("""COMPUTED_VALUE"""),"RF-00003669-MCG")</f>
        <v>RF-00003669-MCG</v>
      </c>
    </row>
    <row r="2512" spans="1:2" ht="12.5" x14ac:dyDescent="0.25">
      <c r="A2512" t="str">
        <f ca="1">IFERROR(__xludf.DUMMYFUNCTION("""COMPUTED_VALUE"""),"Escherichia coli VTEC ONT:H19 - eae negative vtx1 positive vtx2 positive")</f>
        <v>Escherichia coli VTEC ONT:H19 - eae negative vtx1 positive vtx2 positive</v>
      </c>
      <c r="B2512" t="str">
        <f ca="1">IFERROR(__xludf.DUMMYFUNCTION("""COMPUTED_VALUE"""),"RF-00003836-MCG")</f>
        <v>RF-00003836-MCG</v>
      </c>
    </row>
    <row r="2513" spans="1:2" ht="12.5" x14ac:dyDescent="0.25">
      <c r="A2513" t="str">
        <f ca="1">IFERROR(__xludf.DUMMYFUNCTION("""COMPUTED_VALUE"""),"Escherichia coli VTEC ONT:H2")</f>
        <v>Escherichia coli VTEC ONT:H2</v>
      </c>
      <c r="B2513" t="str">
        <f ca="1">IFERROR(__xludf.DUMMYFUNCTION("""COMPUTED_VALUE"""),"RF-00003670-MCG")</f>
        <v>RF-00003670-MCG</v>
      </c>
    </row>
    <row r="2514" spans="1:2" ht="12.5" x14ac:dyDescent="0.25">
      <c r="A2514" t="str">
        <f ca="1">IFERROR(__xludf.DUMMYFUNCTION("""COMPUTED_VALUE"""),"Escherichia coli VTEC ONT:H2 - eae negative vtx1 positive vtx2 positive")</f>
        <v>Escherichia coli VTEC ONT:H2 - eae negative vtx1 positive vtx2 positive</v>
      </c>
      <c r="B2514" t="str">
        <f ca="1">IFERROR(__xludf.DUMMYFUNCTION("""COMPUTED_VALUE"""),"RF-00003837-MCG")</f>
        <v>RF-00003837-MCG</v>
      </c>
    </row>
    <row r="2515" spans="1:2" ht="12.5" x14ac:dyDescent="0.25">
      <c r="A2515" t="str">
        <f ca="1">IFERROR(__xludf.DUMMYFUNCTION("""COMPUTED_VALUE"""),"Escherichia coli VTEC ONT:H21")</f>
        <v>Escherichia coli VTEC ONT:H21</v>
      </c>
      <c r="B2515" t="str">
        <f ca="1">IFERROR(__xludf.DUMMYFUNCTION("""COMPUTED_VALUE"""),"RF-00003671-MCG")</f>
        <v>RF-00003671-MCG</v>
      </c>
    </row>
    <row r="2516" spans="1:2" ht="12.5" x14ac:dyDescent="0.25">
      <c r="A2516" t="str">
        <f ca="1">IFERROR(__xludf.DUMMYFUNCTION("""COMPUTED_VALUE"""),"Escherichia coli VTEC ONT:H21 - eae negative vtx1 negative vtx2 positive")</f>
        <v>Escherichia coli VTEC ONT:H21 - eae negative vtx1 negative vtx2 positive</v>
      </c>
      <c r="B2516" t="str">
        <f ca="1">IFERROR(__xludf.DUMMYFUNCTION("""COMPUTED_VALUE"""),"RF-00001281-PAR")</f>
        <v>RF-00001281-PAR</v>
      </c>
    </row>
    <row r="2517" spans="1:2" ht="12.5" x14ac:dyDescent="0.25">
      <c r="A2517" t="str">
        <f ca="1">IFERROR(__xludf.DUMMYFUNCTION("""COMPUTED_VALUE"""),"Escherichia coli VTEC ONT:H28")</f>
        <v>Escherichia coli VTEC ONT:H28</v>
      </c>
      <c r="B2517" t="str">
        <f ca="1">IFERROR(__xludf.DUMMYFUNCTION("""COMPUTED_VALUE"""),"RF-00003672-MCG")</f>
        <v>RF-00003672-MCG</v>
      </c>
    </row>
    <row r="2518" spans="1:2" ht="12.5" x14ac:dyDescent="0.25">
      <c r="A2518" t="str">
        <f ca="1">IFERROR(__xludf.DUMMYFUNCTION("""COMPUTED_VALUE"""),"Escherichia coli VTEC ONT:H4")</f>
        <v>Escherichia coli VTEC ONT:H4</v>
      </c>
      <c r="B2518" t="str">
        <f ca="1">IFERROR(__xludf.DUMMYFUNCTION("""COMPUTED_VALUE"""),"RF-00003673-MCG")</f>
        <v>RF-00003673-MCG</v>
      </c>
    </row>
    <row r="2519" spans="1:2" ht="12.5" x14ac:dyDescent="0.25">
      <c r="A2519" t="str">
        <f ca="1">IFERROR(__xludf.DUMMYFUNCTION("""COMPUTED_VALUE"""),"Escherichia coli VTEC ONT:H49")</f>
        <v>Escherichia coli VTEC ONT:H49</v>
      </c>
      <c r="B2519" t="str">
        <f ca="1">IFERROR(__xludf.DUMMYFUNCTION("""COMPUTED_VALUE"""),"RF-00003674-MCG")</f>
        <v>RF-00003674-MCG</v>
      </c>
    </row>
    <row r="2520" spans="1:2" ht="12.5" x14ac:dyDescent="0.25">
      <c r="A2520" t="str">
        <f ca="1">IFERROR(__xludf.DUMMYFUNCTION("""COMPUTED_VALUE"""),"Escherichia coli VTEC ONT:H5")</f>
        <v>Escherichia coli VTEC ONT:H5</v>
      </c>
      <c r="B2520" t="str">
        <f ca="1">IFERROR(__xludf.DUMMYFUNCTION("""COMPUTED_VALUE"""),"RF-00003675-MCG")</f>
        <v>RF-00003675-MCG</v>
      </c>
    </row>
    <row r="2521" spans="1:2" ht="12.5" x14ac:dyDescent="0.25">
      <c r="A2521" t="str">
        <f ca="1">IFERROR(__xludf.DUMMYFUNCTION("""COMPUTED_VALUE"""),"Escherichia coli VTEC ONT:H5 - eae negative vtx1 positive vtx2 negative")</f>
        <v>Escherichia coli VTEC ONT:H5 - eae negative vtx1 positive vtx2 negative</v>
      </c>
      <c r="B2521" t="str">
        <f ca="1">IFERROR(__xludf.DUMMYFUNCTION("""COMPUTED_VALUE"""),"RF-00003838-MCG")</f>
        <v>RF-00003838-MCG</v>
      </c>
    </row>
    <row r="2522" spans="1:2" ht="12.5" x14ac:dyDescent="0.25">
      <c r="A2522" t="str">
        <f ca="1">IFERROR(__xludf.DUMMYFUNCTION("""COMPUTED_VALUE"""),"Escherichia coli VTEC ONT:H8")</f>
        <v>Escherichia coli VTEC ONT:H8</v>
      </c>
      <c r="B2522" t="str">
        <f ca="1">IFERROR(__xludf.DUMMYFUNCTION("""COMPUTED_VALUE"""),"RF-00003676-MCG")</f>
        <v>RF-00003676-MCG</v>
      </c>
    </row>
    <row r="2523" spans="1:2" ht="12.5" x14ac:dyDescent="0.25">
      <c r="A2523" t="str">
        <f ca="1">IFERROR(__xludf.DUMMYFUNCTION("""COMPUTED_VALUE"""),"Escherichia coli VTEC ONT:H8 - eae negative vtx1 positive vtx2 negative")</f>
        <v>Escherichia coli VTEC ONT:H8 - eae negative vtx1 positive vtx2 negative</v>
      </c>
      <c r="B2523" t="str">
        <f ca="1">IFERROR(__xludf.DUMMYFUNCTION("""COMPUTED_VALUE"""),"RF-00003839-MCG")</f>
        <v>RF-00003839-MCG</v>
      </c>
    </row>
    <row r="2524" spans="1:2" ht="12.5" x14ac:dyDescent="0.25">
      <c r="A2524" t="str">
        <f ca="1">IFERROR(__xludf.DUMMYFUNCTION("""COMPUTED_VALUE"""),"Escherichia coli VTEC ONT:H8 - eae negative vtx1 positive vtx2 positive")</f>
        <v>Escherichia coli VTEC ONT:H8 - eae negative vtx1 positive vtx2 positive</v>
      </c>
      <c r="B2524" t="str">
        <f ca="1">IFERROR(__xludf.DUMMYFUNCTION("""COMPUTED_VALUE"""),"RF-00003840-MCG")</f>
        <v>RF-00003840-MCG</v>
      </c>
    </row>
    <row r="2525" spans="1:2" ht="12.5" x14ac:dyDescent="0.25">
      <c r="A2525" t="str">
        <f ca="1">IFERROR(__xludf.DUMMYFUNCTION("""COMPUTED_VALUE"""),"Escherichia coli VTEC ONT:H9 - eae negative vtx1 negative vtx2 positive")</f>
        <v>Escherichia coli VTEC ONT:H9 - eae negative vtx1 negative vtx2 positive</v>
      </c>
      <c r="B2525" t="str">
        <f ca="1">IFERROR(__xludf.DUMMYFUNCTION("""COMPUTED_VALUE"""),"RF-00001282-PAR")</f>
        <v>RF-00001282-PAR</v>
      </c>
    </row>
    <row r="2526" spans="1:2" ht="12.5" x14ac:dyDescent="0.25">
      <c r="A2526" t="str">
        <f ca="1">IFERROR(__xludf.DUMMYFUNCTION("""COMPUTED_VALUE"""),"Escherichia coli VTEC ONT:HNT")</f>
        <v>Escherichia coli VTEC ONT:HNT</v>
      </c>
      <c r="B2526" t="str">
        <f ca="1">IFERROR(__xludf.DUMMYFUNCTION("""COMPUTED_VALUE"""),"RF-00003677-MCG")</f>
        <v>RF-00003677-MCG</v>
      </c>
    </row>
    <row r="2527" spans="1:2" ht="12.5" x14ac:dyDescent="0.25">
      <c r="A2527" t="str">
        <f ca="1">IFERROR(__xludf.DUMMYFUNCTION("""COMPUTED_VALUE"""),"Escherichia coli VTEC ONT:HNT - eae negative vtx1 positive vtx2 positive")</f>
        <v>Escherichia coli VTEC ONT:HNT - eae negative vtx1 positive vtx2 positive</v>
      </c>
      <c r="B2527" t="str">
        <f ca="1">IFERROR(__xludf.DUMMYFUNCTION("""COMPUTED_VALUE"""),"RF-00003841-MCG")</f>
        <v>RF-00003841-MCG</v>
      </c>
    </row>
    <row r="2528" spans="1:2" ht="12.5" x14ac:dyDescent="0.25">
      <c r="A2528" t="str">
        <f ca="1">IFERROR(__xludf.DUMMYFUNCTION("""COMPUTED_VALUE"""),"Escherichia coli VTEC ONT:Hrough")</f>
        <v>Escherichia coli VTEC ONT:Hrough</v>
      </c>
      <c r="B2528" t="str">
        <f ca="1">IFERROR(__xludf.DUMMYFUNCTION("""COMPUTED_VALUE"""),"RF-00003678-MCG")</f>
        <v>RF-00003678-MCG</v>
      </c>
    </row>
    <row r="2529" spans="1:2" ht="12.5" x14ac:dyDescent="0.25">
      <c r="A2529" t="str">
        <f ca="1">IFERROR(__xludf.DUMMYFUNCTION("""COMPUTED_VALUE"""),"Escherichia coli VTEC ONT:Hrough - eae negative vtx1 negative vtx2 positive")</f>
        <v>Escherichia coli VTEC ONT:Hrough - eae negative vtx1 negative vtx2 positive</v>
      </c>
      <c r="B2529" t="str">
        <f ca="1">IFERROR(__xludf.DUMMYFUNCTION("""COMPUTED_VALUE"""),"RF-00001283-PAR")</f>
        <v>RF-00001283-PAR</v>
      </c>
    </row>
    <row r="2530" spans="1:2" ht="12.5" x14ac:dyDescent="0.25">
      <c r="A2530" t="str">
        <f ca="1">IFERROR(__xludf.DUMMYFUNCTION("""COMPUTED_VALUE"""),"Escherichia coli VTEC Orough:H-")</f>
        <v>Escherichia coli VTEC Orough:H-</v>
      </c>
      <c r="B2530" t="str">
        <f ca="1">IFERROR(__xludf.DUMMYFUNCTION("""COMPUTED_VALUE"""),"RF-00003679-MCG")</f>
        <v>RF-00003679-MCG</v>
      </c>
    </row>
    <row r="2531" spans="1:2" ht="12.5" x14ac:dyDescent="0.25">
      <c r="A2531" t="str">
        <f ca="1">IFERROR(__xludf.DUMMYFUNCTION("""COMPUTED_VALUE"""),"Escherichia coli VTEC Orough:H- - eae negative vtx1 negative vtx2 positive")</f>
        <v>Escherichia coli VTEC Orough:H- - eae negative vtx1 negative vtx2 positive</v>
      </c>
      <c r="B2531" t="str">
        <f ca="1">IFERROR(__xludf.DUMMYFUNCTION("""COMPUTED_VALUE"""),"RF-00003842-MCG")</f>
        <v>RF-00003842-MCG</v>
      </c>
    </row>
    <row r="2532" spans="1:2" ht="12.5" x14ac:dyDescent="0.25">
      <c r="A2532" t="str">
        <f ca="1">IFERROR(__xludf.DUMMYFUNCTION("""COMPUTED_VALUE"""),"Escherichia coli VTEC Orough:H- - eae negative vtx1 positive vtx2 negative")</f>
        <v>Escherichia coli VTEC Orough:H- - eae negative vtx1 positive vtx2 negative</v>
      </c>
      <c r="B2532" t="str">
        <f ca="1">IFERROR(__xludf.DUMMYFUNCTION("""COMPUTED_VALUE"""),"RF-00004072-MCG")</f>
        <v>RF-00004072-MCG</v>
      </c>
    </row>
    <row r="2533" spans="1:2" ht="12.5" x14ac:dyDescent="0.25">
      <c r="A2533" t="str">
        <f ca="1">IFERROR(__xludf.DUMMYFUNCTION("""COMPUTED_VALUE"""),"Escherichia coli VTEC Orough:H- - eae negative vtx1 positive vtx2 positive")</f>
        <v>Escherichia coli VTEC Orough:H- - eae negative vtx1 positive vtx2 positive</v>
      </c>
      <c r="B2533" t="str">
        <f ca="1">IFERROR(__xludf.DUMMYFUNCTION("""COMPUTED_VALUE"""),"RF-00003843-MCG")</f>
        <v>RF-00003843-MCG</v>
      </c>
    </row>
    <row r="2534" spans="1:2" ht="12.5" x14ac:dyDescent="0.25">
      <c r="A2534" t="str">
        <f ca="1">IFERROR(__xludf.DUMMYFUNCTION("""COMPUTED_VALUE"""),"Escherichia coli VTEC Orough:H1")</f>
        <v>Escherichia coli VTEC Orough:H1</v>
      </c>
      <c r="B2534" t="str">
        <f ca="1">IFERROR(__xludf.DUMMYFUNCTION("""COMPUTED_VALUE"""),"RF-00004047-MCG")</f>
        <v>RF-00004047-MCG</v>
      </c>
    </row>
    <row r="2535" spans="1:2" ht="12.5" x14ac:dyDescent="0.25">
      <c r="A2535" t="str">
        <f ca="1">IFERROR(__xludf.DUMMYFUNCTION("""COMPUTED_VALUE"""),"Escherichia coli VTEC Orough:H1 - eae negative vtx1 positive vtx2 negative")</f>
        <v>Escherichia coli VTEC Orough:H1 - eae negative vtx1 positive vtx2 negative</v>
      </c>
      <c r="B2535" t="str">
        <f ca="1">IFERROR(__xludf.DUMMYFUNCTION("""COMPUTED_VALUE"""),"RF-00004048-MCG")</f>
        <v>RF-00004048-MCG</v>
      </c>
    </row>
    <row r="2536" spans="1:2" ht="12.5" x14ac:dyDescent="0.25">
      <c r="A2536" t="str">
        <f ca="1">IFERROR(__xludf.DUMMYFUNCTION("""COMPUTED_VALUE"""),"Escherichia coli VTEC Orough:H12")</f>
        <v>Escherichia coli VTEC Orough:H12</v>
      </c>
      <c r="B2536" t="str">
        <f ca="1">IFERROR(__xludf.DUMMYFUNCTION("""COMPUTED_VALUE"""),"RF-00003680-MCG")</f>
        <v>RF-00003680-MCG</v>
      </c>
    </row>
    <row r="2537" spans="1:2" ht="12.5" x14ac:dyDescent="0.25">
      <c r="A2537" t="str">
        <f ca="1">IFERROR(__xludf.DUMMYFUNCTION("""COMPUTED_VALUE"""),"Escherichia coli VTEC Orough:H18")</f>
        <v>Escherichia coli VTEC Orough:H18</v>
      </c>
      <c r="B2537" t="str">
        <f ca="1">IFERROR(__xludf.DUMMYFUNCTION("""COMPUTED_VALUE"""),"RF-00003681-MCG")</f>
        <v>RF-00003681-MCG</v>
      </c>
    </row>
    <row r="2538" spans="1:2" ht="12.5" x14ac:dyDescent="0.25">
      <c r="A2538" t="str">
        <f ca="1">IFERROR(__xludf.DUMMYFUNCTION("""COMPUTED_VALUE"""),"Escherichia coli VTEC Orough:H18 - eae negative vtx1 positive vtx2 positive")</f>
        <v>Escherichia coli VTEC Orough:H18 - eae negative vtx1 positive vtx2 positive</v>
      </c>
      <c r="B2538" t="str">
        <f ca="1">IFERROR(__xludf.DUMMYFUNCTION("""COMPUTED_VALUE"""),"RF-00003844-MCG")</f>
        <v>RF-00003844-MCG</v>
      </c>
    </row>
    <row r="2539" spans="1:2" ht="12.5" x14ac:dyDescent="0.25">
      <c r="A2539" t="str">
        <f ca="1">IFERROR(__xludf.DUMMYFUNCTION("""COMPUTED_VALUE"""),"Escherichia coli VTEC Orough:H19")</f>
        <v>Escherichia coli VTEC Orough:H19</v>
      </c>
      <c r="B2539" t="str">
        <f ca="1">IFERROR(__xludf.DUMMYFUNCTION("""COMPUTED_VALUE"""),"RF-00003682-MCG")</f>
        <v>RF-00003682-MCG</v>
      </c>
    </row>
    <row r="2540" spans="1:2" ht="12.5" x14ac:dyDescent="0.25">
      <c r="A2540" t="str">
        <f ca="1">IFERROR(__xludf.DUMMYFUNCTION("""COMPUTED_VALUE"""),"Escherichia coli VTEC Orough:H19 - eae negative vtx1 positive vtx2 negative")</f>
        <v>Escherichia coli VTEC Orough:H19 - eae negative vtx1 positive vtx2 negative</v>
      </c>
      <c r="B2540" t="str">
        <f ca="1">IFERROR(__xludf.DUMMYFUNCTION("""COMPUTED_VALUE"""),"RF-00001284-PAR")</f>
        <v>RF-00001284-PAR</v>
      </c>
    </row>
    <row r="2541" spans="1:2" ht="12.5" x14ac:dyDescent="0.25">
      <c r="A2541" t="str">
        <f ca="1">IFERROR(__xludf.DUMMYFUNCTION("""COMPUTED_VALUE"""),"Escherichia coli VTEC Orough:H19 - eae negative vtx1 positive vtx2 positive")</f>
        <v>Escherichia coli VTEC Orough:H19 - eae negative vtx1 positive vtx2 positive</v>
      </c>
      <c r="B2541" t="str">
        <f ca="1">IFERROR(__xludf.DUMMYFUNCTION("""COMPUTED_VALUE"""),"RF-00003845-MCG")</f>
        <v>RF-00003845-MCG</v>
      </c>
    </row>
    <row r="2542" spans="1:2" ht="12.5" x14ac:dyDescent="0.25">
      <c r="A2542" t="str">
        <f ca="1">IFERROR(__xludf.DUMMYFUNCTION("""COMPUTED_VALUE"""),"Escherichia coli VTEC Orough:H2")</f>
        <v>Escherichia coli VTEC Orough:H2</v>
      </c>
      <c r="B2542" t="str">
        <f ca="1">IFERROR(__xludf.DUMMYFUNCTION("""COMPUTED_VALUE"""),"RF-00004049-MCG")</f>
        <v>RF-00004049-MCG</v>
      </c>
    </row>
    <row r="2543" spans="1:2" ht="12.5" x14ac:dyDescent="0.25">
      <c r="A2543" t="str">
        <f ca="1">IFERROR(__xludf.DUMMYFUNCTION("""COMPUTED_VALUE"""),"Escherichia coli VTEC Orough:H2 - eae negative vtx1 negative vtx2 negative")</f>
        <v>Escherichia coli VTEC Orough:H2 - eae negative vtx1 negative vtx2 negative</v>
      </c>
      <c r="B2543" t="str">
        <f ca="1">IFERROR(__xludf.DUMMYFUNCTION("""COMPUTED_VALUE"""),"RF-00004050-MCG")</f>
        <v>RF-00004050-MCG</v>
      </c>
    </row>
    <row r="2544" spans="1:2" ht="12.5" x14ac:dyDescent="0.25">
      <c r="A2544" t="str">
        <f ca="1">IFERROR(__xludf.DUMMYFUNCTION("""COMPUTED_VALUE"""),"Escherichia coli VTEC Orough:H2 - eae negative vtx1 negative vtx2 positive")</f>
        <v>Escherichia coli VTEC Orough:H2 - eae negative vtx1 negative vtx2 positive</v>
      </c>
      <c r="B2544" t="str">
        <f ca="1">IFERROR(__xludf.DUMMYFUNCTION("""COMPUTED_VALUE"""),"RF-00004075-MCG")</f>
        <v>RF-00004075-MCG</v>
      </c>
    </row>
    <row r="2545" spans="1:2" ht="12.5" x14ac:dyDescent="0.25">
      <c r="A2545" t="str">
        <f ca="1">IFERROR(__xludf.DUMMYFUNCTION("""COMPUTED_VALUE"""),"Escherichia coli VTEC Orough:H2 - eae negative vtx1 positive vtx2 positive")</f>
        <v>Escherichia coli VTEC Orough:H2 - eae negative vtx1 positive vtx2 positive</v>
      </c>
      <c r="B2545" t="str">
        <f ca="1">IFERROR(__xludf.DUMMYFUNCTION("""COMPUTED_VALUE"""),"RF-00001285-PAR")</f>
        <v>RF-00001285-PAR</v>
      </c>
    </row>
    <row r="2546" spans="1:2" ht="12.5" x14ac:dyDescent="0.25">
      <c r="A2546" t="str">
        <f ca="1">IFERROR(__xludf.DUMMYFUNCTION("""COMPUTED_VALUE"""),"Escherichia coli VTEC Orough:H21")</f>
        <v>Escherichia coli VTEC Orough:H21</v>
      </c>
      <c r="B2546" t="str">
        <f ca="1">IFERROR(__xludf.DUMMYFUNCTION("""COMPUTED_VALUE"""),"RF-00003683-MCG")</f>
        <v>RF-00003683-MCG</v>
      </c>
    </row>
    <row r="2547" spans="1:2" ht="12.5" x14ac:dyDescent="0.25">
      <c r="A2547" t="str">
        <f ca="1">IFERROR(__xludf.DUMMYFUNCTION("""COMPUTED_VALUE"""),"Escherichia coli VTEC Orough:H21 - eae negative vtx1 negative vtx2 positive")</f>
        <v>Escherichia coli VTEC Orough:H21 - eae negative vtx1 negative vtx2 positive</v>
      </c>
      <c r="B2547" t="str">
        <f ca="1">IFERROR(__xludf.DUMMYFUNCTION("""COMPUTED_VALUE"""),"RF-00003846-MCG")</f>
        <v>RF-00003846-MCG</v>
      </c>
    </row>
    <row r="2548" spans="1:2" ht="12.5" x14ac:dyDescent="0.25">
      <c r="A2548" t="str">
        <f ca="1">IFERROR(__xludf.DUMMYFUNCTION("""COMPUTED_VALUE"""),"Escherichia coli VTEC Orough:H28")</f>
        <v>Escherichia coli VTEC Orough:H28</v>
      </c>
      <c r="B2548" t="str">
        <f ca="1">IFERROR(__xludf.DUMMYFUNCTION("""COMPUTED_VALUE"""),"RF-00004051-MCG")</f>
        <v>RF-00004051-MCG</v>
      </c>
    </row>
    <row r="2549" spans="1:2" ht="12.5" x14ac:dyDescent="0.25">
      <c r="A2549" t="str">
        <f ca="1">IFERROR(__xludf.DUMMYFUNCTION("""COMPUTED_VALUE"""),"Escherichia coli VTEC Orough:H28 - eae negative vtx1 negative vtx2 positive")</f>
        <v>Escherichia coli VTEC Orough:H28 - eae negative vtx1 negative vtx2 positive</v>
      </c>
      <c r="B2549" t="str">
        <f ca="1">IFERROR(__xludf.DUMMYFUNCTION("""COMPUTED_VALUE"""),"RF-00001286-PAR")</f>
        <v>RF-00001286-PAR</v>
      </c>
    </row>
    <row r="2550" spans="1:2" ht="12.5" x14ac:dyDescent="0.25">
      <c r="A2550" t="str">
        <f ca="1">IFERROR(__xludf.DUMMYFUNCTION("""COMPUTED_VALUE"""),"Escherichia coli VTEC Orough:H28 - eae negative vtx1 positive vtx2 negative")</f>
        <v>Escherichia coli VTEC Orough:H28 - eae negative vtx1 positive vtx2 negative</v>
      </c>
      <c r="B2550" t="str">
        <f ca="1">IFERROR(__xludf.DUMMYFUNCTION("""COMPUTED_VALUE"""),"RF-00001287-PAR")</f>
        <v>RF-00001287-PAR</v>
      </c>
    </row>
    <row r="2551" spans="1:2" ht="12.5" x14ac:dyDescent="0.25">
      <c r="A2551" t="str">
        <f ca="1">IFERROR(__xludf.DUMMYFUNCTION("""COMPUTED_VALUE"""),"Escherichia coli VTEC Orough:H28 - eae negative vtx1 positive vtx2 positive")</f>
        <v>Escherichia coli VTEC Orough:H28 - eae negative vtx1 positive vtx2 positive</v>
      </c>
      <c r="B2551" t="str">
        <f ca="1">IFERROR(__xludf.DUMMYFUNCTION("""COMPUTED_VALUE"""),"RF-00004052-MCG")</f>
        <v>RF-00004052-MCG</v>
      </c>
    </row>
    <row r="2552" spans="1:2" ht="12.5" x14ac:dyDescent="0.25">
      <c r="A2552" t="str">
        <f ca="1">IFERROR(__xludf.DUMMYFUNCTION("""COMPUTED_VALUE"""),"Escherichia coli VTEC Orough:H29")</f>
        <v>Escherichia coli VTEC Orough:H29</v>
      </c>
      <c r="B2552" t="str">
        <f ca="1">IFERROR(__xludf.DUMMYFUNCTION("""COMPUTED_VALUE"""),"RF-00003684-MCG")</f>
        <v>RF-00003684-MCG</v>
      </c>
    </row>
    <row r="2553" spans="1:2" ht="12.5" x14ac:dyDescent="0.25">
      <c r="A2553" t="str">
        <f ca="1">IFERROR(__xludf.DUMMYFUNCTION("""COMPUTED_VALUE"""),"Escherichia coli VTEC Orough:H30 - eae negative vtx1 negative vtx2 positive")</f>
        <v>Escherichia coli VTEC Orough:H30 - eae negative vtx1 negative vtx2 positive</v>
      </c>
      <c r="B2553" t="str">
        <f ca="1">IFERROR(__xludf.DUMMYFUNCTION("""COMPUTED_VALUE"""),"RF-00001288-PAR")</f>
        <v>RF-00001288-PAR</v>
      </c>
    </row>
    <row r="2554" spans="1:2" ht="12.5" x14ac:dyDescent="0.25">
      <c r="A2554" t="str">
        <f ca="1">IFERROR(__xludf.DUMMYFUNCTION("""COMPUTED_VALUE"""),"Escherichia coli VTEC Orough:H4")</f>
        <v>Escherichia coli VTEC Orough:H4</v>
      </c>
      <c r="B2554" t="str">
        <f ca="1">IFERROR(__xludf.DUMMYFUNCTION("""COMPUTED_VALUE"""),"RF-00004053-MCG")</f>
        <v>RF-00004053-MCG</v>
      </c>
    </row>
    <row r="2555" spans="1:2" ht="12.5" x14ac:dyDescent="0.25">
      <c r="A2555" t="str">
        <f ca="1">IFERROR(__xludf.DUMMYFUNCTION("""COMPUTED_VALUE"""),"Escherichia coli VTEC Orough:H4 - eae negative vtx1 negative vtx2 positive")</f>
        <v>Escherichia coli VTEC Orough:H4 - eae negative vtx1 negative vtx2 positive</v>
      </c>
      <c r="B2555" t="str">
        <f ca="1">IFERROR(__xludf.DUMMYFUNCTION("""COMPUTED_VALUE"""),"RF-00004054-MCG")</f>
        <v>RF-00004054-MCG</v>
      </c>
    </row>
    <row r="2556" spans="1:2" ht="12.5" x14ac:dyDescent="0.25">
      <c r="A2556" t="str">
        <f ca="1">IFERROR(__xludf.DUMMYFUNCTION("""COMPUTED_VALUE"""),"Escherichia coli VTEC Orough:H8")</f>
        <v>Escherichia coli VTEC Orough:H8</v>
      </c>
      <c r="B2556" t="str">
        <f ca="1">IFERROR(__xludf.DUMMYFUNCTION("""COMPUTED_VALUE"""),"RF-00003685-MCG")</f>
        <v>RF-00003685-MCG</v>
      </c>
    </row>
    <row r="2557" spans="1:2" ht="12.5" x14ac:dyDescent="0.25">
      <c r="A2557" t="str">
        <f ca="1">IFERROR(__xludf.DUMMYFUNCTION("""COMPUTED_VALUE"""),"Escherichia coli VTEC Orough:H8 - eae negative vtx1 negative vtx2 positive")</f>
        <v>Escherichia coli VTEC Orough:H8 - eae negative vtx1 negative vtx2 positive</v>
      </c>
      <c r="B2557" t="str">
        <f ca="1">IFERROR(__xludf.DUMMYFUNCTION("""COMPUTED_VALUE"""),"RF-00001289-PAR")</f>
        <v>RF-00001289-PAR</v>
      </c>
    </row>
    <row r="2558" spans="1:2" ht="12.5" x14ac:dyDescent="0.25">
      <c r="A2558" t="str">
        <f ca="1">IFERROR(__xludf.DUMMYFUNCTION("""COMPUTED_VALUE"""),"Escherichia coli VTEC Orough:H8 - eae negative vtx1 positive vtx2 positive")</f>
        <v>Escherichia coli VTEC Orough:H8 - eae negative vtx1 positive vtx2 positive</v>
      </c>
      <c r="B2558" t="str">
        <f ca="1">IFERROR(__xludf.DUMMYFUNCTION("""COMPUTED_VALUE"""),"RF-00003847-MCG")</f>
        <v>RF-00003847-MCG</v>
      </c>
    </row>
    <row r="2559" spans="1:2" ht="12.5" x14ac:dyDescent="0.25">
      <c r="A2559" t="str">
        <f ca="1">IFERROR(__xludf.DUMMYFUNCTION("""COMPUTED_VALUE"""),"Escherichia coli VTEC Orough:HNM")</f>
        <v>Escherichia coli VTEC Orough:HNM</v>
      </c>
      <c r="B2559" t="str">
        <f ca="1">IFERROR(__xludf.DUMMYFUNCTION("""COMPUTED_VALUE"""),"RF-00004055-MCG")</f>
        <v>RF-00004055-MCG</v>
      </c>
    </row>
    <row r="2560" spans="1:2" ht="12.5" x14ac:dyDescent="0.25">
      <c r="A2560" t="str">
        <f ca="1">IFERROR(__xludf.DUMMYFUNCTION("""COMPUTED_VALUE"""),"Escherichia coli VTEC Orough:HNM - eae negative vtx1 negative vtx2 positive")</f>
        <v>Escherichia coli VTEC Orough:HNM - eae negative vtx1 negative vtx2 positive</v>
      </c>
      <c r="B2560" t="str">
        <f ca="1">IFERROR(__xludf.DUMMYFUNCTION("""COMPUTED_VALUE"""),"RF-00004056-MCG")</f>
        <v>RF-00004056-MCG</v>
      </c>
    </row>
    <row r="2561" spans="1:2" ht="12.5" x14ac:dyDescent="0.25">
      <c r="A2561" t="str">
        <f ca="1">IFERROR(__xludf.DUMMYFUNCTION("""COMPUTED_VALUE"""),"Escherichia coli VTEC Orough:HNM - eae negative vtx1 positive vtx2 negative")</f>
        <v>Escherichia coli VTEC Orough:HNM - eae negative vtx1 positive vtx2 negative</v>
      </c>
      <c r="B2561" t="str">
        <f ca="1">IFERROR(__xludf.DUMMYFUNCTION("""COMPUTED_VALUE"""),"RF-00004057-MCG")</f>
        <v>RF-00004057-MCG</v>
      </c>
    </row>
    <row r="2562" spans="1:2" ht="12.5" x14ac:dyDescent="0.25">
      <c r="A2562" t="str">
        <f ca="1">IFERROR(__xludf.DUMMYFUNCTION("""COMPUTED_VALUE"""),"Escherichia coli VTEC Orough:HNM - eae negative vtx1 positive vtx2 positive")</f>
        <v>Escherichia coli VTEC Orough:HNM - eae negative vtx1 positive vtx2 positive</v>
      </c>
      <c r="B2562" t="str">
        <f ca="1">IFERROR(__xludf.DUMMYFUNCTION("""COMPUTED_VALUE"""),"RF-00004058-MCG")</f>
        <v>RF-00004058-MCG</v>
      </c>
    </row>
    <row r="2563" spans="1:2" ht="12.5" x14ac:dyDescent="0.25">
      <c r="A2563" t="str">
        <f ca="1">IFERROR(__xludf.DUMMYFUNCTION("""COMPUTED_VALUE"""),"Escherichia coli VTEC Orough:HNT")</f>
        <v>Escherichia coli VTEC Orough:HNT</v>
      </c>
      <c r="B2563" t="str">
        <f ca="1">IFERROR(__xludf.DUMMYFUNCTION("""COMPUTED_VALUE"""),"RF-00003686-MCG")</f>
        <v>RF-00003686-MCG</v>
      </c>
    </row>
    <row r="2564" spans="1:2" ht="12.5" x14ac:dyDescent="0.25">
      <c r="A2564" t="str">
        <f ca="1">IFERROR(__xludf.DUMMYFUNCTION("""COMPUTED_VALUE"""),"Escherichia coli VTEC Orough:HNT - eae negative vtx1 negative vtx2 positive")</f>
        <v>Escherichia coli VTEC Orough:HNT - eae negative vtx1 negative vtx2 positive</v>
      </c>
      <c r="B2564" t="str">
        <f ca="1">IFERROR(__xludf.DUMMYFUNCTION("""COMPUTED_VALUE"""),"RF-00003848-MCG")</f>
        <v>RF-00003848-MCG</v>
      </c>
    </row>
    <row r="2565" spans="1:2" ht="12.5" x14ac:dyDescent="0.25">
      <c r="A2565" t="str">
        <f ca="1">IFERROR(__xludf.DUMMYFUNCTION("""COMPUTED_VALUE"""),"Escherichia coli VTEC Orough:HNT - eae negative vtx1 positive vtx2 negative")</f>
        <v>Escherichia coli VTEC Orough:HNT - eae negative vtx1 positive vtx2 negative</v>
      </c>
      <c r="B2565" t="str">
        <f ca="1">IFERROR(__xludf.DUMMYFUNCTION("""COMPUTED_VALUE"""),"RF-00003849-MCG")</f>
        <v>RF-00003849-MCG</v>
      </c>
    </row>
    <row r="2566" spans="1:2" ht="12.5" x14ac:dyDescent="0.25">
      <c r="A2566" t="str">
        <f ca="1">IFERROR(__xludf.DUMMYFUNCTION("""COMPUTED_VALUE"""),"Escherichia coli VTEC Orough:Hrough")</f>
        <v>Escherichia coli VTEC Orough:Hrough</v>
      </c>
      <c r="B2566" t="str">
        <f ca="1">IFERROR(__xludf.DUMMYFUNCTION("""COMPUTED_VALUE"""),"RF-00003687-MCG")</f>
        <v>RF-00003687-MCG</v>
      </c>
    </row>
    <row r="2567" spans="1:2" ht="12.5" x14ac:dyDescent="0.25">
      <c r="A2567" t="str">
        <f ca="1">IFERROR(__xludf.DUMMYFUNCTION("""COMPUTED_VALUE"""),"Escherichia coli VTEC Orough:Hrough - eae negative vtx1 negative vtx2 positive")</f>
        <v>Escherichia coli VTEC Orough:Hrough - eae negative vtx1 negative vtx2 positive</v>
      </c>
      <c r="B2567" t="str">
        <f ca="1">IFERROR(__xludf.DUMMYFUNCTION("""COMPUTED_VALUE"""),"RF-00004059-MCG")</f>
        <v>RF-00004059-MCG</v>
      </c>
    </row>
    <row r="2568" spans="1:2" ht="12.5" x14ac:dyDescent="0.25">
      <c r="A2568" t="str">
        <f ca="1">IFERROR(__xludf.DUMMYFUNCTION("""COMPUTED_VALUE"""),"Escherichia coli VTEC Orough:Hrough - eae negative vtx1 positive vtx2 negative")</f>
        <v>Escherichia coli VTEC Orough:Hrough - eae negative vtx1 positive vtx2 negative</v>
      </c>
      <c r="B2568" t="str">
        <f ca="1">IFERROR(__xludf.DUMMYFUNCTION("""COMPUTED_VALUE"""),"RF-00001290-PAR")</f>
        <v>RF-00001290-PAR</v>
      </c>
    </row>
    <row r="2569" spans="1:2" ht="12.5" x14ac:dyDescent="0.25">
      <c r="A2569" t="str">
        <f ca="1">IFERROR(__xludf.DUMMYFUNCTION("""COMPUTED_VALUE"""),"Escherichia coli VTEC Orough:Hrough - eae negative vtx1 positive vtx2 positive")</f>
        <v>Escherichia coli VTEC Orough:Hrough - eae negative vtx1 positive vtx2 positive</v>
      </c>
      <c r="B2569" t="str">
        <f ca="1">IFERROR(__xludf.DUMMYFUNCTION("""COMPUTED_VALUE"""),"RF-00004060-MCG")</f>
        <v>RF-00004060-MCG</v>
      </c>
    </row>
    <row r="2570" spans="1:2" ht="12.5" x14ac:dyDescent="0.25">
      <c r="A2570" t="str">
        <f ca="1">IFERROR(__xludf.DUMMYFUNCTION("""COMPUTED_VALUE"""),"Escherichia coli VTEC VTEC  Orough:H21 - eae negative vtx1 positive vtx2 negative")</f>
        <v>Escherichia coli VTEC VTEC  Orough:H21 - eae negative vtx1 positive vtx2 negative</v>
      </c>
      <c r="B2570" t="str">
        <f ca="1">IFERROR(__xludf.DUMMYFUNCTION("""COMPUTED_VALUE"""),"RF-00001302-PAR")</f>
        <v>RF-00001302-PAR</v>
      </c>
    </row>
    <row r="2571" spans="1:2" ht="12.5" x14ac:dyDescent="0.25">
      <c r="A2571" t="str">
        <f ca="1">IFERROR(__xludf.DUMMYFUNCTION("""COMPUTED_VALUE"""),"Escherichia coli VTEC, other serotypes")</f>
        <v>Escherichia coli VTEC, other serotypes</v>
      </c>
      <c r="B2571" t="str">
        <f ca="1">IFERROR(__xludf.DUMMYFUNCTION("""COMPUTED_VALUE"""),"RF-00000158-MCG")</f>
        <v>RF-00000158-MCG</v>
      </c>
    </row>
    <row r="2572" spans="1:2" ht="12.5" x14ac:dyDescent="0.25">
      <c r="A2572" t="str">
        <f ca="1">IFERROR(__xludf.DUMMYFUNCTION("""COMPUTED_VALUE"""),"Escherichia coli VTEC, other serotypes")</f>
        <v>Escherichia coli VTEC, other serotypes</v>
      </c>
      <c r="B2572" t="str">
        <f ca="1">IFERROR(__xludf.DUMMYFUNCTION("""COMPUTED_VALUE"""),"RF-00003688-MCG")</f>
        <v>RF-00003688-MCG</v>
      </c>
    </row>
    <row r="2573" spans="1:2" ht="12.5" x14ac:dyDescent="0.25">
      <c r="A2573" t="str">
        <f ca="1">IFERROR(__xludf.DUMMYFUNCTION("""COMPUTED_VALUE"""),"Escherichia coli VTEC, unspecified")</f>
        <v>Escherichia coli VTEC, unspecified</v>
      </c>
      <c r="B2573" t="str">
        <f ca="1">IFERROR(__xludf.DUMMYFUNCTION("""COMPUTED_VALUE"""),"RF-00000157-MCG")</f>
        <v>RF-00000157-MCG</v>
      </c>
    </row>
    <row r="2574" spans="1:2" ht="12.5" x14ac:dyDescent="0.25">
      <c r="A2574" t="str">
        <f ca="1">IFERROR(__xludf.DUMMYFUNCTION("""COMPUTED_VALUE"""),"Escherichia coli VTEC, unspecified")</f>
        <v>Escherichia coli VTEC, unspecified</v>
      </c>
      <c r="B2574" t="str">
        <f ca="1">IFERROR(__xludf.DUMMYFUNCTION("""COMPUTED_VALUE"""),"RF-00003689-MCG")</f>
        <v>RF-00003689-MCG</v>
      </c>
    </row>
    <row r="2575" spans="1:2" ht="12.5" x14ac:dyDescent="0.25">
      <c r="A2575" t="str">
        <f ca="1">IFERROR(__xludf.DUMMYFUNCTION("""COMPUTED_VALUE"""),"Escherichia coli, non-pathogenic")</f>
        <v>Escherichia coli, non-pathogenic</v>
      </c>
      <c r="B2575" t="str">
        <f ca="1">IFERROR(__xludf.DUMMYFUNCTION("""COMPUTED_VALUE"""),"RF-00000125-MCG")</f>
        <v>RF-00000125-MCG</v>
      </c>
    </row>
    <row r="2576" spans="1:2" ht="12.5" x14ac:dyDescent="0.25">
      <c r="A2576" t="str">
        <f ca="1">IFERROR(__xludf.DUMMYFUNCTION("""COMPUTED_VALUE"""),"Escherichia coli, non-pathogenic, unspecified")</f>
        <v>Escherichia coli, non-pathogenic, unspecified</v>
      </c>
      <c r="B2576" t="str">
        <f ca="1">IFERROR(__xludf.DUMMYFUNCTION("""COMPUTED_VALUE"""),"RF-00003897-MCG")</f>
        <v>RF-00003897-MCG</v>
      </c>
    </row>
    <row r="2577" spans="1:2" ht="12.5" x14ac:dyDescent="0.25">
      <c r="A2577" t="str">
        <f ca="1">IFERROR(__xludf.DUMMYFUNCTION("""COMPUTED_VALUE"""),"Escherichia coli, pathogenic")</f>
        <v>Escherichia coli, pathogenic</v>
      </c>
      <c r="B2577" t="str">
        <f ca="1">IFERROR(__xludf.DUMMYFUNCTION("""COMPUTED_VALUE"""),"RF-00000127-MCG")</f>
        <v>RF-00000127-MCG</v>
      </c>
    </row>
    <row r="2578" spans="1:2" ht="12.5" x14ac:dyDescent="0.25">
      <c r="A2578" t="str">
        <f ca="1">IFERROR(__xludf.DUMMYFUNCTION("""COMPUTED_VALUE"""),"Escherichia coli, pathogenic")</f>
        <v>Escherichia coli, pathogenic</v>
      </c>
      <c r="B2578" t="str">
        <f ca="1">IFERROR(__xludf.DUMMYFUNCTION("""COMPUTED_VALUE"""),"RF-00003550-MCG")</f>
        <v>RF-00003550-MCG</v>
      </c>
    </row>
    <row r="2579" spans="1:2" ht="12.5" x14ac:dyDescent="0.25">
      <c r="A2579" t="str">
        <f ca="1">IFERROR(__xludf.DUMMYFUNCTION("""COMPUTED_VALUE"""),"Escherichia coli, pathogenic - Verotoxigenic E. coli (VTEC) - VTEC O75:H5")</f>
        <v>Escherichia coli, pathogenic - Verotoxigenic E. coli (VTEC) - VTEC O75:H5</v>
      </c>
      <c r="B2579" t="str">
        <f ca="1">IFERROR(__xludf.DUMMYFUNCTION("""COMPUTED_VALUE"""),"RF-00004028-MCG")</f>
        <v>RF-00004028-MCG</v>
      </c>
    </row>
    <row r="2580" spans="1:2" ht="12.5" x14ac:dyDescent="0.25">
      <c r="A2580" t="str">
        <f ca="1">IFERROR(__xludf.DUMMYFUNCTION("""COMPUTED_VALUE"""),"Escherichia coli, pathogenic VTEC O75:H5 - eae negative vtx1 positive vtx2 positive")</f>
        <v>Escherichia coli, pathogenic VTEC O75:H5 - eae negative vtx1 positive vtx2 positive</v>
      </c>
      <c r="B2580" t="str">
        <f ca="1">IFERROR(__xludf.DUMMYFUNCTION("""COMPUTED_VALUE"""),"RF-00004029-MCG")</f>
        <v>RF-00004029-MCG</v>
      </c>
    </row>
    <row r="2581" spans="1:2" ht="12.5" x14ac:dyDescent="0.25">
      <c r="A2581" t="str">
        <f ca="1">IFERROR(__xludf.DUMMYFUNCTION("""COMPUTED_VALUE"""),"Escherichia coli, pathogenic, unspecified")</f>
        <v>Escherichia coli, pathogenic, unspecified</v>
      </c>
      <c r="B2581" t="str">
        <f ca="1">IFERROR(__xludf.DUMMYFUNCTION("""COMPUTED_VALUE"""),"RF-00000131-MCG")</f>
        <v>RF-00000131-MCG</v>
      </c>
    </row>
    <row r="2582" spans="1:2" ht="12.5" x14ac:dyDescent="0.25">
      <c r="A2582" t="str">
        <f ca="1">IFERROR(__xludf.DUMMYFUNCTION("""COMPUTED_VALUE"""),"Escherichia coli, pathogenic, VTEC")</f>
        <v>Escherichia coli, pathogenic, VTEC</v>
      </c>
      <c r="B2582" t="str">
        <f ca="1">IFERROR(__xludf.DUMMYFUNCTION("""COMPUTED_VALUE"""),"RF-00000132-MCG")</f>
        <v>RF-00000132-MCG</v>
      </c>
    </row>
    <row r="2583" spans="1:2" ht="12.5" x14ac:dyDescent="0.25">
      <c r="A2583" t="str">
        <f ca="1">IFERROR(__xludf.DUMMYFUNCTION("""COMPUTED_VALUE"""),"Esfenvalerate")</f>
        <v>Esfenvalerate</v>
      </c>
      <c r="B2583" t="str">
        <f ca="1">IFERROR(__xludf.DUMMYFUNCTION("""COMPUTED_VALUE"""),"RF-00000104-VET")</f>
        <v>RF-00000104-VET</v>
      </c>
    </row>
    <row r="2584" spans="1:2" ht="12.5" x14ac:dyDescent="0.25">
      <c r="A2584" t="str">
        <f ca="1">IFERROR(__xludf.DUMMYFUNCTION("""COMPUTED_VALUE"""),"Esfenvalerate")</f>
        <v>Esfenvalerate</v>
      </c>
      <c r="B2584" t="str">
        <f ca="1">IFERROR(__xludf.DUMMYFUNCTION("""COMPUTED_VALUE"""),"RF-0655-001-PPP")</f>
        <v>RF-0655-001-PPP</v>
      </c>
    </row>
    <row r="2585" spans="1:2" ht="12.5" x14ac:dyDescent="0.25">
      <c r="A2585" t="str">
        <f ca="1">IFERROR(__xludf.DUMMYFUNCTION("""COMPUTED_VALUE"""),"Esfenvalerate")</f>
        <v>Esfenvalerate</v>
      </c>
      <c r="B2585" t="str">
        <f ca="1">IFERROR(__xludf.DUMMYFUNCTION("""COMPUTED_VALUE"""),"RF-0690-003-PPP")</f>
        <v>RF-0690-003-PPP</v>
      </c>
    </row>
    <row r="2586" spans="1:2" ht="12.5" x14ac:dyDescent="0.25">
      <c r="A2586" t="str">
        <f ca="1">IFERROR(__xludf.DUMMYFUNCTION("""COMPUTED_VALUE"""),"Esprocarb")</f>
        <v>Esprocarb</v>
      </c>
      <c r="B2586" t="str">
        <f ca="1">IFERROR(__xludf.DUMMYFUNCTION("""COMPUTED_VALUE"""),"RF-0656-001-PPP")</f>
        <v>RF-0656-001-PPP</v>
      </c>
    </row>
    <row r="2587" spans="1:2" ht="12.5" x14ac:dyDescent="0.25">
      <c r="A2587" t="str">
        <f ca="1">IFERROR(__xludf.DUMMYFUNCTION("""COMPUTED_VALUE"""),"Estradiol benzoate")</f>
        <v>Estradiol benzoate</v>
      </c>
      <c r="B2587" t="str">
        <f ca="1">IFERROR(__xludf.DUMMYFUNCTION("""COMPUTED_VALUE"""),"RF-00000356-VET")</f>
        <v>RF-00000356-VET</v>
      </c>
    </row>
    <row r="2588" spans="1:2" ht="12.5" x14ac:dyDescent="0.25">
      <c r="A2588" t="str">
        <f ca="1">IFERROR(__xludf.DUMMYFUNCTION("""COMPUTED_VALUE"""),"Estradiol cypionate")</f>
        <v>Estradiol cypionate</v>
      </c>
      <c r="B2588" t="str">
        <f ca="1">IFERROR(__xludf.DUMMYFUNCTION("""COMPUTED_VALUE"""),"RF-00000355-VET")</f>
        <v>RF-00000355-VET</v>
      </c>
    </row>
    <row r="2589" spans="1:2" ht="12.5" x14ac:dyDescent="0.25">
      <c r="A2589" t="str">
        <f ca="1">IFERROR(__xludf.DUMMYFUNCTION("""COMPUTED_VALUE"""),"Estradiol dipropionate")</f>
        <v>Estradiol dipropionate</v>
      </c>
      <c r="B2589" t="str">
        <f ca="1">IFERROR(__xludf.DUMMYFUNCTION("""COMPUTED_VALUE"""),"RF-00000354-VET")</f>
        <v>RF-00000354-VET</v>
      </c>
    </row>
    <row r="2590" spans="1:2" ht="12.5" x14ac:dyDescent="0.25">
      <c r="A2590" t="str">
        <f ca="1">IFERROR(__xludf.DUMMYFUNCTION("""COMPUTED_VALUE"""),"Estradiol hydrogensulfate")</f>
        <v>Estradiol hydrogensulfate</v>
      </c>
      <c r="B2590" t="str">
        <f ca="1">IFERROR(__xludf.DUMMYFUNCTION("""COMPUTED_VALUE"""),"RF-00000353-VET")</f>
        <v>RF-00000353-VET</v>
      </c>
    </row>
    <row r="2591" spans="1:2" ht="12.5" x14ac:dyDescent="0.25">
      <c r="A2591" t="str">
        <f ca="1">IFERROR(__xludf.DUMMYFUNCTION("""COMPUTED_VALUE"""),"Estradiol valerate")</f>
        <v>Estradiol valerate</v>
      </c>
      <c r="B2591" t="str">
        <f ca="1">IFERROR(__xludf.DUMMYFUNCTION("""COMPUTED_VALUE"""),"RF-00000351-VET")</f>
        <v>RF-00000351-VET</v>
      </c>
    </row>
    <row r="2592" spans="1:2" ht="12.5" x14ac:dyDescent="0.25">
      <c r="A2592" t="str">
        <f ca="1">IFERROR(__xludf.DUMMYFUNCTION("""COMPUTED_VALUE"""),"Estradiol-17-Alpha")</f>
        <v>Estradiol-17-Alpha</v>
      </c>
      <c r="B2592" t="str">
        <f ca="1">IFERROR(__xludf.DUMMYFUNCTION("""COMPUTED_VALUE"""),"RF-00000350-VET")</f>
        <v>RF-00000350-VET</v>
      </c>
    </row>
    <row r="2593" spans="1:2" ht="12.5" x14ac:dyDescent="0.25">
      <c r="A2593" t="str">
        <f ca="1">IFERROR(__xludf.DUMMYFUNCTION("""COMPUTED_VALUE"""),"Estradiol-17-Beta")</f>
        <v>Estradiol-17-Beta</v>
      </c>
      <c r="B2593" t="str">
        <f ca="1">IFERROR(__xludf.DUMMYFUNCTION("""COMPUTED_VALUE"""),"RF-00000349-VET")</f>
        <v>RF-00000349-VET</v>
      </c>
    </row>
    <row r="2594" spans="1:2" ht="12.5" x14ac:dyDescent="0.25">
      <c r="A2594" t="str">
        <f ca="1">IFERROR(__xludf.DUMMYFUNCTION("""COMPUTED_VALUE"""),"Estradiol-Methyl")</f>
        <v>Estradiol-Methyl</v>
      </c>
      <c r="B2594" t="str">
        <f ca="1">IFERROR(__xludf.DUMMYFUNCTION("""COMPUTED_VALUE"""),"RF-00000386-VET")</f>
        <v>RF-00000386-VET</v>
      </c>
    </row>
    <row r="2595" spans="1:2" ht="12.5" x14ac:dyDescent="0.25">
      <c r="A2595" t="str">
        <f ca="1">IFERROR(__xludf.DUMMYFUNCTION("""COMPUTED_VALUE"""),"Estriol")</f>
        <v>Estriol</v>
      </c>
      <c r="B2595" t="str">
        <f ca="1">IFERROR(__xludf.DUMMYFUNCTION("""COMPUTED_VALUE"""),"RF-00000388-VET")</f>
        <v>RF-00000388-VET</v>
      </c>
    </row>
    <row r="2596" spans="1:2" ht="12.5" x14ac:dyDescent="0.25">
      <c r="A2596" t="str">
        <f ca="1">IFERROR(__xludf.DUMMYFUNCTION("""COMPUTED_VALUE"""),"Estrone")</f>
        <v>Estrone</v>
      </c>
      <c r="B2596" t="str">
        <f ca="1">IFERROR(__xludf.DUMMYFUNCTION("""COMPUTED_VALUE"""),"RF-00000361-VET")</f>
        <v>RF-00000361-VET</v>
      </c>
    </row>
    <row r="2597" spans="1:2" ht="12.5" x14ac:dyDescent="0.25">
      <c r="A2597" t="str">
        <f ca="1">IFERROR(__xludf.DUMMYFUNCTION("""COMPUTED_VALUE"""),"Etaconazole")</f>
        <v>Etaconazole</v>
      </c>
      <c r="B2597" t="str">
        <f ca="1">IFERROR(__xludf.DUMMYFUNCTION("""COMPUTED_VALUE"""),"RF-0657-001-PPP")</f>
        <v>RF-0657-001-PPP</v>
      </c>
    </row>
    <row r="2598" spans="1:2" ht="12.5" x14ac:dyDescent="0.25">
      <c r="A2598" t="str">
        <f ca="1">IFERROR(__xludf.DUMMYFUNCTION("""COMPUTED_VALUE"""),"Ethalfluralin")</f>
        <v>Ethalfluralin</v>
      </c>
      <c r="B2598" t="str">
        <f ca="1">IFERROR(__xludf.DUMMYFUNCTION("""COMPUTED_VALUE"""),"RF-0159-001-PPP")</f>
        <v>RF-0159-001-PPP</v>
      </c>
    </row>
    <row r="2599" spans="1:2" ht="12.5" x14ac:dyDescent="0.25">
      <c r="A2599" t="str">
        <f ca="1">IFERROR(__xludf.DUMMYFUNCTION("""COMPUTED_VALUE"""),"Ethambutol")</f>
        <v>Ethambutol</v>
      </c>
      <c r="B2599" t="str">
        <f ca="1">IFERROR(__xludf.DUMMYFUNCTION("""COMPUTED_VALUE"""),"RF-00000706-VET")</f>
        <v>RF-00000706-VET</v>
      </c>
    </row>
    <row r="2600" spans="1:2" ht="12.5" x14ac:dyDescent="0.25">
      <c r="A2600" t="str">
        <f ca="1">IFERROR(__xludf.DUMMYFUNCTION("""COMPUTED_VALUE"""),"Ethametsulfuron-Methyl")</f>
        <v>Ethametsulfuron-Methyl</v>
      </c>
      <c r="B2600" t="str">
        <f ca="1">IFERROR(__xludf.DUMMYFUNCTION("""COMPUTED_VALUE"""),"RF-0658-001-PPP")</f>
        <v>RF-0658-001-PPP</v>
      </c>
    </row>
    <row r="2601" spans="1:2" ht="12.5" x14ac:dyDescent="0.25">
      <c r="A2601" t="str">
        <f ca="1">IFERROR(__xludf.DUMMYFUNCTION("""COMPUTED_VALUE"""),"Ethanolamine")</f>
        <v>Ethanolamine</v>
      </c>
      <c r="B2601" t="str">
        <f ca="1">IFERROR(__xludf.DUMMYFUNCTION("""COMPUTED_VALUE"""),"RF-00000474-ORG")</f>
        <v>RF-00000474-ORG</v>
      </c>
    </row>
    <row r="2602" spans="1:2" ht="12.5" x14ac:dyDescent="0.25">
      <c r="A2602" t="str">
        <f ca="1">IFERROR(__xludf.DUMMYFUNCTION("""COMPUTED_VALUE"""),"Ethephon")</f>
        <v>Ethephon</v>
      </c>
      <c r="B2602" t="str">
        <f ca="1">IFERROR(__xludf.DUMMYFUNCTION("""COMPUTED_VALUE"""),"RF-0160-001-PPP")</f>
        <v>RF-0160-001-PPP</v>
      </c>
    </row>
    <row r="2603" spans="1:2" ht="12.5" x14ac:dyDescent="0.25">
      <c r="A2603" t="str">
        <f ca="1">IFERROR(__xludf.DUMMYFUNCTION("""COMPUTED_VALUE"""),"Ethidimuron")</f>
        <v>Ethidimuron</v>
      </c>
      <c r="B2603" t="str">
        <f ca="1">IFERROR(__xludf.DUMMYFUNCTION("""COMPUTED_VALUE"""),"RF-0659-001-PPP")</f>
        <v>RF-0659-001-PPP</v>
      </c>
    </row>
    <row r="2604" spans="1:2" ht="12.5" x14ac:dyDescent="0.25">
      <c r="A2604" t="str">
        <f ca="1">IFERROR(__xludf.DUMMYFUNCTION("""COMPUTED_VALUE"""),"Ethinylestradiol")</f>
        <v>Ethinylestradiol</v>
      </c>
      <c r="B2604" t="str">
        <f ca="1">IFERROR(__xludf.DUMMYFUNCTION("""COMPUTED_VALUE"""),"RF-00000395-VET")</f>
        <v>RF-00000395-VET</v>
      </c>
    </row>
    <row r="2605" spans="1:2" ht="12.5" x14ac:dyDescent="0.25">
      <c r="A2605" t="str">
        <f ca="1">IFERROR(__xludf.DUMMYFUNCTION("""COMPUTED_VALUE"""),"Ethinylestradiol-17-alpha")</f>
        <v>Ethinylestradiol-17-alpha</v>
      </c>
      <c r="B2605" t="str">
        <f ca="1">IFERROR(__xludf.DUMMYFUNCTION("""COMPUTED_VALUE"""),"RF-00000394-VET")</f>
        <v>RF-00000394-VET</v>
      </c>
    </row>
    <row r="2606" spans="1:2" ht="12.5" x14ac:dyDescent="0.25">
      <c r="A2606" t="str">
        <f ca="1">IFERROR(__xludf.DUMMYFUNCTION("""COMPUTED_VALUE"""),"Ethinylestradiol-17-sulfate")</f>
        <v>Ethinylestradiol-17-sulfate</v>
      </c>
      <c r="B2606" t="str">
        <f ca="1">IFERROR(__xludf.DUMMYFUNCTION("""COMPUTED_VALUE"""),"RF-00000393-VET")</f>
        <v>RF-00000393-VET</v>
      </c>
    </row>
    <row r="2607" spans="1:2" ht="12.5" x14ac:dyDescent="0.25">
      <c r="A2607" t="str">
        <f ca="1">IFERROR(__xludf.DUMMYFUNCTION("""COMPUTED_VALUE"""),"Ethiocolanolone")</f>
        <v>Ethiocolanolone</v>
      </c>
      <c r="B2607" t="str">
        <f ca="1">IFERROR(__xludf.DUMMYFUNCTION("""COMPUTED_VALUE"""),"RF-00000392-VET")</f>
        <v>RF-00000392-VET</v>
      </c>
    </row>
    <row r="2608" spans="1:2" ht="12.5" x14ac:dyDescent="0.25">
      <c r="A2608" t="str">
        <f ca="1">IFERROR(__xludf.DUMMYFUNCTION("""COMPUTED_VALUE"""),"Ethiofencarb")</f>
        <v>Ethiofencarb</v>
      </c>
      <c r="B2608" t="str">
        <f ca="1">IFERROR(__xludf.DUMMYFUNCTION("""COMPUTED_VALUE"""),"RF-00000099-VET")</f>
        <v>RF-00000099-VET</v>
      </c>
    </row>
    <row r="2609" spans="1:2" ht="12.5" x14ac:dyDescent="0.25">
      <c r="A2609" t="str">
        <f ca="1">IFERROR(__xludf.DUMMYFUNCTION("""COMPUTED_VALUE"""),"Ethiofencarb")</f>
        <v>Ethiofencarb</v>
      </c>
      <c r="B2609" t="str">
        <f ca="1">IFERROR(__xludf.DUMMYFUNCTION("""COMPUTED_VALUE"""),"RF-0660-001-PPP")</f>
        <v>RF-0660-001-PPP</v>
      </c>
    </row>
    <row r="2610" spans="1:2" ht="12.5" x14ac:dyDescent="0.25">
      <c r="A2610" t="str">
        <f ca="1">IFERROR(__xludf.DUMMYFUNCTION("""COMPUTED_VALUE"""),"Ethiofencarb (sum)")</f>
        <v>Ethiofencarb (sum)</v>
      </c>
      <c r="B2610" t="str">
        <f ca="1">IFERROR(__xludf.DUMMYFUNCTION("""COMPUTED_VALUE"""),"RF-0661-001-PPP")</f>
        <v>RF-0661-001-PPP</v>
      </c>
    </row>
    <row r="2611" spans="1:2" ht="12.5" x14ac:dyDescent="0.25">
      <c r="A2611" t="str">
        <f ca="1">IFERROR(__xludf.DUMMYFUNCTION("""COMPUTED_VALUE"""),"Ethiofencarb sulfoxide")</f>
        <v>Ethiofencarb sulfoxide</v>
      </c>
      <c r="B2611" t="str">
        <f ca="1">IFERROR(__xludf.DUMMYFUNCTION("""COMPUTED_VALUE"""),"RF-00000102-VET")</f>
        <v>RF-00000102-VET</v>
      </c>
    </row>
    <row r="2612" spans="1:2" ht="12.5" x14ac:dyDescent="0.25">
      <c r="A2612" t="str">
        <f ca="1">IFERROR(__xludf.DUMMYFUNCTION("""COMPUTED_VALUE"""),"Ethiofencarb-Sulfon")</f>
        <v>Ethiofencarb-Sulfon</v>
      </c>
      <c r="B2612" t="str">
        <f ca="1">IFERROR(__xludf.DUMMYFUNCTION("""COMPUTED_VALUE"""),"RF-0662-001-PPP")</f>
        <v>RF-0662-001-PPP</v>
      </c>
    </row>
    <row r="2613" spans="1:2" ht="12.5" x14ac:dyDescent="0.25">
      <c r="A2613" t="str">
        <f ca="1">IFERROR(__xludf.DUMMYFUNCTION("""COMPUTED_VALUE"""),"Ethiofencarb-Sulfoxid")</f>
        <v>Ethiofencarb-Sulfoxid</v>
      </c>
      <c r="B2613" t="str">
        <f ca="1">IFERROR(__xludf.DUMMYFUNCTION("""COMPUTED_VALUE"""),"RF-0663-001-PPP")</f>
        <v>RF-0663-001-PPP</v>
      </c>
    </row>
    <row r="2614" spans="1:2" ht="12.5" x14ac:dyDescent="0.25">
      <c r="A2614" t="str">
        <f ca="1">IFERROR(__xludf.DUMMYFUNCTION("""COMPUTED_VALUE"""),"Ethion")</f>
        <v>Ethion</v>
      </c>
      <c r="B2614" t="str">
        <f ca="1">IFERROR(__xludf.DUMMYFUNCTION("""COMPUTED_VALUE"""),"RF-0161-001-PPP")</f>
        <v>RF-0161-001-PPP</v>
      </c>
    </row>
    <row r="2615" spans="1:2" ht="12.5" x14ac:dyDescent="0.25">
      <c r="A2615" t="str">
        <f ca="1">IFERROR(__xludf.DUMMYFUNCTION("""COMPUTED_VALUE"""),"Ethiprole")</f>
        <v>Ethiprole</v>
      </c>
      <c r="B2615" t="str">
        <f ca="1">IFERROR(__xludf.DUMMYFUNCTION("""COMPUTED_VALUE"""),"RF-0664-001-PPP")</f>
        <v>RF-0664-001-PPP</v>
      </c>
    </row>
    <row r="2616" spans="1:2" ht="12.5" x14ac:dyDescent="0.25">
      <c r="A2616" t="str">
        <f ca="1">IFERROR(__xludf.DUMMYFUNCTION("""COMPUTED_VALUE"""),"Ethirimol")</f>
        <v>Ethirimol</v>
      </c>
      <c r="B2616" t="str">
        <f ca="1">IFERROR(__xludf.DUMMYFUNCTION("""COMPUTED_VALUE"""),"RF-0162-001-PPP")</f>
        <v>RF-0162-001-PPP</v>
      </c>
    </row>
    <row r="2617" spans="1:2" ht="12.5" x14ac:dyDescent="0.25">
      <c r="A2617" t="str">
        <f ca="1">IFERROR(__xludf.DUMMYFUNCTION("""COMPUTED_VALUE"""),"Ethisterone (Ethinyltestosterone)")</f>
        <v>Ethisterone (Ethinyltestosterone)</v>
      </c>
      <c r="B2617" t="str">
        <f ca="1">IFERROR(__xludf.DUMMYFUNCTION("""COMPUTED_VALUE"""),"RF-00000377-VET")</f>
        <v>RF-00000377-VET</v>
      </c>
    </row>
    <row r="2618" spans="1:2" ht="12.5" x14ac:dyDescent="0.25">
      <c r="A2618" t="str">
        <f ca="1">IFERROR(__xludf.DUMMYFUNCTION("""COMPUTED_VALUE"""),"Ethoate-Methyl")</f>
        <v>Ethoate-Methyl</v>
      </c>
      <c r="B2618" t="str">
        <f ca="1">IFERROR(__xludf.DUMMYFUNCTION("""COMPUTED_VALUE"""),"RF-0665-001-PPP")</f>
        <v>RF-0665-001-PPP</v>
      </c>
    </row>
    <row r="2619" spans="1:2" ht="12.5" x14ac:dyDescent="0.25">
      <c r="A2619" t="str">
        <f ca="1">IFERROR(__xludf.DUMMYFUNCTION("""COMPUTED_VALUE"""),"Ethofumesate")</f>
        <v>Ethofumesate</v>
      </c>
      <c r="B2619" t="str">
        <f ca="1">IFERROR(__xludf.DUMMYFUNCTION("""COMPUTED_VALUE"""),"RF-0163-002-PPP")</f>
        <v>RF-0163-002-PPP</v>
      </c>
    </row>
    <row r="2620" spans="1:2" ht="12.5" x14ac:dyDescent="0.25">
      <c r="A2620" t="str">
        <f ca="1">IFERROR(__xludf.DUMMYFUNCTION("""COMPUTED_VALUE"""),"Ethofumesate (sum of ethofumesate and the metabolite 2,3-dihydro-3,3-dimethyl-2-oxo-benzofuran-5-yl methane sulphonate expressed as ethofumesate)")</f>
        <v>Ethofumesate (sum of ethofumesate and the metabolite 2,3-dihydro-3,3-dimethyl-2-oxo-benzofuran-5-yl methane sulphonate expressed as ethofumesate)</v>
      </c>
      <c r="B2620" t="str">
        <f ca="1">IFERROR(__xludf.DUMMYFUNCTION("""COMPUTED_VALUE"""),"RF-0163-001-PPP")</f>
        <v>RF-0163-001-PPP</v>
      </c>
    </row>
    <row r="2621" spans="1:2" ht="12.5" x14ac:dyDescent="0.25">
      <c r="A2621" t="str">
        <f ca="1">IFERROR(__xludf.DUMMYFUNCTION("""COMPUTED_VALUE"""),"Ethofumesate-2-keto")</f>
        <v>Ethofumesate-2-keto</v>
      </c>
      <c r="B2621" t="str">
        <f ca="1">IFERROR(__xludf.DUMMYFUNCTION("""COMPUTED_VALUE"""),"RF-00000021-PAR")</f>
        <v>RF-00000021-PAR</v>
      </c>
    </row>
    <row r="2622" spans="1:2" ht="12.5" x14ac:dyDescent="0.25">
      <c r="A2622" t="str">
        <f ca="1">IFERROR(__xludf.DUMMYFUNCTION("""COMPUTED_VALUE"""),"Ethopabate")</f>
        <v>Ethopabate</v>
      </c>
      <c r="B2622" t="str">
        <f ca="1">IFERROR(__xludf.DUMMYFUNCTION("""COMPUTED_VALUE"""),"RF-00000085-VET")</f>
        <v>RF-00000085-VET</v>
      </c>
    </row>
    <row r="2623" spans="1:2" ht="12.5" x14ac:dyDescent="0.25">
      <c r="A2623" t="str">
        <f ca="1">IFERROR(__xludf.DUMMYFUNCTION("""COMPUTED_VALUE"""),"Ethoprophos")</f>
        <v>Ethoprophos</v>
      </c>
      <c r="B2623" t="str">
        <f ca="1">IFERROR(__xludf.DUMMYFUNCTION("""COMPUTED_VALUE"""),"RF-0164-001-PPP")</f>
        <v>RF-0164-001-PPP</v>
      </c>
    </row>
    <row r="2624" spans="1:2" ht="12.5" x14ac:dyDescent="0.25">
      <c r="A2624" t="str">
        <f ca="1">IFERROR(__xludf.DUMMYFUNCTION("""COMPUTED_VALUE"""),"Ethoxyquin")</f>
        <v>Ethoxyquin</v>
      </c>
      <c r="B2624" t="str">
        <f ca="1">IFERROR(__xludf.DUMMYFUNCTION("""COMPUTED_VALUE"""),"RF-0165-001-PPP")</f>
        <v>RF-0165-001-PPP</v>
      </c>
    </row>
    <row r="2625" spans="1:2" ht="12.5" x14ac:dyDescent="0.25">
      <c r="A2625" t="str">
        <f ca="1">IFERROR(__xludf.DUMMYFUNCTION("""COMPUTED_VALUE"""),"Ethoxysulfuron")</f>
        <v>Ethoxysulfuron</v>
      </c>
      <c r="B2625" t="str">
        <f ca="1">IFERROR(__xludf.DUMMYFUNCTION("""COMPUTED_VALUE"""),"RF-0166-001-PPP")</f>
        <v>RF-0166-001-PPP</v>
      </c>
    </row>
    <row r="2626" spans="1:2" ht="12.5" x14ac:dyDescent="0.25">
      <c r="A2626" t="str">
        <f ca="1">IFERROR(__xludf.DUMMYFUNCTION("""COMPUTED_VALUE"""),"Ethyl carbamate")</f>
        <v>Ethyl carbamate</v>
      </c>
      <c r="B2626" t="str">
        <f ca="1">IFERROR(__xludf.DUMMYFUNCTION("""COMPUTED_VALUE"""),"RF-00000375-ORG")</f>
        <v>RF-00000375-ORG</v>
      </c>
    </row>
    <row r="2627" spans="1:2" ht="12.5" x14ac:dyDescent="0.25">
      <c r="A2627" t="str">
        <f ca="1">IFERROR(__xludf.DUMMYFUNCTION("""COMPUTED_VALUE"""),"Ethyl cellulose")</f>
        <v>Ethyl cellulose</v>
      </c>
      <c r="B2627" t="str">
        <f ca="1">IFERROR(__xludf.DUMMYFUNCTION("""COMPUTED_VALUE"""),"RF-00000126-ADD")</f>
        <v>RF-00000126-ADD</v>
      </c>
    </row>
    <row r="2628" spans="1:2" ht="12.5" x14ac:dyDescent="0.25">
      <c r="A2628" t="str">
        <f ca="1">IFERROR(__xludf.DUMMYFUNCTION("""COMPUTED_VALUE"""),"Ethyl methyl cellulose")</f>
        <v>Ethyl methyl cellulose</v>
      </c>
      <c r="B2628" t="str">
        <f ca="1">IFERROR(__xludf.DUMMYFUNCTION("""COMPUTED_VALUE"""),"RF-00000127-ADD")</f>
        <v>RF-00000127-ADD</v>
      </c>
    </row>
    <row r="2629" spans="1:2" ht="12.5" x14ac:dyDescent="0.25">
      <c r="A2629" t="str">
        <f ca="1">IFERROR(__xludf.DUMMYFUNCTION("""COMPUTED_VALUE"""),"Ethyl-p-hydroxybenzoate")</f>
        <v>Ethyl-p-hydroxybenzoate</v>
      </c>
      <c r="B2629" t="str">
        <f ca="1">IFERROR(__xludf.DUMMYFUNCTION("""COMPUTED_VALUE"""),"RF-00000128-ADD")</f>
        <v>RF-00000128-ADD</v>
      </c>
    </row>
    <row r="2630" spans="1:2" ht="12.5" x14ac:dyDescent="0.25">
      <c r="A2630" t="str">
        <f ca="1">IFERROR(__xludf.DUMMYFUNCTION("""COMPUTED_VALUE"""),"Ethylamine")</f>
        <v>Ethylamine</v>
      </c>
      <c r="B2630" t="str">
        <f ca="1">IFERROR(__xludf.DUMMYFUNCTION("""COMPUTED_VALUE"""),"RF-00000475-ORG")</f>
        <v>RF-00000475-ORG</v>
      </c>
    </row>
    <row r="2631" spans="1:2" ht="12.5" x14ac:dyDescent="0.25">
      <c r="A2631" t="str">
        <f ca="1">IFERROR(__xludf.DUMMYFUNCTION("""COMPUTED_VALUE"""),"Ethylene oxide")</f>
        <v>Ethylene oxide</v>
      </c>
      <c r="B2631" t="str">
        <f ca="1">IFERROR(__xludf.DUMMYFUNCTION("""COMPUTED_VALUE"""),"RF-0167-003-PPP")</f>
        <v>RF-0167-003-PPP</v>
      </c>
    </row>
    <row r="2632" spans="1:2" ht="12.5" x14ac:dyDescent="0.25">
      <c r="A2632" t="str">
        <f ca="1">IFERROR(__xludf.DUMMYFUNCTION("""COMPUTED_VALUE"""),"Ethylene oxide (sum of ethylene oxide and 2-chloro-ethanol expressed as ethylene oxide)")</f>
        <v>Ethylene oxide (sum of ethylene oxide and 2-chloro-ethanol expressed as ethylene oxide)</v>
      </c>
      <c r="B2632" t="str">
        <f ca="1">IFERROR(__xludf.DUMMYFUNCTION("""COMPUTED_VALUE"""),"RF-0167-001-PPP")</f>
        <v>RF-0167-001-PPP</v>
      </c>
    </row>
    <row r="2633" spans="1:2" ht="12.5" x14ac:dyDescent="0.25">
      <c r="A2633" t="str">
        <f ca="1">IFERROR(__xludf.DUMMYFUNCTION("""COMPUTED_VALUE"""),"Ethylenethiourea")</f>
        <v>Ethylenethiourea</v>
      </c>
      <c r="B2633" t="str">
        <f ca="1">IFERROR(__xludf.DUMMYFUNCTION("""COMPUTED_VALUE"""),"RF-00000296-VET")</f>
        <v>RF-00000296-VET</v>
      </c>
    </row>
    <row r="2634" spans="1:2" ht="12.5" x14ac:dyDescent="0.25">
      <c r="A2634" t="str">
        <f ca="1">IFERROR(__xludf.DUMMYFUNCTION("""COMPUTED_VALUE"""),"Ethylenethiourea")</f>
        <v>Ethylenethiourea</v>
      </c>
      <c r="B2634" t="str">
        <f ca="1">IFERROR(__xludf.DUMMYFUNCTION("""COMPUTED_VALUE"""),"RF-0669-001-PPP")</f>
        <v>RF-0669-001-PPP</v>
      </c>
    </row>
    <row r="2635" spans="1:2" ht="12.5" x14ac:dyDescent="0.25">
      <c r="A2635" t="str">
        <f ca="1">IFERROR(__xludf.DUMMYFUNCTION("""COMPUTED_VALUE"""),"Ethylestrenol")</f>
        <v>Ethylestrenol</v>
      </c>
      <c r="B2635" t="str">
        <f ca="1">IFERROR(__xludf.DUMMYFUNCTION("""COMPUTED_VALUE"""),"RF-00000384-VET")</f>
        <v>RF-00000384-VET</v>
      </c>
    </row>
    <row r="2636" spans="1:2" ht="12.5" x14ac:dyDescent="0.25">
      <c r="A2636" t="str">
        <f ca="1">IFERROR(__xludf.DUMMYFUNCTION("""COMPUTED_VALUE"""),"Ethylthiouracil")</f>
        <v>Ethylthiouracil</v>
      </c>
      <c r="B2636" t="str">
        <f ca="1">IFERROR(__xludf.DUMMYFUNCTION("""COMPUTED_VALUE"""),"RF-00000306-VET")</f>
        <v>RF-00000306-VET</v>
      </c>
    </row>
    <row r="2637" spans="1:2" ht="12.5" x14ac:dyDescent="0.25">
      <c r="A2637" t="str">
        <f ca="1">IFERROR(__xludf.DUMMYFUNCTION("""COMPUTED_VALUE"""),"Ethynodiol")</f>
        <v>Ethynodiol</v>
      </c>
      <c r="B2637" t="str">
        <f ca="1">IFERROR(__xludf.DUMMYFUNCTION("""COMPUTED_VALUE"""),"RF-00000396-VET")</f>
        <v>RF-00000396-VET</v>
      </c>
    </row>
    <row r="2638" spans="1:2" ht="12.5" x14ac:dyDescent="0.25">
      <c r="A2638" t="str">
        <f ca="1">IFERROR(__xludf.DUMMYFUNCTION("""COMPUTED_VALUE"""),"Ethynodioldiacetate")</f>
        <v>Ethynodioldiacetate</v>
      </c>
      <c r="B2638" t="str">
        <f ca="1">IFERROR(__xludf.DUMMYFUNCTION("""COMPUTED_VALUE"""),"RF-00000397-VET")</f>
        <v>RF-00000397-VET</v>
      </c>
    </row>
    <row r="2639" spans="1:2" ht="12.5" x14ac:dyDescent="0.25">
      <c r="A2639" t="str">
        <f ca="1">IFERROR(__xludf.DUMMYFUNCTION("""COMPUTED_VALUE"""),"Etileferine")</f>
        <v>Etileferine</v>
      </c>
      <c r="B2639" t="str">
        <f ca="1">IFERROR(__xludf.DUMMYFUNCTION("""COMPUTED_VALUE"""),"RF-00000476-VET")</f>
        <v>RF-00000476-VET</v>
      </c>
    </row>
    <row r="2640" spans="1:2" ht="12.5" x14ac:dyDescent="0.25">
      <c r="A2640" t="str">
        <f ca="1">IFERROR(__xludf.DUMMYFUNCTION("""COMPUTED_VALUE"""),"Etobenzanid")</f>
        <v>Etobenzanid</v>
      </c>
      <c r="B2640" t="str">
        <f ca="1">IFERROR(__xludf.DUMMYFUNCTION("""COMPUTED_VALUE"""),"RF-0667-001-PPP")</f>
        <v>RF-0667-001-PPP</v>
      </c>
    </row>
    <row r="2641" spans="1:2" ht="12.5" x14ac:dyDescent="0.25">
      <c r="A2641" t="str">
        <f ca="1">IFERROR(__xludf.DUMMYFUNCTION("""COMPUTED_VALUE"""),"Etodolac")</f>
        <v>Etodolac</v>
      </c>
      <c r="B2641" t="str">
        <f ca="1">IFERROR(__xludf.DUMMYFUNCTION("""COMPUTED_VALUE"""),"RF-00000227-VET")</f>
        <v>RF-00000227-VET</v>
      </c>
    </row>
    <row r="2642" spans="1:2" ht="12.5" x14ac:dyDescent="0.25">
      <c r="A2642" t="str">
        <f ca="1">IFERROR(__xludf.DUMMYFUNCTION("""COMPUTED_VALUE"""),"Etofenprox")</f>
        <v>Etofenprox</v>
      </c>
      <c r="B2642" t="str">
        <f ca="1">IFERROR(__xludf.DUMMYFUNCTION("""COMPUTED_VALUE"""),"RF-0168-001-PPP")</f>
        <v>RF-0168-001-PPP</v>
      </c>
    </row>
    <row r="2643" spans="1:2" ht="12.5" x14ac:dyDescent="0.25">
      <c r="A2643" t="str">
        <f ca="1">IFERROR(__xludf.DUMMYFUNCTION("""COMPUTED_VALUE"""),"Etoxazole")</f>
        <v>Etoxazole</v>
      </c>
      <c r="B2643" t="str">
        <f ca="1">IFERROR(__xludf.DUMMYFUNCTION("""COMPUTED_VALUE"""),"RF-0169-001-PPP")</f>
        <v>RF-0169-001-PPP</v>
      </c>
    </row>
    <row r="2644" spans="1:2" ht="12.5" x14ac:dyDescent="0.25">
      <c r="A2644" t="str">
        <f ca="1">IFERROR(__xludf.DUMMYFUNCTION("""COMPUTED_VALUE"""),"Etridiazole")</f>
        <v>Etridiazole</v>
      </c>
      <c r="B2644" t="str">
        <f ca="1">IFERROR(__xludf.DUMMYFUNCTION("""COMPUTED_VALUE"""),"RF-0170-001-PPP")</f>
        <v>RF-0170-001-PPP</v>
      </c>
    </row>
    <row r="2645" spans="1:2" ht="12.5" x14ac:dyDescent="0.25">
      <c r="A2645" t="str">
        <f ca="1">IFERROR(__xludf.DUMMYFUNCTION("""COMPUTED_VALUE"""),"Etrimfos")</f>
        <v>Etrimfos</v>
      </c>
      <c r="B2645" t="str">
        <f ca="1">IFERROR(__xludf.DUMMYFUNCTION("""COMPUTED_VALUE"""),"RF-0668-001-PPP")</f>
        <v>RF-0668-001-PPP</v>
      </c>
    </row>
    <row r="2646" spans="1:2" ht="12.5" x14ac:dyDescent="0.25">
      <c r="A2646" t="str">
        <f ca="1">IFERROR(__xludf.DUMMYFUNCTION("""COMPUTED_VALUE"""),"European Bat Lyssavirus - unspecified")</f>
        <v>European Bat Lyssavirus - unspecified</v>
      </c>
      <c r="B2646" t="str">
        <f ca="1">IFERROR(__xludf.DUMMYFUNCTION("""COMPUTED_VALUE"""),"RF-00000268-MCG")</f>
        <v>RF-00000268-MCG</v>
      </c>
    </row>
    <row r="2647" spans="1:2" ht="12.5" x14ac:dyDescent="0.25">
      <c r="A2647" t="str">
        <f ca="1">IFERROR(__xludf.DUMMYFUNCTION("""COMPUTED_VALUE"""),"Europine")</f>
        <v>Europine</v>
      </c>
      <c r="B2647" t="str">
        <f ca="1">IFERROR(__xludf.DUMMYFUNCTION("""COMPUTED_VALUE"""),"RF-00000390-TOX")</f>
        <v>RF-00000390-TOX</v>
      </c>
    </row>
    <row r="2648" spans="1:2" ht="12.5" x14ac:dyDescent="0.25">
      <c r="A2648" t="str">
        <f ca="1">IFERROR(__xludf.DUMMYFUNCTION("""COMPUTED_VALUE"""),"Europine-N-oxide")</f>
        <v>Europine-N-oxide</v>
      </c>
      <c r="B2648" t="str">
        <f ca="1">IFERROR(__xludf.DUMMYFUNCTION("""COMPUTED_VALUE"""),"RF-00000391-TOX")</f>
        <v>RF-00000391-TOX</v>
      </c>
    </row>
    <row r="2649" spans="1:2" ht="12.5" x14ac:dyDescent="0.25">
      <c r="A2649" t="str">
        <f ca="1">IFERROR(__xludf.DUMMYFUNCTION("""COMPUTED_VALUE"""),"Everninomycin")</f>
        <v>Everninomycin</v>
      </c>
      <c r="B2649" t="str">
        <f ca="1">IFERROR(__xludf.DUMMYFUNCTION("""COMPUTED_VALUE"""),"RF-00000756-VET")</f>
        <v>RF-00000756-VET</v>
      </c>
    </row>
    <row r="2650" spans="1:2" ht="12.5" x14ac:dyDescent="0.25">
      <c r="A2650" t="str">
        <f ca="1">IFERROR(__xludf.DUMMYFUNCTION("""COMPUTED_VALUE"""),"Extractable calcium (compost)")</f>
        <v>Extractable calcium (compost)</v>
      </c>
      <c r="B2650" t="str">
        <f ca="1">IFERROR(__xludf.DUMMYFUNCTION("""COMPUTED_VALUE"""),"RF-00000012-CHE")</f>
        <v>RF-00000012-CHE</v>
      </c>
    </row>
    <row r="2651" spans="1:2" ht="12.5" x14ac:dyDescent="0.25">
      <c r="A2651" t="str">
        <f ca="1">IFERROR(__xludf.DUMMYFUNCTION("""COMPUTED_VALUE"""),"Extractable magnesium (compost)")</f>
        <v>Extractable magnesium (compost)</v>
      </c>
      <c r="B2651" t="str">
        <f ca="1">IFERROR(__xludf.DUMMYFUNCTION("""COMPUTED_VALUE"""),"RF-00000065-CHE")</f>
        <v>RF-00000065-CHE</v>
      </c>
    </row>
    <row r="2652" spans="1:2" ht="12.5" x14ac:dyDescent="0.25">
      <c r="A2652" t="str">
        <f ca="1">IFERROR(__xludf.DUMMYFUNCTION("""COMPUTED_VALUE"""),"Extractable phosphorus (compost)")</f>
        <v>Extractable phosphorus (compost)</v>
      </c>
      <c r="B2652" t="str">
        <f ca="1">IFERROR(__xludf.DUMMYFUNCTION("""COMPUTED_VALUE"""),"RF-00000044-CHE")</f>
        <v>RF-00000044-CHE</v>
      </c>
    </row>
    <row r="2653" spans="1:2" ht="12.5" x14ac:dyDescent="0.25">
      <c r="A2653" t="str">
        <f ca="1">IFERROR(__xludf.DUMMYFUNCTION("""COMPUTED_VALUE"""),"Extracts of rosemary")</f>
        <v>Extracts of rosemary</v>
      </c>
      <c r="B2653" t="str">
        <f ca="1">IFERROR(__xludf.DUMMYFUNCTION("""COMPUTED_VALUE"""),"RF-00000129-ADD")</f>
        <v>RF-00000129-ADD</v>
      </c>
    </row>
    <row r="2654" spans="1:2" ht="12.5" x14ac:dyDescent="0.25">
      <c r="A2654" t="str">
        <f ca="1">IFERROR(__xludf.DUMMYFUNCTION("""COMPUTED_VALUE"""),"Famoxadone")</f>
        <v>Famoxadone</v>
      </c>
      <c r="B2654" t="str">
        <f ca="1">IFERROR(__xludf.DUMMYFUNCTION("""COMPUTED_VALUE"""),"RF-0171-001-PPP")</f>
        <v>RF-0171-001-PPP</v>
      </c>
    </row>
    <row r="2655" spans="1:2" ht="12.5" x14ac:dyDescent="0.25">
      <c r="A2655" t="str">
        <f ca="1">IFERROR(__xludf.DUMMYFUNCTION("""COMPUTED_VALUE"""),"Famphur")</f>
        <v>Famphur</v>
      </c>
      <c r="B2655" t="str">
        <f ca="1">IFERROR(__xludf.DUMMYFUNCTION("""COMPUTED_VALUE"""),"RF-0670-001-PPP")</f>
        <v>RF-0670-001-PPP</v>
      </c>
    </row>
    <row r="2656" spans="1:2" ht="12.5" x14ac:dyDescent="0.25">
      <c r="A2656" t="str">
        <f ca="1">IFERROR(__xludf.DUMMYFUNCTION("""COMPUTED_VALUE"""),"Farfugine")</f>
        <v>Farfugine</v>
      </c>
      <c r="B2656" t="str">
        <f ca="1">IFERROR(__xludf.DUMMYFUNCTION("""COMPUTED_VALUE"""),"RF-00000280-TOX")</f>
        <v>RF-00000280-TOX</v>
      </c>
    </row>
    <row r="2657" spans="1:2" ht="12.5" x14ac:dyDescent="0.25">
      <c r="A2657" t="str">
        <f ca="1">IFERROR(__xludf.DUMMYFUNCTION("""COMPUTED_VALUE"""),"fat, animal")</f>
        <v>fat, animal</v>
      </c>
      <c r="B2657" t="str">
        <f ca="1">IFERROR(__xludf.DUMMYFUNCTION("""COMPUTED_VALUE"""),"RF-00000084-NTR")</f>
        <v>RF-00000084-NTR</v>
      </c>
    </row>
    <row r="2658" spans="1:2" ht="12.5" x14ac:dyDescent="0.25">
      <c r="A2658" t="str">
        <f ca="1">IFERROR(__xludf.DUMMYFUNCTION("""COMPUTED_VALUE"""),"fat, plant")</f>
        <v>fat, plant</v>
      </c>
      <c r="B2658" t="str">
        <f ca="1">IFERROR(__xludf.DUMMYFUNCTION("""COMPUTED_VALUE"""),"RF-00000085-NTR")</f>
        <v>RF-00000085-NTR</v>
      </c>
    </row>
    <row r="2659" spans="1:2" ht="12.5" x14ac:dyDescent="0.25">
      <c r="A2659" t="str">
        <f ca="1">IFERROR(__xludf.DUMMYFUNCTION("""COMPUTED_VALUE"""),"fat, total (total lipid)")</f>
        <v>fat, total (total lipid)</v>
      </c>
      <c r="B2659" t="str">
        <f ca="1">IFERROR(__xludf.DUMMYFUNCTION("""COMPUTED_VALUE"""),"RF-00000086-NTR")</f>
        <v>RF-00000086-NTR</v>
      </c>
    </row>
    <row r="2660" spans="1:2" ht="12.5" x14ac:dyDescent="0.25">
      <c r="A2660" t="str">
        <f ca="1">IFERROR(__xludf.DUMMYFUNCTION("""COMPUTED_VALUE"""),"fat, unknown origin")</f>
        <v>fat, unknown origin</v>
      </c>
      <c r="B2660" t="str">
        <f ca="1">IFERROR(__xludf.DUMMYFUNCTION("""COMPUTED_VALUE"""),"RF-00000087-NTR")</f>
        <v>RF-00000087-NTR</v>
      </c>
    </row>
    <row r="2661" spans="1:2" ht="12.5" x14ac:dyDescent="0.25">
      <c r="A2661" t="str">
        <f ca="1">IFERROR(__xludf.DUMMYFUNCTION("""COMPUTED_VALUE"""),"fatty acid 10:0 (capric acid)")</f>
        <v>fatty acid 10:0 (capric acid)</v>
      </c>
      <c r="B2661" t="str">
        <f ca="1">IFERROR(__xludf.DUMMYFUNCTION("""COMPUTED_VALUE"""),"RF-00000089-NTR")</f>
        <v>RF-00000089-NTR</v>
      </c>
    </row>
    <row r="2662" spans="1:2" ht="12.5" x14ac:dyDescent="0.25">
      <c r="A2662" t="str">
        <f ca="1">IFERROR(__xludf.DUMMYFUNCTION("""COMPUTED_VALUE"""),"fatty acid 10:1")</f>
        <v>fatty acid 10:1</v>
      </c>
      <c r="B2662" t="str">
        <f ca="1">IFERROR(__xludf.DUMMYFUNCTION("""COMPUTED_VALUE"""),"RF-00000090-NTR")</f>
        <v>RF-00000090-NTR</v>
      </c>
    </row>
    <row r="2663" spans="1:2" ht="12.5" x14ac:dyDescent="0.25">
      <c r="A2663" t="str">
        <f ca="1">IFERROR(__xludf.DUMMYFUNCTION("""COMPUTED_VALUE"""),"fatty acid 10:1 (caproleic acid)")</f>
        <v>fatty acid 10:1 (caproleic acid)</v>
      </c>
      <c r="B2663" t="str">
        <f ca="1">IFERROR(__xludf.DUMMYFUNCTION("""COMPUTED_VALUE"""),"RF-00000091-NTR")</f>
        <v>RF-00000091-NTR</v>
      </c>
    </row>
    <row r="2664" spans="1:2" ht="12.5" x14ac:dyDescent="0.25">
      <c r="A2664" t="str">
        <f ca="1">IFERROR(__xludf.DUMMYFUNCTION("""COMPUTED_VALUE"""),"fatty acid 10:1 cis")</f>
        <v>fatty acid 10:1 cis</v>
      </c>
      <c r="B2664" t="str">
        <f ca="1">IFERROR(__xludf.DUMMYFUNCTION("""COMPUTED_VALUE"""),"RF-00000092-NTR")</f>
        <v>RF-00000092-NTR</v>
      </c>
    </row>
    <row r="2665" spans="1:2" ht="12.5" x14ac:dyDescent="0.25">
      <c r="A2665" t="str">
        <f ca="1">IFERROR(__xludf.DUMMYFUNCTION("""COMPUTED_VALUE"""),"fatty acid 10:1 trans")</f>
        <v>fatty acid 10:1 trans</v>
      </c>
      <c r="B2665" t="str">
        <f ca="1">IFERROR(__xludf.DUMMYFUNCTION("""COMPUTED_VALUE"""),"RF-00000093-NTR")</f>
        <v>RF-00000093-NTR</v>
      </c>
    </row>
    <row r="2666" spans="1:2" ht="12.5" x14ac:dyDescent="0.25">
      <c r="A2666" t="str">
        <f ca="1">IFERROR(__xludf.DUMMYFUNCTION("""COMPUTED_VALUE"""),"fatty acid 11:0")</f>
        <v>fatty acid 11:0</v>
      </c>
      <c r="B2666" t="str">
        <f ca="1">IFERROR(__xludf.DUMMYFUNCTION("""COMPUTED_VALUE"""),"RF-00000094-NTR")</f>
        <v>RF-00000094-NTR</v>
      </c>
    </row>
    <row r="2667" spans="1:2" ht="12.5" x14ac:dyDescent="0.25">
      <c r="A2667" t="str">
        <f ca="1">IFERROR(__xludf.DUMMYFUNCTION("""COMPUTED_VALUE"""),"fatty acid 12:0 (lauric acid)")</f>
        <v>fatty acid 12:0 (lauric acid)</v>
      </c>
      <c r="B2667" t="str">
        <f ca="1">IFERROR(__xludf.DUMMYFUNCTION("""COMPUTED_VALUE"""),"RF-00000095-NTR")</f>
        <v>RF-00000095-NTR</v>
      </c>
    </row>
    <row r="2668" spans="1:2" ht="12.5" x14ac:dyDescent="0.25">
      <c r="A2668" t="str">
        <f ca="1">IFERROR(__xludf.DUMMYFUNCTION("""COMPUTED_VALUE"""),"fatty acid 12:1")</f>
        <v>fatty acid 12:1</v>
      </c>
      <c r="B2668" t="str">
        <f ca="1">IFERROR(__xludf.DUMMYFUNCTION("""COMPUTED_VALUE"""),"RF-00000096-NTR")</f>
        <v>RF-00000096-NTR</v>
      </c>
    </row>
    <row r="2669" spans="1:2" ht="12.5" x14ac:dyDescent="0.25">
      <c r="A2669" t="str">
        <f ca="1">IFERROR(__xludf.DUMMYFUNCTION("""COMPUTED_VALUE"""),"fatty acid 12:1 (lauroleic acid)")</f>
        <v>fatty acid 12:1 (lauroleic acid)</v>
      </c>
      <c r="B2669" t="str">
        <f ca="1">IFERROR(__xludf.DUMMYFUNCTION("""COMPUTED_VALUE"""),"RF-00000097-NTR")</f>
        <v>RF-00000097-NTR</v>
      </c>
    </row>
    <row r="2670" spans="1:2" ht="12.5" x14ac:dyDescent="0.25">
      <c r="A2670" t="str">
        <f ca="1">IFERROR(__xludf.DUMMYFUNCTION("""COMPUTED_VALUE"""),"fatty acid 12:1 cis")</f>
        <v>fatty acid 12:1 cis</v>
      </c>
      <c r="B2670" t="str">
        <f ca="1">IFERROR(__xludf.DUMMYFUNCTION("""COMPUTED_VALUE"""),"RF-00000098-NTR")</f>
        <v>RF-00000098-NTR</v>
      </c>
    </row>
    <row r="2671" spans="1:2" ht="12.5" x14ac:dyDescent="0.25">
      <c r="A2671" t="str">
        <f ca="1">IFERROR(__xludf.DUMMYFUNCTION("""COMPUTED_VALUE"""),"fatty acid 12:1 trans")</f>
        <v>fatty acid 12:1 trans</v>
      </c>
      <c r="B2671" t="str">
        <f ca="1">IFERROR(__xludf.DUMMYFUNCTION("""COMPUTED_VALUE"""),"RF-00000099-NTR")</f>
        <v>RF-00000099-NTR</v>
      </c>
    </row>
    <row r="2672" spans="1:2" ht="12.5" x14ac:dyDescent="0.25">
      <c r="A2672" t="str">
        <f ca="1">IFERROR(__xludf.DUMMYFUNCTION("""COMPUTED_VALUE"""),"fatty acid 13:0 (tridecanoic acid)")</f>
        <v>fatty acid 13:0 (tridecanoic acid)</v>
      </c>
      <c r="B2672" t="str">
        <f ca="1">IFERROR(__xludf.DUMMYFUNCTION("""COMPUTED_VALUE"""),"RF-00000100-NTR")</f>
        <v>RF-00000100-NTR</v>
      </c>
    </row>
    <row r="2673" spans="1:2" ht="12.5" x14ac:dyDescent="0.25">
      <c r="A2673" t="str">
        <f ca="1">IFERROR(__xludf.DUMMYFUNCTION("""COMPUTED_VALUE"""),"fatty acid 13:0 iso (isotridecanoic acid)")</f>
        <v>fatty acid 13:0 iso (isotridecanoic acid)</v>
      </c>
      <c r="B2673" t="str">
        <f ca="1">IFERROR(__xludf.DUMMYFUNCTION("""COMPUTED_VALUE"""),"RF-00000101-NTR")</f>
        <v>RF-00000101-NTR</v>
      </c>
    </row>
    <row r="2674" spans="1:2" ht="12.5" x14ac:dyDescent="0.25">
      <c r="A2674" t="str">
        <f ca="1">IFERROR(__xludf.DUMMYFUNCTION("""COMPUTED_VALUE"""),"fatty acid 14:0 (myristic acid)")</f>
        <v>fatty acid 14:0 (myristic acid)</v>
      </c>
      <c r="B2674" t="str">
        <f ca="1">IFERROR(__xludf.DUMMYFUNCTION("""COMPUTED_VALUE"""),"RF-00000102-NTR")</f>
        <v>RF-00000102-NTR</v>
      </c>
    </row>
    <row r="2675" spans="1:2" ht="12.5" x14ac:dyDescent="0.25">
      <c r="A2675" t="str">
        <f ca="1">IFERROR(__xludf.DUMMYFUNCTION("""COMPUTED_VALUE"""),"fatty acid 14:0 anteiso")</f>
        <v>fatty acid 14:0 anteiso</v>
      </c>
      <c r="B2675" t="str">
        <f ca="1">IFERROR(__xludf.DUMMYFUNCTION("""COMPUTED_VALUE"""),"RF-00000103-NTR")</f>
        <v>RF-00000103-NTR</v>
      </c>
    </row>
    <row r="2676" spans="1:2" ht="12.5" x14ac:dyDescent="0.25">
      <c r="A2676" t="str">
        <f ca="1">IFERROR(__xludf.DUMMYFUNCTION("""COMPUTED_VALUE"""),"fatty acid 14:0 iso")</f>
        <v>fatty acid 14:0 iso</v>
      </c>
      <c r="B2676" t="str">
        <f ca="1">IFERROR(__xludf.DUMMYFUNCTION("""COMPUTED_VALUE"""),"RF-00000104-NTR")</f>
        <v>RF-00000104-NTR</v>
      </c>
    </row>
    <row r="2677" spans="1:2" ht="12.5" x14ac:dyDescent="0.25">
      <c r="A2677" t="str">
        <f ca="1">IFERROR(__xludf.DUMMYFUNCTION("""COMPUTED_VALUE"""),"fatty acid 14:1")</f>
        <v>fatty acid 14:1</v>
      </c>
      <c r="B2677" t="str">
        <f ca="1">IFERROR(__xludf.DUMMYFUNCTION("""COMPUTED_VALUE"""),"RF-00000105-NTR")</f>
        <v>RF-00000105-NTR</v>
      </c>
    </row>
    <row r="2678" spans="1:2" ht="12.5" x14ac:dyDescent="0.25">
      <c r="A2678" t="str">
        <f ca="1">IFERROR(__xludf.DUMMYFUNCTION("""COMPUTED_VALUE"""),"fatty acid 14:1 (myristoleic acid)")</f>
        <v>fatty acid 14:1 (myristoleic acid)</v>
      </c>
      <c r="B2678" t="str">
        <f ca="1">IFERROR(__xludf.DUMMYFUNCTION("""COMPUTED_VALUE"""),"RF-00000106-NTR")</f>
        <v>RF-00000106-NTR</v>
      </c>
    </row>
    <row r="2679" spans="1:2" ht="12.5" x14ac:dyDescent="0.25">
      <c r="A2679" t="str">
        <f ca="1">IFERROR(__xludf.DUMMYFUNCTION("""COMPUTED_VALUE"""),"fatty acid 14:1 cis")</f>
        <v>fatty acid 14:1 cis</v>
      </c>
      <c r="B2679" t="str">
        <f ca="1">IFERROR(__xludf.DUMMYFUNCTION("""COMPUTED_VALUE"""),"RF-00000107-NTR")</f>
        <v>RF-00000107-NTR</v>
      </c>
    </row>
    <row r="2680" spans="1:2" ht="12.5" x14ac:dyDescent="0.25">
      <c r="A2680" t="str">
        <f ca="1">IFERROR(__xludf.DUMMYFUNCTION("""COMPUTED_VALUE"""),"fatty acid 14:1 trans (myristelaidic acid)")</f>
        <v>fatty acid 14:1 trans (myristelaidic acid)</v>
      </c>
      <c r="B2680" t="str">
        <f ca="1">IFERROR(__xludf.DUMMYFUNCTION("""COMPUTED_VALUE"""),"RF-00000108-NTR")</f>
        <v>RF-00000108-NTR</v>
      </c>
    </row>
    <row r="2681" spans="1:2" ht="12.5" x14ac:dyDescent="0.25">
      <c r="A2681" t="str">
        <f ca="1">IFERROR(__xludf.DUMMYFUNCTION("""COMPUTED_VALUE"""),"fatty acid 15:0 (pentadecylic acid)")</f>
        <v>fatty acid 15:0 (pentadecylic acid)</v>
      </c>
      <c r="B2681" t="str">
        <f ca="1">IFERROR(__xludf.DUMMYFUNCTION("""COMPUTED_VALUE"""),"RF-00000109-NTR")</f>
        <v>RF-00000109-NTR</v>
      </c>
    </row>
    <row r="2682" spans="1:2" ht="12.5" x14ac:dyDescent="0.25">
      <c r="A2682" t="str">
        <f ca="1">IFERROR(__xludf.DUMMYFUNCTION("""COMPUTED_VALUE"""),"fatty acid 15:0 + 17:0")</f>
        <v>fatty acid 15:0 + 17:0</v>
      </c>
      <c r="B2682" t="str">
        <f ca="1">IFERROR(__xludf.DUMMYFUNCTION("""COMPUTED_VALUE"""),"RF-00000110-NTR")</f>
        <v>RF-00000110-NTR</v>
      </c>
    </row>
    <row r="2683" spans="1:2" ht="12.5" x14ac:dyDescent="0.25">
      <c r="A2683" t="str">
        <f ca="1">IFERROR(__xludf.DUMMYFUNCTION("""COMPUTED_VALUE"""),"fatty acid 15:0 anteiso")</f>
        <v>fatty acid 15:0 anteiso</v>
      </c>
      <c r="B2683" t="str">
        <f ca="1">IFERROR(__xludf.DUMMYFUNCTION("""COMPUTED_VALUE"""),"RF-00000111-NTR")</f>
        <v>RF-00000111-NTR</v>
      </c>
    </row>
    <row r="2684" spans="1:2" ht="12.5" x14ac:dyDescent="0.25">
      <c r="A2684" t="str">
        <f ca="1">IFERROR(__xludf.DUMMYFUNCTION("""COMPUTED_VALUE"""),"fatty acid 15:0 iso")</f>
        <v>fatty acid 15:0 iso</v>
      </c>
      <c r="B2684" t="str">
        <f ca="1">IFERROR(__xludf.DUMMYFUNCTION("""COMPUTED_VALUE"""),"RF-00000112-NTR")</f>
        <v>RF-00000112-NTR</v>
      </c>
    </row>
    <row r="2685" spans="1:2" ht="12.5" x14ac:dyDescent="0.25">
      <c r="A2685" t="str">
        <f ca="1">IFERROR(__xludf.DUMMYFUNCTION("""COMPUTED_VALUE"""),"fatty acid 15:1 (pentadecenoic acid)")</f>
        <v>fatty acid 15:1 (pentadecenoic acid)</v>
      </c>
      <c r="B2685" t="str">
        <f ca="1">IFERROR(__xludf.DUMMYFUNCTION("""COMPUTED_VALUE"""),"RF-00000113-NTR")</f>
        <v>RF-00000113-NTR</v>
      </c>
    </row>
    <row r="2686" spans="1:2" ht="12.5" x14ac:dyDescent="0.25">
      <c r="A2686" t="str">
        <f ca="1">IFERROR(__xludf.DUMMYFUNCTION("""COMPUTED_VALUE"""),"fatty acid 15:1 n-8 cis")</f>
        <v>fatty acid 15:1 n-8 cis</v>
      </c>
      <c r="B2686" t="str">
        <f ca="1">IFERROR(__xludf.DUMMYFUNCTION("""COMPUTED_VALUE"""),"RF-00000114-NTR")</f>
        <v>RF-00000114-NTR</v>
      </c>
    </row>
    <row r="2687" spans="1:2" ht="12.5" x14ac:dyDescent="0.25">
      <c r="A2687" t="str">
        <f ca="1">IFERROR(__xludf.DUMMYFUNCTION("""COMPUTED_VALUE"""),"fatty acid 16:0 (palmitic acid)")</f>
        <v>fatty acid 16:0 (palmitic acid)</v>
      </c>
      <c r="B2687" t="str">
        <f ca="1">IFERROR(__xludf.DUMMYFUNCTION("""COMPUTED_VALUE"""),"RF-00000115-NTR")</f>
        <v>RF-00000115-NTR</v>
      </c>
    </row>
    <row r="2688" spans="1:2" ht="12.5" x14ac:dyDescent="0.25">
      <c r="A2688" t="str">
        <f ca="1">IFERROR(__xludf.DUMMYFUNCTION("""COMPUTED_VALUE"""),"fatty acid 16:0 anteiso")</f>
        <v>fatty acid 16:0 anteiso</v>
      </c>
      <c r="B2688" t="str">
        <f ca="1">IFERROR(__xludf.DUMMYFUNCTION("""COMPUTED_VALUE"""),"RF-00000116-NTR")</f>
        <v>RF-00000116-NTR</v>
      </c>
    </row>
    <row r="2689" spans="1:2" ht="12.5" x14ac:dyDescent="0.25">
      <c r="A2689" t="str">
        <f ca="1">IFERROR(__xludf.DUMMYFUNCTION("""COMPUTED_VALUE"""),"fatty acid 16:0 iso")</f>
        <v>fatty acid 16:0 iso</v>
      </c>
      <c r="B2689" t="str">
        <f ca="1">IFERROR(__xludf.DUMMYFUNCTION("""COMPUTED_VALUE"""),"RF-00000117-NTR")</f>
        <v>RF-00000117-NTR</v>
      </c>
    </row>
    <row r="2690" spans="1:2" ht="12.5" x14ac:dyDescent="0.25">
      <c r="A2690" t="str">
        <f ca="1">IFERROR(__xludf.DUMMYFUNCTION("""COMPUTED_VALUE"""),"fatty acid 16:1")</f>
        <v>fatty acid 16:1</v>
      </c>
      <c r="B2690" t="str">
        <f ca="1">IFERROR(__xludf.DUMMYFUNCTION("""COMPUTED_VALUE"""),"RF-00000118-NTR")</f>
        <v>RF-00000118-NTR</v>
      </c>
    </row>
    <row r="2691" spans="1:2" ht="12.5" x14ac:dyDescent="0.25">
      <c r="A2691" t="str">
        <f ca="1">IFERROR(__xludf.DUMMYFUNCTION("""COMPUTED_VALUE"""),"fatty acid 16:1 cis")</f>
        <v>fatty acid 16:1 cis</v>
      </c>
      <c r="B2691" t="str">
        <f ca="1">IFERROR(__xludf.DUMMYFUNCTION("""COMPUTED_VALUE"""),"RF-00000119-NTR")</f>
        <v>RF-00000119-NTR</v>
      </c>
    </row>
    <row r="2692" spans="1:2" ht="12.5" x14ac:dyDescent="0.25">
      <c r="A2692" t="str">
        <f ca="1">IFERROR(__xludf.DUMMYFUNCTION("""COMPUTED_VALUE"""),"fatty acid 16:1 iso")</f>
        <v>fatty acid 16:1 iso</v>
      </c>
      <c r="B2692" t="str">
        <f ca="1">IFERROR(__xludf.DUMMYFUNCTION("""COMPUTED_VALUE"""),"RF-00000120-NTR")</f>
        <v>RF-00000120-NTR</v>
      </c>
    </row>
    <row r="2693" spans="1:2" ht="12.5" x14ac:dyDescent="0.25">
      <c r="A2693" t="str">
        <f ca="1">IFERROR(__xludf.DUMMYFUNCTION("""COMPUTED_VALUE"""),"fatty acid 16:1 n-5 cis")</f>
        <v>fatty acid 16:1 n-5 cis</v>
      </c>
      <c r="B2693" t="str">
        <f ca="1">IFERROR(__xludf.DUMMYFUNCTION("""COMPUTED_VALUE"""),"RF-00000121-NTR")</f>
        <v>RF-00000121-NTR</v>
      </c>
    </row>
    <row r="2694" spans="1:2" ht="12.5" x14ac:dyDescent="0.25">
      <c r="A2694" t="str">
        <f ca="1">IFERROR(__xludf.DUMMYFUNCTION("""COMPUTED_VALUE"""),"fatty acid 16:1 n-7 cis (palmitoleic acid)")</f>
        <v>fatty acid 16:1 n-7 cis (palmitoleic acid)</v>
      </c>
      <c r="B2694" t="str">
        <f ca="1">IFERROR(__xludf.DUMMYFUNCTION("""COMPUTED_VALUE"""),"RF-00000122-NTR")</f>
        <v>RF-00000122-NTR</v>
      </c>
    </row>
    <row r="2695" spans="1:2" ht="12.5" x14ac:dyDescent="0.25">
      <c r="A2695" t="str">
        <f ca="1">IFERROR(__xludf.DUMMYFUNCTION("""COMPUTED_VALUE"""),"fatty acid 16:1 n-7 trans")</f>
        <v>fatty acid 16:1 n-7 trans</v>
      </c>
      <c r="B2695" t="str">
        <f ca="1">IFERROR(__xludf.DUMMYFUNCTION("""COMPUTED_VALUE"""),"RF-00000123-NTR")</f>
        <v>RF-00000123-NTR</v>
      </c>
    </row>
    <row r="2696" spans="1:2" ht="12.5" x14ac:dyDescent="0.25">
      <c r="A2696" t="str">
        <f ca="1">IFERROR(__xludf.DUMMYFUNCTION("""COMPUTED_VALUE"""),"fatty acid 16:1 n-9 cis")</f>
        <v>fatty acid 16:1 n-9 cis</v>
      </c>
      <c r="B2696" t="str">
        <f ca="1">IFERROR(__xludf.DUMMYFUNCTION("""COMPUTED_VALUE"""),"RF-00000124-NTR")</f>
        <v>RF-00000124-NTR</v>
      </c>
    </row>
    <row r="2697" spans="1:2" ht="12.5" x14ac:dyDescent="0.25">
      <c r="A2697" t="str">
        <f ca="1">IFERROR(__xludf.DUMMYFUNCTION("""COMPUTED_VALUE"""),"fatty acid 16:1 remainder")</f>
        <v>fatty acid 16:1 remainder</v>
      </c>
      <c r="B2697" t="str">
        <f ca="1">IFERROR(__xludf.DUMMYFUNCTION("""COMPUTED_VALUE"""),"RF-00000125-NTR")</f>
        <v>RF-00000125-NTR</v>
      </c>
    </row>
    <row r="2698" spans="1:2" ht="12.5" x14ac:dyDescent="0.25">
      <c r="A2698" t="str">
        <f ca="1">IFERROR(__xludf.DUMMYFUNCTION("""COMPUTED_VALUE"""),"fatty acid 16:1 trans")</f>
        <v>fatty acid 16:1 trans</v>
      </c>
      <c r="B2698" t="str">
        <f ca="1">IFERROR(__xludf.DUMMYFUNCTION("""COMPUTED_VALUE"""),"RF-00000126-NTR")</f>
        <v>RF-00000126-NTR</v>
      </c>
    </row>
    <row r="2699" spans="1:2" ht="12.5" x14ac:dyDescent="0.25">
      <c r="A2699" t="str">
        <f ca="1">IFERROR(__xludf.DUMMYFUNCTION("""COMPUTED_VALUE"""),"fatty acid 16:2")</f>
        <v>fatty acid 16:2</v>
      </c>
      <c r="B2699" t="str">
        <f ca="1">IFERROR(__xludf.DUMMYFUNCTION("""COMPUTED_VALUE"""),"RF-00000127-NTR")</f>
        <v>RF-00000127-NTR</v>
      </c>
    </row>
    <row r="2700" spans="1:2" ht="12.5" x14ac:dyDescent="0.25">
      <c r="A2700" t="str">
        <f ca="1">IFERROR(__xludf.DUMMYFUNCTION("""COMPUTED_VALUE"""),"fatty acid 16:3")</f>
        <v>fatty acid 16:3</v>
      </c>
      <c r="B2700" t="str">
        <f ca="1">IFERROR(__xludf.DUMMYFUNCTION("""COMPUTED_VALUE"""),"RF-00000128-NTR")</f>
        <v>RF-00000128-NTR</v>
      </c>
    </row>
    <row r="2701" spans="1:2" ht="12.5" x14ac:dyDescent="0.25">
      <c r="A2701" t="str">
        <f ca="1">IFERROR(__xludf.DUMMYFUNCTION("""COMPUTED_VALUE"""),"fatty acid 16:4")</f>
        <v>fatty acid 16:4</v>
      </c>
      <c r="B2701" t="str">
        <f ca="1">IFERROR(__xludf.DUMMYFUNCTION("""COMPUTED_VALUE"""),"RF-00000129-NTR")</f>
        <v>RF-00000129-NTR</v>
      </c>
    </row>
    <row r="2702" spans="1:2" ht="12.5" x14ac:dyDescent="0.25">
      <c r="A2702" t="str">
        <f ca="1">IFERROR(__xludf.DUMMYFUNCTION("""COMPUTED_VALUE"""),"fatty acid 16:unidentified")</f>
        <v>fatty acid 16:unidentified</v>
      </c>
      <c r="B2702" t="str">
        <f ca="1">IFERROR(__xludf.DUMMYFUNCTION("""COMPUTED_VALUE"""),"RF-00000130-NTR")</f>
        <v>RF-00000130-NTR</v>
      </c>
    </row>
    <row r="2703" spans="1:2" ht="12.5" x14ac:dyDescent="0.25">
      <c r="A2703" t="str">
        <f ca="1">IFERROR(__xludf.DUMMYFUNCTION("""COMPUTED_VALUE"""),"fatty acid 17:0 (margaric acid)")</f>
        <v>fatty acid 17:0 (margaric acid)</v>
      </c>
      <c r="B2703" t="str">
        <f ca="1">IFERROR(__xludf.DUMMYFUNCTION("""COMPUTED_VALUE"""),"RF-00000131-NTR")</f>
        <v>RF-00000131-NTR</v>
      </c>
    </row>
    <row r="2704" spans="1:2" ht="12.5" x14ac:dyDescent="0.25">
      <c r="A2704" t="str">
        <f ca="1">IFERROR(__xludf.DUMMYFUNCTION("""COMPUTED_VALUE"""),"fatty acid 17:0 anteiso")</f>
        <v>fatty acid 17:0 anteiso</v>
      </c>
      <c r="B2704" t="str">
        <f ca="1">IFERROR(__xludf.DUMMYFUNCTION("""COMPUTED_VALUE"""),"RF-00000132-NTR")</f>
        <v>RF-00000132-NTR</v>
      </c>
    </row>
    <row r="2705" spans="1:2" ht="12.5" x14ac:dyDescent="0.25">
      <c r="A2705" t="str">
        <f ca="1">IFERROR(__xludf.DUMMYFUNCTION("""COMPUTED_VALUE"""),"fatty acid 17:0 iso")</f>
        <v>fatty acid 17:0 iso</v>
      </c>
      <c r="B2705" t="str">
        <f ca="1">IFERROR(__xludf.DUMMYFUNCTION("""COMPUTED_VALUE"""),"RF-00000133-NTR")</f>
        <v>RF-00000133-NTR</v>
      </c>
    </row>
    <row r="2706" spans="1:2" ht="12.5" x14ac:dyDescent="0.25">
      <c r="A2706" t="str">
        <f ca="1">IFERROR(__xludf.DUMMYFUNCTION("""COMPUTED_VALUE"""),"fatty acid 17:1 (heptadecenoic acid)")</f>
        <v>fatty acid 17:1 (heptadecenoic acid)</v>
      </c>
      <c r="B2706" t="str">
        <f ca="1">IFERROR(__xludf.DUMMYFUNCTION("""COMPUTED_VALUE"""),"RF-00000134-NTR")</f>
        <v>RF-00000134-NTR</v>
      </c>
    </row>
    <row r="2707" spans="1:2" ht="12.5" x14ac:dyDescent="0.25">
      <c r="A2707" t="str">
        <f ca="1">IFERROR(__xludf.DUMMYFUNCTION("""COMPUTED_VALUE"""),"fatty acid 17:1 n-8 cis")</f>
        <v>fatty acid 17:1 n-8 cis</v>
      </c>
      <c r="B2707" t="str">
        <f ca="1">IFERROR(__xludf.DUMMYFUNCTION("""COMPUTED_VALUE"""),"RF-00000135-NTR")</f>
        <v>RF-00000135-NTR</v>
      </c>
    </row>
    <row r="2708" spans="1:2" ht="12.5" x14ac:dyDescent="0.25">
      <c r="A2708" t="str">
        <f ca="1">IFERROR(__xludf.DUMMYFUNCTION("""COMPUTED_VALUE"""),"fatty acid 18:0 (stearic acid)")</f>
        <v>fatty acid 18:0 (stearic acid)</v>
      </c>
      <c r="B2708" t="str">
        <f ca="1">IFERROR(__xludf.DUMMYFUNCTION("""COMPUTED_VALUE"""),"RF-00000136-NTR")</f>
        <v>RF-00000136-NTR</v>
      </c>
    </row>
    <row r="2709" spans="1:2" ht="12.5" x14ac:dyDescent="0.25">
      <c r="A2709" t="str">
        <f ca="1">IFERROR(__xludf.DUMMYFUNCTION("""COMPUTED_VALUE"""),"fatty acid 18:0 anteiso")</f>
        <v>fatty acid 18:0 anteiso</v>
      </c>
      <c r="B2709" t="str">
        <f ca="1">IFERROR(__xludf.DUMMYFUNCTION("""COMPUTED_VALUE"""),"RF-00000137-NTR")</f>
        <v>RF-00000137-NTR</v>
      </c>
    </row>
    <row r="2710" spans="1:2" ht="12.5" x14ac:dyDescent="0.25">
      <c r="A2710" t="str">
        <f ca="1">IFERROR(__xludf.DUMMYFUNCTION("""COMPUTED_VALUE"""),"fatty acid 18:0 dihydroxyoctadecanoic acid")</f>
        <v>fatty acid 18:0 dihydroxyoctadecanoic acid</v>
      </c>
      <c r="B2710" t="str">
        <f ca="1">IFERROR(__xludf.DUMMYFUNCTION("""COMPUTED_VALUE"""),"RF-00000138-NTR")</f>
        <v>RF-00000138-NTR</v>
      </c>
    </row>
    <row r="2711" spans="1:2" ht="12.5" x14ac:dyDescent="0.25">
      <c r="A2711" t="str">
        <f ca="1">IFERROR(__xludf.DUMMYFUNCTION("""COMPUTED_VALUE"""),"fatty acid 18:0 iso")</f>
        <v>fatty acid 18:0 iso</v>
      </c>
      <c r="B2711" t="str">
        <f ca="1">IFERROR(__xludf.DUMMYFUNCTION("""COMPUTED_VALUE"""),"RF-00000139-NTR")</f>
        <v>RF-00000139-NTR</v>
      </c>
    </row>
    <row r="2712" spans="1:2" ht="12.5" x14ac:dyDescent="0.25">
      <c r="A2712" t="str">
        <f ca="1">IFERROR(__xludf.DUMMYFUNCTION("""COMPUTED_VALUE"""),"fatty acid 18:1 (octadecenoic acid)")</f>
        <v>fatty acid 18:1 (octadecenoic acid)</v>
      </c>
      <c r="B2712" t="str">
        <f ca="1">IFERROR(__xludf.DUMMYFUNCTION("""COMPUTED_VALUE"""),"RF-00000140-NTR")</f>
        <v>RF-00000140-NTR</v>
      </c>
    </row>
    <row r="2713" spans="1:2" ht="12.5" x14ac:dyDescent="0.25">
      <c r="A2713" t="str">
        <f ca="1">IFERROR(__xludf.DUMMYFUNCTION("""COMPUTED_VALUE"""),"fatty acid 18:1 cis")</f>
        <v>fatty acid 18:1 cis</v>
      </c>
      <c r="B2713" t="str">
        <f ca="1">IFERROR(__xludf.DUMMYFUNCTION("""COMPUTED_VALUE"""),"RF-00000141-NTR")</f>
        <v>RF-00000141-NTR</v>
      </c>
    </row>
    <row r="2714" spans="1:2" ht="12.5" x14ac:dyDescent="0.25">
      <c r="A2714" t="str">
        <f ca="1">IFERROR(__xludf.DUMMYFUNCTION("""COMPUTED_VALUE"""),"fatty acid 18:1 iso")</f>
        <v>fatty acid 18:1 iso</v>
      </c>
      <c r="B2714" t="str">
        <f ca="1">IFERROR(__xludf.DUMMYFUNCTION("""COMPUTED_VALUE"""),"RF-00000142-NTR")</f>
        <v>RF-00000142-NTR</v>
      </c>
    </row>
    <row r="2715" spans="1:2" ht="12.5" x14ac:dyDescent="0.25">
      <c r="A2715" t="str">
        <f ca="1">IFERROR(__xludf.DUMMYFUNCTION("""COMPUTED_VALUE"""),"fatty acid 18:1 n-10 cis")</f>
        <v>fatty acid 18:1 n-10 cis</v>
      </c>
      <c r="B2715" t="str">
        <f ca="1">IFERROR(__xludf.DUMMYFUNCTION("""COMPUTED_VALUE"""),"RF-00000143-NTR")</f>
        <v>RF-00000143-NTR</v>
      </c>
    </row>
    <row r="2716" spans="1:2" ht="12.5" x14ac:dyDescent="0.25">
      <c r="A2716" t="str">
        <f ca="1">IFERROR(__xludf.DUMMYFUNCTION("""COMPUTED_VALUE"""),"fatty acid 18:1 n-10 trans")</f>
        <v>fatty acid 18:1 n-10 trans</v>
      </c>
      <c r="B2716" t="str">
        <f ca="1">IFERROR(__xludf.DUMMYFUNCTION("""COMPUTED_VALUE"""),"RF-00000144-NTR")</f>
        <v>RF-00000144-NTR</v>
      </c>
    </row>
    <row r="2717" spans="1:2" ht="12.5" x14ac:dyDescent="0.25">
      <c r="A2717" t="str">
        <f ca="1">IFERROR(__xludf.DUMMYFUNCTION("""COMPUTED_VALUE"""),"fatty acid 18:1 n-11 cis")</f>
        <v>fatty acid 18:1 n-11 cis</v>
      </c>
      <c r="B2717" t="str">
        <f ca="1">IFERROR(__xludf.DUMMYFUNCTION("""COMPUTED_VALUE"""),"RF-00000145-NTR")</f>
        <v>RF-00000145-NTR</v>
      </c>
    </row>
    <row r="2718" spans="1:2" ht="12.5" x14ac:dyDescent="0.25">
      <c r="A2718" t="str">
        <f ca="1">IFERROR(__xludf.DUMMYFUNCTION("""COMPUTED_VALUE"""),"fatty acid 18:1 n-11 trans")</f>
        <v>fatty acid 18:1 n-11 trans</v>
      </c>
      <c r="B2718" t="str">
        <f ca="1">IFERROR(__xludf.DUMMYFUNCTION("""COMPUTED_VALUE"""),"RF-00000146-NTR")</f>
        <v>RF-00000146-NTR</v>
      </c>
    </row>
    <row r="2719" spans="1:2" ht="12.5" x14ac:dyDescent="0.25">
      <c r="A2719" t="str">
        <f ca="1">IFERROR(__xludf.DUMMYFUNCTION("""COMPUTED_VALUE"""),"fatty acid 18:1 n-12 cis")</f>
        <v>fatty acid 18:1 n-12 cis</v>
      </c>
      <c r="B2719" t="str">
        <f ca="1">IFERROR(__xludf.DUMMYFUNCTION("""COMPUTED_VALUE"""),"RF-00000147-NTR")</f>
        <v>RF-00000147-NTR</v>
      </c>
    </row>
    <row r="2720" spans="1:2" ht="12.5" x14ac:dyDescent="0.25">
      <c r="A2720" t="str">
        <f ca="1">IFERROR(__xludf.DUMMYFUNCTION("""COMPUTED_VALUE"""),"fatty acid 18:1 n-12 trans")</f>
        <v>fatty acid 18:1 n-12 trans</v>
      </c>
      <c r="B2720" t="str">
        <f ca="1">IFERROR(__xludf.DUMMYFUNCTION("""COMPUTED_VALUE"""),"RF-00000148-NTR")</f>
        <v>RF-00000148-NTR</v>
      </c>
    </row>
    <row r="2721" spans="1:2" ht="12.5" x14ac:dyDescent="0.25">
      <c r="A2721" t="str">
        <f ca="1">IFERROR(__xludf.DUMMYFUNCTION("""COMPUTED_VALUE"""),"fatty acid 18:1 n-13 cis")</f>
        <v>fatty acid 18:1 n-13 cis</v>
      </c>
      <c r="B2721" t="str">
        <f ca="1">IFERROR(__xludf.DUMMYFUNCTION("""COMPUTED_VALUE"""),"RF-00000149-NTR")</f>
        <v>RF-00000149-NTR</v>
      </c>
    </row>
    <row r="2722" spans="1:2" ht="12.5" x14ac:dyDescent="0.25">
      <c r="A2722" t="str">
        <f ca="1">IFERROR(__xludf.DUMMYFUNCTION("""COMPUTED_VALUE"""),"fatty acid 18:1 n-2 trans")</f>
        <v>fatty acid 18:1 n-2 trans</v>
      </c>
      <c r="B2722" t="str">
        <f ca="1">IFERROR(__xludf.DUMMYFUNCTION("""COMPUTED_VALUE"""),"RF-00000150-NTR")</f>
        <v>RF-00000150-NTR</v>
      </c>
    </row>
    <row r="2723" spans="1:2" ht="12.5" x14ac:dyDescent="0.25">
      <c r="A2723" t="str">
        <f ca="1">IFERROR(__xludf.DUMMYFUNCTION("""COMPUTED_VALUE"""),"fatty acid 18:1 n-3 cis")</f>
        <v>fatty acid 18:1 n-3 cis</v>
      </c>
      <c r="B2723" t="str">
        <f ca="1">IFERROR(__xludf.DUMMYFUNCTION("""COMPUTED_VALUE"""),"RF-00000151-NTR")</f>
        <v>RF-00000151-NTR</v>
      </c>
    </row>
    <row r="2724" spans="1:2" ht="12.5" x14ac:dyDescent="0.25">
      <c r="A2724" t="str">
        <f ca="1">IFERROR(__xludf.DUMMYFUNCTION("""COMPUTED_VALUE"""),"fatty acid 18:1 n-3 trans")</f>
        <v>fatty acid 18:1 n-3 trans</v>
      </c>
      <c r="B2724" t="str">
        <f ca="1">IFERROR(__xludf.DUMMYFUNCTION("""COMPUTED_VALUE"""),"RF-00000152-NTR")</f>
        <v>RF-00000152-NTR</v>
      </c>
    </row>
    <row r="2725" spans="1:2" ht="12.5" x14ac:dyDescent="0.25">
      <c r="A2725" t="str">
        <f ca="1">IFERROR(__xludf.DUMMYFUNCTION("""COMPUTED_VALUE"""),"fatty acid 18:1 n-4 cis")</f>
        <v>fatty acid 18:1 n-4 cis</v>
      </c>
      <c r="B2725" t="str">
        <f ca="1">IFERROR(__xludf.DUMMYFUNCTION("""COMPUTED_VALUE"""),"RF-00000153-NTR")</f>
        <v>RF-00000153-NTR</v>
      </c>
    </row>
    <row r="2726" spans="1:2" ht="12.5" x14ac:dyDescent="0.25">
      <c r="A2726" t="str">
        <f ca="1">IFERROR(__xludf.DUMMYFUNCTION("""COMPUTED_VALUE"""),"fatty acid 18:1 n-4 trans")</f>
        <v>fatty acid 18:1 n-4 trans</v>
      </c>
      <c r="B2726" t="str">
        <f ca="1">IFERROR(__xludf.DUMMYFUNCTION("""COMPUTED_VALUE"""),"RF-00000154-NTR")</f>
        <v>RF-00000154-NTR</v>
      </c>
    </row>
    <row r="2727" spans="1:2" ht="12.5" x14ac:dyDescent="0.25">
      <c r="A2727" t="str">
        <f ca="1">IFERROR(__xludf.DUMMYFUNCTION("""COMPUTED_VALUE"""),"fatty acid 18:1 n-5 cis")</f>
        <v>fatty acid 18:1 n-5 cis</v>
      </c>
      <c r="B2727" t="str">
        <f ca="1">IFERROR(__xludf.DUMMYFUNCTION("""COMPUTED_VALUE"""),"RF-00000155-NTR")</f>
        <v>RF-00000155-NTR</v>
      </c>
    </row>
    <row r="2728" spans="1:2" ht="12.5" x14ac:dyDescent="0.25">
      <c r="A2728" t="str">
        <f ca="1">IFERROR(__xludf.DUMMYFUNCTION("""COMPUTED_VALUE"""),"fatty acid 18:1 n-5 trans")</f>
        <v>fatty acid 18:1 n-5 trans</v>
      </c>
      <c r="B2728" t="str">
        <f ca="1">IFERROR(__xludf.DUMMYFUNCTION("""COMPUTED_VALUE"""),"RF-00000156-NTR")</f>
        <v>RF-00000156-NTR</v>
      </c>
    </row>
    <row r="2729" spans="1:2" ht="12.5" x14ac:dyDescent="0.25">
      <c r="A2729" t="str">
        <f ca="1">IFERROR(__xludf.DUMMYFUNCTION("""COMPUTED_VALUE"""),"fatty acid 18:1 n-6 cis")</f>
        <v>fatty acid 18:1 n-6 cis</v>
      </c>
      <c r="B2729" t="str">
        <f ca="1">IFERROR(__xludf.DUMMYFUNCTION("""COMPUTED_VALUE"""),"RF-00000157-NTR")</f>
        <v>RF-00000157-NTR</v>
      </c>
    </row>
    <row r="2730" spans="1:2" ht="12.5" x14ac:dyDescent="0.25">
      <c r="A2730" t="str">
        <f ca="1">IFERROR(__xludf.DUMMYFUNCTION("""COMPUTED_VALUE"""),"fatty acid 18:1 n-6 trans")</f>
        <v>fatty acid 18:1 n-6 trans</v>
      </c>
      <c r="B2730" t="str">
        <f ca="1">IFERROR(__xludf.DUMMYFUNCTION("""COMPUTED_VALUE"""),"RF-00000158-NTR")</f>
        <v>RF-00000158-NTR</v>
      </c>
    </row>
    <row r="2731" spans="1:2" ht="12.5" x14ac:dyDescent="0.25">
      <c r="A2731" t="str">
        <f ca="1">IFERROR(__xludf.DUMMYFUNCTION("""COMPUTED_VALUE"""),"fatty acid 18:1 n-7 cis")</f>
        <v>fatty acid 18:1 n-7 cis</v>
      </c>
      <c r="B2731" t="str">
        <f ca="1">IFERROR(__xludf.DUMMYFUNCTION("""COMPUTED_VALUE"""),"RF-00000159-NTR")</f>
        <v>RF-00000159-NTR</v>
      </c>
    </row>
    <row r="2732" spans="1:2" ht="12.5" x14ac:dyDescent="0.25">
      <c r="A2732" t="str">
        <f ca="1">IFERROR(__xludf.DUMMYFUNCTION("""COMPUTED_VALUE"""),"fatty acid 18:1 n-7 trans")</f>
        <v>fatty acid 18:1 n-7 trans</v>
      </c>
      <c r="B2732" t="str">
        <f ca="1">IFERROR(__xludf.DUMMYFUNCTION("""COMPUTED_VALUE"""),"RF-00000160-NTR")</f>
        <v>RF-00000160-NTR</v>
      </c>
    </row>
    <row r="2733" spans="1:2" ht="12.5" x14ac:dyDescent="0.25">
      <c r="A2733" t="str">
        <f ca="1">IFERROR(__xludf.DUMMYFUNCTION("""COMPUTED_VALUE"""),"fatty acid 18:1 n-8 cis")</f>
        <v>fatty acid 18:1 n-8 cis</v>
      </c>
      <c r="B2733" t="str">
        <f ca="1">IFERROR(__xludf.DUMMYFUNCTION("""COMPUTED_VALUE"""),"RF-00000161-NTR")</f>
        <v>RF-00000161-NTR</v>
      </c>
    </row>
    <row r="2734" spans="1:2" ht="12.5" x14ac:dyDescent="0.25">
      <c r="A2734" t="str">
        <f ca="1">IFERROR(__xludf.DUMMYFUNCTION("""COMPUTED_VALUE"""),"fatty acid 18:1 n-8 trans")</f>
        <v>fatty acid 18:1 n-8 trans</v>
      </c>
      <c r="B2734" t="str">
        <f ca="1">IFERROR(__xludf.DUMMYFUNCTION("""COMPUTED_VALUE"""),"RF-00000162-NTR")</f>
        <v>RF-00000162-NTR</v>
      </c>
    </row>
    <row r="2735" spans="1:2" ht="12.5" x14ac:dyDescent="0.25">
      <c r="A2735" t="str">
        <f ca="1">IFERROR(__xludf.DUMMYFUNCTION("""COMPUTED_VALUE"""),"fatty acid 18:1 n-9 cis (oleic acid)")</f>
        <v>fatty acid 18:1 n-9 cis (oleic acid)</v>
      </c>
      <c r="B2735" t="str">
        <f ca="1">IFERROR(__xludf.DUMMYFUNCTION("""COMPUTED_VALUE"""),"RF-00000163-NTR")</f>
        <v>RF-00000163-NTR</v>
      </c>
    </row>
    <row r="2736" spans="1:2" ht="12.5" x14ac:dyDescent="0.25">
      <c r="A2736" t="str">
        <f ca="1">IFERROR(__xludf.DUMMYFUNCTION("""COMPUTED_VALUE"""),"fatty acid 18:1 OH n-7 (ricinoleic acid)")</f>
        <v>fatty acid 18:1 OH n-7 (ricinoleic acid)</v>
      </c>
      <c r="B2736" t="str">
        <f ca="1">IFERROR(__xludf.DUMMYFUNCTION("""COMPUTED_VALUE"""),"RF-00000164-NTR")</f>
        <v>RF-00000164-NTR</v>
      </c>
    </row>
    <row r="2737" spans="1:2" ht="12.5" x14ac:dyDescent="0.25">
      <c r="A2737" t="str">
        <f ca="1">IFERROR(__xludf.DUMMYFUNCTION("""COMPUTED_VALUE"""),"fatty acid 18:1 remainder")</f>
        <v>fatty acid 18:1 remainder</v>
      </c>
      <c r="B2737" t="str">
        <f ca="1">IFERROR(__xludf.DUMMYFUNCTION("""COMPUTED_VALUE"""),"RF-00000165-NTR")</f>
        <v>RF-00000165-NTR</v>
      </c>
    </row>
    <row r="2738" spans="1:2" ht="12.5" x14ac:dyDescent="0.25">
      <c r="A2738" t="str">
        <f ca="1">IFERROR(__xludf.DUMMYFUNCTION("""COMPUTED_VALUE"""),"fatty acid 18:1 total trans")</f>
        <v>fatty acid 18:1 total trans</v>
      </c>
      <c r="B2738" t="str">
        <f ca="1">IFERROR(__xludf.DUMMYFUNCTION("""COMPUTED_VALUE"""),"RF-00000166-NTR")</f>
        <v>RF-00000166-NTR</v>
      </c>
    </row>
    <row r="2739" spans="1:2" ht="12.5" x14ac:dyDescent="0.25">
      <c r="A2739" t="str">
        <f ca="1">IFERROR(__xludf.DUMMYFUNCTION("""COMPUTED_VALUE"""),"fatty acid 18:1 trans n-9 (elaidic acid)")</f>
        <v>fatty acid 18:1 trans n-9 (elaidic acid)</v>
      </c>
      <c r="B2739" t="str">
        <f ca="1">IFERROR(__xludf.DUMMYFUNCTION("""COMPUTED_VALUE"""),"RF-00000167-NTR")</f>
        <v>RF-00000167-NTR</v>
      </c>
    </row>
    <row r="2740" spans="1:2" ht="12.5" x14ac:dyDescent="0.25">
      <c r="A2740" t="str">
        <f ca="1">IFERROR(__xludf.DUMMYFUNCTION("""COMPUTED_VALUE"""),"fatty acid 18:2")</f>
        <v>fatty acid 18:2</v>
      </c>
      <c r="B2740" t="str">
        <f ca="1">IFERROR(__xludf.DUMMYFUNCTION("""COMPUTED_VALUE"""),"RF-00000168-NTR")</f>
        <v>RF-00000168-NTR</v>
      </c>
    </row>
    <row r="2741" spans="1:2" ht="12.5" x14ac:dyDescent="0.25">
      <c r="A2741" t="str">
        <f ca="1">IFERROR(__xludf.DUMMYFUNCTION("""COMPUTED_VALUE"""),"fatty acid 18:2 cis + trans")</f>
        <v>fatty acid 18:2 cis + trans</v>
      </c>
      <c r="B2741" t="str">
        <f ca="1">IFERROR(__xludf.DUMMYFUNCTION("""COMPUTED_VALUE"""),"RF-00000169-NTR")</f>
        <v>RF-00000169-NTR</v>
      </c>
    </row>
    <row r="2742" spans="1:2" ht="12.5" x14ac:dyDescent="0.25">
      <c r="A2742" t="str">
        <f ca="1">IFERROR(__xludf.DUMMYFUNCTION("""COMPUTED_VALUE"""),"fatty acid 18:2 cis,cis n-6")</f>
        <v>fatty acid 18:2 cis,cis n-6</v>
      </c>
      <c r="B2742" t="str">
        <f ca="1">IFERROR(__xludf.DUMMYFUNCTION("""COMPUTED_VALUE"""),"RF-00000170-NTR")</f>
        <v>RF-00000170-NTR</v>
      </c>
    </row>
    <row r="2743" spans="1:2" ht="12.5" x14ac:dyDescent="0.25">
      <c r="A2743" t="str">
        <f ca="1">IFERROR(__xludf.DUMMYFUNCTION("""COMPUTED_VALUE"""),"fatty acid 18:2 conjugated")</f>
        <v>fatty acid 18:2 conjugated</v>
      </c>
      <c r="B2743" t="str">
        <f ca="1">IFERROR(__xludf.DUMMYFUNCTION("""COMPUTED_VALUE"""),"RF-00000171-NTR")</f>
        <v>RF-00000171-NTR</v>
      </c>
    </row>
    <row r="2744" spans="1:2" ht="12.5" x14ac:dyDescent="0.25">
      <c r="A2744" t="str">
        <f ca="1">IFERROR(__xludf.DUMMYFUNCTION("""COMPUTED_VALUE"""),"fatty acid 18:2 iso")</f>
        <v>fatty acid 18:2 iso</v>
      </c>
      <c r="B2744" t="str">
        <f ca="1">IFERROR(__xludf.DUMMYFUNCTION("""COMPUTED_VALUE"""),"RF-00000172-NTR")</f>
        <v>RF-00000172-NTR</v>
      </c>
    </row>
    <row r="2745" spans="1:2" ht="12.5" x14ac:dyDescent="0.25">
      <c r="A2745" t="str">
        <f ca="1">IFERROR(__xludf.DUMMYFUNCTION("""COMPUTED_VALUE"""),"fatty acid 18:2 n-6 trans,trans")</f>
        <v>fatty acid 18:2 n-6 trans,trans</v>
      </c>
      <c r="B2745" t="str">
        <f ca="1">IFERROR(__xludf.DUMMYFUNCTION("""COMPUTED_VALUE"""),"RF-00000173-NTR")</f>
        <v>RF-00000173-NTR</v>
      </c>
    </row>
    <row r="2746" spans="1:2" ht="12.5" x14ac:dyDescent="0.25">
      <c r="A2746" t="str">
        <f ca="1">IFERROR(__xludf.DUMMYFUNCTION("""COMPUTED_VALUE"""),"fatty acid 18:2 n-9 cis")</f>
        <v>fatty acid 18:2 n-9 cis</v>
      </c>
      <c r="B2746" t="str">
        <f ca="1">IFERROR(__xludf.DUMMYFUNCTION("""COMPUTED_VALUE"""),"RF-00000174-NTR")</f>
        <v>RF-00000174-NTR</v>
      </c>
    </row>
    <row r="2747" spans="1:2" ht="12.5" x14ac:dyDescent="0.25">
      <c r="A2747" t="str">
        <f ca="1">IFERROR(__xludf.DUMMYFUNCTION("""COMPUTED_VALUE"""),"fatty acid 18:2 remainder")</f>
        <v>fatty acid 18:2 remainder</v>
      </c>
      <c r="B2747" t="str">
        <f ca="1">IFERROR(__xludf.DUMMYFUNCTION("""COMPUTED_VALUE"""),"RF-00000175-NTR")</f>
        <v>RF-00000175-NTR</v>
      </c>
    </row>
    <row r="2748" spans="1:2" ht="12.5" x14ac:dyDescent="0.25">
      <c r="A2748" t="str">
        <f ca="1">IFERROR(__xludf.DUMMYFUNCTION("""COMPUTED_VALUE"""),"fatty acid 18:2 trans")</f>
        <v>fatty acid 18:2 trans</v>
      </c>
      <c r="B2748" t="str">
        <f ca="1">IFERROR(__xludf.DUMMYFUNCTION("""COMPUTED_VALUE"""),"RF-00000176-NTR")</f>
        <v>RF-00000176-NTR</v>
      </c>
    </row>
    <row r="2749" spans="1:2" ht="12.5" x14ac:dyDescent="0.25">
      <c r="A2749" t="str">
        <f ca="1">IFERROR(__xludf.DUMMYFUNCTION("""COMPUTED_VALUE"""),"fatty acid 18:2 trans + cis")</f>
        <v>fatty acid 18:2 trans + cis</v>
      </c>
      <c r="B2749" t="str">
        <f ca="1">IFERROR(__xludf.DUMMYFUNCTION("""COMPUTED_VALUE"""),"RF-00000177-NTR")</f>
        <v>RF-00000177-NTR</v>
      </c>
    </row>
    <row r="2750" spans="1:2" ht="12.5" x14ac:dyDescent="0.25">
      <c r="A2750" t="str">
        <f ca="1">IFERROR(__xludf.DUMMYFUNCTION("""COMPUTED_VALUE"""),"fatty acid 18:3")</f>
        <v>fatty acid 18:3</v>
      </c>
      <c r="B2750" t="str">
        <f ca="1">IFERROR(__xludf.DUMMYFUNCTION("""COMPUTED_VALUE"""),"RF-00000178-NTR")</f>
        <v>RF-00000178-NTR</v>
      </c>
    </row>
    <row r="2751" spans="1:2" ht="12.5" x14ac:dyDescent="0.25">
      <c r="A2751" t="str">
        <f ca="1">IFERROR(__xludf.DUMMYFUNCTION("""COMPUTED_VALUE"""),"fatty acid 18:3 cis,cis,cis n-3")</f>
        <v>fatty acid 18:3 cis,cis,cis n-3</v>
      </c>
      <c r="B2751" t="str">
        <f ca="1">IFERROR(__xludf.DUMMYFUNCTION("""COMPUTED_VALUE"""),"RF-00000179-NTR")</f>
        <v>RF-00000179-NTR</v>
      </c>
    </row>
    <row r="2752" spans="1:2" ht="12.5" x14ac:dyDescent="0.25">
      <c r="A2752" t="str">
        <f ca="1">IFERROR(__xludf.DUMMYFUNCTION("""COMPUTED_VALUE"""),"fatty acid 18:3 n-3 cis")</f>
        <v>fatty acid 18:3 n-3 cis</v>
      </c>
      <c r="B2752" t="str">
        <f ca="1">IFERROR(__xludf.DUMMYFUNCTION("""COMPUTED_VALUE"""),"RF-00000180-NTR")</f>
        <v>RF-00000180-NTR</v>
      </c>
    </row>
    <row r="2753" spans="1:2" ht="12.5" x14ac:dyDescent="0.25">
      <c r="A2753" t="str">
        <f ca="1">IFERROR(__xludf.DUMMYFUNCTION("""COMPUTED_VALUE"""),"fatty acid 18:3 n-3 trans,trans,trans")</f>
        <v>fatty acid 18:3 n-3 trans,trans,trans</v>
      </c>
      <c r="B2753" t="str">
        <f ca="1">IFERROR(__xludf.DUMMYFUNCTION("""COMPUTED_VALUE"""),"RF-00000181-NTR")</f>
        <v>RF-00000181-NTR</v>
      </c>
    </row>
    <row r="2754" spans="1:2" ht="12.5" x14ac:dyDescent="0.25">
      <c r="A2754" t="str">
        <f ca="1">IFERROR(__xludf.DUMMYFUNCTION("""COMPUTED_VALUE"""),"fatty acid 18:3 n-6 (gamma-linolenic acid)")</f>
        <v>fatty acid 18:3 n-6 (gamma-linolenic acid)</v>
      </c>
      <c r="B2754" t="str">
        <f ca="1">IFERROR(__xludf.DUMMYFUNCTION("""COMPUTED_VALUE"""),"RF-00000182-NTR")</f>
        <v>RF-00000182-NTR</v>
      </c>
    </row>
    <row r="2755" spans="1:2" ht="12.5" x14ac:dyDescent="0.25">
      <c r="A2755" t="str">
        <f ca="1">IFERROR(__xludf.DUMMYFUNCTION("""COMPUTED_VALUE"""),"fatty acid 18:3 n-6 cis")</f>
        <v>fatty acid 18:3 n-6 cis</v>
      </c>
      <c r="B2755" t="str">
        <f ca="1">IFERROR(__xludf.DUMMYFUNCTION("""COMPUTED_VALUE"""),"RF-00000183-NTR")</f>
        <v>RF-00000183-NTR</v>
      </c>
    </row>
    <row r="2756" spans="1:2" ht="12.5" x14ac:dyDescent="0.25">
      <c r="A2756" t="str">
        <f ca="1">IFERROR(__xludf.DUMMYFUNCTION("""COMPUTED_VALUE"""),"fatty acid 18:4 (stearidonic acid)")</f>
        <v>fatty acid 18:4 (stearidonic acid)</v>
      </c>
      <c r="B2756" t="str">
        <f ca="1">IFERROR(__xludf.DUMMYFUNCTION("""COMPUTED_VALUE"""),"RF-00000184-NTR")</f>
        <v>RF-00000184-NTR</v>
      </c>
    </row>
    <row r="2757" spans="1:2" ht="12.5" x14ac:dyDescent="0.25">
      <c r="A2757" t="str">
        <f ca="1">IFERROR(__xludf.DUMMYFUNCTION("""COMPUTED_VALUE"""),"fatty acid 18:4 n-3 (parinaric acid)")</f>
        <v>fatty acid 18:4 n-3 (parinaric acid)</v>
      </c>
      <c r="B2757" t="str">
        <f ca="1">IFERROR(__xludf.DUMMYFUNCTION("""COMPUTED_VALUE"""),"RF-00000185-NTR")</f>
        <v>RF-00000185-NTR</v>
      </c>
    </row>
    <row r="2758" spans="1:2" ht="12.5" x14ac:dyDescent="0.25">
      <c r="A2758" t="str">
        <f ca="1">IFERROR(__xludf.DUMMYFUNCTION("""COMPUTED_VALUE"""),"fatty acid 18:4 n-3 cis")</f>
        <v>fatty acid 18:4 n-3 cis</v>
      </c>
      <c r="B2758" t="str">
        <f ca="1">IFERROR(__xludf.DUMMYFUNCTION("""COMPUTED_VALUE"""),"RF-00000186-NTR")</f>
        <v>RF-00000186-NTR</v>
      </c>
    </row>
    <row r="2759" spans="1:2" ht="12.5" x14ac:dyDescent="0.25">
      <c r="A2759" t="str">
        <f ca="1">IFERROR(__xludf.DUMMYFUNCTION("""COMPUTED_VALUE"""),"fatty acid 19:0")</f>
        <v>fatty acid 19:0</v>
      </c>
      <c r="B2759" t="str">
        <f ca="1">IFERROR(__xludf.DUMMYFUNCTION("""COMPUTED_VALUE"""),"RF-00000187-NTR")</f>
        <v>RF-00000187-NTR</v>
      </c>
    </row>
    <row r="2760" spans="1:2" ht="12.5" x14ac:dyDescent="0.25">
      <c r="A2760" t="str">
        <f ca="1">IFERROR(__xludf.DUMMYFUNCTION("""COMPUTED_VALUE"""),"fatty acid 20:0 (arachidic acid)")</f>
        <v>fatty acid 20:0 (arachidic acid)</v>
      </c>
      <c r="B2760" t="str">
        <f ca="1">IFERROR(__xludf.DUMMYFUNCTION("""COMPUTED_VALUE"""),"RF-00000188-NTR")</f>
        <v>RF-00000188-NTR</v>
      </c>
    </row>
    <row r="2761" spans="1:2" ht="12.5" x14ac:dyDescent="0.25">
      <c r="A2761" t="str">
        <f ca="1">IFERROR(__xludf.DUMMYFUNCTION("""COMPUTED_VALUE"""),"fatty acid 20:0 iso")</f>
        <v>fatty acid 20:0 iso</v>
      </c>
      <c r="B2761" t="str">
        <f ca="1">IFERROR(__xludf.DUMMYFUNCTION("""COMPUTED_VALUE"""),"RF-00000189-NTR")</f>
        <v>RF-00000189-NTR</v>
      </c>
    </row>
    <row r="2762" spans="1:2" ht="12.5" x14ac:dyDescent="0.25">
      <c r="A2762" t="str">
        <f ca="1">IFERROR(__xludf.DUMMYFUNCTION("""COMPUTED_VALUE"""),"fatty acid 20:1 (eicosenoic acid)")</f>
        <v>fatty acid 20:1 (eicosenoic acid)</v>
      </c>
      <c r="B2762" t="str">
        <f ca="1">IFERROR(__xludf.DUMMYFUNCTION("""COMPUTED_VALUE"""),"RF-00000190-NTR")</f>
        <v>RF-00000190-NTR</v>
      </c>
    </row>
    <row r="2763" spans="1:2" ht="12.5" x14ac:dyDescent="0.25">
      <c r="A2763" t="str">
        <f ca="1">IFERROR(__xludf.DUMMYFUNCTION("""COMPUTED_VALUE"""),"fatty acid 20:1 cis")</f>
        <v>fatty acid 20:1 cis</v>
      </c>
      <c r="B2763" t="str">
        <f ca="1">IFERROR(__xludf.DUMMYFUNCTION("""COMPUTED_VALUE"""),"RF-00000191-NTR")</f>
        <v>RF-00000191-NTR</v>
      </c>
    </row>
    <row r="2764" spans="1:2" ht="12.5" x14ac:dyDescent="0.25">
      <c r="A2764" t="str">
        <f ca="1">IFERROR(__xludf.DUMMYFUNCTION("""COMPUTED_VALUE"""),"fatty acid 20:1 n-11 cis")</f>
        <v>fatty acid 20:1 n-11 cis</v>
      </c>
      <c r="B2764" t="str">
        <f ca="1">IFERROR(__xludf.DUMMYFUNCTION("""COMPUTED_VALUE"""),"RF-00000192-NTR")</f>
        <v>RF-00000192-NTR</v>
      </c>
    </row>
    <row r="2765" spans="1:2" ht="12.5" x14ac:dyDescent="0.25">
      <c r="A2765" t="str">
        <f ca="1">IFERROR(__xludf.DUMMYFUNCTION("""COMPUTED_VALUE"""),"fatty acid 20:1 n-11 trans")</f>
        <v>fatty acid 20:1 n-11 trans</v>
      </c>
      <c r="B2765" t="str">
        <f ca="1">IFERROR(__xludf.DUMMYFUNCTION("""COMPUTED_VALUE"""),"RF-00000193-NTR")</f>
        <v>RF-00000193-NTR</v>
      </c>
    </row>
    <row r="2766" spans="1:2" ht="12.5" x14ac:dyDescent="0.25">
      <c r="A2766" t="str">
        <f ca="1">IFERROR(__xludf.DUMMYFUNCTION("""COMPUTED_VALUE"""),"fatty acid 20:1 n-9 cis")</f>
        <v>fatty acid 20:1 n-9 cis</v>
      </c>
      <c r="B2766" t="str">
        <f ca="1">IFERROR(__xludf.DUMMYFUNCTION("""COMPUTED_VALUE"""),"RF-00000194-NTR")</f>
        <v>RF-00000194-NTR</v>
      </c>
    </row>
    <row r="2767" spans="1:2" ht="12.5" x14ac:dyDescent="0.25">
      <c r="A2767" t="str">
        <f ca="1">IFERROR(__xludf.DUMMYFUNCTION("""COMPUTED_VALUE"""),"fatty acid 20:1 n-9 trans")</f>
        <v>fatty acid 20:1 n-9 trans</v>
      </c>
      <c r="B2767" t="str">
        <f ca="1">IFERROR(__xludf.DUMMYFUNCTION("""COMPUTED_VALUE"""),"RF-00000195-NTR")</f>
        <v>RF-00000195-NTR</v>
      </c>
    </row>
    <row r="2768" spans="1:2" ht="12.5" x14ac:dyDescent="0.25">
      <c r="A2768" t="str">
        <f ca="1">IFERROR(__xludf.DUMMYFUNCTION("""COMPUTED_VALUE"""),"fatty acid 20:1 trans")</f>
        <v>fatty acid 20:1 trans</v>
      </c>
      <c r="B2768" t="str">
        <f ca="1">IFERROR(__xludf.DUMMYFUNCTION("""COMPUTED_VALUE"""),"RF-00000196-NTR")</f>
        <v>RF-00000196-NTR</v>
      </c>
    </row>
    <row r="2769" spans="1:2" ht="12.5" x14ac:dyDescent="0.25">
      <c r="A2769" t="str">
        <f ca="1">IFERROR(__xludf.DUMMYFUNCTION("""COMPUTED_VALUE"""),"fatty acid 20:2 (eicosadienoic acid)")</f>
        <v>fatty acid 20:2 (eicosadienoic acid)</v>
      </c>
      <c r="B2769" t="str">
        <f ca="1">IFERROR(__xludf.DUMMYFUNCTION("""COMPUTED_VALUE"""),"RF-00000197-NTR")</f>
        <v>RF-00000197-NTR</v>
      </c>
    </row>
    <row r="2770" spans="1:2" ht="12.5" x14ac:dyDescent="0.25">
      <c r="A2770" t="str">
        <f ca="1">IFERROR(__xludf.DUMMYFUNCTION("""COMPUTED_VALUE"""),"fatty acid 20:2 n-6")</f>
        <v>fatty acid 20:2 n-6</v>
      </c>
      <c r="B2770" t="str">
        <f ca="1">IFERROR(__xludf.DUMMYFUNCTION("""COMPUTED_VALUE"""),"RF-00000198-NTR")</f>
        <v>RF-00000198-NTR</v>
      </c>
    </row>
    <row r="2771" spans="1:2" ht="12.5" x14ac:dyDescent="0.25">
      <c r="A2771" t="str">
        <f ca="1">IFERROR(__xludf.DUMMYFUNCTION("""COMPUTED_VALUE"""),"fatty acid 20:2 n-6 cis")</f>
        <v>fatty acid 20:2 n-6 cis</v>
      </c>
      <c r="B2771" t="str">
        <f ca="1">IFERROR(__xludf.DUMMYFUNCTION("""COMPUTED_VALUE"""),"RF-00000199-NTR")</f>
        <v>RF-00000199-NTR</v>
      </c>
    </row>
    <row r="2772" spans="1:2" ht="12.5" x14ac:dyDescent="0.25">
      <c r="A2772" t="str">
        <f ca="1">IFERROR(__xludf.DUMMYFUNCTION("""COMPUTED_VALUE"""),"fatty acid 20:3 (eicosatrienoic acid)")</f>
        <v>fatty acid 20:3 (eicosatrienoic acid)</v>
      </c>
      <c r="B2772" t="str">
        <f ca="1">IFERROR(__xludf.DUMMYFUNCTION("""COMPUTED_VALUE"""),"RF-00000200-NTR")</f>
        <v>RF-00000200-NTR</v>
      </c>
    </row>
    <row r="2773" spans="1:2" ht="12.5" x14ac:dyDescent="0.25">
      <c r="A2773" t="str">
        <f ca="1">IFERROR(__xludf.DUMMYFUNCTION("""COMPUTED_VALUE"""),"fatty acid 20:3 n-3")</f>
        <v>fatty acid 20:3 n-3</v>
      </c>
      <c r="B2773" t="str">
        <f ca="1">IFERROR(__xludf.DUMMYFUNCTION("""COMPUTED_VALUE"""),"RF-00000201-NTR")</f>
        <v>RF-00000201-NTR</v>
      </c>
    </row>
    <row r="2774" spans="1:2" ht="12.5" x14ac:dyDescent="0.25">
      <c r="A2774" t="str">
        <f ca="1">IFERROR(__xludf.DUMMYFUNCTION("""COMPUTED_VALUE"""),"fatty acid 20:3 n-3 cis")</f>
        <v>fatty acid 20:3 n-3 cis</v>
      </c>
      <c r="B2774" t="str">
        <f ca="1">IFERROR(__xludf.DUMMYFUNCTION("""COMPUTED_VALUE"""),"RF-00000202-NTR")</f>
        <v>RF-00000202-NTR</v>
      </c>
    </row>
    <row r="2775" spans="1:2" ht="12.5" x14ac:dyDescent="0.25">
      <c r="A2775" t="str">
        <f ca="1">IFERROR(__xludf.DUMMYFUNCTION("""COMPUTED_VALUE"""),"fatty acid 20:3 n-6")</f>
        <v>fatty acid 20:3 n-6</v>
      </c>
      <c r="B2775" t="str">
        <f ca="1">IFERROR(__xludf.DUMMYFUNCTION("""COMPUTED_VALUE"""),"RF-00000203-NTR")</f>
        <v>RF-00000203-NTR</v>
      </c>
    </row>
    <row r="2776" spans="1:2" ht="12.5" x14ac:dyDescent="0.25">
      <c r="A2776" t="str">
        <f ca="1">IFERROR(__xludf.DUMMYFUNCTION("""COMPUTED_VALUE"""),"fatty acid 20:3 n-6 cis")</f>
        <v>fatty acid 20:3 n-6 cis</v>
      </c>
      <c r="B2776" t="str">
        <f ca="1">IFERROR(__xludf.DUMMYFUNCTION("""COMPUTED_VALUE"""),"RF-00000204-NTR")</f>
        <v>RF-00000204-NTR</v>
      </c>
    </row>
    <row r="2777" spans="1:2" ht="12.5" x14ac:dyDescent="0.25">
      <c r="A2777" t="str">
        <f ca="1">IFERROR(__xludf.DUMMYFUNCTION("""COMPUTED_VALUE"""),"fatty acid 20:3 n-9 cis")</f>
        <v>fatty acid 20:3 n-9 cis</v>
      </c>
      <c r="B2777" t="str">
        <f ca="1">IFERROR(__xludf.DUMMYFUNCTION("""COMPUTED_VALUE"""),"RF-00000205-NTR")</f>
        <v>RF-00000205-NTR</v>
      </c>
    </row>
    <row r="2778" spans="1:2" ht="12.5" x14ac:dyDescent="0.25">
      <c r="A2778" t="str">
        <f ca="1">IFERROR(__xludf.DUMMYFUNCTION("""COMPUTED_VALUE"""),"fatty acid 20:4 (eicosatetraenoic acid)")</f>
        <v>fatty acid 20:4 (eicosatetraenoic acid)</v>
      </c>
      <c r="B2778" t="str">
        <f ca="1">IFERROR(__xludf.DUMMYFUNCTION("""COMPUTED_VALUE"""),"RF-00000206-NTR")</f>
        <v>RF-00000206-NTR</v>
      </c>
    </row>
    <row r="2779" spans="1:2" ht="12.5" x14ac:dyDescent="0.25">
      <c r="A2779" t="str">
        <f ca="1">IFERROR(__xludf.DUMMYFUNCTION("""COMPUTED_VALUE"""),"fatty acid 20:4 n-3")</f>
        <v>fatty acid 20:4 n-3</v>
      </c>
      <c r="B2779" t="str">
        <f ca="1">IFERROR(__xludf.DUMMYFUNCTION("""COMPUTED_VALUE"""),"RF-00000207-NTR")</f>
        <v>RF-00000207-NTR</v>
      </c>
    </row>
    <row r="2780" spans="1:2" ht="12.5" x14ac:dyDescent="0.25">
      <c r="A2780" t="str">
        <f ca="1">IFERROR(__xludf.DUMMYFUNCTION("""COMPUTED_VALUE"""),"fatty acid 20:4 n-6 (arachidonic acid)")</f>
        <v>fatty acid 20:4 n-6 (arachidonic acid)</v>
      </c>
      <c r="B2780" t="str">
        <f ca="1">IFERROR(__xludf.DUMMYFUNCTION("""COMPUTED_VALUE"""),"RF-00000208-NTR")</f>
        <v>RF-00000208-NTR</v>
      </c>
    </row>
    <row r="2781" spans="1:2" ht="12.5" x14ac:dyDescent="0.25">
      <c r="A2781" t="str">
        <f ca="1">IFERROR(__xludf.DUMMYFUNCTION("""COMPUTED_VALUE"""),"fatty acid 20:4 n-6 cis")</f>
        <v>fatty acid 20:4 n-6 cis</v>
      </c>
      <c r="B2781" t="str">
        <f ca="1">IFERROR(__xludf.DUMMYFUNCTION("""COMPUTED_VALUE"""),"RF-00000209-NTR")</f>
        <v>RF-00000209-NTR</v>
      </c>
    </row>
    <row r="2782" spans="1:2" ht="12.5" x14ac:dyDescent="0.25">
      <c r="A2782" t="str">
        <f ca="1">IFERROR(__xludf.DUMMYFUNCTION("""COMPUTED_VALUE"""),"fatty acid 20:5 (eicopentaenoic acid)")</f>
        <v>fatty acid 20:5 (eicopentaenoic acid)</v>
      </c>
      <c r="B2782" t="str">
        <f ca="1">IFERROR(__xludf.DUMMYFUNCTION("""COMPUTED_VALUE"""),"RF-00000210-NTR")</f>
        <v>RF-00000210-NTR</v>
      </c>
    </row>
    <row r="2783" spans="1:2" ht="12.5" x14ac:dyDescent="0.25">
      <c r="A2783" t="str">
        <f ca="1">IFERROR(__xludf.DUMMYFUNCTION("""COMPUTED_VALUE"""),"fatty acid 20:5 n-3 (timnodonic acid)")</f>
        <v>fatty acid 20:5 n-3 (timnodonic acid)</v>
      </c>
      <c r="B2783" t="str">
        <f ca="1">IFERROR(__xludf.DUMMYFUNCTION("""COMPUTED_VALUE"""),"RF-00000211-NTR")</f>
        <v>RF-00000211-NTR</v>
      </c>
    </row>
    <row r="2784" spans="1:2" ht="12.5" x14ac:dyDescent="0.25">
      <c r="A2784" t="str">
        <f ca="1">IFERROR(__xludf.DUMMYFUNCTION("""COMPUTED_VALUE"""),"fatty acid 20:5 n-3 cis")</f>
        <v>fatty acid 20:5 n-3 cis</v>
      </c>
      <c r="B2784" t="str">
        <f ca="1">IFERROR(__xludf.DUMMYFUNCTION("""COMPUTED_VALUE"""),"RF-00000212-NTR")</f>
        <v>RF-00000212-NTR</v>
      </c>
    </row>
    <row r="2785" spans="1:2" ht="12.5" x14ac:dyDescent="0.25">
      <c r="A2785" t="str">
        <f ca="1">IFERROR(__xludf.DUMMYFUNCTION("""COMPUTED_VALUE"""),"fatty acid 20:5 n-6")</f>
        <v>fatty acid 20:5 n-6</v>
      </c>
      <c r="B2785" t="str">
        <f ca="1">IFERROR(__xludf.DUMMYFUNCTION("""COMPUTED_VALUE"""),"RF-00000213-NTR")</f>
        <v>RF-00000213-NTR</v>
      </c>
    </row>
    <row r="2786" spans="1:2" ht="12.5" x14ac:dyDescent="0.25">
      <c r="A2786" t="str">
        <f ca="1">IFERROR(__xludf.DUMMYFUNCTION("""COMPUTED_VALUE"""),"fatty acid 21:0")</f>
        <v>fatty acid 21:0</v>
      </c>
      <c r="B2786" t="str">
        <f ca="1">IFERROR(__xludf.DUMMYFUNCTION("""COMPUTED_VALUE"""),"RF-00000214-NTR")</f>
        <v>RF-00000214-NTR</v>
      </c>
    </row>
    <row r="2787" spans="1:2" ht="12.5" x14ac:dyDescent="0.25">
      <c r="A2787" t="str">
        <f ca="1">IFERROR(__xludf.DUMMYFUNCTION("""COMPUTED_VALUE"""),"fatty acid 21:5 (heneicosapentaenoic acid)")</f>
        <v>fatty acid 21:5 (heneicosapentaenoic acid)</v>
      </c>
      <c r="B2787" t="str">
        <f ca="1">IFERROR(__xludf.DUMMYFUNCTION("""COMPUTED_VALUE"""),"RF-00000215-NTR")</f>
        <v>RF-00000215-NTR</v>
      </c>
    </row>
    <row r="2788" spans="1:2" ht="12.5" x14ac:dyDescent="0.25">
      <c r="A2788" t="str">
        <f ca="1">IFERROR(__xludf.DUMMYFUNCTION("""COMPUTED_VALUE"""),"fatty acid 21:5 n-3 (heneicosapentaenoic acid)")</f>
        <v>fatty acid 21:5 n-3 (heneicosapentaenoic acid)</v>
      </c>
      <c r="B2788" t="str">
        <f ca="1">IFERROR(__xludf.DUMMYFUNCTION("""COMPUTED_VALUE"""),"RF-00000216-NTR")</f>
        <v>RF-00000216-NTR</v>
      </c>
    </row>
    <row r="2789" spans="1:2" ht="12.5" x14ac:dyDescent="0.25">
      <c r="A2789" t="str">
        <f ca="1">IFERROR(__xludf.DUMMYFUNCTION("""COMPUTED_VALUE"""),"fatty acid 22:0 (behenic acid)")</f>
        <v>fatty acid 22:0 (behenic acid)</v>
      </c>
      <c r="B2789" t="str">
        <f ca="1">IFERROR(__xludf.DUMMYFUNCTION("""COMPUTED_VALUE"""),"RF-00000217-NTR")</f>
        <v>RF-00000217-NTR</v>
      </c>
    </row>
    <row r="2790" spans="1:2" ht="12.5" x14ac:dyDescent="0.25">
      <c r="A2790" t="str">
        <f ca="1">IFERROR(__xludf.DUMMYFUNCTION("""COMPUTED_VALUE"""),"fatty acid 22:1 (docosenoic acid)")</f>
        <v>fatty acid 22:1 (docosenoic acid)</v>
      </c>
      <c r="B2790" t="str">
        <f ca="1">IFERROR(__xludf.DUMMYFUNCTION("""COMPUTED_VALUE"""),"RF-00000218-NTR")</f>
        <v>RF-00000218-NTR</v>
      </c>
    </row>
    <row r="2791" spans="1:2" ht="12.5" x14ac:dyDescent="0.25">
      <c r="A2791" t="str">
        <f ca="1">IFERROR(__xludf.DUMMYFUNCTION("""COMPUTED_VALUE"""),"fatty acid 22:1 cis")</f>
        <v>fatty acid 22:1 cis</v>
      </c>
      <c r="B2791" t="str">
        <f ca="1">IFERROR(__xludf.DUMMYFUNCTION("""COMPUTED_VALUE"""),"RF-00000219-NTR")</f>
        <v>RF-00000219-NTR</v>
      </c>
    </row>
    <row r="2792" spans="1:2" ht="12.5" x14ac:dyDescent="0.25">
      <c r="A2792" t="str">
        <f ca="1">IFERROR(__xludf.DUMMYFUNCTION("""COMPUTED_VALUE"""),"fatty acid 22:1 n-11 cis (cetoleic acid)")</f>
        <v>fatty acid 22:1 n-11 cis (cetoleic acid)</v>
      </c>
      <c r="B2792" t="str">
        <f ca="1">IFERROR(__xludf.DUMMYFUNCTION("""COMPUTED_VALUE"""),"RF-00000220-NTR")</f>
        <v>RF-00000220-NTR</v>
      </c>
    </row>
    <row r="2793" spans="1:2" ht="12.5" x14ac:dyDescent="0.25">
      <c r="A2793" t="str">
        <f ca="1">IFERROR(__xludf.DUMMYFUNCTION("""COMPUTED_VALUE"""),"fatty acid 22:1 n-7")</f>
        <v>fatty acid 22:1 n-7</v>
      </c>
      <c r="B2793" t="str">
        <f ca="1">IFERROR(__xludf.DUMMYFUNCTION("""COMPUTED_VALUE"""),"RF-00000221-NTR")</f>
        <v>RF-00000221-NTR</v>
      </c>
    </row>
    <row r="2794" spans="1:2" ht="12.5" x14ac:dyDescent="0.25">
      <c r="A2794" t="str">
        <f ca="1">IFERROR(__xludf.DUMMYFUNCTION("""COMPUTED_VALUE"""),"fatty acid 22:2 (docosadienoic acid)")</f>
        <v>fatty acid 22:2 (docosadienoic acid)</v>
      </c>
      <c r="B2794" t="str">
        <f ca="1">IFERROR(__xludf.DUMMYFUNCTION("""COMPUTED_VALUE"""),"RF-00000222-NTR")</f>
        <v>RF-00000222-NTR</v>
      </c>
    </row>
    <row r="2795" spans="1:2" ht="12.5" x14ac:dyDescent="0.25">
      <c r="A2795" t="str">
        <f ca="1">IFERROR(__xludf.DUMMYFUNCTION("""COMPUTED_VALUE"""),"fatty acid 22:2 n-3 cis")</f>
        <v>fatty acid 22:2 n-3 cis</v>
      </c>
      <c r="B2795" t="str">
        <f ca="1">IFERROR(__xludf.DUMMYFUNCTION("""COMPUTED_VALUE"""),"RF-00000223-NTR")</f>
        <v>RF-00000223-NTR</v>
      </c>
    </row>
    <row r="2796" spans="1:2" ht="12.5" x14ac:dyDescent="0.25">
      <c r="A2796" t="str">
        <f ca="1">IFERROR(__xludf.DUMMYFUNCTION("""COMPUTED_VALUE"""),"fatty acid 22:2 n-6 cis")</f>
        <v>fatty acid 22:2 n-6 cis</v>
      </c>
      <c r="B2796" t="str">
        <f ca="1">IFERROR(__xludf.DUMMYFUNCTION("""COMPUTED_VALUE"""),"RF-00000224-NTR")</f>
        <v>RF-00000224-NTR</v>
      </c>
    </row>
    <row r="2797" spans="1:2" ht="12.5" x14ac:dyDescent="0.25">
      <c r="A2797" t="str">
        <f ca="1">IFERROR(__xludf.DUMMYFUNCTION("""COMPUTED_VALUE"""),"fatty acid 22:3 n-3 cis")</f>
        <v>fatty acid 22:3 n-3 cis</v>
      </c>
      <c r="B2797" t="str">
        <f ca="1">IFERROR(__xludf.DUMMYFUNCTION("""COMPUTED_VALUE"""),"RF-00000225-NTR")</f>
        <v>RF-00000225-NTR</v>
      </c>
    </row>
    <row r="2798" spans="1:2" ht="12.5" x14ac:dyDescent="0.25">
      <c r="A2798" t="str">
        <f ca="1">IFERROR(__xludf.DUMMYFUNCTION("""COMPUTED_VALUE"""),"fatty acid 22:4 (docosatetraenoic acid)")</f>
        <v>fatty acid 22:4 (docosatetraenoic acid)</v>
      </c>
      <c r="B2798" t="str">
        <f ca="1">IFERROR(__xludf.DUMMYFUNCTION("""COMPUTED_VALUE"""),"RF-00000226-NTR")</f>
        <v>RF-00000226-NTR</v>
      </c>
    </row>
    <row r="2799" spans="1:2" ht="12.5" x14ac:dyDescent="0.25">
      <c r="A2799" t="str">
        <f ca="1">IFERROR(__xludf.DUMMYFUNCTION("""COMPUTED_VALUE"""),"fatty acid 22:4 n-3")</f>
        <v>fatty acid 22:4 n-3</v>
      </c>
      <c r="B2799" t="str">
        <f ca="1">IFERROR(__xludf.DUMMYFUNCTION("""COMPUTED_VALUE"""),"RF-00000227-NTR")</f>
        <v>RF-00000227-NTR</v>
      </c>
    </row>
    <row r="2800" spans="1:2" ht="12.5" x14ac:dyDescent="0.25">
      <c r="A2800" t="str">
        <f ca="1">IFERROR(__xludf.DUMMYFUNCTION("""COMPUTED_VALUE"""),"fatty acid 22:4 n-6")</f>
        <v>fatty acid 22:4 n-6</v>
      </c>
      <c r="B2800" t="str">
        <f ca="1">IFERROR(__xludf.DUMMYFUNCTION("""COMPUTED_VALUE"""),"RF-00000228-NTR")</f>
        <v>RF-00000228-NTR</v>
      </c>
    </row>
    <row r="2801" spans="1:2" ht="12.5" x14ac:dyDescent="0.25">
      <c r="A2801" t="str">
        <f ca="1">IFERROR(__xludf.DUMMYFUNCTION("""COMPUTED_VALUE"""),"fatty acid 22:4 n-6 cis")</f>
        <v>fatty acid 22:4 n-6 cis</v>
      </c>
      <c r="B2801" t="str">
        <f ca="1">IFERROR(__xludf.DUMMYFUNCTION("""COMPUTED_VALUE"""),"RF-00000229-NTR")</f>
        <v>RF-00000229-NTR</v>
      </c>
    </row>
    <row r="2802" spans="1:2" ht="12.5" x14ac:dyDescent="0.25">
      <c r="A2802" t="str">
        <f ca="1">IFERROR(__xludf.DUMMYFUNCTION("""COMPUTED_VALUE"""),"fatty acid 22:5 (docosapentaenoic acid)")</f>
        <v>fatty acid 22:5 (docosapentaenoic acid)</v>
      </c>
      <c r="B2802" t="str">
        <f ca="1">IFERROR(__xludf.DUMMYFUNCTION("""COMPUTED_VALUE"""),"RF-00000230-NTR")</f>
        <v>RF-00000230-NTR</v>
      </c>
    </row>
    <row r="2803" spans="1:2" ht="12.5" x14ac:dyDescent="0.25">
      <c r="A2803" t="str">
        <f ca="1">IFERROR(__xludf.DUMMYFUNCTION("""COMPUTED_VALUE"""),"fatty acid 22:5 n-3 (clupanodonic acid)")</f>
        <v>fatty acid 22:5 n-3 (clupanodonic acid)</v>
      </c>
      <c r="B2803" t="str">
        <f ca="1">IFERROR(__xludf.DUMMYFUNCTION("""COMPUTED_VALUE"""),"RF-00000231-NTR")</f>
        <v>RF-00000231-NTR</v>
      </c>
    </row>
    <row r="2804" spans="1:2" ht="12.5" x14ac:dyDescent="0.25">
      <c r="A2804" t="str">
        <f ca="1">IFERROR(__xludf.DUMMYFUNCTION("""COMPUTED_VALUE"""),"fatty acid 22:5 n-3 cis")</f>
        <v>fatty acid 22:5 n-3 cis</v>
      </c>
      <c r="B2804" t="str">
        <f ca="1">IFERROR(__xludf.DUMMYFUNCTION("""COMPUTED_VALUE"""),"RF-00000232-NTR")</f>
        <v>RF-00000232-NTR</v>
      </c>
    </row>
    <row r="2805" spans="1:2" ht="12.5" x14ac:dyDescent="0.25">
      <c r="A2805" t="str">
        <f ca="1">IFERROR(__xludf.DUMMYFUNCTION("""COMPUTED_VALUE"""),"fatty acid 22:5 n-6")</f>
        <v>fatty acid 22:5 n-6</v>
      </c>
      <c r="B2805" t="str">
        <f ca="1">IFERROR(__xludf.DUMMYFUNCTION("""COMPUTED_VALUE"""),"RF-00000233-NTR")</f>
        <v>RF-00000233-NTR</v>
      </c>
    </row>
    <row r="2806" spans="1:2" ht="12.5" x14ac:dyDescent="0.25">
      <c r="A2806" t="str">
        <f ca="1">IFERROR(__xludf.DUMMYFUNCTION("""COMPUTED_VALUE"""),"fatty acid 22:5 n-6 cis")</f>
        <v>fatty acid 22:5 n-6 cis</v>
      </c>
      <c r="B2806" t="str">
        <f ca="1">IFERROR(__xludf.DUMMYFUNCTION("""COMPUTED_VALUE"""),"RF-00000234-NTR")</f>
        <v>RF-00000234-NTR</v>
      </c>
    </row>
    <row r="2807" spans="1:2" ht="12.5" x14ac:dyDescent="0.25">
      <c r="A2807" t="str">
        <f ca="1">IFERROR(__xludf.DUMMYFUNCTION("""COMPUTED_VALUE"""),"fatty acid 22:6 (docosahexaenoic acid)")</f>
        <v>fatty acid 22:6 (docosahexaenoic acid)</v>
      </c>
      <c r="B2807" t="str">
        <f ca="1">IFERROR(__xludf.DUMMYFUNCTION("""COMPUTED_VALUE"""),"RF-00000235-NTR")</f>
        <v>RF-00000235-NTR</v>
      </c>
    </row>
    <row r="2808" spans="1:2" ht="12.5" x14ac:dyDescent="0.25">
      <c r="A2808" t="str">
        <f ca="1">IFERROR(__xludf.DUMMYFUNCTION("""COMPUTED_VALUE"""),"fatty acid 22:6 n-3 (docosahexaenoic acid)")</f>
        <v>fatty acid 22:6 n-3 (docosahexaenoic acid)</v>
      </c>
      <c r="B2808" t="str">
        <f ca="1">IFERROR(__xludf.DUMMYFUNCTION("""COMPUTED_VALUE"""),"RF-00000236-NTR")</f>
        <v>RF-00000236-NTR</v>
      </c>
    </row>
    <row r="2809" spans="1:2" ht="12.5" x14ac:dyDescent="0.25">
      <c r="A2809" t="str">
        <f ca="1">IFERROR(__xludf.DUMMYFUNCTION("""COMPUTED_VALUE"""),"fatty acid 22:6 n-3 cis")</f>
        <v>fatty acid 22:6 n-3 cis</v>
      </c>
      <c r="B2809" t="str">
        <f ca="1">IFERROR(__xludf.DUMMYFUNCTION("""COMPUTED_VALUE"""),"RF-00000237-NTR")</f>
        <v>RF-00000237-NTR</v>
      </c>
    </row>
    <row r="2810" spans="1:2" ht="12.5" x14ac:dyDescent="0.25">
      <c r="A2810" t="str">
        <f ca="1">IFERROR(__xludf.DUMMYFUNCTION("""COMPUTED_VALUE"""),"fatty acid 22:unidentified")</f>
        <v>fatty acid 22:unidentified</v>
      </c>
      <c r="B2810" t="str">
        <f ca="1">IFERROR(__xludf.DUMMYFUNCTION("""COMPUTED_VALUE"""),"RF-00000238-NTR")</f>
        <v>RF-00000238-NTR</v>
      </c>
    </row>
    <row r="2811" spans="1:2" ht="12.5" x14ac:dyDescent="0.25">
      <c r="A2811" t="str">
        <f ca="1">IFERROR(__xludf.DUMMYFUNCTION("""COMPUTED_VALUE"""),"fatty acid 23:0 (tricosanoic acid)")</f>
        <v>fatty acid 23:0 (tricosanoic acid)</v>
      </c>
      <c r="B2811" t="str">
        <f ca="1">IFERROR(__xludf.DUMMYFUNCTION("""COMPUTED_VALUE"""),"RF-00000239-NTR")</f>
        <v>RF-00000239-NTR</v>
      </c>
    </row>
    <row r="2812" spans="1:2" ht="12.5" x14ac:dyDescent="0.25">
      <c r="A2812" t="str">
        <f ca="1">IFERROR(__xludf.DUMMYFUNCTION("""COMPUTED_VALUE"""),"fatty acid 24:0 (lignoceric acid)")</f>
        <v>fatty acid 24:0 (lignoceric acid)</v>
      </c>
      <c r="B2812" t="str">
        <f ca="1">IFERROR(__xludf.DUMMYFUNCTION("""COMPUTED_VALUE"""),"RF-00000240-NTR")</f>
        <v>RF-00000240-NTR</v>
      </c>
    </row>
    <row r="2813" spans="1:2" ht="12.5" x14ac:dyDescent="0.25">
      <c r="A2813" t="str">
        <f ca="1">IFERROR(__xludf.DUMMYFUNCTION("""COMPUTED_VALUE"""),"fatty acid 24:1 (tetracosenoic acid)")</f>
        <v>fatty acid 24:1 (tetracosenoic acid)</v>
      </c>
      <c r="B2813" t="str">
        <f ca="1">IFERROR(__xludf.DUMMYFUNCTION("""COMPUTED_VALUE"""),"RF-00000241-NTR")</f>
        <v>RF-00000241-NTR</v>
      </c>
    </row>
    <row r="2814" spans="1:2" ht="12.5" x14ac:dyDescent="0.25">
      <c r="A2814" t="str">
        <f ca="1">IFERROR(__xludf.DUMMYFUNCTION("""COMPUTED_VALUE"""),"fatty acid 24:1 n-9 cis")</f>
        <v>fatty acid 24:1 n-9 cis</v>
      </c>
      <c r="B2814" t="str">
        <f ca="1">IFERROR(__xludf.DUMMYFUNCTION("""COMPUTED_VALUE"""),"RF-00000242-NTR")</f>
        <v>RF-00000242-NTR</v>
      </c>
    </row>
    <row r="2815" spans="1:2" ht="12.5" x14ac:dyDescent="0.25">
      <c r="A2815" t="str">
        <f ca="1">IFERROR(__xludf.DUMMYFUNCTION("""COMPUTED_VALUE"""),"fatty acid 24:1 n-9 trans")</f>
        <v>fatty acid 24:1 n-9 trans</v>
      </c>
      <c r="B2815" t="str">
        <f ca="1">IFERROR(__xludf.DUMMYFUNCTION("""COMPUTED_VALUE"""),"RF-00000243-NTR")</f>
        <v>RF-00000243-NTR</v>
      </c>
    </row>
    <row r="2816" spans="1:2" ht="12.5" x14ac:dyDescent="0.25">
      <c r="A2816" t="str">
        <f ca="1">IFERROR(__xludf.DUMMYFUNCTION("""COMPUTED_VALUE"""),"fatty acid 24:2 n-6")</f>
        <v>fatty acid 24:2 n-6</v>
      </c>
      <c r="B2816" t="str">
        <f ca="1">IFERROR(__xludf.DUMMYFUNCTION("""COMPUTED_VALUE"""),"RF-00000244-NTR")</f>
        <v>RF-00000244-NTR</v>
      </c>
    </row>
    <row r="2817" spans="1:2" ht="12.5" x14ac:dyDescent="0.25">
      <c r="A2817" t="str">
        <f ca="1">IFERROR(__xludf.DUMMYFUNCTION("""COMPUTED_VALUE"""),"fatty acid 26:0")</f>
        <v>fatty acid 26:0</v>
      </c>
      <c r="B2817" t="str">
        <f ca="1">IFERROR(__xludf.DUMMYFUNCTION("""COMPUTED_VALUE"""),"RF-00000245-NTR")</f>
        <v>RF-00000245-NTR</v>
      </c>
    </row>
    <row r="2818" spans="1:2" ht="12.5" x14ac:dyDescent="0.25">
      <c r="A2818" t="str">
        <f ca="1">IFERROR(__xludf.DUMMYFUNCTION("""COMPUTED_VALUE"""),"fatty acid 4:0 (butyric acid)")</f>
        <v>fatty acid 4:0 (butyric acid)</v>
      </c>
      <c r="B2818" t="str">
        <f ca="1">IFERROR(__xludf.DUMMYFUNCTION("""COMPUTED_VALUE"""),"RF-00000246-NTR")</f>
        <v>RF-00000246-NTR</v>
      </c>
    </row>
    <row r="2819" spans="1:2" ht="12.5" x14ac:dyDescent="0.25">
      <c r="A2819" t="str">
        <f ca="1">IFERROR(__xludf.DUMMYFUNCTION("""COMPUTED_VALUE"""),"fatty acid 6:0 (caproic acid)")</f>
        <v>fatty acid 6:0 (caproic acid)</v>
      </c>
      <c r="B2819" t="str">
        <f ca="1">IFERROR(__xludf.DUMMYFUNCTION("""COMPUTED_VALUE"""),"RF-00000247-NTR")</f>
        <v>RF-00000247-NTR</v>
      </c>
    </row>
    <row r="2820" spans="1:2" ht="12.5" x14ac:dyDescent="0.25">
      <c r="A2820" t="str">
        <f ca="1">IFERROR(__xludf.DUMMYFUNCTION("""COMPUTED_VALUE"""),"fatty acid 8:0 (caprylic acid)")</f>
        <v>fatty acid 8:0 (caprylic acid)</v>
      </c>
      <c r="B2820" t="str">
        <f ca="1">IFERROR(__xludf.DUMMYFUNCTION("""COMPUTED_VALUE"""),"RF-00000248-NTR")</f>
        <v>RF-00000248-NTR</v>
      </c>
    </row>
    <row r="2821" spans="1:2" ht="12.5" x14ac:dyDescent="0.25">
      <c r="A2821" t="str">
        <f ca="1">IFERROR(__xludf.DUMMYFUNCTION("""COMPUTED_VALUE"""),"fatty acid cis 22:1 n-9 cis (erucic acid)")</f>
        <v>fatty acid cis 22:1 n-9 cis (erucic acid)</v>
      </c>
      <c r="B2821" t="str">
        <f ca="1">IFERROR(__xludf.DUMMYFUNCTION("""COMPUTED_VALUE"""),"RF-00000249-NTR")</f>
        <v>RF-00000249-NTR</v>
      </c>
    </row>
    <row r="2822" spans="1:2" ht="12.5" x14ac:dyDescent="0.25">
      <c r="A2822" t="str">
        <f ca="1">IFERROR(__xludf.DUMMYFUNCTION("""COMPUTED_VALUE"""),"fatty acid conversion factor")</f>
        <v>fatty acid conversion factor</v>
      </c>
      <c r="B2822" t="str">
        <f ca="1">IFERROR(__xludf.DUMMYFUNCTION("""COMPUTED_VALUE"""),"RF-00000250-NTR")</f>
        <v>RF-00000250-NTR</v>
      </c>
    </row>
    <row r="2823" spans="1:2" ht="12.5" x14ac:dyDescent="0.25">
      <c r="A2823" t="str">
        <f ca="1">IFERROR(__xludf.DUMMYFUNCTION("""COMPUTED_VALUE"""),"Fatty acid esters of ascorbic acid")</f>
        <v>Fatty acid esters of ascorbic acid</v>
      </c>
      <c r="B2823" t="str">
        <f ca="1">IFERROR(__xludf.DUMMYFUNCTION("""COMPUTED_VALUE"""),"RF-00000130-ADD")</f>
        <v>RF-00000130-ADD</v>
      </c>
    </row>
    <row r="2824" spans="1:2" ht="12.5" x14ac:dyDescent="0.25">
      <c r="A2824" t="str">
        <f ca="1">IFERROR(__xludf.DUMMYFUNCTION("""COMPUTED_VALUE"""),"fatty acid trans 22:1 n-9 (brassidic acid)")</f>
        <v>fatty acid trans 22:1 n-9 (brassidic acid)</v>
      </c>
      <c r="B2824" t="str">
        <f ca="1">IFERROR(__xludf.DUMMYFUNCTION("""COMPUTED_VALUE"""),"RF-00000251-NTR")</f>
        <v>RF-00000251-NTR</v>
      </c>
    </row>
    <row r="2825" spans="1:2" ht="12.5" x14ac:dyDescent="0.25">
      <c r="A2825" t="str">
        <f ca="1">IFERROR(__xludf.DUMMYFUNCTION("""COMPUTED_VALUE"""),"fatty acid, unidentified")</f>
        <v>fatty acid, unidentified</v>
      </c>
      <c r="B2825" t="str">
        <f ca="1">IFERROR(__xludf.DUMMYFUNCTION("""COMPUTED_VALUE"""),"RF-00000252-NTR")</f>
        <v>RF-00000252-NTR</v>
      </c>
    </row>
    <row r="2826" spans="1:2" ht="12.5" x14ac:dyDescent="0.25">
      <c r="A2826" t="str">
        <f ca="1">IFERROR(__xludf.DUMMYFUNCTION("""COMPUTED_VALUE"""),"fatty acids")</f>
        <v>fatty acids</v>
      </c>
      <c r="B2826" t="str">
        <f ca="1">IFERROR(__xludf.DUMMYFUNCTION("""COMPUTED_VALUE"""),"RF-00000088-NTR")</f>
        <v>RF-00000088-NTR</v>
      </c>
    </row>
    <row r="2827" spans="1:2" ht="12.5" x14ac:dyDescent="0.25">
      <c r="A2827" t="str">
        <f ca="1">IFERROR(__xludf.DUMMYFUNCTION("""COMPUTED_VALUE"""),"fatty acids 4:0 - 10:0")</f>
        <v>fatty acids 4:0 - 10:0</v>
      </c>
      <c r="B2827" t="str">
        <f ca="1">IFERROR(__xludf.DUMMYFUNCTION("""COMPUTED_VALUE"""),"RF-00000253-NTR")</f>
        <v>RF-00000253-NTR</v>
      </c>
    </row>
    <row r="2828" spans="1:2" ht="12.5" x14ac:dyDescent="0.25">
      <c r="A2828" t="str">
        <f ca="1">IFERROR(__xludf.DUMMYFUNCTION("""COMPUTED_VALUE"""),"fatty acids 4:0 - 8:0")</f>
        <v>fatty acids 4:0 - 8:0</v>
      </c>
      <c r="B2828" t="str">
        <f ca="1">IFERROR(__xludf.DUMMYFUNCTION("""COMPUTED_VALUE"""),"RF-00000254-NTR")</f>
        <v>RF-00000254-NTR</v>
      </c>
    </row>
    <row r="2829" spans="1:2" ht="12.5" x14ac:dyDescent="0.25">
      <c r="A2829" t="str">
        <f ca="1">IFERROR(__xludf.DUMMYFUNCTION("""COMPUTED_VALUE"""),"fatty acids, cis polyunsaturated, remainder")</f>
        <v>fatty acids, cis polyunsaturated, remainder</v>
      </c>
      <c r="B2829" t="str">
        <f ca="1">IFERROR(__xludf.DUMMYFUNCTION("""COMPUTED_VALUE"""),"RF-00000255-NTR")</f>
        <v>RF-00000255-NTR</v>
      </c>
    </row>
    <row r="2830" spans="1:2" ht="12.5" x14ac:dyDescent="0.25">
      <c r="A2830" t="str">
        <f ca="1">IFERROR(__xludf.DUMMYFUNCTION("""COMPUTED_VALUE"""),"fatty acids, monounsaturated, cis, remainder")</f>
        <v>fatty acids, monounsaturated, cis, remainder</v>
      </c>
      <c r="B2830" t="str">
        <f ca="1">IFERROR(__xludf.DUMMYFUNCTION("""COMPUTED_VALUE"""),"RF-00000256-NTR")</f>
        <v>RF-00000256-NTR</v>
      </c>
    </row>
    <row r="2831" spans="1:2" ht="12.5" x14ac:dyDescent="0.25">
      <c r="A2831" t="str">
        <f ca="1">IFERROR(__xludf.DUMMYFUNCTION("""COMPUTED_VALUE"""),"fatty acids, monounsaturated, remainder")</f>
        <v>fatty acids, monounsaturated, remainder</v>
      </c>
      <c r="B2831" t="str">
        <f ca="1">IFERROR(__xludf.DUMMYFUNCTION("""COMPUTED_VALUE"""),"RF-00000257-NTR")</f>
        <v>RF-00000257-NTR</v>
      </c>
    </row>
    <row r="2832" spans="1:2" ht="12.5" x14ac:dyDescent="0.25">
      <c r="A2832" t="str">
        <f ca="1">IFERROR(__xludf.DUMMYFUNCTION("""COMPUTED_VALUE"""),"fatty acids, monounsaturated, trans, remainder")</f>
        <v>fatty acids, monounsaturated, trans, remainder</v>
      </c>
      <c r="B2832" t="str">
        <f ca="1">IFERROR(__xludf.DUMMYFUNCTION("""COMPUTED_VALUE"""),"RF-00000258-NTR")</f>
        <v>RF-00000258-NTR</v>
      </c>
    </row>
    <row r="2833" spans="1:2" ht="12.5" x14ac:dyDescent="0.25">
      <c r="A2833" t="str">
        <f ca="1">IFERROR(__xludf.DUMMYFUNCTION("""COMPUTED_VALUE"""),"fatty acids, other polyunsaturated (= PUFA-linoleic-linolenic)")</f>
        <v>fatty acids, other polyunsaturated (= PUFA-linoleic-linolenic)</v>
      </c>
      <c r="B2833" t="str">
        <f ca="1">IFERROR(__xludf.DUMMYFUNCTION("""COMPUTED_VALUE"""),"RF-00000259-NTR")</f>
        <v>RF-00000259-NTR</v>
      </c>
    </row>
    <row r="2834" spans="1:2" ht="12.5" x14ac:dyDescent="0.25">
      <c r="A2834" t="str">
        <f ca="1">IFERROR(__xludf.DUMMYFUNCTION("""COMPUTED_VALUE"""),"fatty acids, polyunsaturated, cis, remainder")</f>
        <v>fatty acids, polyunsaturated, cis, remainder</v>
      </c>
      <c r="B2834" t="str">
        <f ca="1">IFERROR(__xludf.DUMMYFUNCTION("""COMPUTED_VALUE"""),"RF-00000260-NTR")</f>
        <v>RF-00000260-NTR</v>
      </c>
    </row>
    <row r="2835" spans="1:2" ht="12.5" x14ac:dyDescent="0.25">
      <c r="A2835" t="str">
        <f ca="1">IFERROR(__xludf.DUMMYFUNCTION("""COMPUTED_VALUE"""),"fatty acids, polyunsaturated, remainder")</f>
        <v>fatty acids, polyunsaturated, remainder</v>
      </c>
      <c r="B2835" t="str">
        <f ca="1">IFERROR(__xludf.DUMMYFUNCTION("""COMPUTED_VALUE"""),"RF-00000261-NTR")</f>
        <v>RF-00000261-NTR</v>
      </c>
    </row>
    <row r="2836" spans="1:2" ht="12.5" x14ac:dyDescent="0.25">
      <c r="A2836" t="str">
        <f ca="1">IFERROR(__xludf.DUMMYFUNCTION("""COMPUTED_VALUE"""),"fatty acids, saturated, remainder")</f>
        <v>fatty acids, saturated, remainder</v>
      </c>
      <c r="B2836" t="str">
        <f ca="1">IFERROR(__xludf.DUMMYFUNCTION("""COMPUTED_VALUE"""),"RF-00000262-NTR")</f>
        <v>RF-00000262-NTR</v>
      </c>
    </row>
    <row r="2837" spans="1:2" ht="12.5" x14ac:dyDescent="0.25">
      <c r="A2837" t="str">
        <f ca="1">IFERROR(__xludf.DUMMYFUNCTION("""COMPUTED_VALUE"""),"fatty acids, total")</f>
        <v>fatty acids, total</v>
      </c>
      <c r="B2837" t="str">
        <f ca="1">IFERROR(__xludf.DUMMYFUNCTION("""COMPUTED_VALUE"""),"RF-00000263-NTR")</f>
        <v>RF-00000263-NTR</v>
      </c>
    </row>
    <row r="2838" spans="1:2" ht="12.5" x14ac:dyDescent="0.25">
      <c r="A2838" t="str">
        <f ca="1">IFERROR(__xludf.DUMMYFUNCTION("""COMPUTED_VALUE"""),"fatty acids, total cis n-3")</f>
        <v>fatty acids, total cis n-3</v>
      </c>
      <c r="B2838" t="str">
        <f ca="1">IFERROR(__xludf.DUMMYFUNCTION("""COMPUTED_VALUE"""),"RF-00000264-NTR")</f>
        <v>RF-00000264-NTR</v>
      </c>
    </row>
    <row r="2839" spans="1:2" ht="12.5" x14ac:dyDescent="0.25">
      <c r="A2839" t="str">
        <f ca="1">IFERROR(__xludf.DUMMYFUNCTION("""COMPUTED_VALUE"""),"fatty acids, total cis n-6")</f>
        <v>fatty acids, total cis n-6</v>
      </c>
      <c r="B2839" t="str">
        <f ca="1">IFERROR(__xludf.DUMMYFUNCTION("""COMPUTED_VALUE"""),"RF-00000265-NTR")</f>
        <v>RF-00000265-NTR</v>
      </c>
    </row>
    <row r="2840" spans="1:2" ht="12.5" x14ac:dyDescent="0.25">
      <c r="A2840" t="str">
        <f ca="1">IFERROR(__xludf.DUMMYFUNCTION("""COMPUTED_VALUE"""),"fatty acids, total cis n-9")</f>
        <v>fatty acids, total cis n-9</v>
      </c>
      <c r="B2840" t="str">
        <f ca="1">IFERROR(__xludf.DUMMYFUNCTION("""COMPUTED_VALUE"""),"RF-00000266-NTR")</f>
        <v>RF-00000266-NTR</v>
      </c>
    </row>
    <row r="2841" spans="1:2" ht="12.5" x14ac:dyDescent="0.25">
      <c r="A2841" t="str">
        <f ca="1">IFERROR(__xludf.DUMMYFUNCTION("""COMPUTED_VALUE"""),"fatty acids, total essential")</f>
        <v>fatty acids, total essential</v>
      </c>
      <c r="B2841" t="str">
        <f ca="1">IFERROR(__xludf.DUMMYFUNCTION("""COMPUTED_VALUE"""),"RF-00000267-NTR")</f>
        <v>RF-00000267-NTR</v>
      </c>
    </row>
    <row r="2842" spans="1:2" ht="12.5" x14ac:dyDescent="0.25">
      <c r="A2842" t="str">
        <f ca="1">IFERROR(__xludf.DUMMYFUNCTION("""COMPUTED_VALUE"""),"fatty acids, total free")</f>
        <v>fatty acids, total free</v>
      </c>
      <c r="B2842" t="str">
        <f ca="1">IFERROR(__xludf.DUMMYFUNCTION("""COMPUTED_VALUE"""),"RF-00000268-NTR")</f>
        <v>RF-00000268-NTR</v>
      </c>
    </row>
    <row r="2843" spans="1:2" ht="12.5" x14ac:dyDescent="0.25">
      <c r="A2843" t="str">
        <f ca="1">IFERROR(__xludf.DUMMYFUNCTION("""COMPUTED_VALUE"""),"fatty acids, total monounsaturated")</f>
        <v>fatty acids, total monounsaturated</v>
      </c>
      <c r="B2843" t="str">
        <f ca="1">IFERROR(__xludf.DUMMYFUNCTION("""COMPUTED_VALUE"""),"RF-00000269-NTR")</f>
        <v>RF-00000269-NTR</v>
      </c>
    </row>
    <row r="2844" spans="1:2" ht="12.5" x14ac:dyDescent="0.25">
      <c r="A2844" t="str">
        <f ca="1">IFERROR(__xludf.DUMMYFUNCTION("""COMPUTED_VALUE"""),"fatty acids, total monounsaturated cis")</f>
        <v>fatty acids, total monounsaturated cis</v>
      </c>
      <c r="B2844" t="str">
        <f ca="1">IFERROR(__xludf.DUMMYFUNCTION("""COMPUTED_VALUE"""),"RF-00000270-NTR")</f>
        <v>RF-00000270-NTR</v>
      </c>
    </row>
    <row r="2845" spans="1:2" ht="12.5" x14ac:dyDescent="0.25">
      <c r="A2845" t="str">
        <f ca="1">IFERROR(__xludf.DUMMYFUNCTION("""COMPUTED_VALUE"""),"fatty acids, total n-3 polyunsaturated")</f>
        <v>fatty acids, total n-3 polyunsaturated</v>
      </c>
      <c r="B2845" t="str">
        <f ca="1">IFERROR(__xludf.DUMMYFUNCTION("""COMPUTED_VALUE"""),"RF-00000271-NTR")</f>
        <v>RF-00000271-NTR</v>
      </c>
    </row>
    <row r="2846" spans="1:2" ht="12.5" x14ac:dyDescent="0.25">
      <c r="A2846" t="str">
        <f ca="1">IFERROR(__xludf.DUMMYFUNCTION("""COMPUTED_VALUE"""),"fatty acids, total n-6 polyunsaturated")</f>
        <v>fatty acids, total n-6 polyunsaturated</v>
      </c>
      <c r="B2846" t="str">
        <f ca="1">IFERROR(__xludf.DUMMYFUNCTION("""COMPUTED_VALUE"""),"RF-00000272-NTR")</f>
        <v>RF-00000272-NTR</v>
      </c>
    </row>
    <row r="2847" spans="1:2" ht="12.5" x14ac:dyDescent="0.25">
      <c r="A2847" t="str">
        <f ca="1">IFERROR(__xludf.DUMMYFUNCTION("""COMPUTED_VALUE"""),"fatty acids, total n-9 polyunsaturated")</f>
        <v>fatty acids, total n-9 polyunsaturated</v>
      </c>
      <c r="B2847" t="str">
        <f ca="1">IFERROR(__xludf.DUMMYFUNCTION("""COMPUTED_VALUE"""),"RF-00000273-NTR")</f>
        <v>RF-00000273-NTR</v>
      </c>
    </row>
    <row r="2848" spans="1:2" ht="12.5" x14ac:dyDescent="0.25">
      <c r="A2848" t="str">
        <f ca="1">IFERROR(__xludf.DUMMYFUNCTION("""COMPUTED_VALUE"""),"fatty acids, total polyunsaturated")</f>
        <v>fatty acids, total polyunsaturated</v>
      </c>
      <c r="B2848" t="str">
        <f ca="1">IFERROR(__xludf.DUMMYFUNCTION("""COMPUTED_VALUE"""),"RF-00000274-NTR")</f>
        <v>RF-00000274-NTR</v>
      </c>
    </row>
    <row r="2849" spans="1:2" ht="12.5" x14ac:dyDescent="0.25">
      <c r="A2849" t="str">
        <f ca="1">IFERROR(__xludf.DUMMYFUNCTION("""COMPUTED_VALUE"""),"fatty acids, total polyunsaturated long-chain")</f>
        <v>fatty acids, total polyunsaturated long-chain</v>
      </c>
      <c r="B2849" t="str">
        <f ca="1">IFERROR(__xludf.DUMMYFUNCTION("""COMPUTED_VALUE"""),"RF-00000275-NTR")</f>
        <v>RF-00000275-NTR</v>
      </c>
    </row>
    <row r="2850" spans="1:2" ht="12.5" x14ac:dyDescent="0.25">
      <c r="A2850" t="str">
        <f ca="1">IFERROR(__xludf.DUMMYFUNCTION("""COMPUTED_VALUE"""),"fatty acids, total polyunsaturated n-3 fish")</f>
        <v>fatty acids, total polyunsaturated n-3 fish</v>
      </c>
      <c r="B2850" t="str">
        <f ca="1">IFERROR(__xludf.DUMMYFUNCTION("""COMPUTED_VALUE"""),"RF-00000276-NTR")</f>
        <v>RF-00000276-NTR</v>
      </c>
    </row>
    <row r="2851" spans="1:2" ht="12.5" x14ac:dyDescent="0.25">
      <c r="A2851" t="str">
        <f ca="1">IFERROR(__xludf.DUMMYFUNCTION("""COMPUTED_VALUE"""),"fatty acids, total polyunsaturated n-3 vegetable")</f>
        <v>fatty acids, total polyunsaturated n-3 vegetable</v>
      </c>
      <c r="B2851" t="str">
        <f ca="1">IFERROR(__xludf.DUMMYFUNCTION("""COMPUTED_VALUE"""),"RF-00000277-NTR")</f>
        <v>RF-00000277-NTR</v>
      </c>
    </row>
    <row r="2852" spans="1:2" ht="12.5" x14ac:dyDescent="0.25">
      <c r="A2852" t="str">
        <f ca="1">IFERROR(__xludf.DUMMYFUNCTION("""COMPUTED_VALUE"""),"fatty acids, total saturated")</f>
        <v>fatty acids, total saturated</v>
      </c>
      <c r="B2852" t="str">
        <f ca="1">IFERROR(__xludf.DUMMYFUNCTION("""COMPUTED_VALUE"""),"RF-00000278-NTR")</f>
        <v>RF-00000278-NTR</v>
      </c>
    </row>
    <row r="2853" spans="1:2" ht="12.5" x14ac:dyDescent="0.25">
      <c r="A2853" t="str">
        <f ca="1">IFERROR(__xludf.DUMMYFUNCTION("""COMPUTED_VALUE"""),"fatty acids, total trans")</f>
        <v>fatty acids, total trans</v>
      </c>
      <c r="B2853" t="str">
        <f ca="1">IFERROR(__xludf.DUMMYFUNCTION("""COMPUTED_VALUE"""),"RF-00000279-NTR")</f>
        <v>RF-00000279-NTR</v>
      </c>
    </row>
    <row r="2854" spans="1:2" ht="12.5" x14ac:dyDescent="0.25">
      <c r="A2854" t="str">
        <f ca="1">IFERROR(__xludf.DUMMYFUNCTION("""COMPUTED_VALUE"""),"fatty acids, total, calculated as triacylglycerol equivalents")</f>
        <v>fatty acids, total, calculated as triacylglycerol equivalents</v>
      </c>
      <c r="B2854" t="str">
        <f ca="1">IFERROR(__xludf.DUMMYFUNCTION("""COMPUTED_VALUE"""),"RF-00000280-NTR")</f>
        <v>RF-00000280-NTR</v>
      </c>
    </row>
    <row r="2855" spans="1:2" ht="12.5" x14ac:dyDescent="0.25">
      <c r="A2855" t="str">
        <f ca="1">IFERROR(__xludf.DUMMYFUNCTION("""COMPUTED_VALUE"""),"fatty acids, trans polyunsaturated, remainder")</f>
        <v>fatty acids, trans polyunsaturated, remainder</v>
      </c>
      <c r="B2855" t="str">
        <f ca="1">IFERROR(__xludf.DUMMYFUNCTION("""COMPUTED_VALUE"""),"RF-00000281-NTR")</f>
        <v>RF-00000281-NTR</v>
      </c>
    </row>
    <row r="2856" spans="1:2" ht="12.5" x14ac:dyDescent="0.25">
      <c r="A2856" t="str">
        <f ca="1">IFERROR(__xludf.DUMMYFUNCTION("""COMPUTED_VALUE"""),"fatty acids, trans saturated, remainder")</f>
        <v>fatty acids, trans saturated, remainder</v>
      </c>
      <c r="B2856" t="str">
        <f ca="1">IFERROR(__xludf.DUMMYFUNCTION("""COMPUTED_VALUE"""),"RF-00000282-NTR")</f>
        <v>RF-00000282-NTR</v>
      </c>
    </row>
    <row r="2857" spans="1:2" ht="12.5" x14ac:dyDescent="0.25">
      <c r="A2857" t="str">
        <f ca="1">IFERROR(__xludf.DUMMYFUNCTION("""COMPUTED_VALUE"""),"Febantel")</f>
        <v>Febantel</v>
      </c>
      <c r="B2857" t="str">
        <f ca="1">IFERROR(__xludf.DUMMYFUNCTION("""COMPUTED_VALUE"""),"RF-00000024-VET")</f>
        <v>RF-00000024-VET</v>
      </c>
    </row>
    <row r="2858" spans="1:2" ht="12.5" x14ac:dyDescent="0.25">
      <c r="A2858" t="str">
        <f ca="1">IFERROR(__xludf.DUMMYFUNCTION("""COMPUTED_VALUE"""),"Fenamidone")</f>
        <v>Fenamidone</v>
      </c>
      <c r="B2858" t="str">
        <f ca="1">IFERROR(__xludf.DUMMYFUNCTION("""COMPUTED_VALUE"""),"RF-0172-001-PPP")</f>
        <v>RF-0172-001-PPP</v>
      </c>
    </row>
    <row r="2859" spans="1:2" ht="12.5" x14ac:dyDescent="0.25">
      <c r="A2859" t="str">
        <f ca="1">IFERROR(__xludf.DUMMYFUNCTION("""COMPUTED_VALUE"""),"Fenaminosulf")</f>
        <v>Fenaminosulf</v>
      </c>
      <c r="B2859" t="str">
        <f ca="1">IFERROR(__xludf.DUMMYFUNCTION("""COMPUTED_VALUE"""),"RF-0671-001-PPP")</f>
        <v>RF-0671-001-PPP</v>
      </c>
    </row>
    <row r="2860" spans="1:2" ht="12.5" x14ac:dyDescent="0.25">
      <c r="A2860" t="str">
        <f ca="1">IFERROR(__xludf.DUMMYFUNCTION("""COMPUTED_VALUE"""),"Fenamiphos")</f>
        <v>Fenamiphos</v>
      </c>
      <c r="B2860" t="str">
        <f ca="1">IFERROR(__xludf.DUMMYFUNCTION("""COMPUTED_VALUE"""),"RF-0173-004-PPP")</f>
        <v>RF-0173-004-PPP</v>
      </c>
    </row>
    <row r="2861" spans="1:2" ht="12.5" x14ac:dyDescent="0.25">
      <c r="A2861" t="str">
        <f ca="1">IFERROR(__xludf.DUMMYFUNCTION("""COMPUTED_VALUE"""),"Fenamiphos (sum of fenamiphos and its sulphoxide and sulphone expressed as fenamiphos)")</f>
        <v>Fenamiphos (sum of fenamiphos and its sulphoxide and sulphone expressed as fenamiphos)</v>
      </c>
      <c r="B2861" t="str">
        <f ca="1">IFERROR(__xludf.DUMMYFUNCTION("""COMPUTED_VALUE"""),"RF-0173-001-PPP")</f>
        <v>RF-0173-001-PPP</v>
      </c>
    </row>
    <row r="2862" spans="1:2" ht="12.5" x14ac:dyDescent="0.25">
      <c r="A2862" t="str">
        <f ca="1">IFERROR(__xludf.DUMMYFUNCTION("""COMPUTED_VALUE"""),"Fenamiphos-Sulfon")</f>
        <v>Fenamiphos-Sulfon</v>
      </c>
      <c r="B2862" t="str">
        <f ca="1">IFERROR(__xludf.DUMMYFUNCTION("""COMPUTED_VALUE"""),"RF-0173-003-PPP")</f>
        <v>RF-0173-003-PPP</v>
      </c>
    </row>
    <row r="2863" spans="1:2" ht="12.5" x14ac:dyDescent="0.25">
      <c r="A2863" t="str">
        <f ca="1">IFERROR(__xludf.DUMMYFUNCTION("""COMPUTED_VALUE"""),"Fenamiphos-Sulfoxid")</f>
        <v>Fenamiphos-Sulfoxid</v>
      </c>
      <c r="B2863" t="str">
        <f ca="1">IFERROR(__xludf.DUMMYFUNCTION("""COMPUTED_VALUE"""),"RF-0173-002-PPP")</f>
        <v>RF-0173-002-PPP</v>
      </c>
    </row>
    <row r="2864" spans="1:2" ht="12.5" x14ac:dyDescent="0.25">
      <c r="A2864" t="str">
        <f ca="1">IFERROR(__xludf.DUMMYFUNCTION("""COMPUTED_VALUE"""),"Fenarimol")</f>
        <v>Fenarimol</v>
      </c>
      <c r="B2864" t="str">
        <f ca="1">IFERROR(__xludf.DUMMYFUNCTION("""COMPUTED_VALUE"""),"RF-0174-001-PPP")</f>
        <v>RF-0174-001-PPP</v>
      </c>
    </row>
    <row r="2865" spans="1:2" ht="12.5" x14ac:dyDescent="0.25">
      <c r="A2865" t="str">
        <f ca="1">IFERROR(__xludf.DUMMYFUNCTION("""COMPUTED_VALUE"""),"Fenazaflor")</f>
        <v>Fenazaflor</v>
      </c>
      <c r="B2865" t="str">
        <f ca="1">IFERROR(__xludf.DUMMYFUNCTION("""COMPUTED_VALUE"""),"RF-0672-001-PPP")</f>
        <v>RF-0672-001-PPP</v>
      </c>
    </row>
    <row r="2866" spans="1:2" ht="12.5" x14ac:dyDescent="0.25">
      <c r="A2866" t="str">
        <f ca="1">IFERROR(__xludf.DUMMYFUNCTION("""COMPUTED_VALUE"""),"Fenazaquin")</f>
        <v>Fenazaquin</v>
      </c>
      <c r="B2866" t="str">
        <f ca="1">IFERROR(__xludf.DUMMYFUNCTION("""COMPUTED_VALUE"""),"RF-0175-001-PPP")</f>
        <v>RF-0175-001-PPP</v>
      </c>
    </row>
    <row r="2867" spans="1:2" ht="12.5" x14ac:dyDescent="0.25">
      <c r="A2867" t="str">
        <f ca="1">IFERROR(__xludf.DUMMYFUNCTION("""COMPUTED_VALUE"""),"Fenbendazole")</f>
        <v>Fenbendazole</v>
      </c>
      <c r="B2867" t="str">
        <f ca="1">IFERROR(__xludf.DUMMYFUNCTION("""COMPUTED_VALUE"""),"RF-00000013-VET")</f>
        <v>RF-00000013-VET</v>
      </c>
    </row>
    <row r="2868" spans="1:2" ht="12.5" x14ac:dyDescent="0.25">
      <c r="A2868" t="str">
        <f ca="1">IFERROR(__xludf.DUMMYFUNCTION("""COMPUTED_VALUE"""),"Fenbuconazole")</f>
        <v>Fenbuconazole</v>
      </c>
      <c r="B2868" t="str">
        <f ca="1">IFERROR(__xludf.DUMMYFUNCTION("""COMPUTED_VALUE"""),"RF-0176-001-PPP")</f>
        <v>RF-0176-001-PPP</v>
      </c>
    </row>
    <row r="2869" spans="1:2" ht="12.5" x14ac:dyDescent="0.25">
      <c r="A2869" t="str">
        <f ca="1">IFERROR(__xludf.DUMMYFUNCTION("""COMPUTED_VALUE"""),"Fenbufen")</f>
        <v>Fenbufen</v>
      </c>
      <c r="B2869" t="str">
        <f ca="1">IFERROR(__xludf.DUMMYFUNCTION("""COMPUTED_VALUE"""),"RF-00000236-VET")</f>
        <v>RF-00000236-VET</v>
      </c>
    </row>
    <row r="2870" spans="1:2" ht="12.5" x14ac:dyDescent="0.25">
      <c r="A2870" t="str">
        <f ca="1">IFERROR(__xludf.DUMMYFUNCTION("""COMPUTED_VALUE"""),"Fenbutatin oxide")</f>
        <v>Fenbutatin oxide</v>
      </c>
      <c r="B2870" t="str">
        <f ca="1">IFERROR(__xludf.DUMMYFUNCTION("""COMPUTED_VALUE"""),"RF-0177-001-PPP")</f>
        <v>RF-0177-001-PPP</v>
      </c>
    </row>
    <row r="2871" spans="1:2" ht="12.5" x14ac:dyDescent="0.25">
      <c r="A2871" t="str">
        <f ca="1">IFERROR(__xludf.DUMMYFUNCTION("""COMPUTED_VALUE"""),"Fenchlorazol-Ethyl")</f>
        <v>Fenchlorazol-Ethyl</v>
      </c>
      <c r="B2871" t="str">
        <f ca="1">IFERROR(__xludf.DUMMYFUNCTION("""COMPUTED_VALUE"""),"RF-0673-001-PPP")</f>
        <v>RF-0673-001-PPP</v>
      </c>
    </row>
    <row r="2872" spans="1:2" ht="12.5" x14ac:dyDescent="0.25">
      <c r="A2872" t="str">
        <f ca="1">IFERROR(__xludf.DUMMYFUNCTION("""COMPUTED_VALUE"""),"Fenchlorazole")</f>
        <v>Fenchlorazole</v>
      </c>
      <c r="B2872" t="str">
        <f ca="1">IFERROR(__xludf.DUMMYFUNCTION("""COMPUTED_VALUE"""),"RF-1069-001-PPP")</f>
        <v>RF-1069-001-PPP</v>
      </c>
    </row>
    <row r="2873" spans="1:2" ht="12.5" x14ac:dyDescent="0.25">
      <c r="A2873" t="str">
        <f ca="1">IFERROR(__xludf.DUMMYFUNCTION("""COMPUTED_VALUE"""),"Fenchlorphos")</f>
        <v>Fenchlorphos</v>
      </c>
      <c r="B2873" t="str">
        <f ca="1">IFERROR(__xludf.DUMMYFUNCTION("""COMPUTED_VALUE"""),"RF-0178-002-PPP")</f>
        <v>RF-0178-002-PPP</v>
      </c>
    </row>
    <row r="2874" spans="1:2" ht="12.5" x14ac:dyDescent="0.25">
      <c r="A2874" t="str">
        <f ca="1">IFERROR(__xludf.DUMMYFUNCTION("""COMPUTED_VALUE"""),"Fenchlorphos (sum of fenchlorphos and fenchlorphos oxon expressed as fenchlorphos)")</f>
        <v>Fenchlorphos (sum of fenchlorphos and fenchlorphos oxon expressed as fenchlorphos)</v>
      </c>
      <c r="B2874" t="str">
        <f ca="1">IFERROR(__xludf.DUMMYFUNCTION("""COMPUTED_VALUE"""),"RF-0178-001-PPP")</f>
        <v>RF-0178-001-PPP</v>
      </c>
    </row>
    <row r="2875" spans="1:2" ht="12.5" x14ac:dyDescent="0.25">
      <c r="A2875" t="str">
        <f ca="1">IFERROR(__xludf.DUMMYFUNCTION("""COMPUTED_VALUE"""),"Fenchlorphos-oxon")</f>
        <v>Fenchlorphos-oxon</v>
      </c>
      <c r="B2875" t="str">
        <f ca="1">IFERROR(__xludf.DUMMYFUNCTION("""COMPUTED_VALUE"""),"RF-0178-003-PPP")</f>
        <v>RF-0178-003-PPP</v>
      </c>
    </row>
    <row r="2876" spans="1:2" ht="12.5" x14ac:dyDescent="0.25">
      <c r="A2876" t="str">
        <f ca="1">IFERROR(__xludf.DUMMYFUNCTION("""COMPUTED_VALUE"""),"Fenclorim")</f>
        <v>Fenclorim</v>
      </c>
      <c r="B2876" t="str">
        <f ca="1">IFERROR(__xludf.DUMMYFUNCTION("""COMPUTED_VALUE"""),"RF-0674-001-PPP")</f>
        <v>RF-0674-001-PPP</v>
      </c>
    </row>
    <row r="2877" spans="1:2" ht="12.5" x14ac:dyDescent="0.25">
      <c r="A2877" t="str">
        <f ca="1">IFERROR(__xludf.DUMMYFUNCTION("""COMPUTED_VALUE"""),"Fenfluthrin")</f>
        <v>Fenfluthrin</v>
      </c>
      <c r="B2877" t="str">
        <f ca="1">IFERROR(__xludf.DUMMYFUNCTION("""COMPUTED_VALUE"""),"RF-0675-001-PPP")</f>
        <v>RF-0675-001-PPP</v>
      </c>
    </row>
    <row r="2878" spans="1:2" ht="12.5" x14ac:dyDescent="0.25">
      <c r="A2878" t="str">
        <f ca="1">IFERROR(__xludf.DUMMYFUNCTION("""COMPUTED_VALUE"""),"Fenfuram")</f>
        <v>Fenfuram</v>
      </c>
      <c r="B2878" t="str">
        <f ca="1">IFERROR(__xludf.DUMMYFUNCTION("""COMPUTED_VALUE"""),"RF-0676-001-PPP")</f>
        <v>RF-0676-001-PPP</v>
      </c>
    </row>
    <row r="2879" spans="1:2" ht="12.5" x14ac:dyDescent="0.25">
      <c r="A2879" t="str">
        <f ca="1">IFERROR(__xludf.DUMMYFUNCTION("""COMPUTED_VALUE"""),"Fenhexamid")</f>
        <v>Fenhexamid</v>
      </c>
      <c r="B2879" t="str">
        <f ca="1">IFERROR(__xludf.DUMMYFUNCTION("""COMPUTED_VALUE"""),"RF-0179-001-PPP")</f>
        <v>RF-0179-001-PPP</v>
      </c>
    </row>
    <row r="2880" spans="1:2" ht="12.5" x14ac:dyDescent="0.25">
      <c r="A2880" t="str">
        <f ca="1">IFERROR(__xludf.DUMMYFUNCTION("""COMPUTED_VALUE"""),"Fenitrothion")</f>
        <v>Fenitrothion</v>
      </c>
      <c r="B2880" t="str">
        <f ca="1">IFERROR(__xludf.DUMMYFUNCTION("""COMPUTED_VALUE"""),"RF-0180-001-PPP")</f>
        <v>RF-0180-001-PPP</v>
      </c>
    </row>
    <row r="2881" spans="1:2" ht="12.5" x14ac:dyDescent="0.25">
      <c r="A2881" t="str">
        <f ca="1">IFERROR(__xludf.DUMMYFUNCTION("""COMPUTED_VALUE"""),"Fenobucarb")</f>
        <v>Fenobucarb</v>
      </c>
      <c r="B2881" t="str">
        <f ca="1">IFERROR(__xludf.DUMMYFUNCTION("""COMPUTED_VALUE"""),"RF-00000159-VET")</f>
        <v>RF-00000159-VET</v>
      </c>
    </row>
    <row r="2882" spans="1:2" ht="12.5" x14ac:dyDescent="0.25">
      <c r="A2882" t="str">
        <f ca="1">IFERROR(__xludf.DUMMYFUNCTION("""COMPUTED_VALUE"""),"Fenobucarb")</f>
        <v>Fenobucarb</v>
      </c>
      <c r="B2882" t="str">
        <f ca="1">IFERROR(__xludf.DUMMYFUNCTION("""COMPUTED_VALUE"""),"RF-0677-001-PPP")</f>
        <v>RF-0677-001-PPP</v>
      </c>
    </row>
    <row r="2883" spans="1:2" ht="12.5" x14ac:dyDescent="0.25">
      <c r="A2883" t="str">
        <f ca="1">IFERROR(__xludf.DUMMYFUNCTION("""COMPUTED_VALUE"""),"Fenoprofen")</f>
        <v>Fenoprofen</v>
      </c>
      <c r="B2883" t="str">
        <f ca="1">IFERROR(__xludf.DUMMYFUNCTION("""COMPUTED_VALUE"""),"RF-00000231-VET")</f>
        <v>RF-00000231-VET</v>
      </c>
    </row>
    <row r="2884" spans="1:2" ht="12.5" x14ac:dyDescent="0.25">
      <c r="A2884" t="str">
        <f ca="1">IFERROR(__xludf.DUMMYFUNCTION("""COMPUTED_VALUE"""),"Fenoterol")</f>
        <v>Fenoterol</v>
      </c>
      <c r="B2884" t="str">
        <f ca="1">IFERROR(__xludf.DUMMYFUNCTION("""COMPUTED_VALUE"""),"RF-00000486-VET")</f>
        <v>RF-00000486-VET</v>
      </c>
    </row>
    <row r="2885" spans="1:2" ht="12.5" x14ac:dyDescent="0.25">
      <c r="A2885" t="str">
        <f ca="1">IFERROR(__xludf.DUMMYFUNCTION("""COMPUTED_VALUE"""),"Fenoterol-ipratorium")</f>
        <v>Fenoterol-ipratorium</v>
      </c>
      <c r="B2885" t="str">
        <f ca="1">IFERROR(__xludf.DUMMYFUNCTION("""COMPUTED_VALUE"""),"RF-00000491-VET")</f>
        <v>RF-00000491-VET</v>
      </c>
    </row>
    <row r="2886" spans="1:2" ht="12.5" x14ac:dyDescent="0.25">
      <c r="A2886" t="str">
        <f ca="1">IFERROR(__xludf.DUMMYFUNCTION("""COMPUTED_VALUE"""),"Fenothiocarb")</f>
        <v>Fenothiocarb</v>
      </c>
      <c r="B2886" t="str">
        <f ca="1">IFERROR(__xludf.DUMMYFUNCTION("""COMPUTED_VALUE"""),"RF-0678-001-PPP")</f>
        <v>RF-0678-001-PPP</v>
      </c>
    </row>
    <row r="2887" spans="1:2" ht="12.5" x14ac:dyDescent="0.25">
      <c r="A2887" t="str">
        <f ca="1">IFERROR(__xludf.DUMMYFUNCTION("""COMPUTED_VALUE"""),"Fenoxanil")</f>
        <v>Fenoxanil</v>
      </c>
      <c r="B2887" t="str">
        <f ca="1">IFERROR(__xludf.DUMMYFUNCTION("""COMPUTED_VALUE"""),"RF-0679-001-PPP")</f>
        <v>RF-0679-001-PPP</v>
      </c>
    </row>
    <row r="2888" spans="1:2" ht="12.5" x14ac:dyDescent="0.25">
      <c r="A2888" t="str">
        <f ca="1">IFERROR(__xludf.DUMMYFUNCTION("""COMPUTED_VALUE"""),"Fenoxaprop")</f>
        <v>Fenoxaprop</v>
      </c>
      <c r="B2888" t="str">
        <f ca="1">IFERROR(__xludf.DUMMYFUNCTION("""COMPUTED_VALUE"""),"RF-0680-001-PPP")</f>
        <v>RF-0680-001-PPP</v>
      </c>
    </row>
    <row r="2889" spans="1:2" ht="12.5" x14ac:dyDescent="0.25">
      <c r="A2889" t="str">
        <f ca="1">IFERROR(__xludf.DUMMYFUNCTION("""COMPUTED_VALUE"""),"Fenoxaprop-ethyl")</f>
        <v>Fenoxaprop-ethyl</v>
      </c>
      <c r="B2889" t="str">
        <f ca="1">IFERROR(__xludf.DUMMYFUNCTION("""COMPUTED_VALUE"""),"RF-0681-002-PPP")</f>
        <v>RF-0681-002-PPP</v>
      </c>
    </row>
    <row r="2890" spans="1:2" ht="12.5" x14ac:dyDescent="0.25">
      <c r="A2890" t="str">
        <f ca="1">IFERROR(__xludf.DUMMYFUNCTION("""COMPUTED_VALUE"""),"Fenoxaprop-P")</f>
        <v>Fenoxaprop-P</v>
      </c>
      <c r="B2890" t="str">
        <f ca="1">IFERROR(__xludf.DUMMYFUNCTION("""COMPUTED_VALUE"""),"RF-0181-001-PPP")</f>
        <v>RF-0181-001-PPP</v>
      </c>
    </row>
    <row r="2891" spans="1:2" ht="12.5" x14ac:dyDescent="0.25">
      <c r="A2891" t="str">
        <f ca="1">IFERROR(__xludf.DUMMYFUNCTION("""COMPUTED_VALUE"""),"Fenoxaprop-P-Ethyl")</f>
        <v>Fenoxaprop-P-Ethyl</v>
      </c>
      <c r="B2891" t="str">
        <f ca="1">IFERROR(__xludf.DUMMYFUNCTION("""COMPUTED_VALUE"""),"RF-0681-001-PPP")</f>
        <v>RF-0681-001-PPP</v>
      </c>
    </row>
    <row r="2892" spans="1:2" ht="12.5" x14ac:dyDescent="0.25">
      <c r="A2892" t="str">
        <f ca="1">IFERROR(__xludf.DUMMYFUNCTION("""COMPUTED_VALUE"""),"Fenoxycarb")</f>
        <v>Fenoxycarb</v>
      </c>
      <c r="B2892" t="str">
        <f ca="1">IFERROR(__xludf.DUMMYFUNCTION("""COMPUTED_VALUE"""),"RF-00000154-VET")</f>
        <v>RF-00000154-VET</v>
      </c>
    </row>
    <row r="2893" spans="1:2" ht="12.5" x14ac:dyDescent="0.25">
      <c r="A2893" t="str">
        <f ca="1">IFERROR(__xludf.DUMMYFUNCTION("""COMPUTED_VALUE"""),"Fenoxycarb")</f>
        <v>Fenoxycarb</v>
      </c>
      <c r="B2893" t="str">
        <f ca="1">IFERROR(__xludf.DUMMYFUNCTION("""COMPUTED_VALUE"""),"RF-0182-001-PPP")</f>
        <v>RF-0182-001-PPP</v>
      </c>
    </row>
    <row r="2894" spans="1:2" ht="12.5" x14ac:dyDescent="0.25">
      <c r="A2894" t="str">
        <f ca="1">IFERROR(__xludf.DUMMYFUNCTION("""COMPUTED_VALUE"""),"Fenpiclonil")</f>
        <v>Fenpiclonil</v>
      </c>
      <c r="B2894" t="str">
        <f ca="1">IFERROR(__xludf.DUMMYFUNCTION("""COMPUTED_VALUE"""),"RF-0682-001-PPP")</f>
        <v>RF-0682-001-PPP</v>
      </c>
    </row>
    <row r="2895" spans="1:2" ht="12.5" x14ac:dyDescent="0.25">
      <c r="A2895" t="str">
        <f ca="1">IFERROR(__xludf.DUMMYFUNCTION("""COMPUTED_VALUE"""),"Fenpropathrin")</f>
        <v>Fenpropathrin</v>
      </c>
      <c r="B2895" t="str">
        <f ca="1">IFERROR(__xludf.DUMMYFUNCTION("""COMPUTED_VALUE"""),"RF-00000153-VET")</f>
        <v>RF-00000153-VET</v>
      </c>
    </row>
    <row r="2896" spans="1:2" ht="12.5" x14ac:dyDescent="0.25">
      <c r="A2896" t="str">
        <f ca="1">IFERROR(__xludf.DUMMYFUNCTION("""COMPUTED_VALUE"""),"Fenpropathrin")</f>
        <v>Fenpropathrin</v>
      </c>
      <c r="B2896" t="str">
        <f ca="1">IFERROR(__xludf.DUMMYFUNCTION("""COMPUTED_VALUE"""),"RF-0183-001-PPP")</f>
        <v>RF-0183-001-PPP</v>
      </c>
    </row>
    <row r="2897" spans="1:2" ht="12.5" x14ac:dyDescent="0.25">
      <c r="A2897" t="str">
        <f ca="1">IFERROR(__xludf.DUMMYFUNCTION("""COMPUTED_VALUE"""),"Fenpropidin")</f>
        <v>Fenpropidin</v>
      </c>
      <c r="B2897" t="str">
        <f ca="1">IFERROR(__xludf.DUMMYFUNCTION("""COMPUTED_VALUE"""),"RF-0184-001-PPP")</f>
        <v>RF-0184-001-PPP</v>
      </c>
    </row>
    <row r="2898" spans="1:2" ht="12.5" x14ac:dyDescent="0.25">
      <c r="A2898" t="str">
        <f ca="1">IFERROR(__xludf.DUMMYFUNCTION("""COMPUTED_VALUE"""),"Fenpropidin (sum of fenpropidin and CGA289267 expressed as fenpropidin)")</f>
        <v>Fenpropidin (sum of fenpropidin and CGA289267 expressed as fenpropidin)</v>
      </c>
      <c r="B2898" t="str">
        <f ca="1">IFERROR(__xludf.DUMMYFUNCTION("""COMPUTED_VALUE"""),"RF-0184-002-PPP")</f>
        <v>RF-0184-002-PPP</v>
      </c>
    </row>
    <row r="2899" spans="1:2" ht="12.5" x14ac:dyDescent="0.25">
      <c r="A2899" t="str">
        <f ca="1">IFERROR(__xludf.DUMMYFUNCTION("""COMPUTED_VALUE"""),"Fenpropimorph")</f>
        <v>Fenpropimorph</v>
      </c>
      <c r="B2899" t="str">
        <f ca="1">IFERROR(__xludf.DUMMYFUNCTION("""COMPUTED_VALUE"""),"RF-0185-001-PPP")</f>
        <v>RF-0185-001-PPP</v>
      </c>
    </row>
    <row r="2900" spans="1:2" ht="12.5" x14ac:dyDescent="0.25">
      <c r="A2900" t="str">
        <f ca="1">IFERROR(__xludf.DUMMYFUNCTION("""COMPUTED_VALUE"""),"Fenpropimorph carboxylic acid (BF 421-2) expressed as fenpropimorph")</f>
        <v>Fenpropimorph carboxylic acid (BF 421-2) expressed as fenpropimorph</v>
      </c>
      <c r="B2900" t="str">
        <f ca="1">IFERROR(__xludf.DUMMYFUNCTION("""COMPUTED_VALUE"""),"RF-0185-002-PPP")</f>
        <v>RF-0185-002-PPP</v>
      </c>
    </row>
    <row r="2901" spans="1:2" ht="12.5" x14ac:dyDescent="0.25">
      <c r="A2901" t="str">
        <f ca="1">IFERROR(__xludf.DUMMYFUNCTION("""COMPUTED_VALUE"""),"Fenpyroximate")</f>
        <v>Fenpyroximate</v>
      </c>
      <c r="B2901" t="str">
        <f ca="1">IFERROR(__xludf.DUMMYFUNCTION("""COMPUTED_VALUE"""),"RF-0186-001-PPP")</f>
        <v>RF-0186-001-PPP</v>
      </c>
    </row>
    <row r="2902" spans="1:2" ht="12.5" x14ac:dyDescent="0.25">
      <c r="A2902" t="str">
        <f ca="1">IFERROR(__xludf.DUMMYFUNCTION("""COMPUTED_VALUE"""),"Fenridazon")</f>
        <v>Fenridazon</v>
      </c>
      <c r="B2902" t="str">
        <f ca="1">IFERROR(__xludf.DUMMYFUNCTION("""COMPUTED_VALUE"""),"RF-0683-001-PPP")</f>
        <v>RF-0683-001-PPP</v>
      </c>
    </row>
    <row r="2903" spans="1:2" ht="12.5" x14ac:dyDescent="0.25">
      <c r="A2903" t="str">
        <f ca="1">IFERROR(__xludf.DUMMYFUNCTION("""COMPUTED_VALUE"""),"Fenson")</f>
        <v>Fenson</v>
      </c>
      <c r="B2903" t="str">
        <f ca="1">IFERROR(__xludf.DUMMYFUNCTION("""COMPUTED_VALUE"""),"RF-0684-001-PPP")</f>
        <v>RF-0684-001-PPP</v>
      </c>
    </row>
    <row r="2904" spans="1:2" ht="12.5" x14ac:dyDescent="0.25">
      <c r="A2904" t="str">
        <f ca="1">IFERROR(__xludf.DUMMYFUNCTION("""COMPUTED_VALUE"""),"Fensulfothion")</f>
        <v>Fensulfothion</v>
      </c>
      <c r="B2904" t="str">
        <f ca="1">IFERROR(__xludf.DUMMYFUNCTION("""COMPUTED_VALUE"""),"RF-0685-002-PPP")</f>
        <v>RF-0685-002-PPP</v>
      </c>
    </row>
    <row r="2905" spans="1:2" ht="12.5" x14ac:dyDescent="0.25">
      <c r="A2905" t="str">
        <f ca="1">IFERROR(__xludf.DUMMYFUNCTION("""COMPUTED_VALUE"""),"Fensulfothion (sum of fensulfothion, its oxygen analogue and their sulfones, expressed as fensulfothion)")</f>
        <v>Fensulfothion (sum of fensulfothion, its oxygen analogue and their sulfones, expressed as fensulfothion)</v>
      </c>
      <c r="B2905" t="str">
        <f ca="1">IFERROR(__xludf.DUMMYFUNCTION("""COMPUTED_VALUE"""),"RF-0685-001-PPP")</f>
        <v>RF-0685-001-PPP</v>
      </c>
    </row>
    <row r="2906" spans="1:2" ht="12.5" x14ac:dyDescent="0.25">
      <c r="A2906" t="str">
        <f ca="1">IFERROR(__xludf.DUMMYFUNCTION("""COMPUTED_VALUE"""),"Fensulfothion oxon")</f>
        <v>Fensulfothion oxon</v>
      </c>
      <c r="B2906" t="str">
        <f ca="1">IFERROR(__xludf.DUMMYFUNCTION("""COMPUTED_VALUE"""),"RF-0685-004-PPP")</f>
        <v>RF-0685-004-PPP</v>
      </c>
    </row>
    <row r="2907" spans="1:2" ht="12.5" x14ac:dyDescent="0.25">
      <c r="A2907" t="str">
        <f ca="1">IFERROR(__xludf.DUMMYFUNCTION("""COMPUTED_VALUE"""),"Fensulfothion-oxon-sulphone")</f>
        <v>Fensulfothion-oxon-sulphone</v>
      </c>
      <c r="B2907" t="str">
        <f ca="1">IFERROR(__xludf.DUMMYFUNCTION("""COMPUTED_VALUE"""),"RF-0685-005-PPP")</f>
        <v>RF-0685-005-PPP</v>
      </c>
    </row>
    <row r="2908" spans="1:2" ht="12.5" x14ac:dyDescent="0.25">
      <c r="A2908" t="str">
        <f ca="1">IFERROR(__xludf.DUMMYFUNCTION("""COMPUTED_VALUE"""),"Fensulfothion-sulfon")</f>
        <v>Fensulfothion-sulfon</v>
      </c>
      <c r="B2908" t="str">
        <f ca="1">IFERROR(__xludf.DUMMYFUNCTION("""COMPUTED_VALUE"""),"RF-0685-003-PPP")</f>
        <v>RF-0685-003-PPP</v>
      </c>
    </row>
    <row r="2909" spans="1:2" ht="12.5" x14ac:dyDescent="0.25">
      <c r="A2909" t="str">
        <f ca="1">IFERROR(__xludf.DUMMYFUNCTION("""COMPUTED_VALUE"""),"Fenthion")</f>
        <v>Fenthion</v>
      </c>
      <c r="B2909" t="str">
        <f ca="1">IFERROR(__xludf.DUMMYFUNCTION("""COMPUTED_VALUE"""),"RF-0187-006-PPP")</f>
        <v>RF-0187-006-PPP</v>
      </c>
    </row>
    <row r="2910" spans="1:2" ht="12.5" x14ac:dyDescent="0.25">
      <c r="A2910" t="str">
        <f ca="1">IFERROR(__xludf.DUMMYFUNCTION("""COMPUTED_VALUE"""),"Fenthion (fenthion and its oxigen analogue, their sulfoxides and sulfone expressed as parent)")</f>
        <v>Fenthion (fenthion and its oxigen analogue, their sulfoxides and sulfone expressed as parent)</v>
      </c>
      <c r="B2910" t="str">
        <f ca="1">IFERROR(__xludf.DUMMYFUNCTION("""COMPUTED_VALUE"""),"RF-0187-001-PPP")</f>
        <v>RF-0187-001-PPP</v>
      </c>
    </row>
    <row r="2911" spans="1:2" ht="12.5" x14ac:dyDescent="0.25">
      <c r="A2911" t="str">
        <f ca="1">IFERROR(__xludf.DUMMYFUNCTION("""COMPUTED_VALUE"""),"Fenthion oxon sulfone")</f>
        <v>Fenthion oxon sulfone</v>
      </c>
      <c r="B2911" t="str">
        <f ca="1">IFERROR(__xludf.DUMMYFUNCTION("""COMPUTED_VALUE"""),"RF-0187-007-PPP")</f>
        <v>RF-0187-007-PPP</v>
      </c>
    </row>
    <row r="2912" spans="1:2" ht="12.5" x14ac:dyDescent="0.25">
      <c r="A2912" t="str">
        <f ca="1">IFERROR(__xludf.DUMMYFUNCTION("""COMPUTED_VALUE"""),"Fenthion-Oxon")</f>
        <v>Fenthion-Oxon</v>
      </c>
      <c r="B2912" t="str">
        <f ca="1">IFERROR(__xludf.DUMMYFUNCTION("""COMPUTED_VALUE"""),"RF-0187-004-PPP")</f>
        <v>RF-0187-004-PPP</v>
      </c>
    </row>
    <row r="2913" spans="1:2" ht="12.5" x14ac:dyDescent="0.25">
      <c r="A2913" t="str">
        <f ca="1">IFERROR(__xludf.DUMMYFUNCTION("""COMPUTED_VALUE"""),"Fenthion-Oxonsulfoxide")</f>
        <v>Fenthion-Oxonsulfoxide</v>
      </c>
      <c r="B2913" t="str">
        <f ca="1">IFERROR(__xludf.DUMMYFUNCTION("""COMPUTED_VALUE"""),"RF-0187-005-PPP")</f>
        <v>RF-0187-005-PPP</v>
      </c>
    </row>
    <row r="2914" spans="1:2" ht="12.5" x14ac:dyDescent="0.25">
      <c r="A2914" t="str">
        <f ca="1">IFERROR(__xludf.DUMMYFUNCTION("""COMPUTED_VALUE"""),"Fenthion-Sulfon")</f>
        <v>Fenthion-Sulfon</v>
      </c>
      <c r="B2914" t="str">
        <f ca="1">IFERROR(__xludf.DUMMYFUNCTION("""COMPUTED_VALUE"""),"RF-0187-003-PPP")</f>
        <v>RF-0187-003-PPP</v>
      </c>
    </row>
    <row r="2915" spans="1:2" ht="12.5" x14ac:dyDescent="0.25">
      <c r="A2915" t="str">
        <f ca="1">IFERROR(__xludf.DUMMYFUNCTION("""COMPUTED_VALUE"""),"Fenthion-Sulfoxide")</f>
        <v>Fenthion-Sulfoxide</v>
      </c>
      <c r="B2915" t="str">
        <f ca="1">IFERROR(__xludf.DUMMYFUNCTION("""COMPUTED_VALUE"""),"RF-0187-002-PPP")</f>
        <v>RF-0187-002-PPP</v>
      </c>
    </row>
    <row r="2916" spans="1:2" ht="12.5" x14ac:dyDescent="0.25">
      <c r="A2916" t="str">
        <f ca="1">IFERROR(__xludf.DUMMYFUNCTION("""COMPUTED_VALUE"""),"Fentin acetate")</f>
        <v>Fentin acetate</v>
      </c>
      <c r="B2916" t="str">
        <f ca="1">IFERROR(__xludf.DUMMYFUNCTION("""COMPUTED_VALUE"""),"RF-0188-001-PPP")</f>
        <v>RF-0188-001-PPP</v>
      </c>
    </row>
    <row r="2917" spans="1:2" ht="12.5" x14ac:dyDescent="0.25">
      <c r="A2917" t="str">
        <f ca="1">IFERROR(__xludf.DUMMYFUNCTION("""COMPUTED_VALUE"""),"Fentin hydroxide")</f>
        <v>Fentin hydroxide</v>
      </c>
      <c r="B2917" t="str">
        <f ca="1">IFERROR(__xludf.DUMMYFUNCTION("""COMPUTED_VALUE"""),"RF-0189-001-PPP")</f>
        <v>RF-0189-001-PPP</v>
      </c>
    </row>
    <row r="2918" spans="1:2" ht="12.5" x14ac:dyDescent="0.25">
      <c r="A2918" t="str">
        <f ca="1">IFERROR(__xludf.DUMMYFUNCTION("""COMPUTED_VALUE"""),"Fentin, expressed as triphenlytin cation")</f>
        <v>Fentin, expressed as triphenlytin cation</v>
      </c>
      <c r="B2918" t="str">
        <f ca="1">IFERROR(__xludf.DUMMYFUNCTION("""COMPUTED_VALUE"""),"RF-0687-001-PPP")</f>
        <v>RF-0687-001-PPP</v>
      </c>
    </row>
    <row r="2919" spans="1:2" ht="12.5" x14ac:dyDescent="0.25">
      <c r="A2919" t="str">
        <f ca="1">IFERROR(__xludf.DUMMYFUNCTION("""COMPUTED_VALUE"""),"Fentrazamide")</f>
        <v>Fentrazamide</v>
      </c>
      <c r="B2919" t="str">
        <f ca="1">IFERROR(__xludf.DUMMYFUNCTION("""COMPUTED_VALUE"""),"RF-0688-001-PPP")</f>
        <v>RF-0688-001-PPP</v>
      </c>
    </row>
    <row r="2920" spans="1:2" ht="12.5" x14ac:dyDescent="0.25">
      <c r="A2920" t="str">
        <f ca="1">IFERROR(__xludf.DUMMYFUNCTION("""COMPUTED_VALUE"""),"Fenuron")</f>
        <v>Fenuron</v>
      </c>
      <c r="B2920" t="str">
        <f ca="1">IFERROR(__xludf.DUMMYFUNCTION("""COMPUTED_VALUE"""),"RF-0689-001-PPP")</f>
        <v>RF-0689-001-PPP</v>
      </c>
    </row>
    <row r="2921" spans="1:2" ht="12.5" x14ac:dyDescent="0.25">
      <c r="A2921" t="str">
        <f ca="1">IFERROR(__xludf.DUMMYFUNCTION("""COMPUTED_VALUE"""),"Fenvalerate")</f>
        <v>Fenvalerate</v>
      </c>
      <c r="B2921" t="str">
        <f ca="1">IFERROR(__xludf.DUMMYFUNCTION("""COMPUTED_VALUE"""),"RF-0973-001-PPP")</f>
        <v>RF-0973-001-PPP</v>
      </c>
    </row>
    <row r="2922" spans="1:2" ht="12.5" x14ac:dyDescent="0.25">
      <c r="A2922" t="str">
        <f ca="1">IFERROR(__xludf.DUMMYFUNCTION("""COMPUTED_VALUE"""),"Fenvalerate")</f>
        <v>Fenvalerate</v>
      </c>
      <c r="B2922" t="str">
        <f ca="1">IFERROR(__xludf.DUMMYFUNCTION("""COMPUTED_VALUE"""),"RF-0690-002-PPP")</f>
        <v>RF-0690-002-PPP</v>
      </c>
    </row>
    <row r="2923" spans="1:2" ht="12.5" x14ac:dyDescent="0.25">
      <c r="A2923" t="str">
        <f ca="1">IFERROR(__xludf.DUMMYFUNCTION("""COMPUTED_VALUE"""),"Fenvalerate (sum of RR, SS, RS and SR isomers)")</f>
        <v>Fenvalerate (sum of RR, SS, RS and SR isomers)</v>
      </c>
      <c r="B2923" t="str">
        <f ca="1">IFERROR(__xludf.DUMMYFUNCTION("""COMPUTED_VALUE"""),"RF-00000149-VET")</f>
        <v>RF-00000149-VET</v>
      </c>
    </row>
    <row r="2924" spans="1:2" ht="12.5" x14ac:dyDescent="0.25">
      <c r="A2924" t="str">
        <f ca="1">IFERROR(__xludf.DUMMYFUNCTION("""COMPUTED_VALUE"""),"Fenvalerate (sum of RR, SS, RS and SR isomers)")</f>
        <v>Fenvalerate (sum of RR, SS, RS and SR isomers)</v>
      </c>
      <c r="B2924" t="str">
        <f ca="1">IFERROR(__xludf.DUMMYFUNCTION("""COMPUTED_VALUE"""),"RF-0690-006-PPP")</f>
        <v>RF-0690-006-PPP</v>
      </c>
    </row>
    <row r="2925" spans="1:2" ht="12.5" x14ac:dyDescent="0.25">
      <c r="A2925" t="str">
        <f ca="1">IFERROR(__xludf.DUMMYFUNCTION("""COMPUTED_VALUE"""),"Fenvalerate and Esfenvalerate (Sum of RR and SS isomers)")</f>
        <v>Fenvalerate and Esfenvalerate (Sum of RR and SS isomers)</v>
      </c>
      <c r="B2925" t="str">
        <f ca="1">IFERROR(__xludf.DUMMYFUNCTION("""COMPUTED_VALUE"""),"RF-0190-001-PPP")</f>
        <v>RF-0190-001-PPP</v>
      </c>
    </row>
    <row r="2926" spans="1:2" ht="12.5" x14ac:dyDescent="0.25">
      <c r="A2926" t="str">
        <f ca="1">IFERROR(__xludf.DUMMYFUNCTION("""COMPUTED_VALUE"""),"Fenvalerate and Esfenvalerate (Sum of RR and SS isomers)")</f>
        <v>Fenvalerate and Esfenvalerate (Sum of RR and SS isomers)</v>
      </c>
      <c r="B2926" t="str">
        <f ca="1">IFERROR(__xludf.DUMMYFUNCTION("""COMPUTED_VALUE"""),"RF-0690-004-PPP")</f>
        <v>RF-0690-004-PPP</v>
      </c>
    </row>
    <row r="2927" spans="1:2" ht="12.5" x14ac:dyDescent="0.25">
      <c r="A2927" t="str">
        <f ca="1">IFERROR(__xludf.DUMMYFUNCTION("""COMPUTED_VALUE"""),"Fenvalerate and Esfenvalerate (Sum of RS and SR isomers)")</f>
        <v>Fenvalerate and Esfenvalerate (Sum of RS and SR isomers)</v>
      </c>
      <c r="B2927" t="str">
        <f ca="1">IFERROR(__xludf.DUMMYFUNCTION("""COMPUTED_VALUE"""),"RF-0191-001-PPP")</f>
        <v>RF-0191-001-PPP</v>
      </c>
    </row>
    <row r="2928" spans="1:2" ht="12.5" x14ac:dyDescent="0.25">
      <c r="A2928" t="str">
        <f ca="1">IFERROR(__xludf.DUMMYFUNCTION("""COMPUTED_VALUE"""),"Fenvalerate and Esfenvalerate (Sum of RS and SR isomers)")</f>
        <v>Fenvalerate and Esfenvalerate (Sum of RS and SR isomers)</v>
      </c>
      <c r="B2928" t="str">
        <f ca="1">IFERROR(__xludf.DUMMYFUNCTION("""COMPUTED_VALUE"""),"RF-0690-005-PPP")</f>
        <v>RF-0690-005-PPP</v>
      </c>
    </row>
    <row r="2929" spans="1:2" ht="12.5" x14ac:dyDescent="0.25">
      <c r="A2929" t="str">
        <f ca="1">IFERROR(__xludf.DUMMYFUNCTION("""COMPUTED_VALUE"""),"Fenvalerate-Esfenvalerate (sum)")</f>
        <v>Fenvalerate-Esfenvalerate (sum)</v>
      </c>
      <c r="B2929" t="str">
        <f ca="1">IFERROR(__xludf.DUMMYFUNCTION("""COMPUTED_VALUE"""),"RF-0690-001-PPP")</f>
        <v>RF-0690-001-PPP</v>
      </c>
    </row>
    <row r="2930" spans="1:2" ht="12.5" x14ac:dyDescent="0.25">
      <c r="A2930" t="str">
        <f ca="1">IFERROR(__xludf.DUMMYFUNCTION("""COMPUTED_VALUE"""),"Ferbam")</f>
        <v>Ferbam</v>
      </c>
      <c r="B2930" t="str">
        <f ca="1">IFERROR(__xludf.DUMMYFUNCTION("""COMPUTED_VALUE"""),"RF-0691-001-PPP")</f>
        <v>RF-0691-001-PPP</v>
      </c>
    </row>
    <row r="2931" spans="1:2" ht="12.5" x14ac:dyDescent="0.25">
      <c r="A2931" t="str">
        <f ca="1">IFERROR(__xludf.DUMMYFUNCTION("""COMPUTED_VALUE"""),"Ferrous gluconate")</f>
        <v>Ferrous gluconate</v>
      </c>
      <c r="B2931" t="str">
        <f ca="1">IFERROR(__xludf.DUMMYFUNCTION("""COMPUTED_VALUE"""),"RF-00000132-ADD")</f>
        <v>RF-00000132-ADD</v>
      </c>
    </row>
    <row r="2932" spans="1:2" ht="12.5" x14ac:dyDescent="0.25">
      <c r="A2932" t="str">
        <f ca="1">IFERROR(__xludf.DUMMYFUNCTION("""COMPUTED_VALUE"""),"Ferrous lactate")</f>
        <v>Ferrous lactate</v>
      </c>
      <c r="B2932" t="str">
        <f ca="1">IFERROR(__xludf.DUMMYFUNCTION("""COMPUTED_VALUE"""),"RF-00000133-ADD")</f>
        <v>RF-00000133-ADD</v>
      </c>
    </row>
    <row r="2933" spans="1:2" ht="12.5" x14ac:dyDescent="0.25">
      <c r="A2933" t="str">
        <f ca="1">IFERROR(__xludf.DUMMYFUNCTION("""COMPUTED_VALUE"""),"Festuclavine")</f>
        <v>Festuclavine</v>
      </c>
      <c r="B2933" t="str">
        <f ca="1">IFERROR(__xludf.DUMMYFUNCTION("""COMPUTED_VALUE"""),"RF-00000392-TOX")</f>
        <v>RF-00000392-TOX</v>
      </c>
    </row>
    <row r="2934" spans="1:2" ht="12.5" x14ac:dyDescent="0.25">
      <c r="A2934" t="str">
        <f ca="1">IFERROR(__xludf.DUMMYFUNCTION("""COMPUTED_VALUE"""),"fibre, crude")</f>
        <v>fibre, crude</v>
      </c>
      <c r="B2934" t="str">
        <f ca="1">IFERROR(__xludf.DUMMYFUNCTION("""COMPUTED_VALUE"""),"RF-00000283-NTR")</f>
        <v>RF-00000283-NTR</v>
      </c>
    </row>
    <row r="2935" spans="1:2" ht="12.5" x14ac:dyDescent="0.25">
      <c r="A2935" t="str">
        <f ca="1">IFERROR(__xludf.DUMMYFUNCTION("""COMPUTED_VALUE"""),"fibre, total dietary")</f>
        <v>fibre, total dietary</v>
      </c>
      <c r="B2935" t="str">
        <f ca="1">IFERROR(__xludf.DUMMYFUNCTION("""COMPUTED_VALUE"""),"RF-00000284-NTR")</f>
        <v>RF-00000284-NTR</v>
      </c>
    </row>
    <row r="2936" spans="1:2" ht="12.5" x14ac:dyDescent="0.25">
      <c r="A2936" t="str">
        <f ca="1">IFERROR(__xludf.DUMMYFUNCTION("""COMPUTED_VALUE"""),"fibre, water-insoluble")</f>
        <v>fibre, water-insoluble</v>
      </c>
      <c r="B2936" t="str">
        <f ca="1">IFERROR(__xludf.DUMMYFUNCTION("""COMPUTED_VALUE"""),"RF-00000285-NTR")</f>
        <v>RF-00000285-NTR</v>
      </c>
    </row>
    <row r="2937" spans="1:2" ht="12.5" x14ac:dyDescent="0.25">
      <c r="A2937" t="str">
        <f ca="1">IFERROR(__xludf.DUMMYFUNCTION("""COMPUTED_VALUE"""),"fibre, water-soluble")</f>
        <v>fibre, water-soluble</v>
      </c>
      <c r="B2937" t="str">
        <f ca="1">IFERROR(__xludf.DUMMYFUNCTION("""COMPUTED_VALUE"""),"RF-00000286-NTR")</f>
        <v>RF-00000286-NTR</v>
      </c>
    </row>
    <row r="2938" spans="1:2" ht="12.5" x14ac:dyDescent="0.25">
      <c r="A2938" t="str">
        <f ca="1">IFERROR(__xludf.DUMMYFUNCTION("""COMPUTED_VALUE"""),"Fipronil")</f>
        <v>Fipronil</v>
      </c>
      <c r="B2938" t="str">
        <f ca="1">IFERROR(__xludf.DUMMYFUNCTION("""COMPUTED_VALUE"""),"RF-0192-003-PPP")</f>
        <v>RF-0192-003-PPP</v>
      </c>
    </row>
    <row r="2939" spans="1:2" ht="12.5" x14ac:dyDescent="0.25">
      <c r="A2939" t="str">
        <f ca="1">IFERROR(__xludf.DUMMYFUNCTION("""COMPUTED_VALUE"""),"Fipronil (sum Fipronil and sulfone metabolite (MB46136) expressed as Fipronil)")</f>
        <v>Fipronil (sum Fipronil and sulfone metabolite (MB46136) expressed as Fipronil)</v>
      </c>
      <c r="B2939" t="str">
        <f ca="1">IFERROR(__xludf.DUMMYFUNCTION("""COMPUTED_VALUE"""),"RF-0192-001-PPP")</f>
        <v>RF-0192-001-PPP</v>
      </c>
    </row>
    <row r="2940" spans="1:2" ht="12.5" x14ac:dyDescent="0.25">
      <c r="A2940" t="str">
        <f ca="1">IFERROR(__xludf.DUMMYFUNCTION("""COMPUTED_VALUE"""),"Fipronil (sum of fipronil and fipronil-desulfinyl, expressed as fipronil)")</f>
        <v>Fipronil (sum of fipronil and fipronil-desulfinyl, expressed as fipronil)</v>
      </c>
      <c r="B2940" t="str">
        <f ca="1">IFERROR(__xludf.DUMMYFUNCTION("""COMPUTED_VALUE"""),"RF-0692-001-PPP")</f>
        <v>RF-0692-001-PPP</v>
      </c>
    </row>
    <row r="2941" spans="1:2" ht="12.5" x14ac:dyDescent="0.25">
      <c r="A2941" t="str">
        <f ca="1">IFERROR(__xludf.DUMMYFUNCTION("""COMPUTED_VALUE"""),"Fipronil-Desulfinyl")</f>
        <v>Fipronil-Desulfinyl</v>
      </c>
      <c r="B2941" t="str">
        <f ca="1">IFERROR(__xludf.DUMMYFUNCTION("""COMPUTED_VALUE"""),"RF-0692-002-PPP")</f>
        <v>RF-0692-002-PPP</v>
      </c>
    </row>
    <row r="2942" spans="1:2" ht="12.5" x14ac:dyDescent="0.25">
      <c r="A2942" t="str">
        <f ca="1">IFERROR(__xludf.DUMMYFUNCTION("""COMPUTED_VALUE"""),"Fipronil-Sulfide")</f>
        <v>Fipronil-Sulfide</v>
      </c>
      <c r="B2942" t="str">
        <f ca="1">IFERROR(__xludf.DUMMYFUNCTION("""COMPUTED_VALUE"""),"RF-0693-001-PPP")</f>
        <v>RF-0693-001-PPP</v>
      </c>
    </row>
    <row r="2943" spans="1:2" ht="12.5" x14ac:dyDescent="0.25">
      <c r="A2943" t="str">
        <f ca="1">IFERROR(__xludf.DUMMYFUNCTION("""COMPUTED_VALUE"""),"Fipronil-Sulfone")</f>
        <v>Fipronil-Sulfone</v>
      </c>
      <c r="B2943" t="str">
        <f ca="1">IFERROR(__xludf.DUMMYFUNCTION("""COMPUTED_VALUE"""),"RF-0192-002-PPP")</f>
        <v>RF-0192-002-PPP</v>
      </c>
    </row>
    <row r="2944" spans="1:2" ht="12.5" x14ac:dyDescent="0.25">
      <c r="A2944" t="str">
        <f ca="1">IFERROR(__xludf.DUMMYFUNCTION("""COMPUTED_VALUE"""),"Firocoxib")</f>
        <v>Firocoxib</v>
      </c>
      <c r="B2944" t="str">
        <f ca="1">IFERROR(__xludf.DUMMYFUNCTION("""COMPUTED_VALUE"""),"RF-00000210-VET")</f>
        <v>RF-00000210-VET</v>
      </c>
    </row>
    <row r="2945" spans="1:2" ht="12.5" x14ac:dyDescent="0.25">
      <c r="A2945" t="str">
        <f ca="1">IFERROR(__xludf.DUMMYFUNCTION("""COMPUTED_VALUE"""),"Flamprop")</f>
        <v>Flamprop</v>
      </c>
      <c r="B2945" t="str">
        <f ca="1">IFERROR(__xludf.DUMMYFUNCTION("""COMPUTED_VALUE"""),"RF-1046-001-PPP")</f>
        <v>RF-1046-001-PPP</v>
      </c>
    </row>
    <row r="2946" spans="1:2" ht="12.5" x14ac:dyDescent="0.25">
      <c r="A2946" t="str">
        <f ca="1">IFERROR(__xludf.DUMMYFUNCTION("""COMPUTED_VALUE"""),"Flamprop-isopropyl")</f>
        <v>Flamprop-isopropyl</v>
      </c>
      <c r="B2946" t="str">
        <f ca="1">IFERROR(__xludf.DUMMYFUNCTION("""COMPUTED_VALUE"""),"RF-1047-001-PPP")</f>
        <v>RF-1047-001-PPP</v>
      </c>
    </row>
    <row r="2947" spans="1:2" ht="12.5" x14ac:dyDescent="0.25">
      <c r="A2947" t="str">
        <f ca="1">IFERROR(__xludf.DUMMYFUNCTION("""COMPUTED_VALUE"""),"Flamprop-M-Isopropyl")</f>
        <v>Flamprop-M-Isopropyl</v>
      </c>
      <c r="B2947" t="str">
        <f ca="1">IFERROR(__xludf.DUMMYFUNCTION("""COMPUTED_VALUE"""),"RF-0694-001-PPP")</f>
        <v>RF-0694-001-PPP</v>
      </c>
    </row>
    <row r="2948" spans="1:2" ht="12.5" x14ac:dyDescent="0.25">
      <c r="A2948" t="str">
        <f ca="1">IFERROR(__xludf.DUMMYFUNCTION("""COMPUTED_VALUE"""),"Flamprop-M-Methyl")</f>
        <v>Flamprop-M-Methyl</v>
      </c>
      <c r="B2948" t="str">
        <f ca="1">IFERROR(__xludf.DUMMYFUNCTION("""COMPUTED_VALUE"""),"RF-0695-001-PPP")</f>
        <v>RF-0695-001-PPP</v>
      </c>
    </row>
    <row r="2949" spans="1:2" ht="12.5" x14ac:dyDescent="0.25">
      <c r="A2949" t="str">
        <f ca="1">IFERROR(__xludf.DUMMYFUNCTION("""COMPUTED_VALUE"""),"Flamprop-methyl")</f>
        <v>Flamprop-methyl</v>
      </c>
      <c r="B2949" t="str">
        <f ca="1">IFERROR(__xludf.DUMMYFUNCTION("""COMPUTED_VALUE"""),"RF-1048-001-PPP")</f>
        <v>RF-1048-001-PPP</v>
      </c>
    </row>
    <row r="2950" spans="1:2" ht="12.5" x14ac:dyDescent="0.25">
      <c r="A2950" t="str">
        <f ca="1">IFERROR(__xludf.DUMMYFUNCTION("""COMPUTED_VALUE"""),"Flavivirus")</f>
        <v>Flavivirus</v>
      </c>
      <c r="B2950" t="str">
        <f ca="1">IFERROR(__xludf.DUMMYFUNCTION("""COMPUTED_VALUE"""),"RF-00000216-MCG")</f>
        <v>RF-00000216-MCG</v>
      </c>
    </row>
    <row r="2951" spans="1:2" ht="12.5" x14ac:dyDescent="0.25">
      <c r="A2951" t="str">
        <f ca="1">IFERROR(__xludf.DUMMYFUNCTION("""COMPUTED_VALUE"""),"Flavivirus")</f>
        <v>Flavivirus</v>
      </c>
      <c r="B2951" t="str">
        <f ca="1">IFERROR(__xludf.DUMMYFUNCTION("""COMPUTED_VALUE"""),"RF-00000215-MCG")</f>
        <v>RF-00000215-MCG</v>
      </c>
    </row>
    <row r="2952" spans="1:2" ht="12.5" x14ac:dyDescent="0.25">
      <c r="A2952" t="str">
        <f ca="1">IFERROR(__xludf.DUMMYFUNCTION("""COMPUTED_VALUE"""),"Flavivirus")</f>
        <v>Flavivirus</v>
      </c>
      <c r="B2952" t="str">
        <f ca="1">IFERROR(__xludf.DUMMYFUNCTION("""COMPUTED_VALUE"""),"RF-00003896-MCG")</f>
        <v>RF-00003896-MCG</v>
      </c>
    </row>
    <row r="2953" spans="1:2" ht="12.5" x14ac:dyDescent="0.25">
      <c r="A2953" t="str">
        <f ca="1">IFERROR(__xludf.DUMMYFUNCTION("""COMPUTED_VALUE"""),"Flavivirus dengue virus")</f>
        <v>Flavivirus dengue virus</v>
      </c>
      <c r="B2953" t="str">
        <f ca="1">IFERROR(__xludf.DUMMYFUNCTION("""COMPUTED_VALUE"""),"RF-00002631-MCG")</f>
        <v>RF-00002631-MCG</v>
      </c>
    </row>
    <row r="2954" spans="1:2" ht="12.5" x14ac:dyDescent="0.25">
      <c r="A2954" t="str">
        <f ca="1">IFERROR(__xludf.DUMMYFUNCTION("""COMPUTED_VALUE"""),"Flavivirus Japanese encephalitis virus")</f>
        <v>Flavivirus Japanese encephalitis virus</v>
      </c>
      <c r="B2954" t="str">
        <f ca="1">IFERROR(__xludf.DUMMYFUNCTION("""COMPUTED_VALUE"""),"RF-00002632-MCG")</f>
        <v>RF-00002632-MCG</v>
      </c>
    </row>
    <row r="2955" spans="1:2" ht="12.5" x14ac:dyDescent="0.25">
      <c r="A2955" t="str">
        <f ca="1">IFERROR(__xludf.DUMMYFUNCTION("""COMPUTED_VALUE"""),"Flavivirus Kyasanur forest disease virus")</f>
        <v>Flavivirus Kyasanur forest disease virus</v>
      </c>
      <c r="B2955" t="str">
        <f ca="1">IFERROR(__xludf.DUMMYFUNCTION("""COMPUTED_VALUE"""),"RF-00002643-MCG")</f>
        <v>RF-00002643-MCG</v>
      </c>
    </row>
    <row r="2956" spans="1:2" ht="12.5" x14ac:dyDescent="0.25">
      <c r="A2956" t="str">
        <f ca="1">IFERROR(__xludf.DUMMYFUNCTION("""COMPUTED_VALUE"""),"Flavivirus Langat virus")</f>
        <v>Flavivirus Langat virus</v>
      </c>
      <c r="B2956" t="str">
        <f ca="1">IFERROR(__xludf.DUMMYFUNCTION("""COMPUTED_VALUE"""),"RF-00002640-MCG")</f>
        <v>RF-00002640-MCG</v>
      </c>
    </row>
    <row r="2957" spans="1:2" ht="12.5" x14ac:dyDescent="0.25">
      <c r="A2957" t="str">
        <f ca="1">IFERROR(__xludf.DUMMYFUNCTION("""COMPUTED_VALUE"""),"Flavivirus Louping ill virus")</f>
        <v>Flavivirus Louping ill virus</v>
      </c>
      <c r="B2957" t="str">
        <f ca="1">IFERROR(__xludf.DUMMYFUNCTION("""COMPUTED_VALUE"""),"RF-00002639-MCG")</f>
        <v>RF-00002639-MCG</v>
      </c>
    </row>
    <row r="2958" spans="1:2" ht="12.5" x14ac:dyDescent="0.25">
      <c r="A2958" t="str">
        <f ca="1">IFERROR(__xludf.DUMMYFUNCTION("""COMPUTED_VALUE"""),"Flavivirus Omsk haemorrhagic fever virus")</f>
        <v>Flavivirus Omsk haemorrhagic fever virus</v>
      </c>
      <c r="B2958" t="str">
        <f ca="1">IFERROR(__xludf.DUMMYFUNCTION("""COMPUTED_VALUE"""),"RF-00002642-MCG")</f>
        <v>RF-00002642-MCG</v>
      </c>
    </row>
    <row r="2959" spans="1:2" ht="12.5" x14ac:dyDescent="0.25">
      <c r="A2959" t="str">
        <f ca="1">IFERROR(__xludf.DUMMYFUNCTION("""COMPUTED_VALUE"""),"Flavivirus Powassan virus")</f>
        <v>Flavivirus Powassan virus</v>
      </c>
      <c r="B2959" t="str">
        <f ca="1">IFERROR(__xludf.DUMMYFUNCTION("""COMPUTED_VALUE"""),"RF-00002641-MCG")</f>
        <v>RF-00002641-MCG</v>
      </c>
    </row>
    <row r="2960" spans="1:2" ht="12.5" x14ac:dyDescent="0.25">
      <c r="A2960" t="str">
        <f ca="1">IFERROR(__xludf.DUMMYFUNCTION("""COMPUTED_VALUE"""),"Flavivirus St. Louis encephalitis virus")</f>
        <v>Flavivirus St. Louis encephalitis virus</v>
      </c>
      <c r="B2960" t="str">
        <f ca="1">IFERROR(__xludf.DUMMYFUNCTION("""COMPUTED_VALUE"""),"RF-00002634-MCG")</f>
        <v>RF-00002634-MCG</v>
      </c>
    </row>
    <row r="2961" spans="1:2" ht="12.5" x14ac:dyDescent="0.25">
      <c r="A2961" t="str">
        <f ca="1">IFERROR(__xludf.DUMMYFUNCTION("""COMPUTED_VALUE"""),"Flavivirus tick borne encephalitis virus (Eastern)")</f>
        <v>Flavivirus tick borne encephalitis virus (Eastern)</v>
      </c>
      <c r="B2961" t="str">
        <f ca="1">IFERROR(__xludf.DUMMYFUNCTION("""COMPUTED_VALUE"""),"RF-00002636-MCG")</f>
        <v>RF-00002636-MCG</v>
      </c>
    </row>
    <row r="2962" spans="1:2" ht="12.5" x14ac:dyDescent="0.25">
      <c r="A2962" t="str">
        <f ca="1">IFERROR(__xludf.DUMMYFUNCTION("""COMPUTED_VALUE"""),"Flavivirus tick borne encephalitis virus (Greek goat)")</f>
        <v>Flavivirus tick borne encephalitis virus (Greek goat)</v>
      </c>
      <c r="B2962" t="str">
        <f ca="1">IFERROR(__xludf.DUMMYFUNCTION("""COMPUTED_VALUE"""),"RF-00002638-MCG")</f>
        <v>RF-00002638-MCG</v>
      </c>
    </row>
    <row r="2963" spans="1:2" ht="12.5" x14ac:dyDescent="0.25">
      <c r="A2963" t="str">
        <f ca="1">IFERROR(__xludf.DUMMYFUNCTION("""COMPUTED_VALUE"""),"Flavivirus tick borne encephalitis virus (Turkish sheep)")</f>
        <v>Flavivirus tick borne encephalitis virus (Turkish sheep)</v>
      </c>
      <c r="B2963" t="str">
        <f ca="1">IFERROR(__xludf.DUMMYFUNCTION("""COMPUTED_VALUE"""),"RF-00002637-MCG")</f>
        <v>RF-00002637-MCG</v>
      </c>
    </row>
    <row r="2964" spans="1:2" ht="12.5" x14ac:dyDescent="0.25">
      <c r="A2964" t="str">
        <f ca="1">IFERROR(__xludf.DUMMYFUNCTION("""COMPUTED_VALUE"""),"Flavivirus tick borne encephalitis virus (Western)")</f>
        <v>Flavivirus tick borne encephalitis virus (Western)</v>
      </c>
      <c r="B2964" t="str">
        <f ca="1">IFERROR(__xludf.DUMMYFUNCTION("""COMPUTED_VALUE"""),"RF-00002635-MCG")</f>
        <v>RF-00002635-MCG</v>
      </c>
    </row>
    <row r="2965" spans="1:2" ht="12.5" x14ac:dyDescent="0.25">
      <c r="A2965" t="str">
        <f ca="1">IFERROR(__xludf.DUMMYFUNCTION("""COMPUTED_VALUE"""),"Flavivirus West Nile virus")</f>
        <v>Flavivirus West Nile virus</v>
      </c>
      <c r="B2965" t="str">
        <f ca="1">IFERROR(__xludf.DUMMYFUNCTION("""COMPUTED_VALUE"""),"RF-00002664-MCG")</f>
        <v>RF-00002664-MCG</v>
      </c>
    </row>
    <row r="2966" spans="1:2" ht="12.5" x14ac:dyDescent="0.25">
      <c r="A2966" t="str">
        <f ca="1">IFERROR(__xludf.DUMMYFUNCTION("""COMPUTED_VALUE"""),"Flavivirus yellow fever virus")</f>
        <v>Flavivirus yellow fever virus</v>
      </c>
      <c r="B2966" t="str">
        <f ca="1">IFERROR(__xludf.DUMMYFUNCTION("""COMPUTED_VALUE"""),"RF-00002633-MCG")</f>
        <v>RF-00002633-MCG</v>
      </c>
    </row>
    <row r="2967" spans="1:2" ht="12.5" x14ac:dyDescent="0.25">
      <c r="A2967" t="str">
        <f ca="1">IFERROR(__xludf.DUMMYFUNCTION("""COMPUTED_VALUE"""),"Flavivirus, unspecified")</f>
        <v>Flavivirus, unspecified</v>
      </c>
      <c r="B2967" t="str">
        <f ca="1">IFERROR(__xludf.DUMMYFUNCTION("""COMPUTED_VALUE"""),"RF-00000217-MCG")</f>
        <v>RF-00000217-MCG</v>
      </c>
    </row>
    <row r="2968" spans="1:2" ht="12.5" x14ac:dyDescent="0.25">
      <c r="A2968" t="str">
        <f ca="1">IFERROR(__xludf.DUMMYFUNCTION("""COMPUTED_VALUE"""),"Flavonoids")</f>
        <v>Flavonoids</v>
      </c>
      <c r="B2968" t="str">
        <f ca="1">IFERROR(__xludf.DUMMYFUNCTION("""COMPUTED_VALUE"""),"RF-00000437-NTR")</f>
        <v>RF-00000437-NTR</v>
      </c>
    </row>
    <row r="2969" spans="1:2" ht="12.5" x14ac:dyDescent="0.25">
      <c r="A2969" t="str">
        <f ca="1">IFERROR(__xludf.DUMMYFUNCTION("""COMPUTED_VALUE"""),"Flavophospholipol")</f>
        <v>Flavophospholipol</v>
      </c>
      <c r="B2969" t="str">
        <f ca="1">IFERROR(__xludf.DUMMYFUNCTION("""COMPUTED_VALUE"""),"RF-00000673-VET")</f>
        <v>RF-00000673-VET</v>
      </c>
    </row>
    <row r="2970" spans="1:2" ht="12.5" x14ac:dyDescent="0.25">
      <c r="A2970" t="str">
        <f ca="1">IFERROR(__xludf.DUMMYFUNCTION("""COMPUTED_VALUE"""),"Flazasulfuron")</f>
        <v>Flazasulfuron</v>
      </c>
      <c r="B2970" t="str">
        <f ca="1">IFERROR(__xludf.DUMMYFUNCTION("""COMPUTED_VALUE"""),"RF-0193-001-PPP")</f>
        <v>RF-0193-001-PPP</v>
      </c>
    </row>
    <row r="2971" spans="1:2" ht="12.5" x14ac:dyDescent="0.25">
      <c r="A2971" t="str">
        <f ca="1">IFERROR(__xludf.DUMMYFUNCTION("""COMPUTED_VALUE"""),"Flerobuterol")</f>
        <v>Flerobuterol</v>
      </c>
      <c r="B2971" t="str">
        <f ca="1">IFERROR(__xludf.DUMMYFUNCTION("""COMPUTED_VALUE"""),"RF-00000463-VET")</f>
        <v>RF-00000463-VET</v>
      </c>
    </row>
    <row r="2972" spans="1:2" ht="12.5" x14ac:dyDescent="0.25">
      <c r="A2972" t="str">
        <f ca="1">IFERROR(__xludf.DUMMYFUNCTION("""COMPUTED_VALUE"""),"Fleroxacin")</f>
        <v>Fleroxacin</v>
      </c>
      <c r="B2972" t="str">
        <f ca="1">IFERROR(__xludf.DUMMYFUNCTION("""COMPUTED_VALUE"""),"RF-00000599-VET")</f>
        <v>RF-00000599-VET</v>
      </c>
    </row>
    <row r="2973" spans="1:2" ht="12.5" x14ac:dyDescent="0.25">
      <c r="A2973" t="str">
        <f ca="1">IFERROR(__xludf.DUMMYFUNCTION("""COMPUTED_VALUE"""),"Flocoumafen")</f>
        <v>Flocoumafen</v>
      </c>
      <c r="B2973" t="str">
        <f ca="1">IFERROR(__xludf.DUMMYFUNCTION("""COMPUTED_VALUE"""),"RF-0696-001-PPP")</f>
        <v>RF-0696-001-PPP</v>
      </c>
    </row>
    <row r="2974" spans="1:2" ht="12.5" x14ac:dyDescent="0.25">
      <c r="A2974" t="str">
        <f ca="1">IFERROR(__xludf.DUMMYFUNCTION("""COMPUTED_VALUE"""),"Flonicamid")</f>
        <v>Flonicamid</v>
      </c>
      <c r="B2974" t="str">
        <f ca="1">IFERROR(__xludf.DUMMYFUNCTION("""COMPUTED_VALUE"""),"RF-0194-002-PPP")</f>
        <v>RF-0194-002-PPP</v>
      </c>
    </row>
    <row r="2975" spans="1:2" ht="12.5" x14ac:dyDescent="0.25">
      <c r="A2975" t="str">
        <f ca="1">IFERROR(__xludf.DUMMYFUNCTION("""COMPUTED_VALUE"""),"Flonicamid (sum of flonicamid, TNFG and TNFA)")</f>
        <v>Flonicamid (sum of flonicamid, TNFG and TNFA)</v>
      </c>
      <c r="B2975" t="str">
        <f ca="1">IFERROR(__xludf.DUMMYFUNCTION("""COMPUTED_VALUE"""),"RF-0194-001-PPP")</f>
        <v>RF-0194-001-PPP</v>
      </c>
    </row>
    <row r="2976" spans="1:2" ht="12.5" x14ac:dyDescent="0.25">
      <c r="A2976" t="str">
        <f ca="1">IFERROR(__xludf.DUMMYFUNCTION("""COMPUTED_VALUE"""),"Flonicamid and TFNA-AM, expressed as flonicamid")</f>
        <v>Flonicamid and TFNA-AM, expressed as flonicamid</v>
      </c>
      <c r="B2976" t="str">
        <f ca="1">IFERROR(__xludf.DUMMYFUNCTION("""COMPUTED_VALUE"""),"RF-1070-001-PPP")</f>
        <v>RF-1070-001-PPP</v>
      </c>
    </row>
    <row r="2977" spans="1:2" ht="12.5" x14ac:dyDescent="0.25">
      <c r="A2977" t="str">
        <f ca="1">IFERROR(__xludf.DUMMYFUNCTION("""COMPUTED_VALUE"""),"Florasulam")</f>
        <v>Florasulam</v>
      </c>
      <c r="B2977" t="str">
        <f ca="1">IFERROR(__xludf.DUMMYFUNCTION("""COMPUTED_VALUE"""),"RF-0195-001-PPP")</f>
        <v>RF-0195-001-PPP</v>
      </c>
    </row>
    <row r="2978" spans="1:2" ht="12.5" x14ac:dyDescent="0.25">
      <c r="A2978" t="str">
        <f ca="1">IFERROR(__xludf.DUMMYFUNCTION("""COMPUTED_VALUE"""),"Florfenicol")</f>
        <v>Florfenicol</v>
      </c>
      <c r="B2978" t="str">
        <f ca="1">IFERROR(__xludf.DUMMYFUNCTION("""COMPUTED_VALUE"""),"RF-00000590-VET")</f>
        <v>RF-00000590-VET</v>
      </c>
    </row>
    <row r="2979" spans="1:2" ht="12.5" x14ac:dyDescent="0.25">
      <c r="A2979" t="str">
        <f ca="1">IFERROR(__xludf.DUMMYFUNCTION("""COMPUTED_VALUE"""),"Florfenicol amine")</f>
        <v>Florfenicol amine</v>
      </c>
      <c r="B2979" t="str">
        <f ca="1">IFERROR(__xludf.DUMMYFUNCTION("""COMPUTED_VALUE"""),"RF-00000594-VET")</f>
        <v>RF-00000594-VET</v>
      </c>
    </row>
    <row r="2980" spans="1:2" ht="12.5" x14ac:dyDescent="0.25">
      <c r="A2980" t="str">
        <f ca="1">IFERROR(__xludf.DUMMYFUNCTION("""COMPUTED_VALUE"""),"Floridanine")</f>
        <v>Floridanine</v>
      </c>
      <c r="B2980" t="str">
        <f ca="1">IFERROR(__xludf.DUMMYFUNCTION("""COMPUTED_VALUE"""),"RF-00000393-TOX")</f>
        <v>RF-00000393-TOX</v>
      </c>
    </row>
    <row r="2981" spans="1:2" ht="12.5" x14ac:dyDescent="0.25">
      <c r="A2981" t="str">
        <f ca="1">IFERROR(__xludf.DUMMYFUNCTION("""COMPUTED_VALUE"""),"Florosenine")</f>
        <v>Florosenine</v>
      </c>
      <c r="B2981" t="str">
        <f ca="1">IFERROR(__xludf.DUMMYFUNCTION("""COMPUTED_VALUE"""),"RF-00000394-TOX")</f>
        <v>RF-00000394-TOX</v>
      </c>
    </row>
    <row r="2982" spans="1:2" ht="12.5" x14ac:dyDescent="0.25">
      <c r="A2982" t="str">
        <f ca="1">IFERROR(__xludf.DUMMYFUNCTION("""COMPUTED_VALUE"""),"Fluacrypyrim")</f>
        <v>Fluacrypyrim</v>
      </c>
      <c r="B2982" t="str">
        <f ca="1">IFERROR(__xludf.DUMMYFUNCTION("""COMPUTED_VALUE"""),"RF-0697-001-PPP")</f>
        <v>RF-0697-001-PPP</v>
      </c>
    </row>
    <row r="2983" spans="1:2" ht="12.5" x14ac:dyDescent="0.25">
      <c r="A2983" t="str">
        <f ca="1">IFERROR(__xludf.DUMMYFUNCTION("""COMPUTED_VALUE"""),"Fluazifop (free acid)")</f>
        <v>Fluazifop (free acid)</v>
      </c>
      <c r="B2983" t="str">
        <f ca="1">IFERROR(__xludf.DUMMYFUNCTION("""COMPUTED_VALUE"""),"RF-0698-001-PPP")</f>
        <v>RF-0698-001-PPP</v>
      </c>
    </row>
    <row r="2984" spans="1:2" ht="12.5" x14ac:dyDescent="0.25">
      <c r="A2984" t="str">
        <f ca="1">IFERROR(__xludf.DUMMYFUNCTION("""COMPUTED_VALUE"""),"Fluazifop-Butyl")</f>
        <v>Fluazifop-Butyl</v>
      </c>
      <c r="B2984" t="str">
        <f ca="1">IFERROR(__xludf.DUMMYFUNCTION("""COMPUTED_VALUE"""),"RF-0699-001-PPP")</f>
        <v>RF-0699-001-PPP</v>
      </c>
    </row>
    <row r="2985" spans="1:2" ht="12.5" x14ac:dyDescent="0.25">
      <c r="A2985" t="str">
        <f ca="1">IFERROR(__xludf.DUMMYFUNCTION("""COMPUTED_VALUE"""),"Fluazifop-methyl")</f>
        <v>Fluazifop-methyl</v>
      </c>
      <c r="B2985" t="str">
        <f ca="1">IFERROR(__xludf.DUMMYFUNCTION("""COMPUTED_VALUE"""),"RF-0699-002-PPP")</f>
        <v>RF-0699-002-PPP</v>
      </c>
    </row>
    <row r="2986" spans="1:2" ht="12.5" x14ac:dyDescent="0.25">
      <c r="A2986" t="str">
        <f ca="1">IFERROR(__xludf.DUMMYFUNCTION("""COMPUTED_VALUE"""),"Fluazifop-P")</f>
        <v>Fluazifop-P</v>
      </c>
      <c r="B2986" t="str">
        <f ca="1">IFERROR(__xludf.DUMMYFUNCTION("""COMPUTED_VALUE"""),"RF-00000022-PAR")</f>
        <v>RF-00000022-PAR</v>
      </c>
    </row>
    <row r="2987" spans="1:2" ht="12.5" x14ac:dyDescent="0.25">
      <c r="A2987" t="str">
        <f ca="1">IFERROR(__xludf.DUMMYFUNCTION("""COMPUTED_VALUE"""),"Fluazifop-P-butyl")</f>
        <v>Fluazifop-P-butyl</v>
      </c>
      <c r="B2987" t="str">
        <f ca="1">IFERROR(__xludf.DUMMYFUNCTION("""COMPUTED_VALUE"""),"RF-0197-002-PPP")</f>
        <v>RF-0197-002-PPP</v>
      </c>
    </row>
    <row r="2988" spans="1:2" ht="12.5" x14ac:dyDescent="0.25">
      <c r="A2988" t="str">
        <f ca="1">IFERROR(__xludf.DUMMYFUNCTION("""COMPUTED_VALUE"""),"Fluazifop-P-butyl (fluazifop acid (free and conjugate))")</f>
        <v>Fluazifop-P-butyl (fluazifop acid (free and conjugate))</v>
      </c>
      <c r="B2988" t="str">
        <f ca="1">IFERROR(__xludf.DUMMYFUNCTION("""COMPUTED_VALUE"""),"RF-0197-001-PPP")</f>
        <v>RF-0197-001-PPP</v>
      </c>
    </row>
    <row r="2989" spans="1:2" ht="12.5" x14ac:dyDescent="0.25">
      <c r="A2989" t="str">
        <f ca="1">IFERROR(__xludf.DUMMYFUNCTION("""COMPUTED_VALUE"""),"Fluazinam")</f>
        <v>Fluazinam</v>
      </c>
      <c r="B2989" t="str">
        <f ca="1">IFERROR(__xludf.DUMMYFUNCTION("""COMPUTED_VALUE"""),"RF-0198-001-PPP")</f>
        <v>RF-0198-001-PPP</v>
      </c>
    </row>
    <row r="2990" spans="1:2" ht="12.5" x14ac:dyDescent="0.25">
      <c r="A2990" t="str">
        <f ca="1">IFERROR(__xludf.DUMMYFUNCTION("""COMPUTED_VALUE"""),"Fluazolate")</f>
        <v>Fluazolate</v>
      </c>
      <c r="B2990" t="str">
        <f ca="1">IFERROR(__xludf.DUMMYFUNCTION("""COMPUTED_VALUE"""),"RF-0700-001-PPP")</f>
        <v>RF-0700-001-PPP</v>
      </c>
    </row>
    <row r="2991" spans="1:2" ht="12.5" x14ac:dyDescent="0.25">
      <c r="A2991" t="str">
        <f ca="1">IFERROR(__xludf.DUMMYFUNCTION("""COMPUTED_VALUE"""),"Fluazuron")</f>
        <v>Fluazuron</v>
      </c>
      <c r="B2991" t="str">
        <f ca="1">IFERROR(__xludf.DUMMYFUNCTION("""COMPUTED_VALUE"""),"RF-00000244-VET")</f>
        <v>RF-00000244-VET</v>
      </c>
    </row>
    <row r="2992" spans="1:2" ht="12.5" x14ac:dyDescent="0.25">
      <c r="A2992" t="str">
        <f ca="1">IFERROR(__xludf.DUMMYFUNCTION("""COMPUTED_VALUE"""),"Fluazuron")</f>
        <v>Fluazuron</v>
      </c>
      <c r="B2992" t="str">
        <f ca="1">IFERROR(__xludf.DUMMYFUNCTION("""COMPUTED_VALUE"""),"RF-0701-001-PPP")</f>
        <v>RF-0701-001-PPP</v>
      </c>
    </row>
    <row r="2993" spans="1:2" ht="12.5" x14ac:dyDescent="0.25">
      <c r="A2993" t="str">
        <f ca="1">IFERROR(__xludf.DUMMYFUNCTION("""COMPUTED_VALUE"""),"Flubendazole")</f>
        <v>Flubendazole</v>
      </c>
      <c r="B2993" t="str">
        <f ca="1">IFERROR(__xludf.DUMMYFUNCTION("""COMPUTED_VALUE"""),"RF-00000007-VET")</f>
        <v>RF-00000007-VET</v>
      </c>
    </row>
    <row r="2994" spans="1:2" ht="12.5" x14ac:dyDescent="0.25">
      <c r="A2994" t="str">
        <f ca="1">IFERROR(__xludf.DUMMYFUNCTION("""COMPUTED_VALUE"""),"Flubendiamide")</f>
        <v>Flubendiamide</v>
      </c>
      <c r="B2994" t="str">
        <f ca="1">IFERROR(__xludf.DUMMYFUNCTION("""COMPUTED_VALUE"""),"RF-0199-001-PPP")</f>
        <v>RF-0199-001-PPP</v>
      </c>
    </row>
    <row r="2995" spans="1:2" ht="12.5" x14ac:dyDescent="0.25">
      <c r="A2995" t="str">
        <f ca="1">IFERROR(__xludf.DUMMYFUNCTION("""COMPUTED_VALUE"""),"Flubenzimine")</f>
        <v>Flubenzimine</v>
      </c>
      <c r="B2995" t="str">
        <f ca="1">IFERROR(__xludf.DUMMYFUNCTION("""COMPUTED_VALUE"""),"RF-0702-001-PPP")</f>
        <v>RF-0702-001-PPP</v>
      </c>
    </row>
    <row r="2996" spans="1:2" ht="12.5" x14ac:dyDescent="0.25">
      <c r="A2996" t="str">
        <f ca="1">IFERROR(__xludf.DUMMYFUNCTION("""COMPUTED_VALUE"""),"Fluchloralin")</f>
        <v>Fluchloralin</v>
      </c>
      <c r="B2996" t="str">
        <f ca="1">IFERROR(__xludf.DUMMYFUNCTION("""COMPUTED_VALUE"""),"RF-0703-001-PPP")</f>
        <v>RF-0703-001-PPP</v>
      </c>
    </row>
    <row r="2997" spans="1:2" ht="12.5" x14ac:dyDescent="0.25">
      <c r="A2997" t="str">
        <f ca="1">IFERROR(__xludf.DUMMYFUNCTION("""COMPUTED_VALUE"""),"Flucycloxuron")</f>
        <v>Flucycloxuron</v>
      </c>
      <c r="B2997" t="str">
        <f ca="1">IFERROR(__xludf.DUMMYFUNCTION("""COMPUTED_VALUE"""),"RF-0200-001-PPP")</f>
        <v>RF-0200-001-PPP</v>
      </c>
    </row>
    <row r="2998" spans="1:2" ht="12.5" x14ac:dyDescent="0.25">
      <c r="A2998" t="str">
        <f ca="1">IFERROR(__xludf.DUMMYFUNCTION("""COMPUTED_VALUE"""),"Flucythrinate")</f>
        <v>Flucythrinate</v>
      </c>
      <c r="B2998" t="str">
        <f ca="1">IFERROR(__xludf.DUMMYFUNCTION("""COMPUTED_VALUE"""),"RF-00000134-VET")</f>
        <v>RF-00000134-VET</v>
      </c>
    </row>
    <row r="2999" spans="1:2" ht="12.5" x14ac:dyDescent="0.25">
      <c r="A2999" t="str">
        <f ca="1">IFERROR(__xludf.DUMMYFUNCTION("""COMPUTED_VALUE"""),"Flucythrinate")</f>
        <v>Flucythrinate</v>
      </c>
      <c r="B2999" t="str">
        <f ca="1">IFERROR(__xludf.DUMMYFUNCTION("""COMPUTED_VALUE"""),"RF-0201-001-PPP")</f>
        <v>RF-0201-001-PPP</v>
      </c>
    </row>
    <row r="3000" spans="1:2" ht="12.5" x14ac:dyDescent="0.25">
      <c r="A3000" t="str">
        <f ca="1">IFERROR(__xludf.DUMMYFUNCTION("""COMPUTED_VALUE"""),"Flucythrinate (sum of isomers expressed as flucythrinate)")</f>
        <v>Flucythrinate (sum of isomers expressed as flucythrinate)</v>
      </c>
      <c r="B3000" t="str">
        <f ca="1">IFERROR(__xludf.DUMMYFUNCTION("""COMPUTED_VALUE"""),"RF-0201-002-PPP")</f>
        <v>RF-0201-002-PPP</v>
      </c>
    </row>
    <row r="3001" spans="1:2" ht="12.5" x14ac:dyDescent="0.25">
      <c r="A3001" t="str">
        <f ca="1">IFERROR(__xludf.DUMMYFUNCTION("""COMPUTED_VALUE"""),"Fludioxonil")</f>
        <v>Fludioxonil</v>
      </c>
      <c r="B3001" t="str">
        <f ca="1">IFERROR(__xludf.DUMMYFUNCTION("""COMPUTED_VALUE"""),"RF-0202-001-PPP")</f>
        <v>RF-0202-001-PPP</v>
      </c>
    </row>
    <row r="3002" spans="1:2" ht="12.5" x14ac:dyDescent="0.25">
      <c r="A3002" t="str">
        <f ca="1">IFERROR(__xludf.DUMMYFUNCTION("""COMPUTED_VALUE"""),"Fludrocortisone")</f>
        <v>Fludrocortisone</v>
      </c>
      <c r="B3002" t="str">
        <f ca="1">IFERROR(__xludf.DUMMYFUNCTION("""COMPUTED_VALUE"""),"RF-00000256-VET")</f>
        <v>RF-00000256-VET</v>
      </c>
    </row>
    <row r="3003" spans="1:2" ht="12.5" x14ac:dyDescent="0.25">
      <c r="A3003" t="str">
        <f ca="1">IFERROR(__xludf.DUMMYFUNCTION("""COMPUTED_VALUE"""),"Flufenacet")</f>
        <v>Flufenacet</v>
      </c>
      <c r="B3003" t="str">
        <f ca="1">IFERROR(__xludf.DUMMYFUNCTION("""COMPUTED_VALUE"""),"RF-0203-002-PPP")</f>
        <v>RF-0203-002-PPP</v>
      </c>
    </row>
    <row r="3004" spans="1:2" ht="12.5" x14ac:dyDescent="0.25">
      <c r="A3004" t="str">
        <f ca="1">IFERROR(__xludf.DUMMYFUNCTION("""COMPUTED_VALUE"""),"Flufenacet (sum of all compounds containing the N fluorophenyl-N-isopropyl moiety expressed as flufenacet equivalent)")</f>
        <v>Flufenacet (sum of all compounds containing the N fluorophenyl-N-isopropyl moiety expressed as flufenacet equivalent)</v>
      </c>
      <c r="B3004" t="str">
        <f ca="1">IFERROR(__xludf.DUMMYFUNCTION("""COMPUTED_VALUE"""),"RF-0203-001-PPP")</f>
        <v>RF-0203-001-PPP</v>
      </c>
    </row>
    <row r="3005" spans="1:2" ht="12.5" x14ac:dyDescent="0.25">
      <c r="A3005" t="str">
        <f ca="1">IFERROR(__xludf.DUMMYFUNCTION("""COMPUTED_VALUE"""),"Flufenamic-Acid")</f>
        <v>Flufenamic-Acid</v>
      </c>
      <c r="B3005" t="str">
        <f ca="1">IFERROR(__xludf.DUMMYFUNCTION("""COMPUTED_VALUE"""),"RF-00000214-VET")</f>
        <v>RF-00000214-VET</v>
      </c>
    </row>
    <row r="3006" spans="1:2" ht="12.5" x14ac:dyDescent="0.25">
      <c r="A3006" t="str">
        <f ca="1">IFERROR(__xludf.DUMMYFUNCTION("""COMPUTED_VALUE"""),"Flufenoxuron")</f>
        <v>Flufenoxuron</v>
      </c>
      <c r="B3006" t="str">
        <f ca="1">IFERROR(__xludf.DUMMYFUNCTION("""COMPUTED_VALUE"""),"RF-0204-001-PPP")</f>
        <v>RF-0204-001-PPP</v>
      </c>
    </row>
    <row r="3007" spans="1:2" ht="12.5" x14ac:dyDescent="0.25">
      <c r="A3007" t="str">
        <f ca="1">IFERROR(__xludf.DUMMYFUNCTION("""COMPUTED_VALUE"""),"Flufenprox")</f>
        <v>Flufenprox</v>
      </c>
      <c r="B3007" t="str">
        <f ca="1">IFERROR(__xludf.DUMMYFUNCTION("""COMPUTED_VALUE"""),"RF-0704-001-PPP")</f>
        <v>RF-0704-001-PPP</v>
      </c>
    </row>
    <row r="3008" spans="1:2" ht="12.5" x14ac:dyDescent="0.25">
      <c r="A3008" t="str">
        <f ca="1">IFERROR(__xludf.DUMMYFUNCTION("""COMPUTED_VALUE"""),"Flufenzin")</f>
        <v>Flufenzin</v>
      </c>
      <c r="B3008" t="str">
        <f ca="1">IFERROR(__xludf.DUMMYFUNCTION("""COMPUTED_VALUE"""),"RF-0205-001-PPP")</f>
        <v>RF-0205-001-PPP</v>
      </c>
    </row>
    <row r="3009" spans="1:2" ht="12.5" x14ac:dyDescent="0.25">
      <c r="A3009" t="str">
        <f ca="1">IFERROR(__xludf.DUMMYFUNCTION("""COMPUTED_VALUE"""),"Flugestone")</f>
        <v>Flugestone</v>
      </c>
      <c r="B3009" t="str">
        <f ca="1">IFERROR(__xludf.DUMMYFUNCTION("""COMPUTED_VALUE"""),"RF-00000378-VET")</f>
        <v>RF-00000378-VET</v>
      </c>
    </row>
    <row r="3010" spans="1:2" ht="12.5" x14ac:dyDescent="0.25">
      <c r="A3010" t="str">
        <f ca="1">IFERROR(__xludf.DUMMYFUNCTION("""COMPUTED_VALUE"""),"Flugestone-17-Acetate")</f>
        <v>Flugestone-17-Acetate</v>
      </c>
      <c r="B3010" t="str">
        <f ca="1">IFERROR(__xludf.DUMMYFUNCTION("""COMPUTED_VALUE"""),"RF-00000375-VET")</f>
        <v>RF-00000375-VET</v>
      </c>
    </row>
    <row r="3011" spans="1:2" ht="12.5" x14ac:dyDescent="0.25">
      <c r="A3011" t="str">
        <f ca="1">IFERROR(__xludf.DUMMYFUNCTION("""COMPUTED_VALUE"""),"Flumequine")</f>
        <v>Flumequine</v>
      </c>
      <c r="B3011" t="str">
        <f ca="1">IFERROR(__xludf.DUMMYFUNCTION("""COMPUTED_VALUE"""),"RF-00000561-VET")</f>
        <v>RF-00000561-VET</v>
      </c>
    </row>
    <row r="3012" spans="1:2" ht="12.5" x14ac:dyDescent="0.25">
      <c r="A3012" t="str">
        <f ca="1">IFERROR(__xludf.DUMMYFUNCTION("""COMPUTED_VALUE"""),"Flumethasone")</f>
        <v>Flumethasone</v>
      </c>
      <c r="B3012" t="str">
        <f ca="1">IFERROR(__xludf.DUMMYFUNCTION("""COMPUTED_VALUE"""),"RF-00000398-VET")</f>
        <v>RF-00000398-VET</v>
      </c>
    </row>
    <row r="3013" spans="1:2" ht="12.5" x14ac:dyDescent="0.25">
      <c r="A3013" t="str">
        <f ca="1">IFERROR(__xludf.DUMMYFUNCTION("""COMPUTED_VALUE"""),"Flumethrin")</f>
        <v>Flumethrin</v>
      </c>
      <c r="B3013" t="str">
        <f ca="1">IFERROR(__xludf.DUMMYFUNCTION("""COMPUTED_VALUE"""),"RF-00000136-VET")</f>
        <v>RF-00000136-VET</v>
      </c>
    </row>
    <row r="3014" spans="1:2" ht="12.5" x14ac:dyDescent="0.25">
      <c r="A3014" t="str">
        <f ca="1">IFERROR(__xludf.DUMMYFUNCTION("""COMPUTED_VALUE"""),"Flumethrin")</f>
        <v>Flumethrin</v>
      </c>
      <c r="B3014" t="str">
        <f ca="1">IFERROR(__xludf.DUMMYFUNCTION("""COMPUTED_VALUE"""),"RF-0705-001-PPP")</f>
        <v>RF-0705-001-PPP</v>
      </c>
    </row>
    <row r="3015" spans="1:2" ht="12.5" x14ac:dyDescent="0.25">
      <c r="A3015" t="str">
        <f ca="1">IFERROR(__xludf.DUMMYFUNCTION("""COMPUTED_VALUE"""),"Flumetralin")</f>
        <v>Flumetralin</v>
      </c>
      <c r="B3015" t="str">
        <f ca="1">IFERROR(__xludf.DUMMYFUNCTION("""COMPUTED_VALUE"""),"RF-0706-001-PPP")</f>
        <v>RF-0706-001-PPP</v>
      </c>
    </row>
    <row r="3016" spans="1:2" ht="12.5" x14ac:dyDescent="0.25">
      <c r="A3016" t="str">
        <f ca="1">IFERROR(__xludf.DUMMYFUNCTION("""COMPUTED_VALUE"""),"Flumetsulam")</f>
        <v>Flumetsulam</v>
      </c>
      <c r="B3016" t="str">
        <f ca="1">IFERROR(__xludf.DUMMYFUNCTION("""COMPUTED_VALUE"""),"RF-0707-001-PPP")</f>
        <v>RF-0707-001-PPP</v>
      </c>
    </row>
    <row r="3017" spans="1:2" ht="12.5" x14ac:dyDescent="0.25">
      <c r="A3017" t="str">
        <f ca="1">IFERROR(__xludf.DUMMYFUNCTION("""COMPUTED_VALUE"""),"Flumiclorac")</f>
        <v>Flumiclorac</v>
      </c>
      <c r="B3017" t="str">
        <f ca="1">IFERROR(__xludf.DUMMYFUNCTION("""COMPUTED_VALUE"""),"RF-0708-001-PPP")</f>
        <v>RF-0708-001-PPP</v>
      </c>
    </row>
    <row r="3018" spans="1:2" ht="12.5" x14ac:dyDescent="0.25">
      <c r="A3018" t="str">
        <f ca="1">IFERROR(__xludf.DUMMYFUNCTION("""COMPUTED_VALUE"""),"Flumiclorac-Pentyl")</f>
        <v>Flumiclorac-Pentyl</v>
      </c>
      <c r="B3018" t="str">
        <f ca="1">IFERROR(__xludf.DUMMYFUNCTION("""COMPUTED_VALUE"""),"RF-0709-001-PPP")</f>
        <v>RF-0709-001-PPP</v>
      </c>
    </row>
    <row r="3019" spans="1:2" ht="12.5" x14ac:dyDescent="0.25">
      <c r="A3019" t="str">
        <f ca="1">IFERROR(__xludf.DUMMYFUNCTION("""COMPUTED_VALUE"""),"Flumioxazine")</f>
        <v>Flumioxazine</v>
      </c>
      <c r="B3019" t="str">
        <f ca="1">IFERROR(__xludf.DUMMYFUNCTION("""COMPUTED_VALUE"""),"RF-0206-001-PPP")</f>
        <v>RF-0206-001-PPP</v>
      </c>
    </row>
    <row r="3020" spans="1:2" ht="12.5" x14ac:dyDescent="0.25">
      <c r="A3020" t="str">
        <f ca="1">IFERROR(__xludf.DUMMYFUNCTION("""COMPUTED_VALUE"""),"Flunisolide")</f>
        <v>Flunisolide</v>
      </c>
      <c r="B3020" t="str">
        <f ca="1">IFERROR(__xludf.DUMMYFUNCTION("""COMPUTED_VALUE"""),"RF-00000276-VET")</f>
        <v>RF-00000276-VET</v>
      </c>
    </row>
    <row r="3021" spans="1:2" ht="12.5" x14ac:dyDescent="0.25">
      <c r="A3021" t="str">
        <f ca="1">IFERROR(__xludf.DUMMYFUNCTION("""COMPUTED_VALUE"""),"Flunitrazepam")</f>
        <v>Flunitrazepam</v>
      </c>
      <c r="B3021" t="str">
        <f ca="1">IFERROR(__xludf.DUMMYFUNCTION("""COMPUTED_VALUE"""),"RF-00000180-VET")</f>
        <v>RF-00000180-VET</v>
      </c>
    </row>
    <row r="3022" spans="1:2" ht="12.5" x14ac:dyDescent="0.25">
      <c r="A3022" t="str">
        <f ca="1">IFERROR(__xludf.DUMMYFUNCTION("""COMPUTED_VALUE"""),"Flunixin")</f>
        <v>Flunixin</v>
      </c>
      <c r="B3022" t="str">
        <f ca="1">IFERROR(__xludf.DUMMYFUNCTION("""COMPUTED_VALUE"""),"RF-00000213-VET")</f>
        <v>RF-00000213-VET</v>
      </c>
    </row>
    <row r="3023" spans="1:2" ht="12.5" x14ac:dyDescent="0.25">
      <c r="A3023" t="str">
        <f ca="1">IFERROR(__xludf.DUMMYFUNCTION("""COMPUTED_VALUE"""),"Flunixin-5-Hydroxy")</f>
        <v>Flunixin-5-Hydroxy</v>
      </c>
      <c r="B3023" t="str">
        <f ca="1">IFERROR(__xludf.DUMMYFUNCTION("""COMPUTED_VALUE"""),"RF-00000212-VET")</f>
        <v>RF-00000212-VET</v>
      </c>
    </row>
    <row r="3024" spans="1:2" ht="12.5" x14ac:dyDescent="0.25">
      <c r="A3024" t="str">
        <f ca="1">IFERROR(__xludf.DUMMYFUNCTION("""COMPUTED_VALUE"""),"Flunixin-Meglumine")</f>
        <v>Flunixin-Meglumine</v>
      </c>
      <c r="B3024" t="str">
        <f ca="1">IFERROR(__xludf.DUMMYFUNCTION("""COMPUTED_VALUE"""),"RF-00000211-VET")</f>
        <v>RF-00000211-VET</v>
      </c>
    </row>
    <row r="3025" spans="1:2" ht="12.5" x14ac:dyDescent="0.25">
      <c r="A3025" t="str">
        <f ca="1">IFERROR(__xludf.DUMMYFUNCTION("""COMPUTED_VALUE"""),"Fluocinolone")</f>
        <v>Fluocinolone</v>
      </c>
      <c r="B3025" t="str">
        <f ca="1">IFERROR(__xludf.DUMMYFUNCTION("""COMPUTED_VALUE"""),"RF-00000272-VET")</f>
        <v>RF-00000272-VET</v>
      </c>
    </row>
    <row r="3026" spans="1:2" ht="12.5" x14ac:dyDescent="0.25">
      <c r="A3026" t="str">
        <f ca="1">IFERROR(__xludf.DUMMYFUNCTION("""COMPUTED_VALUE"""),"Fluometuron")</f>
        <v>Fluometuron</v>
      </c>
      <c r="B3026" t="str">
        <f ca="1">IFERROR(__xludf.DUMMYFUNCTION("""COMPUTED_VALUE"""),"RF-0207-001-PPP")</f>
        <v>RF-0207-001-PPP</v>
      </c>
    </row>
    <row r="3027" spans="1:2" ht="12.5" x14ac:dyDescent="0.25">
      <c r="A3027" t="str">
        <f ca="1">IFERROR(__xludf.DUMMYFUNCTION("""COMPUTED_VALUE"""),"Fluopicolide")</f>
        <v>Fluopicolide</v>
      </c>
      <c r="B3027" t="str">
        <f ca="1">IFERROR(__xludf.DUMMYFUNCTION("""COMPUTED_VALUE"""),"RF-0208-001-PPP")</f>
        <v>RF-0208-001-PPP</v>
      </c>
    </row>
    <row r="3028" spans="1:2" ht="12.5" x14ac:dyDescent="0.25">
      <c r="A3028" t="str">
        <f ca="1">IFERROR(__xludf.DUMMYFUNCTION("""COMPUTED_VALUE"""),"Fluopromazine (Triflupromazine)")</f>
        <v>Fluopromazine (Triflupromazine)</v>
      </c>
      <c r="B3028" t="str">
        <f ca="1">IFERROR(__xludf.DUMMYFUNCTION("""COMPUTED_VALUE"""),"RF-00000181-VET")</f>
        <v>RF-00000181-VET</v>
      </c>
    </row>
    <row r="3029" spans="1:2" ht="12.5" x14ac:dyDescent="0.25">
      <c r="A3029" t="str">
        <f ca="1">IFERROR(__xludf.DUMMYFUNCTION("""COMPUTED_VALUE"""),"Fluopyram")</f>
        <v>Fluopyram</v>
      </c>
      <c r="B3029" t="str">
        <f ca="1">IFERROR(__xludf.DUMMYFUNCTION("""COMPUTED_VALUE"""),"RF-1071-001-PPP")</f>
        <v>RF-1071-001-PPP</v>
      </c>
    </row>
    <row r="3030" spans="1:2" ht="12.5" x14ac:dyDescent="0.25">
      <c r="A3030" t="str">
        <f ca="1">IFERROR(__xludf.DUMMYFUNCTION("""COMPUTED_VALUE"""),"Fluopyram (sum fluopyram and fluopyram-benzamide (M25) expressed as fluopyram)")</f>
        <v>Fluopyram (sum fluopyram and fluopyram-benzamide (M25) expressed as fluopyram)</v>
      </c>
      <c r="B3030" t="str">
        <f ca="1">IFERROR(__xludf.DUMMYFUNCTION("""COMPUTED_VALUE"""),"RF-00000023-PAR")</f>
        <v>RF-00000023-PAR</v>
      </c>
    </row>
    <row r="3031" spans="1:2" ht="12.5" x14ac:dyDescent="0.25">
      <c r="A3031" t="str">
        <f ca="1">IFERROR(__xludf.DUMMYFUNCTION("""COMPUTED_VALUE"""),"Fluor")</f>
        <v>Fluor</v>
      </c>
      <c r="B3031" t="str">
        <f ca="1">IFERROR(__xludf.DUMMYFUNCTION("""COMPUTED_VALUE"""),"RF-00000027-CHE")</f>
        <v>RF-00000027-CHE</v>
      </c>
    </row>
    <row r="3032" spans="1:2" ht="12.5" x14ac:dyDescent="0.25">
      <c r="A3032" t="str">
        <f ca="1">IFERROR(__xludf.DUMMYFUNCTION("""COMPUTED_VALUE"""),"Fluoranthene")</f>
        <v>Fluoranthene</v>
      </c>
      <c r="B3032" t="str">
        <f ca="1">IFERROR(__xludf.DUMMYFUNCTION("""COMPUTED_VALUE"""),"RF-00000066-ORG")</f>
        <v>RF-00000066-ORG</v>
      </c>
    </row>
    <row r="3033" spans="1:2" ht="12.5" x14ac:dyDescent="0.25">
      <c r="A3033" t="str">
        <f ca="1">IFERROR(__xludf.DUMMYFUNCTION("""COMPUTED_VALUE"""),"Fluoranthracene")</f>
        <v>Fluoranthracene</v>
      </c>
      <c r="B3033" t="str">
        <f ca="1">IFERROR(__xludf.DUMMYFUNCTION("""COMPUTED_VALUE"""),"RF-00000438-ORG")</f>
        <v>RF-00000438-ORG</v>
      </c>
    </row>
    <row r="3034" spans="1:2" ht="12.5" x14ac:dyDescent="0.25">
      <c r="A3034" t="str">
        <f ca="1">IFERROR(__xludf.DUMMYFUNCTION("""COMPUTED_VALUE"""),"Fluorene")</f>
        <v>Fluorene</v>
      </c>
      <c r="B3034" t="str">
        <f ca="1">IFERROR(__xludf.DUMMYFUNCTION("""COMPUTED_VALUE"""),"RF-00000060-ORG")</f>
        <v>RF-00000060-ORG</v>
      </c>
    </row>
    <row r="3035" spans="1:2" ht="12.5" x14ac:dyDescent="0.25">
      <c r="A3035" t="str">
        <f ca="1">IFERROR(__xludf.DUMMYFUNCTION("""COMPUTED_VALUE"""),"Fluoride")</f>
        <v>Fluoride</v>
      </c>
      <c r="B3035" t="str">
        <f ca="1">IFERROR(__xludf.DUMMYFUNCTION("""COMPUTED_VALUE"""),"RF-00000028-CHE")</f>
        <v>RF-00000028-CHE</v>
      </c>
    </row>
    <row r="3036" spans="1:2" ht="12.5" x14ac:dyDescent="0.25">
      <c r="A3036" t="str">
        <f ca="1">IFERROR(__xludf.DUMMYFUNCTION("""COMPUTED_VALUE"""),"Fluoride ion")</f>
        <v>Fluoride ion</v>
      </c>
      <c r="B3036" t="str">
        <f ca="1">IFERROR(__xludf.DUMMYFUNCTION("""COMPUTED_VALUE"""),"RF-0209-001-PPP")</f>
        <v>RF-0209-001-PPP</v>
      </c>
    </row>
    <row r="3037" spans="1:2" ht="12.5" x14ac:dyDescent="0.25">
      <c r="A3037" t="str">
        <f ca="1">IFERROR(__xludf.DUMMYFUNCTION("""COMPUTED_VALUE"""),"Fluorine (F)")</f>
        <v>Fluorine (F)</v>
      </c>
      <c r="B3037" t="str">
        <f ca="1">IFERROR(__xludf.DUMMYFUNCTION("""COMPUTED_VALUE"""),"RF-00000026-CHE")</f>
        <v>RF-00000026-CHE</v>
      </c>
    </row>
    <row r="3038" spans="1:2" ht="12.5" x14ac:dyDescent="0.25">
      <c r="A3038" t="str">
        <f ca="1">IFERROR(__xludf.DUMMYFUNCTION("""COMPUTED_VALUE"""),"Fluorine and derivatives")</f>
        <v>Fluorine and derivatives</v>
      </c>
      <c r="B3038" t="str">
        <f ca="1">IFERROR(__xludf.DUMMYFUNCTION("""COMPUTED_VALUE"""),"RF-00000025-CHE")</f>
        <v>RF-00000025-CHE</v>
      </c>
    </row>
    <row r="3039" spans="1:2" ht="12.5" x14ac:dyDescent="0.25">
      <c r="A3039" t="str">
        <f ca="1">IFERROR(__xludf.DUMMYFUNCTION("""COMPUTED_VALUE"""),"Fluorodifen")</f>
        <v>Fluorodifen</v>
      </c>
      <c r="B3039" t="str">
        <f ca="1">IFERROR(__xludf.DUMMYFUNCTION("""COMPUTED_VALUE"""),"RF-0710-001-PPP")</f>
        <v>RF-0710-001-PPP</v>
      </c>
    </row>
    <row r="3040" spans="1:2" ht="12.5" x14ac:dyDescent="0.25">
      <c r="A3040" t="str">
        <f ca="1">IFERROR(__xludf.DUMMYFUNCTION("""COMPUTED_VALUE"""),"Fluoroglycofen-Ethyl")</f>
        <v>Fluoroglycofen-Ethyl</v>
      </c>
      <c r="B3040" t="str">
        <f ca="1">IFERROR(__xludf.DUMMYFUNCTION("""COMPUTED_VALUE"""),"RF-0711-001-PPP")</f>
        <v>RF-0711-001-PPP</v>
      </c>
    </row>
    <row r="3041" spans="1:2" ht="12.5" x14ac:dyDescent="0.25">
      <c r="A3041" t="str">
        <f ca="1">IFERROR(__xludf.DUMMYFUNCTION("""COMPUTED_VALUE"""),"Fluoroglycofene")</f>
        <v>Fluoroglycofene</v>
      </c>
      <c r="B3041" t="str">
        <f ca="1">IFERROR(__xludf.DUMMYFUNCTION("""COMPUTED_VALUE"""),"RF-0210-001-PPP")</f>
        <v>RF-0210-001-PPP</v>
      </c>
    </row>
    <row r="3042" spans="1:2" ht="12.5" x14ac:dyDescent="0.25">
      <c r="A3042" t="str">
        <f ca="1">IFERROR(__xludf.DUMMYFUNCTION("""COMPUTED_VALUE"""),"Fluoroimide")</f>
        <v>Fluoroimide</v>
      </c>
      <c r="B3042" t="str">
        <f ca="1">IFERROR(__xludf.DUMMYFUNCTION("""COMPUTED_VALUE"""),"RF-0712-001-PPP")</f>
        <v>RF-0712-001-PPP</v>
      </c>
    </row>
    <row r="3043" spans="1:2" ht="12.5" x14ac:dyDescent="0.25">
      <c r="A3043" t="str">
        <f ca="1">IFERROR(__xludf.DUMMYFUNCTION("""COMPUTED_VALUE"""),"Fluorometholone")</f>
        <v>Fluorometholone</v>
      </c>
      <c r="B3043" t="str">
        <f ca="1">IFERROR(__xludf.DUMMYFUNCTION("""COMPUTED_VALUE"""),"RF-00000279-VET")</f>
        <v>RF-00000279-VET</v>
      </c>
    </row>
    <row r="3044" spans="1:2" ht="12.5" x14ac:dyDescent="0.25">
      <c r="A3044" t="str">
        <f ca="1">IFERROR(__xludf.DUMMYFUNCTION("""COMPUTED_VALUE"""),"Fluoroquinolones")</f>
        <v>Fluoroquinolones</v>
      </c>
      <c r="B3044" t="str">
        <f ca="1">IFERROR(__xludf.DUMMYFUNCTION("""COMPUTED_VALUE"""),"RF-00000730-VET")</f>
        <v>RF-00000730-VET</v>
      </c>
    </row>
    <row r="3045" spans="1:2" ht="12.5" x14ac:dyDescent="0.25">
      <c r="A3045" t="str">
        <f ca="1">IFERROR(__xludf.DUMMYFUNCTION("""COMPUTED_VALUE"""),"Fluotrimazole")</f>
        <v>Fluotrimazole</v>
      </c>
      <c r="B3045" t="str">
        <f ca="1">IFERROR(__xludf.DUMMYFUNCTION("""COMPUTED_VALUE"""),"RF-0713-001-PPP")</f>
        <v>RF-0713-001-PPP</v>
      </c>
    </row>
    <row r="3046" spans="1:2" ht="12.5" x14ac:dyDescent="0.25">
      <c r="A3046" t="str">
        <f ca="1">IFERROR(__xludf.DUMMYFUNCTION("""COMPUTED_VALUE"""),"Fluoxastrobin")</f>
        <v>Fluoxastrobin</v>
      </c>
      <c r="B3046" t="str">
        <f ca="1">IFERROR(__xludf.DUMMYFUNCTION("""COMPUTED_VALUE"""),"RF-0211-001-PPP")</f>
        <v>RF-0211-001-PPP</v>
      </c>
    </row>
    <row r="3047" spans="1:2" ht="12.5" x14ac:dyDescent="0.25">
      <c r="A3047" t="str">
        <f ca="1">IFERROR(__xludf.DUMMYFUNCTION("""COMPUTED_VALUE"""),"Fluoxymesteron (Flurogestone)")</f>
        <v>Fluoxymesteron (Flurogestone)</v>
      </c>
      <c r="B3047" t="str">
        <f ca="1">IFERROR(__xludf.DUMMYFUNCTION("""COMPUTED_VALUE"""),"RF-00000404-VET")</f>
        <v>RF-00000404-VET</v>
      </c>
    </row>
    <row r="3048" spans="1:2" ht="12.5" x14ac:dyDescent="0.25">
      <c r="A3048" t="str">
        <f ca="1">IFERROR(__xludf.DUMMYFUNCTION("""COMPUTED_VALUE"""),"Flupoxam")</f>
        <v>Flupoxam</v>
      </c>
      <c r="B3048" t="str">
        <f ca="1">IFERROR(__xludf.DUMMYFUNCTION("""COMPUTED_VALUE"""),"RF-0714-001-PPP")</f>
        <v>RF-0714-001-PPP</v>
      </c>
    </row>
    <row r="3049" spans="1:2" ht="12.5" x14ac:dyDescent="0.25">
      <c r="A3049" t="str">
        <f ca="1">IFERROR(__xludf.DUMMYFUNCTION("""COMPUTED_VALUE"""),"Fluprednisolone")</f>
        <v>Fluprednisolone</v>
      </c>
      <c r="B3049" t="str">
        <f ca="1">IFERROR(__xludf.DUMMYFUNCTION("""COMPUTED_VALUE"""),"RF-00000280-VET")</f>
        <v>RF-00000280-VET</v>
      </c>
    </row>
    <row r="3050" spans="1:2" ht="12.5" x14ac:dyDescent="0.25">
      <c r="A3050" t="str">
        <f ca="1">IFERROR(__xludf.DUMMYFUNCTION("""COMPUTED_VALUE"""),"Flupyrsulfuron")</f>
        <v>Flupyrsulfuron</v>
      </c>
      <c r="B3050" t="str">
        <f ca="1">IFERROR(__xludf.DUMMYFUNCTION("""COMPUTED_VALUE"""),"RF-0715-001-PPP")</f>
        <v>RF-0715-001-PPP</v>
      </c>
    </row>
    <row r="3051" spans="1:2" ht="12.5" x14ac:dyDescent="0.25">
      <c r="A3051" t="str">
        <f ca="1">IFERROR(__xludf.DUMMYFUNCTION("""COMPUTED_VALUE"""),"Flupyrsulfuron-methyl")</f>
        <v>Flupyrsulfuron-methyl</v>
      </c>
      <c r="B3051" t="str">
        <f ca="1">IFERROR(__xludf.DUMMYFUNCTION("""COMPUTED_VALUE"""),"RF-0212-001-PPP")</f>
        <v>RF-0212-001-PPP</v>
      </c>
    </row>
    <row r="3052" spans="1:2" ht="12.5" x14ac:dyDescent="0.25">
      <c r="A3052" t="str">
        <f ca="1">IFERROR(__xludf.DUMMYFUNCTION("""COMPUTED_VALUE"""),"Fluquinconazole")</f>
        <v>Fluquinconazole</v>
      </c>
      <c r="B3052" t="str">
        <f ca="1">IFERROR(__xludf.DUMMYFUNCTION("""COMPUTED_VALUE"""),"RF-0213-001-PPP")</f>
        <v>RF-0213-001-PPP</v>
      </c>
    </row>
    <row r="3053" spans="1:2" ht="12.5" x14ac:dyDescent="0.25">
      <c r="A3053" t="str">
        <f ca="1">IFERROR(__xludf.DUMMYFUNCTION("""COMPUTED_VALUE"""),"Flurazole")</f>
        <v>Flurazole</v>
      </c>
      <c r="B3053" t="str">
        <f ca="1">IFERROR(__xludf.DUMMYFUNCTION("""COMPUTED_VALUE"""),"RF-0716-001-PPP")</f>
        <v>RF-0716-001-PPP</v>
      </c>
    </row>
    <row r="3054" spans="1:2" ht="12.5" x14ac:dyDescent="0.25">
      <c r="A3054" t="str">
        <f ca="1">IFERROR(__xludf.DUMMYFUNCTION("""COMPUTED_VALUE"""),"Flurenol")</f>
        <v>Flurenol</v>
      </c>
      <c r="B3054" t="str">
        <f ca="1">IFERROR(__xludf.DUMMYFUNCTION("""COMPUTED_VALUE"""),"RF-0717-001-PPP")</f>
        <v>RF-0717-001-PPP</v>
      </c>
    </row>
    <row r="3055" spans="1:2" ht="12.5" x14ac:dyDescent="0.25">
      <c r="A3055" t="str">
        <f ca="1">IFERROR(__xludf.DUMMYFUNCTION("""COMPUTED_VALUE"""),"Flurenol-butyl")</f>
        <v>Flurenol-butyl</v>
      </c>
      <c r="B3055" t="str">
        <f ca="1">IFERROR(__xludf.DUMMYFUNCTION("""COMPUTED_VALUE"""),"RF-1016-001-PPP")</f>
        <v>RF-1016-001-PPP</v>
      </c>
    </row>
    <row r="3056" spans="1:2" ht="12.5" x14ac:dyDescent="0.25">
      <c r="A3056" t="str">
        <f ca="1">IFERROR(__xludf.DUMMYFUNCTION("""COMPUTED_VALUE"""),"Fluridone")</f>
        <v>Fluridone</v>
      </c>
      <c r="B3056" t="str">
        <f ca="1">IFERROR(__xludf.DUMMYFUNCTION("""COMPUTED_VALUE"""),"RF-0718-001-PPP")</f>
        <v>RF-0718-001-PPP</v>
      </c>
    </row>
    <row r="3057" spans="1:2" ht="12.5" x14ac:dyDescent="0.25">
      <c r="A3057" t="str">
        <f ca="1">IFERROR(__xludf.DUMMYFUNCTION("""COMPUTED_VALUE"""),"Flurochloridone")</f>
        <v>Flurochloridone</v>
      </c>
      <c r="B3057" t="str">
        <f ca="1">IFERROR(__xludf.DUMMYFUNCTION("""COMPUTED_VALUE"""),"RF-0214-001-PPP")</f>
        <v>RF-0214-001-PPP</v>
      </c>
    </row>
    <row r="3058" spans="1:2" ht="12.5" x14ac:dyDescent="0.25">
      <c r="A3058" t="str">
        <f ca="1">IFERROR(__xludf.DUMMYFUNCTION("""COMPUTED_VALUE"""),"Fluroxypyr")</f>
        <v>Fluroxypyr</v>
      </c>
      <c r="B3058" t="str">
        <f ca="1">IFERROR(__xludf.DUMMYFUNCTION("""COMPUTED_VALUE"""),"RF-0215-003-PPP")</f>
        <v>RF-0215-003-PPP</v>
      </c>
    </row>
    <row r="3059" spans="1:2" ht="12.5" x14ac:dyDescent="0.25">
      <c r="A3059" t="str">
        <f ca="1">IFERROR(__xludf.DUMMYFUNCTION("""COMPUTED_VALUE"""),"Fluroxypyr (fluroxypyr including its esters expressed as fluroxypyr)")</f>
        <v>Fluroxypyr (fluroxypyr including its esters expressed as fluroxypyr)</v>
      </c>
      <c r="B3059" t="str">
        <f ca="1">IFERROR(__xludf.DUMMYFUNCTION("""COMPUTED_VALUE"""),"RF-0215-001-PPP")</f>
        <v>RF-0215-001-PPP</v>
      </c>
    </row>
    <row r="3060" spans="1:2" ht="12.5" x14ac:dyDescent="0.25">
      <c r="A3060" t="str">
        <f ca="1">IFERROR(__xludf.DUMMYFUNCTION("""COMPUTED_VALUE"""),"Fluroxypyr-Meptyl")</f>
        <v>Fluroxypyr-Meptyl</v>
      </c>
      <c r="B3060" t="str">
        <f ca="1">IFERROR(__xludf.DUMMYFUNCTION("""COMPUTED_VALUE"""),"RF-0215-002-PPP")</f>
        <v>RF-0215-002-PPP</v>
      </c>
    </row>
    <row r="3061" spans="1:2" ht="12.5" x14ac:dyDescent="0.25">
      <c r="A3061" t="str">
        <f ca="1">IFERROR(__xludf.DUMMYFUNCTION("""COMPUTED_VALUE"""),"Flurprimidole")</f>
        <v>Flurprimidole</v>
      </c>
      <c r="B3061" t="str">
        <f ca="1">IFERROR(__xludf.DUMMYFUNCTION("""COMPUTED_VALUE"""),"RF-0216-001-PPP")</f>
        <v>RF-0216-001-PPP</v>
      </c>
    </row>
    <row r="3062" spans="1:2" ht="12.5" x14ac:dyDescent="0.25">
      <c r="A3062" t="str">
        <f ca="1">IFERROR(__xludf.DUMMYFUNCTION("""COMPUTED_VALUE"""),"Flurtamone")</f>
        <v>Flurtamone</v>
      </c>
      <c r="B3062" t="str">
        <f ca="1">IFERROR(__xludf.DUMMYFUNCTION("""COMPUTED_VALUE"""),"RF-0217-001-PPP")</f>
        <v>RF-0217-001-PPP</v>
      </c>
    </row>
    <row r="3063" spans="1:2" ht="12.5" x14ac:dyDescent="0.25">
      <c r="A3063" t="str">
        <f ca="1">IFERROR(__xludf.DUMMYFUNCTION("""COMPUTED_VALUE"""),"Flusilazole")</f>
        <v>Flusilazole</v>
      </c>
      <c r="B3063" t="str">
        <f ca="1">IFERROR(__xludf.DUMMYFUNCTION("""COMPUTED_VALUE"""),"RF-0218-001-PPP")</f>
        <v>RF-0218-001-PPP</v>
      </c>
    </row>
    <row r="3064" spans="1:2" ht="12.5" x14ac:dyDescent="0.25">
      <c r="A3064" t="str">
        <f ca="1">IFERROR(__xludf.DUMMYFUNCTION("""COMPUTED_VALUE"""),"Flusilazole (sum of flusilazole and its metabolite IN-F7321 ([bis-(4-fluorophenyl)methyl]silanol) expressed as flusilazole)")</f>
        <v>Flusilazole (sum of flusilazole and its metabolite IN-F7321 ([bis-(4-fluorophenyl)methyl]silanol) expressed as flusilazole)</v>
      </c>
      <c r="B3064" t="str">
        <f ca="1">IFERROR(__xludf.DUMMYFUNCTION("""COMPUTED_VALUE"""),"RF-0218-002-PPP")</f>
        <v>RF-0218-002-PPP</v>
      </c>
    </row>
    <row r="3065" spans="1:2" ht="12.5" x14ac:dyDescent="0.25">
      <c r="A3065" t="str">
        <f ca="1">IFERROR(__xludf.DUMMYFUNCTION("""COMPUTED_VALUE"""),"Flusulfamide")</f>
        <v>Flusulfamide</v>
      </c>
      <c r="B3065" t="str">
        <f ca="1">IFERROR(__xludf.DUMMYFUNCTION("""COMPUTED_VALUE"""),"RF-0719-001-PPP")</f>
        <v>RF-0719-001-PPP</v>
      </c>
    </row>
    <row r="3066" spans="1:2" ht="12.5" x14ac:dyDescent="0.25">
      <c r="A3066" t="str">
        <f ca="1">IFERROR(__xludf.DUMMYFUNCTION("""COMPUTED_VALUE"""),"Fluthiacet-Methyl")</f>
        <v>Fluthiacet-Methyl</v>
      </c>
      <c r="B3066" t="str">
        <f ca="1">IFERROR(__xludf.DUMMYFUNCTION("""COMPUTED_VALUE"""),"RF-0720-001-PPP")</f>
        <v>RF-0720-001-PPP</v>
      </c>
    </row>
    <row r="3067" spans="1:2" ht="12.5" x14ac:dyDescent="0.25">
      <c r="A3067" t="str">
        <f ca="1">IFERROR(__xludf.DUMMYFUNCTION("""COMPUTED_VALUE"""),"Flutolanil")</f>
        <v>Flutolanil</v>
      </c>
      <c r="B3067" t="str">
        <f ca="1">IFERROR(__xludf.DUMMYFUNCTION("""COMPUTED_VALUE"""),"RF-0219-001-PPP")</f>
        <v>RF-0219-001-PPP</v>
      </c>
    </row>
    <row r="3068" spans="1:2" ht="12.5" x14ac:dyDescent="0.25">
      <c r="A3068" t="str">
        <f ca="1">IFERROR(__xludf.DUMMYFUNCTION("""COMPUTED_VALUE"""),"Flutriafol")</f>
        <v>Flutriafol</v>
      </c>
      <c r="B3068" t="str">
        <f ca="1">IFERROR(__xludf.DUMMYFUNCTION("""COMPUTED_VALUE"""),"RF-0220-001-PPP")</f>
        <v>RF-0220-001-PPP</v>
      </c>
    </row>
    <row r="3069" spans="1:2" ht="12.5" x14ac:dyDescent="0.25">
      <c r="A3069" t="str">
        <f ca="1">IFERROR(__xludf.DUMMYFUNCTION("""COMPUTED_VALUE"""),"Fluvalinate")</f>
        <v>Fluvalinate</v>
      </c>
      <c r="B3069" t="str">
        <f ca="1">IFERROR(__xludf.DUMMYFUNCTION("""COMPUTED_VALUE"""),"RF-00000135-VET")</f>
        <v>RF-00000135-VET</v>
      </c>
    </row>
    <row r="3070" spans="1:2" ht="12.5" x14ac:dyDescent="0.25">
      <c r="A3070" t="str">
        <f ca="1">IFERROR(__xludf.DUMMYFUNCTION("""COMPUTED_VALUE"""),"Fluvalinate")</f>
        <v>Fluvalinate</v>
      </c>
      <c r="B3070" t="str">
        <f ca="1">IFERROR(__xludf.DUMMYFUNCTION("""COMPUTED_VALUE"""),"RF-0721-001-PPP")</f>
        <v>RF-0721-001-PPP</v>
      </c>
    </row>
    <row r="3071" spans="1:2" ht="12.5" x14ac:dyDescent="0.25">
      <c r="A3071" t="str">
        <f ca="1">IFERROR(__xludf.DUMMYFUNCTION("""COMPUTED_VALUE"""),"Fluvalinate-Tau")</f>
        <v>Fluvalinate-Tau</v>
      </c>
      <c r="B3071" t="str">
        <f ca="1">IFERROR(__xludf.DUMMYFUNCTION("""COMPUTED_VALUE"""),"RF-00000124-VET")</f>
        <v>RF-00000124-VET</v>
      </c>
    </row>
    <row r="3072" spans="1:2" ht="12.5" x14ac:dyDescent="0.25">
      <c r="A3072" t="str">
        <f ca="1">IFERROR(__xludf.DUMMYFUNCTION("""COMPUTED_VALUE"""),"Fluxapyroxad")</f>
        <v>Fluxapyroxad</v>
      </c>
      <c r="B3072" t="str">
        <f ca="1">IFERROR(__xludf.DUMMYFUNCTION("""COMPUTED_VALUE"""),"RF-00000024-PAR")</f>
        <v>RF-00000024-PAR</v>
      </c>
    </row>
    <row r="3073" spans="1:2" ht="12.5" x14ac:dyDescent="0.25">
      <c r="A3073" t="str">
        <f ca="1">IFERROR(__xludf.DUMMYFUNCTION("""COMPUTED_VALUE"""),"Fluxofenim")</f>
        <v>Fluxofenim</v>
      </c>
      <c r="B3073" t="str">
        <f ca="1">IFERROR(__xludf.DUMMYFUNCTION("""COMPUTED_VALUE"""),"RF-0722-001-PPP")</f>
        <v>RF-0722-001-PPP</v>
      </c>
    </row>
    <row r="3074" spans="1:2" ht="12.5" x14ac:dyDescent="0.25">
      <c r="A3074" t="str">
        <f ca="1">IFERROR(__xludf.DUMMYFUNCTION("""COMPUTED_VALUE"""),"folate")</f>
        <v>folate</v>
      </c>
      <c r="B3074" t="str">
        <f ca="1">IFERROR(__xludf.DUMMYFUNCTION("""COMPUTED_VALUE"""),"RF-00000438-NTR")</f>
        <v>RF-00000438-NTR</v>
      </c>
    </row>
    <row r="3075" spans="1:2" ht="12.5" x14ac:dyDescent="0.25">
      <c r="A3075" t="str">
        <f ca="1">IFERROR(__xludf.DUMMYFUNCTION("""COMPUTED_VALUE"""),"folate, bound")</f>
        <v>folate, bound</v>
      </c>
      <c r="B3075" t="str">
        <f ca="1">IFERROR(__xludf.DUMMYFUNCTION("""COMPUTED_VALUE"""),"RF-00000287-NTR")</f>
        <v>RF-00000287-NTR</v>
      </c>
    </row>
    <row r="3076" spans="1:2" ht="12.5" x14ac:dyDescent="0.25">
      <c r="A3076" t="str">
        <f ca="1">IFERROR(__xludf.DUMMYFUNCTION("""COMPUTED_VALUE"""),"folate, free")</f>
        <v>folate, free</v>
      </c>
      <c r="B3076" t="str">
        <f ca="1">IFERROR(__xludf.DUMMYFUNCTION("""COMPUTED_VALUE"""),"RF-00000288-NTR")</f>
        <v>RF-00000288-NTR</v>
      </c>
    </row>
    <row r="3077" spans="1:2" ht="12.5" x14ac:dyDescent="0.25">
      <c r="A3077" t="str">
        <f ca="1">IFERROR(__xludf.DUMMYFUNCTION("""COMPUTED_VALUE"""),"folate, total")</f>
        <v>folate, total</v>
      </c>
      <c r="B3077" t="str">
        <f ca="1">IFERROR(__xludf.DUMMYFUNCTION("""COMPUTED_VALUE"""),"RF-00000289-NTR")</f>
        <v>RF-00000289-NTR</v>
      </c>
    </row>
    <row r="3078" spans="1:2" ht="12.5" x14ac:dyDescent="0.25">
      <c r="A3078" t="str">
        <f ca="1">IFERROR(__xludf.DUMMYFUNCTION("""COMPUTED_VALUE"""),"folic acid")</f>
        <v>folic acid</v>
      </c>
      <c r="B3078" t="str">
        <f ca="1">IFERROR(__xludf.DUMMYFUNCTION("""COMPUTED_VALUE"""),"RF-00000290-NTR")</f>
        <v>RF-00000290-NTR</v>
      </c>
    </row>
    <row r="3079" spans="1:2" ht="12.5" x14ac:dyDescent="0.25">
      <c r="A3079" t="str">
        <f ca="1">IFERROR(__xludf.DUMMYFUNCTION("""COMPUTED_VALUE"""),"Folpet")</f>
        <v>Folpet</v>
      </c>
      <c r="B3079" t="str">
        <f ca="1">IFERROR(__xludf.DUMMYFUNCTION("""COMPUTED_VALUE"""),"RF-0221-001-PPP")</f>
        <v>RF-0221-001-PPP</v>
      </c>
    </row>
    <row r="3080" spans="1:2" ht="12.5" x14ac:dyDescent="0.25">
      <c r="A3080" t="str">
        <f ca="1">IFERROR(__xludf.DUMMYFUNCTION("""COMPUTED_VALUE"""),"Fomesafen")</f>
        <v>Fomesafen</v>
      </c>
      <c r="B3080" t="str">
        <f ca="1">IFERROR(__xludf.DUMMYFUNCTION("""COMPUTED_VALUE"""),"RF-0723-001-PPP")</f>
        <v>RF-0723-001-PPP</v>
      </c>
    </row>
    <row r="3081" spans="1:2" ht="12.5" x14ac:dyDescent="0.25">
      <c r="A3081" t="str">
        <f ca="1">IFERROR(__xludf.DUMMYFUNCTION("""COMPUTED_VALUE"""),"Fonofos")</f>
        <v>Fonofos</v>
      </c>
      <c r="B3081" t="str">
        <f ca="1">IFERROR(__xludf.DUMMYFUNCTION("""COMPUTED_VALUE"""),"RF-0724-001-PPP")</f>
        <v>RF-0724-001-PPP</v>
      </c>
    </row>
    <row r="3082" spans="1:2" ht="12.5" x14ac:dyDescent="0.25">
      <c r="A3082" t="str">
        <f ca="1">IFERROR(__xludf.DUMMYFUNCTION("""COMPUTED_VALUE"""),"Food additives")</f>
        <v>Food additives</v>
      </c>
      <c r="B3082" t="str">
        <f ca="1">IFERROR(__xludf.DUMMYFUNCTION("""COMPUTED_VALUE"""),"RF-00000001-ADD")</f>
        <v>RF-00000001-ADD</v>
      </c>
    </row>
    <row r="3083" spans="1:2" ht="12.5" x14ac:dyDescent="0.25">
      <c r="A3083" t="str">
        <f ca="1">IFERROR(__xludf.DUMMYFUNCTION("""COMPUTED_VALUE"""),"Foodborne viruses")</f>
        <v>Foodborne viruses</v>
      </c>
      <c r="B3083" t="str">
        <f ca="1">IFERROR(__xludf.DUMMYFUNCTION("""COMPUTED_VALUE"""),"RF-00000219-MCG")</f>
        <v>RF-00000219-MCG</v>
      </c>
    </row>
    <row r="3084" spans="1:2" ht="12.5" x14ac:dyDescent="0.25">
      <c r="A3084" t="str">
        <f ca="1">IFERROR(__xludf.DUMMYFUNCTION("""COMPUTED_VALUE"""),"Foramsulfuron")</f>
        <v>Foramsulfuron</v>
      </c>
      <c r="B3084" t="str">
        <f ca="1">IFERROR(__xludf.DUMMYFUNCTION("""COMPUTED_VALUE"""),"RF-0222-001-PPP")</f>
        <v>RF-0222-001-PPP</v>
      </c>
    </row>
    <row r="3085" spans="1:2" ht="12.5" x14ac:dyDescent="0.25">
      <c r="A3085" t="str">
        <f ca="1">IFERROR(__xludf.DUMMYFUNCTION("""COMPUTED_VALUE"""),"Forchlorfenuron")</f>
        <v>Forchlorfenuron</v>
      </c>
      <c r="B3085" t="str">
        <f ca="1">IFERROR(__xludf.DUMMYFUNCTION("""COMPUTED_VALUE"""),"RF-0196-001-PPP")</f>
        <v>RF-0196-001-PPP</v>
      </c>
    </row>
    <row r="3086" spans="1:2" ht="12.5" x14ac:dyDescent="0.25">
      <c r="A3086" t="str">
        <f ca="1">IFERROR(__xludf.DUMMYFUNCTION("""COMPUTED_VALUE"""),"Formetanate")</f>
        <v>Formetanate</v>
      </c>
      <c r="B3086" t="str">
        <f ca="1">IFERROR(__xludf.DUMMYFUNCTION("""COMPUTED_VALUE"""),"RF-0223-002-PPP")</f>
        <v>RF-0223-002-PPP</v>
      </c>
    </row>
    <row r="3087" spans="1:2" ht="12.5" x14ac:dyDescent="0.25">
      <c r="A3087" t="str">
        <f ca="1">IFERROR(__xludf.DUMMYFUNCTION("""COMPUTED_VALUE"""),"Formetanate Sum of formetanate and its salts expressed as formetanate(hydrochloride)")</f>
        <v>Formetanate Sum of formetanate and its salts expressed as formetanate(hydrochloride)</v>
      </c>
      <c r="B3087" t="str">
        <f ca="1">IFERROR(__xludf.DUMMYFUNCTION("""COMPUTED_VALUE"""),"RF-0223-001-PPP")</f>
        <v>RF-0223-001-PPP</v>
      </c>
    </row>
    <row r="3088" spans="1:2" ht="12.5" x14ac:dyDescent="0.25">
      <c r="A3088" t="str">
        <f ca="1">IFERROR(__xludf.DUMMYFUNCTION("""COMPUTED_VALUE"""),"formononetin")</f>
        <v>formononetin</v>
      </c>
      <c r="B3088" t="str">
        <f ca="1">IFERROR(__xludf.DUMMYFUNCTION("""COMPUTED_VALUE"""),"RF-00000291-NTR")</f>
        <v>RF-00000291-NTR</v>
      </c>
    </row>
    <row r="3089" spans="1:2" ht="12.5" x14ac:dyDescent="0.25">
      <c r="A3089" t="str">
        <f ca="1">IFERROR(__xludf.DUMMYFUNCTION("""COMPUTED_VALUE"""),"Formothion")</f>
        <v>Formothion</v>
      </c>
      <c r="B3089" t="str">
        <f ca="1">IFERROR(__xludf.DUMMYFUNCTION("""COMPUTED_VALUE"""),"RF-0224-001-PPP")</f>
        <v>RF-0224-001-PPP</v>
      </c>
    </row>
    <row r="3090" spans="1:2" ht="12.5" x14ac:dyDescent="0.25">
      <c r="A3090" t="str">
        <f ca="1">IFERROR(__xludf.DUMMYFUNCTION("""COMPUTED_VALUE"""),"Fosamine")</f>
        <v>Fosamine</v>
      </c>
      <c r="B3090" t="str">
        <f ca="1">IFERROR(__xludf.DUMMYFUNCTION("""COMPUTED_VALUE"""),"RF-0725-001-PPP")</f>
        <v>RF-0725-001-PPP</v>
      </c>
    </row>
    <row r="3091" spans="1:2" ht="12.5" x14ac:dyDescent="0.25">
      <c r="A3091" t="str">
        <f ca="1">IFERROR(__xludf.DUMMYFUNCTION("""COMPUTED_VALUE"""),"Fosetyl")</f>
        <v>Fosetyl</v>
      </c>
      <c r="B3091" t="str">
        <f ca="1">IFERROR(__xludf.DUMMYFUNCTION("""COMPUTED_VALUE"""),"RF-1059-001-PPP")</f>
        <v>RF-1059-001-PPP</v>
      </c>
    </row>
    <row r="3092" spans="1:2" ht="12.5" x14ac:dyDescent="0.25">
      <c r="A3092" t="str">
        <f ca="1">IFERROR(__xludf.DUMMYFUNCTION("""COMPUTED_VALUE"""),"Fosetyl-Al (sum fosetyl + phosphorous acid and their salts, expressed as fosetyl)")</f>
        <v>Fosetyl-Al (sum fosetyl + phosphorous acid and their salts, expressed as fosetyl)</v>
      </c>
      <c r="B3092" t="str">
        <f ca="1">IFERROR(__xludf.DUMMYFUNCTION("""COMPUTED_VALUE"""),"RF-0225-001-PPP")</f>
        <v>RF-0225-001-PPP</v>
      </c>
    </row>
    <row r="3093" spans="1:2" ht="12.5" x14ac:dyDescent="0.25">
      <c r="A3093" t="str">
        <f ca="1">IFERROR(__xludf.DUMMYFUNCTION("""COMPUTED_VALUE"""),"Fosetyl-aluminium")</f>
        <v>Fosetyl-aluminium</v>
      </c>
      <c r="B3093" t="str">
        <f ca="1">IFERROR(__xludf.DUMMYFUNCTION("""COMPUTED_VALUE"""),"RF-1059-002-PPP")</f>
        <v>RF-1059-002-PPP</v>
      </c>
    </row>
    <row r="3094" spans="1:2" ht="12.5" x14ac:dyDescent="0.25">
      <c r="A3094" t="str">
        <f ca="1">IFERROR(__xludf.DUMMYFUNCTION("""COMPUTED_VALUE"""),"Fosfestrol")</f>
        <v>Fosfestrol</v>
      </c>
      <c r="B3094" t="str">
        <f ca="1">IFERROR(__xludf.DUMMYFUNCTION("""COMPUTED_VALUE"""),"RF-00000285-VET")</f>
        <v>RF-00000285-VET</v>
      </c>
    </row>
    <row r="3095" spans="1:2" ht="12.5" x14ac:dyDescent="0.25">
      <c r="A3095" t="str">
        <f ca="1">IFERROR(__xludf.DUMMYFUNCTION("""COMPUTED_VALUE"""),"Fosthiazate")</f>
        <v>Fosthiazate</v>
      </c>
      <c r="B3095" t="str">
        <f ca="1">IFERROR(__xludf.DUMMYFUNCTION("""COMPUTED_VALUE"""),"RF-0226-001-PPP")</f>
        <v>RF-0226-001-PPP</v>
      </c>
    </row>
    <row r="3096" spans="1:2" ht="12.5" x14ac:dyDescent="0.25">
      <c r="A3096" t="str">
        <f ca="1">IFERROR(__xludf.DUMMYFUNCTION("""COMPUTED_VALUE"""),"Fosthietan")</f>
        <v>Fosthietan</v>
      </c>
      <c r="B3096" t="str">
        <f ca="1">IFERROR(__xludf.DUMMYFUNCTION("""COMPUTED_VALUE"""),"RF-0726-001-PPP")</f>
        <v>RF-0726-001-PPP</v>
      </c>
    </row>
    <row r="3097" spans="1:2" ht="12.5" x14ac:dyDescent="0.25">
      <c r="A3097" t="str">
        <f ca="1">IFERROR(__xludf.DUMMYFUNCTION("""COMPUTED_VALUE"""),"FOX")</f>
        <v>FOX</v>
      </c>
      <c r="B3097" t="str">
        <f ca="1">IFERROR(__xludf.DUMMYFUNCTION("""COMPUTED_VALUE"""),"RF-00000757-PAR")</f>
        <v>RF-00000757-PAR</v>
      </c>
    </row>
    <row r="3098" spans="1:2" ht="12.5" x14ac:dyDescent="0.25">
      <c r="A3098" t="str">
        <f ca="1">IFERROR(__xludf.DUMMYFUNCTION("""COMPUTED_VALUE"""),"FOX-1")</f>
        <v>FOX-1</v>
      </c>
      <c r="B3098" t="str">
        <f ca="1">IFERROR(__xludf.DUMMYFUNCTION("""COMPUTED_VALUE"""),"RF-00000758-PAR")</f>
        <v>RF-00000758-PAR</v>
      </c>
    </row>
    <row r="3099" spans="1:2" ht="12.5" x14ac:dyDescent="0.25">
      <c r="A3099" t="str">
        <f ca="1">IFERROR(__xludf.DUMMYFUNCTION("""COMPUTED_VALUE"""),"FOX-10")</f>
        <v>FOX-10</v>
      </c>
      <c r="B3099" t="str">
        <f ca="1">IFERROR(__xludf.DUMMYFUNCTION("""COMPUTED_VALUE"""),"RF-00000767-PAR")</f>
        <v>RF-00000767-PAR</v>
      </c>
    </row>
    <row r="3100" spans="1:2" ht="12.5" x14ac:dyDescent="0.25">
      <c r="A3100" t="str">
        <f ca="1">IFERROR(__xludf.DUMMYFUNCTION("""COMPUTED_VALUE"""),"FOX-2")</f>
        <v>FOX-2</v>
      </c>
      <c r="B3100" t="str">
        <f ca="1">IFERROR(__xludf.DUMMYFUNCTION("""COMPUTED_VALUE"""),"RF-00000759-PAR")</f>
        <v>RF-00000759-PAR</v>
      </c>
    </row>
    <row r="3101" spans="1:2" ht="12.5" x14ac:dyDescent="0.25">
      <c r="A3101" t="str">
        <f ca="1">IFERROR(__xludf.DUMMYFUNCTION("""COMPUTED_VALUE"""),"FOX-3")</f>
        <v>FOX-3</v>
      </c>
      <c r="B3101" t="str">
        <f ca="1">IFERROR(__xludf.DUMMYFUNCTION("""COMPUTED_VALUE"""),"RF-00000760-PAR")</f>
        <v>RF-00000760-PAR</v>
      </c>
    </row>
    <row r="3102" spans="1:2" ht="12.5" x14ac:dyDescent="0.25">
      <c r="A3102" t="str">
        <f ca="1">IFERROR(__xludf.DUMMYFUNCTION("""COMPUTED_VALUE"""),"FOX-4")</f>
        <v>FOX-4</v>
      </c>
      <c r="B3102" t="str">
        <f ca="1">IFERROR(__xludf.DUMMYFUNCTION("""COMPUTED_VALUE"""),"RF-00000761-PAR")</f>
        <v>RF-00000761-PAR</v>
      </c>
    </row>
    <row r="3103" spans="1:2" ht="12.5" x14ac:dyDescent="0.25">
      <c r="A3103" t="str">
        <f ca="1">IFERROR(__xludf.DUMMYFUNCTION("""COMPUTED_VALUE"""),"FOX-5")</f>
        <v>FOX-5</v>
      </c>
      <c r="B3103" t="str">
        <f ca="1">IFERROR(__xludf.DUMMYFUNCTION("""COMPUTED_VALUE"""),"RF-00000762-PAR")</f>
        <v>RF-00000762-PAR</v>
      </c>
    </row>
    <row r="3104" spans="1:2" ht="12.5" x14ac:dyDescent="0.25">
      <c r="A3104" t="str">
        <f ca="1">IFERROR(__xludf.DUMMYFUNCTION("""COMPUTED_VALUE"""),"FOX-6")</f>
        <v>FOX-6</v>
      </c>
      <c r="B3104" t="str">
        <f ca="1">IFERROR(__xludf.DUMMYFUNCTION("""COMPUTED_VALUE"""),"RF-00000763-PAR")</f>
        <v>RF-00000763-PAR</v>
      </c>
    </row>
    <row r="3105" spans="1:2" ht="12.5" x14ac:dyDescent="0.25">
      <c r="A3105" t="str">
        <f ca="1">IFERROR(__xludf.DUMMYFUNCTION("""COMPUTED_VALUE"""),"FOX-7")</f>
        <v>FOX-7</v>
      </c>
      <c r="B3105" t="str">
        <f ca="1">IFERROR(__xludf.DUMMYFUNCTION("""COMPUTED_VALUE"""),"RF-00000764-PAR")</f>
        <v>RF-00000764-PAR</v>
      </c>
    </row>
    <row r="3106" spans="1:2" ht="12.5" x14ac:dyDescent="0.25">
      <c r="A3106" t="str">
        <f ca="1">IFERROR(__xludf.DUMMYFUNCTION("""COMPUTED_VALUE"""),"FOX-8")</f>
        <v>FOX-8</v>
      </c>
      <c r="B3106" t="str">
        <f ca="1">IFERROR(__xludf.DUMMYFUNCTION("""COMPUTED_VALUE"""),"RF-00000765-PAR")</f>
        <v>RF-00000765-PAR</v>
      </c>
    </row>
    <row r="3107" spans="1:2" ht="12.5" x14ac:dyDescent="0.25">
      <c r="A3107" t="str">
        <f ca="1">IFERROR(__xludf.DUMMYFUNCTION("""COMPUTED_VALUE"""),"FOX-9")</f>
        <v>FOX-9</v>
      </c>
      <c r="B3107" t="str">
        <f ca="1">IFERROR(__xludf.DUMMYFUNCTION("""COMPUTED_VALUE"""),"RF-00000766-PAR")</f>
        <v>RF-00000766-PAR</v>
      </c>
    </row>
    <row r="3108" spans="1:2" ht="12.5" x14ac:dyDescent="0.25">
      <c r="A3108" t="str">
        <f ca="1">IFERROR(__xludf.DUMMYFUNCTION("""COMPUTED_VALUE"""),"Framycetin (Neomycin B)")</f>
        <v>Framycetin (Neomycin B)</v>
      </c>
      <c r="B3108" t="str">
        <f ca="1">IFERROR(__xludf.DUMMYFUNCTION("""COMPUTED_VALUE"""),"RF-00000683-VET")</f>
        <v>RF-00000683-VET</v>
      </c>
    </row>
    <row r="3109" spans="1:2" ht="12.5" x14ac:dyDescent="0.25">
      <c r="A3109" t="str">
        <f ca="1">IFERROR(__xludf.DUMMYFUNCTION("""COMPUTED_VALUE"""),"Francisella")</f>
        <v>Francisella</v>
      </c>
      <c r="B3109" t="str">
        <f ca="1">IFERROR(__xludf.DUMMYFUNCTION("""COMPUTED_VALUE"""),"RF-00000223-MCG")</f>
        <v>RF-00000223-MCG</v>
      </c>
    </row>
    <row r="3110" spans="1:2" ht="12.5" x14ac:dyDescent="0.25">
      <c r="A3110" t="str">
        <f ca="1">IFERROR(__xludf.DUMMYFUNCTION("""COMPUTED_VALUE"""),"Francisella philomiragia")</f>
        <v>Francisella philomiragia</v>
      </c>
      <c r="B3110" t="str">
        <f ca="1">IFERROR(__xludf.DUMMYFUNCTION("""COMPUTED_VALUE"""),"RF-00002786-MCG")</f>
        <v>RF-00002786-MCG</v>
      </c>
    </row>
    <row r="3111" spans="1:2" ht="12.5" x14ac:dyDescent="0.25">
      <c r="A3111" t="str">
        <f ca="1">IFERROR(__xludf.DUMMYFUNCTION("""COMPUTED_VALUE"""),"Francisella spp.,  unspecified")</f>
        <v>Francisella spp.,  unspecified</v>
      </c>
      <c r="B3111" t="str">
        <f ca="1">IFERROR(__xludf.DUMMYFUNCTION("""COMPUTED_VALUE"""),"RF-00000225-MCG")</f>
        <v>RF-00000225-MCG</v>
      </c>
    </row>
    <row r="3112" spans="1:2" ht="12.5" x14ac:dyDescent="0.25">
      <c r="A3112" t="str">
        <f ca="1">IFERROR(__xludf.DUMMYFUNCTION("""COMPUTED_VALUE"""),"Francisella tularensis")</f>
        <v>Francisella tularensis</v>
      </c>
      <c r="B3112" t="str">
        <f ca="1">IFERROR(__xludf.DUMMYFUNCTION("""COMPUTED_VALUE"""),"RF-00000224-MCG")</f>
        <v>RF-00000224-MCG</v>
      </c>
    </row>
    <row r="3113" spans="1:2" ht="12.5" x14ac:dyDescent="0.25">
      <c r="A3113" t="str">
        <f ca="1">IFERROR(__xludf.DUMMYFUNCTION("""COMPUTED_VALUE"""),"Free chlorine residual")</f>
        <v>Free chlorine residual</v>
      </c>
      <c r="B3113" t="str">
        <f ca="1">IFERROR(__xludf.DUMMYFUNCTION("""COMPUTED_VALUE"""),"RF-00000018-CHE")</f>
        <v>RF-00000018-CHE</v>
      </c>
    </row>
    <row r="3114" spans="1:2" ht="12.5" x14ac:dyDescent="0.25">
      <c r="A3114" t="str">
        <f ca="1">IFERROR(__xludf.DUMMYFUNCTION("""COMPUTED_VALUE"""),"Free gossypol")</f>
        <v>Free gossypol</v>
      </c>
      <c r="B3114" t="str">
        <f ca="1">IFERROR(__xludf.DUMMYFUNCTION("""COMPUTED_VALUE"""),"RF-00000332-TOX")</f>
        <v>RF-00000332-TOX</v>
      </c>
    </row>
    <row r="3115" spans="1:2" ht="12.5" x14ac:dyDescent="0.25">
      <c r="A3115" t="str">
        <f ca="1">IFERROR(__xludf.DUMMYFUNCTION("""COMPUTED_VALUE"""),"fructose")</f>
        <v>fructose</v>
      </c>
      <c r="B3115" t="str">
        <f ca="1">IFERROR(__xludf.DUMMYFUNCTION("""COMPUTED_VALUE"""),"RF-00000292-NTR")</f>
        <v>RF-00000292-NTR</v>
      </c>
    </row>
    <row r="3116" spans="1:2" ht="12.5" x14ac:dyDescent="0.25">
      <c r="A3116" t="str">
        <f ca="1">IFERROR(__xludf.DUMMYFUNCTION("""COMPUTED_VALUE"""),"Fuberidazole")</f>
        <v>Fuberidazole</v>
      </c>
      <c r="B3116" t="str">
        <f ca="1">IFERROR(__xludf.DUMMYFUNCTION("""COMPUTED_VALUE"""),"RF-0227-001-PPP")</f>
        <v>RF-0227-001-PPP</v>
      </c>
    </row>
    <row r="3117" spans="1:2" ht="12.5" x14ac:dyDescent="0.25">
      <c r="A3117" t="str">
        <f ca="1">IFERROR(__xludf.DUMMYFUNCTION("""COMPUTED_VALUE"""),"Fuchsisenecionine")</f>
        <v>Fuchsisenecionine</v>
      </c>
      <c r="B3117" t="str">
        <f ca="1">IFERROR(__xludf.DUMMYFUNCTION("""COMPUTED_VALUE"""),"RF-00000281-TOX")</f>
        <v>RF-00000281-TOX</v>
      </c>
    </row>
    <row r="3118" spans="1:2" ht="12.5" x14ac:dyDescent="0.25">
      <c r="A3118" t="str">
        <f ca="1">IFERROR(__xludf.DUMMYFUNCTION("""COMPUTED_VALUE"""),"fucosterol")</f>
        <v>fucosterol</v>
      </c>
      <c r="B3118" t="str">
        <f ca="1">IFERROR(__xludf.DUMMYFUNCTION("""COMPUTED_VALUE"""),"RF-00000293-NTR")</f>
        <v>RF-00000293-NTR</v>
      </c>
    </row>
    <row r="3119" spans="1:2" ht="12.5" x14ac:dyDescent="0.25">
      <c r="A3119" t="str">
        <f ca="1">IFERROR(__xludf.DUMMYFUNCTION("""COMPUTED_VALUE"""),"Fumagillin")</f>
        <v>Fumagillin</v>
      </c>
      <c r="B3119" t="str">
        <f ca="1">IFERROR(__xludf.DUMMYFUNCTION("""COMPUTED_VALUE"""),"RF-00000686-VET")</f>
        <v>RF-00000686-VET</v>
      </c>
    </row>
    <row r="3120" spans="1:2" ht="12.5" x14ac:dyDescent="0.25">
      <c r="A3120" t="str">
        <f ca="1">IFERROR(__xludf.DUMMYFUNCTION("""COMPUTED_VALUE"""),"Fumaric acid")</f>
        <v>Fumaric acid</v>
      </c>
      <c r="B3120" t="str">
        <f ca="1">IFERROR(__xludf.DUMMYFUNCTION("""COMPUTED_VALUE"""),"RF-00000134-ADD")</f>
        <v>RF-00000134-ADD</v>
      </c>
    </row>
    <row r="3121" spans="1:2" ht="12.5" x14ac:dyDescent="0.25">
      <c r="A3121" t="str">
        <f ca="1">IFERROR(__xludf.DUMMYFUNCTION("""COMPUTED_VALUE"""),"Fumonisin A1")</f>
        <v>Fumonisin A1</v>
      </c>
      <c r="B3121" t="str">
        <f ca="1">IFERROR(__xludf.DUMMYFUNCTION("""COMPUTED_VALUE"""),"RF-00000175-TOX")</f>
        <v>RF-00000175-TOX</v>
      </c>
    </row>
    <row r="3122" spans="1:2" ht="12.5" x14ac:dyDescent="0.25">
      <c r="A3122" t="str">
        <f ca="1">IFERROR(__xludf.DUMMYFUNCTION("""COMPUTED_VALUE"""),"Fumonisin A2")</f>
        <v>Fumonisin A2</v>
      </c>
      <c r="B3122" t="str">
        <f ca="1">IFERROR(__xludf.DUMMYFUNCTION("""COMPUTED_VALUE"""),"RF-00000176-TOX")</f>
        <v>RF-00000176-TOX</v>
      </c>
    </row>
    <row r="3123" spans="1:2" ht="12.5" x14ac:dyDescent="0.25">
      <c r="A3123" t="str">
        <f ca="1">IFERROR(__xludf.DUMMYFUNCTION("""COMPUTED_VALUE"""),"Fumonisin B1")</f>
        <v>Fumonisin B1</v>
      </c>
      <c r="B3123" t="str">
        <f ca="1">IFERROR(__xludf.DUMMYFUNCTION("""COMPUTED_VALUE"""),"RF-00000177-TOX")</f>
        <v>RF-00000177-TOX</v>
      </c>
    </row>
    <row r="3124" spans="1:2" ht="12.5" x14ac:dyDescent="0.25">
      <c r="A3124" t="str">
        <f ca="1">IFERROR(__xludf.DUMMYFUNCTION("""COMPUTED_VALUE"""),"Fumonisin B2")</f>
        <v>Fumonisin B2</v>
      </c>
      <c r="B3124" t="str">
        <f ca="1">IFERROR(__xludf.DUMMYFUNCTION("""COMPUTED_VALUE"""),"RF-00000178-TOX")</f>
        <v>RF-00000178-TOX</v>
      </c>
    </row>
    <row r="3125" spans="1:2" ht="12.5" x14ac:dyDescent="0.25">
      <c r="A3125" t="str">
        <f ca="1">IFERROR(__xludf.DUMMYFUNCTION("""COMPUTED_VALUE"""),"Fumonisin B3")</f>
        <v>Fumonisin B3</v>
      </c>
      <c r="B3125" t="str">
        <f ca="1">IFERROR(__xludf.DUMMYFUNCTION("""COMPUTED_VALUE"""),"RF-00000179-TOX")</f>
        <v>RF-00000179-TOX</v>
      </c>
    </row>
    <row r="3126" spans="1:2" ht="12.5" x14ac:dyDescent="0.25">
      <c r="A3126" t="str">
        <f ca="1">IFERROR(__xludf.DUMMYFUNCTION("""COMPUTED_VALUE"""),"Fumonisin B4")</f>
        <v>Fumonisin B4</v>
      </c>
      <c r="B3126" t="str">
        <f ca="1">IFERROR(__xludf.DUMMYFUNCTION("""COMPUTED_VALUE"""),"RF-00000180-TOX")</f>
        <v>RF-00000180-TOX</v>
      </c>
    </row>
    <row r="3127" spans="1:2" ht="12.5" x14ac:dyDescent="0.25">
      <c r="A3127" t="str">
        <f ca="1">IFERROR(__xludf.DUMMYFUNCTION("""COMPUTED_VALUE"""),"Fumonisins")</f>
        <v>Fumonisins</v>
      </c>
      <c r="B3127" t="str">
        <f ca="1">IFERROR(__xludf.DUMMYFUNCTION("""COMPUTED_VALUE"""),"RF-00000174-TOX")</f>
        <v>RF-00000174-TOX</v>
      </c>
    </row>
    <row r="3128" spans="1:2" ht="12.5" x14ac:dyDescent="0.25">
      <c r="A3128" t="str">
        <f ca="1">IFERROR(__xludf.DUMMYFUNCTION("""COMPUTED_VALUE"""),"Fungi")</f>
        <v>Fungi</v>
      </c>
      <c r="B3128" t="str">
        <f ca="1">IFERROR(__xludf.DUMMYFUNCTION("""COMPUTED_VALUE"""),"RF-00002797-MCG")</f>
        <v>RF-00002797-MCG</v>
      </c>
    </row>
    <row r="3129" spans="1:2" ht="12.5" x14ac:dyDescent="0.25">
      <c r="A3129" t="str">
        <f ca="1">IFERROR(__xludf.DUMMYFUNCTION("""COMPUTED_VALUE"""),"Furalaxyl")</f>
        <v>Furalaxyl</v>
      </c>
      <c r="B3129" t="str">
        <f ca="1">IFERROR(__xludf.DUMMYFUNCTION("""COMPUTED_VALUE"""),"RF-0727-001-PPP")</f>
        <v>RF-0727-001-PPP</v>
      </c>
    </row>
    <row r="3130" spans="1:2" ht="12.5" x14ac:dyDescent="0.25">
      <c r="A3130" t="str">
        <f ca="1">IFERROR(__xludf.DUMMYFUNCTION("""COMPUTED_VALUE"""),"Furaltadone")</f>
        <v>Furaltadone</v>
      </c>
      <c r="B3130" t="str">
        <f ca="1">IFERROR(__xludf.DUMMYFUNCTION("""COMPUTED_VALUE"""),"RF-00000511-VET")</f>
        <v>RF-00000511-VET</v>
      </c>
    </row>
    <row r="3131" spans="1:2" ht="12.5" x14ac:dyDescent="0.25">
      <c r="A3131" t="str">
        <f ca="1">IFERROR(__xludf.DUMMYFUNCTION("""COMPUTED_VALUE"""),"Furan")</f>
        <v>Furan</v>
      </c>
      <c r="B3131" t="str">
        <f ca="1">IFERROR(__xludf.DUMMYFUNCTION("""COMPUTED_VALUE"""),"RF-00000073-ORG")</f>
        <v>RF-00000073-ORG</v>
      </c>
    </row>
    <row r="3132" spans="1:2" ht="12.5" x14ac:dyDescent="0.25">
      <c r="A3132" t="str">
        <f ca="1">IFERROR(__xludf.DUMMYFUNCTION("""COMPUTED_VALUE"""),"Furathiocarb")</f>
        <v>Furathiocarb</v>
      </c>
      <c r="B3132" t="str">
        <f ca="1">IFERROR(__xludf.DUMMYFUNCTION("""COMPUTED_VALUE"""),"RF-00000145-VET")</f>
        <v>RF-00000145-VET</v>
      </c>
    </row>
    <row r="3133" spans="1:2" ht="12.5" x14ac:dyDescent="0.25">
      <c r="A3133" t="str">
        <f ca="1">IFERROR(__xludf.DUMMYFUNCTION("""COMPUTED_VALUE"""),"Furathiocarb")</f>
        <v>Furathiocarb</v>
      </c>
      <c r="B3133" t="str">
        <f ca="1">IFERROR(__xludf.DUMMYFUNCTION("""COMPUTED_VALUE"""),"RF-0228-001-PPP")</f>
        <v>RF-0228-001-PPP</v>
      </c>
    </row>
    <row r="3134" spans="1:2" ht="12.5" x14ac:dyDescent="0.25">
      <c r="A3134" t="str">
        <f ca="1">IFERROR(__xludf.DUMMYFUNCTION("""COMPUTED_VALUE"""),"Furazolidone")</f>
        <v>Furazolidone</v>
      </c>
      <c r="B3134" t="str">
        <f ca="1">IFERROR(__xludf.DUMMYFUNCTION("""COMPUTED_VALUE"""),"RF-00000520-VET")</f>
        <v>RF-00000520-VET</v>
      </c>
    </row>
    <row r="3135" spans="1:2" ht="12.5" x14ac:dyDescent="0.25">
      <c r="A3135" t="str">
        <f ca="1">IFERROR(__xludf.DUMMYFUNCTION("""COMPUTED_VALUE"""),"Furconazole")</f>
        <v>Furconazole</v>
      </c>
      <c r="B3135" t="str">
        <f ca="1">IFERROR(__xludf.DUMMYFUNCTION("""COMPUTED_VALUE"""),"RF-0229-001-PPP")</f>
        <v>RF-0229-001-PPP</v>
      </c>
    </row>
    <row r="3136" spans="1:2" ht="12.5" x14ac:dyDescent="0.25">
      <c r="A3136" t="str">
        <f ca="1">IFERROR(__xludf.DUMMYFUNCTION("""COMPUTED_VALUE"""),"Furfural")</f>
        <v>Furfural</v>
      </c>
      <c r="B3136" t="str">
        <f ca="1">IFERROR(__xludf.DUMMYFUNCTION("""COMPUTED_VALUE"""),"RF-1009-001-PPP")</f>
        <v>RF-1009-001-PPP</v>
      </c>
    </row>
    <row r="3137" spans="1:2" ht="12.5" x14ac:dyDescent="0.25">
      <c r="A3137" t="str">
        <f ca="1">IFERROR(__xludf.DUMMYFUNCTION("""COMPUTED_VALUE"""),"Furilazole")</f>
        <v>Furilazole</v>
      </c>
      <c r="B3137" t="str">
        <f ca="1">IFERROR(__xludf.DUMMYFUNCTION("""COMPUTED_VALUE"""),"RF-0728-001-PPP")</f>
        <v>RF-0728-001-PPP</v>
      </c>
    </row>
    <row r="3138" spans="1:2" ht="12.5" x14ac:dyDescent="0.25">
      <c r="A3138" t="str">
        <f ca="1">IFERROR(__xludf.DUMMYFUNCTION("""COMPUTED_VALUE"""),"Furmecyclox")</f>
        <v>Furmecyclox</v>
      </c>
      <c r="B3138" t="str">
        <f ca="1">IFERROR(__xludf.DUMMYFUNCTION("""COMPUTED_VALUE"""),"RF-0729-001-PPP")</f>
        <v>RF-0729-001-PPP</v>
      </c>
    </row>
    <row r="3139" spans="1:2" ht="12.5" x14ac:dyDescent="0.25">
      <c r="A3139" t="str">
        <f ca="1">IFERROR(__xludf.DUMMYFUNCTION("""COMPUTED_VALUE"""),"Fusarenon X")</f>
        <v>Fusarenon X</v>
      </c>
      <c r="B3139" t="str">
        <f ca="1">IFERROR(__xludf.DUMMYFUNCTION("""COMPUTED_VALUE"""),"RF-00000186-TOX")</f>
        <v>RF-00000186-TOX</v>
      </c>
    </row>
    <row r="3140" spans="1:2" ht="12.5" x14ac:dyDescent="0.25">
      <c r="A3140" t="str">
        <f ca="1">IFERROR(__xludf.DUMMYFUNCTION("""COMPUTED_VALUE"""),"Fusaric acid")</f>
        <v>Fusaric acid</v>
      </c>
      <c r="B3140" t="str">
        <f ca="1">IFERROR(__xludf.DUMMYFUNCTION("""COMPUTED_VALUE"""),"RF-00000181-TOX")</f>
        <v>RF-00000181-TOX</v>
      </c>
    </row>
    <row r="3141" spans="1:2" ht="12.5" x14ac:dyDescent="0.25">
      <c r="A3141" t="str">
        <f ca="1">IFERROR(__xludf.DUMMYFUNCTION("""COMPUTED_VALUE"""),"Fusarium Toxins")</f>
        <v>Fusarium Toxins</v>
      </c>
      <c r="B3141" t="str">
        <f ca="1">IFERROR(__xludf.DUMMYFUNCTION("""COMPUTED_VALUE"""),"RF-00000158-TOX")</f>
        <v>RF-00000158-TOX</v>
      </c>
    </row>
    <row r="3142" spans="1:2" ht="12.5" x14ac:dyDescent="0.25">
      <c r="A3142" t="str">
        <f ca="1">IFERROR(__xludf.DUMMYFUNCTION("""COMPUTED_VALUE"""),"Fusidanes")</f>
        <v>Fusidanes</v>
      </c>
      <c r="B3142" t="str">
        <f ca="1">IFERROR(__xludf.DUMMYFUNCTION("""COMPUTED_VALUE"""),"RF-00000737-VET")</f>
        <v>RF-00000737-VET</v>
      </c>
    </row>
    <row r="3143" spans="1:2" ht="12.5" x14ac:dyDescent="0.25">
      <c r="A3143" t="str">
        <f ca="1">IFERROR(__xludf.DUMMYFUNCTION("""COMPUTED_VALUE"""),"Fusidic acid")</f>
        <v>Fusidic acid</v>
      </c>
      <c r="B3143" t="str">
        <f ca="1">IFERROR(__xludf.DUMMYFUNCTION("""COMPUTED_VALUE"""),"RF-00000738-VET")</f>
        <v>RF-00000738-VET</v>
      </c>
    </row>
    <row r="3144" spans="1:2" ht="12.5" x14ac:dyDescent="0.25">
      <c r="A3144" t="str">
        <f ca="1">IFERROR(__xludf.DUMMYFUNCTION("""COMPUTED_VALUE"""),"galactose")</f>
        <v>galactose</v>
      </c>
      <c r="B3144" t="str">
        <f ca="1">IFERROR(__xludf.DUMMYFUNCTION("""COMPUTED_VALUE"""),"RF-00000294-NTR")</f>
        <v>RF-00000294-NTR</v>
      </c>
    </row>
    <row r="3145" spans="1:2" ht="12.5" x14ac:dyDescent="0.25">
      <c r="A3145" t="str">
        <f ca="1">IFERROR(__xludf.DUMMYFUNCTION("""COMPUTED_VALUE"""),"Gamma activity")</f>
        <v>Gamma activity</v>
      </c>
      <c r="B3145" t="str">
        <f ca="1">IFERROR(__xludf.DUMMYFUNCTION("""COMPUTED_VALUE"""),"RF-00000006-RAD")</f>
        <v>RF-00000006-RAD</v>
      </c>
    </row>
    <row r="3146" spans="1:2" ht="12.5" x14ac:dyDescent="0.25">
      <c r="A3146" t="str">
        <f ca="1">IFERROR(__xludf.DUMMYFUNCTION("""COMPUTED_VALUE"""),"gamma-carotene")</f>
        <v>gamma-carotene</v>
      </c>
      <c r="B3146" t="str">
        <f ca="1">IFERROR(__xludf.DUMMYFUNCTION("""COMPUTED_VALUE"""),"RF-00000295-NTR")</f>
        <v>RF-00000295-NTR</v>
      </c>
    </row>
    <row r="3147" spans="1:2" ht="12.5" x14ac:dyDescent="0.25">
      <c r="A3147" t="str">
        <f ca="1">IFERROR(__xludf.DUMMYFUNCTION("""COMPUTED_VALUE"""),"Gamma-tocopherol")</f>
        <v>Gamma-tocopherol</v>
      </c>
      <c r="B3147" t="str">
        <f ca="1">IFERROR(__xludf.DUMMYFUNCTION("""COMPUTED_VALUE"""),"RF-00000135-ADD")</f>
        <v>RF-00000135-ADD</v>
      </c>
    </row>
    <row r="3148" spans="1:2" ht="12.5" x14ac:dyDescent="0.25">
      <c r="A3148" t="str">
        <f ca="1">IFERROR(__xludf.DUMMYFUNCTION("""COMPUTED_VALUE"""),"gamma-tocotrienol")</f>
        <v>gamma-tocotrienol</v>
      </c>
      <c r="B3148" t="str">
        <f ca="1">IFERROR(__xludf.DUMMYFUNCTION("""COMPUTED_VALUE"""),"RF-00000296-NTR")</f>
        <v>RF-00000296-NTR</v>
      </c>
    </row>
    <row r="3149" spans="1:2" ht="12.5" x14ac:dyDescent="0.25">
      <c r="A3149" t="str">
        <f ca="1">IFERROR(__xludf.DUMMYFUNCTION("""COMPUTED_VALUE"""),"Gatifloxacin")</f>
        <v>Gatifloxacin</v>
      </c>
      <c r="B3149" t="str">
        <f ca="1">IFERROR(__xludf.DUMMYFUNCTION("""COMPUTED_VALUE"""),"RF-00000533-VET")</f>
        <v>RF-00000533-VET</v>
      </c>
    </row>
    <row r="3150" spans="1:2" ht="12.5" x14ac:dyDescent="0.25">
      <c r="A3150" t="str">
        <f ca="1">IFERROR(__xludf.DUMMYFUNCTION("""COMPUTED_VALUE"""),"Gellan gum")</f>
        <v>Gellan gum</v>
      </c>
      <c r="B3150" t="str">
        <f ca="1">IFERROR(__xludf.DUMMYFUNCTION("""COMPUTED_VALUE"""),"RF-00000136-ADD")</f>
        <v>RF-00000136-ADD</v>
      </c>
    </row>
    <row r="3151" spans="1:2" ht="12.5" x14ac:dyDescent="0.25">
      <c r="A3151" t="str">
        <f ca="1">IFERROR(__xludf.DUMMYFUNCTION("""COMPUTED_VALUE"""),"Gemifloxacin")</f>
        <v>Gemifloxacin</v>
      </c>
      <c r="B3151" t="str">
        <f ca="1">IFERROR(__xludf.DUMMYFUNCTION("""COMPUTED_VALUE"""),"RF-00000732-VET")</f>
        <v>RF-00000732-VET</v>
      </c>
    </row>
    <row r="3152" spans="1:2" ht="12.5" x14ac:dyDescent="0.25">
      <c r="A3152" t="str">
        <f ca="1">IFERROR(__xludf.DUMMYFUNCTION("""COMPUTED_VALUE"""),"genistein")</f>
        <v>genistein</v>
      </c>
      <c r="B3152" t="str">
        <f ca="1">IFERROR(__xludf.DUMMYFUNCTION("""COMPUTED_VALUE"""),"RF-00000297-NTR")</f>
        <v>RF-00000297-NTR</v>
      </c>
    </row>
    <row r="3153" spans="1:2" ht="12.5" x14ac:dyDescent="0.25">
      <c r="A3153" t="str">
        <f ca="1">IFERROR(__xludf.DUMMYFUNCTION("""COMPUTED_VALUE"""),"Genite")</f>
        <v>Genite</v>
      </c>
      <c r="B3153" t="str">
        <f ca="1">IFERROR(__xludf.DUMMYFUNCTION("""COMPUTED_VALUE"""),"RF-0730-001-PPP")</f>
        <v>RF-0730-001-PPP</v>
      </c>
    </row>
    <row r="3154" spans="1:2" ht="12.5" x14ac:dyDescent="0.25">
      <c r="A3154" t="str">
        <f ca="1">IFERROR(__xludf.DUMMYFUNCTION("""COMPUTED_VALUE"""),"Gentamicin")</f>
        <v>Gentamicin</v>
      </c>
      <c r="B3154" t="str">
        <f ca="1">IFERROR(__xludf.DUMMYFUNCTION("""COMPUTED_VALUE"""),"RF-00000536-VET")</f>
        <v>RF-00000536-VET</v>
      </c>
    </row>
    <row r="3155" spans="1:2" ht="12.5" x14ac:dyDescent="0.25">
      <c r="A3155" t="str">
        <f ca="1">IFERROR(__xludf.DUMMYFUNCTION("""COMPUTED_VALUE"""),"GES")</f>
        <v>GES</v>
      </c>
      <c r="B3155" t="str">
        <f ca="1">IFERROR(__xludf.DUMMYFUNCTION("""COMPUTED_VALUE"""),"RF-00000177-PAR")</f>
        <v>RF-00000177-PAR</v>
      </c>
    </row>
    <row r="3156" spans="1:2" ht="12.5" x14ac:dyDescent="0.25">
      <c r="A3156" t="str">
        <f ca="1">IFERROR(__xludf.DUMMYFUNCTION("""COMPUTED_VALUE"""),"GES-1")</f>
        <v>GES-1</v>
      </c>
      <c r="B3156" t="str">
        <f ca="1">IFERROR(__xludf.DUMMYFUNCTION("""COMPUTED_VALUE"""),"RF-00000178-PAR")</f>
        <v>RF-00000178-PAR</v>
      </c>
    </row>
    <row r="3157" spans="1:2" ht="12.5" x14ac:dyDescent="0.25">
      <c r="A3157" t="str">
        <f ca="1">IFERROR(__xludf.DUMMYFUNCTION("""COMPUTED_VALUE"""),"GES-10")</f>
        <v>GES-10</v>
      </c>
      <c r="B3157" t="str">
        <f ca="1">IFERROR(__xludf.DUMMYFUNCTION("""COMPUTED_VALUE"""),"RF-00000187-PAR")</f>
        <v>RF-00000187-PAR</v>
      </c>
    </row>
    <row r="3158" spans="1:2" ht="12.5" x14ac:dyDescent="0.25">
      <c r="A3158" t="str">
        <f ca="1">IFERROR(__xludf.DUMMYFUNCTION("""COMPUTED_VALUE"""),"GES-11")</f>
        <v>GES-11</v>
      </c>
      <c r="B3158" t="str">
        <f ca="1">IFERROR(__xludf.DUMMYFUNCTION("""COMPUTED_VALUE"""),"RF-00000188-PAR")</f>
        <v>RF-00000188-PAR</v>
      </c>
    </row>
    <row r="3159" spans="1:2" ht="12.5" x14ac:dyDescent="0.25">
      <c r="A3159" t="str">
        <f ca="1">IFERROR(__xludf.DUMMYFUNCTION("""COMPUTED_VALUE"""),"GES-12")</f>
        <v>GES-12</v>
      </c>
      <c r="B3159" t="str">
        <f ca="1">IFERROR(__xludf.DUMMYFUNCTION("""COMPUTED_VALUE"""),"RF-00000189-PAR")</f>
        <v>RF-00000189-PAR</v>
      </c>
    </row>
    <row r="3160" spans="1:2" ht="12.5" x14ac:dyDescent="0.25">
      <c r="A3160" t="str">
        <f ca="1">IFERROR(__xludf.DUMMYFUNCTION("""COMPUTED_VALUE"""),"GES-13")</f>
        <v>GES-13</v>
      </c>
      <c r="B3160" t="str">
        <f ca="1">IFERROR(__xludf.DUMMYFUNCTION("""COMPUTED_VALUE"""),"RF-00000190-PAR")</f>
        <v>RF-00000190-PAR</v>
      </c>
    </row>
    <row r="3161" spans="1:2" ht="12.5" x14ac:dyDescent="0.25">
      <c r="A3161" t="str">
        <f ca="1">IFERROR(__xludf.DUMMYFUNCTION("""COMPUTED_VALUE"""),"GES-14")</f>
        <v>GES-14</v>
      </c>
      <c r="B3161" t="str">
        <f ca="1">IFERROR(__xludf.DUMMYFUNCTION("""COMPUTED_VALUE"""),"RF-00000191-PAR")</f>
        <v>RF-00000191-PAR</v>
      </c>
    </row>
    <row r="3162" spans="1:2" ht="12.5" x14ac:dyDescent="0.25">
      <c r="A3162" t="str">
        <f ca="1">IFERROR(__xludf.DUMMYFUNCTION("""COMPUTED_VALUE"""),"GES-15")</f>
        <v>GES-15</v>
      </c>
      <c r="B3162" t="str">
        <f ca="1">IFERROR(__xludf.DUMMYFUNCTION("""COMPUTED_VALUE"""),"RF-00000192-PAR")</f>
        <v>RF-00000192-PAR</v>
      </c>
    </row>
    <row r="3163" spans="1:2" ht="12.5" x14ac:dyDescent="0.25">
      <c r="A3163" t="str">
        <f ca="1">IFERROR(__xludf.DUMMYFUNCTION("""COMPUTED_VALUE"""),"GES-16")</f>
        <v>GES-16</v>
      </c>
      <c r="B3163" t="str">
        <f ca="1">IFERROR(__xludf.DUMMYFUNCTION("""COMPUTED_VALUE"""),"RF-00000193-PAR")</f>
        <v>RF-00000193-PAR</v>
      </c>
    </row>
    <row r="3164" spans="1:2" ht="12.5" x14ac:dyDescent="0.25">
      <c r="A3164" t="str">
        <f ca="1">IFERROR(__xludf.DUMMYFUNCTION("""COMPUTED_VALUE"""),"GES-17")</f>
        <v>GES-17</v>
      </c>
      <c r="B3164" t="str">
        <f ca="1">IFERROR(__xludf.DUMMYFUNCTION("""COMPUTED_VALUE"""),"RF-00000194-PAR")</f>
        <v>RF-00000194-PAR</v>
      </c>
    </row>
    <row r="3165" spans="1:2" ht="12.5" x14ac:dyDescent="0.25">
      <c r="A3165" t="str">
        <f ca="1">IFERROR(__xludf.DUMMYFUNCTION("""COMPUTED_VALUE"""),"GES-18")</f>
        <v>GES-18</v>
      </c>
      <c r="B3165" t="str">
        <f ca="1">IFERROR(__xludf.DUMMYFUNCTION("""COMPUTED_VALUE"""),"RF-00000195-PAR")</f>
        <v>RF-00000195-PAR</v>
      </c>
    </row>
    <row r="3166" spans="1:2" ht="12.5" x14ac:dyDescent="0.25">
      <c r="A3166" t="str">
        <f ca="1">IFERROR(__xludf.DUMMYFUNCTION("""COMPUTED_VALUE"""),"GES-19")</f>
        <v>GES-19</v>
      </c>
      <c r="B3166" t="str">
        <f ca="1">IFERROR(__xludf.DUMMYFUNCTION("""COMPUTED_VALUE"""),"RF-00000196-PAR")</f>
        <v>RF-00000196-PAR</v>
      </c>
    </row>
    <row r="3167" spans="1:2" ht="12.5" x14ac:dyDescent="0.25">
      <c r="A3167" t="str">
        <f ca="1">IFERROR(__xludf.DUMMYFUNCTION("""COMPUTED_VALUE"""),"GES-2")</f>
        <v>GES-2</v>
      </c>
      <c r="B3167" t="str">
        <f ca="1">IFERROR(__xludf.DUMMYFUNCTION("""COMPUTED_VALUE"""),"RF-00000179-PAR")</f>
        <v>RF-00000179-PAR</v>
      </c>
    </row>
    <row r="3168" spans="1:2" ht="12.5" x14ac:dyDescent="0.25">
      <c r="A3168" t="str">
        <f ca="1">IFERROR(__xludf.DUMMYFUNCTION("""COMPUTED_VALUE"""),"GES-20")</f>
        <v>GES-20</v>
      </c>
      <c r="B3168" t="str">
        <f ca="1">IFERROR(__xludf.DUMMYFUNCTION("""COMPUTED_VALUE"""),"RF-00000197-PAR")</f>
        <v>RF-00000197-PAR</v>
      </c>
    </row>
    <row r="3169" spans="1:2" ht="12.5" x14ac:dyDescent="0.25">
      <c r="A3169" t="str">
        <f ca="1">IFERROR(__xludf.DUMMYFUNCTION("""COMPUTED_VALUE"""),"GES-21")</f>
        <v>GES-21</v>
      </c>
      <c r="B3169" t="str">
        <f ca="1">IFERROR(__xludf.DUMMYFUNCTION("""COMPUTED_VALUE"""),"RF-00000198-PAR")</f>
        <v>RF-00000198-PAR</v>
      </c>
    </row>
    <row r="3170" spans="1:2" ht="12.5" x14ac:dyDescent="0.25">
      <c r="A3170" t="str">
        <f ca="1">IFERROR(__xludf.DUMMYFUNCTION("""COMPUTED_VALUE"""),"GES-22")</f>
        <v>GES-22</v>
      </c>
      <c r="B3170" t="str">
        <f ca="1">IFERROR(__xludf.DUMMYFUNCTION("""COMPUTED_VALUE"""),"RF-00000199-PAR")</f>
        <v>RF-00000199-PAR</v>
      </c>
    </row>
    <row r="3171" spans="1:2" ht="12.5" x14ac:dyDescent="0.25">
      <c r="A3171" t="str">
        <f ca="1">IFERROR(__xludf.DUMMYFUNCTION("""COMPUTED_VALUE"""),"GES-3")</f>
        <v>GES-3</v>
      </c>
      <c r="B3171" t="str">
        <f ca="1">IFERROR(__xludf.DUMMYFUNCTION("""COMPUTED_VALUE"""),"RF-00000180-PAR")</f>
        <v>RF-00000180-PAR</v>
      </c>
    </row>
    <row r="3172" spans="1:2" ht="12.5" x14ac:dyDescent="0.25">
      <c r="A3172" t="str">
        <f ca="1">IFERROR(__xludf.DUMMYFUNCTION("""COMPUTED_VALUE"""),"GES-4")</f>
        <v>GES-4</v>
      </c>
      <c r="B3172" t="str">
        <f ca="1">IFERROR(__xludf.DUMMYFUNCTION("""COMPUTED_VALUE"""),"RF-00000181-PAR")</f>
        <v>RF-00000181-PAR</v>
      </c>
    </row>
    <row r="3173" spans="1:2" ht="12.5" x14ac:dyDescent="0.25">
      <c r="A3173" t="str">
        <f ca="1">IFERROR(__xludf.DUMMYFUNCTION("""COMPUTED_VALUE"""),"GES-5")</f>
        <v>GES-5</v>
      </c>
      <c r="B3173" t="str">
        <f ca="1">IFERROR(__xludf.DUMMYFUNCTION("""COMPUTED_VALUE"""),"RF-00000182-PAR")</f>
        <v>RF-00000182-PAR</v>
      </c>
    </row>
    <row r="3174" spans="1:2" ht="12.5" x14ac:dyDescent="0.25">
      <c r="A3174" t="str">
        <f ca="1">IFERROR(__xludf.DUMMYFUNCTION("""COMPUTED_VALUE"""),"GES-6")</f>
        <v>GES-6</v>
      </c>
      <c r="B3174" t="str">
        <f ca="1">IFERROR(__xludf.DUMMYFUNCTION("""COMPUTED_VALUE"""),"RF-00000183-PAR")</f>
        <v>RF-00000183-PAR</v>
      </c>
    </row>
    <row r="3175" spans="1:2" ht="12.5" x14ac:dyDescent="0.25">
      <c r="A3175" t="str">
        <f ca="1">IFERROR(__xludf.DUMMYFUNCTION("""COMPUTED_VALUE"""),"GES-7 (IBC-1)")</f>
        <v>GES-7 (IBC-1)</v>
      </c>
      <c r="B3175" t="str">
        <f ca="1">IFERROR(__xludf.DUMMYFUNCTION("""COMPUTED_VALUE"""),"RF-00000184-PAR")</f>
        <v>RF-00000184-PAR</v>
      </c>
    </row>
    <row r="3176" spans="1:2" ht="12.5" x14ac:dyDescent="0.25">
      <c r="A3176" t="str">
        <f ca="1">IFERROR(__xludf.DUMMYFUNCTION("""COMPUTED_VALUE"""),"GES-8 (IBC-2)")</f>
        <v>GES-8 (IBC-2)</v>
      </c>
      <c r="B3176" t="str">
        <f ca="1">IFERROR(__xludf.DUMMYFUNCTION("""COMPUTED_VALUE"""),"RF-00000185-PAR")</f>
        <v>RF-00000185-PAR</v>
      </c>
    </row>
    <row r="3177" spans="1:2" ht="12.5" x14ac:dyDescent="0.25">
      <c r="A3177" t="str">
        <f ca="1">IFERROR(__xludf.DUMMYFUNCTION("""COMPUTED_VALUE"""),"GES-9")</f>
        <v>GES-9</v>
      </c>
      <c r="B3177" t="str">
        <f ca="1">IFERROR(__xludf.DUMMYFUNCTION("""COMPUTED_VALUE"""),"RF-00000186-PAR")</f>
        <v>RF-00000186-PAR</v>
      </c>
    </row>
    <row r="3178" spans="1:2" ht="12.5" x14ac:dyDescent="0.25">
      <c r="A3178" t="str">
        <f ca="1">IFERROR(__xludf.DUMMYFUNCTION("""COMPUTED_VALUE"""),"Gestagens")</f>
        <v>Gestagens</v>
      </c>
      <c r="B3178" t="str">
        <f ca="1">IFERROR(__xludf.DUMMYFUNCTION("""COMPUTED_VALUE"""),"RF-00000701-VET")</f>
        <v>RF-00000701-VET</v>
      </c>
    </row>
    <row r="3179" spans="1:2" ht="12.5" x14ac:dyDescent="0.25">
      <c r="A3179" t="str">
        <f ca="1">IFERROR(__xludf.DUMMYFUNCTION("""COMPUTED_VALUE"""),"Giardia")</f>
        <v>Giardia</v>
      </c>
      <c r="B3179" t="str">
        <f ca="1">IFERROR(__xludf.DUMMYFUNCTION("""COMPUTED_VALUE"""),"RF-00000226-MCG")</f>
        <v>RF-00000226-MCG</v>
      </c>
    </row>
    <row r="3180" spans="1:2" ht="12.5" x14ac:dyDescent="0.25">
      <c r="A3180" t="str">
        <f ca="1">IFERROR(__xludf.DUMMYFUNCTION("""COMPUTED_VALUE"""),"Giardia intestinalis (lamblia)")</f>
        <v>Giardia intestinalis (lamblia)</v>
      </c>
      <c r="B3180" t="str">
        <f ca="1">IFERROR(__xludf.DUMMYFUNCTION("""COMPUTED_VALUE"""),"RF-00000227-MCG")</f>
        <v>RF-00000227-MCG</v>
      </c>
    </row>
    <row r="3181" spans="1:2" ht="12.5" x14ac:dyDescent="0.25">
      <c r="A3181" t="str">
        <f ca="1">IFERROR(__xludf.DUMMYFUNCTION("""COMPUTED_VALUE"""),"Giardia spp., unspecified")</f>
        <v>Giardia spp., unspecified</v>
      </c>
      <c r="B3181" t="str">
        <f ca="1">IFERROR(__xludf.DUMMYFUNCTION("""COMPUTED_VALUE"""),"RF-00000228-MCG")</f>
        <v>RF-00000228-MCG</v>
      </c>
    </row>
    <row r="3182" spans="1:2" ht="12.5" x14ac:dyDescent="0.25">
      <c r="A3182" t="str">
        <f ca="1">IFERROR(__xludf.DUMMYFUNCTION("""COMPUTED_VALUE"""),"Gibberellic acid")</f>
        <v>Gibberellic acid</v>
      </c>
      <c r="B3182" t="str">
        <f ca="1">IFERROR(__xludf.DUMMYFUNCTION("""COMPUTED_VALUE"""),"RF-0230-001-PPP")</f>
        <v>RF-0230-001-PPP</v>
      </c>
    </row>
    <row r="3183" spans="1:2" ht="12.5" x14ac:dyDescent="0.25">
      <c r="A3183" t="str">
        <f ca="1">IFERROR(__xludf.DUMMYFUNCTION("""COMPUTED_VALUE"""),"Gluconic acid")</f>
        <v>Gluconic acid</v>
      </c>
      <c r="B3183" t="str">
        <f ca="1">IFERROR(__xludf.DUMMYFUNCTION("""COMPUTED_VALUE"""),"RF-00000137-ADD")</f>
        <v>RF-00000137-ADD</v>
      </c>
    </row>
    <row r="3184" spans="1:2" ht="12.5" x14ac:dyDescent="0.25">
      <c r="A3184" t="str">
        <f ca="1">IFERROR(__xludf.DUMMYFUNCTION("""COMPUTED_VALUE"""),"Glucono-delta-lactone")</f>
        <v>Glucono-delta-lactone</v>
      </c>
      <c r="B3184" t="str">
        <f ca="1">IFERROR(__xludf.DUMMYFUNCTION("""COMPUTED_VALUE"""),"RF-00000138-ADD")</f>
        <v>RF-00000138-ADD</v>
      </c>
    </row>
    <row r="3185" spans="1:2" ht="12.5" x14ac:dyDescent="0.25">
      <c r="A3185" t="str">
        <f ca="1">IFERROR(__xludf.DUMMYFUNCTION("""COMPUTED_VALUE"""),"glucose")</f>
        <v>glucose</v>
      </c>
      <c r="B3185" t="str">
        <f ca="1">IFERROR(__xludf.DUMMYFUNCTION("""COMPUTED_VALUE"""),"RF-00000298-NTR")</f>
        <v>RF-00000298-NTR</v>
      </c>
    </row>
    <row r="3186" spans="1:2" ht="12.5" x14ac:dyDescent="0.25">
      <c r="A3186" t="str">
        <f ca="1">IFERROR(__xludf.DUMMYFUNCTION("""COMPUTED_VALUE"""),"Glucosinolates")</f>
        <v>Glucosinolates</v>
      </c>
      <c r="B3186" t="str">
        <f ca="1">IFERROR(__xludf.DUMMYFUNCTION("""COMPUTED_VALUE"""),"RF-00000330-TOX")</f>
        <v>RF-00000330-TOX</v>
      </c>
    </row>
    <row r="3187" spans="1:2" ht="12.5" x14ac:dyDescent="0.25">
      <c r="A3187" t="str">
        <f ca="1">IFERROR(__xludf.DUMMYFUNCTION("""COMPUTED_VALUE"""),"Glufosinate-ammonium")</f>
        <v>Glufosinate-ammonium</v>
      </c>
      <c r="B3187" t="str">
        <f ca="1">IFERROR(__xludf.DUMMYFUNCTION("""COMPUTED_VALUE"""),"RF-0231-001-PPP")</f>
        <v>RF-0231-001-PPP</v>
      </c>
    </row>
    <row r="3188" spans="1:2" ht="12.5" x14ac:dyDescent="0.25">
      <c r="A3188" t="str">
        <f ca="1">IFERROR(__xludf.DUMMYFUNCTION("""COMPUTED_VALUE"""),"Glufosinate-ammonium (sum of glufosinate, its salts, MPP and NAG expressed as glufosinate equivalents)")</f>
        <v>Glufosinate-ammonium (sum of glufosinate, its salts, MPP and NAG expressed as glufosinate equivalents)</v>
      </c>
      <c r="B3188" t="str">
        <f ca="1">IFERROR(__xludf.DUMMYFUNCTION("""COMPUTED_VALUE"""),"RF-0232-001-PPP")</f>
        <v>RF-0232-001-PPP</v>
      </c>
    </row>
    <row r="3189" spans="1:2" ht="12.5" x14ac:dyDescent="0.25">
      <c r="A3189" t="str">
        <f ca="1">IFERROR(__xludf.DUMMYFUNCTION("""COMPUTED_VALUE"""),"Glutamic acid")</f>
        <v>Glutamic acid</v>
      </c>
      <c r="B3189" t="str">
        <f ca="1">IFERROR(__xludf.DUMMYFUNCTION("""COMPUTED_VALUE"""),"RF-00000139-ADD")</f>
        <v>RF-00000139-ADD</v>
      </c>
    </row>
    <row r="3190" spans="1:2" ht="12.5" x14ac:dyDescent="0.25">
      <c r="A3190" t="str">
        <f ca="1">IFERROR(__xludf.DUMMYFUNCTION("""COMPUTED_VALUE"""),"glutamine")</f>
        <v>glutamine</v>
      </c>
      <c r="B3190" t="str">
        <f ca="1">IFERROR(__xludf.DUMMYFUNCTION("""COMPUTED_VALUE"""),"RF-00000299-NTR")</f>
        <v>RF-00000299-NTR</v>
      </c>
    </row>
    <row r="3191" spans="1:2" ht="12.5" x14ac:dyDescent="0.25">
      <c r="A3191" t="str">
        <f ca="1">IFERROR(__xludf.DUMMYFUNCTION("""COMPUTED_VALUE"""),"gluten")</f>
        <v>gluten</v>
      </c>
      <c r="B3191" t="str">
        <f ca="1">IFERROR(__xludf.DUMMYFUNCTION("""COMPUTED_VALUE"""),"RF-00000300-NTR")</f>
        <v>RF-00000300-NTR</v>
      </c>
    </row>
    <row r="3192" spans="1:2" ht="12.5" x14ac:dyDescent="0.25">
      <c r="A3192" t="str">
        <f ca="1">IFERROR(__xludf.DUMMYFUNCTION("""COMPUTED_VALUE"""),"Glycerol")</f>
        <v>Glycerol</v>
      </c>
      <c r="B3192" t="str">
        <f ca="1">IFERROR(__xludf.DUMMYFUNCTION("""COMPUTED_VALUE"""),"RF-00000140-ADD")</f>
        <v>RF-00000140-ADD</v>
      </c>
    </row>
    <row r="3193" spans="1:2" ht="12.5" x14ac:dyDescent="0.25">
      <c r="A3193" t="str">
        <f ca="1">IFERROR(__xludf.DUMMYFUNCTION("""COMPUTED_VALUE"""),"Glycerol esters of wood rosins")</f>
        <v>Glycerol esters of wood rosins</v>
      </c>
      <c r="B3193" t="str">
        <f ca="1">IFERROR(__xludf.DUMMYFUNCTION("""COMPUTED_VALUE"""),"RF-00000141-ADD")</f>
        <v>RF-00000141-ADD</v>
      </c>
    </row>
    <row r="3194" spans="1:2" ht="12.5" x14ac:dyDescent="0.25">
      <c r="A3194" t="str">
        <f ca="1">IFERROR(__xludf.DUMMYFUNCTION("""COMPUTED_VALUE"""),"Glyceryl diacetate (diacetin)")</f>
        <v>Glyceryl diacetate (diacetin)</v>
      </c>
      <c r="B3194" t="str">
        <f ca="1">IFERROR(__xludf.DUMMYFUNCTION("""COMPUTED_VALUE"""),"RF-00000142-ADD")</f>
        <v>RF-00000142-ADD</v>
      </c>
    </row>
    <row r="3195" spans="1:2" ht="12.5" x14ac:dyDescent="0.25">
      <c r="A3195" t="str">
        <f ca="1">IFERROR(__xludf.DUMMYFUNCTION("""COMPUTED_VALUE"""),"Glyceryl triacetate (triacetin)")</f>
        <v>Glyceryl triacetate (triacetin)</v>
      </c>
      <c r="B3195" t="str">
        <f ca="1">IFERROR(__xludf.DUMMYFUNCTION("""COMPUTED_VALUE"""),"RF-00000143-ADD")</f>
        <v>RF-00000143-ADD</v>
      </c>
    </row>
    <row r="3196" spans="1:2" ht="12.5" x14ac:dyDescent="0.25">
      <c r="A3196" t="str">
        <f ca="1">IFERROR(__xludf.DUMMYFUNCTION("""COMPUTED_VALUE"""),"glycine")</f>
        <v>glycine</v>
      </c>
      <c r="B3196" t="str">
        <f ca="1">IFERROR(__xludf.DUMMYFUNCTION("""COMPUTED_VALUE"""),"RF-00000301-NTR")</f>
        <v>RF-00000301-NTR</v>
      </c>
    </row>
    <row r="3197" spans="1:2" ht="12.5" x14ac:dyDescent="0.25">
      <c r="A3197" t="str">
        <f ca="1">IFERROR(__xludf.DUMMYFUNCTION("""COMPUTED_VALUE"""),"Glycine and its sodium salt")</f>
        <v>Glycine and its sodium salt</v>
      </c>
      <c r="B3197" t="str">
        <f ca="1">IFERROR(__xludf.DUMMYFUNCTION("""COMPUTED_VALUE"""),"RF-00000144-ADD")</f>
        <v>RF-00000144-ADD</v>
      </c>
    </row>
    <row r="3198" spans="1:2" ht="12.5" x14ac:dyDescent="0.25">
      <c r="A3198" t="str">
        <f ca="1">IFERROR(__xludf.DUMMYFUNCTION("""COMPUTED_VALUE"""),"glycitein")</f>
        <v>glycitein</v>
      </c>
      <c r="B3198" t="str">
        <f ca="1">IFERROR(__xludf.DUMMYFUNCTION("""COMPUTED_VALUE"""),"RF-00000302-NTR")</f>
        <v>RF-00000302-NTR</v>
      </c>
    </row>
    <row r="3199" spans="1:2" ht="12.5" x14ac:dyDescent="0.25">
      <c r="A3199" t="str">
        <f ca="1">IFERROR(__xludf.DUMMYFUNCTION("""COMPUTED_VALUE"""),"glycogen")</f>
        <v>glycogen</v>
      </c>
      <c r="B3199" t="str">
        <f ca="1">IFERROR(__xludf.DUMMYFUNCTION("""COMPUTED_VALUE"""),"RF-00000303-NTR")</f>
        <v>RF-00000303-NTR</v>
      </c>
    </row>
    <row r="3200" spans="1:2" ht="12.5" x14ac:dyDescent="0.25">
      <c r="A3200" t="str">
        <f ca="1">IFERROR(__xludf.DUMMYFUNCTION("""COMPUTED_VALUE"""),"Glycolipids")</f>
        <v>Glycolipids</v>
      </c>
      <c r="B3200" t="str">
        <f ca="1">IFERROR(__xludf.DUMMYFUNCTION("""COMPUTED_VALUE"""),"RF-00000739-VET")</f>
        <v>RF-00000739-VET</v>
      </c>
    </row>
    <row r="3201" spans="1:2" ht="12.5" x14ac:dyDescent="0.25">
      <c r="A3201" t="str">
        <f ca="1">IFERROR(__xludf.DUMMYFUNCTION("""COMPUTED_VALUE"""),"glycolipids, total")</f>
        <v>glycolipids, total</v>
      </c>
      <c r="B3201" t="str">
        <f ca="1">IFERROR(__xludf.DUMMYFUNCTION("""COMPUTED_VALUE"""),"RF-00000304-NTR")</f>
        <v>RF-00000304-NTR</v>
      </c>
    </row>
    <row r="3202" spans="1:2" ht="12.5" x14ac:dyDescent="0.25">
      <c r="A3202" t="str">
        <f ca="1">IFERROR(__xludf.DUMMYFUNCTION("""COMPUTED_VALUE"""),"Glycopeptides (Cyclic peptides, Polypeptides)")</f>
        <v>Glycopeptides (Cyclic peptides, Polypeptides)</v>
      </c>
      <c r="B3202" t="str">
        <f ca="1">IFERROR(__xludf.DUMMYFUNCTION("""COMPUTED_VALUE"""),"RF-00000741-VET")</f>
        <v>RF-00000741-VET</v>
      </c>
    </row>
    <row r="3203" spans="1:2" ht="12.5" x14ac:dyDescent="0.25">
      <c r="A3203" t="str">
        <f ca="1">IFERROR(__xludf.DUMMYFUNCTION("""COMPUTED_VALUE"""),"Glycylcyclines")</f>
        <v>Glycylcyclines</v>
      </c>
      <c r="B3203" t="str">
        <f ca="1">IFERROR(__xludf.DUMMYFUNCTION("""COMPUTED_VALUE"""),"RF-00000744-VET")</f>
        <v>RF-00000744-VET</v>
      </c>
    </row>
    <row r="3204" spans="1:2" ht="12.5" x14ac:dyDescent="0.25">
      <c r="A3204" t="str">
        <f ca="1">IFERROR(__xludf.DUMMYFUNCTION("""COMPUTED_VALUE"""),"Glyphosate")</f>
        <v>Glyphosate</v>
      </c>
      <c r="B3204" t="str">
        <f ca="1">IFERROR(__xludf.DUMMYFUNCTION("""COMPUTED_VALUE"""),"RF-1020-001-PPP")</f>
        <v>RF-1020-001-PPP</v>
      </c>
    </row>
    <row r="3205" spans="1:2" ht="12.5" x14ac:dyDescent="0.25">
      <c r="A3205" t="str">
        <f ca="1">IFERROR(__xludf.DUMMYFUNCTION("""COMPUTED_VALUE"""),"Glyphosate-Trimesium")</f>
        <v>Glyphosate-Trimesium</v>
      </c>
      <c r="B3205" t="str">
        <f ca="1">IFERROR(__xludf.DUMMYFUNCTION("""COMPUTED_VALUE"""),"RF-0731-001-PPP")</f>
        <v>RF-0731-001-PPP</v>
      </c>
    </row>
    <row r="3206" spans="1:2" ht="12.5" x14ac:dyDescent="0.25">
      <c r="A3206" t="str">
        <f ca="1">IFERROR(__xludf.DUMMYFUNCTION("""COMPUTED_VALUE"""),"Gold")</f>
        <v>Gold</v>
      </c>
      <c r="B3206" t="str">
        <f ca="1">IFERROR(__xludf.DUMMYFUNCTION("""COMPUTED_VALUE"""),"RF-00000145-ADD")</f>
        <v>RF-00000145-ADD</v>
      </c>
    </row>
    <row r="3207" spans="1:2" ht="12.5" x14ac:dyDescent="0.25">
      <c r="A3207" t="str">
        <f ca="1">IFERROR(__xludf.DUMMYFUNCTION("""COMPUTED_VALUE"""),"gonyautoxins 1")</f>
        <v>gonyautoxins 1</v>
      </c>
      <c r="B3207" t="str">
        <f ca="1">IFERROR(__xludf.DUMMYFUNCTION("""COMPUTED_VALUE"""),"RF-00000093-TOX")</f>
        <v>RF-00000093-TOX</v>
      </c>
    </row>
    <row r="3208" spans="1:2" ht="12.5" x14ac:dyDescent="0.25">
      <c r="A3208" t="str">
        <f ca="1">IFERROR(__xludf.DUMMYFUNCTION("""COMPUTED_VALUE"""),"gonyautoxins 1, 4")</f>
        <v>gonyautoxins 1, 4</v>
      </c>
      <c r="B3208" t="str">
        <f ca="1">IFERROR(__xludf.DUMMYFUNCTION("""COMPUTED_VALUE"""),"RF-00000097-TOX")</f>
        <v>RF-00000097-TOX</v>
      </c>
    </row>
    <row r="3209" spans="1:2" ht="12.5" x14ac:dyDescent="0.25">
      <c r="A3209" t="str">
        <f ca="1">IFERROR(__xludf.DUMMYFUNCTION("""COMPUTED_VALUE"""),"gonyautoxins 2")</f>
        <v>gonyautoxins 2</v>
      </c>
      <c r="B3209" t="str">
        <f ca="1">IFERROR(__xludf.DUMMYFUNCTION("""COMPUTED_VALUE"""),"RF-00000094-TOX")</f>
        <v>RF-00000094-TOX</v>
      </c>
    </row>
    <row r="3210" spans="1:2" ht="12.5" x14ac:dyDescent="0.25">
      <c r="A3210" t="str">
        <f ca="1">IFERROR(__xludf.DUMMYFUNCTION("""COMPUTED_VALUE"""),"gonyautoxins 2,3")</f>
        <v>gonyautoxins 2,3</v>
      </c>
      <c r="B3210" t="str">
        <f ca="1">IFERROR(__xludf.DUMMYFUNCTION("""COMPUTED_VALUE"""),"RF-00000098-TOX")</f>
        <v>RF-00000098-TOX</v>
      </c>
    </row>
    <row r="3211" spans="1:2" ht="12.5" x14ac:dyDescent="0.25">
      <c r="A3211" t="str">
        <f ca="1">IFERROR(__xludf.DUMMYFUNCTION("""COMPUTED_VALUE"""),"gonyautoxins 3")</f>
        <v>gonyautoxins 3</v>
      </c>
      <c r="B3211" t="str">
        <f ca="1">IFERROR(__xludf.DUMMYFUNCTION("""COMPUTED_VALUE"""),"RF-00000095-TOX")</f>
        <v>RF-00000095-TOX</v>
      </c>
    </row>
    <row r="3212" spans="1:2" ht="12.5" x14ac:dyDescent="0.25">
      <c r="A3212" t="str">
        <f ca="1">IFERROR(__xludf.DUMMYFUNCTION("""COMPUTED_VALUE"""),"gonyautoxins 4")</f>
        <v>gonyautoxins 4</v>
      </c>
      <c r="B3212" t="str">
        <f ca="1">IFERROR(__xludf.DUMMYFUNCTION("""COMPUTED_VALUE"""),"RF-00000096-TOX")</f>
        <v>RF-00000096-TOX</v>
      </c>
    </row>
    <row r="3213" spans="1:2" ht="12.5" x14ac:dyDescent="0.25">
      <c r="A3213" t="str">
        <f ca="1">IFERROR(__xludf.DUMMYFUNCTION("""COMPUTED_VALUE"""),"Green S")</f>
        <v>Green S</v>
      </c>
      <c r="B3213" t="str">
        <f ca="1">IFERROR(__xludf.DUMMYFUNCTION("""COMPUTED_VALUE"""),"RF-00000146-ADD")</f>
        <v>RF-00000146-ADD</v>
      </c>
    </row>
    <row r="3214" spans="1:2" ht="12.5" x14ac:dyDescent="0.25">
      <c r="A3214" t="str">
        <f ca="1">IFERROR(__xludf.DUMMYFUNCTION("""COMPUTED_VALUE"""),"Grepafloxacin")</f>
        <v>Grepafloxacin</v>
      </c>
      <c r="B3214" t="str">
        <f ca="1">IFERROR(__xludf.DUMMYFUNCTION("""COMPUTED_VALUE"""),"RF-00000609-VET")</f>
        <v>RF-00000609-VET</v>
      </c>
    </row>
    <row r="3215" spans="1:2" ht="12.5" x14ac:dyDescent="0.25">
      <c r="A3215" t="str">
        <f ca="1">IFERROR(__xludf.DUMMYFUNCTION("""COMPUTED_VALUE"""),"Griseofulvin")</f>
        <v>Griseofulvin</v>
      </c>
      <c r="B3215" t="str">
        <f ca="1">IFERROR(__xludf.DUMMYFUNCTION("""COMPUTED_VALUE"""),"RF-1032-001-PPP")</f>
        <v>RF-1032-001-PPP</v>
      </c>
    </row>
    <row r="3216" spans="1:2" ht="12.5" x14ac:dyDescent="0.25">
      <c r="A3216" t="str">
        <f ca="1">IFERROR(__xludf.DUMMYFUNCTION("""COMPUTED_VALUE"""),"Guanylic acid")</f>
        <v>Guanylic acid</v>
      </c>
      <c r="B3216" t="str">
        <f ca="1">IFERROR(__xludf.DUMMYFUNCTION("""COMPUTED_VALUE"""),"RF-00000147-ADD")</f>
        <v>RF-00000147-ADD</v>
      </c>
    </row>
    <row r="3217" spans="1:2" ht="12.5" x14ac:dyDescent="0.25">
      <c r="A3217" t="str">
        <f ca="1">IFERROR(__xludf.DUMMYFUNCTION("""COMPUTED_VALUE"""),"Guar gum")</f>
        <v>Guar gum</v>
      </c>
      <c r="B3217" t="str">
        <f ca="1">IFERROR(__xludf.DUMMYFUNCTION("""COMPUTED_VALUE"""),"RF-00000148-ADD")</f>
        <v>RF-00000148-ADD</v>
      </c>
    </row>
    <row r="3218" spans="1:2" ht="12.5" x14ac:dyDescent="0.25">
      <c r="A3218" t="str">
        <f ca="1">IFERROR(__xludf.DUMMYFUNCTION("""COMPUTED_VALUE"""),"Guazatine")</f>
        <v>Guazatine</v>
      </c>
      <c r="B3218" t="str">
        <f ca="1">IFERROR(__xludf.DUMMYFUNCTION("""COMPUTED_VALUE"""),"RF-0233-001-PPP")</f>
        <v>RF-0233-001-PPP</v>
      </c>
    </row>
    <row r="3219" spans="1:2" ht="12.5" x14ac:dyDescent="0.25">
      <c r="A3219" t="str">
        <f ca="1">IFERROR(__xludf.DUMMYFUNCTION("""COMPUTED_VALUE"""),"Gum arabic (acacia gum)")</f>
        <v>Gum arabic (acacia gum)</v>
      </c>
      <c r="B3219" t="str">
        <f ca="1">IFERROR(__xludf.DUMMYFUNCTION("""COMPUTED_VALUE"""),"RF-00000149-ADD")</f>
        <v>RF-00000149-ADD</v>
      </c>
    </row>
    <row r="3220" spans="1:2" ht="12.5" x14ac:dyDescent="0.25">
      <c r="A3220" t="str">
        <f ca="1">IFERROR(__xludf.DUMMYFUNCTION("""COMPUTED_VALUE"""),"Halfenprox")</f>
        <v>Halfenprox</v>
      </c>
      <c r="B3220" t="str">
        <f ca="1">IFERROR(__xludf.DUMMYFUNCTION("""COMPUTED_VALUE"""),"RF-0732-001-PPP")</f>
        <v>RF-0732-001-PPP</v>
      </c>
    </row>
    <row r="3221" spans="1:2" ht="12.5" x14ac:dyDescent="0.25">
      <c r="A3221" t="str">
        <f ca="1">IFERROR(__xludf.DUMMYFUNCTION("""COMPUTED_VALUE"""),"Halofenozide")</f>
        <v>Halofenozide</v>
      </c>
      <c r="B3221" t="str">
        <f ca="1">IFERROR(__xludf.DUMMYFUNCTION("""COMPUTED_VALUE"""),"RF-0733-001-PPP")</f>
        <v>RF-0733-001-PPP</v>
      </c>
    </row>
    <row r="3222" spans="1:2" ht="12.5" x14ac:dyDescent="0.25">
      <c r="A3222" t="str">
        <f ca="1">IFERROR(__xludf.DUMMYFUNCTION("""COMPUTED_VALUE"""),"Halofuginone")</f>
        <v>Halofuginone</v>
      </c>
      <c r="B3222" t="str">
        <f ca="1">IFERROR(__xludf.DUMMYFUNCTION("""COMPUTED_VALUE"""),"RF-00000093-VET")</f>
        <v>RF-00000093-VET</v>
      </c>
    </row>
    <row r="3223" spans="1:2" ht="12.5" x14ac:dyDescent="0.25">
      <c r="A3223" t="str">
        <f ca="1">IFERROR(__xludf.DUMMYFUNCTION("""COMPUTED_VALUE"""),"Halogenated Hydrocarbons")</f>
        <v>Halogenated Hydrocarbons</v>
      </c>
      <c r="B3223" t="str">
        <f ca="1">IFERROR(__xludf.DUMMYFUNCTION("""COMPUTED_VALUE"""),"RF-00000033-ORG")</f>
        <v>RF-00000033-ORG</v>
      </c>
    </row>
    <row r="3224" spans="1:2" ht="12.5" x14ac:dyDescent="0.25">
      <c r="A3224" t="str">
        <f ca="1">IFERROR(__xludf.DUMMYFUNCTION("""COMPUTED_VALUE"""),"Haloperidol")</f>
        <v>Haloperidol</v>
      </c>
      <c r="B3224" t="str">
        <f ca="1">IFERROR(__xludf.DUMMYFUNCTION("""COMPUTED_VALUE"""),"RF-00000188-VET")</f>
        <v>RF-00000188-VET</v>
      </c>
    </row>
    <row r="3225" spans="1:2" ht="12.5" x14ac:dyDescent="0.25">
      <c r="A3225" t="str">
        <f ca="1">IFERROR(__xludf.DUMMYFUNCTION("""COMPUTED_VALUE"""),"Halosulfuron")</f>
        <v>Halosulfuron</v>
      </c>
      <c r="B3225" t="str">
        <f ca="1">IFERROR(__xludf.DUMMYFUNCTION("""COMPUTED_VALUE"""),"RF-0734-001-PPP")</f>
        <v>RF-0734-001-PPP</v>
      </c>
    </row>
    <row r="3226" spans="1:2" ht="12.5" x14ac:dyDescent="0.25">
      <c r="A3226" t="str">
        <f ca="1">IFERROR(__xludf.DUMMYFUNCTION("""COMPUTED_VALUE"""),"Halosulfuron methyl")</f>
        <v>Halosulfuron methyl</v>
      </c>
      <c r="B3226" t="str">
        <f ca="1">IFERROR(__xludf.DUMMYFUNCTION("""COMPUTED_VALUE"""),"RF-0234-001-PPP")</f>
        <v>RF-0234-001-PPP</v>
      </c>
    </row>
    <row r="3227" spans="1:2" ht="12.5" x14ac:dyDescent="0.25">
      <c r="A3227" t="str">
        <f ca="1">IFERROR(__xludf.DUMMYFUNCTION("""COMPUTED_VALUE"""),"Haloxon")</f>
        <v>Haloxon</v>
      </c>
      <c r="B3227" t="str">
        <f ca="1">IFERROR(__xludf.DUMMYFUNCTION("""COMPUTED_VALUE"""),"RF-00000027-VET")</f>
        <v>RF-00000027-VET</v>
      </c>
    </row>
    <row r="3228" spans="1:2" ht="12.5" x14ac:dyDescent="0.25">
      <c r="A3228" t="str">
        <f ca="1">IFERROR(__xludf.DUMMYFUNCTION("""COMPUTED_VALUE"""),"Haloxyfop")</f>
        <v>Haloxyfop</v>
      </c>
      <c r="B3228" t="str">
        <f ca="1">IFERROR(__xludf.DUMMYFUNCTION("""COMPUTED_VALUE"""),"RF-0235-004-PPP")</f>
        <v>RF-0235-004-PPP</v>
      </c>
    </row>
    <row r="3229" spans="1:2" ht="12.5" x14ac:dyDescent="0.25">
      <c r="A3229" t="str">
        <f ca="1">IFERROR(__xludf.DUMMYFUNCTION("""COMPUTED_VALUE"""),"Haloxyfop (sum of haloxyfop, its salts and esters including conjugates expressed as haloxyfop)")</f>
        <v>Haloxyfop (sum of haloxyfop, its salts and esters including conjugates expressed as haloxyfop)</v>
      </c>
      <c r="B3229" t="str">
        <f ca="1">IFERROR(__xludf.DUMMYFUNCTION("""COMPUTED_VALUE"""),"RF-1011-001-PPP")</f>
        <v>RF-1011-001-PPP</v>
      </c>
    </row>
    <row r="3230" spans="1:2" ht="12.5" x14ac:dyDescent="0.25">
      <c r="A3230" t="str">
        <f ca="1">IFERROR(__xludf.DUMMYFUNCTION("""COMPUTED_VALUE"""),"Haloxyfop including haloxyfop-R (Haloxyfop-R methyl ester, haloxyfop-R and conjugates of haloxyfop-R expressed as haloxyfop-R)")</f>
        <v>Haloxyfop including haloxyfop-R (Haloxyfop-R methyl ester, haloxyfop-R and conjugates of haloxyfop-R expressed as haloxyfop-R)</v>
      </c>
      <c r="B3230" t="str">
        <f ca="1">IFERROR(__xludf.DUMMYFUNCTION("""COMPUTED_VALUE"""),"RF-0235-001-PPP")</f>
        <v>RF-0235-001-PPP</v>
      </c>
    </row>
    <row r="3231" spans="1:2" ht="12.5" x14ac:dyDescent="0.25">
      <c r="A3231" t="str">
        <f ca="1">IFERROR(__xludf.DUMMYFUNCTION("""COMPUTED_VALUE"""),"Haloxyfop-Ethoxyethylester")</f>
        <v>Haloxyfop-Ethoxyethylester</v>
      </c>
      <c r="B3231" t="str">
        <f ca="1">IFERROR(__xludf.DUMMYFUNCTION("""COMPUTED_VALUE"""),"RF-0235-003-PPP")</f>
        <v>RF-0235-003-PPP</v>
      </c>
    </row>
    <row r="3232" spans="1:2" ht="12.5" x14ac:dyDescent="0.25">
      <c r="A3232" t="str">
        <f ca="1">IFERROR(__xludf.DUMMYFUNCTION("""COMPUTED_VALUE"""),"Haloxyfop-Methyl")</f>
        <v>Haloxyfop-Methyl</v>
      </c>
      <c r="B3232" t="str">
        <f ca="1">IFERROR(__xludf.DUMMYFUNCTION("""COMPUTED_VALUE"""),"RF-0235-002-PPP")</f>
        <v>RF-0235-002-PPP</v>
      </c>
    </row>
    <row r="3233" spans="1:2" ht="12.5" x14ac:dyDescent="0.25">
      <c r="A3233" t="str">
        <f ca="1">IFERROR(__xludf.DUMMYFUNCTION("""COMPUTED_VALUE"""),"Haloxyfop-P")</f>
        <v>Haloxyfop-P</v>
      </c>
      <c r="B3233" t="str">
        <f ca="1">IFERROR(__xludf.DUMMYFUNCTION("""COMPUTED_VALUE"""),"RF-0735-001-PPP")</f>
        <v>RF-0735-001-PPP</v>
      </c>
    </row>
    <row r="3234" spans="1:2" ht="12.5" x14ac:dyDescent="0.25">
      <c r="A3234" t="str">
        <f ca="1">IFERROR(__xludf.DUMMYFUNCTION("""COMPUTED_VALUE"""),"Haloxyfop-P")</f>
        <v>Haloxyfop-P</v>
      </c>
      <c r="B3234" t="str">
        <f ca="1">IFERROR(__xludf.DUMMYFUNCTION("""COMPUTED_VALUE"""),"RF-0235-006-PPP")</f>
        <v>RF-0235-006-PPP</v>
      </c>
    </row>
    <row r="3235" spans="1:2" ht="12.5" x14ac:dyDescent="0.25">
      <c r="A3235" t="str">
        <f ca="1">IFERROR(__xludf.DUMMYFUNCTION("""COMPUTED_VALUE"""),"Haloxyfop-P-methyl")</f>
        <v>Haloxyfop-P-methyl</v>
      </c>
      <c r="B3235" t="str">
        <f ca="1">IFERROR(__xludf.DUMMYFUNCTION("""COMPUTED_VALUE"""),"RF-0235-007-PPP")</f>
        <v>RF-0235-007-PPP</v>
      </c>
    </row>
    <row r="3236" spans="1:2" ht="12.5" x14ac:dyDescent="0.25">
      <c r="A3236" t="str">
        <f ca="1">IFERROR(__xludf.DUMMYFUNCTION("""COMPUTED_VALUE"""),"Haloxyfop-R and conjugates of haloxyfop-R expressed as haloxyfop-R")</f>
        <v>Haloxyfop-R and conjugates of haloxyfop-R expressed as haloxyfop-R</v>
      </c>
      <c r="B3236" t="str">
        <f ca="1">IFERROR(__xludf.DUMMYFUNCTION("""COMPUTED_VALUE"""),"RF-0235-005-PPP")</f>
        <v>RF-0235-005-PPP</v>
      </c>
    </row>
    <row r="3237" spans="1:2" ht="12.5" x14ac:dyDescent="0.25">
      <c r="A3237" t="str">
        <f ca="1">IFERROR(__xludf.DUMMYFUNCTION("""COMPUTED_VALUE"""),"Hantavirus")</f>
        <v>Hantavirus</v>
      </c>
      <c r="B3237" t="str">
        <f ca="1">IFERROR(__xludf.DUMMYFUNCTION("""COMPUTED_VALUE"""),"RF-00003895-MCG")</f>
        <v>RF-00003895-MCG</v>
      </c>
    </row>
    <row r="3238" spans="1:2" ht="12.5" x14ac:dyDescent="0.25">
      <c r="A3238" t="str">
        <f ca="1">IFERROR(__xludf.DUMMYFUNCTION("""COMPUTED_VALUE"""),"HBCD alpha isomer")</f>
        <v>HBCD alpha isomer</v>
      </c>
      <c r="B3238" t="str">
        <f ca="1">IFERROR(__xludf.DUMMYFUNCTION("""COMPUTED_VALUE"""),"RF-00000078-ORG")</f>
        <v>RF-00000078-ORG</v>
      </c>
    </row>
    <row r="3239" spans="1:2" ht="12.5" x14ac:dyDescent="0.25">
      <c r="A3239" t="str">
        <f ca="1">IFERROR(__xludf.DUMMYFUNCTION("""COMPUTED_VALUE"""),"HBCD beta isomer")</f>
        <v>HBCD beta isomer</v>
      </c>
      <c r="B3239" t="str">
        <f ca="1">IFERROR(__xludf.DUMMYFUNCTION("""COMPUTED_VALUE"""),"RF-00000079-ORG")</f>
        <v>RF-00000079-ORG</v>
      </c>
    </row>
    <row r="3240" spans="1:2" ht="12.5" x14ac:dyDescent="0.25">
      <c r="A3240" t="str">
        <f ca="1">IFERROR(__xludf.DUMMYFUNCTION("""COMPUTED_VALUE"""),"HBCD gamma isomer")</f>
        <v>HBCD gamma isomer</v>
      </c>
      <c r="B3240" t="str">
        <f ca="1">IFERROR(__xludf.DUMMYFUNCTION("""COMPUTED_VALUE"""),"RF-00000080-ORG")</f>
        <v>RF-00000080-ORG</v>
      </c>
    </row>
    <row r="3241" spans="1:2" ht="12.5" x14ac:dyDescent="0.25">
      <c r="A3241" t="str">
        <f ca="1">IFERROR(__xludf.DUMMYFUNCTION("""COMPUTED_VALUE"""),"HCH-epsilon")</f>
        <v>HCH-epsilon</v>
      </c>
      <c r="B3241" t="str">
        <f ca="1">IFERROR(__xludf.DUMMYFUNCTION("""COMPUTED_VALUE"""),"RF-0240-004-PPP")</f>
        <v>RF-0240-004-PPP</v>
      </c>
    </row>
    <row r="3242" spans="1:2" ht="12.5" x14ac:dyDescent="0.25">
      <c r="A3242" t="str">
        <f ca="1">IFERROR(__xludf.DUMMYFUNCTION("""COMPUTED_VALUE"""),"HCH, delta-")</f>
        <v>HCH, delta-</v>
      </c>
      <c r="B3242" t="str">
        <f ca="1">IFERROR(__xludf.DUMMYFUNCTION("""COMPUTED_VALUE"""),"RF-0736-001-PPP")</f>
        <v>RF-0736-001-PPP</v>
      </c>
    </row>
    <row r="3243" spans="1:2" ht="12.5" x14ac:dyDescent="0.25">
      <c r="A3243" t="str">
        <f ca="1">IFERROR(__xludf.DUMMYFUNCTION("""COMPUTED_VALUE"""),"Heleurine-N-oxide")</f>
        <v>Heleurine-N-oxide</v>
      </c>
      <c r="B3243" t="str">
        <f ca="1">IFERROR(__xludf.DUMMYFUNCTION("""COMPUTED_VALUE"""),"RF-00000395-TOX")</f>
        <v>RF-00000395-TOX</v>
      </c>
    </row>
    <row r="3244" spans="1:2" ht="12.5" x14ac:dyDescent="0.25">
      <c r="A3244" t="str">
        <f ca="1">IFERROR(__xludf.DUMMYFUNCTION("""COMPUTED_VALUE"""),"Heliosupine")</f>
        <v>Heliosupine</v>
      </c>
      <c r="B3244" t="str">
        <f ca="1">IFERROR(__xludf.DUMMYFUNCTION("""COMPUTED_VALUE"""),"RF-00000282-TOX")</f>
        <v>RF-00000282-TOX</v>
      </c>
    </row>
    <row r="3245" spans="1:2" ht="12.5" x14ac:dyDescent="0.25">
      <c r="A3245" t="str">
        <f ca="1">IFERROR(__xludf.DUMMYFUNCTION("""COMPUTED_VALUE"""),"Heliotrine")</f>
        <v>Heliotrine</v>
      </c>
      <c r="B3245" t="str">
        <f ca="1">IFERROR(__xludf.DUMMYFUNCTION("""COMPUTED_VALUE"""),"RF-00000240-TOX")</f>
        <v>RF-00000240-TOX</v>
      </c>
    </row>
    <row r="3246" spans="1:2" ht="12.5" x14ac:dyDescent="0.25">
      <c r="A3246" t="str">
        <f ca="1">IFERROR(__xludf.DUMMYFUNCTION("""COMPUTED_VALUE"""),"Heliotrine-N-oxide")</f>
        <v>Heliotrine-N-oxide</v>
      </c>
      <c r="B3246" t="str">
        <f ca="1">IFERROR(__xludf.DUMMYFUNCTION("""COMPUTED_VALUE"""),"RF-00000363-TOX")</f>
        <v>RF-00000363-TOX</v>
      </c>
    </row>
    <row r="3247" spans="1:2" ht="12.5" x14ac:dyDescent="0.25">
      <c r="A3247" t="str">
        <f ca="1">IFERROR(__xludf.DUMMYFUNCTION("""COMPUTED_VALUE"""),"Helium")</f>
        <v>Helium</v>
      </c>
      <c r="B3247" t="str">
        <f ca="1">IFERROR(__xludf.DUMMYFUNCTION("""COMPUTED_VALUE"""),"RF-00000150-ADD")</f>
        <v>RF-00000150-ADD</v>
      </c>
    </row>
    <row r="3248" spans="1:2" ht="12.5" x14ac:dyDescent="0.25">
      <c r="A3248" t="str">
        <f ca="1">IFERROR(__xludf.DUMMYFUNCTION("""COMPUTED_VALUE"""),"Hepatitis A virus")</f>
        <v>Hepatitis A virus</v>
      </c>
      <c r="B3248" t="str">
        <f ca="1">IFERROR(__xludf.DUMMYFUNCTION("""COMPUTED_VALUE"""),"RF-00000230-MCG")</f>
        <v>RF-00000230-MCG</v>
      </c>
    </row>
    <row r="3249" spans="1:2" ht="12.5" x14ac:dyDescent="0.25">
      <c r="A3249" t="str">
        <f ca="1">IFERROR(__xludf.DUMMYFUNCTION("""COMPUTED_VALUE"""),"Hepatitis B virus")</f>
        <v>Hepatitis B virus</v>
      </c>
      <c r="B3249" t="str">
        <f ca="1">IFERROR(__xludf.DUMMYFUNCTION("""COMPUTED_VALUE"""),"RF-00000231-MCG")</f>
        <v>RF-00000231-MCG</v>
      </c>
    </row>
    <row r="3250" spans="1:2" ht="12.5" x14ac:dyDescent="0.25">
      <c r="A3250" t="str">
        <f ca="1">IFERROR(__xludf.DUMMYFUNCTION("""COMPUTED_VALUE"""),"Hepatitis virus")</f>
        <v>Hepatitis virus</v>
      </c>
      <c r="B3250" t="str">
        <f ca="1">IFERROR(__xludf.DUMMYFUNCTION("""COMPUTED_VALUE"""),"RF-00000229-MCG")</f>
        <v>RF-00000229-MCG</v>
      </c>
    </row>
    <row r="3251" spans="1:2" ht="12.5" x14ac:dyDescent="0.25">
      <c r="A3251" t="str">
        <f ca="1">IFERROR(__xludf.DUMMYFUNCTION("""COMPUTED_VALUE"""),"Hepatozoon")</f>
        <v>Hepatozoon</v>
      </c>
      <c r="B3251" t="str">
        <f ca="1">IFERROR(__xludf.DUMMYFUNCTION("""COMPUTED_VALUE"""),"RF-00002787-MCG")</f>
        <v>RF-00002787-MCG</v>
      </c>
    </row>
    <row r="3252" spans="1:2" ht="12.5" x14ac:dyDescent="0.25">
      <c r="A3252" t="str">
        <f ca="1">IFERROR(__xludf.DUMMYFUNCTION("""COMPUTED_VALUE"""),"Hepatozoon canis")</f>
        <v>Hepatozoon canis</v>
      </c>
      <c r="B3252" t="str">
        <f ca="1">IFERROR(__xludf.DUMMYFUNCTION("""COMPUTED_VALUE"""),"RF-00002789-MCG")</f>
        <v>RF-00002789-MCG</v>
      </c>
    </row>
    <row r="3253" spans="1:2" ht="12.5" x14ac:dyDescent="0.25">
      <c r="A3253" t="str">
        <f ca="1">IFERROR(__xludf.DUMMYFUNCTION("""COMPUTED_VALUE"""),"Hepatozoon felis")</f>
        <v>Hepatozoon felis</v>
      </c>
      <c r="B3253" t="str">
        <f ca="1">IFERROR(__xludf.DUMMYFUNCTION("""COMPUTED_VALUE"""),"RF-00002790-MCG")</f>
        <v>RF-00002790-MCG</v>
      </c>
    </row>
    <row r="3254" spans="1:2" ht="12.5" x14ac:dyDescent="0.25">
      <c r="A3254" t="str">
        <f ca="1">IFERROR(__xludf.DUMMYFUNCTION("""COMPUTED_VALUE"""),"Hepatozoon spp., unidentified")</f>
        <v>Hepatozoon spp., unidentified</v>
      </c>
      <c r="B3254" t="str">
        <f ca="1">IFERROR(__xludf.DUMMYFUNCTION("""COMPUTED_VALUE"""),"RF-00002788-MCG")</f>
        <v>RF-00002788-MCG</v>
      </c>
    </row>
    <row r="3255" spans="1:2" ht="12.5" x14ac:dyDescent="0.25">
      <c r="A3255" t="str">
        <f ca="1">IFERROR(__xludf.DUMMYFUNCTION("""COMPUTED_VALUE"""),"Hepatozoon ursi")</f>
        <v>Hepatozoon ursi</v>
      </c>
      <c r="B3255" t="str">
        <f ca="1">IFERROR(__xludf.DUMMYFUNCTION("""COMPUTED_VALUE"""),"RF-00002791-MCG")</f>
        <v>RF-00002791-MCG</v>
      </c>
    </row>
    <row r="3256" spans="1:2" ht="12.5" x14ac:dyDescent="0.25">
      <c r="A3256" t="str">
        <f ca="1">IFERROR(__xludf.DUMMYFUNCTION("""COMPUTED_VALUE"""),"Heptachlor")</f>
        <v>Heptachlor</v>
      </c>
      <c r="B3256" t="str">
        <f ca="1">IFERROR(__xludf.DUMMYFUNCTION("""COMPUTED_VALUE"""),"RF-0236-004-PPP")</f>
        <v>RF-0236-004-PPP</v>
      </c>
    </row>
    <row r="3257" spans="1:2" ht="12.5" x14ac:dyDescent="0.25">
      <c r="A3257" t="str">
        <f ca="1">IFERROR(__xludf.DUMMYFUNCTION("""COMPUTED_VALUE"""),"Heptachlor (sum of heptachlor and heptachlor epoxide expressed as heptachlor)")</f>
        <v>Heptachlor (sum of heptachlor and heptachlor epoxide expressed as heptachlor)</v>
      </c>
      <c r="B3257" t="str">
        <f ca="1">IFERROR(__xludf.DUMMYFUNCTION("""COMPUTED_VALUE"""),"RF-0236-001-PPP")</f>
        <v>RF-0236-001-PPP</v>
      </c>
    </row>
    <row r="3258" spans="1:2" ht="12.5" x14ac:dyDescent="0.25">
      <c r="A3258" t="str">
        <f ca="1">IFERROR(__xludf.DUMMYFUNCTION("""COMPUTED_VALUE"""),"Heptachlor (sum of heptachlor and the cis and trans isomers of heptachlor epoxide)")</f>
        <v>Heptachlor (sum of heptachlor and the cis and trans isomers of heptachlor epoxide)</v>
      </c>
      <c r="B3258" t="str">
        <f ca="1">IFERROR(__xludf.DUMMYFUNCTION("""COMPUTED_VALUE"""),"RF-0236-006-PPP")</f>
        <v>RF-0236-006-PPP</v>
      </c>
    </row>
    <row r="3259" spans="1:2" ht="12.5" x14ac:dyDescent="0.25">
      <c r="A3259" t="str">
        <f ca="1">IFERROR(__xludf.DUMMYFUNCTION("""COMPUTED_VALUE"""),"Heptachlor and trans-heptachlor epoxide")</f>
        <v>Heptachlor and trans-heptachlor epoxide</v>
      </c>
      <c r="B3259" t="str">
        <f ca="1">IFERROR(__xludf.DUMMYFUNCTION("""COMPUTED_VALUE"""),"RF-1012-001-PPP")</f>
        <v>RF-1012-001-PPP</v>
      </c>
    </row>
    <row r="3260" spans="1:2" ht="12.5" x14ac:dyDescent="0.25">
      <c r="A3260" t="str">
        <f ca="1">IFERROR(__xludf.DUMMYFUNCTION("""COMPUTED_VALUE"""),"Heptachlor endo-epoxide")</f>
        <v>Heptachlor endo-epoxide</v>
      </c>
      <c r="B3260" t="str">
        <f ca="1">IFERROR(__xludf.DUMMYFUNCTION("""COMPUTED_VALUE"""),"RF-0236-007-PPP")</f>
        <v>RF-0236-007-PPP</v>
      </c>
    </row>
    <row r="3261" spans="1:2" ht="12.5" x14ac:dyDescent="0.25">
      <c r="A3261" t="str">
        <f ca="1">IFERROR(__xludf.DUMMYFUNCTION("""COMPUTED_VALUE"""),"Heptachlor epoxide")</f>
        <v>Heptachlor epoxide</v>
      </c>
      <c r="B3261" t="str">
        <f ca="1">IFERROR(__xludf.DUMMYFUNCTION("""COMPUTED_VALUE"""),"RF-0236-005-PPP")</f>
        <v>RF-0236-005-PPP</v>
      </c>
    </row>
    <row r="3262" spans="1:2" ht="12.5" x14ac:dyDescent="0.25">
      <c r="A3262" t="str">
        <f ca="1">IFERROR(__xludf.DUMMYFUNCTION("""COMPUTED_VALUE"""),"Heptachlor exo-epoxide")</f>
        <v>Heptachlor exo-epoxide</v>
      </c>
      <c r="B3262" t="str">
        <f ca="1">IFERROR(__xludf.DUMMYFUNCTION("""COMPUTED_VALUE"""),"RF-0236-008-PPP")</f>
        <v>RF-0236-008-PPP</v>
      </c>
    </row>
    <row r="3263" spans="1:2" ht="12.5" x14ac:dyDescent="0.25">
      <c r="A3263" t="str">
        <f ca="1">IFERROR(__xludf.DUMMYFUNCTION("""COMPUTED_VALUE"""),"Heptachlorepoxide, cis-")</f>
        <v>Heptachlorepoxide, cis-</v>
      </c>
      <c r="B3263" t="str">
        <f ca="1">IFERROR(__xludf.DUMMYFUNCTION("""COMPUTED_VALUE"""),"RF-0236-002-PPP")</f>
        <v>RF-0236-002-PPP</v>
      </c>
    </row>
    <row r="3264" spans="1:2" ht="12.5" x14ac:dyDescent="0.25">
      <c r="A3264" t="str">
        <f ca="1">IFERROR(__xludf.DUMMYFUNCTION("""COMPUTED_VALUE"""),"Heptachlorepoxide, trans-")</f>
        <v>Heptachlorepoxide, trans-</v>
      </c>
      <c r="B3264" t="str">
        <f ca="1">IFERROR(__xludf.DUMMYFUNCTION("""COMPUTED_VALUE"""),"RF-0236-003-PPP")</f>
        <v>RF-0236-003-PPP</v>
      </c>
    </row>
    <row r="3265" spans="1:2" ht="12.5" x14ac:dyDescent="0.25">
      <c r="A3265" t="str">
        <f ca="1">IFERROR(__xludf.DUMMYFUNCTION("""COMPUTED_VALUE"""),"Heptenophos")</f>
        <v>Heptenophos</v>
      </c>
      <c r="B3265" t="str">
        <f ca="1">IFERROR(__xludf.DUMMYFUNCTION("""COMPUTED_VALUE"""),"RF-0737-001-PPP")</f>
        <v>RF-0737-001-PPP</v>
      </c>
    </row>
    <row r="3266" spans="1:2" ht="12.5" x14ac:dyDescent="0.25">
      <c r="A3266" t="str">
        <f ca="1">IFERROR(__xludf.DUMMYFUNCTION("""COMPUTED_VALUE"""),"Hexabromobenzene")</f>
        <v>Hexabromobenzene</v>
      </c>
      <c r="B3266" t="str">
        <f ca="1">IFERROR(__xludf.DUMMYFUNCTION("""COMPUTED_VALUE"""),"RF-00000084-ORG")</f>
        <v>RF-00000084-ORG</v>
      </c>
    </row>
    <row r="3267" spans="1:2" ht="12.5" x14ac:dyDescent="0.25">
      <c r="A3267" t="str">
        <f ca="1">IFERROR(__xludf.DUMMYFUNCTION("""COMPUTED_VALUE"""),"Hexabromocyclodecane (HBCD)")</f>
        <v>Hexabromocyclodecane (HBCD)</v>
      </c>
      <c r="B3267" t="str">
        <f ca="1">IFERROR(__xludf.DUMMYFUNCTION("""COMPUTED_VALUE"""),"RF-00000076-ORG")</f>
        <v>RF-00000076-ORG</v>
      </c>
    </row>
    <row r="3268" spans="1:2" ht="12.5" x14ac:dyDescent="0.25">
      <c r="A3268" t="str">
        <f ca="1">IFERROR(__xludf.DUMMYFUNCTION("""COMPUTED_VALUE"""),"Hexabromocyclodecane (HBCD) (Total)")</f>
        <v>Hexabromocyclodecane (HBCD) (Total)</v>
      </c>
      <c r="B3268" t="str">
        <f ca="1">IFERROR(__xludf.DUMMYFUNCTION("""COMPUTED_VALUE"""),"RF-00000077-ORG")</f>
        <v>RF-00000077-ORG</v>
      </c>
    </row>
    <row r="3269" spans="1:2" ht="12.5" x14ac:dyDescent="0.25">
      <c r="A3269" t="str">
        <f ca="1">IFERROR(__xludf.DUMMYFUNCTION("""COMPUTED_VALUE"""),"Hexachlorobenzene")</f>
        <v>Hexachlorobenzene</v>
      </c>
      <c r="B3269" t="str">
        <f ca="1">IFERROR(__xludf.DUMMYFUNCTION("""COMPUTED_VALUE"""),"RF-0237-001-PPP")</f>
        <v>RF-0237-001-PPP</v>
      </c>
    </row>
    <row r="3270" spans="1:2" ht="12.5" x14ac:dyDescent="0.25">
      <c r="A3270" t="str">
        <f ca="1">IFERROR(__xludf.DUMMYFUNCTION("""COMPUTED_VALUE"""),"Hexachlorobutadiene")</f>
        <v>Hexachlorobutadiene</v>
      </c>
      <c r="B3270" t="str">
        <f ca="1">IFERROR(__xludf.DUMMYFUNCTION("""COMPUTED_VALUE"""),"RF-1033-001-PPP")</f>
        <v>RF-1033-001-PPP</v>
      </c>
    </row>
    <row r="3271" spans="1:2" ht="12.5" x14ac:dyDescent="0.25">
      <c r="A3271" t="str">
        <f ca="1">IFERROR(__xludf.DUMMYFUNCTION("""COMPUTED_VALUE"""),"Hexachlorocyclohexane (HCH), alpha-isomer")</f>
        <v>Hexachlorocyclohexane (HCH), alpha-isomer</v>
      </c>
      <c r="B3271" t="str">
        <f ca="1">IFERROR(__xludf.DUMMYFUNCTION("""COMPUTED_VALUE"""),"RF-0238-001-PPP")</f>
        <v>RF-0238-001-PPP</v>
      </c>
    </row>
    <row r="3272" spans="1:2" ht="12.5" x14ac:dyDescent="0.25">
      <c r="A3272" t="str">
        <f ca="1">IFERROR(__xludf.DUMMYFUNCTION("""COMPUTED_VALUE"""),"Hexachlorocyclohexane (HCH), beta-isomer")</f>
        <v>Hexachlorocyclohexane (HCH), beta-isomer</v>
      </c>
      <c r="B3272" t="str">
        <f ca="1">IFERROR(__xludf.DUMMYFUNCTION("""COMPUTED_VALUE"""),"RF-0239-002-PPP")</f>
        <v>RF-0239-002-PPP</v>
      </c>
    </row>
    <row r="3273" spans="1:2" ht="12.5" x14ac:dyDescent="0.25">
      <c r="A3273" t="str">
        <f ca="1">IFERROR(__xludf.DUMMYFUNCTION("""COMPUTED_VALUE"""),"Hexachlorocyclohexane (HCH), gamma-isomer")</f>
        <v>Hexachlorocyclohexane (HCH), gamma-isomer</v>
      </c>
      <c r="B3273" t="str">
        <f ca="1">IFERROR(__xludf.DUMMYFUNCTION("""COMPUTED_VALUE"""),"RF-00000005-PAR")</f>
        <v>RF-00000005-PAR</v>
      </c>
    </row>
    <row r="3274" spans="1:2" ht="12.5" x14ac:dyDescent="0.25">
      <c r="A3274" t="str">
        <f ca="1">IFERROR(__xludf.DUMMYFUNCTION("""COMPUTED_VALUE"""),"Hexachlorocyclohexane (HCH), sum of alpha, beta and gamma isomers")</f>
        <v>Hexachlorocyclohexane (HCH), sum of alpha, beta and gamma isomers</v>
      </c>
      <c r="B3274" t="str">
        <f ca="1">IFERROR(__xludf.DUMMYFUNCTION("""COMPUTED_VALUE"""),"RF-00000006-PAR")</f>
        <v>RF-00000006-PAR</v>
      </c>
    </row>
    <row r="3275" spans="1:2" ht="12.5" x14ac:dyDescent="0.25">
      <c r="A3275" t="str">
        <f ca="1">IFERROR(__xludf.DUMMYFUNCTION("""COMPUTED_VALUE"""),"Hexachlorocyclohexane (HCH), sum of isomers, except the gamma isomer")</f>
        <v>Hexachlorocyclohexane (HCH), sum of isomers, except the gamma isomer</v>
      </c>
      <c r="B3275" t="str">
        <f ca="1">IFERROR(__xludf.DUMMYFUNCTION("""COMPUTED_VALUE"""),"RF-0240-003-PPP")</f>
        <v>RF-0240-003-PPP</v>
      </c>
    </row>
    <row r="3276" spans="1:2" ht="12.5" x14ac:dyDescent="0.25">
      <c r="A3276" t="str">
        <f ca="1">IFERROR(__xludf.DUMMYFUNCTION("""COMPUTED_VALUE"""),"Hexaconazole")</f>
        <v>Hexaconazole</v>
      </c>
      <c r="B3276" t="str">
        <f ca="1">IFERROR(__xludf.DUMMYFUNCTION("""COMPUTED_VALUE"""),"RF-0241-001-PPP")</f>
        <v>RF-0241-001-PPP</v>
      </c>
    </row>
    <row r="3277" spans="1:2" ht="12.5" x14ac:dyDescent="0.25">
      <c r="A3277" t="str">
        <f ca="1">IFERROR(__xludf.DUMMYFUNCTION("""COMPUTED_VALUE"""),"Hexaflumuron")</f>
        <v>Hexaflumuron</v>
      </c>
      <c r="B3277" t="str">
        <f ca="1">IFERROR(__xludf.DUMMYFUNCTION("""COMPUTED_VALUE"""),"RF-0738-001-PPP")</f>
        <v>RF-0738-001-PPP</v>
      </c>
    </row>
    <row r="3278" spans="1:2" ht="12.5" x14ac:dyDescent="0.25">
      <c r="A3278" t="str">
        <f ca="1">IFERROR(__xludf.DUMMYFUNCTION("""COMPUTED_VALUE"""),"Hexamethylene tetramine")</f>
        <v>Hexamethylene tetramine</v>
      </c>
      <c r="B3278" t="str">
        <f ca="1">IFERROR(__xludf.DUMMYFUNCTION("""COMPUTED_VALUE"""),"RF-00000151-ADD")</f>
        <v>RF-00000151-ADD</v>
      </c>
    </row>
    <row r="3279" spans="1:2" ht="12.5" x14ac:dyDescent="0.25">
      <c r="A3279" t="str">
        <f ca="1">IFERROR(__xludf.DUMMYFUNCTION("""COMPUTED_VALUE"""),"Hexazinone")</f>
        <v>Hexazinone</v>
      </c>
      <c r="B3279" t="str">
        <f ca="1">IFERROR(__xludf.DUMMYFUNCTION("""COMPUTED_VALUE"""),"RF-0739-001-PPP")</f>
        <v>RF-0739-001-PPP</v>
      </c>
    </row>
    <row r="3280" spans="1:2" ht="12.5" x14ac:dyDescent="0.25">
      <c r="A3280" t="str">
        <f ca="1">IFERROR(__xludf.DUMMYFUNCTION("""COMPUTED_VALUE"""),"Hexestrol")</f>
        <v>Hexestrol</v>
      </c>
      <c r="B3280" t="str">
        <f ca="1">IFERROR(__xludf.DUMMYFUNCTION("""COMPUTED_VALUE"""),"RF-00000292-VET")</f>
        <v>RF-00000292-VET</v>
      </c>
    </row>
    <row r="3281" spans="1:2" ht="12.5" x14ac:dyDescent="0.25">
      <c r="A3281" t="str">
        <f ca="1">IFERROR(__xludf.DUMMYFUNCTION("""COMPUTED_VALUE"""),"hexoses in dietary fibre")</f>
        <v>hexoses in dietary fibre</v>
      </c>
      <c r="B3281" t="str">
        <f ca="1">IFERROR(__xludf.DUMMYFUNCTION("""COMPUTED_VALUE"""),"RF-00000305-NTR")</f>
        <v>RF-00000305-NTR</v>
      </c>
    </row>
    <row r="3282" spans="1:2" ht="12.5" x14ac:dyDescent="0.25">
      <c r="A3282" t="str">
        <f ca="1">IFERROR(__xludf.DUMMYFUNCTION("""COMPUTED_VALUE"""),"Hexythiazox")</f>
        <v>Hexythiazox</v>
      </c>
      <c r="B3282" t="str">
        <f ca="1">IFERROR(__xludf.DUMMYFUNCTION("""COMPUTED_VALUE"""),"RF-0242-001-PPP")</f>
        <v>RF-0242-001-PPP</v>
      </c>
    </row>
    <row r="3283" spans="1:2" ht="12.5" x14ac:dyDescent="0.25">
      <c r="A3283" t="str">
        <f ca="1">IFERROR(__xludf.DUMMYFUNCTION("""COMPUTED_VALUE"""),"Histamine")</f>
        <v>Histamine</v>
      </c>
      <c r="B3283" t="str">
        <f ca="1">IFERROR(__xludf.DUMMYFUNCTION("""COMPUTED_VALUE"""),"RF-00000232-MCG")</f>
        <v>RF-00000232-MCG</v>
      </c>
    </row>
    <row r="3284" spans="1:2" ht="12.5" x14ac:dyDescent="0.25">
      <c r="A3284" t="str">
        <f ca="1">IFERROR(__xludf.DUMMYFUNCTION("""COMPUTED_VALUE"""),"Histamine")</f>
        <v>Histamine</v>
      </c>
      <c r="B3284" t="str">
        <f ca="1">IFERROR(__xludf.DUMMYFUNCTION("""COMPUTED_VALUE"""),"RF-00000233-MCG")</f>
        <v>RF-00000233-MCG</v>
      </c>
    </row>
    <row r="3285" spans="1:2" ht="12.5" x14ac:dyDescent="0.25">
      <c r="A3285" t="str">
        <f ca="1">IFERROR(__xludf.DUMMYFUNCTION("""COMPUTED_VALUE"""),"Histamine")</f>
        <v>Histamine</v>
      </c>
      <c r="B3285" t="str">
        <f ca="1">IFERROR(__xludf.DUMMYFUNCTION("""COMPUTED_VALUE"""),"RF-00000003-BGA")</f>
        <v>RF-00000003-BGA</v>
      </c>
    </row>
    <row r="3286" spans="1:2" ht="12.5" x14ac:dyDescent="0.25">
      <c r="A3286" t="str">
        <f ca="1">IFERROR(__xludf.DUMMYFUNCTION("""COMPUTED_VALUE"""),"histidine")</f>
        <v>histidine</v>
      </c>
      <c r="B3286" t="str">
        <f ca="1">IFERROR(__xludf.DUMMYFUNCTION("""COMPUTED_VALUE"""),"RF-00000306-NTR")</f>
        <v>RF-00000306-NTR</v>
      </c>
    </row>
    <row r="3287" spans="1:2" ht="12.5" x14ac:dyDescent="0.25">
      <c r="A3287" t="str">
        <f ca="1">IFERROR(__xludf.DUMMYFUNCTION("""COMPUTED_VALUE"""),"HMMNI (2-hydroxymethyl-1-methyl-5-nitroimidazole)")</f>
        <v>HMMNI (2-hydroxymethyl-1-methyl-5-nitroimidazole)</v>
      </c>
      <c r="B3287" t="str">
        <f ca="1">IFERROR(__xludf.DUMMYFUNCTION("""COMPUTED_VALUE"""),"RF-00000502-VET")</f>
        <v>RF-00000502-VET</v>
      </c>
    </row>
    <row r="3288" spans="1:2" ht="12.5" x14ac:dyDescent="0.25">
      <c r="A3288" t="str">
        <f ca="1">IFERROR(__xludf.DUMMYFUNCTION("""COMPUTED_VALUE"""),"Homopalytoxin")</f>
        <v>Homopalytoxin</v>
      </c>
      <c r="B3288" t="str">
        <f ca="1">IFERROR(__xludf.DUMMYFUNCTION("""COMPUTED_VALUE"""),"RF-00000075-TOX")</f>
        <v>RF-00000075-TOX</v>
      </c>
    </row>
    <row r="3289" spans="1:2" ht="12.5" x14ac:dyDescent="0.25">
      <c r="A3289" t="str">
        <f ca="1">IFERROR(__xludf.DUMMYFUNCTION("""COMPUTED_VALUE"""),"HT-2 toxin")</f>
        <v>HT-2 toxin</v>
      </c>
      <c r="B3289" t="str">
        <f ca="1">IFERROR(__xludf.DUMMYFUNCTION("""COMPUTED_VALUE"""),"RF-00000162-TOX")</f>
        <v>RF-00000162-TOX</v>
      </c>
    </row>
    <row r="3290" spans="1:2" ht="12.5" x14ac:dyDescent="0.25">
      <c r="A3290" t="str">
        <f ca="1">IFERROR(__xludf.DUMMYFUNCTION("""COMPUTED_VALUE"""),"Hydramethylnon")</f>
        <v>Hydramethylnon</v>
      </c>
      <c r="B3290" t="str">
        <f ca="1">IFERROR(__xludf.DUMMYFUNCTION("""COMPUTED_VALUE"""),"RF-0740-001-PPP")</f>
        <v>RF-0740-001-PPP</v>
      </c>
    </row>
    <row r="3291" spans="1:2" ht="12.5" x14ac:dyDescent="0.25">
      <c r="A3291" t="str">
        <f ca="1">IFERROR(__xludf.DUMMYFUNCTION("""COMPUTED_VALUE"""),"Hydrochloric acid")</f>
        <v>Hydrochloric acid</v>
      </c>
      <c r="B3291" t="str">
        <f ca="1">IFERROR(__xludf.DUMMYFUNCTION("""COMPUTED_VALUE"""),"RF-00000152-ADD")</f>
        <v>RF-00000152-ADD</v>
      </c>
    </row>
    <row r="3292" spans="1:2" ht="12.5" x14ac:dyDescent="0.25">
      <c r="A3292" t="str">
        <f ca="1">IFERROR(__xludf.DUMMYFUNCTION("""COMPUTED_VALUE"""),"Hydrocortisone sodium phosphate")</f>
        <v>Hydrocortisone sodium phosphate</v>
      </c>
      <c r="B3292" t="str">
        <f ca="1">IFERROR(__xludf.DUMMYFUNCTION("""COMPUTED_VALUE"""),"RF-00000252-VET")</f>
        <v>RF-00000252-VET</v>
      </c>
    </row>
    <row r="3293" spans="1:2" ht="12.5" x14ac:dyDescent="0.25">
      <c r="A3293" t="str">
        <f ca="1">IFERROR(__xludf.DUMMYFUNCTION("""COMPUTED_VALUE"""),"Hydrocyanic acid")</f>
        <v>Hydrocyanic acid</v>
      </c>
      <c r="B3293" t="str">
        <f ca="1">IFERROR(__xludf.DUMMYFUNCTION("""COMPUTED_VALUE"""),"RF-00000333-TOX")</f>
        <v>RF-00000333-TOX</v>
      </c>
    </row>
    <row r="3294" spans="1:2" ht="12.5" x14ac:dyDescent="0.25">
      <c r="A3294" t="str">
        <f ca="1">IFERROR(__xludf.DUMMYFUNCTION("""COMPUTED_VALUE"""),"Hydrogen")</f>
        <v>Hydrogen</v>
      </c>
      <c r="B3294" t="str">
        <f ca="1">IFERROR(__xludf.DUMMYFUNCTION("""COMPUTED_VALUE"""),"RF-00000153-ADD")</f>
        <v>RF-00000153-ADD</v>
      </c>
    </row>
    <row r="3295" spans="1:2" ht="12.5" x14ac:dyDescent="0.25">
      <c r="A3295" t="str">
        <f ca="1">IFERROR(__xludf.DUMMYFUNCTION("""COMPUTED_VALUE"""),"Hydrogen cyanide (cyanides expressed as hydrogen cyanide)")</f>
        <v>Hydrogen cyanide (cyanides expressed as hydrogen cyanide)</v>
      </c>
      <c r="B3295" t="str">
        <f ca="1">IFERROR(__xludf.DUMMYFUNCTION("""COMPUTED_VALUE"""),"RF-0243-001-PPP")</f>
        <v>RF-0243-001-PPP</v>
      </c>
    </row>
    <row r="3296" spans="1:2" ht="12.5" x14ac:dyDescent="0.25">
      <c r="A3296" t="str">
        <f ca="1">IFERROR(__xludf.DUMMYFUNCTION("""COMPUTED_VALUE"""),"Hydrogen phosphide (phosphides expressed as hydrogen phosphide)")</f>
        <v>Hydrogen phosphide (phosphides expressed as hydrogen phosphide)</v>
      </c>
      <c r="B3296" t="str">
        <f ca="1">IFERROR(__xludf.DUMMYFUNCTION("""COMPUTED_VALUE"""),"RF-0244-001-PPP")</f>
        <v>RF-0244-001-PPP</v>
      </c>
    </row>
    <row r="3297" spans="1:2" ht="12.5" x14ac:dyDescent="0.25">
      <c r="A3297" t="str">
        <f ca="1">IFERROR(__xludf.DUMMYFUNCTION("""COMPUTED_VALUE"""),"Hydrogenated poly-1-decene")</f>
        <v>Hydrogenated poly-1-decene</v>
      </c>
      <c r="B3297" t="str">
        <f ca="1">IFERROR(__xludf.DUMMYFUNCTION("""COMPUTED_VALUE"""),"RF-00000154-ADD")</f>
        <v>RF-00000154-ADD</v>
      </c>
    </row>
    <row r="3298" spans="1:2" ht="12.5" x14ac:dyDescent="0.25">
      <c r="A3298" t="str">
        <f ca="1">IFERROR(__xludf.DUMMYFUNCTION("""COMPUTED_VALUE"""),"Hydroxy propyl distarch phosphate")</f>
        <v>Hydroxy propyl distarch phosphate</v>
      </c>
      <c r="B3298" t="str">
        <f ca="1">IFERROR(__xludf.DUMMYFUNCTION("""COMPUTED_VALUE"""),"RF-00000155-ADD")</f>
        <v>RF-00000155-ADD</v>
      </c>
    </row>
    <row r="3299" spans="1:2" ht="12.5" x14ac:dyDescent="0.25">
      <c r="A3299" t="str">
        <f ca="1">IFERROR(__xludf.DUMMYFUNCTION("""COMPUTED_VALUE"""),"Hydroxy propyl starch")</f>
        <v>Hydroxy propyl starch</v>
      </c>
      <c r="B3299" t="str">
        <f ca="1">IFERROR(__xludf.DUMMYFUNCTION("""COMPUTED_VALUE"""),"RF-00000156-ADD")</f>
        <v>RF-00000156-ADD</v>
      </c>
    </row>
    <row r="3300" spans="1:2" ht="12.5" x14ac:dyDescent="0.25">
      <c r="A3300" t="str">
        <f ca="1">IFERROR(__xludf.DUMMYFUNCTION("""COMPUTED_VALUE"""),"Hydroxylated saxitoxins")</f>
        <v>Hydroxylated saxitoxins</v>
      </c>
      <c r="B3300" t="str">
        <f ca="1">IFERROR(__xludf.DUMMYFUNCTION("""COMPUTED_VALUE"""),"RF-00000115-TOX")</f>
        <v>RF-00000115-TOX</v>
      </c>
    </row>
    <row r="3301" spans="1:2" ht="12.5" x14ac:dyDescent="0.25">
      <c r="A3301" t="str">
        <f ca="1">IFERROR(__xludf.DUMMYFUNCTION("""COMPUTED_VALUE"""),"Hydroxymebendazol")</f>
        <v>Hydroxymebendazol</v>
      </c>
      <c r="B3301" t="str">
        <f ca="1">IFERROR(__xludf.DUMMYFUNCTION("""COMPUTED_VALUE"""),"RF-00000019-VET")</f>
        <v>RF-00000019-VET</v>
      </c>
    </row>
    <row r="3302" spans="1:2" ht="12.5" x14ac:dyDescent="0.25">
      <c r="A3302" t="str">
        <f ca="1">IFERROR(__xludf.DUMMYFUNCTION("""COMPUTED_VALUE"""),"Hydroxymethylfurfural")</f>
        <v>Hydroxymethylfurfural</v>
      </c>
      <c r="B3302" t="str">
        <f ca="1">IFERROR(__xludf.DUMMYFUNCTION("""COMPUTED_VALUE"""),"RF-00000379-ORG")</f>
        <v>RF-00000379-ORG</v>
      </c>
    </row>
    <row r="3303" spans="1:2" ht="12.5" x14ac:dyDescent="0.25">
      <c r="A3303" t="str">
        <f ca="1">IFERROR(__xludf.DUMMYFUNCTION("""COMPUTED_VALUE"""),"Hydroxymetronidazol (MNZOH)")</f>
        <v>Hydroxymetronidazol (MNZOH)</v>
      </c>
      <c r="B3303" t="str">
        <f ca="1">IFERROR(__xludf.DUMMYFUNCTION("""COMPUTED_VALUE"""),"RF-00000519-VET")</f>
        <v>RF-00000519-VET</v>
      </c>
    </row>
    <row r="3304" spans="1:2" ht="12.5" x14ac:dyDescent="0.25">
      <c r="A3304" t="str">
        <f ca="1">IFERROR(__xludf.DUMMYFUNCTION("""COMPUTED_VALUE"""),"hydroxyproline")</f>
        <v>hydroxyproline</v>
      </c>
      <c r="B3304" t="str">
        <f ca="1">IFERROR(__xludf.DUMMYFUNCTION("""COMPUTED_VALUE"""),"RF-00000307-NTR")</f>
        <v>RF-00000307-NTR</v>
      </c>
    </row>
    <row r="3305" spans="1:2" ht="12.5" x14ac:dyDescent="0.25">
      <c r="A3305" t="str">
        <f ca="1">IFERROR(__xludf.DUMMYFUNCTION("""COMPUTED_VALUE"""),"Hydroxypropyl cellulose")</f>
        <v>Hydroxypropyl cellulose</v>
      </c>
      <c r="B3305" t="str">
        <f ca="1">IFERROR(__xludf.DUMMYFUNCTION("""COMPUTED_VALUE"""),"RF-00000157-ADD")</f>
        <v>RF-00000157-ADD</v>
      </c>
    </row>
    <row r="3306" spans="1:2" ht="12.5" x14ac:dyDescent="0.25">
      <c r="A3306" t="str">
        <f ca="1">IFERROR(__xludf.DUMMYFUNCTION("""COMPUTED_VALUE"""),"Hydroxypropyl methyl cellulose")</f>
        <v>Hydroxypropyl methyl cellulose</v>
      </c>
      <c r="B3306" t="str">
        <f ca="1">IFERROR(__xludf.DUMMYFUNCTION("""COMPUTED_VALUE"""),"RF-00000158-ADD")</f>
        <v>RF-00000158-ADD</v>
      </c>
    </row>
    <row r="3307" spans="1:2" ht="12.5" x14ac:dyDescent="0.25">
      <c r="A3307" t="str">
        <f ca="1">IFERROR(__xludf.DUMMYFUNCTION("""COMPUTED_VALUE"""),"Hydroxyquinestrol-11 alpha")</f>
        <v>Hydroxyquinestrol-11 alpha</v>
      </c>
      <c r="B3307" t="str">
        <f ca="1">IFERROR(__xludf.DUMMYFUNCTION("""COMPUTED_VALUE"""),"RF-00000379-VET")</f>
        <v>RF-00000379-VET</v>
      </c>
    </row>
    <row r="3308" spans="1:2" ht="12.5" x14ac:dyDescent="0.25">
      <c r="A3308" t="str">
        <f ca="1">IFERROR(__xludf.DUMMYFUNCTION("""COMPUTED_VALUE"""),"Hydroxyquinoline sulfate, 8-")</f>
        <v>Hydroxyquinoline sulfate, 8-</v>
      </c>
      <c r="B3308" t="str">
        <f ca="1">IFERROR(__xludf.DUMMYFUNCTION("""COMPUTED_VALUE"""),"RF-0741-001-PPP")</f>
        <v>RF-0741-001-PPP</v>
      </c>
    </row>
    <row r="3309" spans="1:2" ht="12.5" x14ac:dyDescent="0.25">
      <c r="A3309" t="str">
        <f ca="1">IFERROR(__xludf.DUMMYFUNCTION("""COMPUTED_VALUE"""),"Hydroxysalmeterol-alpha")</f>
        <v>Hydroxysalmeterol-alpha</v>
      </c>
      <c r="B3309" t="str">
        <f ca="1">IFERROR(__xludf.DUMMYFUNCTION("""COMPUTED_VALUE"""),"RF-00000472-VET")</f>
        <v>RF-00000472-VET</v>
      </c>
    </row>
    <row r="3310" spans="1:2" ht="12.5" x14ac:dyDescent="0.25">
      <c r="A3310" t="str">
        <f ca="1">IFERROR(__xludf.DUMMYFUNCTION("""COMPUTED_VALUE"""),"Hydroxysenkirkine")</f>
        <v>Hydroxysenkirkine</v>
      </c>
      <c r="B3310" t="str">
        <f ca="1">IFERROR(__xludf.DUMMYFUNCTION("""COMPUTED_VALUE"""),"RF-00000283-TOX")</f>
        <v>RF-00000283-TOX</v>
      </c>
    </row>
    <row r="3311" spans="1:2" ht="12.5" x14ac:dyDescent="0.25">
      <c r="A3311" t="str">
        <f ca="1">IFERROR(__xludf.DUMMYFUNCTION("""COMPUTED_VALUE"""),"Hymexazol")</f>
        <v>Hymexazol</v>
      </c>
      <c r="B3311" t="str">
        <f ca="1">IFERROR(__xludf.DUMMYFUNCTION("""COMPUTED_VALUE"""),"RF-0245-001-PPP")</f>
        <v>RF-0245-001-PPP</v>
      </c>
    </row>
    <row r="3312" spans="1:2" ht="12.5" x14ac:dyDescent="0.25">
      <c r="A3312" t="str">
        <f ca="1">IFERROR(__xludf.DUMMYFUNCTION("""COMPUTED_VALUE"""),"Hyoscyamine")</f>
        <v>Hyoscyamine</v>
      </c>
      <c r="B3312" t="str">
        <f ca="1">IFERROR(__xludf.DUMMYFUNCTION("""COMPUTED_VALUE"""),"RF-00000247-TOX")</f>
        <v>RF-00000247-TOX</v>
      </c>
    </row>
    <row r="3313" spans="1:2" ht="12.5" x14ac:dyDescent="0.25">
      <c r="A3313" t="str">
        <f ca="1">IFERROR(__xludf.DUMMYFUNCTION("""COMPUTED_VALUE"""),"I-131")</f>
        <v>I-131</v>
      </c>
      <c r="B3313" t="str">
        <f ca="1">IFERROR(__xludf.DUMMYFUNCTION("""COMPUTED_VALUE"""),"RF-00000051-CHE")</f>
        <v>RF-00000051-CHE</v>
      </c>
    </row>
    <row r="3314" spans="1:2" ht="12.5" x14ac:dyDescent="0.25">
      <c r="A3314" t="str">
        <f ca="1">IFERROR(__xludf.DUMMYFUNCTION("""COMPUTED_VALUE"""),"Ibafloxacin")</f>
        <v>Ibafloxacin</v>
      </c>
      <c r="B3314" t="str">
        <f ca="1">IFERROR(__xludf.DUMMYFUNCTION("""COMPUTED_VALUE"""),"RF-00000733-VET")</f>
        <v>RF-00000733-VET</v>
      </c>
    </row>
    <row r="3315" spans="1:2" ht="12.5" x14ac:dyDescent="0.25">
      <c r="A3315" t="str">
        <f ca="1">IFERROR(__xludf.DUMMYFUNCTION("""COMPUTED_VALUE"""),"Ibuprofen")</f>
        <v>Ibuprofen</v>
      </c>
      <c r="B3315" t="str">
        <f ca="1">IFERROR(__xludf.DUMMYFUNCTION("""COMPUTED_VALUE"""),"RF-00000219-VET")</f>
        <v>RF-00000219-VET</v>
      </c>
    </row>
    <row r="3316" spans="1:2" ht="12.5" x14ac:dyDescent="0.25">
      <c r="A3316" t="str">
        <f ca="1">IFERROR(__xludf.DUMMYFUNCTION("""COMPUTED_VALUE"""),"Imazalil")</f>
        <v>Imazalil</v>
      </c>
      <c r="B3316" t="str">
        <f ca="1">IFERROR(__xludf.DUMMYFUNCTION("""COMPUTED_VALUE"""),"RF-0246-001-PPP")</f>
        <v>RF-0246-001-PPP</v>
      </c>
    </row>
    <row r="3317" spans="1:2" ht="12.5" x14ac:dyDescent="0.25">
      <c r="A3317" t="str">
        <f ca="1">IFERROR(__xludf.DUMMYFUNCTION("""COMPUTED_VALUE"""),"Imazamethabenz-Methyl")</f>
        <v>Imazamethabenz-Methyl</v>
      </c>
      <c r="B3317" t="str">
        <f ca="1">IFERROR(__xludf.DUMMYFUNCTION("""COMPUTED_VALUE"""),"RF-0742-001-PPP")</f>
        <v>RF-0742-001-PPP</v>
      </c>
    </row>
    <row r="3318" spans="1:2" ht="12.5" x14ac:dyDescent="0.25">
      <c r="A3318" t="str">
        <f ca="1">IFERROR(__xludf.DUMMYFUNCTION("""COMPUTED_VALUE"""),"Imazamox")</f>
        <v>Imazamox</v>
      </c>
      <c r="B3318" t="str">
        <f ca="1">IFERROR(__xludf.DUMMYFUNCTION("""COMPUTED_VALUE"""),"RF-0247-001-PPP")</f>
        <v>RF-0247-001-PPP</v>
      </c>
    </row>
    <row r="3319" spans="1:2" ht="12.5" x14ac:dyDescent="0.25">
      <c r="A3319" t="str">
        <f ca="1">IFERROR(__xludf.DUMMYFUNCTION("""COMPUTED_VALUE"""),"Imazapic")</f>
        <v>Imazapic</v>
      </c>
      <c r="B3319" t="str">
        <f ca="1">IFERROR(__xludf.DUMMYFUNCTION("""COMPUTED_VALUE"""),"RF-0743-001-PPP")</f>
        <v>RF-0743-001-PPP</v>
      </c>
    </row>
    <row r="3320" spans="1:2" ht="12.5" x14ac:dyDescent="0.25">
      <c r="A3320" t="str">
        <f ca="1">IFERROR(__xludf.DUMMYFUNCTION("""COMPUTED_VALUE"""),"Imazapyr")</f>
        <v>Imazapyr</v>
      </c>
      <c r="B3320" t="str">
        <f ca="1">IFERROR(__xludf.DUMMYFUNCTION("""COMPUTED_VALUE"""),"RF-0744-001-PPP")</f>
        <v>RF-0744-001-PPP</v>
      </c>
    </row>
    <row r="3321" spans="1:2" ht="12.5" x14ac:dyDescent="0.25">
      <c r="A3321" t="str">
        <f ca="1">IFERROR(__xludf.DUMMYFUNCTION("""COMPUTED_VALUE"""),"Imazaquin")</f>
        <v>Imazaquin</v>
      </c>
      <c r="B3321" t="str">
        <f ca="1">IFERROR(__xludf.DUMMYFUNCTION("""COMPUTED_VALUE"""),"RF-0248-001-PPP")</f>
        <v>RF-0248-001-PPP</v>
      </c>
    </row>
    <row r="3322" spans="1:2" ht="12.5" x14ac:dyDescent="0.25">
      <c r="A3322" t="str">
        <f ca="1">IFERROR(__xludf.DUMMYFUNCTION("""COMPUTED_VALUE"""),"Imazethapyr")</f>
        <v>Imazethapyr</v>
      </c>
      <c r="B3322" t="str">
        <f ca="1">IFERROR(__xludf.DUMMYFUNCTION("""COMPUTED_VALUE"""),"RF-0745-001-PPP")</f>
        <v>RF-0745-001-PPP</v>
      </c>
    </row>
    <row r="3323" spans="1:2" ht="12.5" x14ac:dyDescent="0.25">
      <c r="A3323" t="str">
        <f ca="1">IFERROR(__xludf.DUMMYFUNCTION("""COMPUTED_VALUE"""),"Imazosulfuron")</f>
        <v>Imazosulfuron</v>
      </c>
      <c r="B3323" t="str">
        <f ca="1">IFERROR(__xludf.DUMMYFUNCTION("""COMPUTED_VALUE"""),"RF-0249-001-PPP")</f>
        <v>RF-0249-001-PPP</v>
      </c>
    </row>
    <row r="3324" spans="1:2" ht="12.5" x14ac:dyDescent="0.25">
      <c r="A3324" t="str">
        <f ca="1">IFERROR(__xludf.DUMMYFUNCTION("""COMPUTED_VALUE"""),"Imibenconazole")</f>
        <v>Imibenconazole</v>
      </c>
      <c r="B3324" t="str">
        <f ca="1">IFERROR(__xludf.DUMMYFUNCTION("""COMPUTED_VALUE"""),"RF-0746-001-PPP")</f>
        <v>RF-0746-001-PPP</v>
      </c>
    </row>
    <row r="3325" spans="1:2" ht="12.5" x14ac:dyDescent="0.25">
      <c r="A3325" t="str">
        <f ca="1">IFERROR(__xludf.DUMMYFUNCTION("""COMPUTED_VALUE"""),"Imidacloprid")</f>
        <v>Imidacloprid</v>
      </c>
      <c r="B3325" t="str">
        <f ca="1">IFERROR(__xludf.DUMMYFUNCTION("""COMPUTED_VALUE"""),"RF-0250-001-PPP")</f>
        <v>RF-0250-001-PPP</v>
      </c>
    </row>
    <row r="3326" spans="1:2" ht="12.5" x14ac:dyDescent="0.25">
      <c r="A3326" t="str">
        <f ca="1">IFERROR(__xludf.DUMMYFUNCTION("""COMPUTED_VALUE"""),"Imidacloprid, 5-Hydroxy-")</f>
        <v>Imidacloprid, 5-Hydroxy-</v>
      </c>
      <c r="B3326" t="str">
        <f ca="1">IFERROR(__xludf.DUMMYFUNCTION("""COMPUTED_VALUE"""),"RF-0747-001-PPP")</f>
        <v>RF-0747-001-PPP</v>
      </c>
    </row>
    <row r="3327" spans="1:2" ht="12.5" x14ac:dyDescent="0.25">
      <c r="A3327" t="str">
        <f ca="1">IFERROR(__xludf.DUMMYFUNCTION("""COMPUTED_VALUE"""),"Imidacloprid, Olefin-")</f>
        <v>Imidacloprid, Olefin-</v>
      </c>
      <c r="B3327" t="str">
        <f ca="1">IFERROR(__xludf.DUMMYFUNCTION("""COMPUTED_VALUE"""),"RF-0748-001-PPP")</f>
        <v>RF-0748-001-PPP</v>
      </c>
    </row>
    <row r="3328" spans="1:2" ht="12.5" x14ac:dyDescent="0.25">
      <c r="A3328" t="str">
        <f ca="1">IFERROR(__xludf.DUMMYFUNCTION("""COMPUTED_VALUE"""),"Imidocarb")</f>
        <v>Imidocarb</v>
      </c>
      <c r="B3328" t="str">
        <f ca="1">IFERROR(__xludf.DUMMYFUNCTION("""COMPUTED_VALUE"""),"RF-00000106-VET")</f>
        <v>RF-00000106-VET</v>
      </c>
    </row>
    <row r="3329" spans="1:2" ht="12.5" x14ac:dyDescent="0.25">
      <c r="A3329" t="str">
        <f ca="1">IFERROR(__xludf.DUMMYFUNCTION("""COMPUTED_VALUE"""),"Iminoctadine")</f>
        <v>Iminoctadine</v>
      </c>
      <c r="B3329" t="str">
        <f ca="1">IFERROR(__xludf.DUMMYFUNCTION("""COMPUTED_VALUE"""),"RF-0749-001-PPP")</f>
        <v>RF-0749-001-PPP</v>
      </c>
    </row>
    <row r="3330" spans="1:2" ht="12.5" x14ac:dyDescent="0.25">
      <c r="A3330" t="str">
        <f ca="1">IFERROR(__xludf.DUMMYFUNCTION("""COMPUTED_VALUE"""),"Imipenem")</f>
        <v>Imipenem</v>
      </c>
      <c r="B3330" t="str">
        <f ca="1">IFERROR(__xludf.DUMMYFUNCTION("""COMPUTED_VALUE"""),"RF-00000711-VET")</f>
        <v>RF-00000711-VET</v>
      </c>
    </row>
    <row r="3331" spans="1:2" ht="12.5" x14ac:dyDescent="0.25">
      <c r="A3331" t="str">
        <f ca="1">IFERROR(__xludf.DUMMYFUNCTION("""COMPUTED_VALUE"""),"IMP")</f>
        <v>IMP</v>
      </c>
      <c r="B3331" t="str">
        <f ca="1">IFERROR(__xludf.DUMMYFUNCTION("""COMPUTED_VALUE"""),"RF-00000883-PAR")</f>
        <v>RF-00000883-PAR</v>
      </c>
    </row>
    <row r="3332" spans="1:2" ht="12.5" x14ac:dyDescent="0.25">
      <c r="A3332" t="str">
        <f ca="1">IFERROR(__xludf.DUMMYFUNCTION("""COMPUTED_VALUE"""),"IMP-1")</f>
        <v>IMP-1</v>
      </c>
      <c r="B3332" t="str">
        <f ca="1">IFERROR(__xludf.DUMMYFUNCTION("""COMPUTED_VALUE"""),"RF-00000884-PAR")</f>
        <v>RF-00000884-PAR</v>
      </c>
    </row>
    <row r="3333" spans="1:2" ht="12.5" x14ac:dyDescent="0.25">
      <c r="A3333" t="str">
        <f ca="1">IFERROR(__xludf.DUMMYFUNCTION("""COMPUTED_VALUE"""),"IMP-10")</f>
        <v>IMP-10</v>
      </c>
      <c r="B3333" t="str">
        <f ca="1">IFERROR(__xludf.DUMMYFUNCTION("""COMPUTED_VALUE"""),"RF-00000893-PAR")</f>
        <v>RF-00000893-PAR</v>
      </c>
    </row>
    <row r="3334" spans="1:2" ht="12.5" x14ac:dyDescent="0.25">
      <c r="A3334" t="str">
        <f ca="1">IFERROR(__xludf.DUMMYFUNCTION("""COMPUTED_VALUE"""),"IMP-11")</f>
        <v>IMP-11</v>
      </c>
      <c r="B3334" t="str">
        <f ca="1">IFERROR(__xludf.DUMMYFUNCTION("""COMPUTED_VALUE"""),"RF-00000894-PAR")</f>
        <v>RF-00000894-PAR</v>
      </c>
    </row>
    <row r="3335" spans="1:2" ht="12.5" x14ac:dyDescent="0.25">
      <c r="A3335" t="str">
        <f ca="1">IFERROR(__xludf.DUMMYFUNCTION("""COMPUTED_VALUE"""),"IMP-12")</f>
        <v>IMP-12</v>
      </c>
      <c r="B3335" t="str">
        <f ca="1">IFERROR(__xludf.DUMMYFUNCTION("""COMPUTED_VALUE"""),"RF-00000895-PAR")</f>
        <v>RF-00000895-PAR</v>
      </c>
    </row>
    <row r="3336" spans="1:2" ht="12.5" x14ac:dyDescent="0.25">
      <c r="A3336" t="str">
        <f ca="1">IFERROR(__xludf.DUMMYFUNCTION("""COMPUTED_VALUE"""),"IMP-13")</f>
        <v>IMP-13</v>
      </c>
      <c r="B3336" t="str">
        <f ca="1">IFERROR(__xludf.DUMMYFUNCTION("""COMPUTED_VALUE"""),"RF-00000896-PAR")</f>
        <v>RF-00000896-PAR</v>
      </c>
    </row>
    <row r="3337" spans="1:2" ht="12.5" x14ac:dyDescent="0.25">
      <c r="A3337" t="str">
        <f ca="1">IFERROR(__xludf.DUMMYFUNCTION("""COMPUTED_VALUE"""),"IMP-14")</f>
        <v>IMP-14</v>
      </c>
      <c r="B3337" t="str">
        <f ca="1">IFERROR(__xludf.DUMMYFUNCTION("""COMPUTED_VALUE"""),"RF-00000897-PAR")</f>
        <v>RF-00000897-PAR</v>
      </c>
    </row>
    <row r="3338" spans="1:2" ht="12.5" x14ac:dyDescent="0.25">
      <c r="A3338" t="str">
        <f ca="1">IFERROR(__xludf.DUMMYFUNCTION("""COMPUTED_VALUE"""),"IMP-15")</f>
        <v>IMP-15</v>
      </c>
      <c r="B3338" t="str">
        <f ca="1">IFERROR(__xludf.DUMMYFUNCTION("""COMPUTED_VALUE"""),"RF-00000898-PAR")</f>
        <v>RF-00000898-PAR</v>
      </c>
    </row>
    <row r="3339" spans="1:2" ht="12.5" x14ac:dyDescent="0.25">
      <c r="A3339" t="str">
        <f ca="1">IFERROR(__xludf.DUMMYFUNCTION("""COMPUTED_VALUE"""),"IMP-16")</f>
        <v>IMP-16</v>
      </c>
      <c r="B3339" t="str">
        <f ca="1">IFERROR(__xludf.DUMMYFUNCTION("""COMPUTED_VALUE"""),"RF-00000899-PAR")</f>
        <v>RF-00000899-PAR</v>
      </c>
    </row>
    <row r="3340" spans="1:2" ht="12.5" x14ac:dyDescent="0.25">
      <c r="A3340" t="str">
        <f ca="1">IFERROR(__xludf.DUMMYFUNCTION("""COMPUTED_VALUE"""),"IMP-17")</f>
        <v>IMP-17</v>
      </c>
      <c r="B3340" t="str">
        <f ca="1">IFERROR(__xludf.DUMMYFUNCTION("""COMPUTED_VALUE"""),"RF-00000900-PAR")</f>
        <v>RF-00000900-PAR</v>
      </c>
    </row>
    <row r="3341" spans="1:2" ht="12.5" x14ac:dyDescent="0.25">
      <c r="A3341" t="str">
        <f ca="1">IFERROR(__xludf.DUMMYFUNCTION("""COMPUTED_VALUE"""),"IMP-18")</f>
        <v>IMP-18</v>
      </c>
      <c r="B3341" t="str">
        <f ca="1">IFERROR(__xludf.DUMMYFUNCTION("""COMPUTED_VALUE"""),"RF-00000901-PAR")</f>
        <v>RF-00000901-PAR</v>
      </c>
    </row>
    <row r="3342" spans="1:2" ht="12.5" x14ac:dyDescent="0.25">
      <c r="A3342" t="str">
        <f ca="1">IFERROR(__xludf.DUMMYFUNCTION("""COMPUTED_VALUE"""),"IMP-19")</f>
        <v>IMP-19</v>
      </c>
      <c r="B3342" t="str">
        <f ca="1">IFERROR(__xludf.DUMMYFUNCTION("""COMPUTED_VALUE"""),"RF-00000902-PAR")</f>
        <v>RF-00000902-PAR</v>
      </c>
    </row>
    <row r="3343" spans="1:2" ht="12.5" x14ac:dyDescent="0.25">
      <c r="A3343" t="str">
        <f ca="1">IFERROR(__xludf.DUMMYFUNCTION("""COMPUTED_VALUE"""),"IMP-2")</f>
        <v>IMP-2</v>
      </c>
      <c r="B3343" t="str">
        <f ca="1">IFERROR(__xludf.DUMMYFUNCTION("""COMPUTED_VALUE"""),"RF-00000885-PAR")</f>
        <v>RF-00000885-PAR</v>
      </c>
    </row>
    <row r="3344" spans="1:2" ht="12.5" x14ac:dyDescent="0.25">
      <c r="A3344" t="str">
        <f ca="1">IFERROR(__xludf.DUMMYFUNCTION("""COMPUTED_VALUE"""),"IMP-20")</f>
        <v>IMP-20</v>
      </c>
      <c r="B3344" t="str">
        <f ca="1">IFERROR(__xludf.DUMMYFUNCTION("""COMPUTED_VALUE"""),"RF-00000903-PAR")</f>
        <v>RF-00000903-PAR</v>
      </c>
    </row>
    <row r="3345" spans="1:2" ht="12.5" x14ac:dyDescent="0.25">
      <c r="A3345" t="str">
        <f ca="1">IFERROR(__xludf.DUMMYFUNCTION("""COMPUTED_VALUE"""),"IMP-21")</f>
        <v>IMP-21</v>
      </c>
      <c r="B3345" t="str">
        <f ca="1">IFERROR(__xludf.DUMMYFUNCTION("""COMPUTED_VALUE"""),"RF-00000904-PAR")</f>
        <v>RF-00000904-PAR</v>
      </c>
    </row>
    <row r="3346" spans="1:2" ht="12.5" x14ac:dyDescent="0.25">
      <c r="A3346" t="str">
        <f ca="1">IFERROR(__xludf.DUMMYFUNCTION("""COMPUTED_VALUE"""),"IMP-22")</f>
        <v>IMP-22</v>
      </c>
      <c r="B3346" t="str">
        <f ca="1">IFERROR(__xludf.DUMMYFUNCTION("""COMPUTED_VALUE"""),"RF-00000905-PAR")</f>
        <v>RF-00000905-PAR</v>
      </c>
    </row>
    <row r="3347" spans="1:2" ht="12.5" x14ac:dyDescent="0.25">
      <c r="A3347" t="str">
        <f ca="1">IFERROR(__xludf.DUMMYFUNCTION("""COMPUTED_VALUE"""),"IMP-23")</f>
        <v>IMP-23</v>
      </c>
      <c r="B3347" t="str">
        <f ca="1">IFERROR(__xludf.DUMMYFUNCTION("""COMPUTED_VALUE"""),"RF-00000906-PAR")</f>
        <v>RF-00000906-PAR</v>
      </c>
    </row>
    <row r="3348" spans="1:2" ht="12.5" x14ac:dyDescent="0.25">
      <c r="A3348" t="str">
        <f ca="1">IFERROR(__xludf.DUMMYFUNCTION("""COMPUTED_VALUE"""),"IMP-24")</f>
        <v>IMP-24</v>
      </c>
      <c r="B3348" t="str">
        <f ca="1">IFERROR(__xludf.DUMMYFUNCTION("""COMPUTED_VALUE"""),"RF-00000907-PAR")</f>
        <v>RF-00000907-PAR</v>
      </c>
    </row>
    <row r="3349" spans="1:2" ht="12.5" x14ac:dyDescent="0.25">
      <c r="A3349" t="str">
        <f ca="1">IFERROR(__xludf.DUMMYFUNCTION("""COMPUTED_VALUE"""),"IMP-25")</f>
        <v>IMP-25</v>
      </c>
      <c r="B3349" t="str">
        <f ca="1">IFERROR(__xludf.DUMMYFUNCTION("""COMPUTED_VALUE"""),"RF-00000908-PAR")</f>
        <v>RF-00000908-PAR</v>
      </c>
    </row>
    <row r="3350" spans="1:2" ht="12.5" x14ac:dyDescent="0.25">
      <c r="A3350" t="str">
        <f ca="1">IFERROR(__xludf.DUMMYFUNCTION("""COMPUTED_VALUE"""),"IMP-26")</f>
        <v>IMP-26</v>
      </c>
      <c r="B3350" t="str">
        <f ca="1">IFERROR(__xludf.DUMMYFUNCTION("""COMPUTED_VALUE"""),"RF-00000909-PAR")</f>
        <v>RF-00000909-PAR</v>
      </c>
    </row>
    <row r="3351" spans="1:2" ht="12.5" x14ac:dyDescent="0.25">
      <c r="A3351" t="str">
        <f ca="1">IFERROR(__xludf.DUMMYFUNCTION("""COMPUTED_VALUE"""),"IMP-27")</f>
        <v>IMP-27</v>
      </c>
      <c r="B3351" t="str">
        <f ca="1">IFERROR(__xludf.DUMMYFUNCTION("""COMPUTED_VALUE"""),"RF-00000910-PAR")</f>
        <v>RF-00000910-PAR</v>
      </c>
    </row>
    <row r="3352" spans="1:2" ht="12.5" x14ac:dyDescent="0.25">
      <c r="A3352" t="str">
        <f ca="1">IFERROR(__xludf.DUMMYFUNCTION("""COMPUTED_VALUE"""),"IMP-28")</f>
        <v>IMP-28</v>
      </c>
      <c r="B3352" t="str">
        <f ca="1">IFERROR(__xludf.DUMMYFUNCTION("""COMPUTED_VALUE"""),"RF-00000911-PAR")</f>
        <v>RF-00000911-PAR</v>
      </c>
    </row>
    <row r="3353" spans="1:2" ht="12.5" x14ac:dyDescent="0.25">
      <c r="A3353" t="str">
        <f ca="1">IFERROR(__xludf.DUMMYFUNCTION("""COMPUTED_VALUE"""),"IMP-29")</f>
        <v>IMP-29</v>
      </c>
      <c r="B3353" t="str">
        <f ca="1">IFERROR(__xludf.DUMMYFUNCTION("""COMPUTED_VALUE"""),"RF-00000912-PAR")</f>
        <v>RF-00000912-PAR</v>
      </c>
    </row>
    <row r="3354" spans="1:2" ht="12.5" x14ac:dyDescent="0.25">
      <c r="A3354" t="str">
        <f ca="1">IFERROR(__xludf.DUMMYFUNCTION("""COMPUTED_VALUE"""),"IMP-3")</f>
        <v>IMP-3</v>
      </c>
      <c r="B3354" t="str">
        <f ca="1">IFERROR(__xludf.DUMMYFUNCTION("""COMPUTED_VALUE"""),"RF-00000886-PAR")</f>
        <v>RF-00000886-PAR</v>
      </c>
    </row>
    <row r="3355" spans="1:2" ht="12.5" x14ac:dyDescent="0.25">
      <c r="A3355" t="str">
        <f ca="1">IFERROR(__xludf.DUMMYFUNCTION("""COMPUTED_VALUE"""),"IMP-30")</f>
        <v>IMP-30</v>
      </c>
      <c r="B3355" t="str">
        <f ca="1">IFERROR(__xludf.DUMMYFUNCTION("""COMPUTED_VALUE"""),"RF-00000913-PAR")</f>
        <v>RF-00000913-PAR</v>
      </c>
    </row>
    <row r="3356" spans="1:2" ht="12.5" x14ac:dyDescent="0.25">
      <c r="A3356" t="str">
        <f ca="1">IFERROR(__xludf.DUMMYFUNCTION("""COMPUTED_VALUE"""),"IMP-31")</f>
        <v>IMP-31</v>
      </c>
      <c r="B3356" t="str">
        <f ca="1">IFERROR(__xludf.DUMMYFUNCTION("""COMPUTED_VALUE"""),"RF-00000914-PAR")</f>
        <v>RF-00000914-PAR</v>
      </c>
    </row>
    <row r="3357" spans="1:2" ht="12.5" x14ac:dyDescent="0.25">
      <c r="A3357" t="str">
        <f ca="1">IFERROR(__xludf.DUMMYFUNCTION("""COMPUTED_VALUE"""),"IMP-32")</f>
        <v>IMP-32</v>
      </c>
      <c r="B3357" t="str">
        <f ca="1">IFERROR(__xludf.DUMMYFUNCTION("""COMPUTED_VALUE"""),"RF-00000915-PAR")</f>
        <v>RF-00000915-PAR</v>
      </c>
    </row>
    <row r="3358" spans="1:2" ht="12.5" x14ac:dyDescent="0.25">
      <c r="A3358" t="str">
        <f ca="1">IFERROR(__xludf.DUMMYFUNCTION("""COMPUTED_VALUE"""),"IMP-33")</f>
        <v>IMP-33</v>
      </c>
      <c r="B3358" t="str">
        <f ca="1">IFERROR(__xludf.DUMMYFUNCTION("""COMPUTED_VALUE"""),"RF-00000916-PAR")</f>
        <v>RF-00000916-PAR</v>
      </c>
    </row>
    <row r="3359" spans="1:2" ht="12.5" x14ac:dyDescent="0.25">
      <c r="A3359" t="str">
        <f ca="1">IFERROR(__xludf.DUMMYFUNCTION("""COMPUTED_VALUE"""),"IMP-34")</f>
        <v>IMP-34</v>
      </c>
      <c r="B3359" t="str">
        <f ca="1">IFERROR(__xludf.DUMMYFUNCTION("""COMPUTED_VALUE"""),"RF-00000917-PAR")</f>
        <v>RF-00000917-PAR</v>
      </c>
    </row>
    <row r="3360" spans="1:2" ht="12.5" x14ac:dyDescent="0.25">
      <c r="A3360" t="str">
        <f ca="1">IFERROR(__xludf.DUMMYFUNCTION("""COMPUTED_VALUE"""),"IMP-35")</f>
        <v>IMP-35</v>
      </c>
      <c r="B3360" t="str">
        <f ca="1">IFERROR(__xludf.DUMMYFUNCTION("""COMPUTED_VALUE"""),"RF-00000918-PAR")</f>
        <v>RF-00000918-PAR</v>
      </c>
    </row>
    <row r="3361" spans="1:2" ht="12.5" x14ac:dyDescent="0.25">
      <c r="A3361" t="str">
        <f ca="1">IFERROR(__xludf.DUMMYFUNCTION("""COMPUTED_VALUE"""),"IMP-36")</f>
        <v>IMP-36</v>
      </c>
      <c r="B3361" t="str">
        <f ca="1">IFERROR(__xludf.DUMMYFUNCTION("""COMPUTED_VALUE"""),"RF-00000919-PAR")</f>
        <v>RF-00000919-PAR</v>
      </c>
    </row>
    <row r="3362" spans="1:2" ht="12.5" x14ac:dyDescent="0.25">
      <c r="A3362" t="str">
        <f ca="1">IFERROR(__xludf.DUMMYFUNCTION("""COMPUTED_VALUE"""),"IMP-37")</f>
        <v>IMP-37</v>
      </c>
      <c r="B3362" t="str">
        <f ca="1">IFERROR(__xludf.DUMMYFUNCTION("""COMPUTED_VALUE"""),"RF-00000920-PAR")</f>
        <v>RF-00000920-PAR</v>
      </c>
    </row>
    <row r="3363" spans="1:2" ht="12.5" x14ac:dyDescent="0.25">
      <c r="A3363" t="str">
        <f ca="1">IFERROR(__xludf.DUMMYFUNCTION("""COMPUTED_VALUE"""),"IMP-38")</f>
        <v>IMP-38</v>
      </c>
      <c r="B3363" t="str">
        <f ca="1">IFERROR(__xludf.DUMMYFUNCTION("""COMPUTED_VALUE"""),"RF-00000921-PAR")</f>
        <v>RF-00000921-PAR</v>
      </c>
    </row>
    <row r="3364" spans="1:2" ht="12.5" x14ac:dyDescent="0.25">
      <c r="A3364" t="str">
        <f ca="1">IFERROR(__xludf.DUMMYFUNCTION("""COMPUTED_VALUE"""),"IMP-39")</f>
        <v>IMP-39</v>
      </c>
      <c r="B3364" t="str">
        <f ca="1">IFERROR(__xludf.DUMMYFUNCTION("""COMPUTED_VALUE"""),"RF-00000922-PAR")</f>
        <v>RF-00000922-PAR</v>
      </c>
    </row>
    <row r="3365" spans="1:2" ht="12.5" x14ac:dyDescent="0.25">
      <c r="A3365" t="str">
        <f ca="1">IFERROR(__xludf.DUMMYFUNCTION("""COMPUTED_VALUE"""),"IMP-4")</f>
        <v>IMP-4</v>
      </c>
      <c r="B3365" t="str">
        <f ca="1">IFERROR(__xludf.DUMMYFUNCTION("""COMPUTED_VALUE"""),"RF-00000887-PAR")</f>
        <v>RF-00000887-PAR</v>
      </c>
    </row>
    <row r="3366" spans="1:2" ht="12.5" x14ac:dyDescent="0.25">
      <c r="A3366" t="str">
        <f ca="1">IFERROR(__xludf.DUMMYFUNCTION("""COMPUTED_VALUE"""),"IMP-40")</f>
        <v>IMP-40</v>
      </c>
      <c r="B3366" t="str">
        <f ca="1">IFERROR(__xludf.DUMMYFUNCTION("""COMPUTED_VALUE"""),"RF-00000923-PAR")</f>
        <v>RF-00000923-PAR</v>
      </c>
    </row>
    <row r="3367" spans="1:2" ht="12.5" x14ac:dyDescent="0.25">
      <c r="A3367" t="str">
        <f ca="1">IFERROR(__xludf.DUMMYFUNCTION("""COMPUTED_VALUE"""),"IMP-41")</f>
        <v>IMP-41</v>
      </c>
      <c r="B3367" t="str">
        <f ca="1">IFERROR(__xludf.DUMMYFUNCTION("""COMPUTED_VALUE"""),"RF-00000924-PAR")</f>
        <v>RF-00000924-PAR</v>
      </c>
    </row>
    <row r="3368" spans="1:2" ht="12.5" x14ac:dyDescent="0.25">
      <c r="A3368" t="str">
        <f ca="1">IFERROR(__xludf.DUMMYFUNCTION("""COMPUTED_VALUE"""),"IMP-42")</f>
        <v>IMP-42</v>
      </c>
      <c r="B3368" t="str">
        <f ca="1">IFERROR(__xludf.DUMMYFUNCTION("""COMPUTED_VALUE"""),"RF-00000925-PAR")</f>
        <v>RF-00000925-PAR</v>
      </c>
    </row>
    <row r="3369" spans="1:2" ht="12.5" x14ac:dyDescent="0.25">
      <c r="A3369" t="str">
        <f ca="1">IFERROR(__xludf.DUMMYFUNCTION("""COMPUTED_VALUE"""),"IMP-5")</f>
        <v>IMP-5</v>
      </c>
      <c r="B3369" t="str">
        <f ca="1">IFERROR(__xludf.DUMMYFUNCTION("""COMPUTED_VALUE"""),"RF-00000888-PAR")</f>
        <v>RF-00000888-PAR</v>
      </c>
    </row>
    <row r="3370" spans="1:2" ht="12.5" x14ac:dyDescent="0.25">
      <c r="A3370" t="str">
        <f ca="1">IFERROR(__xludf.DUMMYFUNCTION("""COMPUTED_VALUE"""),"IMP-6")</f>
        <v>IMP-6</v>
      </c>
      <c r="B3370" t="str">
        <f ca="1">IFERROR(__xludf.DUMMYFUNCTION("""COMPUTED_VALUE"""),"RF-00000889-PAR")</f>
        <v>RF-00000889-PAR</v>
      </c>
    </row>
    <row r="3371" spans="1:2" ht="12.5" x14ac:dyDescent="0.25">
      <c r="A3371" t="str">
        <f ca="1">IFERROR(__xludf.DUMMYFUNCTION("""COMPUTED_VALUE"""),"IMP-7")</f>
        <v>IMP-7</v>
      </c>
      <c r="B3371" t="str">
        <f ca="1">IFERROR(__xludf.DUMMYFUNCTION("""COMPUTED_VALUE"""),"RF-00000890-PAR")</f>
        <v>RF-00000890-PAR</v>
      </c>
    </row>
    <row r="3372" spans="1:2" ht="12.5" x14ac:dyDescent="0.25">
      <c r="A3372" t="str">
        <f ca="1">IFERROR(__xludf.DUMMYFUNCTION("""COMPUTED_VALUE"""),"IMP-8")</f>
        <v>IMP-8</v>
      </c>
      <c r="B3372" t="str">
        <f ca="1">IFERROR(__xludf.DUMMYFUNCTION("""COMPUTED_VALUE"""),"RF-00000891-PAR")</f>
        <v>RF-00000891-PAR</v>
      </c>
    </row>
    <row r="3373" spans="1:2" ht="12.5" x14ac:dyDescent="0.25">
      <c r="A3373" t="str">
        <f ca="1">IFERROR(__xludf.DUMMYFUNCTION("""COMPUTED_VALUE"""),"IMP-9")</f>
        <v>IMP-9</v>
      </c>
      <c r="B3373" t="str">
        <f ca="1">IFERROR(__xludf.DUMMYFUNCTION("""COMPUTED_VALUE"""),"RF-00000892-PAR")</f>
        <v>RF-00000892-PAR</v>
      </c>
    </row>
    <row r="3374" spans="1:2" ht="12.5" x14ac:dyDescent="0.25">
      <c r="A3374" t="str">
        <f ca="1">IFERROR(__xludf.DUMMYFUNCTION("""COMPUTED_VALUE"""),"Inabenfide")</f>
        <v>Inabenfide</v>
      </c>
      <c r="B3374" t="str">
        <f ca="1">IFERROR(__xludf.DUMMYFUNCTION("""COMPUTED_VALUE"""),"RF-0750-001-PPP")</f>
        <v>RF-0750-001-PPP</v>
      </c>
    </row>
    <row r="3375" spans="1:2" ht="12.5" x14ac:dyDescent="0.25">
      <c r="A3375" t="str">
        <f ca="1">IFERROR(__xludf.DUMMYFUNCTION("""COMPUTED_VALUE"""),"Indenol-1,2,3,c,d-pyrene")</f>
        <v>Indenol-1,2,3,c,d-pyrene</v>
      </c>
      <c r="B3375" t="str">
        <f ca="1">IFERROR(__xludf.DUMMYFUNCTION("""COMPUTED_VALUE"""),"RF-00000061-ORG")</f>
        <v>RF-00000061-ORG</v>
      </c>
    </row>
    <row r="3376" spans="1:2" ht="12.5" x14ac:dyDescent="0.25">
      <c r="A3376" t="str">
        <f ca="1">IFERROR(__xludf.DUMMYFUNCTION("""COMPUTED_VALUE"""),"Indicine")</f>
        <v>Indicine</v>
      </c>
      <c r="B3376" t="str">
        <f ca="1">IFERROR(__xludf.DUMMYFUNCTION("""COMPUTED_VALUE"""),"RF-00000284-TOX")</f>
        <v>RF-00000284-TOX</v>
      </c>
    </row>
    <row r="3377" spans="1:2" ht="12.5" x14ac:dyDescent="0.25">
      <c r="A3377" t="str">
        <f ca="1">IFERROR(__xludf.DUMMYFUNCTION("""COMPUTED_VALUE"""),"Indigotine, Indigo carmine")</f>
        <v>Indigotine, Indigo carmine</v>
      </c>
      <c r="B3377" t="str">
        <f ca="1">IFERROR(__xludf.DUMMYFUNCTION("""COMPUTED_VALUE"""),"RF-00000159-ADD")</f>
        <v>RF-00000159-ADD</v>
      </c>
    </row>
    <row r="3378" spans="1:2" ht="12.5" x14ac:dyDescent="0.25">
      <c r="A3378" t="str">
        <f ca="1">IFERROR(__xludf.DUMMYFUNCTION("""COMPUTED_VALUE"""),"Indomethacin")</f>
        <v>Indomethacin</v>
      </c>
      <c r="B3378" t="str">
        <f ca="1">IFERROR(__xludf.DUMMYFUNCTION("""COMPUTED_VALUE"""),"RF-00000198-VET")</f>
        <v>RF-00000198-VET</v>
      </c>
    </row>
    <row r="3379" spans="1:2" ht="12.5" x14ac:dyDescent="0.25">
      <c r="A3379" t="str">
        <f ca="1">IFERROR(__xludf.DUMMYFUNCTION("""COMPUTED_VALUE"""),"Indoprofen")</f>
        <v>Indoprofen</v>
      </c>
      <c r="B3379" t="str">
        <f ca="1">IFERROR(__xludf.DUMMYFUNCTION("""COMPUTED_VALUE"""),"RF-00000233-VET")</f>
        <v>RF-00000233-VET</v>
      </c>
    </row>
    <row r="3380" spans="1:2" ht="12.5" x14ac:dyDescent="0.25">
      <c r="A3380" t="str">
        <f ca="1">IFERROR(__xludf.DUMMYFUNCTION("""COMPUTED_VALUE"""),"Indoxacarb as sum of the isomers S and R")</f>
        <v>Indoxacarb as sum of the isomers S and R</v>
      </c>
      <c r="B3380" t="str">
        <f ca="1">IFERROR(__xludf.DUMMYFUNCTION("""COMPUTED_VALUE"""),"RF-0251-001-PPP")</f>
        <v>RF-0251-001-PPP</v>
      </c>
    </row>
    <row r="3381" spans="1:2" ht="12.5" x14ac:dyDescent="0.25">
      <c r="A3381" t="str">
        <f ca="1">IFERROR(__xludf.DUMMYFUNCTION("""COMPUTED_VALUE"""),"Inhibitors")</f>
        <v>Inhibitors</v>
      </c>
      <c r="B3381" t="str">
        <f ca="1">IFERROR(__xludf.DUMMYFUNCTION("""COMPUTED_VALUE"""),"RF-00000585-VET")</f>
        <v>RF-00000585-VET</v>
      </c>
    </row>
    <row r="3382" spans="1:2" ht="12.5" x14ac:dyDescent="0.25">
      <c r="A3382" t="str">
        <f ca="1">IFERROR(__xludf.DUMMYFUNCTION("""COMPUTED_VALUE"""),"Inorganic Arsenic")</f>
        <v>Inorganic Arsenic</v>
      </c>
      <c r="B3382" t="str">
        <f ca="1">IFERROR(__xludf.DUMMYFUNCTION("""COMPUTED_VALUE"""),"RF-00000135-CHE")</f>
        <v>RF-00000135-CHE</v>
      </c>
    </row>
    <row r="3383" spans="1:2" ht="12.5" x14ac:dyDescent="0.25">
      <c r="A3383" t="str">
        <f ca="1">IFERROR(__xludf.DUMMYFUNCTION("""COMPUTED_VALUE"""),"Inorganic Chromium")</f>
        <v>Inorganic Chromium</v>
      </c>
      <c r="B3383" t="str">
        <f ca="1">IFERROR(__xludf.DUMMYFUNCTION("""COMPUTED_VALUE"""),"RF-00000155-CHE")</f>
        <v>RF-00000155-CHE</v>
      </c>
    </row>
    <row r="3384" spans="1:2" ht="12.5" x14ac:dyDescent="0.25">
      <c r="A3384" t="str">
        <f ca="1">IFERROR(__xludf.DUMMYFUNCTION("""COMPUTED_VALUE"""),"Inorganic mercury")</f>
        <v>Inorganic mercury</v>
      </c>
      <c r="B3384" t="str">
        <f ca="1">IFERROR(__xludf.DUMMYFUNCTION("""COMPUTED_VALUE"""),"RF-00000251-CHE")</f>
        <v>RF-00000251-CHE</v>
      </c>
    </row>
    <row r="3385" spans="1:2" ht="12.5" x14ac:dyDescent="0.25">
      <c r="A3385" t="str">
        <f ca="1">IFERROR(__xludf.DUMMYFUNCTION("""COMPUTED_VALUE"""),"Inorganic Selenium")</f>
        <v>Inorganic Selenium</v>
      </c>
      <c r="B3385" t="str">
        <f ca="1">IFERROR(__xludf.DUMMYFUNCTION("""COMPUTED_VALUE"""),"RF-00000187-CHE")</f>
        <v>RF-00000187-CHE</v>
      </c>
    </row>
    <row r="3386" spans="1:2" ht="12.5" x14ac:dyDescent="0.25">
      <c r="A3386" t="str">
        <f ca="1">IFERROR(__xludf.DUMMYFUNCTION("""COMPUTED_VALUE"""),"Inorganic tin")</f>
        <v>Inorganic tin</v>
      </c>
      <c r="B3386" t="str">
        <f ca="1">IFERROR(__xludf.DUMMYFUNCTION("""COMPUTED_VALUE"""),"RF-00000252-CHE")</f>
        <v>RF-00000252-CHE</v>
      </c>
    </row>
    <row r="3387" spans="1:2" ht="12.5" x14ac:dyDescent="0.25">
      <c r="A3387" t="str">
        <f ca="1">IFERROR(__xludf.DUMMYFUNCTION("""COMPUTED_VALUE"""),"Inosinic acid")</f>
        <v>Inosinic acid</v>
      </c>
      <c r="B3387" t="str">
        <f ca="1">IFERROR(__xludf.DUMMYFUNCTION("""COMPUTED_VALUE"""),"RF-00000160-ADD")</f>
        <v>RF-00000160-ADD</v>
      </c>
    </row>
    <row r="3388" spans="1:2" ht="12.5" x14ac:dyDescent="0.25">
      <c r="A3388" t="str">
        <f ca="1">IFERROR(__xludf.DUMMYFUNCTION("""COMPUTED_VALUE"""),"inositol")</f>
        <v>inositol</v>
      </c>
      <c r="B3388" t="str">
        <f ca="1">IFERROR(__xludf.DUMMYFUNCTION("""COMPUTED_VALUE"""),"RF-00000308-NTR")</f>
        <v>RF-00000308-NTR</v>
      </c>
    </row>
    <row r="3389" spans="1:2" ht="12.5" x14ac:dyDescent="0.25">
      <c r="A3389" t="str">
        <f ca="1">IFERROR(__xludf.DUMMYFUNCTION("""COMPUTED_VALUE"""),"Integerrimine")</f>
        <v>Integerrimine</v>
      </c>
      <c r="B3389" t="str">
        <f ca="1">IFERROR(__xludf.DUMMYFUNCTION("""COMPUTED_VALUE"""),"RF-00000285-TOX")</f>
        <v>RF-00000285-TOX</v>
      </c>
    </row>
    <row r="3390" spans="1:2" ht="12.5" x14ac:dyDescent="0.25">
      <c r="A3390" t="str">
        <f ca="1">IFERROR(__xludf.DUMMYFUNCTION("""COMPUTED_VALUE"""),"Integerrimine-N-oxide")</f>
        <v>Integerrimine-N-oxide</v>
      </c>
      <c r="B3390" t="str">
        <f ca="1">IFERROR(__xludf.DUMMYFUNCTION("""COMPUTED_VALUE"""),"RF-00000426-TOX")</f>
        <v>RF-00000426-TOX</v>
      </c>
    </row>
    <row r="3391" spans="1:2" ht="12.5" x14ac:dyDescent="0.25">
      <c r="A3391" t="str">
        <f ca="1">IFERROR(__xludf.DUMMYFUNCTION("""COMPUTED_VALUE"""),"Intermedine")</f>
        <v>Intermedine</v>
      </c>
      <c r="B3391" t="str">
        <f ca="1">IFERROR(__xludf.DUMMYFUNCTION("""COMPUTED_VALUE"""),"RF-00000227-TOX")</f>
        <v>RF-00000227-TOX</v>
      </c>
    </row>
    <row r="3392" spans="1:2" ht="12.5" x14ac:dyDescent="0.25">
      <c r="A3392" t="str">
        <f ca="1">IFERROR(__xludf.DUMMYFUNCTION("""COMPUTED_VALUE"""),"inulin")</f>
        <v>inulin</v>
      </c>
      <c r="B3392" t="str">
        <f ca="1">IFERROR(__xludf.DUMMYFUNCTION("""COMPUTED_VALUE"""),"RF-00000309-NTR")</f>
        <v>RF-00000309-NTR</v>
      </c>
    </row>
    <row r="3393" spans="1:2" ht="12.5" x14ac:dyDescent="0.25">
      <c r="A3393" t="str">
        <f ca="1">IFERROR(__xludf.DUMMYFUNCTION("""COMPUTED_VALUE"""),"Invertase")</f>
        <v>Invertase</v>
      </c>
      <c r="B3393" t="str">
        <f ca="1">IFERROR(__xludf.DUMMYFUNCTION("""COMPUTED_VALUE"""),"RF-00000161-ADD")</f>
        <v>RF-00000161-ADD</v>
      </c>
    </row>
    <row r="3394" spans="1:2" ht="12.5" x14ac:dyDescent="0.25">
      <c r="A3394" t="str">
        <f ca="1">IFERROR(__xludf.DUMMYFUNCTION("""COMPUTED_VALUE"""),"Iodates")</f>
        <v>Iodates</v>
      </c>
      <c r="B3394" t="str">
        <f ca="1">IFERROR(__xludf.DUMMYFUNCTION("""COMPUTED_VALUE"""),"RF-00000049-CHE")</f>
        <v>RF-00000049-CHE</v>
      </c>
    </row>
    <row r="3395" spans="1:2" ht="12.5" x14ac:dyDescent="0.25">
      <c r="A3395" t="str">
        <f ca="1">IFERROR(__xludf.DUMMYFUNCTION("""COMPUTED_VALUE"""),"Iode 131")</f>
        <v>Iode 131</v>
      </c>
      <c r="B3395" t="str">
        <f ca="1">IFERROR(__xludf.DUMMYFUNCTION("""COMPUTED_VALUE"""),"RF-00000007-RAD")</f>
        <v>RF-00000007-RAD</v>
      </c>
    </row>
    <row r="3396" spans="1:2" ht="12.5" x14ac:dyDescent="0.25">
      <c r="A3396" t="str">
        <f ca="1">IFERROR(__xludf.DUMMYFUNCTION("""COMPUTED_VALUE"""),"iodide")</f>
        <v>iodide</v>
      </c>
      <c r="B3396" t="str">
        <f ca="1">IFERROR(__xludf.DUMMYFUNCTION("""COMPUTED_VALUE"""),"RF-00000310-NTR")</f>
        <v>RF-00000310-NTR</v>
      </c>
    </row>
    <row r="3397" spans="1:2" ht="12.5" x14ac:dyDescent="0.25">
      <c r="A3397" t="str">
        <f ca="1">IFERROR(__xludf.DUMMYFUNCTION("""COMPUTED_VALUE"""),"Iodine")</f>
        <v>Iodine</v>
      </c>
      <c r="B3397" t="str">
        <f ca="1">IFERROR(__xludf.DUMMYFUNCTION("""COMPUTED_VALUE"""),"RF-00000050-CHE")</f>
        <v>RF-00000050-CHE</v>
      </c>
    </row>
    <row r="3398" spans="1:2" ht="12.5" x14ac:dyDescent="0.25">
      <c r="A3398" t="str">
        <f ca="1">IFERROR(__xludf.DUMMYFUNCTION("""COMPUTED_VALUE"""),"Iodine and derivatives")</f>
        <v>Iodine and derivatives</v>
      </c>
      <c r="B3398" t="str">
        <f ca="1">IFERROR(__xludf.DUMMYFUNCTION("""COMPUTED_VALUE"""),"RF-00000048-CHE")</f>
        <v>RF-00000048-CHE</v>
      </c>
    </row>
    <row r="3399" spans="1:2" ht="12.5" x14ac:dyDescent="0.25">
      <c r="A3399" t="str">
        <f ca="1">IFERROR(__xludf.DUMMYFUNCTION("""COMPUTED_VALUE"""),"Iodosulfuron-methyl (iodosulfuron-methyl including salts, expressed as iodosulfuron-methyl)")</f>
        <v>Iodosulfuron-methyl (iodosulfuron-methyl including salts, expressed as iodosulfuron-methyl)</v>
      </c>
      <c r="B3399" t="str">
        <f ca="1">IFERROR(__xludf.DUMMYFUNCTION("""COMPUTED_VALUE"""),"RF-0252-001-PPP")</f>
        <v>RF-0252-001-PPP</v>
      </c>
    </row>
    <row r="3400" spans="1:2" ht="12.5" x14ac:dyDescent="0.25">
      <c r="A3400" t="str">
        <f ca="1">IFERROR(__xludf.DUMMYFUNCTION("""COMPUTED_VALUE"""),"Ionomycin calcium")</f>
        <v>Ionomycin calcium</v>
      </c>
      <c r="B3400" t="str">
        <f ca="1">IFERROR(__xludf.DUMMYFUNCTION("""COMPUTED_VALUE"""),"RF-00000062-VET")</f>
        <v>RF-00000062-VET</v>
      </c>
    </row>
    <row r="3401" spans="1:2" ht="12.5" x14ac:dyDescent="0.25">
      <c r="A3401" t="str">
        <f ca="1">IFERROR(__xludf.DUMMYFUNCTION("""COMPUTED_VALUE"""),"Ionophores")</f>
        <v>Ionophores</v>
      </c>
      <c r="B3401" t="str">
        <f ca="1">IFERROR(__xludf.DUMMYFUNCTION("""COMPUTED_VALUE"""),"RF-00000746-VET")</f>
        <v>RF-00000746-VET</v>
      </c>
    </row>
    <row r="3402" spans="1:2" ht="12.5" x14ac:dyDescent="0.25">
      <c r="A3402" t="str">
        <f ca="1">IFERROR(__xludf.DUMMYFUNCTION("""COMPUTED_VALUE"""),"Ioxynil")</f>
        <v>Ioxynil</v>
      </c>
      <c r="B3402" t="str">
        <f ca="1">IFERROR(__xludf.DUMMYFUNCTION("""COMPUTED_VALUE"""),"RF-0253-002-PPP")</f>
        <v>RF-0253-002-PPP</v>
      </c>
    </row>
    <row r="3403" spans="1:2" ht="12.5" x14ac:dyDescent="0.25">
      <c r="A3403" t="str">
        <f ca="1">IFERROR(__xludf.DUMMYFUNCTION("""COMPUTED_VALUE"""),"Ioxynil octanoate")</f>
        <v>Ioxynil octanoate</v>
      </c>
      <c r="B3403" t="str">
        <f ca="1">IFERROR(__xludf.DUMMYFUNCTION("""COMPUTED_VALUE"""),"RF-0253-003-PPP")</f>
        <v>RF-0253-003-PPP</v>
      </c>
    </row>
    <row r="3404" spans="1:2" ht="12.5" x14ac:dyDescent="0.25">
      <c r="A3404" t="str">
        <f ca="1">IFERROR(__xludf.DUMMYFUNCTION("""COMPUTED_VALUE"""),"Ioxynil, including its esters expressed as ioxynil")</f>
        <v>Ioxynil, including its esters expressed as ioxynil</v>
      </c>
      <c r="B3404" t="str">
        <f ca="1">IFERROR(__xludf.DUMMYFUNCTION("""COMPUTED_VALUE"""),"RF-0253-001-PPP")</f>
        <v>RF-0253-001-PPP</v>
      </c>
    </row>
    <row r="3405" spans="1:2" ht="12.5" x14ac:dyDescent="0.25">
      <c r="A3405" t="str">
        <f ca="1">IFERROR(__xludf.DUMMYFUNCTION("""COMPUTED_VALUE"""),"Ipconazole")</f>
        <v>Ipconazole</v>
      </c>
      <c r="B3405" t="str">
        <f ca="1">IFERROR(__xludf.DUMMYFUNCTION("""COMPUTED_VALUE"""),"RF-0254-001-PPP")</f>
        <v>RF-0254-001-PPP</v>
      </c>
    </row>
    <row r="3406" spans="1:2" ht="12.5" x14ac:dyDescent="0.25">
      <c r="A3406" t="str">
        <f ca="1">IFERROR(__xludf.DUMMYFUNCTION("""COMPUTED_VALUE"""),"IPOH (Hydroxyipronidazole)")</f>
        <v>IPOH (Hydroxyipronidazole)</v>
      </c>
      <c r="B3406" t="str">
        <f ca="1">IFERROR(__xludf.DUMMYFUNCTION("""COMPUTED_VALUE"""),"RF-00000069-VET")</f>
        <v>RF-00000069-VET</v>
      </c>
    </row>
    <row r="3407" spans="1:2" ht="12.5" x14ac:dyDescent="0.25">
      <c r="A3407" t="str">
        <f ca="1">IFERROR(__xludf.DUMMYFUNCTION("""COMPUTED_VALUE"""),"Iprobenfos")</f>
        <v>Iprobenfos</v>
      </c>
      <c r="B3407" t="str">
        <f ca="1">IFERROR(__xludf.DUMMYFUNCTION("""COMPUTED_VALUE"""),"RF-0751-001-PPP")</f>
        <v>RF-0751-001-PPP</v>
      </c>
    </row>
    <row r="3408" spans="1:2" ht="12.5" x14ac:dyDescent="0.25">
      <c r="A3408" t="str">
        <f ca="1">IFERROR(__xludf.DUMMYFUNCTION("""COMPUTED_VALUE"""),"Iprodione")</f>
        <v>Iprodione</v>
      </c>
      <c r="B3408" t="str">
        <f ca="1">IFERROR(__xludf.DUMMYFUNCTION("""COMPUTED_VALUE"""),"RF-0255-001-PPP")</f>
        <v>RF-0255-001-PPP</v>
      </c>
    </row>
    <row r="3409" spans="1:2" ht="12.5" x14ac:dyDescent="0.25">
      <c r="A3409" t="str">
        <f ca="1">IFERROR(__xludf.DUMMYFUNCTION("""COMPUTED_VALUE"""),"Ipronidazole")</f>
        <v>Ipronidazole</v>
      </c>
      <c r="B3409" t="str">
        <f ca="1">IFERROR(__xludf.DUMMYFUNCTION("""COMPUTED_VALUE"""),"RF-00000072-VET")</f>
        <v>RF-00000072-VET</v>
      </c>
    </row>
    <row r="3410" spans="1:2" ht="12.5" x14ac:dyDescent="0.25">
      <c r="A3410" t="str">
        <f ca="1">IFERROR(__xludf.DUMMYFUNCTION("""COMPUTED_VALUE"""),"Iprovalicarb")</f>
        <v>Iprovalicarb</v>
      </c>
      <c r="B3410" t="str">
        <f ca="1">IFERROR(__xludf.DUMMYFUNCTION("""COMPUTED_VALUE"""),"RF-00000111-VET")</f>
        <v>RF-00000111-VET</v>
      </c>
    </row>
    <row r="3411" spans="1:2" ht="12.5" x14ac:dyDescent="0.25">
      <c r="A3411" t="str">
        <f ca="1">IFERROR(__xludf.DUMMYFUNCTION("""COMPUTED_VALUE"""),"Iprovalicarb")</f>
        <v>Iprovalicarb</v>
      </c>
      <c r="B3411" t="str">
        <f ca="1">IFERROR(__xludf.DUMMYFUNCTION("""COMPUTED_VALUE"""),"RF-0256-001-PPP")</f>
        <v>RF-0256-001-PPP</v>
      </c>
    </row>
    <row r="3412" spans="1:2" ht="12.5" x14ac:dyDescent="0.25">
      <c r="A3412" t="str">
        <f ca="1">IFERROR(__xludf.DUMMYFUNCTION("""COMPUTED_VALUE"""),"Iron (Fe)")</f>
        <v>Iron (Fe)</v>
      </c>
      <c r="B3412" t="str">
        <f ca="1">IFERROR(__xludf.DUMMYFUNCTION("""COMPUTED_VALUE"""),"RF-00000164-CHE")</f>
        <v>RF-00000164-CHE</v>
      </c>
    </row>
    <row r="3413" spans="1:2" ht="12.5" x14ac:dyDescent="0.25">
      <c r="A3413" t="str">
        <f ca="1">IFERROR(__xludf.DUMMYFUNCTION("""COMPUTED_VALUE"""),"Iron and derivatives")</f>
        <v>Iron and derivatives</v>
      </c>
      <c r="B3413" t="str">
        <f ca="1">IFERROR(__xludf.DUMMYFUNCTION("""COMPUTED_VALUE"""),"RF-00000163-CHE")</f>
        <v>RF-00000163-CHE</v>
      </c>
    </row>
    <row r="3414" spans="1:2" ht="12.5" x14ac:dyDescent="0.25">
      <c r="A3414" t="str">
        <f ca="1">IFERROR(__xludf.DUMMYFUNCTION("""COMPUTED_VALUE"""),"Iron oxides and hydroxides")</f>
        <v>Iron oxides and hydroxides</v>
      </c>
      <c r="B3414" t="str">
        <f ca="1">IFERROR(__xludf.DUMMYFUNCTION("""COMPUTED_VALUE"""),"RF-00000162-ADD")</f>
        <v>RF-00000162-ADD</v>
      </c>
    </row>
    <row r="3415" spans="1:2" ht="12.5" x14ac:dyDescent="0.25">
      <c r="A3415" t="str">
        <f ca="1">IFERROR(__xludf.DUMMYFUNCTION("""COMPUTED_VALUE"""),"iron, haem")</f>
        <v>iron, haem</v>
      </c>
      <c r="B3415" t="str">
        <f ca="1">IFERROR(__xludf.DUMMYFUNCTION("""COMPUTED_VALUE"""),"RF-00000311-NTR")</f>
        <v>RF-00000311-NTR</v>
      </c>
    </row>
    <row r="3416" spans="1:2" ht="12.5" x14ac:dyDescent="0.25">
      <c r="A3416" t="str">
        <f ca="1">IFERROR(__xludf.DUMMYFUNCTION("""COMPUTED_VALUE"""),"iron, non-haem")</f>
        <v>iron, non-haem</v>
      </c>
      <c r="B3416" t="str">
        <f ca="1">IFERROR(__xludf.DUMMYFUNCTION("""COMPUTED_VALUE"""),"RF-00000312-NTR")</f>
        <v>RF-00000312-NTR</v>
      </c>
    </row>
    <row r="3417" spans="1:2" ht="12.5" x14ac:dyDescent="0.25">
      <c r="A3417" t="str">
        <f ca="1">IFERROR(__xludf.DUMMYFUNCTION("""COMPUTED_VALUE"""),"Isatidine")</f>
        <v>Isatidine</v>
      </c>
      <c r="B3417" t="str">
        <f ca="1">IFERROR(__xludf.DUMMYFUNCTION("""COMPUTED_VALUE"""),"RF-00000286-TOX")</f>
        <v>RF-00000286-TOX</v>
      </c>
    </row>
    <row r="3418" spans="1:2" ht="12.5" x14ac:dyDescent="0.25">
      <c r="A3418" t="str">
        <f ca="1">IFERROR(__xludf.DUMMYFUNCTION("""COMPUTED_VALUE"""),"Isazofos")</f>
        <v>Isazofos</v>
      </c>
      <c r="B3418" t="str">
        <f ca="1">IFERROR(__xludf.DUMMYFUNCTION("""COMPUTED_VALUE"""),"RF-0752-001-PPP")</f>
        <v>RF-0752-001-PPP</v>
      </c>
    </row>
    <row r="3419" spans="1:2" ht="12.5" x14ac:dyDescent="0.25">
      <c r="A3419" t="str">
        <f ca="1">IFERROR(__xludf.DUMMYFUNCTION("""COMPUTED_VALUE"""),"Iso-Acetylechimidine")</f>
        <v>Iso-Acetylechimidine</v>
      </c>
      <c r="B3419" t="str">
        <f ca="1">IFERROR(__xludf.DUMMYFUNCTION("""COMPUTED_VALUE"""),"RF-00000396-TOX")</f>
        <v>RF-00000396-TOX</v>
      </c>
    </row>
    <row r="3420" spans="1:2" ht="12.5" x14ac:dyDescent="0.25">
      <c r="A3420" t="str">
        <f ca="1">IFERROR(__xludf.DUMMYFUNCTION("""COMPUTED_VALUE"""),"Iso-Acetylechimidine-N-oxide")</f>
        <v>Iso-Acetylechimidine-N-oxide</v>
      </c>
      <c r="B3420" t="str">
        <f ca="1">IFERROR(__xludf.DUMMYFUNCTION("""COMPUTED_VALUE"""),"RF-00000397-TOX")</f>
        <v>RF-00000397-TOX</v>
      </c>
    </row>
    <row r="3421" spans="1:2" ht="12.5" x14ac:dyDescent="0.25">
      <c r="A3421" t="str">
        <f ca="1">IFERROR(__xludf.DUMMYFUNCTION("""COMPUTED_VALUE"""),"Iso-Acetyllycopsamine")</f>
        <v>Iso-Acetyllycopsamine</v>
      </c>
      <c r="B3421" t="str">
        <f ca="1">IFERROR(__xludf.DUMMYFUNCTION("""COMPUTED_VALUE"""),"RF-00000421-TOX")</f>
        <v>RF-00000421-TOX</v>
      </c>
    </row>
    <row r="3422" spans="1:2" ht="12.5" x14ac:dyDescent="0.25">
      <c r="A3422" t="str">
        <f ca="1">IFERROR(__xludf.DUMMYFUNCTION("""COMPUTED_VALUE"""),"Iso-Acetyllycopsamine-N-oxide")</f>
        <v>Iso-Acetyllycopsamine-N-oxide</v>
      </c>
      <c r="B3422" t="str">
        <f ca="1">IFERROR(__xludf.DUMMYFUNCTION("""COMPUTED_VALUE"""),"RF-00000427-TOX")</f>
        <v>RF-00000427-TOX</v>
      </c>
    </row>
    <row r="3423" spans="1:2" ht="12.5" x14ac:dyDescent="0.25">
      <c r="A3423" t="str">
        <f ca="1">IFERROR(__xludf.DUMMYFUNCTION("""COMPUTED_VALUE"""),"iso-DA A")</f>
        <v>iso-DA A</v>
      </c>
      <c r="B3423" t="str">
        <f ca="1">IFERROR(__xludf.DUMMYFUNCTION("""COMPUTED_VALUE"""),"RF-00000056-TOX")</f>
        <v>RF-00000056-TOX</v>
      </c>
    </row>
    <row r="3424" spans="1:2" ht="12.5" x14ac:dyDescent="0.25">
      <c r="A3424" t="str">
        <f ca="1">IFERROR(__xludf.DUMMYFUNCTION("""COMPUTED_VALUE"""),"iso-DA B")</f>
        <v>iso-DA B</v>
      </c>
      <c r="B3424" t="str">
        <f ca="1">IFERROR(__xludf.DUMMYFUNCTION("""COMPUTED_VALUE"""),"RF-00000057-TOX")</f>
        <v>RF-00000057-TOX</v>
      </c>
    </row>
    <row r="3425" spans="1:2" ht="12.5" x14ac:dyDescent="0.25">
      <c r="A3425" t="str">
        <f ca="1">IFERROR(__xludf.DUMMYFUNCTION("""COMPUTED_VALUE"""),"iso-DA C")</f>
        <v>iso-DA C</v>
      </c>
      <c r="B3425" t="str">
        <f ca="1">IFERROR(__xludf.DUMMYFUNCTION("""COMPUTED_VALUE"""),"RF-00000058-TOX")</f>
        <v>RF-00000058-TOX</v>
      </c>
    </row>
    <row r="3426" spans="1:2" ht="12.5" x14ac:dyDescent="0.25">
      <c r="A3426" t="str">
        <f ca="1">IFERROR(__xludf.DUMMYFUNCTION("""COMPUTED_VALUE"""),"iso-DA D")</f>
        <v>iso-DA D</v>
      </c>
      <c r="B3426" t="str">
        <f ca="1">IFERROR(__xludf.DUMMYFUNCTION("""COMPUTED_VALUE"""),"RF-00000059-TOX")</f>
        <v>RF-00000059-TOX</v>
      </c>
    </row>
    <row r="3427" spans="1:2" ht="12.5" x14ac:dyDescent="0.25">
      <c r="A3427" t="str">
        <f ca="1">IFERROR(__xludf.DUMMYFUNCTION("""COMPUTED_VALUE"""),"iso-DA E")</f>
        <v>iso-DA E</v>
      </c>
      <c r="B3427" t="str">
        <f ca="1">IFERROR(__xludf.DUMMYFUNCTION("""COMPUTED_VALUE"""),"RF-00000060-TOX")</f>
        <v>RF-00000060-TOX</v>
      </c>
    </row>
    <row r="3428" spans="1:2" ht="12.5" x14ac:dyDescent="0.25">
      <c r="A3428" t="str">
        <f ca="1">IFERROR(__xludf.DUMMYFUNCTION("""COMPUTED_VALUE"""),"iso-DA F")</f>
        <v>iso-DA F</v>
      </c>
      <c r="B3428" t="str">
        <f ca="1">IFERROR(__xludf.DUMMYFUNCTION("""COMPUTED_VALUE"""),"RF-00000061-TOX")</f>
        <v>RF-00000061-TOX</v>
      </c>
    </row>
    <row r="3429" spans="1:2" ht="12.5" x14ac:dyDescent="0.25">
      <c r="A3429" t="str">
        <f ca="1">IFERROR(__xludf.DUMMYFUNCTION("""COMPUTED_VALUE"""),"iso-DA G")</f>
        <v>iso-DA G</v>
      </c>
      <c r="B3429" t="str">
        <f ca="1">IFERROR(__xludf.DUMMYFUNCTION("""COMPUTED_VALUE"""),"RF-00000062-TOX")</f>
        <v>RF-00000062-TOX</v>
      </c>
    </row>
    <row r="3430" spans="1:2" ht="12.5" x14ac:dyDescent="0.25">
      <c r="A3430" t="str">
        <f ca="1">IFERROR(__xludf.DUMMYFUNCTION("""COMPUTED_VALUE"""),"iso-DA H")</f>
        <v>iso-DA H</v>
      </c>
      <c r="B3430" t="str">
        <f ca="1">IFERROR(__xludf.DUMMYFUNCTION("""COMPUTED_VALUE"""),"RF-00000063-TOX")</f>
        <v>RF-00000063-TOX</v>
      </c>
    </row>
    <row r="3431" spans="1:2" ht="12.5" x14ac:dyDescent="0.25">
      <c r="A3431" t="str">
        <f ca="1">IFERROR(__xludf.DUMMYFUNCTION("""COMPUTED_VALUE"""),"Iso-Desacetylechimidine")</f>
        <v>Iso-Desacetylechimidine</v>
      </c>
      <c r="B3431" t="str">
        <f ca="1">IFERROR(__xludf.DUMMYFUNCTION("""COMPUTED_VALUE"""),"RF-00000398-TOX")</f>
        <v>RF-00000398-TOX</v>
      </c>
    </row>
    <row r="3432" spans="1:2" ht="12.5" x14ac:dyDescent="0.25">
      <c r="A3432" t="str">
        <f ca="1">IFERROR(__xludf.DUMMYFUNCTION("""COMPUTED_VALUE"""),"Iso-Desacetylechimidine-N-oxide")</f>
        <v>Iso-Desacetylechimidine-N-oxide</v>
      </c>
      <c r="B3432" t="str">
        <f ca="1">IFERROR(__xludf.DUMMYFUNCTION("""COMPUTED_VALUE"""),"RF-00000399-TOX")</f>
        <v>RF-00000399-TOX</v>
      </c>
    </row>
    <row r="3433" spans="1:2" ht="12.5" x14ac:dyDescent="0.25">
      <c r="A3433" t="str">
        <f ca="1">IFERROR(__xludf.DUMMYFUNCTION("""COMPUTED_VALUE"""),"Iso-Echimidine")</f>
        <v>Iso-Echimidine</v>
      </c>
      <c r="B3433" t="str">
        <f ca="1">IFERROR(__xludf.DUMMYFUNCTION("""COMPUTED_VALUE"""),"RF-00000423-TOX")</f>
        <v>RF-00000423-TOX</v>
      </c>
    </row>
    <row r="3434" spans="1:2" ht="12.5" x14ac:dyDescent="0.25">
      <c r="A3434" t="str">
        <f ca="1">IFERROR(__xludf.DUMMYFUNCTION("""COMPUTED_VALUE"""),"Iso-Echimidine-N-oxide")</f>
        <v>Iso-Echimidine-N-oxide</v>
      </c>
      <c r="B3434" t="str">
        <f ca="1">IFERROR(__xludf.DUMMYFUNCTION("""COMPUTED_VALUE"""),"RF-00000400-TOX")</f>
        <v>RF-00000400-TOX</v>
      </c>
    </row>
    <row r="3435" spans="1:2" ht="12.5" x14ac:dyDescent="0.25">
      <c r="A3435" t="str">
        <f ca="1">IFERROR(__xludf.DUMMYFUNCTION("""COMPUTED_VALUE"""),"Iso-Lycopsamine")</f>
        <v>Iso-Lycopsamine</v>
      </c>
      <c r="B3435" t="str">
        <f ca="1">IFERROR(__xludf.DUMMYFUNCTION("""COMPUTED_VALUE"""),"RF-00000422-TOX")</f>
        <v>RF-00000422-TOX</v>
      </c>
    </row>
    <row r="3436" spans="1:2" ht="12.5" x14ac:dyDescent="0.25">
      <c r="A3436" t="str">
        <f ca="1">IFERROR(__xludf.DUMMYFUNCTION("""COMPUTED_VALUE"""),"Iso-Lycopsamine-N-oxide")</f>
        <v>Iso-Lycopsamine-N-oxide</v>
      </c>
      <c r="B3436" t="str">
        <f ca="1">IFERROR(__xludf.DUMMYFUNCTION("""COMPUTED_VALUE"""),"RF-00000401-TOX")</f>
        <v>RF-00000401-TOX</v>
      </c>
    </row>
    <row r="3437" spans="1:2" ht="12.5" x14ac:dyDescent="0.25">
      <c r="A3437" t="str">
        <f ca="1">IFERROR(__xludf.DUMMYFUNCTION("""COMPUTED_VALUE"""),"Isoamylamine")</f>
        <v>Isoamylamine</v>
      </c>
      <c r="B3437" t="str">
        <f ca="1">IFERROR(__xludf.DUMMYFUNCTION("""COMPUTED_VALUE"""),"RF-00000476-ORG")</f>
        <v>RF-00000476-ORG</v>
      </c>
    </row>
    <row r="3438" spans="1:2" ht="12.5" x14ac:dyDescent="0.25">
      <c r="A3438" t="str">
        <f ca="1">IFERROR(__xludf.DUMMYFUNCTION("""COMPUTED_VALUE"""),"Isobenzan")</f>
        <v>Isobenzan</v>
      </c>
      <c r="B3438" t="str">
        <f ca="1">IFERROR(__xludf.DUMMYFUNCTION("""COMPUTED_VALUE"""),"RF-0998-001-PPP")</f>
        <v>RF-0998-001-PPP</v>
      </c>
    </row>
    <row r="3439" spans="1:2" ht="12.5" x14ac:dyDescent="0.25">
      <c r="A3439" t="str">
        <f ca="1">IFERROR(__xludf.DUMMYFUNCTION("""COMPUTED_VALUE"""),"Isobutane")</f>
        <v>Isobutane</v>
      </c>
      <c r="B3439" t="str">
        <f ca="1">IFERROR(__xludf.DUMMYFUNCTION("""COMPUTED_VALUE"""),"RF-00000163-ADD")</f>
        <v>RF-00000163-ADD</v>
      </c>
    </row>
    <row r="3440" spans="1:2" ht="12.5" x14ac:dyDescent="0.25">
      <c r="A3440" t="str">
        <f ca="1">IFERROR(__xludf.DUMMYFUNCTION("""COMPUTED_VALUE"""),"Isobutylidenediurea")</f>
        <v>Isobutylidenediurea</v>
      </c>
      <c r="B3440" t="str">
        <f ca="1">IFERROR(__xludf.DUMMYFUNCTION("""COMPUTED_VALUE"""),"RF-00000109-CHE")</f>
        <v>RF-00000109-CHE</v>
      </c>
    </row>
    <row r="3441" spans="1:2" ht="12.5" x14ac:dyDescent="0.25">
      <c r="A3441" t="str">
        <f ca="1">IFERROR(__xludf.DUMMYFUNCTION("""COMPUTED_VALUE"""),"Isocarbamid")</f>
        <v>Isocarbamid</v>
      </c>
      <c r="B3441" t="str">
        <f ca="1">IFERROR(__xludf.DUMMYFUNCTION("""COMPUTED_VALUE"""),"RF-0753-001-PPP")</f>
        <v>RF-0753-001-PPP</v>
      </c>
    </row>
    <row r="3442" spans="1:2" ht="12.5" x14ac:dyDescent="0.25">
      <c r="A3442" t="str">
        <f ca="1">IFERROR(__xludf.DUMMYFUNCTION("""COMPUTED_VALUE"""),"Isocarbophos")</f>
        <v>Isocarbophos</v>
      </c>
      <c r="B3442" t="str">
        <f ca="1">IFERROR(__xludf.DUMMYFUNCTION("""COMPUTED_VALUE"""),"RF-0754-001-PPP")</f>
        <v>RF-0754-001-PPP</v>
      </c>
    </row>
    <row r="3443" spans="1:2" ht="12.5" x14ac:dyDescent="0.25">
      <c r="A3443" t="str">
        <f ca="1">IFERROR(__xludf.DUMMYFUNCTION("""COMPUTED_VALUE"""),"isocitric acid")</f>
        <v>isocitric acid</v>
      </c>
      <c r="B3443" t="str">
        <f ca="1">IFERROR(__xludf.DUMMYFUNCTION("""COMPUTED_VALUE"""),"RF-00000313-NTR")</f>
        <v>RF-00000313-NTR</v>
      </c>
    </row>
    <row r="3444" spans="1:2" ht="12.5" x14ac:dyDescent="0.25">
      <c r="A3444" t="str">
        <f ca="1">IFERROR(__xludf.DUMMYFUNCTION("""COMPUTED_VALUE"""),"Isocyanates")</f>
        <v>Isocyanates</v>
      </c>
      <c r="B3444" t="str">
        <f ca="1">IFERROR(__xludf.DUMMYFUNCTION("""COMPUTED_VALUE"""),"RF-00000023-CHE")</f>
        <v>RF-00000023-CHE</v>
      </c>
    </row>
    <row r="3445" spans="1:2" ht="12.5" x14ac:dyDescent="0.25">
      <c r="A3445" t="str">
        <f ca="1">IFERROR(__xludf.DUMMYFUNCTION("""COMPUTED_VALUE"""),"Isodomoic acids")</f>
        <v>Isodomoic acids</v>
      </c>
      <c r="B3445" t="str">
        <f ca="1">IFERROR(__xludf.DUMMYFUNCTION("""COMPUTED_VALUE"""),"RF-00000055-TOX")</f>
        <v>RF-00000055-TOX</v>
      </c>
    </row>
    <row r="3446" spans="1:2" ht="12.5" x14ac:dyDescent="0.25">
      <c r="A3446" t="str">
        <f ca="1">IFERROR(__xludf.DUMMYFUNCTION("""COMPUTED_VALUE"""),"Isodrin")</f>
        <v>Isodrin</v>
      </c>
      <c r="B3446" t="str">
        <f ca="1">IFERROR(__xludf.DUMMYFUNCTION("""COMPUTED_VALUE"""),"RF-0755-001-PPP")</f>
        <v>RF-0755-001-PPP</v>
      </c>
    </row>
    <row r="3447" spans="1:2" ht="12.5" x14ac:dyDescent="0.25">
      <c r="A3447" t="str">
        <f ca="1">IFERROR(__xludf.DUMMYFUNCTION("""COMPUTED_VALUE"""),"Isofenphos")</f>
        <v>Isofenphos</v>
      </c>
      <c r="B3447" t="str">
        <f ca="1">IFERROR(__xludf.DUMMYFUNCTION("""COMPUTED_VALUE"""),"RF-0756-001-PPP")</f>
        <v>RF-0756-001-PPP</v>
      </c>
    </row>
    <row r="3448" spans="1:2" ht="12.5" x14ac:dyDescent="0.25">
      <c r="A3448" t="str">
        <f ca="1">IFERROR(__xludf.DUMMYFUNCTION("""COMPUTED_VALUE"""),"Isofenphos (sum)")</f>
        <v>Isofenphos (sum)</v>
      </c>
      <c r="B3448" t="str">
        <f ca="1">IFERROR(__xludf.DUMMYFUNCTION("""COMPUTED_VALUE"""),"RF-0757-001-PPP")</f>
        <v>RF-0757-001-PPP</v>
      </c>
    </row>
    <row r="3449" spans="1:2" ht="12.5" x14ac:dyDescent="0.25">
      <c r="A3449" t="str">
        <f ca="1">IFERROR(__xludf.DUMMYFUNCTION("""COMPUTED_VALUE"""),"Isofenphos-methyl")</f>
        <v>Isofenphos-methyl</v>
      </c>
      <c r="B3449" t="str">
        <f ca="1">IFERROR(__xludf.DUMMYFUNCTION("""COMPUTED_VALUE"""),"RF-0758-001-PPP")</f>
        <v>RF-0758-001-PPP</v>
      </c>
    </row>
    <row r="3450" spans="1:2" ht="12.5" x14ac:dyDescent="0.25">
      <c r="A3450" t="str">
        <f ca="1">IFERROR(__xludf.DUMMYFUNCTION("""COMPUTED_VALUE"""),"Isofenphos-methyl-oxon")</f>
        <v>Isofenphos-methyl-oxon</v>
      </c>
      <c r="B3450" t="str">
        <f ca="1">IFERROR(__xludf.DUMMYFUNCTION("""COMPUTED_VALUE"""),"RF-1060-001-PPP")</f>
        <v>RF-1060-001-PPP</v>
      </c>
    </row>
    <row r="3451" spans="1:2" ht="12.5" x14ac:dyDescent="0.25">
      <c r="A3451" t="str">
        <f ca="1">IFERROR(__xludf.DUMMYFUNCTION("""COMPUTED_VALUE"""),"Isofenphos-oxon")</f>
        <v>Isofenphos-oxon</v>
      </c>
      <c r="B3451" t="str">
        <f ca="1">IFERROR(__xludf.DUMMYFUNCTION("""COMPUTED_VALUE"""),"RF-0759-001-PPP")</f>
        <v>RF-0759-001-PPP</v>
      </c>
    </row>
    <row r="3452" spans="1:2" ht="12.5" x14ac:dyDescent="0.25">
      <c r="A3452" t="str">
        <f ca="1">IFERROR(__xludf.DUMMYFUNCTION("""COMPUTED_VALUE"""),"Isoflavonoids")</f>
        <v>Isoflavonoids</v>
      </c>
      <c r="B3452" t="str">
        <f ca="1">IFERROR(__xludf.DUMMYFUNCTION("""COMPUTED_VALUE"""),"RF-00000439-NTR")</f>
        <v>RF-00000439-NTR</v>
      </c>
    </row>
    <row r="3453" spans="1:2" ht="12.5" x14ac:dyDescent="0.25">
      <c r="A3453" t="str">
        <f ca="1">IFERROR(__xludf.DUMMYFUNCTION("""COMPUTED_VALUE"""),"isoflavonoids, total")</f>
        <v>isoflavonoids, total</v>
      </c>
      <c r="B3453" t="str">
        <f ca="1">IFERROR(__xludf.DUMMYFUNCTION("""COMPUTED_VALUE"""),"RF-00000314-NTR")</f>
        <v>RF-00000314-NTR</v>
      </c>
    </row>
    <row r="3454" spans="1:2" ht="12.5" x14ac:dyDescent="0.25">
      <c r="A3454" t="str">
        <f ca="1">IFERROR(__xludf.DUMMYFUNCTION("""COMPUTED_VALUE"""),"Isoflupredone")</f>
        <v>Isoflupredone</v>
      </c>
      <c r="B3454" t="str">
        <f ca="1">IFERROR(__xludf.DUMMYFUNCTION("""COMPUTED_VALUE"""),"RF-00000275-VET")</f>
        <v>RF-00000275-VET</v>
      </c>
    </row>
    <row r="3455" spans="1:2" ht="12.5" x14ac:dyDescent="0.25">
      <c r="A3455" t="str">
        <f ca="1">IFERROR(__xludf.DUMMYFUNCTION("""COMPUTED_VALUE"""),"isofucosterol")</f>
        <v>isofucosterol</v>
      </c>
      <c r="B3455" t="str">
        <f ca="1">IFERROR(__xludf.DUMMYFUNCTION("""COMPUTED_VALUE"""),"RF-00000315-NTR")</f>
        <v>RF-00000315-NTR</v>
      </c>
    </row>
    <row r="3456" spans="1:2" ht="12.5" x14ac:dyDescent="0.25">
      <c r="A3456" t="str">
        <f ca="1">IFERROR(__xludf.DUMMYFUNCTION("""COMPUTED_VALUE"""),"Isolane")</f>
        <v>Isolane</v>
      </c>
      <c r="B3456" t="str">
        <f ca="1">IFERROR(__xludf.DUMMYFUNCTION("""COMPUTED_VALUE"""),"RF-0760-001-PPP")</f>
        <v>RF-0760-001-PPP</v>
      </c>
    </row>
    <row r="3457" spans="1:2" ht="12.5" x14ac:dyDescent="0.25">
      <c r="A3457" t="str">
        <f ca="1">IFERROR(__xludf.DUMMYFUNCTION("""COMPUTED_VALUE"""),"isoleucine")</f>
        <v>isoleucine</v>
      </c>
      <c r="B3457" t="str">
        <f ca="1">IFERROR(__xludf.DUMMYFUNCTION("""COMPUTED_VALUE"""),"RF-00000316-NTR")</f>
        <v>RF-00000316-NTR</v>
      </c>
    </row>
    <row r="3458" spans="1:2" ht="12.5" x14ac:dyDescent="0.25">
      <c r="A3458" t="str">
        <f ca="1">IFERROR(__xludf.DUMMYFUNCTION("""COMPUTED_VALUE"""),"Isomalathion")</f>
        <v>Isomalathion</v>
      </c>
      <c r="B3458" t="str">
        <f ca="1">IFERROR(__xludf.DUMMYFUNCTION("""COMPUTED_VALUE"""),"RF-1034-001-PPP")</f>
        <v>RF-1034-001-PPP</v>
      </c>
    </row>
    <row r="3459" spans="1:2" ht="12.5" x14ac:dyDescent="0.25">
      <c r="A3459" t="str">
        <f ca="1">IFERROR(__xludf.DUMMYFUNCTION("""COMPUTED_VALUE"""),"Isomalt")</f>
        <v>Isomalt</v>
      </c>
      <c r="B3459" t="str">
        <f ca="1">IFERROR(__xludf.DUMMYFUNCTION("""COMPUTED_VALUE"""),"RF-00000164-ADD")</f>
        <v>RF-00000164-ADD</v>
      </c>
    </row>
    <row r="3460" spans="1:2" ht="12.5" x14ac:dyDescent="0.25">
      <c r="A3460" t="str">
        <f ca="1">IFERROR(__xludf.DUMMYFUNCTION("""COMPUTED_VALUE"""),"Isomethiozin")</f>
        <v>Isomethiozin</v>
      </c>
      <c r="B3460" t="str">
        <f ca="1">IFERROR(__xludf.DUMMYFUNCTION("""COMPUTED_VALUE"""),"RF-0761-001-PPP")</f>
        <v>RF-0761-001-PPP</v>
      </c>
    </row>
    <row r="3461" spans="1:2" ht="12.5" x14ac:dyDescent="0.25">
      <c r="A3461" t="str">
        <f ca="1">IFERROR(__xludf.DUMMYFUNCTION("""COMPUTED_VALUE"""),"Isoniazid")</f>
        <v>Isoniazid</v>
      </c>
      <c r="B3461" t="str">
        <f ca="1">IFERROR(__xludf.DUMMYFUNCTION("""COMPUTED_VALUE"""),"RF-00000707-VET")</f>
        <v>RF-00000707-VET</v>
      </c>
    </row>
    <row r="3462" spans="1:2" ht="12.5" x14ac:dyDescent="0.25">
      <c r="A3462" t="str">
        <f ca="1">IFERROR(__xludf.DUMMYFUNCTION("""COMPUTED_VALUE"""),"Isonoruron")</f>
        <v>Isonoruron</v>
      </c>
      <c r="B3462" t="str">
        <f ca="1">IFERROR(__xludf.DUMMYFUNCTION("""COMPUTED_VALUE"""),"RF-1035-001-PPP")</f>
        <v>RF-1035-001-PPP</v>
      </c>
    </row>
    <row r="3463" spans="1:2" ht="12.5" x14ac:dyDescent="0.25">
      <c r="A3463" t="str">
        <f ca="1">IFERROR(__xludf.DUMMYFUNCTION("""COMPUTED_VALUE"""),"Isoprocarb")</f>
        <v>Isoprocarb</v>
      </c>
      <c r="B3463" t="str">
        <f ca="1">IFERROR(__xludf.DUMMYFUNCTION("""COMPUTED_VALUE"""),"RF-00000109-VET")</f>
        <v>RF-00000109-VET</v>
      </c>
    </row>
    <row r="3464" spans="1:2" ht="12.5" x14ac:dyDescent="0.25">
      <c r="A3464" t="str">
        <f ca="1">IFERROR(__xludf.DUMMYFUNCTION("""COMPUTED_VALUE"""),"Isoprocarb")</f>
        <v>Isoprocarb</v>
      </c>
      <c r="B3464" t="str">
        <f ca="1">IFERROR(__xludf.DUMMYFUNCTION("""COMPUTED_VALUE"""),"RF-0762-001-PPP")</f>
        <v>RF-0762-001-PPP</v>
      </c>
    </row>
    <row r="3465" spans="1:2" ht="12.5" x14ac:dyDescent="0.25">
      <c r="A3465" t="str">
        <f ca="1">IFERROR(__xludf.DUMMYFUNCTION("""COMPUTED_VALUE"""),"Isopropalin")</f>
        <v>Isopropalin</v>
      </c>
      <c r="B3465" t="str">
        <f ca="1">IFERROR(__xludf.DUMMYFUNCTION("""COMPUTED_VALUE"""),"RF-0763-001-PPP")</f>
        <v>RF-0763-001-PPP</v>
      </c>
    </row>
    <row r="3466" spans="1:2" ht="12.5" x14ac:dyDescent="0.25">
      <c r="A3466" t="str">
        <f ca="1">IFERROR(__xludf.DUMMYFUNCTION("""COMPUTED_VALUE"""),"Isoproterenol")</f>
        <v>Isoproterenol</v>
      </c>
      <c r="B3466" t="str">
        <f ca="1">IFERROR(__xludf.DUMMYFUNCTION("""COMPUTED_VALUE"""),"RF-00000464-VET")</f>
        <v>RF-00000464-VET</v>
      </c>
    </row>
    <row r="3467" spans="1:2" ht="12.5" x14ac:dyDescent="0.25">
      <c r="A3467" t="str">
        <f ca="1">IFERROR(__xludf.DUMMYFUNCTION("""COMPUTED_VALUE"""),"Isoprothiolane")</f>
        <v>Isoprothiolane</v>
      </c>
      <c r="B3467" t="str">
        <f ca="1">IFERROR(__xludf.DUMMYFUNCTION("""COMPUTED_VALUE"""),"RF-0764-001-PPP")</f>
        <v>RF-0764-001-PPP</v>
      </c>
    </row>
    <row r="3468" spans="1:2" ht="12.5" x14ac:dyDescent="0.25">
      <c r="A3468" t="str">
        <f ca="1">IFERROR(__xludf.DUMMYFUNCTION("""COMPUTED_VALUE"""),"Isoproturon")</f>
        <v>Isoproturon</v>
      </c>
      <c r="B3468" t="str">
        <f ca="1">IFERROR(__xludf.DUMMYFUNCTION("""COMPUTED_VALUE"""),"RF-0257-001-PPP")</f>
        <v>RF-0257-001-PPP</v>
      </c>
    </row>
    <row r="3469" spans="1:2" ht="12.5" x14ac:dyDescent="0.25">
      <c r="A3469" t="str">
        <f ca="1">IFERROR(__xludf.DUMMYFUNCTION("""COMPUTED_VALUE"""),"Isopyrazam")</f>
        <v>Isopyrazam</v>
      </c>
      <c r="B3469" t="str">
        <f ca="1">IFERROR(__xludf.DUMMYFUNCTION("""COMPUTED_VALUE"""),"RF-00000025-PAR")</f>
        <v>RF-00000025-PAR</v>
      </c>
    </row>
    <row r="3470" spans="1:2" ht="12.5" x14ac:dyDescent="0.25">
      <c r="A3470" t="str">
        <f ca="1">IFERROR(__xludf.DUMMYFUNCTION("""COMPUTED_VALUE"""),"Isopyrin (Ramifenazone)")</f>
        <v>Isopyrin (Ramifenazone)</v>
      </c>
      <c r="B3470" t="str">
        <f ca="1">IFERROR(__xludf.DUMMYFUNCTION("""COMPUTED_VALUE"""),"RF-00000206-VET")</f>
        <v>RF-00000206-VET</v>
      </c>
    </row>
    <row r="3471" spans="1:2" ht="12.5" x14ac:dyDescent="0.25">
      <c r="A3471" t="str">
        <f ca="1">IFERROR(__xludf.DUMMYFUNCTION("""COMPUTED_VALUE"""),"Isosulfamerazin (Sulfaperin)")</f>
        <v>Isosulfamerazin (Sulfaperin)</v>
      </c>
      <c r="B3471" t="str">
        <f ca="1">IFERROR(__xludf.DUMMYFUNCTION("""COMPUTED_VALUE"""),"RF-00000542-VET")</f>
        <v>RF-00000542-VET</v>
      </c>
    </row>
    <row r="3472" spans="1:2" ht="12.5" x14ac:dyDescent="0.25">
      <c r="A3472" t="str">
        <f ca="1">IFERROR(__xludf.DUMMYFUNCTION("""COMPUTED_VALUE"""),"Isoxaben")</f>
        <v>Isoxaben</v>
      </c>
      <c r="B3472" t="str">
        <f ca="1">IFERROR(__xludf.DUMMYFUNCTION("""COMPUTED_VALUE"""),"RF-0258-001-PPP")</f>
        <v>RF-0258-001-PPP</v>
      </c>
    </row>
    <row r="3473" spans="1:2" ht="12.5" x14ac:dyDescent="0.25">
      <c r="A3473" t="str">
        <f ca="1">IFERROR(__xludf.DUMMYFUNCTION("""COMPUTED_VALUE"""),"Isoxadifen")</f>
        <v>Isoxadifen</v>
      </c>
      <c r="B3473" t="str">
        <f ca="1">IFERROR(__xludf.DUMMYFUNCTION("""COMPUTED_VALUE"""),"RF-1049-001-PPP")</f>
        <v>RF-1049-001-PPP</v>
      </c>
    </row>
    <row r="3474" spans="1:2" ht="12.5" x14ac:dyDescent="0.25">
      <c r="A3474" t="str">
        <f ca="1">IFERROR(__xludf.DUMMYFUNCTION("""COMPUTED_VALUE"""),"Isoxadifen-ethyl")</f>
        <v>Isoxadifen-ethyl</v>
      </c>
      <c r="B3474" t="str">
        <f ca="1">IFERROR(__xludf.DUMMYFUNCTION("""COMPUTED_VALUE"""),"RF-0765-001-PPP")</f>
        <v>RF-0765-001-PPP</v>
      </c>
    </row>
    <row r="3475" spans="1:2" ht="12.5" x14ac:dyDescent="0.25">
      <c r="A3475" t="str">
        <f ca="1">IFERROR(__xludf.DUMMYFUNCTION("""COMPUTED_VALUE"""),"Isoxaflutole")</f>
        <v>Isoxaflutole</v>
      </c>
      <c r="B3475" t="str">
        <f ca="1">IFERROR(__xludf.DUMMYFUNCTION("""COMPUTED_VALUE"""),"RF-0259-002-PPP")</f>
        <v>RF-0259-002-PPP</v>
      </c>
    </row>
    <row r="3476" spans="1:2" ht="12.5" x14ac:dyDescent="0.25">
      <c r="A3476" t="str">
        <f ca="1">IFERROR(__xludf.DUMMYFUNCTION("""COMPUTED_VALUE"""),"Isoxaflutole (sum of isoxaflutole, RPA 202248, expressed as isoxaflutole)")</f>
        <v>Isoxaflutole (sum of isoxaflutole, RPA 202248, expressed as isoxaflutole)</v>
      </c>
      <c r="B3476" t="str">
        <f ca="1">IFERROR(__xludf.DUMMYFUNCTION("""COMPUTED_VALUE"""),"RF-0259-001-PPP")</f>
        <v>RF-0259-001-PPP</v>
      </c>
    </row>
    <row r="3477" spans="1:2" ht="12.5" x14ac:dyDescent="0.25">
      <c r="A3477" t="str">
        <f ca="1">IFERROR(__xludf.DUMMYFUNCTION("""COMPUTED_VALUE"""),"Isoxathion")</f>
        <v>Isoxathion</v>
      </c>
      <c r="B3477" t="str">
        <f ca="1">IFERROR(__xludf.DUMMYFUNCTION("""COMPUTED_VALUE"""),"RF-0766-001-PPP")</f>
        <v>RF-0766-001-PPP</v>
      </c>
    </row>
    <row r="3478" spans="1:2" ht="12.5" x14ac:dyDescent="0.25">
      <c r="A3478" t="str">
        <f ca="1">IFERROR(__xludf.DUMMYFUNCTION("""COMPUTED_VALUE"""),"Isoxsuprine")</f>
        <v>Isoxsuprine</v>
      </c>
      <c r="B3478" t="str">
        <f ca="1">IFERROR(__xludf.DUMMYFUNCTION("""COMPUTED_VALUE"""),"RF-00000461-VET")</f>
        <v>RF-00000461-VET</v>
      </c>
    </row>
    <row r="3479" spans="1:2" ht="12.5" x14ac:dyDescent="0.25">
      <c r="A3479" t="str">
        <f ca="1">IFERROR(__xludf.DUMMYFUNCTION("""COMPUTED_VALUE"""),"Ivermectin")</f>
        <v>Ivermectin</v>
      </c>
      <c r="B3479" t="str">
        <f ca="1">IFERROR(__xludf.DUMMYFUNCTION("""COMPUTED_VALUE"""),"RF-00000029-VET")</f>
        <v>RF-00000029-VET</v>
      </c>
    </row>
    <row r="3480" spans="1:2" ht="12.5" x14ac:dyDescent="0.25">
      <c r="A3480" t="str">
        <f ca="1">IFERROR(__xludf.DUMMYFUNCTION("""COMPUTED_VALUE"""),"Ivermectin")</f>
        <v>Ivermectin</v>
      </c>
      <c r="B3480" t="str">
        <f ca="1">IFERROR(__xludf.DUMMYFUNCTION("""COMPUTED_VALUE"""),"RF-0767-001-PPP")</f>
        <v>RF-0767-001-PPP</v>
      </c>
    </row>
    <row r="3481" spans="1:2" ht="12.5" x14ac:dyDescent="0.25">
      <c r="A3481" t="str">
        <f ca="1">IFERROR(__xludf.DUMMYFUNCTION("""COMPUTED_VALUE"""),"Jacobine")</f>
        <v>Jacobine</v>
      </c>
      <c r="B3481" t="str">
        <f ca="1">IFERROR(__xludf.DUMMYFUNCTION("""COMPUTED_VALUE"""),"RF-00000234-TOX")</f>
        <v>RF-00000234-TOX</v>
      </c>
    </row>
    <row r="3482" spans="1:2" ht="12.5" x14ac:dyDescent="0.25">
      <c r="A3482" t="str">
        <f ca="1">IFERROR(__xludf.DUMMYFUNCTION("""COMPUTED_VALUE"""),"Jacobine-N-oxide")</f>
        <v>Jacobine-N-oxide</v>
      </c>
      <c r="B3482" t="str">
        <f ca="1">IFERROR(__xludf.DUMMYFUNCTION("""COMPUTED_VALUE"""),"RF-00000403-TOX")</f>
        <v>RF-00000403-TOX</v>
      </c>
    </row>
    <row r="3483" spans="1:2" ht="12.5" x14ac:dyDescent="0.25">
      <c r="A3483" t="str">
        <f ca="1">IFERROR(__xludf.DUMMYFUNCTION("""COMPUTED_VALUE"""),"Jacoline")</f>
        <v>Jacoline</v>
      </c>
      <c r="B3483" t="str">
        <f ca="1">IFERROR(__xludf.DUMMYFUNCTION("""COMPUTED_VALUE"""),"RF-00000235-TOX")</f>
        <v>RF-00000235-TOX</v>
      </c>
    </row>
    <row r="3484" spans="1:2" ht="12.5" x14ac:dyDescent="0.25">
      <c r="A3484" t="str">
        <f ca="1">IFERROR(__xludf.DUMMYFUNCTION("""COMPUTED_VALUE"""),"Jacoline-N-oxide")</f>
        <v>Jacoline-N-oxide</v>
      </c>
      <c r="B3484" t="str">
        <f ca="1">IFERROR(__xludf.DUMMYFUNCTION("""COMPUTED_VALUE"""),"RF-00000404-TOX")</f>
        <v>RF-00000404-TOX</v>
      </c>
    </row>
    <row r="3485" spans="1:2" ht="12.5" x14ac:dyDescent="0.25">
      <c r="A3485" t="str">
        <f ca="1">IFERROR(__xludf.DUMMYFUNCTION("""COMPUTED_VALUE"""),"Jaconine")</f>
        <v>Jaconine</v>
      </c>
      <c r="B3485" t="str">
        <f ca="1">IFERROR(__xludf.DUMMYFUNCTION("""COMPUTED_VALUE"""),"RF-00000287-TOX")</f>
        <v>RF-00000287-TOX</v>
      </c>
    </row>
    <row r="3486" spans="1:2" ht="12.5" x14ac:dyDescent="0.25">
      <c r="A3486" t="str">
        <f ca="1">IFERROR(__xludf.DUMMYFUNCTION("""COMPUTED_VALUE"""),"Jaconine-N-oxide")</f>
        <v>Jaconine-N-oxide</v>
      </c>
      <c r="B3486" t="str">
        <f ca="1">IFERROR(__xludf.DUMMYFUNCTION("""COMPUTED_VALUE"""),"RF-00000405-TOX")</f>
        <v>RF-00000405-TOX</v>
      </c>
    </row>
    <row r="3487" spans="1:2" ht="12.5" x14ac:dyDescent="0.25">
      <c r="A3487" t="str">
        <f ca="1">IFERROR(__xludf.DUMMYFUNCTION("""COMPUTED_VALUE"""),"Jacozine")</f>
        <v>Jacozine</v>
      </c>
      <c r="B3487" t="str">
        <f ca="1">IFERROR(__xludf.DUMMYFUNCTION("""COMPUTED_VALUE"""),"RF-00000236-TOX")</f>
        <v>RF-00000236-TOX</v>
      </c>
    </row>
    <row r="3488" spans="1:2" ht="12.5" x14ac:dyDescent="0.25">
      <c r="A3488" t="str">
        <f ca="1">IFERROR(__xludf.DUMMYFUNCTION("""COMPUTED_VALUE"""),"Jacozine-N-oxide")</f>
        <v>Jacozine-N-oxide</v>
      </c>
      <c r="B3488" t="str">
        <f ca="1">IFERROR(__xludf.DUMMYFUNCTION("""COMPUTED_VALUE"""),"RF-00000406-TOX")</f>
        <v>RF-00000406-TOX</v>
      </c>
    </row>
    <row r="3489" spans="1:2" ht="12.5" x14ac:dyDescent="0.25">
      <c r="A3489" t="str">
        <f ca="1">IFERROR(__xludf.DUMMYFUNCTION("""COMPUTED_VALUE"""),"Jasmolin I")</f>
        <v>Jasmolin I</v>
      </c>
      <c r="B3489" t="str">
        <f ca="1">IFERROR(__xludf.DUMMYFUNCTION("""COMPUTED_VALUE"""),"RF-0374-004-PPP")</f>
        <v>RF-0374-004-PPP</v>
      </c>
    </row>
    <row r="3490" spans="1:2" ht="12.5" x14ac:dyDescent="0.25">
      <c r="A3490" t="str">
        <f ca="1">IFERROR(__xludf.DUMMYFUNCTION("""COMPUTED_VALUE"""),"Jasmolin II")</f>
        <v>Jasmolin II</v>
      </c>
      <c r="B3490" t="str">
        <f ca="1">IFERROR(__xludf.DUMMYFUNCTION("""COMPUTED_VALUE"""),"RF-0374-005-PPP")</f>
        <v>RF-0374-005-PPP</v>
      </c>
    </row>
    <row r="3491" spans="1:2" ht="12.5" x14ac:dyDescent="0.25">
      <c r="A3491" t="str">
        <f ca="1">IFERROR(__xludf.DUMMYFUNCTION("""COMPUTED_VALUE"""),"Jodfenphos")</f>
        <v>Jodfenphos</v>
      </c>
      <c r="B3491" t="str">
        <f ca="1">IFERROR(__xludf.DUMMYFUNCTION("""COMPUTED_VALUE"""),"RF-0768-001-PPP")</f>
        <v>RF-0768-001-PPP</v>
      </c>
    </row>
    <row r="3492" spans="1:2" ht="12.5" x14ac:dyDescent="0.25">
      <c r="A3492" t="str">
        <f ca="1">IFERROR(__xludf.DUMMYFUNCTION("""COMPUTED_VALUE"""),"Josamycin")</f>
        <v>Josamycin</v>
      </c>
      <c r="B3492" t="str">
        <f ca="1">IFERROR(__xludf.DUMMYFUNCTION("""COMPUTED_VALUE"""),"RF-00000528-VET")</f>
        <v>RF-00000528-VET</v>
      </c>
    </row>
    <row r="3493" spans="1:2" ht="12.5" x14ac:dyDescent="0.25">
      <c r="A3493" t="str">
        <f ca="1">IFERROR(__xludf.DUMMYFUNCTION("""COMPUTED_VALUE"""),"K-penicillin-G")</f>
        <v>K-penicillin-G</v>
      </c>
      <c r="B3493" t="str">
        <f ca="1">IFERROR(__xludf.DUMMYFUNCTION("""COMPUTED_VALUE"""),"RF-00000676-VET")</f>
        <v>RF-00000676-VET</v>
      </c>
    </row>
    <row r="3494" spans="1:2" ht="12.5" x14ac:dyDescent="0.25">
      <c r="A3494" t="str">
        <f ca="1">IFERROR(__xludf.DUMMYFUNCTION("""COMPUTED_VALUE"""),"Kadethrin")</f>
        <v>Kadethrin</v>
      </c>
      <c r="B3494" t="str">
        <f ca="1">IFERROR(__xludf.DUMMYFUNCTION("""COMPUTED_VALUE"""),"RF-0769-001-PPP")</f>
        <v>RF-0769-001-PPP</v>
      </c>
    </row>
    <row r="3495" spans="1:2" ht="12.5" x14ac:dyDescent="0.25">
      <c r="A3495" t="str">
        <f ca="1">IFERROR(__xludf.DUMMYFUNCTION("""COMPUTED_VALUE"""),"kaempferol")</f>
        <v>kaempferol</v>
      </c>
      <c r="B3495" t="str">
        <f ca="1">IFERROR(__xludf.DUMMYFUNCTION("""COMPUTED_VALUE"""),"RF-00000317-NTR")</f>
        <v>RF-00000317-NTR</v>
      </c>
    </row>
    <row r="3496" spans="1:2" ht="12.5" x14ac:dyDescent="0.25">
      <c r="A3496" t="str">
        <f ca="1">IFERROR(__xludf.DUMMYFUNCTION("""COMPUTED_VALUE"""),"Kanamycin")</f>
        <v>Kanamycin</v>
      </c>
      <c r="B3496" t="str">
        <f ca="1">IFERROR(__xludf.DUMMYFUNCTION("""COMPUTED_VALUE"""),"RF-00000527-VET")</f>
        <v>RF-00000527-VET</v>
      </c>
    </row>
    <row r="3497" spans="1:2" ht="12.5" x14ac:dyDescent="0.25">
      <c r="A3497" t="str">
        <f ca="1">IFERROR(__xludf.DUMMYFUNCTION("""COMPUTED_VALUE"""),"Karaya gum")</f>
        <v>Karaya gum</v>
      </c>
      <c r="B3497" t="str">
        <f ca="1">IFERROR(__xludf.DUMMYFUNCTION("""COMPUTED_VALUE"""),"RF-00000165-ADD")</f>
        <v>RF-00000165-ADD</v>
      </c>
    </row>
    <row r="3498" spans="1:2" ht="12.5" x14ac:dyDescent="0.25">
      <c r="A3498" t="str">
        <f ca="1">IFERROR(__xludf.DUMMYFUNCTION("""COMPUTED_VALUE"""),"Karbutilate")</f>
        <v>Karbutilate</v>
      </c>
      <c r="B3498" t="str">
        <f ca="1">IFERROR(__xludf.DUMMYFUNCTION("""COMPUTED_VALUE"""),"RF-0770-001-PPP")</f>
        <v>RF-0770-001-PPP</v>
      </c>
    </row>
    <row r="3499" spans="1:2" ht="12.5" x14ac:dyDescent="0.25">
      <c r="A3499" t="str">
        <f ca="1">IFERROR(__xludf.DUMMYFUNCTION("""COMPUTED_VALUE"""),"Karetazan")</f>
        <v>Karetazan</v>
      </c>
      <c r="B3499" t="str">
        <f ca="1">IFERROR(__xludf.DUMMYFUNCTION("""COMPUTED_VALUE"""),"RF-0771-001-PPP")</f>
        <v>RF-0771-001-PPP</v>
      </c>
    </row>
    <row r="3500" spans="1:2" ht="12.5" x14ac:dyDescent="0.25">
      <c r="A3500" t="str">
        <f ca="1">IFERROR(__xludf.DUMMYFUNCTION("""COMPUTED_VALUE"""),"Kasugamycin")</f>
        <v>Kasugamycin</v>
      </c>
      <c r="B3500" t="str">
        <f ca="1">IFERROR(__xludf.DUMMYFUNCTION("""COMPUTED_VALUE"""),"RF-0772-001-PPP")</f>
        <v>RF-0772-001-PPP</v>
      </c>
    </row>
    <row r="3501" spans="1:2" ht="12.5" x14ac:dyDescent="0.25">
      <c r="A3501" t="str">
        <f ca="1">IFERROR(__xludf.DUMMYFUNCTION("""COMPUTED_VALUE"""),"Kelevan")</f>
        <v>Kelevan</v>
      </c>
      <c r="B3501" t="str">
        <f ca="1">IFERROR(__xludf.DUMMYFUNCTION("""COMPUTED_VALUE"""),"RF-0773-001-PPP")</f>
        <v>RF-0773-001-PPP</v>
      </c>
    </row>
    <row r="3502" spans="1:2" ht="12.5" x14ac:dyDescent="0.25">
      <c r="A3502" t="str">
        <f ca="1">IFERROR(__xludf.DUMMYFUNCTION("""COMPUTED_VALUE"""),"Ketamine")</f>
        <v>Ketamine</v>
      </c>
      <c r="B3502" t="str">
        <f ca="1">IFERROR(__xludf.DUMMYFUNCTION("""COMPUTED_VALUE"""),"RF-00000189-VET")</f>
        <v>RF-00000189-VET</v>
      </c>
    </row>
    <row r="3503" spans="1:2" ht="12.5" x14ac:dyDescent="0.25">
      <c r="A3503" t="str">
        <f ca="1">IFERROR(__xludf.DUMMYFUNCTION("""COMPUTED_VALUE"""),"Ketoprofen")</f>
        <v>Ketoprofen</v>
      </c>
      <c r="B3503" t="str">
        <f ca="1">IFERROR(__xludf.DUMMYFUNCTION("""COMPUTED_VALUE"""),"RF-00000224-VET")</f>
        <v>RF-00000224-VET</v>
      </c>
    </row>
    <row r="3504" spans="1:2" ht="12.5" x14ac:dyDescent="0.25">
      <c r="A3504" t="str">
        <f ca="1">IFERROR(__xludf.DUMMYFUNCTION("""COMPUTED_VALUE"""),"ketoYTX")</f>
        <v>ketoYTX</v>
      </c>
      <c r="B3504" t="str">
        <f ca="1">IFERROR(__xludf.DUMMYFUNCTION("""COMPUTED_VALUE"""),"RF-00000122-TOX")</f>
        <v>RF-00000122-TOX</v>
      </c>
    </row>
    <row r="3505" spans="1:2" ht="12.5" x14ac:dyDescent="0.25">
      <c r="A3505" t="str">
        <f ca="1">IFERROR(__xludf.DUMMYFUNCTION("""COMPUTED_VALUE"""),"Kitasamycin")</f>
        <v>Kitasamycin</v>
      </c>
      <c r="B3505" t="str">
        <f ca="1">IFERROR(__xludf.DUMMYFUNCTION("""COMPUTED_VALUE"""),"RF-00000538-VET")</f>
        <v>RF-00000538-VET</v>
      </c>
    </row>
    <row r="3506" spans="1:2" ht="12.5" x14ac:dyDescent="0.25">
      <c r="A3506" t="str">
        <f ca="1">IFERROR(__xludf.DUMMYFUNCTION("""COMPUTED_VALUE"""),"Klebsiella")</f>
        <v>Klebsiella</v>
      </c>
      <c r="B3506" t="str">
        <f ca="1">IFERROR(__xludf.DUMMYFUNCTION("""COMPUTED_VALUE"""),"RF-00000234-MCG")</f>
        <v>RF-00000234-MCG</v>
      </c>
    </row>
    <row r="3507" spans="1:2" ht="12.5" x14ac:dyDescent="0.25">
      <c r="A3507" t="str">
        <f ca="1">IFERROR(__xludf.DUMMYFUNCTION("""COMPUTED_VALUE"""),"Klebsiella pneumoniae")</f>
        <v>Klebsiella pneumoniae</v>
      </c>
      <c r="B3507" t="str">
        <f ca="1">IFERROR(__xludf.DUMMYFUNCTION("""COMPUTED_VALUE"""),"RF-00000235-MCG")</f>
        <v>RF-00000235-MCG</v>
      </c>
    </row>
    <row r="3508" spans="1:2" ht="12.5" x14ac:dyDescent="0.25">
      <c r="A3508" t="str">
        <f ca="1">IFERROR(__xludf.DUMMYFUNCTION("""COMPUTED_VALUE"""),"Klebsiella spp.,  unspecified")</f>
        <v>Klebsiella spp.,  unspecified</v>
      </c>
      <c r="B3508" t="str">
        <f ca="1">IFERROR(__xludf.DUMMYFUNCTION("""COMPUTED_VALUE"""),"RF-00000236-MCG")</f>
        <v>RF-00000236-MCG</v>
      </c>
    </row>
    <row r="3509" spans="1:2" ht="12.5" x14ac:dyDescent="0.25">
      <c r="A3509" t="str">
        <f ca="1">IFERROR(__xludf.DUMMYFUNCTION("""COMPUTED_VALUE"""),"Kobuvirus")</f>
        <v>Kobuvirus</v>
      </c>
      <c r="B3509" t="str">
        <f ca="1">IFERROR(__xludf.DUMMYFUNCTION("""COMPUTED_VALUE"""),"RF-00002564-MCG")</f>
        <v>RF-00002564-MCG</v>
      </c>
    </row>
    <row r="3510" spans="1:2" ht="12.5" x14ac:dyDescent="0.25">
      <c r="A3510" t="str">
        <f ca="1">IFERROR(__xludf.DUMMYFUNCTION("""COMPUTED_VALUE"""),"Konjac")</f>
        <v>Konjac</v>
      </c>
      <c r="B3510" t="str">
        <f ca="1">IFERROR(__xludf.DUMMYFUNCTION("""COMPUTED_VALUE"""),"RF-00000166-ADD")</f>
        <v>RF-00000166-ADD</v>
      </c>
    </row>
    <row r="3511" spans="1:2" ht="12.5" x14ac:dyDescent="0.25">
      <c r="A3511" t="str">
        <f ca="1">IFERROR(__xludf.DUMMYFUNCTION("""COMPUTED_VALUE"""),"KPC")</f>
        <v>KPC</v>
      </c>
      <c r="B3511" t="str">
        <f ca="1">IFERROR(__xludf.DUMMYFUNCTION("""COMPUTED_VALUE"""),"RF-00000868-PAR")</f>
        <v>RF-00000868-PAR</v>
      </c>
    </row>
    <row r="3512" spans="1:2" ht="12.5" x14ac:dyDescent="0.25">
      <c r="A3512" t="str">
        <f ca="1">IFERROR(__xludf.DUMMYFUNCTION("""COMPUTED_VALUE"""),"KPC-10")</f>
        <v>KPC-10</v>
      </c>
      <c r="B3512" t="str">
        <f ca="1">IFERROR(__xludf.DUMMYFUNCTION("""COMPUTED_VALUE"""),"RF-00000877-PAR")</f>
        <v>RF-00000877-PAR</v>
      </c>
    </row>
    <row r="3513" spans="1:2" ht="12.5" x14ac:dyDescent="0.25">
      <c r="A3513" t="str">
        <f ca="1">IFERROR(__xludf.DUMMYFUNCTION("""COMPUTED_VALUE"""),"KPC-11")</f>
        <v>KPC-11</v>
      </c>
      <c r="B3513" t="str">
        <f ca="1">IFERROR(__xludf.DUMMYFUNCTION("""COMPUTED_VALUE"""),"RF-00000878-PAR")</f>
        <v>RF-00000878-PAR</v>
      </c>
    </row>
    <row r="3514" spans="1:2" ht="12.5" x14ac:dyDescent="0.25">
      <c r="A3514" t="str">
        <f ca="1">IFERROR(__xludf.DUMMYFUNCTION("""COMPUTED_VALUE"""),"KPC-12")</f>
        <v>KPC-12</v>
      </c>
      <c r="B3514" t="str">
        <f ca="1">IFERROR(__xludf.DUMMYFUNCTION("""COMPUTED_VALUE"""),"RF-00000879-PAR")</f>
        <v>RF-00000879-PAR</v>
      </c>
    </row>
    <row r="3515" spans="1:2" ht="12.5" x14ac:dyDescent="0.25">
      <c r="A3515" t="str">
        <f ca="1">IFERROR(__xludf.DUMMYFUNCTION("""COMPUTED_VALUE"""),"KPC-13")</f>
        <v>KPC-13</v>
      </c>
      <c r="B3515" t="str">
        <f ca="1">IFERROR(__xludf.DUMMYFUNCTION("""COMPUTED_VALUE"""),"RF-00000880-PAR")</f>
        <v>RF-00000880-PAR</v>
      </c>
    </row>
    <row r="3516" spans="1:2" ht="12.5" x14ac:dyDescent="0.25">
      <c r="A3516" t="str">
        <f ca="1">IFERROR(__xludf.DUMMYFUNCTION("""COMPUTED_VALUE"""),"KPC-14")</f>
        <v>KPC-14</v>
      </c>
      <c r="B3516" t="str">
        <f ca="1">IFERROR(__xludf.DUMMYFUNCTION("""COMPUTED_VALUE"""),"RF-00000881-PAR")</f>
        <v>RF-00000881-PAR</v>
      </c>
    </row>
    <row r="3517" spans="1:2" ht="12.5" x14ac:dyDescent="0.25">
      <c r="A3517" t="str">
        <f ca="1">IFERROR(__xludf.DUMMYFUNCTION("""COMPUTED_VALUE"""),"KPC-15")</f>
        <v>KPC-15</v>
      </c>
      <c r="B3517" t="str">
        <f ca="1">IFERROR(__xludf.DUMMYFUNCTION("""COMPUTED_VALUE"""),"RF-00000882-PAR")</f>
        <v>RF-00000882-PAR</v>
      </c>
    </row>
    <row r="3518" spans="1:2" ht="12.5" x14ac:dyDescent="0.25">
      <c r="A3518" t="str">
        <f ca="1">IFERROR(__xludf.DUMMYFUNCTION("""COMPUTED_VALUE"""),"KPC-2")</f>
        <v>KPC-2</v>
      </c>
      <c r="B3518" t="str">
        <f ca="1">IFERROR(__xludf.DUMMYFUNCTION("""COMPUTED_VALUE"""),"RF-00000869-PAR")</f>
        <v>RF-00000869-PAR</v>
      </c>
    </row>
    <row r="3519" spans="1:2" ht="12.5" x14ac:dyDescent="0.25">
      <c r="A3519" t="str">
        <f ca="1">IFERROR(__xludf.DUMMYFUNCTION("""COMPUTED_VALUE"""),"KPC-3")</f>
        <v>KPC-3</v>
      </c>
      <c r="B3519" t="str">
        <f ca="1">IFERROR(__xludf.DUMMYFUNCTION("""COMPUTED_VALUE"""),"RF-00000870-PAR")</f>
        <v>RF-00000870-PAR</v>
      </c>
    </row>
    <row r="3520" spans="1:2" ht="12.5" x14ac:dyDescent="0.25">
      <c r="A3520" t="str">
        <f ca="1">IFERROR(__xludf.DUMMYFUNCTION("""COMPUTED_VALUE"""),"KPC-4")</f>
        <v>KPC-4</v>
      </c>
      <c r="B3520" t="str">
        <f ca="1">IFERROR(__xludf.DUMMYFUNCTION("""COMPUTED_VALUE"""),"RF-00000871-PAR")</f>
        <v>RF-00000871-PAR</v>
      </c>
    </row>
    <row r="3521" spans="1:2" ht="12.5" x14ac:dyDescent="0.25">
      <c r="A3521" t="str">
        <f ca="1">IFERROR(__xludf.DUMMYFUNCTION("""COMPUTED_VALUE"""),"KPC-5")</f>
        <v>KPC-5</v>
      </c>
      <c r="B3521" t="str">
        <f ca="1">IFERROR(__xludf.DUMMYFUNCTION("""COMPUTED_VALUE"""),"RF-00000872-PAR")</f>
        <v>RF-00000872-PAR</v>
      </c>
    </row>
    <row r="3522" spans="1:2" ht="12.5" x14ac:dyDescent="0.25">
      <c r="A3522" t="str">
        <f ca="1">IFERROR(__xludf.DUMMYFUNCTION("""COMPUTED_VALUE"""),"KPC-6")</f>
        <v>KPC-6</v>
      </c>
      <c r="B3522" t="str">
        <f ca="1">IFERROR(__xludf.DUMMYFUNCTION("""COMPUTED_VALUE"""),"RF-00000873-PAR")</f>
        <v>RF-00000873-PAR</v>
      </c>
    </row>
    <row r="3523" spans="1:2" ht="12.5" x14ac:dyDescent="0.25">
      <c r="A3523" t="str">
        <f ca="1">IFERROR(__xludf.DUMMYFUNCTION("""COMPUTED_VALUE"""),"KPC-7")</f>
        <v>KPC-7</v>
      </c>
      <c r="B3523" t="str">
        <f ca="1">IFERROR(__xludf.DUMMYFUNCTION("""COMPUTED_VALUE"""),"RF-00000874-PAR")</f>
        <v>RF-00000874-PAR</v>
      </c>
    </row>
    <row r="3524" spans="1:2" ht="12.5" x14ac:dyDescent="0.25">
      <c r="A3524" t="str">
        <f ca="1">IFERROR(__xludf.DUMMYFUNCTION("""COMPUTED_VALUE"""),"KPC-8")</f>
        <v>KPC-8</v>
      </c>
      <c r="B3524" t="str">
        <f ca="1">IFERROR(__xludf.DUMMYFUNCTION("""COMPUTED_VALUE"""),"RF-00000875-PAR")</f>
        <v>RF-00000875-PAR</v>
      </c>
    </row>
    <row r="3525" spans="1:2" ht="12.5" x14ac:dyDescent="0.25">
      <c r="A3525" t="str">
        <f ca="1">IFERROR(__xludf.DUMMYFUNCTION("""COMPUTED_VALUE"""),"KPC-9")</f>
        <v>KPC-9</v>
      </c>
      <c r="B3525" t="str">
        <f ca="1">IFERROR(__xludf.DUMMYFUNCTION("""COMPUTED_VALUE"""),"RF-00000876-PAR")</f>
        <v>RF-00000876-PAR</v>
      </c>
    </row>
    <row r="3526" spans="1:2" ht="12.5" x14ac:dyDescent="0.25">
      <c r="A3526" t="str">
        <f ca="1">IFERROR(__xludf.DUMMYFUNCTION("""COMPUTED_VALUE"""),"Kresoxim-methyl")</f>
        <v>Kresoxim-methyl</v>
      </c>
      <c r="B3526" t="str">
        <f ca="1">IFERROR(__xludf.DUMMYFUNCTION("""COMPUTED_VALUE"""),"RF-0260-001-PPP")</f>
        <v>RF-0260-001-PPP</v>
      </c>
    </row>
    <row r="3527" spans="1:2" ht="12.5" x14ac:dyDescent="0.25">
      <c r="A3527" t="str">
        <f ca="1">IFERROR(__xludf.DUMMYFUNCTION("""COMPUTED_VALUE"""),"L-ascorbic acid")</f>
        <v>L-ascorbic acid</v>
      </c>
      <c r="B3527" t="str">
        <f ca="1">IFERROR(__xludf.DUMMYFUNCTION("""COMPUTED_VALUE"""),"RF-00000319-NTR")</f>
        <v>RF-00000319-NTR</v>
      </c>
    </row>
    <row r="3528" spans="1:2" ht="12.5" x14ac:dyDescent="0.25">
      <c r="A3528" t="str">
        <f ca="1">IFERROR(__xludf.DUMMYFUNCTION("""COMPUTED_VALUE"""),"L-dehydroascorbic acid")</f>
        <v>L-dehydroascorbic acid</v>
      </c>
      <c r="B3528" t="str">
        <f ca="1">IFERROR(__xludf.DUMMYFUNCTION("""COMPUTED_VALUE"""),"RF-00000320-NTR")</f>
        <v>RF-00000320-NTR</v>
      </c>
    </row>
    <row r="3529" spans="1:2" ht="12.5" x14ac:dyDescent="0.25">
      <c r="A3529" t="str">
        <f ca="1">IFERROR(__xludf.DUMMYFUNCTION("""COMPUTED_VALUE"""),"L-lactic acid")</f>
        <v>L-lactic acid</v>
      </c>
      <c r="B3529" t="str">
        <f ca="1">IFERROR(__xludf.DUMMYFUNCTION("""COMPUTED_VALUE"""),"RF-00000324-NTR")</f>
        <v>RF-00000324-NTR</v>
      </c>
    </row>
    <row r="3530" spans="1:2" ht="12.5" x14ac:dyDescent="0.25">
      <c r="A3530" t="str">
        <f ca="1">IFERROR(__xludf.DUMMYFUNCTION("""COMPUTED_VALUE"""),"Labetalol")</f>
        <v>Labetalol</v>
      </c>
      <c r="B3530" t="str">
        <f ca="1">IFERROR(__xludf.DUMMYFUNCTION("""COMPUTED_VALUE"""),"RF-00000460-VET")</f>
        <v>RF-00000460-VET</v>
      </c>
    </row>
    <row r="3531" spans="1:2" ht="12.5" x14ac:dyDescent="0.25">
      <c r="A3531" t="str">
        <f ca="1">IFERROR(__xludf.DUMMYFUNCTION("""COMPUTED_VALUE"""),"Laburnine")</f>
        <v>Laburnine</v>
      </c>
      <c r="B3531" t="str">
        <f ca="1">IFERROR(__xludf.DUMMYFUNCTION("""COMPUTED_VALUE"""),"RF-00000288-TOX")</f>
        <v>RF-00000288-TOX</v>
      </c>
    </row>
    <row r="3532" spans="1:2" ht="12.5" x14ac:dyDescent="0.25">
      <c r="A3532" t="str">
        <f ca="1">IFERROR(__xludf.DUMMYFUNCTION("""COMPUTED_VALUE"""),"Lactamase inhibitors")</f>
        <v>Lactamase inhibitors</v>
      </c>
      <c r="B3532" t="str">
        <f ca="1">IFERROR(__xludf.DUMMYFUNCTION("""COMPUTED_VALUE"""),"RF-00000667-VET")</f>
        <v>RF-00000667-VET</v>
      </c>
    </row>
    <row r="3533" spans="1:2" ht="12.5" x14ac:dyDescent="0.25">
      <c r="A3533" t="str">
        <f ca="1">IFERROR(__xludf.DUMMYFUNCTION("""COMPUTED_VALUE"""),"Lactic acid")</f>
        <v>Lactic acid</v>
      </c>
      <c r="B3533" t="str">
        <f ca="1">IFERROR(__xludf.DUMMYFUNCTION("""COMPUTED_VALUE"""),"RF-00000167-ADD")</f>
        <v>RF-00000167-ADD</v>
      </c>
    </row>
    <row r="3534" spans="1:2" ht="12.5" x14ac:dyDescent="0.25">
      <c r="A3534" t="str">
        <f ca="1">IFERROR(__xludf.DUMMYFUNCTION("""COMPUTED_VALUE"""),"Lactic acid esters of mono- and diglycerides of fatty acids")</f>
        <v>Lactic acid esters of mono- and diglycerides of fatty acids</v>
      </c>
      <c r="B3534" t="str">
        <f ca="1">IFERROR(__xludf.DUMMYFUNCTION("""COMPUTED_VALUE"""),"RF-00000168-ADD")</f>
        <v>RF-00000168-ADD</v>
      </c>
    </row>
    <row r="3535" spans="1:2" ht="12.5" x14ac:dyDescent="0.25">
      <c r="A3535" t="str">
        <f ca="1">IFERROR(__xludf.DUMMYFUNCTION("""COMPUTED_VALUE"""),"Lactitol")</f>
        <v>Lactitol</v>
      </c>
      <c r="B3535" t="str">
        <f ca="1">IFERROR(__xludf.DUMMYFUNCTION("""COMPUTED_VALUE"""),"RF-00000169-ADD")</f>
        <v>RF-00000169-ADD</v>
      </c>
    </row>
    <row r="3536" spans="1:2" ht="12.5" x14ac:dyDescent="0.25">
      <c r="A3536" t="str">
        <f ca="1">IFERROR(__xludf.DUMMYFUNCTION("""COMPUTED_VALUE"""),"Lactofen")</f>
        <v>Lactofen</v>
      </c>
      <c r="B3536" t="str">
        <f ca="1">IFERROR(__xludf.DUMMYFUNCTION("""COMPUTED_VALUE"""),"RF-0774-001-PPP")</f>
        <v>RF-0774-001-PPP</v>
      </c>
    </row>
    <row r="3537" spans="1:2" ht="12.5" x14ac:dyDescent="0.25">
      <c r="A3537" t="str">
        <f ca="1">IFERROR(__xludf.DUMMYFUNCTION("""COMPUTED_VALUE"""),"lactose")</f>
        <v>lactose</v>
      </c>
      <c r="B3537" t="str">
        <f ca="1">IFERROR(__xludf.DUMMYFUNCTION("""COMPUTED_VALUE"""),"RF-00000318-NTR")</f>
        <v>RF-00000318-NTR</v>
      </c>
    </row>
    <row r="3538" spans="1:2" ht="12.5" x14ac:dyDescent="0.25">
      <c r="A3538" t="str">
        <f ca="1">IFERROR(__xludf.DUMMYFUNCTION("""COMPUTED_VALUE"""),"Lagos bat virus")</f>
        <v>Lagos bat virus</v>
      </c>
      <c r="B3538" t="str">
        <f ca="1">IFERROR(__xludf.DUMMYFUNCTION("""COMPUTED_VALUE"""),"RF-00000269-MCG")</f>
        <v>RF-00000269-MCG</v>
      </c>
    </row>
    <row r="3539" spans="1:2" ht="12.5" x14ac:dyDescent="0.25">
      <c r="A3539" t="str">
        <f ca="1">IFERROR(__xludf.DUMMYFUNCTION("""COMPUTED_VALUE"""),"Laidlomycin propionate potassium")</f>
        <v>Laidlomycin propionate potassium</v>
      </c>
      <c r="B3539" t="str">
        <f ca="1">IFERROR(__xludf.DUMMYFUNCTION("""COMPUTED_VALUE"""),"RF-00000082-VET")</f>
        <v>RF-00000082-VET</v>
      </c>
    </row>
    <row r="3540" spans="1:2" ht="12.5" x14ac:dyDescent="0.25">
      <c r="A3540" t="str">
        <f ca="1">IFERROR(__xludf.DUMMYFUNCTION("""COMPUTED_VALUE"""),"Lambda-Cyhalothrin")</f>
        <v>Lambda-Cyhalothrin</v>
      </c>
      <c r="B3540" t="str">
        <f ca="1">IFERROR(__xludf.DUMMYFUNCTION("""COMPUTED_VALUE"""),"RF-0261-001-PPP")</f>
        <v>RF-0261-001-PPP</v>
      </c>
    </row>
    <row r="3541" spans="1:2" ht="12.5" x14ac:dyDescent="0.25">
      <c r="A3541" t="str">
        <f ca="1">IFERROR(__xludf.DUMMYFUNCTION("""COMPUTED_VALUE"""),"Lambda-cyhalothrin, including other mixed isomeric consituents (sum of isomers)")</f>
        <v>Lambda-cyhalothrin, including other mixed isomeric consituents (sum of isomers)</v>
      </c>
      <c r="B3541" t="str">
        <f ca="1">IFERROR(__xludf.DUMMYFUNCTION("""COMPUTED_VALUE"""),"RF-1004-001-PPP")</f>
        <v>RF-1004-001-PPP</v>
      </c>
    </row>
    <row r="3542" spans="1:2" ht="12.5" x14ac:dyDescent="0.25">
      <c r="A3542" t="str">
        <f ca="1">IFERROR(__xludf.DUMMYFUNCTION("""COMPUTED_VALUE"""),"Lasalocid")</f>
        <v>Lasalocid</v>
      </c>
      <c r="B3542" t="str">
        <f ca="1">IFERROR(__xludf.DUMMYFUNCTION("""COMPUTED_VALUE"""),"RF-00000080-VET")</f>
        <v>RF-00000080-VET</v>
      </c>
    </row>
    <row r="3543" spans="1:2" ht="12.5" x14ac:dyDescent="0.25">
      <c r="A3543" t="str">
        <f ca="1">IFERROR(__xludf.DUMMYFUNCTION("""COMPUTED_VALUE"""),"Lasalocid-Sodium")</f>
        <v>Lasalocid-Sodium</v>
      </c>
      <c r="B3543" t="str">
        <f ca="1">IFERROR(__xludf.DUMMYFUNCTION("""COMPUTED_VALUE"""),"RF-00000079-VET")</f>
        <v>RF-00000079-VET</v>
      </c>
    </row>
    <row r="3544" spans="1:2" ht="12.5" x14ac:dyDescent="0.25">
      <c r="A3544" t="str">
        <f ca="1">IFERROR(__xludf.DUMMYFUNCTION("""COMPUTED_VALUE"""),"Lasiocarpine")</f>
        <v>Lasiocarpine</v>
      </c>
      <c r="B3544" t="str">
        <f ca="1">IFERROR(__xludf.DUMMYFUNCTION("""COMPUTED_VALUE"""),"RF-00000241-TOX")</f>
        <v>RF-00000241-TOX</v>
      </c>
    </row>
    <row r="3545" spans="1:2" ht="12.5" x14ac:dyDescent="0.25">
      <c r="A3545" t="str">
        <f ca="1">IFERROR(__xludf.DUMMYFUNCTION("""COMPUTED_VALUE"""),"Lasiocarpine-N-oxide")</f>
        <v>Lasiocarpine-N-oxide</v>
      </c>
      <c r="B3545" t="str">
        <f ca="1">IFERROR(__xludf.DUMMYFUNCTION("""COMPUTED_VALUE"""),"RF-00000289-TOX")</f>
        <v>RF-00000289-TOX</v>
      </c>
    </row>
    <row r="3546" spans="1:2" ht="12.5" x14ac:dyDescent="0.25">
      <c r="A3546" t="str">
        <f ca="1">IFERROR(__xludf.DUMMYFUNCTION("""COMPUTED_VALUE"""),"Lead (Pb)")</f>
        <v>Lead (Pb)</v>
      </c>
      <c r="B3546" t="str">
        <f ca="1">IFERROR(__xludf.DUMMYFUNCTION("""COMPUTED_VALUE"""),"RF-00000174-CHE")</f>
        <v>RF-00000174-CHE</v>
      </c>
    </row>
    <row r="3547" spans="1:2" ht="12.5" x14ac:dyDescent="0.25">
      <c r="A3547" t="str">
        <f ca="1">IFERROR(__xludf.DUMMYFUNCTION("""COMPUTED_VALUE"""),"Lead and derivatives")</f>
        <v>Lead and derivatives</v>
      </c>
      <c r="B3547" t="str">
        <f ca="1">IFERROR(__xludf.DUMMYFUNCTION("""COMPUTED_VALUE"""),"RF-00000173-CHE")</f>
        <v>RF-00000173-CHE</v>
      </c>
    </row>
    <row r="3548" spans="1:2" ht="12.5" x14ac:dyDescent="0.25">
      <c r="A3548" t="str">
        <f ca="1">IFERROR(__xludf.DUMMYFUNCTION("""COMPUTED_VALUE"""),"Lecithins")</f>
        <v>Lecithins</v>
      </c>
      <c r="B3548" t="str">
        <f ca="1">IFERROR(__xludf.DUMMYFUNCTION("""COMPUTED_VALUE"""),"RF-00000171-ADD")</f>
        <v>RF-00000171-ADD</v>
      </c>
    </row>
    <row r="3549" spans="1:2" ht="12.5" x14ac:dyDescent="0.25">
      <c r="A3549" t="str">
        <f ca="1">IFERROR(__xludf.DUMMYFUNCTION("""COMPUTED_VALUE"""),"Lectin")</f>
        <v>Lectin</v>
      </c>
      <c r="B3549" t="str">
        <f ca="1">IFERROR(__xludf.DUMMYFUNCTION("""COMPUTED_VALUE"""),"RF-00000439-ORG")</f>
        <v>RF-00000439-ORG</v>
      </c>
    </row>
    <row r="3550" spans="1:2" ht="12.5" x14ac:dyDescent="0.25">
      <c r="A3550" t="str">
        <f ca="1">IFERROR(__xludf.DUMMYFUNCTION("""COMPUTED_VALUE"""),"Leishmania")</f>
        <v>Leishmania</v>
      </c>
      <c r="B3550" t="str">
        <f ca="1">IFERROR(__xludf.DUMMYFUNCTION("""COMPUTED_VALUE"""),"RF-00002569-MCG")</f>
        <v>RF-00002569-MCG</v>
      </c>
    </row>
    <row r="3551" spans="1:2" ht="12.5" x14ac:dyDescent="0.25">
      <c r="A3551" t="str">
        <f ca="1">IFERROR(__xludf.DUMMYFUNCTION("""COMPUTED_VALUE"""),"Leishmania (Leishmania) aethiopica")</f>
        <v>Leishmania (Leishmania) aethiopica</v>
      </c>
      <c r="B3551" t="str">
        <f ca="1">IFERROR(__xludf.DUMMYFUNCTION("""COMPUTED_VALUE"""),"RF-00002581-MCG")</f>
        <v>RF-00002581-MCG</v>
      </c>
    </row>
    <row r="3552" spans="1:2" ht="12.5" x14ac:dyDescent="0.25">
      <c r="A3552" t="str">
        <f ca="1">IFERROR(__xludf.DUMMYFUNCTION("""COMPUTED_VALUE"""),"Leishmania (Leishmania) amazonensis")</f>
        <v>Leishmania (Leishmania) amazonensis</v>
      </c>
      <c r="B3552" t="str">
        <f ca="1">IFERROR(__xludf.DUMMYFUNCTION("""COMPUTED_VALUE"""),"RF-00002584-MCG")</f>
        <v>RF-00002584-MCG</v>
      </c>
    </row>
    <row r="3553" spans="1:2" ht="12.5" x14ac:dyDescent="0.25">
      <c r="A3553" t="str">
        <f ca="1">IFERROR(__xludf.DUMMYFUNCTION("""COMPUTED_VALUE"""),"Leishmania (Leishmania) arabica")</f>
        <v>Leishmania (Leishmania) arabica</v>
      </c>
      <c r="B3553" t="str">
        <f ca="1">IFERROR(__xludf.DUMMYFUNCTION("""COMPUTED_VALUE"""),"RF-00002589-MCG")</f>
        <v>RF-00002589-MCG</v>
      </c>
    </row>
    <row r="3554" spans="1:2" ht="12.5" x14ac:dyDescent="0.25">
      <c r="A3554" t="str">
        <f ca="1">IFERROR(__xludf.DUMMYFUNCTION("""COMPUTED_VALUE"""),"Leishmania (Leishmania) archibaldi")</f>
        <v>Leishmania (Leishmania) archibaldi</v>
      </c>
      <c r="B3554" t="str">
        <f ca="1">IFERROR(__xludf.DUMMYFUNCTION("""COMPUTED_VALUE"""),"RF-00002574-MCG")</f>
        <v>RF-00002574-MCG</v>
      </c>
    </row>
    <row r="3555" spans="1:2" ht="12.5" x14ac:dyDescent="0.25">
      <c r="A3555" t="str">
        <f ca="1">IFERROR(__xludf.DUMMYFUNCTION("""COMPUTED_VALUE"""),"Leishmania (Leishmania) aristedesi")</f>
        <v>Leishmania (Leishmania) aristedesi</v>
      </c>
      <c r="B3555" t="str">
        <f ca="1">IFERROR(__xludf.DUMMYFUNCTION("""COMPUTED_VALUE"""),"RF-00002592-MCG")</f>
        <v>RF-00002592-MCG</v>
      </c>
    </row>
    <row r="3556" spans="1:2" ht="12.5" x14ac:dyDescent="0.25">
      <c r="A3556" t="str">
        <f ca="1">IFERROR(__xludf.DUMMYFUNCTION("""COMPUTED_VALUE"""),"Leishmania (Leishmania) chagasi")</f>
        <v>Leishmania (Leishmania) chagasi</v>
      </c>
      <c r="B3556" t="str">
        <f ca="1">IFERROR(__xludf.DUMMYFUNCTION("""COMPUTED_VALUE"""),"RF-00002573-MCG")</f>
        <v>RF-00002573-MCG</v>
      </c>
    </row>
    <row r="3557" spans="1:2" ht="12.5" x14ac:dyDescent="0.25">
      <c r="A3557" t="str">
        <f ca="1">IFERROR(__xludf.DUMMYFUNCTION("""COMPUTED_VALUE"""),"Leishmania (Leishmania) deanei")</f>
        <v>Leishmania (Leishmania) deanei</v>
      </c>
      <c r="B3557" t="str">
        <f ca="1">IFERROR(__xludf.DUMMYFUNCTION("""COMPUTED_VALUE"""),"RF-00002594-MCG")</f>
        <v>RF-00002594-MCG</v>
      </c>
    </row>
    <row r="3558" spans="1:2" ht="12.5" x14ac:dyDescent="0.25">
      <c r="A3558" t="str">
        <f ca="1">IFERROR(__xludf.DUMMYFUNCTION("""COMPUTED_VALUE"""),"Leishmania (Leishmania) donovani")</f>
        <v>Leishmania (Leishmania) donovani</v>
      </c>
      <c r="B3558" t="str">
        <f ca="1">IFERROR(__xludf.DUMMYFUNCTION("""COMPUTED_VALUE"""),"RF-00002572-MCG")</f>
        <v>RF-00002572-MCG</v>
      </c>
    </row>
    <row r="3559" spans="1:2" ht="12.5" x14ac:dyDescent="0.25">
      <c r="A3559" t="str">
        <f ca="1">IFERROR(__xludf.DUMMYFUNCTION("""COMPUTED_VALUE"""),"Leishmania (Leishmania) enriettii")</f>
        <v>Leishmania (Leishmania) enriettii</v>
      </c>
      <c r="B3559" t="str">
        <f ca="1">IFERROR(__xludf.DUMMYFUNCTION("""COMPUTED_VALUE"""),"RF-00002593-MCG")</f>
        <v>RF-00002593-MCG</v>
      </c>
    </row>
    <row r="3560" spans="1:2" ht="12.5" x14ac:dyDescent="0.25">
      <c r="A3560" t="str">
        <f ca="1">IFERROR(__xludf.DUMMYFUNCTION("""COMPUTED_VALUE"""),"Leishmania (Leishmania) forattinii")</f>
        <v>Leishmania (Leishmania) forattinii</v>
      </c>
      <c r="B3560" t="str">
        <f ca="1">IFERROR(__xludf.DUMMYFUNCTION("""COMPUTED_VALUE"""),"RF-00002588-MCG")</f>
        <v>RF-00002588-MCG</v>
      </c>
    </row>
    <row r="3561" spans="1:2" ht="12.5" x14ac:dyDescent="0.25">
      <c r="A3561" t="str">
        <f ca="1">IFERROR(__xludf.DUMMYFUNCTION("""COMPUTED_VALUE"""),"Leishmania (Leishmania) garnhami")</f>
        <v>Leishmania (Leishmania) garnhami</v>
      </c>
      <c r="B3561" t="str">
        <f ca="1">IFERROR(__xludf.DUMMYFUNCTION("""COMPUTED_VALUE"""),"RF-00002585-MCG")</f>
        <v>RF-00002585-MCG</v>
      </c>
    </row>
    <row r="3562" spans="1:2" ht="12.5" x14ac:dyDescent="0.25">
      <c r="A3562" t="str">
        <f ca="1">IFERROR(__xludf.DUMMYFUNCTION("""COMPUTED_VALUE"""),"Leishmania (Leishmania) gerbili")</f>
        <v>Leishmania (Leishmania) gerbili</v>
      </c>
      <c r="B3562" t="str">
        <f ca="1">IFERROR(__xludf.DUMMYFUNCTION("""COMPUTED_VALUE"""),"RF-00002590-MCG")</f>
        <v>RF-00002590-MCG</v>
      </c>
    </row>
    <row r="3563" spans="1:2" ht="12.5" x14ac:dyDescent="0.25">
      <c r="A3563" t="str">
        <f ca="1">IFERROR(__xludf.DUMMYFUNCTION("""COMPUTED_VALUE"""),"Leishmania (Leishmania) hertigi")</f>
        <v>Leishmania (Leishmania) hertigi</v>
      </c>
      <c r="B3563" t="str">
        <f ca="1">IFERROR(__xludf.DUMMYFUNCTION("""COMPUTED_VALUE"""),"RF-00002595-MCG")</f>
        <v>RF-00002595-MCG</v>
      </c>
    </row>
    <row r="3564" spans="1:2" ht="12.5" x14ac:dyDescent="0.25">
      <c r="A3564" t="str">
        <f ca="1">IFERROR(__xludf.DUMMYFUNCTION("""COMPUTED_VALUE"""),"Leishmania (Leishmania) infantum")</f>
        <v>Leishmania (Leishmania) infantum</v>
      </c>
      <c r="B3564" t="str">
        <f ca="1">IFERROR(__xludf.DUMMYFUNCTION("""COMPUTED_VALUE"""),"RF-00002571-MCG")</f>
        <v>RF-00002571-MCG</v>
      </c>
    </row>
    <row r="3565" spans="1:2" ht="12.5" x14ac:dyDescent="0.25">
      <c r="A3565" t="str">
        <f ca="1">IFERROR(__xludf.DUMMYFUNCTION("""COMPUTED_VALUE"""),"Leishmania (Leishmania) killicki")</f>
        <v>Leishmania (Leishmania) killicki</v>
      </c>
      <c r="B3565" t="str">
        <f ca="1">IFERROR(__xludf.DUMMYFUNCTION("""COMPUTED_VALUE"""),"RF-00002576-MCG")</f>
        <v>RF-00002576-MCG</v>
      </c>
    </row>
    <row r="3566" spans="1:2" ht="12.5" x14ac:dyDescent="0.25">
      <c r="A3566" t="str">
        <f ca="1">IFERROR(__xludf.DUMMYFUNCTION("""COMPUTED_VALUE"""),"Leishmania (Leishmania) major")</f>
        <v>Leishmania (Leishmania) major</v>
      </c>
      <c r="B3566" t="str">
        <f ca="1">IFERROR(__xludf.DUMMYFUNCTION("""COMPUTED_VALUE"""),"RF-00002579-MCG")</f>
        <v>RF-00002579-MCG</v>
      </c>
    </row>
    <row r="3567" spans="1:2" ht="12.5" x14ac:dyDescent="0.25">
      <c r="A3567" t="str">
        <f ca="1">IFERROR(__xludf.DUMMYFUNCTION("""COMPUTED_VALUE"""),"Leishmania (Leishmania) mexicana")</f>
        <v>Leishmania (Leishmania) mexicana</v>
      </c>
      <c r="B3567" t="str">
        <f ca="1">IFERROR(__xludf.DUMMYFUNCTION("""COMPUTED_VALUE"""),"RF-00002583-MCG")</f>
        <v>RF-00002583-MCG</v>
      </c>
    </row>
    <row r="3568" spans="1:2" ht="12.5" x14ac:dyDescent="0.25">
      <c r="A3568" t="str">
        <f ca="1">IFERROR(__xludf.DUMMYFUNCTION("""COMPUTED_VALUE"""),"Leishmania (Leishmania) pifanoi")</f>
        <v>Leishmania (Leishmania) pifanoi</v>
      </c>
      <c r="B3568" t="str">
        <f ca="1">IFERROR(__xludf.DUMMYFUNCTION("""COMPUTED_VALUE"""),"RF-00002586-MCG")</f>
        <v>RF-00002586-MCG</v>
      </c>
    </row>
    <row r="3569" spans="1:2" ht="12.5" x14ac:dyDescent="0.25">
      <c r="A3569" t="str">
        <f ca="1">IFERROR(__xludf.DUMMYFUNCTION("""COMPUTED_VALUE"""),"Leishmania (Leishmania) tropica")</f>
        <v>Leishmania (Leishmania) tropica</v>
      </c>
      <c r="B3569" t="str">
        <f ca="1">IFERROR(__xludf.DUMMYFUNCTION("""COMPUTED_VALUE"""),"RF-00002577-MCG")</f>
        <v>RF-00002577-MCG</v>
      </c>
    </row>
    <row r="3570" spans="1:2" ht="12.5" x14ac:dyDescent="0.25">
      <c r="A3570" t="str">
        <f ca="1">IFERROR(__xludf.DUMMYFUNCTION("""COMPUTED_VALUE"""),"Leishmania (Leishmania) turanica")</f>
        <v>Leishmania (Leishmania) turanica</v>
      </c>
      <c r="B3570" t="str">
        <f ca="1">IFERROR(__xludf.DUMMYFUNCTION("""COMPUTED_VALUE"""),"RF-00002591-MCG")</f>
        <v>RF-00002591-MCG</v>
      </c>
    </row>
    <row r="3571" spans="1:2" ht="12.5" x14ac:dyDescent="0.25">
      <c r="A3571" t="str">
        <f ca="1">IFERROR(__xludf.DUMMYFUNCTION("""COMPUTED_VALUE"""),"Leishmania (Leishmania) venezuelensis")</f>
        <v>Leishmania (Leishmania) venezuelensis</v>
      </c>
      <c r="B3571" t="str">
        <f ca="1">IFERROR(__xludf.DUMMYFUNCTION("""COMPUTED_VALUE"""),"RF-00002587-MCG")</f>
        <v>RF-00002587-MCG</v>
      </c>
    </row>
    <row r="3572" spans="1:2" ht="12.5" x14ac:dyDescent="0.25">
      <c r="A3572" t="str">
        <f ca="1">IFERROR(__xludf.DUMMYFUNCTION("""COMPUTED_VALUE"""),"Leishmania (Viannia) braziliensis")</f>
        <v>Leishmania (Viannia) braziliensis</v>
      </c>
      <c r="B3572" t="str">
        <f ca="1">IFERROR(__xludf.DUMMYFUNCTION("""COMPUTED_VALUE"""),"RF-00002597-MCG")</f>
        <v>RF-00002597-MCG</v>
      </c>
    </row>
    <row r="3573" spans="1:2" ht="12.5" x14ac:dyDescent="0.25">
      <c r="A3573" t="str">
        <f ca="1">IFERROR(__xludf.DUMMYFUNCTION("""COMPUTED_VALUE"""),"Leishmania (Viannia) colombiensis")</f>
        <v>Leishmania (Viannia) colombiensis</v>
      </c>
      <c r="B3573" t="str">
        <f ca="1">IFERROR(__xludf.DUMMYFUNCTION("""COMPUTED_VALUE"""),"RF-00002607-MCG")</f>
        <v>RF-00002607-MCG</v>
      </c>
    </row>
    <row r="3574" spans="1:2" ht="12.5" x14ac:dyDescent="0.25">
      <c r="A3574" t="str">
        <f ca="1">IFERROR(__xludf.DUMMYFUNCTION("""COMPUTED_VALUE"""),"Leishmania (Viannia) equatorensis")</f>
        <v>Leishmania (Viannia) equatorensis</v>
      </c>
      <c r="B3574" t="str">
        <f ca="1">IFERROR(__xludf.DUMMYFUNCTION("""COMPUTED_VALUE"""),"RF-00002608-MCG")</f>
        <v>RF-00002608-MCG</v>
      </c>
    </row>
    <row r="3575" spans="1:2" ht="12.5" x14ac:dyDescent="0.25">
      <c r="A3575" t="str">
        <f ca="1">IFERROR(__xludf.DUMMYFUNCTION("""COMPUTED_VALUE"""),"Leishmania (Viannia) guyanensis")</f>
        <v>Leishmania (Viannia) guyanensis</v>
      </c>
      <c r="B3575" t="str">
        <f ca="1">IFERROR(__xludf.DUMMYFUNCTION("""COMPUTED_VALUE"""),"RF-00002600-MCG")</f>
        <v>RF-00002600-MCG</v>
      </c>
    </row>
    <row r="3576" spans="1:2" ht="12.5" x14ac:dyDescent="0.25">
      <c r="A3576" t="str">
        <f ca="1">IFERROR(__xludf.DUMMYFUNCTION("""COMPUTED_VALUE"""),"Leishmania (Viannia) lainsoni")</f>
        <v>Leishmania (Viannia) lainsoni</v>
      </c>
      <c r="B3576" t="str">
        <f ca="1">IFERROR(__xludf.DUMMYFUNCTION("""COMPUTED_VALUE"""),"RF-00002606-MCG")</f>
        <v>RF-00002606-MCG</v>
      </c>
    </row>
    <row r="3577" spans="1:2" ht="12.5" x14ac:dyDescent="0.25">
      <c r="A3577" t="str">
        <f ca="1">IFERROR(__xludf.DUMMYFUNCTION("""COMPUTED_VALUE"""),"Leishmania (Viannia) naiffi")</f>
        <v>Leishmania (Viannia) naiffi</v>
      </c>
      <c r="B3577" t="str">
        <f ca="1">IFERROR(__xludf.DUMMYFUNCTION("""COMPUTED_VALUE"""),"RF-00002604-MCG")</f>
        <v>RF-00002604-MCG</v>
      </c>
    </row>
    <row r="3578" spans="1:2" ht="12.5" x14ac:dyDescent="0.25">
      <c r="A3578" t="str">
        <f ca="1">IFERROR(__xludf.DUMMYFUNCTION("""COMPUTED_VALUE"""),"Leishmania (Viannia) panamensis")</f>
        <v>Leishmania (Viannia) panamensis</v>
      </c>
      <c r="B3578" t="str">
        <f ca="1">IFERROR(__xludf.DUMMYFUNCTION("""COMPUTED_VALUE"""),"RF-00002601-MCG")</f>
        <v>RF-00002601-MCG</v>
      </c>
    </row>
    <row r="3579" spans="1:2" ht="12.5" x14ac:dyDescent="0.25">
      <c r="A3579" t="str">
        <f ca="1">IFERROR(__xludf.DUMMYFUNCTION("""COMPUTED_VALUE"""),"Leishmania (Viannia) peruviana")</f>
        <v>Leishmania (Viannia) peruviana</v>
      </c>
      <c r="B3579" t="str">
        <f ca="1">IFERROR(__xludf.DUMMYFUNCTION("""COMPUTED_VALUE"""),"RF-00002598-MCG")</f>
        <v>RF-00002598-MCG</v>
      </c>
    </row>
    <row r="3580" spans="1:2" ht="12.5" x14ac:dyDescent="0.25">
      <c r="A3580" t="str">
        <f ca="1">IFERROR(__xludf.DUMMYFUNCTION("""COMPUTED_VALUE"""),"Leishmania (Viannia) pifanoi")</f>
        <v>Leishmania (Viannia) pifanoi</v>
      </c>
      <c r="B3580" t="str">
        <f ca="1">IFERROR(__xludf.DUMMYFUNCTION("""COMPUTED_VALUE"""),"RF-00002609-MCG")</f>
        <v>RF-00002609-MCG</v>
      </c>
    </row>
    <row r="3581" spans="1:2" ht="12.5" x14ac:dyDescent="0.25">
      <c r="A3581" t="str">
        <f ca="1">IFERROR(__xludf.DUMMYFUNCTION("""COMPUTED_VALUE"""),"Leishmania (Viannia) shawi")</f>
        <v>Leishmania (Viannia) shawi</v>
      </c>
      <c r="B3581" t="str">
        <f ca="1">IFERROR(__xludf.DUMMYFUNCTION("""COMPUTED_VALUE"""),"RF-00002602-MCG")</f>
        <v>RF-00002602-MCG</v>
      </c>
    </row>
    <row r="3582" spans="1:2" ht="12.5" x14ac:dyDescent="0.25">
      <c r="A3582" t="str">
        <f ca="1">IFERROR(__xludf.DUMMYFUNCTION("""COMPUTED_VALUE"""),"Leishmania aethiopica complex")</f>
        <v>Leishmania aethiopica complex</v>
      </c>
      <c r="B3582" t="str">
        <f ca="1">IFERROR(__xludf.DUMMYFUNCTION("""COMPUTED_VALUE"""),"RF-00002580-MCG")</f>
        <v>RF-00002580-MCG</v>
      </c>
    </row>
    <row r="3583" spans="1:2" ht="12.5" x14ac:dyDescent="0.25">
      <c r="A3583" t="str">
        <f ca="1">IFERROR(__xludf.DUMMYFUNCTION("""COMPUTED_VALUE"""),"Leishmania braziliensis complex")</f>
        <v>Leishmania braziliensis complex</v>
      </c>
      <c r="B3583" t="str">
        <f ca="1">IFERROR(__xludf.DUMMYFUNCTION("""COMPUTED_VALUE"""),"RF-00002596-MCG")</f>
        <v>RF-00002596-MCG</v>
      </c>
    </row>
    <row r="3584" spans="1:2" ht="12.5" x14ac:dyDescent="0.25">
      <c r="A3584" t="str">
        <f ca="1">IFERROR(__xludf.DUMMYFUNCTION("""COMPUTED_VALUE"""),"Leishmania donovani complex")</f>
        <v>Leishmania donovani complex</v>
      </c>
      <c r="B3584" t="str">
        <f ca="1">IFERROR(__xludf.DUMMYFUNCTION("""COMPUTED_VALUE"""),"RF-00002570-MCG")</f>
        <v>RF-00002570-MCG</v>
      </c>
    </row>
    <row r="3585" spans="1:2" ht="12.5" x14ac:dyDescent="0.25">
      <c r="A3585" t="str">
        <f ca="1">IFERROR(__xludf.DUMMYFUNCTION("""COMPUTED_VALUE"""),"Leishmania guyanensis complex")</f>
        <v>Leishmania guyanensis complex</v>
      </c>
      <c r="B3585" t="str">
        <f ca="1">IFERROR(__xludf.DUMMYFUNCTION("""COMPUTED_VALUE"""),"RF-00002599-MCG")</f>
        <v>RF-00002599-MCG</v>
      </c>
    </row>
    <row r="3586" spans="1:2" ht="12.5" x14ac:dyDescent="0.25">
      <c r="A3586" t="str">
        <f ca="1">IFERROR(__xludf.DUMMYFUNCTION("""COMPUTED_VALUE"""),"Leishmania herreri")</f>
        <v>Leishmania herreri</v>
      </c>
      <c r="B3586" t="str">
        <f ca="1">IFERROR(__xludf.DUMMYFUNCTION("""COMPUTED_VALUE"""),"RF-00002611-MCG")</f>
        <v>RF-00002611-MCG</v>
      </c>
    </row>
    <row r="3587" spans="1:2" ht="12.5" x14ac:dyDescent="0.25">
      <c r="A3587" t="str">
        <f ca="1">IFERROR(__xludf.DUMMYFUNCTION("""COMPUTED_VALUE"""),"Leishmania lainsoni complex")</f>
        <v>Leishmania lainsoni complex</v>
      </c>
      <c r="B3587" t="str">
        <f ca="1">IFERROR(__xludf.DUMMYFUNCTION("""COMPUTED_VALUE"""),"RF-00002605-MCG")</f>
        <v>RF-00002605-MCG</v>
      </c>
    </row>
    <row r="3588" spans="1:2" ht="12.5" x14ac:dyDescent="0.25">
      <c r="A3588" t="str">
        <f ca="1">IFERROR(__xludf.DUMMYFUNCTION("""COMPUTED_VALUE"""),"Leishmania major complex")</f>
        <v>Leishmania major complex</v>
      </c>
      <c r="B3588" t="str">
        <f ca="1">IFERROR(__xludf.DUMMYFUNCTION("""COMPUTED_VALUE"""),"RF-00002578-MCG")</f>
        <v>RF-00002578-MCG</v>
      </c>
    </row>
    <row r="3589" spans="1:2" ht="12.5" x14ac:dyDescent="0.25">
      <c r="A3589" t="str">
        <f ca="1">IFERROR(__xludf.DUMMYFUNCTION("""COMPUTED_VALUE"""),"Leishmania mexicana complex")</f>
        <v>Leishmania mexicana complex</v>
      </c>
      <c r="B3589" t="str">
        <f ca="1">IFERROR(__xludf.DUMMYFUNCTION("""COMPUTED_VALUE"""),"RF-00002582-MCG")</f>
        <v>RF-00002582-MCG</v>
      </c>
    </row>
    <row r="3590" spans="1:2" ht="12.5" x14ac:dyDescent="0.25">
      <c r="A3590" t="str">
        <f ca="1">IFERROR(__xludf.DUMMYFUNCTION("""COMPUTED_VALUE"""),"Leishmania naiffi complex")</f>
        <v>Leishmania naiffi complex</v>
      </c>
      <c r="B3590" t="str">
        <f ca="1">IFERROR(__xludf.DUMMYFUNCTION("""COMPUTED_VALUE"""),"RF-00002603-MCG")</f>
        <v>RF-00002603-MCG</v>
      </c>
    </row>
    <row r="3591" spans="1:2" ht="12.5" x14ac:dyDescent="0.25">
      <c r="A3591" t="str">
        <f ca="1">IFERROR(__xludf.DUMMYFUNCTION("""COMPUTED_VALUE"""),"Leishmania tarentolae")</f>
        <v>Leishmania tarentolae</v>
      </c>
      <c r="B3591" t="str">
        <f ca="1">IFERROR(__xludf.DUMMYFUNCTION("""COMPUTED_VALUE"""),"RF-00002610-MCG")</f>
        <v>RF-00002610-MCG</v>
      </c>
    </row>
    <row r="3592" spans="1:2" ht="12.5" x14ac:dyDescent="0.25">
      <c r="A3592" t="str">
        <f ca="1">IFERROR(__xludf.DUMMYFUNCTION("""COMPUTED_VALUE"""),"Leishmania tropica complex")</f>
        <v>Leishmania tropica complex</v>
      </c>
      <c r="B3592" t="str">
        <f ca="1">IFERROR(__xludf.DUMMYFUNCTION("""COMPUTED_VALUE"""),"RF-00002575-MCG")</f>
        <v>RF-00002575-MCG</v>
      </c>
    </row>
    <row r="3593" spans="1:2" ht="12.5" x14ac:dyDescent="0.25">
      <c r="A3593" t="str">
        <f ca="1">IFERROR(__xludf.DUMMYFUNCTION("""COMPUTED_VALUE"""),"Lenacil")</f>
        <v>Lenacil</v>
      </c>
      <c r="B3593" t="str">
        <f ca="1">IFERROR(__xludf.DUMMYFUNCTION("""COMPUTED_VALUE"""),"RF-0262-001-PPP")</f>
        <v>RF-0262-001-PPP</v>
      </c>
    </row>
    <row r="3594" spans="1:2" ht="12.5" x14ac:dyDescent="0.25">
      <c r="A3594" t="str">
        <f ca="1">IFERROR(__xludf.DUMMYFUNCTION("""COMPUTED_VALUE"""),"Leptophos")</f>
        <v>Leptophos</v>
      </c>
      <c r="B3594" t="str">
        <f ca="1">IFERROR(__xludf.DUMMYFUNCTION("""COMPUTED_VALUE"""),"RF-0775-001-PPP")</f>
        <v>RF-0775-001-PPP</v>
      </c>
    </row>
    <row r="3595" spans="1:2" ht="12.5" x14ac:dyDescent="0.25">
      <c r="A3595" t="str">
        <f ca="1">IFERROR(__xludf.DUMMYFUNCTION("""COMPUTED_VALUE"""),"Leptospira")</f>
        <v>Leptospira</v>
      </c>
      <c r="B3595" t="str">
        <f ca="1">IFERROR(__xludf.DUMMYFUNCTION("""COMPUTED_VALUE"""),"RF-00000237-MCG")</f>
        <v>RF-00000237-MCG</v>
      </c>
    </row>
    <row r="3596" spans="1:2" ht="12.5" x14ac:dyDescent="0.25">
      <c r="A3596" t="str">
        <f ca="1">IFERROR(__xludf.DUMMYFUNCTION("""COMPUTED_VALUE"""),"Leptospira borgpetersenii")</f>
        <v>Leptospira borgpetersenii</v>
      </c>
      <c r="B3596" t="str">
        <f ca="1">IFERROR(__xludf.DUMMYFUNCTION("""COMPUTED_VALUE"""),"RF-00000238-MCG")</f>
        <v>RF-00000238-MCG</v>
      </c>
    </row>
    <row r="3597" spans="1:2" ht="12.5" x14ac:dyDescent="0.25">
      <c r="A3597" t="str">
        <f ca="1">IFERROR(__xludf.DUMMYFUNCTION("""COMPUTED_VALUE"""),"Leptospira interrogans")</f>
        <v>Leptospira interrogans</v>
      </c>
      <c r="B3597" t="str">
        <f ca="1">IFERROR(__xludf.DUMMYFUNCTION("""COMPUTED_VALUE"""),"RF-00000241-MCG")</f>
        <v>RF-00000241-MCG</v>
      </c>
    </row>
    <row r="3598" spans="1:2" ht="12.5" x14ac:dyDescent="0.25">
      <c r="A3598" t="str">
        <f ca="1">IFERROR(__xludf.DUMMYFUNCTION("""COMPUTED_VALUE"""),"Leptospira interrogans serovar Icterohaemorrhagiae")</f>
        <v>Leptospira interrogans serovar Icterohaemorrhagiae</v>
      </c>
      <c r="B3598" t="str">
        <f ca="1">IFERROR(__xludf.DUMMYFUNCTION("""COMPUTED_VALUE"""),"RF-00000242-MCG")</f>
        <v>RF-00000242-MCG</v>
      </c>
    </row>
    <row r="3599" spans="1:2" ht="12.5" x14ac:dyDescent="0.25">
      <c r="A3599" t="str">
        <f ca="1">IFERROR(__xludf.DUMMYFUNCTION("""COMPUTED_VALUE"""),"Leptospira interrogans serovar Saxkoebing")</f>
        <v>Leptospira interrogans serovar Saxkoebing</v>
      </c>
      <c r="B3599" t="str">
        <f ca="1">IFERROR(__xludf.DUMMYFUNCTION("""COMPUTED_VALUE"""),"RF-00000244-MCG")</f>
        <v>RF-00000244-MCG</v>
      </c>
    </row>
    <row r="3600" spans="1:2" ht="12.5" x14ac:dyDescent="0.25">
      <c r="A3600" t="str">
        <f ca="1">IFERROR(__xludf.DUMMYFUNCTION("""COMPUTED_VALUE"""),"Leptospira interrogans serovar Sejroe")</f>
        <v>Leptospira interrogans serovar Sejroe</v>
      </c>
      <c r="B3600" t="str">
        <f ca="1">IFERROR(__xludf.DUMMYFUNCTION("""COMPUTED_VALUE"""),"RF-00000243-MCG")</f>
        <v>RF-00000243-MCG</v>
      </c>
    </row>
    <row r="3601" spans="1:2" ht="12.5" x14ac:dyDescent="0.25">
      <c r="A3601" t="str">
        <f ca="1">IFERROR(__xludf.DUMMYFUNCTION("""COMPUTED_VALUE"""),"Leptospira kirschneriase")</f>
        <v>Leptospira kirschneriase</v>
      </c>
      <c r="B3601" t="str">
        <f ca="1">IFERROR(__xludf.DUMMYFUNCTION("""COMPUTED_VALUE"""),"RF-00000239-MCG")</f>
        <v>RF-00000239-MCG</v>
      </c>
    </row>
    <row r="3602" spans="1:2" ht="12.5" x14ac:dyDescent="0.25">
      <c r="A3602" t="str">
        <f ca="1">IFERROR(__xludf.DUMMYFUNCTION("""COMPUTED_VALUE"""),"Leptospira spp., unspecified")</f>
        <v>Leptospira spp., unspecified</v>
      </c>
      <c r="B3602" t="str">
        <f ca="1">IFERROR(__xludf.DUMMYFUNCTION("""COMPUTED_VALUE"""),"RF-00000240-MCG")</f>
        <v>RF-00000240-MCG</v>
      </c>
    </row>
    <row r="3603" spans="1:2" ht="12.5" x14ac:dyDescent="0.25">
      <c r="A3603" t="str">
        <f ca="1">IFERROR(__xludf.DUMMYFUNCTION("""COMPUTED_VALUE"""),"leucine")</f>
        <v>leucine</v>
      </c>
      <c r="B3603" t="str">
        <f ca="1">IFERROR(__xludf.DUMMYFUNCTION("""COMPUTED_VALUE"""),"RF-00000321-NTR")</f>
        <v>RF-00000321-NTR</v>
      </c>
    </row>
    <row r="3604" spans="1:2" ht="12.5" x14ac:dyDescent="0.25">
      <c r="A3604" t="str">
        <f ca="1">IFERROR(__xludf.DUMMYFUNCTION("""COMPUTED_VALUE"""),"Leukomycin")</f>
        <v>Leukomycin</v>
      </c>
      <c r="B3604" t="str">
        <f ca="1">IFERROR(__xludf.DUMMYFUNCTION("""COMPUTED_VALUE"""),"RF-00000661-VET")</f>
        <v>RF-00000661-VET</v>
      </c>
    </row>
    <row r="3605" spans="1:2" ht="12.5" x14ac:dyDescent="0.25">
      <c r="A3605" t="str">
        <f ca="1">IFERROR(__xludf.DUMMYFUNCTION("""COMPUTED_VALUE"""),"Levamisole")</f>
        <v>Levamisole</v>
      </c>
      <c r="B3605" t="str">
        <f ca="1">IFERROR(__xludf.DUMMYFUNCTION("""COMPUTED_VALUE"""),"RF-00000015-VET")</f>
        <v>RF-00000015-VET</v>
      </c>
    </row>
    <row r="3606" spans="1:2" ht="12.5" x14ac:dyDescent="0.25">
      <c r="A3606" t="str">
        <f ca="1">IFERROR(__xludf.DUMMYFUNCTION("""COMPUTED_VALUE"""),"Levofloxacin")</f>
        <v>Levofloxacin</v>
      </c>
      <c r="B3606" t="str">
        <f ca="1">IFERROR(__xludf.DUMMYFUNCTION("""COMPUTED_VALUE"""),"RF-00000660-VET")</f>
        <v>RF-00000660-VET</v>
      </c>
    </row>
    <row r="3607" spans="1:2" ht="12.5" x14ac:dyDescent="0.25">
      <c r="A3607" t="str">
        <f ca="1">IFERROR(__xludf.DUMMYFUNCTION("""COMPUTED_VALUE"""),"Levomepromazine (Methotrimeprazine)")</f>
        <v>Levomepromazine (Methotrimeprazine)</v>
      </c>
      <c r="B3607" t="str">
        <f ca="1">IFERROR(__xludf.DUMMYFUNCTION("""COMPUTED_VALUE"""),"RF-00000182-VET")</f>
        <v>RF-00000182-VET</v>
      </c>
    </row>
    <row r="3608" spans="1:2" ht="12.5" x14ac:dyDescent="0.25">
      <c r="A3608" t="str">
        <f ca="1">IFERROR(__xludf.DUMMYFUNCTION("""COMPUTED_VALUE"""),"lignans, total")</f>
        <v>lignans, total</v>
      </c>
      <c r="B3608" t="str">
        <f ca="1">IFERROR(__xludf.DUMMYFUNCTION("""COMPUTED_VALUE"""),"RF-00000322-NTR")</f>
        <v>RF-00000322-NTR</v>
      </c>
    </row>
    <row r="3609" spans="1:2" ht="12.5" x14ac:dyDescent="0.25">
      <c r="A3609" t="str">
        <f ca="1">IFERROR(__xludf.DUMMYFUNCTION("""COMPUTED_VALUE"""),"lignin")</f>
        <v>lignin</v>
      </c>
      <c r="B3609" t="str">
        <f ca="1">IFERROR(__xludf.DUMMYFUNCTION("""COMPUTED_VALUE"""),"RF-00000323-NTR")</f>
        <v>RF-00000323-NTR</v>
      </c>
    </row>
    <row r="3610" spans="1:2" ht="12.5" x14ac:dyDescent="0.25">
      <c r="A3610" t="str">
        <f ca="1">IFERROR(__xludf.DUMMYFUNCTION("""COMPUTED_VALUE"""),"Lime sulphur")</f>
        <v>Lime sulphur</v>
      </c>
      <c r="B3610" t="str">
        <f ca="1">IFERROR(__xludf.DUMMYFUNCTION("""COMPUTED_VALUE"""),"RF-0981-001-PPP")</f>
        <v>RF-0981-001-PPP</v>
      </c>
    </row>
    <row r="3611" spans="1:2" ht="12.5" x14ac:dyDescent="0.25">
      <c r="A3611" t="str">
        <f ca="1">IFERROR(__xludf.DUMMYFUNCTION("""COMPUTED_VALUE"""),"Lincomycin")</f>
        <v>Lincomycin</v>
      </c>
      <c r="B3611" t="str">
        <f ca="1">IFERROR(__xludf.DUMMYFUNCTION("""COMPUTED_VALUE"""),"RF-00000658-VET")</f>
        <v>RF-00000658-VET</v>
      </c>
    </row>
    <row r="3612" spans="1:2" ht="12.5" x14ac:dyDescent="0.25">
      <c r="A3612" t="str">
        <f ca="1">IFERROR(__xludf.DUMMYFUNCTION("""COMPUTED_VALUE"""),"Lincomycin hydrochloride")</f>
        <v>Lincomycin hydrochloride</v>
      </c>
      <c r="B3612" t="str">
        <f ca="1">IFERROR(__xludf.DUMMYFUNCTION("""COMPUTED_VALUE"""),"RF-00000653-VET")</f>
        <v>RF-00000653-VET</v>
      </c>
    </row>
    <row r="3613" spans="1:2" ht="12.5" x14ac:dyDescent="0.25">
      <c r="A3613" t="str">
        <f ca="1">IFERROR(__xludf.DUMMYFUNCTION("""COMPUTED_VALUE"""),"Lincosamides")</f>
        <v>Lincosamides</v>
      </c>
      <c r="B3613" t="str">
        <f ca="1">IFERROR(__xludf.DUMMYFUNCTION("""COMPUTED_VALUE"""),"RF-00000652-VET")</f>
        <v>RF-00000652-VET</v>
      </c>
    </row>
    <row r="3614" spans="1:2" ht="12.5" x14ac:dyDescent="0.25">
      <c r="A3614" t="str">
        <f ca="1">IFERROR(__xludf.DUMMYFUNCTION("""COMPUTED_VALUE"""),"Lindane (Gamma-isomer of hexachlorociclohexane (HCH))")</f>
        <v>Lindane (Gamma-isomer of hexachlorociclohexane (HCH))</v>
      </c>
      <c r="B3614" t="str">
        <f ca="1">IFERROR(__xludf.DUMMYFUNCTION("""COMPUTED_VALUE"""),"RF-0263-001-PPP")</f>
        <v>RF-0263-001-PPP</v>
      </c>
    </row>
    <row r="3615" spans="1:2" ht="12.5" x14ac:dyDescent="0.25">
      <c r="A3615" t="str">
        <f ca="1">IFERROR(__xludf.DUMMYFUNCTION("""COMPUTED_VALUE"""),"Linezolid")</f>
        <v>Linezolid</v>
      </c>
      <c r="B3615" t="str">
        <f ca="1">IFERROR(__xludf.DUMMYFUNCTION("""COMPUTED_VALUE"""),"RF-00000758-VET")</f>
        <v>RF-00000758-VET</v>
      </c>
    </row>
    <row r="3616" spans="1:2" ht="12.5" x14ac:dyDescent="0.25">
      <c r="A3616" t="str">
        <f ca="1">IFERROR(__xludf.DUMMYFUNCTION("""COMPUTED_VALUE"""),"Linuron")</f>
        <v>Linuron</v>
      </c>
      <c r="B3616" t="str">
        <f ca="1">IFERROR(__xludf.DUMMYFUNCTION("""COMPUTED_VALUE"""),"RF-0264-001-PPP")</f>
        <v>RF-0264-001-PPP</v>
      </c>
    </row>
    <row r="3617" spans="1:2" ht="12.5" x14ac:dyDescent="0.25">
      <c r="A3617" t="str">
        <f ca="1">IFERROR(__xludf.DUMMYFUNCTION("""COMPUTED_VALUE"""),"Listeria")</f>
        <v>Listeria</v>
      </c>
      <c r="B3617" t="str">
        <f ca="1">IFERROR(__xludf.DUMMYFUNCTION("""COMPUTED_VALUE"""),"RF-00000245-MCG")</f>
        <v>RF-00000245-MCG</v>
      </c>
    </row>
    <row r="3618" spans="1:2" ht="12.5" x14ac:dyDescent="0.25">
      <c r="A3618" t="str">
        <f ca="1">IFERROR(__xludf.DUMMYFUNCTION("""COMPUTED_VALUE"""),"Listeria - L. grayi")</f>
        <v>Listeria - L. grayi</v>
      </c>
      <c r="B3618" t="str">
        <f ca="1">IFERROR(__xludf.DUMMYFUNCTION("""COMPUTED_VALUE"""),"RF-00003521-MCG")</f>
        <v>RF-00003521-MCG</v>
      </c>
    </row>
    <row r="3619" spans="1:2" ht="12.5" x14ac:dyDescent="0.25">
      <c r="A3619" t="str">
        <f ca="1">IFERROR(__xludf.DUMMYFUNCTION("""COMPUTED_VALUE"""),"Listeria innocua")</f>
        <v>Listeria innocua</v>
      </c>
      <c r="B3619" t="str">
        <f ca="1">IFERROR(__xludf.DUMMYFUNCTION("""COMPUTED_VALUE"""),"RF-00000250-MCG")</f>
        <v>RF-00000250-MCG</v>
      </c>
    </row>
    <row r="3620" spans="1:2" ht="12.5" x14ac:dyDescent="0.25">
      <c r="A3620" t="str">
        <f ca="1">IFERROR(__xludf.DUMMYFUNCTION("""COMPUTED_VALUE"""),"Listeria ivanovii")</f>
        <v>Listeria ivanovii</v>
      </c>
      <c r="B3620" t="str">
        <f ca="1">IFERROR(__xludf.DUMMYFUNCTION("""COMPUTED_VALUE"""),"RF-00000246-MCG")</f>
        <v>RF-00000246-MCG</v>
      </c>
    </row>
    <row r="3621" spans="1:2" ht="12.5" x14ac:dyDescent="0.25">
      <c r="A3621" t="str">
        <f ca="1">IFERROR(__xludf.DUMMYFUNCTION("""COMPUTED_VALUE"""),"Listeria monocytogenes")</f>
        <v>Listeria monocytogenes</v>
      </c>
      <c r="B3621" t="str">
        <f ca="1">IFERROR(__xludf.DUMMYFUNCTION("""COMPUTED_VALUE"""),"RF-00000251-MCG")</f>
        <v>RF-00000251-MCG</v>
      </c>
    </row>
    <row r="3622" spans="1:2" ht="12.5" x14ac:dyDescent="0.25">
      <c r="A3622" t="str">
        <f ca="1">IFERROR(__xludf.DUMMYFUNCTION("""COMPUTED_VALUE"""),"Listeria monocytogenes enterotoxins")</f>
        <v>Listeria monocytogenes enterotoxins</v>
      </c>
      <c r="B3622" t="str">
        <f ca="1">IFERROR(__xludf.DUMMYFUNCTION("""COMPUTED_VALUE"""),"RF-00000006-TOX")</f>
        <v>RF-00000006-TOX</v>
      </c>
    </row>
    <row r="3623" spans="1:2" ht="12.5" x14ac:dyDescent="0.25">
      <c r="A3623" t="str">
        <f ca="1">IFERROR(__xludf.DUMMYFUNCTION("""COMPUTED_VALUE"""),"Listeria monocytogenes O1 - 2")</f>
        <v>Listeria monocytogenes O1 - 2</v>
      </c>
      <c r="B3623" t="str">
        <f ca="1">IFERROR(__xludf.DUMMYFUNCTION("""COMPUTED_VALUE"""),"RF-00000259-MCG")</f>
        <v>RF-00000259-MCG</v>
      </c>
    </row>
    <row r="3624" spans="1:2" ht="12.5" x14ac:dyDescent="0.25">
      <c r="A3624" t="str">
        <f ca="1">IFERROR(__xludf.DUMMYFUNCTION("""COMPUTED_VALUE"""),"Listeria monocytogenes O4")</f>
        <v>Listeria monocytogenes O4</v>
      </c>
      <c r="B3624" t="str">
        <f ca="1">IFERROR(__xludf.DUMMYFUNCTION("""COMPUTED_VALUE"""),"RF-00000253-MCG")</f>
        <v>RF-00000253-MCG</v>
      </c>
    </row>
    <row r="3625" spans="1:2" ht="12.5" x14ac:dyDescent="0.25">
      <c r="A3625" t="str">
        <f ca="1">IFERROR(__xludf.DUMMYFUNCTION("""COMPUTED_VALUE"""),"Listeria monocytogenes serovar 1 - 2a")</f>
        <v>Listeria monocytogenes serovar 1 - 2a</v>
      </c>
      <c r="B3625" t="str">
        <f ca="1">IFERROR(__xludf.DUMMYFUNCTION("""COMPUTED_VALUE"""),"RF-00000258-MCG")</f>
        <v>RF-00000258-MCG</v>
      </c>
    </row>
    <row r="3626" spans="1:2" ht="12.5" x14ac:dyDescent="0.25">
      <c r="A3626" t="str">
        <f ca="1">IFERROR(__xludf.DUMMYFUNCTION("""COMPUTED_VALUE"""),"Listeria monocytogenes serovar 1 - 2b")</f>
        <v>Listeria monocytogenes serovar 1 - 2b</v>
      </c>
      <c r="B3626" t="str">
        <f ca="1">IFERROR(__xludf.DUMMYFUNCTION("""COMPUTED_VALUE"""),"RF-00000257-MCG")</f>
        <v>RF-00000257-MCG</v>
      </c>
    </row>
    <row r="3627" spans="1:2" ht="12.5" x14ac:dyDescent="0.25">
      <c r="A3627" t="str">
        <f ca="1">IFERROR(__xludf.DUMMYFUNCTION("""COMPUTED_VALUE"""),"Listeria monocytogenes serovar 1 - 2c")</f>
        <v>Listeria monocytogenes serovar 1 - 2c</v>
      </c>
      <c r="B3627" t="str">
        <f ca="1">IFERROR(__xludf.DUMMYFUNCTION("""COMPUTED_VALUE"""),"RF-00000256-MCG")</f>
        <v>RF-00000256-MCG</v>
      </c>
    </row>
    <row r="3628" spans="1:2" ht="12.5" x14ac:dyDescent="0.25">
      <c r="A3628" t="str">
        <f ca="1">IFERROR(__xludf.DUMMYFUNCTION("""COMPUTED_VALUE"""),"Listeria monocytogenes serovar 3a")</f>
        <v>Listeria monocytogenes serovar 3a</v>
      </c>
      <c r="B3628" t="str">
        <f ca="1">IFERROR(__xludf.DUMMYFUNCTION("""COMPUTED_VALUE"""),"RF-00000255-MCG")</f>
        <v>RF-00000255-MCG</v>
      </c>
    </row>
    <row r="3629" spans="1:2" ht="12.5" x14ac:dyDescent="0.25">
      <c r="A3629" t="str">
        <f ca="1">IFERROR(__xludf.DUMMYFUNCTION("""COMPUTED_VALUE"""),"Listeria monocytogenes serovar 3b")</f>
        <v>Listeria monocytogenes serovar 3b</v>
      </c>
      <c r="B3629" t="str">
        <f ca="1">IFERROR(__xludf.DUMMYFUNCTION("""COMPUTED_VALUE"""),"RF-00000252-MCG")</f>
        <v>RF-00000252-MCG</v>
      </c>
    </row>
    <row r="3630" spans="1:2" ht="12.5" x14ac:dyDescent="0.25">
      <c r="A3630" t="str">
        <f ca="1">IFERROR(__xludf.DUMMYFUNCTION("""COMPUTED_VALUE"""),"Listeria monocytogenes serovar 4b")</f>
        <v>Listeria monocytogenes serovar 4b</v>
      </c>
      <c r="B3630" t="str">
        <f ca="1">IFERROR(__xludf.DUMMYFUNCTION("""COMPUTED_VALUE"""),"RF-00000254-MCG")</f>
        <v>RF-00000254-MCG</v>
      </c>
    </row>
    <row r="3631" spans="1:2" ht="12.5" x14ac:dyDescent="0.25">
      <c r="A3631" t="str">
        <f ca="1">IFERROR(__xludf.DUMMYFUNCTION("""COMPUTED_VALUE"""),"Listeria monocytogenes, unspecified")</f>
        <v>Listeria monocytogenes, unspecified</v>
      </c>
      <c r="B3631" t="str">
        <f ca="1">IFERROR(__xludf.DUMMYFUNCTION("""COMPUTED_VALUE"""),"RF-00000260-MCG")</f>
        <v>RF-00000260-MCG</v>
      </c>
    </row>
    <row r="3632" spans="1:2" ht="12.5" x14ac:dyDescent="0.25">
      <c r="A3632" t="str">
        <f ca="1">IFERROR(__xludf.DUMMYFUNCTION("""COMPUTED_VALUE"""),"Listeria seeligeri")</f>
        <v>Listeria seeligeri</v>
      </c>
      <c r="B3632" t="str">
        <f ca="1">IFERROR(__xludf.DUMMYFUNCTION("""COMPUTED_VALUE"""),"RF-00000247-MCG")</f>
        <v>RF-00000247-MCG</v>
      </c>
    </row>
    <row r="3633" spans="1:2" ht="12.5" x14ac:dyDescent="0.25">
      <c r="A3633" t="str">
        <f ca="1">IFERROR(__xludf.DUMMYFUNCTION("""COMPUTED_VALUE"""),"Listeria spp., unspecified")</f>
        <v>Listeria spp., unspecified</v>
      </c>
      <c r="B3633" t="str">
        <f ca="1">IFERROR(__xludf.DUMMYFUNCTION("""COMPUTED_VALUE"""),"RF-00000249-MCG")</f>
        <v>RF-00000249-MCG</v>
      </c>
    </row>
    <row r="3634" spans="1:2" ht="12.5" x14ac:dyDescent="0.25">
      <c r="A3634" t="str">
        <f ca="1">IFERROR(__xludf.DUMMYFUNCTION("""COMPUTED_VALUE"""),"Listeria welshimeri")</f>
        <v>Listeria welshimeri</v>
      </c>
      <c r="B3634" t="str">
        <f ca="1">IFERROR(__xludf.DUMMYFUNCTION("""COMPUTED_VALUE"""),"RF-00000248-MCG")</f>
        <v>RF-00000248-MCG</v>
      </c>
    </row>
    <row r="3635" spans="1:2" ht="12.5" x14ac:dyDescent="0.25">
      <c r="A3635" t="str">
        <f ca="1">IFERROR(__xludf.DUMMYFUNCTION("""COMPUTED_VALUE"""),"Lithium (Li)")</f>
        <v>Lithium (Li)</v>
      </c>
      <c r="B3635" t="str">
        <f ca="1">IFERROR(__xludf.DUMMYFUNCTION("""COMPUTED_VALUE"""),"RF-00000172-CHE")</f>
        <v>RF-00000172-CHE</v>
      </c>
    </row>
    <row r="3636" spans="1:2" ht="12.5" x14ac:dyDescent="0.25">
      <c r="A3636" t="str">
        <f ca="1">IFERROR(__xludf.DUMMYFUNCTION("""COMPUTED_VALUE"""),"Lithium and derivatives")</f>
        <v>Lithium and derivatives</v>
      </c>
      <c r="B3636" t="str">
        <f ca="1">IFERROR(__xludf.DUMMYFUNCTION("""COMPUTED_VALUE"""),"RF-00000171-CHE")</f>
        <v>RF-00000171-CHE</v>
      </c>
    </row>
    <row r="3637" spans="1:2" ht="12.5" x14ac:dyDescent="0.25">
      <c r="A3637" t="str">
        <f ca="1">IFERROR(__xludf.DUMMYFUNCTION("""COMPUTED_VALUE"""),"Litholrubine BK")</f>
        <v>Litholrubine BK</v>
      </c>
      <c r="B3637" t="str">
        <f ca="1">IFERROR(__xludf.DUMMYFUNCTION("""COMPUTED_VALUE"""),"RF-00000172-ADD")</f>
        <v>RF-00000172-ADD</v>
      </c>
    </row>
    <row r="3638" spans="1:2" ht="12.5" x14ac:dyDescent="0.25">
      <c r="A3638" t="str">
        <f ca="1">IFERROR(__xludf.DUMMYFUNCTION("""COMPUTED_VALUE"""),"Lithosenine")</f>
        <v>Lithosenine</v>
      </c>
      <c r="B3638" t="str">
        <f ca="1">IFERROR(__xludf.DUMMYFUNCTION("""COMPUTED_VALUE"""),"RF-00000290-TOX")</f>
        <v>RF-00000290-TOX</v>
      </c>
    </row>
    <row r="3639" spans="1:2" ht="12.5" x14ac:dyDescent="0.25">
      <c r="A3639" t="str">
        <f ca="1">IFERROR(__xludf.DUMMYFUNCTION("""COMPUTED_VALUE"""),"Locust bean gum")</f>
        <v>Locust bean gum</v>
      </c>
      <c r="B3639" t="str">
        <f ca="1">IFERROR(__xludf.DUMMYFUNCTION("""COMPUTED_VALUE"""),"RF-00000173-ADD")</f>
        <v>RF-00000173-ADD</v>
      </c>
    </row>
    <row r="3640" spans="1:2" ht="12.5" x14ac:dyDescent="0.25">
      <c r="A3640" t="str">
        <f ca="1">IFERROR(__xludf.DUMMYFUNCTION("""COMPUTED_VALUE"""),"Lufenuron")</f>
        <v>Lufenuron</v>
      </c>
      <c r="B3640" t="str">
        <f ca="1">IFERROR(__xludf.DUMMYFUNCTION("""COMPUTED_VALUE"""),"RF-0265-001-PPP")</f>
        <v>RF-0265-001-PPP</v>
      </c>
    </row>
    <row r="3641" spans="1:2" ht="12.5" x14ac:dyDescent="0.25">
      <c r="A3641" t="str">
        <f ca="1">IFERROR(__xludf.DUMMYFUNCTION("""COMPUTED_VALUE"""),"Lutein")</f>
        <v>Lutein</v>
      </c>
      <c r="B3641" t="str">
        <f ca="1">IFERROR(__xludf.DUMMYFUNCTION("""COMPUTED_VALUE"""),"RF-00000174-ADD")</f>
        <v>RF-00000174-ADD</v>
      </c>
    </row>
    <row r="3642" spans="1:2" ht="12.5" x14ac:dyDescent="0.25">
      <c r="A3642" t="str">
        <f ca="1">IFERROR(__xludf.DUMMYFUNCTION("""COMPUTED_VALUE"""),"lutein plus zeaxanthine")</f>
        <v>lutein plus zeaxanthine</v>
      </c>
      <c r="B3642" t="str">
        <f ca="1">IFERROR(__xludf.DUMMYFUNCTION("""COMPUTED_VALUE"""),"RF-00000325-NTR")</f>
        <v>RF-00000325-NTR</v>
      </c>
    </row>
    <row r="3643" spans="1:2" ht="12.5" x14ac:dyDescent="0.25">
      <c r="A3643" t="str">
        <f ca="1">IFERROR(__xludf.DUMMYFUNCTION("""COMPUTED_VALUE"""),"luteolin")</f>
        <v>luteolin</v>
      </c>
      <c r="B3643" t="str">
        <f ca="1">IFERROR(__xludf.DUMMYFUNCTION("""COMPUTED_VALUE"""),"RF-00000326-NTR")</f>
        <v>RF-00000326-NTR</v>
      </c>
    </row>
    <row r="3644" spans="1:2" ht="12.5" x14ac:dyDescent="0.25">
      <c r="A3644" t="str">
        <f ca="1">IFERROR(__xludf.DUMMYFUNCTION("""COMPUTED_VALUE"""),"Lycopene")</f>
        <v>Lycopene</v>
      </c>
      <c r="B3644" t="str">
        <f ca="1">IFERROR(__xludf.DUMMYFUNCTION("""COMPUTED_VALUE"""),"RF-00000175-ADD")</f>
        <v>RF-00000175-ADD</v>
      </c>
    </row>
    <row r="3645" spans="1:2" ht="12.5" x14ac:dyDescent="0.25">
      <c r="A3645" t="str">
        <f ca="1">IFERROR(__xludf.DUMMYFUNCTION("""COMPUTED_VALUE"""),"Lycopsamine")</f>
        <v>Lycopsamine</v>
      </c>
      <c r="B3645" t="str">
        <f ca="1">IFERROR(__xludf.DUMMYFUNCTION("""COMPUTED_VALUE"""),"RF-00000228-TOX")</f>
        <v>RF-00000228-TOX</v>
      </c>
    </row>
    <row r="3646" spans="1:2" ht="12.5" x14ac:dyDescent="0.25">
      <c r="A3646" t="str">
        <f ca="1">IFERROR(__xludf.DUMMYFUNCTION("""COMPUTED_VALUE"""),"Lycopsamine-N-oxide")</f>
        <v>Lycopsamine-N-oxide</v>
      </c>
      <c r="B3646" t="str">
        <f ca="1">IFERROR(__xludf.DUMMYFUNCTION("""COMPUTED_VALUE"""),"RF-00000360-TOX")</f>
        <v>RF-00000360-TOX</v>
      </c>
    </row>
    <row r="3647" spans="1:2" ht="12.5" x14ac:dyDescent="0.25">
      <c r="A3647" t="str">
        <f ca="1">IFERROR(__xludf.DUMMYFUNCTION("""COMPUTED_VALUE"""),"Lynestrenol")</f>
        <v>Lynestrenol</v>
      </c>
      <c r="B3647" t="str">
        <f ca="1">IFERROR(__xludf.DUMMYFUNCTION("""COMPUTED_VALUE"""),"RF-00000326-VET")</f>
        <v>RF-00000326-VET</v>
      </c>
    </row>
    <row r="3648" spans="1:2" ht="12.5" x14ac:dyDescent="0.25">
      <c r="A3648" t="str">
        <f ca="1">IFERROR(__xludf.DUMMYFUNCTION("""COMPUTED_VALUE"""),"Lysergol")</f>
        <v>Lysergol</v>
      </c>
      <c r="B3648" t="str">
        <f ca="1">IFERROR(__xludf.DUMMYFUNCTION("""COMPUTED_VALUE"""),"RF-00000408-TOX")</f>
        <v>RF-00000408-TOX</v>
      </c>
    </row>
    <row r="3649" spans="1:2" ht="12.5" x14ac:dyDescent="0.25">
      <c r="A3649" t="str">
        <f ca="1">IFERROR(__xludf.DUMMYFUNCTION("""COMPUTED_VALUE"""),"lysine")</f>
        <v>lysine</v>
      </c>
      <c r="B3649" t="str">
        <f ca="1">IFERROR(__xludf.DUMMYFUNCTION("""COMPUTED_VALUE"""),"RF-00000327-NTR")</f>
        <v>RF-00000327-NTR</v>
      </c>
    </row>
    <row r="3650" spans="1:2" ht="12.5" x14ac:dyDescent="0.25">
      <c r="A3650" t="str">
        <f ca="1">IFERROR(__xludf.DUMMYFUNCTION("""COMPUTED_VALUE"""),"lysine, available")</f>
        <v>lysine, available</v>
      </c>
      <c r="B3650" t="str">
        <f ca="1">IFERROR(__xludf.DUMMYFUNCTION("""COMPUTED_VALUE"""),"RF-00000328-NTR")</f>
        <v>RF-00000328-NTR</v>
      </c>
    </row>
    <row r="3651" spans="1:2" ht="12.5" x14ac:dyDescent="0.25">
      <c r="A3651" t="str">
        <f ca="1">IFERROR(__xludf.DUMMYFUNCTION("""COMPUTED_VALUE"""),"Lysozyme")</f>
        <v>Lysozyme</v>
      </c>
      <c r="B3651" t="str">
        <f ca="1">IFERROR(__xludf.DUMMYFUNCTION("""COMPUTED_VALUE"""),"RF-00000176-ADD")</f>
        <v>RF-00000176-ADD</v>
      </c>
    </row>
    <row r="3652" spans="1:2" ht="12.5" x14ac:dyDescent="0.25">
      <c r="A3652" t="str">
        <f ca="1">IFERROR(__xludf.DUMMYFUNCTION("""COMPUTED_VALUE"""),"Lyssavirus")</f>
        <v>Lyssavirus</v>
      </c>
      <c r="B3652" t="str">
        <f ca="1">IFERROR(__xludf.DUMMYFUNCTION("""COMPUTED_VALUE"""),"RF-00000261-MCG")</f>
        <v>RF-00000261-MCG</v>
      </c>
    </row>
    <row r="3653" spans="1:2" ht="12.5" x14ac:dyDescent="0.25">
      <c r="A3653" t="str">
        <f ca="1">IFERROR(__xludf.DUMMYFUNCTION("""COMPUTED_VALUE"""),"Lyssavirus (rabies) - EBLV-1")</f>
        <v>Lyssavirus (rabies) - EBLV-1</v>
      </c>
      <c r="B3653" t="str">
        <f ca="1">IFERROR(__xludf.DUMMYFUNCTION("""COMPUTED_VALUE"""),"RF-00000266-MCG")</f>
        <v>RF-00000266-MCG</v>
      </c>
    </row>
    <row r="3654" spans="1:2" ht="12.5" x14ac:dyDescent="0.25">
      <c r="A3654" t="str">
        <f ca="1">IFERROR(__xludf.DUMMYFUNCTION("""COMPUTED_VALUE"""),"Lyssavirus (rabies) - EBLV-2")</f>
        <v>Lyssavirus (rabies) - EBLV-2</v>
      </c>
      <c r="B3654" t="str">
        <f ca="1">IFERROR(__xludf.DUMMYFUNCTION("""COMPUTED_VALUE"""),"RF-00000265-MCG")</f>
        <v>RF-00000265-MCG</v>
      </c>
    </row>
    <row r="3655" spans="1:2" ht="12.5" x14ac:dyDescent="0.25">
      <c r="A3655" t="str">
        <f ca="1">IFERROR(__xludf.DUMMYFUNCTION("""COMPUTED_VALUE"""),"Lyssavirus (rabies) - Lyssavirus (unspecified virus)")</f>
        <v>Lyssavirus (rabies) - Lyssavirus (unspecified virus)</v>
      </c>
      <c r="B3655" t="str">
        <f ca="1">IFERROR(__xludf.DUMMYFUNCTION("""COMPUTED_VALUE"""),"RF-00003519-MCG")</f>
        <v>RF-00003519-MCG</v>
      </c>
    </row>
    <row r="3656" spans="1:2" ht="12.5" x14ac:dyDescent="0.25">
      <c r="A3656" t="str">
        <f ca="1">IFERROR(__xludf.DUMMYFUNCTION("""COMPUTED_VALUE"""),"Lyssavirus (rabies) - Rabies virus (RABV)")</f>
        <v>Lyssavirus (rabies) - Rabies virus (RABV)</v>
      </c>
      <c r="B3656" t="str">
        <f ca="1">IFERROR(__xludf.DUMMYFUNCTION("""COMPUTED_VALUE"""),"RF-00000267-MCG")</f>
        <v>RF-00000267-MCG</v>
      </c>
    </row>
    <row r="3657" spans="1:2" ht="12.5" x14ac:dyDescent="0.25">
      <c r="A3657" t="str">
        <f ca="1">IFERROR(__xludf.DUMMYFUNCTION("""COMPUTED_VALUE"""),"Mabuterol")</f>
        <v>Mabuterol</v>
      </c>
      <c r="B3657" t="str">
        <f ca="1">IFERROR(__xludf.DUMMYFUNCTION("""COMPUTED_VALUE"""),"RF-00000458-VET")</f>
        <v>RF-00000458-VET</v>
      </c>
    </row>
    <row r="3658" spans="1:2" ht="12.5" x14ac:dyDescent="0.25">
      <c r="A3658" t="str">
        <f ca="1">IFERROR(__xludf.DUMMYFUNCTION("""COMPUTED_VALUE"""),"Macrolides")</f>
        <v>Macrolides</v>
      </c>
      <c r="B3658" t="str">
        <f ca="1">IFERROR(__xludf.DUMMYFUNCTION("""COMPUTED_VALUE"""),"RF-00000696-VET")</f>
        <v>RF-00000696-VET</v>
      </c>
    </row>
    <row r="3659" spans="1:2" ht="12.5" x14ac:dyDescent="0.25">
      <c r="A3659" t="str">
        <f ca="1">IFERROR(__xludf.DUMMYFUNCTION("""COMPUTED_VALUE"""),"Maduramicin")</f>
        <v>Maduramicin</v>
      </c>
      <c r="B3659" t="str">
        <f ca="1">IFERROR(__xludf.DUMMYFUNCTION("""COMPUTED_VALUE"""),"RF-00000075-VET")</f>
        <v>RF-00000075-VET</v>
      </c>
    </row>
    <row r="3660" spans="1:2" ht="12.5" x14ac:dyDescent="0.25">
      <c r="A3660" t="str">
        <f ca="1">IFERROR(__xludf.DUMMYFUNCTION("""COMPUTED_VALUE"""),"Maduramicin ammonium")</f>
        <v>Maduramicin ammonium</v>
      </c>
      <c r="B3660" t="str">
        <f ca="1">IFERROR(__xludf.DUMMYFUNCTION("""COMPUTED_VALUE"""),"RF-00000077-VET")</f>
        <v>RF-00000077-VET</v>
      </c>
    </row>
    <row r="3661" spans="1:2" ht="12.5" x14ac:dyDescent="0.25">
      <c r="A3661" t="str">
        <f ca="1">IFERROR(__xludf.DUMMYFUNCTION("""COMPUTED_VALUE"""),"Magnesium (Mg)")</f>
        <v>Magnesium (Mg)</v>
      </c>
      <c r="B3661" t="str">
        <f ca="1">IFERROR(__xludf.DUMMYFUNCTION("""COMPUTED_VALUE"""),"RF-00000060-CHE")</f>
        <v>RF-00000060-CHE</v>
      </c>
    </row>
    <row r="3662" spans="1:2" ht="12.5" x14ac:dyDescent="0.25">
      <c r="A3662" t="str">
        <f ca="1">IFERROR(__xludf.DUMMYFUNCTION("""COMPUTED_VALUE"""),"Magnesium and derivatives")</f>
        <v>Magnesium and derivatives</v>
      </c>
      <c r="B3662" t="str">
        <f ca="1">IFERROR(__xludf.DUMMYFUNCTION("""COMPUTED_VALUE"""),"RF-00000059-CHE")</f>
        <v>RF-00000059-CHE</v>
      </c>
    </row>
    <row r="3663" spans="1:2" ht="12.5" x14ac:dyDescent="0.25">
      <c r="A3663" t="str">
        <f ca="1">IFERROR(__xludf.DUMMYFUNCTION("""COMPUTED_VALUE"""),"Magnesium carbonates")</f>
        <v>Magnesium carbonates</v>
      </c>
      <c r="B3663" t="str">
        <f ca="1">IFERROR(__xludf.DUMMYFUNCTION("""COMPUTED_VALUE"""),"RF-00000177-ADD")</f>
        <v>RF-00000177-ADD</v>
      </c>
    </row>
    <row r="3664" spans="1:2" ht="12.5" x14ac:dyDescent="0.25">
      <c r="A3664" t="str">
        <f ca="1">IFERROR(__xludf.DUMMYFUNCTION("""COMPUTED_VALUE"""),"Magnesium chloride")</f>
        <v>Magnesium chloride</v>
      </c>
      <c r="B3664" t="str">
        <f ca="1">IFERROR(__xludf.DUMMYFUNCTION("""COMPUTED_VALUE"""),"RF-00000178-ADD")</f>
        <v>RF-00000178-ADD</v>
      </c>
    </row>
    <row r="3665" spans="1:2" ht="12.5" x14ac:dyDescent="0.25">
      <c r="A3665" t="str">
        <f ca="1">IFERROR(__xludf.DUMMYFUNCTION("""COMPUTED_VALUE"""),"Magnesium diglutamate")</f>
        <v>Magnesium diglutamate</v>
      </c>
      <c r="B3665" t="str">
        <f ca="1">IFERROR(__xludf.DUMMYFUNCTION("""COMPUTED_VALUE"""),"RF-00000179-ADD")</f>
        <v>RF-00000179-ADD</v>
      </c>
    </row>
    <row r="3666" spans="1:2" ht="12.5" x14ac:dyDescent="0.25">
      <c r="A3666" t="str">
        <f ca="1">IFERROR(__xludf.DUMMYFUNCTION("""COMPUTED_VALUE"""),"Magnesium hydroxide")</f>
        <v>Magnesium hydroxide</v>
      </c>
      <c r="B3666" t="str">
        <f ca="1">IFERROR(__xludf.DUMMYFUNCTION("""COMPUTED_VALUE"""),"RF-00000180-ADD")</f>
        <v>RF-00000180-ADD</v>
      </c>
    </row>
    <row r="3667" spans="1:2" ht="12.5" x14ac:dyDescent="0.25">
      <c r="A3667" t="str">
        <f ca="1">IFERROR(__xludf.DUMMYFUNCTION("""COMPUTED_VALUE"""),"Magnesium oxide")</f>
        <v>Magnesium oxide</v>
      </c>
      <c r="B3667" t="str">
        <f ca="1">IFERROR(__xludf.DUMMYFUNCTION("""COMPUTED_VALUE"""),"RF-00000063-CHE")</f>
        <v>RF-00000063-CHE</v>
      </c>
    </row>
    <row r="3668" spans="1:2" ht="12.5" x14ac:dyDescent="0.25">
      <c r="A3668" t="str">
        <f ca="1">IFERROR(__xludf.DUMMYFUNCTION("""COMPUTED_VALUE"""),"Magnesium phosphates")</f>
        <v>Magnesium phosphates</v>
      </c>
      <c r="B3668" t="str">
        <f ca="1">IFERROR(__xludf.DUMMYFUNCTION("""COMPUTED_VALUE"""),"RF-00000181-ADD")</f>
        <v>RF-00000181-ADD</v>
      </c>
    </row>
    <row r="3669" spans="1:2" ht="12.5" x14ac:dyDescent="0.25">
      <c r="A3669" t="str">
        <f ca="1">IFERROR(__xludf.DUMMYFUNCTION("""COMPUTED_VALUE"""),"Magnesium salts of fatty acids")</f>
        <v>Magnesium salts of fatty acids</v>
      </c>
      <c r="B3669" t="str">
        <f ca="1">IFERROR(__xludf.DUMMYFUNCTION("""COMPUTED_VALUE"""),"RF-00000182-ADD")</f>
        <v>RF-00000182-ADD</v>
      </c>
    </row>
    <row r="3670" spans="1:2" ht="12.5" x14ac:dyDescent="0.25">
      <c r="A3670" t="str">
        <f ca="1">IFERROR(__xludf.DUMMYFUNCTION("""COMPUTED_VALUE"""),"Magnesium silicate")</f>
        <v>Magnesium silicate</v>
      </c>
      <c r="B3670" t="str">
        <f ca="1">IFERROR(__xludf.DUMMYFUNCTION("""COMPUTED_VALUE"""),"RF-00000183-ADD")</f>
        <v>RF-00000183-ADD</v>
      </c>
    </row>
    <row r="3671" spans="1:2" ht="12.5" x14ac:dyDescent="0.25">
      <c r="A3671" t="str">
        <f ca="1">IFERROR(__xludf.DUMMYFUNCTION("""COMPUTED_VALUE"""),"Magnesium soluble in mineral acids")</f>
        <v>Magnesium soluble in mineral acids</v>
      </c>
      <c r="B3671" t="str">
        <f ca="1">IFERROR(__xludf.DUMMYFUNCTION("""COMPUTED_VALUE"""),"RF-00000062-CHE")</f>
        <v>RF-00000062-CHE</v>
      </c>
    </row>
    <row r="3672" spans="1:2" ht="12.5" x14ac:dyDescent="0.25">
      <c r="A3672" t="str">
        <f ca="1">IFERROR(__xludf.DUMMYFUNCTION("""COMPUTED_VALUE"""),"Magnesium soluble in water")</f>
        <v>Magnesium soluble in water</v>
      </c>
      <c r="B3672" t="str">
        <f ca="1">IFERROR(__xludf.DUMMYFUNCTION("""COMPUTED_VALUE"""),"RF-00000061-CHE")</f>
        <v>RF-00000061-CHE</v>
      </c>
    </row>
    <row r="3673" spans="1:2" ht="12.5" x14ac:dyDescent="0.25">
      <c r="A3673" t="str">
        <f ca="1">IFERROR(__xludf.DUMMYFUNCTION("""COMPUTED_VALUE"""),"Malaoxon")</f>
        <v>Malaoxon</v>
      </c>
      <c r="B3673" t="str">
        <f ca="1">IFERROR(__xludf.DUMMYFUNCTION("""COMPUTED_VALUE"""),"RF-0266-002-PPP")</f>
        <v>RF-0266-002-PPP</v>
      </c>
    </row>
    <row r="3674" spans="1:2" ht="12.5" x14ac:dyDescent="0.25">
      <c r="A3674" t="str">
        <f ca="1">IFERROR(__xludf.DUMMYFUNCTION("""COMPUTED_VALUE"""),"Malathion")</f>
        <v>Malathion</v>
      </c>
      <c r="B3674" t="str">
        <f ca="1">IFERROR(__xludf.DUMMYFUNCTION("""COMPUTED_VALUE"""),"RF-0266-003-PPP")</f>
        <v>RF-0266-003-PPP</v>
      </c>
    </row>
    <row r="3675" spans="1:2" ht="12.5" x14ac:dyDescent="0.25">
      <c r="A3675" t="str">
        <f ca="1">IFERROR(__xludf.DUMMYFUNCTION("""COMPUTED_VALUE"""),"Malathion (sum of malathion and malaoxon expressed as malathion)")</f>
        <v>Malathion (sum of malathion and malaoxon expressed as malathion)</v>
      </c>
      <c r="B3675" t="str">
        <f ca="1">IFERROR(__xludf.DUMMYFUNCTION("""COMPUTED_VALUE"""),"RF-0266-001-PPP")</f>
        <v>RF-0266-001-PPP</v>
      </c>
    </row>
    <row r="3676" spans="1:2" ht="12.5" x14ac:dyDescent="0.25">
      <c r="A3676" t="str">
        <f ca="1">IFERROR(__xludf.DUMMYFUNCTION("""COMPUTED_VALUE"""),"Maleic hydrazide")</f>
        <v>Maleic hydrazide</v>
      </c>
      <c r="B3676" t="str">
        <f ca="1">IFERROR(__xludf.DUMMYFUNCTION("""COMPUTED_VALUE"""),"RF-0267-001-PPP")</f>
        <v>RF-0267-001-PPP</v>
      </c>
    </row>
    <row r="3677" spans="1:2" ht="12.5" x14ac:dyDescent="0.25">
      <c r="A3677" t="str">
        <f ca="1">IFERROR(__xludf.DUMMYFUNCTION("""COMPUTED_VALUE"""),"Maleic hydrazide and its conjugates expressed as maleic hydrazide")</f>
        <v>Maleic hydrazide and its conjugates expressed as maleic hydrazide</v>
      </c>
      <c r="B3677" t="str">
        <f ca="1">IFERROR(__xludf.DUMMYFUNCTION("""COMPUTED_VALUE"""),"RF-0267-002-PPP")</f>
        <v>RF-0267-002-PPP</v>
      </c>
    </row>
    <row r="3678" spans="1:2" ht="12.5" x14ac:dyDescent="0.25">
      <c r="A3678" t="str">
        <f ca="1">IFERROR(__xludf.DUMMYFUNCTION("""COMPUTED_VALUE"""),"Malic acid")</f>
        <v>Malic acid</v>
      </c>
      <c r="B3678" t="str">
        <f ca="1">IFERROR(__xludf.DUMMYFUNCTION("""COMPUTED_VALUE"""),"RF-00000184-ADD")</f>
        <v>RF-00000184-ADD</v>
      </c>
    </row>
    <row r="3679" spans="1:2" ht="12.5" x14ac:dyDescent="0.25">
      <c r="A3679" t="str">
        <f ca="1">IFERROR(__xludf.DUMMYFUNCTION("""COMPUTED_VALUE"""),"Maltitols")</f>
        <v>Maltitols</v>
      </c>
      <c r="B3679" t="str">
        <f ca="1">IFERROR(__xludf.DUMMYFUNCTION("""COMPUTED_VALUE"""),"RF-00000185-ADD")</f>
        <v>RF-00000185-ADD</v>
      </c>
    </row>
    <row r="3680" spans="1:2" ht="12.5" x14ac:dyDescent="0.25">
      <c r="A3680" t="str">
        <f ca="1">IFERROR(__xludf.DUMMYFUNCTION("""COMPUTED_VALUE"""),"maltose")</f>
        <v>maltose</v>
      </c>
      <c r="B3680" t="str">
        <f ca="1">IFERROR(__xludf.DUMMYFUNCTION("""COMPUTED_VALUE"""),"RF-00000329-NTR")</f>
        <v>RF-00000329-NTR</v>
      </c>
    </row>
    <row r="3681" spans="1:2" ht="12.5" x14ac:dyDescent="0.25">
      <c r="A3681" t="str">
        <f ca="1">IFERROR(__xludf.DUMMYFUNCTION("""COMPUTED_VALUE"""),"maltotriose")</f>
        <v>maltotriose</v>
      </c>
      <c r="B3681" t="str">
        <f ca="1">IFERROR(__xludf.DUMMYFUNCTION("""COMPUTED_VALUE"""),"RF-00000330-NTR")</f>
        <v>RF-00000330-NTR</v>
      </c>
    </row>
    <row r="3682" spans="1:2" ht="12.5" x14ac:dyDescent="0.25">
      <c r="A3682" t="str">
        <f ca="1">IFERROR(__xludf.DUMMYFUNCTION("""COMPUTED_VALUE"""),"Mamastrovirus")</f>
        <v>Mamastrovirus</v>
      </c>
      <c r="B3682" t="str">
        <f ca="1">IFERROR(__xludf.DUMMYFUNCTION("""COMPUTED_VALUE"""),"RF-00000222-MCG")</f>
        <v>RF-00000222-MCG</v>
      </c>
    </row>
    <row r="3683" spans="1:2" ht="12.5" x14ac:dyDescent="0.25">
      <c r="A3683" t="str">
        <f ca="1">IFERROR(__xludf.DUMMYFUNCTION("""COMPUTED_VALUE"""),"Mancozeb")</f>
        <v>Mancozeb</v>
      </c>
      <c r="B3683" t="str">
        <f ca="1">IFERROR(__xludf.DUMMYFUNCTION("""COMPUTED_VALUE"""),"RF-0151-004-PPP")</f>
        <v>RF-0151-004-PPP</v>
      </c>
    </row>
    <row r="3684" spans="1:2" ht="12.5" x14ac:dyDescent="0.25">
      <c r="A3684" t="str">
        <f ca="1">IFERROR(__xludf.DUMMYFUNCTION("""COMPUTED_VALUE"""),"Mandipropamid")</f>
        <v>Mandipropamid</v>
      </c>
      <c r="B3684" t="str">
        <f ca="1">IFERROR(__xludf.DUMMYFUNCTION("""COMPUTED_VALUE"""),"RF-0268-001-PPP")</f>
        <v>RF-0268-001-PPP</v>
      </c>
    </row>
    <row r="3685" spans="1:2" ht="12.5" x14ac:dyDescent="0.25">
      <c r="A3685" t="str">
        <f ca="1">IFERROR(__xludf.DUMMYFUNCTION("""COMPUTED_VALUE"""),"Maneb")</f>
        <v>Maneb</v>
      </c>
      <c r="B3685" t="str">
        <f ca="1">IFERROR(__xludf.DUMMYFUNCTION("""COMPUTED_VALUE"""),"RF-0151-003-PPP")</f>
        <v>RF-0151-003-PPP</v>
      </c>
    </row>
    <row r="3686" spans="1:2" ht="12.5" x14ac:dyDescent="0.25">
      <c r="A3686" t="str">
        <f ca="1">IFERROR(__xludf.DUMMYFUNCTION("""COMPUTED_VALUE"""),"Manganese (Mn)")</f>
        <v>Manganese (Mn)</v>
      </c>
      <c r="B3686" t="str">
        <f ca="1">IFERROR(__xludf.DUMMYFUNCTION("""COMPUTED_VALUE"""),"RF-00000176-CHE")</f>
        <v>RF-00000176-CHE</v>
      </c>
    </row>
    <row r="3687" spans="1:2" ht="12.5" x14ac:dyDescent="0.25">
      <c r="A3687" t="str">
        <f ca="1">IFERROR(__xludf.DUMMYFUNCTION("""COMPUTED_VALUE"""),"Manganese and derivatives")</f>
        <v>Manganese and derivatives</v>
      </c>
      <c r="B3687" t="str">
        <f ca="1">IFERROR(__xludf.DUMMYFUNCTION("""COMPUTED_VALUE"""),"RF-00000175-CHE")</f>
        <v>RF-00000175-CHE</v>
      </c>
    </row>
    <row r="3688" spans="1:2" ht="12.5" x14ac:dyDescent="0.25">
      <c r="A3688" t="str">
        <f ca="1">IFERROR(__xludf.DUMMYFUNCTION("""COMPUTED_VALUE"""),"Mannitol")</f>
        <v>Mannitol</v>
      </c>
      <c r="B3688" t="str">
        <f ca="1">IFERROR(__xludf.DUMMYFUNCTION("""COMPUTED_VALUE"""),"RF-00000186-ADD")</f>
        <v>RF-00000186-ADD</v>
      </c>
    </row>
    <row r="3689" spans="1:2" ht="12.5" x14ac:dyDescent="0.25">
      <c r="A3689" t="str">
        <f ca="1">IFERROR(__xludf.DUMMYFUNCTION("""COMPUTED_VALUE"""),"Mapenterol")</f>
        <v>Mapenterol</v>
      </c>
      <c r="B3689" t="str">
        <f ca="1">IFERROR(__xludf.DUMMYFUNCTION("""COMPUTED_VALUE"""),"RF-00000453-VET")</f>
        <v>RF-00000453-VET</v>
      </c>
    </row>
    <row r="3690" spans="1:2" ht="12.5" x14ac:dyDescent="0.25">
      <c r="A3690" t="str">
        <f ca="1">IFERROR(__xludf.DUMMYFUNCTION("""COMPUTED_VALUE"""),"Marbofloxacin")</f>
        <v>Marbofloxacin</v>
      </c>
      <c r="B3690" t="str">
        <f ca="1">IFERROR(__xludf.DUMMYFUNCTION("""COMPUTED_VALUE"""),"RF-00000636-VET")</f>
        <v>RF-00000636-VET</v>
      </c>
    </row>
    <row r="3691" spans="1:2" ht="12.5" x14ac:dyDescent="0.25">
      <c r="A3691" t="str">
        <f ca="1">IFERROR(__xludf.DUMMYFUNCTION("""COMPUTED_VALUE"""),"Marine biotoxins")</f>
        <v>Marine biotoxins</v>
      </c>
      <c r="B3691" t="str">
        <f ca="1">IFERROR(__xludf.DUMMYFUNCTION("""COMPUTED_VALUE"""),"RF-00000009-TOX")</f>
        <v>RF-00000009-TOX</v>
      </c>
    </row>
    <row r="3692" spans="1:2" ht="12.5" x14ac:dyDescent="0.25">
      <c r="A3692" t="str">
        <f ca="1">IFERROR(__xludf.DUMMYFUNCTION("""COMPUTED_VALUE"""),"Marine biotoxins - ciguatoxin")</f>
        <v>Marine biotoxins - ciguatoxin</v>
      </c>
      <c r="B3692" t="str">
        <f ca="1">IFERROR(__xludf.DUMMYFUNCTION("""COMPUTED_VALUE"""),"RF-00000450-TOX")</f>
        <v>RF-00000450-TOX</v>
      </c>
    </row>
    <row r="3693" spans="1:2" ht="12.5" x14ac:dyDescent="0.25">
      <c r="A3693" t="str">
        <f ca="1">IFERROR(__xludf.DUMMYFUNCTION("""COMPUTED_VALUE"""),"Marine biotoxins - muscle-paralysing toxin")</f>
        <v>Marine biotoxins - muscle-paralysing toxin</v>
      </c>
      <c r="B3693" t="str">
        <f ca="1">IFERROR(__xludf.DUMMYFUNCTION("""COMPUTED_VALUE"""),"RF-00000451-TOX")</f>
        <v>RF-00000451-TOX</v>
      </c>
    </row>
    <row r="3694" spans="1:2" ht="12.5" x14ac:dyDescent="0.25">
      <c r="A3694" t="str">
        <f ca="1">IFERROR(__xludf.DUMMYFUNCTION("""COMPUTED_VALUE"""),"Mascarenotoxin A")</f>
        <v>Mascarenotoxin A</v>
      </c>
      <c r="B3694" t="str">
        <f ca="1">IFERROR(__xludf.DUMMYFUNCTION("""COMPUTED_VALUE"""),"RF-00000073-TOX")</f>
        <v>RF-00000073-TOX</v>
      </c>
    </row>
    <row r="3695" spans="1:2" ht="12.5" x14ac:dyDescent="0.25">
      <c r="A3695" t="str">
        <f ca="1">IFERROR(__xludf.DUMMYFUNCTION("""COMPUTED_VALUE"""),"Mascarenotoxin B")</f>
        <v>Mascarenotoxin B</v>
      </c>
      <c r="B3695" t="str">
        <f ca="1">IFERROR(__xludf.DUMMYFUNCTION("""COMPUTED_VALUE"""),"RF-00000074-TOX")</f>
        <v>RF-00000074-TOX</v>
      </c>
    </row>
    <row r="3696" spans="1:2" ht="12.5" x14ac:dyDescent="0.25">
      <c r="A3696" t="str">
        <f ca="1">IFERROR(__xludf.DUMMYFUNCTION("""COMPUTED_VALUE"""),"matairesinol")</f>
        <v>matairesinol</v>
      </c>
      <c r="B3696" t="str">
        <f ca="1">IFERROR(__xludf.DUMMYFUNCTION("""COMPUTED_VALUE"""),"RF-00000331-NTR")</f>
        <v>RF-00000331-NTR</v>
      </c>
    </row>
    <row r="3697" spans="1:2" ht="12.5" x14ac:dyDescent="0.25">
      <c r="A3697" t="str">
        <f ca="1">IFERROR(__xludf.DUMMYFUNCTION("""COMPUTED_VALUE"""),"MCPA")</f>
        <v>MCPA</v>
      </c>
      <c r="B3697" t="str">
        <f ca="1">IFERROR(__xludf.DUMMYFUNCTION("""COMPUTED_VALUE"""),"RF-0271-005-PPP")</f>
        <v>RF-0271-005-PPP</v>
      </c>
    </row>
    <row r="3698" spans="1:2" ht="12.5" x14ac:dyDescent="0.25">
      <c r="A3698" t="str">
        <f ca="1">IFERROR(__xludf.DUMMYFUNCTION("""COMPUTED_VALUE"""),"MCPA and MCPB (MCPA, MCPB including their salts, esters and conjugates expressed as MCPA)")</f>
        <v>MCPA and MCPB (MCPA, MCPB including their salts, esters and conjugates expressed as MCPA)</v>
      </c>
      <c r="B3698" t="str">
        <f ca="1">IFERROR(__xludf.DUMMYFUNCTION("""COMPUTED_VALUE"""),"RF-0271-004-PPP")</f>
        <v>RF-0271-004-PPP</v>
      </c>
    </row>
    <row r="3699" spans="1:2" ht="12.5" x14ac:dyDescent="0.25">
      <c r="A3699" t="str">
        <f ca="1">IFERROR(__xludf.DUMMYFUNCTION("""COMPUTED_VALUE"""),"MCPA-methyl")</f>
        <v>MCPA-methyl</v>
      </c>
      <c r="B3699" t="str">
        <f ca="1">IFERROR(__xludf.DUMMYFUNCTION("""COMPUTED_VALUE"""),"RF-0271-007-PPP")</f>
        <v>RF-0271-007-PPP</v>
      </c>
    </row>
    <row r="3700" spans="1:2" ht="12.5" x14ac:dyDescent="0.25">
      <c r="A3700" t="str">
        <f ca="1">IFERROR(__xludf.DUMMYFUNCTION("""COMPUTED_VALUE"""),"MCPA, 2-Ethylhexyl-")</f>
        <v>MCPA, 2-Ethylhexyl-</v>
      </c>
      <c r="B3700" t="str">
        <f ca="1">IFERROR(__xludf.DUMMYFUNCTION("""COMPUTED_VALUE"""),"RF-0271-003-PPP")</f>
        <v>RF-0271-003-PPP</v>
      </c>
    </row>
    <row r="3701" spans="1:2" ht="12.5" x14ac:dyDescent="0.25">
      <c r="A3701" t="str">
        <f ca="1">IFERROR(__xludf.DUMMYFUNCTION("""COMPUTED_VALUE"""),"MCPA, Butotyl-")</f>
        <v>MCPA, Butotyl-</v>
      </c>
      <c r="B3701" t="str">
        <f ca="1">IFERROR(__xludf.DUMMYFUNCTION("""COMPUTED_VALUE"""),"RF-0271-001-PPP")</f>
        <v>RF-0271-001-PPP</v>
      </c>
    </row>
    <row r="3702" spans="1:2" ht="12.5" x14ac:dyDescent="0.25">
      <c r="A3702" t="str">
        <f ca="1">IFERROR(__xludf.DUMMYFUNCTION("""COMPUTED_VALUE"""),"MCPA, MCPB and MCPA thioethyl expressed as MCPA")</f>
        <v>MCPA, MCPB and MCPA thioethyl expressed as MCPA</v>
      </c>
      <c r="B3702" t="str">
        <f ca="1">IFERROR(__xludf.DUMMYFUNCTION("""COMPUTED_VALUE"""),"RF-0271-006-PPP")</f>
        <v>RF-0271-006-PPP</v>
      </c>
    </row>
    <row r="3703" spans="1:2" ht="12.5" x14ac:dyDescent="0.25">
      <c r="A3703" t="str">
        <f ca="1">IFERROR(__xludf.DUMMYFUNCTION("""COMPUTED_VALUE"""),"MCPB")</f>
        <v>MCPB</v>
      </c>
      <c r="B3703" t="str">
        <f ca="1">IFERROR(__xludf.DUMMYFUNCTION("""COMPUTED_VALUE"""),"RF-0271-002-PPP")</f>
        <v>RF-0271-002-PPP</v>
      </c>
    </row>
    <row r="3704" spans="1:2" ht="12.5" x14ac:dyDescent="0.25">
      <c r="A3704" t="str">
        <f ca="1">IFERROR(__xludf.DUMMYFUNCTION("""COMPUTED_VALUE"""),"MCPP-P")</f>
        <v>MCPP-P</v>
      </c>
      <c r="B3704" t="str">
        <f ca="1">IFERROR(__xludf.DUMMYFUNCTION("""COMPUTED_VALUE"""),"RF-0273-002-PPP")</f>
        <v>RF-0273-002-PPP</v>
      </c>
    </row>
    <row r="3705" spans="1:2" ht="12.5" x14ac:dyDescent="0.25">
      <c r="A3705" t="str">
        <f ca="1">IFERROR(__xludf.DUMMYFUNCTION("""COMPUTED_VALUE"""),"Mebendazole")</f>
        <v>Mebendazole</v>
      </c>
      <c r="B3705" t="str">
        <f ca="1">IFERROR(__xludf.DUMMYFUNCTION("""COMPUTED_VALUE"""),"RF-00000048-VET")</f>
        <v>RF-00000048-VET</v>
      </c>
    </row>
    <row r="3706" spans="1:2" ht="12.5" x14ac:dyDescent="0.25">
      <c r="A3706" t="str">
        <f ca="1">IFERROR(__xludf.DUMMYFUNCTION("""COMPUTED_VALUE"""),"Mebendazole")</f>
        <v>Mebendazole</v>
      </c>
      <c r="B3706" t="str">
        <f ca="1">IFERROR(__xludf.DUMMYFUNCTION("""COMPUTED_VALUE"""),"RF-0980-001-PPP")</f>
        <v>RF-0980-001-PPP</v>
      </c>
    </row>
    <row r="3707" spans="1:2" ht="12.5" x14ac:dyDescent="0.25">
      <c r="A3707" t="str">
        <f ca="1">IFERROR(__xludf.DUMMYFUNCTION("""COMPUTED_VALUE"""),"Mecarbam")</f>
        <v>Mecarbam</v>
      </c>
      <c r="B3707" t="str">
        <f ca="1">IFERROR(__xludf.DUMMYFUNCTION("""COMPUTED_VALUE"""),"RF-0272-001-PPP")</f>
        <v>RF-0272-001-PPP</v>
      </c>
    </row>
    <row r="3708" spans="1:2" ht="12.5" x14ac:dyDescent="0.25">
      <c r="A3708" t="str">
        <f ca="1">IFERROR(__xludf.DUMMYFUNCTION("""COMPUTED_VALUE"""),"Mecofonamic-Acid")</f>
        <v>Mecofonamic-Acid</v>
      </c>
      <c r="B3708" t="str">
        <f ca="1">IFERROR(__xludf.DUMMYFUNCTION("""COMPUTED_VALUE"""),"RF-00000204-VET")</f>
        <v>RF-00000204-VET</v>
      </c>
    </row>
    <row r="3709" spans="1:2" ht="12.5" x14ac:dyDescent="0.25">
      <c r="A3709" t="str">
        <f ca="1">IFERROR(__xludf.DUMMYFUNCTION("""COMPUTED_VALUE"""),"Mecoprop")</f>
        <v>Mecoprop</v>
      </c>
      <c r="B3709" t="str">
        <f ca="1">IFERROR(__xludf.DUMMYFUNCTION("""COMPUTED_VALUE"""),"RF-0273-003-PPP")</f>
        <v>RF-0273-003-PPP</v>
      </c>
    </row>
    <row r="3710" spans="1:2" ht="12.5" x14ac:dyDescent="0.25">
      <c r="A3710" t="str">
        <f ca="1">IFERROR(__xludf.DUMMYFUNCTION("""COMPUTED_VALUE"""),"Mecoprop (sum of mecoprop-p and mecoprop expressed as mecoprop)")</f>
        <v>Mecoprop (sum of mecoprop-p and mecoprop expressed as mecoprop)</v>
      </c>
      <c r="B3710" t="str">
        <f ca="1">IFERROR(__xludf.DUMMYFUNCTION("""COMPUTED_VALUE"""),"RF-0273-001-PPP")</f>
        <v>RF-0273-001-PPP</v>
      </c>
    </row>
    <row r="3711" spans="1:2" ht="12.5" x14ac:dyDescent="0.25">
      <c r="A3711" t="str">
        <f ca="1">IFERROR(__xludf.DUMMYFUNCTION("""COMPUTED_VALUE"""),"Medinoterb")</f>
        <v>Medinoterb</v>
      </c>
      <c r="B3711" t="str">
        <f ca="1">IFERROR(__xludf.DUMMYFUNCTION("""COMPUTED_VALUE"""),"RF-1036-001-PPP")</f>
        <v>RF-1036-001-PPP</v>
      </c>
    </row>
    <row r="3712" spans="1:2" ht="12.5" x14ac:dyDescent="0.25">
      <c r="A3712" t="str">
        <f ca="1">IFERROR(__xludf.DUMMYFUNCTION("""COMPUTED_VALUE"""),"Medroxyprogesteron acetate")</f>
        <v>Medroxyprogesteron acetate</v>
      </c>
      <c r="B3712" t="str">
        <f ca="1">IFERROR(__xludf.DUMMYFUNCTION("""COMPUTED_VALUE"""),"RF-00000344-VET")</f>
        <v>RF-00000344-VET</v>
      </c>
    </row>
    <row r="3713" spans="1:2" ht="12.5" x14ac:dyDescent="0.25">
      <c r="A3713" t="str">
        <f ca="1">IFERROR(__xludf.DUMMYFUNCTION("""COMPUTED_VALUE"""),"Medroxyprogesterone")</f>
        <v>Medroxyprogesterone</v>
      </c>
      <c r="B3713" t="str">
        <f ca="1">IFERROR(__xludf.DUMMYFUNCTION("""COMPUTED_VALUE"""),"RF-00000317-VET")</f>
        <v>RF-00000317-VET</v>
      </c>
    </row>
    <row r="3714" spans="1:2" ht="12.5" x14ac:dyDescent="0.25">
      <c r="A3714" t="str">
        <f ca="1">IFERROR(__xludf.DUMMYFUNCTION("""COMPUTED_VALUE"""),"Mefenacet")</f>
        <v>Mefenacet</v>
      </c>
      <c r="B3714" t="str">
        <f ca="1">IFERROR(__xludf.DUMMYFUNCTION("""COMPUTED_VALUE"""),"RF-0776-001-PPP")</f>
        <v>RF-0776-001-PPP</v>
      </c>
    </row>
    <row r="3715" spans="1:2" ht="12.5" x14ac:dyDescent="0.25">
      <c r="A3715" t="str">
        <f ca="1">IFERROR(__xludf.DUMMYFUNCTION("""COMPUTED_VALUE"""),"Mefenamic Acid")</f>
        <v>Mefenamic Acid</v>
      </c>
      <c r="B3715" t="str">
        <f ca="1">IFERROR(__xludf.DUMMYFUNCTION("""COMPUTED_VALUE"""),"RF-00000238-VET")</f>
        <v>RF-00000238-VET</v>
      </c>
    </row>
    <row r="3716" spans="1:2" ht="12.5" x14ac:dyDescent="0.25">
      <c r="A3716" t="str">
        <f ca="1">IFERROR(__xludf.DUMMYFUNCTION("""COMPUTED_VALUE"""),"Mefenpyr")</f>
        <v>Mefenpyr</v>
      </c>
      <c r="B3716" t="str">
        <f ca="1">IFERROR(__xludf.DUMMYFUNCTION("""COMPUTED_VALUE"""),"RF-0777-001-PPP")</f>
        <v>RF-0777-001-PPP</v>
      </c>
    </row>
    <row r="3717" spans="1:2" ht="12.5" x14ac:dyDescent="0.25">
      <c r="A3717" t="str">
        <f ca="1">IFERROR(__xludf.DUMMYFUNCTION("""COMPUTED_VALUE"""),"Mefenpyr-diethyl")</f>
        <v>Mefenpyr-diethyl</v>
      </c>
      <c r="B3717" t="str">
        <f ca="1">IFERROR(__xludf.DUMMYFUNCTION("""COMPUTED_VALUE"""),"RF-00000026-PAR")</f>
        <v>RF-00000026-PAR</v>
      </c>
    </row>
    <row r="3718" spans="1:2" ht="12.5" x14ac:dyDescent="0.25">
      <c r="A3718" t="str">
        <f ca="1">IFERROR(__xludf.DUMMYFUNCTION("""COMPUTED_VALUE"""),"Mefluidide")</f>
        <v>Mefluidide</v>
      </c>
      <c r="B3718" t="str">
        <f ca="1">IFERROR(__xludf.DUMMYFUNCTION("""COMPUTED_VALUE"""),"RF-0778-001-PPP")</f>
        <v>RF-0778-001-PPP</v>
      </c>
    </row>
    <row r="3719" spans="1:2" ht="12.5" x14ac:dyDescent="0.25">
      <c r="A3719" t="str">
        <f ca="1">IFERROR(__xludf.DUMMYFUNCTION("""COMPUTED_VALUE"""),"Megestrol")</f>
        <v>Megestrol</v>
      </c>
      <c r="B3719" t="str">
        <f ca="1">IFERROR(__xludf.DUMMYFUNCTION("""COMPUTED_VALUE"""),"RF-00000345-VET")</f>
        <v>RF-00000345-VET</v>
      </c>
    </row>
    <row r="3720" spans="1:2" ht="12.5" x14ac:dyDescent="0.25">
      <c r="A3720" t="str">
        <f ca="1">IFERROR(__xludf.DUMMYFUNCTION("""COMPUTED_VALUE"""),"Megestrol acetate")</f>
        <v>Megestrol acetate</v>
      </c>
      <c r="B3720" t="str">
        <f ca="1">IFERROR(__xludf.DUMMYFUNCTION("""COMPUTED_VALUE"""),"RF-00000336-VET")</f>
        <v>RF-00000336-VET</v>
      </c>
    </row>
    <row r="3721" spans="1:2" ht="12.5" x14ac:dyDescent="0.25">
      <c r="A3721" t="str">
        <f ca="1">IFERROR(__xludf.DUMMYFUNCTION("""COMPUTED_VALUE"""),"Melamine")</f>
        <v>Melamine</v>
      </c>
      <c r="B3721" t="str">
        <f ca="1">IFERROR(__xludf.DUMMYFUNCTION("""COMPUTED_VALUE"""),"RF-00000210-CHE")</f>
        <v>RF-00000210-CHE</v>
      </c>
    </row>
    <row r="3722" spans="1:2" ht="12.5" x14ac:dyDescent="0.25">
      <c r="A3722" t="str">
        <f ca="1">IFERROR(__xludf.DUMMYFUNCTION("""COMPUTED_VALUE"""),"Melamine and analogues")</f>
        <v>Melamine and analogues</v>
      </c>
      <c r="B3722" t="str">
        <f ca="1">IFERROR(__xludf.DUMMYFUNCTION("""COMPUTED_VALUE"""),"RF-00000003-PAR")</f>
        <v>RF-00000003-PAR</v>
      </c>
    </row>
    <row r="3723" spans="1:2" ht="12.5" x14ac:dyDescent="0.25">
      <c r="A3723" t="str">
        <f ca="1">IFERROR(__xludf.DUMMYFUNCTION("""COMPUTED_VALUE"""),"Melengestrol")</f>
        <v>Melengestrol</v>
      </c>
      <c r="B3723" t="str">
        <f ca="1">IFERROR(__xludf.DUMMYFUNCTION("""COMPUTED_VALUE"""),"RF-00000338-VET")</f>
        <v>RF-00000338-VET</v>
      </c>
    </row>
    <row r="3724" spans="1:2" ht="12.5" x14ac:dyDescent="0.25">
      <c r="A3724" t="str">
        <f ca="1">IFERROR(__xludf.DUMMYFUNCTION("""COMPUTED_VALUE"""),"Melengestrol acetate")</f>
        <v>Melengestrol acetate</v>
      </c>
      <c r="B3724" t="str">
        <f ca="1">IFERROR(__xludf.DUMMYFUNCTION("""COMPUTED_VALUE"""),"RF-00000316-VET")</f>
        <v>RF-00000316-VET</v>
      </c>
    </row>
    <row r="3725" spans="1:2" ht="12.5" x14ac:dyDescent="0.25">
      <c r="A3725" t="str">
        <f ca="1">IFERROR(__xludf.DUMMYFUNCTION("""COMPUTED_VALUE"""),"Meloxicam")</f>
        <v>Meloxicam</v>
      </c>
      <c r="B3725" t="str">
        <f ca="1">IFERROR(__xludf.DUMMYFUNCTION("""COMPUTED_VALUE"""),"RF-00000222-VET")</f>
        <v>RF-00000222-VET</v>
      </c>
    </row>
    <row r="3726" spans="1:2" ht="12.5" x14ac:dyDescent="0.25">
      <c r="A3726" t="str">
        <f ca="1">IFERROR(__xludf.DUMMYFUNCTION("""COMPUTED_VALUE"""),"Menaquinone-10")</f>
        <v>Menaquinone-10</v>
      </c>
      <c r="B3726" t="str">
        <f ca="1">IFERROR(__xludf.DUMMYFUNCTION("""COMPUTED_VALUE"""),"RF-00000333-NTR")</f>
        <v>RF-00000333-NTR</v>
      </c>
    </row>
    <row r="3727" spans="1:2" ht="12.5" x14ac:dyDescent="0.25">
      <c r="A3727" t="str">
        <f ca="1">IFERROR(__xludf.DUMMYFUNCTION("""COMPUTED_VALUE"""),"Menaquinone-11")</f>
        <v>Menaquinone-11</v>
      </c>
      <c r="B3727" t="str">
        <f ca="1">IFERROR(__xludf.DUMMYFUNCTION("""COMPUTED_VALUE"""),"RF-00000334-NTR")</f>
        <v>RF-00000334-NTR</v>
      </c>
    </row>
    <row r="3728" spans="1:2" ht="12.5" x14ac:dyDescent="0.25">
      <c r="A3728" t="str">
        <f ca="1">IFERROR(__xludf.DUMMYFUNCTION("""COMPUTED_VALUE"""),"Menaquinone-12")</f>
        <v>Menaquinone-12</v>
      </c>
      <c r="B3728" t="str">
        <f ca="1">IFERROR(__xludf.DUMMYFUNCTION("""COMPUTED_VALUE"""),"RF-00000335-NTR")</f>
        <v>RF-00000335-NTR</v>
      </c>
    </row>
    <row r="3729" spans="1:2" ht="12.5" x14ac:dyDescent="0.25">
      <c r="A3729" t="str">
        <f ca="1">IFERROR(__xludf.DUMMYFUNCTION("""COMPUTED_VALUE"""),"Menaquinone-13")</f>
        <v>Menaquinone-13</v>
      </c>
      <c r="B3729" t="str">
        <f ca="1">IFERROR(__xludf.DUMMYFUNCTION("""COMPUTED_VALUE"""),"RF-00000336-NTR")</f>
        <v>RF-00000336-NTR</v>
      </c>
    </row>
    <row r="3730" spans="1:2" ht="12.5" x14ac:dyDescent="0.25">
      <c r="A3730" t="str">
        <f ca="1">IFERROR(__xludf.DUMMYFUNCTION("""COMPUTED_VALUE"""),"Menaquinone-4")</f>
        <v>Menaquinone-4</v>
      </c>
      <c r="B3730" t="str">
        <f ca="1">IFERROR(__xludf.DUMMYFUNCTION("""COMPUTED_VALUE"""),"RF-00000337-NTR")</f>
        <v>RF-00000337-NTR</v>
      </c>
    </row>
    <row r="3731" spans="1:2" ht="12.5" x14ac:dyDescent="0.25">
      <c r="A3731" t="str">
        <f ca="1">IFERROR(__xludf.DUMMYFUNCTION("""COMPUTED_VALUE"""),"Menaquinone-5")</f>
        <v>Menaquinone-5</v>
      </c>
      <c r="B3731" t="str">
        <f ca="1">IFERROR(__xludf.DUMMYFUNCTION("""COMPUTED_VALUE"""),"RF-00000338-NTR")</f>
        <v>RF-00000338-NTR</v>
      </c>
    </row>
    <row r="3732" spans="1:2" ht="12.5" x14ac:dyDescent="0.25">
      <c r="A3732" t="str">
        <f ca="1">IFERROR(__xludf.DUMMYFUNCTION("""COMPUTED_VALUE"""),"Menaquinone-6")</f>
        <v>Menaquinone-6</v>
      </c>
      <c r="B3732" t="str">
        <f ca="1">IFERROR(__xludf.DUMMYFUNCTION("""COMPUTED_VALUE"""),"RF-00000339-NTR")</f>
        <v>RF-00000339-NTR</v>
      </c>
    </row>
    <row r="3733" spans="1:2" ht="12.5" x14ac:dyDescent="0.25">
      <c r="A3733" t="str">
        <f ca="1">IFERROR(__xludf.DUMMYFUNCTION("""COMPUTED_VALUE"""),"Menaquinone-7")</f>
        <v>Menaquinone-7</v>
      </c>
      <c r="B3733" t="str">
        <f ca="1">IFERROR(__xludf.DUMMYFUNCTION("""COMPUTED_VALUE"""),"RF-00000340-NTR")</f>
        <v>RF-00000340-NTR</v>
      </c>
    </row>
    <row r="3734" spans="1:2" ht="12.5" x14ac:dyDescent="0.25">
      <c r="A3734" t="str">
        <f ca="1">IFERROR(__xludf.DUMMYFUNCTION("""COMPUTED_VALUE"""),"Menaquinone-8")</f>
        <v>Menaquinone-8</v>
      </c>
      <c r="B3734" t="str">
        <f ca="1">IFERROR(__xludf.DUMMYFUNCTION("""COMPUTED_VALUE"""),"RF-00000341-NTR")</f>
        <v>RF-00000341-NTR</v>
      </c>
    </row>
    <row r="3735" spans="1:2" ht="12.5" x14ac:dyDescent="0.25">
      <c r="A3735" t="str">
        <f ca="1">IFERROR(__xludf.DUMMYFUNCTION("""COMPUTED_VALUE"""),"Menaquinone-9")</f>
        <v>Menaquinone-9</v>
      </c>
      <c r="B3735" t="str">
        <f ca="1">IFERROR(__xludf.DUMMYFUNCTION("""COMPUTED_VALUE"""),"RF-00000342-NTR")</f>
        <v>RF-00000342-NTR</v>
      </c>
    </row>
    <row r="3736" spans="1:2" ht="12.5" x14ac:dyDescent="0.25">
      <c r="A3736" t="str">
        <f ca="1">IFERROR(__xludf.DUMMYFUNCTION("""COMPUTED_VALUE"""),"Menaquinones")</f>
        <v>Menaquinones</v>
      </c>
      <c r="B3736" t="str">
        <f ca="1">IFERROR(__xludf.DUMMYFUNCTION("""COMPUTED_VALUE"""),"RF-00000332-NTR")</f>
        <v>RF-00000332-NTR</v>
      </c>
    </row>
    <row r="3737" spans="1:2" ht="12.5" x14ac:dyDescent="0.25">
      <c r="A3737" t="str">
        <f ca="1">IFERROR(__xludf.DUMMYFUNCTION("""COMPUTED_VALUE"""),"Menichlopholan")</f>
        <v>Menichlopholan</v>
      </c>
      <c r="B3737" t="str">
        <f ca="1">IFERROR(__xludf.DUMMYFUNCTION("""COMPUTED_VALUE"""),"RF-00000028-VET")</f>
        <v>RF-00000028-VET</v>
      </c>
    </row>
    <row r="3738" spans="1:2" ht="12.5" x14ac:dyDescent="0.25">
      <c r="A3738" t="str">
        <f ca="1">IFERROR(__xludf.DUMMYFUNCTION("""COMPUTED_VALUE"""),"Mepanipyrim")</f>
        <v>Mepanipyrim</v>
      </c>
      <c r="B3738" t="str">
        <f ca="1">IFERROR(__xludf.DUMMYFUNCTION("""COMPUTED_VALUE"""),"RF-0274-002-PPP")</f>
        <v>RF-0274-002-PPP</v>
      </c>
    </row>
    <row r="3739" spans="1:2" ht="12.5" x14ac:dyDescent="0.25">
      <c r="A3739" t="str">
        <f ca="1">IFERROR(__xludf.DUMMYFUNCTION("""COMPUTED_VALUE"""),"Mepanipyrim (Mepanipyrim and its metabolite (2-anilino-4-(2-hydroxypropyl)-6-methylpyrimidine) expressed as mepanipyrim)")</f>
        <v>Mepanipyrim (Mepanipyrim and its metabolite (2-anilino-4-(2-hydroxypropyl)-6-methylpyrimidine) expressed as mepanipyrim)</v>
      </c>
      <c r="B3739" t="str">
        <f ca="1">IFERROR(__xludf.DUMMYFUNCTION("""COMPUTED_VALUE"""),"RF-0274-001-PPP")</f>
        <v>RF-0274-001-PPP</v>
      </c>
    </row>
    <row r="3740" spans="1:2" ht="12.5" x14ac:dyDescent="0.25">
      <c r="A3740" t="str">
        <f ca="1">IFERROR(__xludf.DUMMYFUNCTION("""COMPUTED_VALUE"""),"Mephosfolan")</f>
        <v>Mephosfolan</v>
      </c>
      <c r="B3740" t="str">
        <f ca="1">IFERROR(__xludf.DUMMYFUNCTION("""COMPUTED_VALUE"""),"RF-0779-001-PPP")</f>
        <v>RF-0779-001-PPP</v>
      </c>
    </row>
    <row r="3741" spans="1:2" ht="12.5" x14ac:dyDescent="0.25">
      <c r="A3741" t="str">
        <f ca="1">IFERROR(__xludf.DUMMYFUNCTION("""COMPUTED_VALUE"""),"Mepiquat")</f>
        <v>Mepiquat</v>
      </c>
      <c r="B3741" t="str">
        <f ca="1">IFERROR(__xludf.DUMMYFUNCTION("""COMPUTED_VALUE"""),"RF-0275-001-PPP")</f>
        <v>RF-0275-001-PPP</v>
      </c>
    </row>
    <row r="3742" spans="1:2" ht="12.5" x14ac:dyDescent="0.25">
      <c r="A3742" t="str">
        <f ca="1">IFERROR(__xludf.DUMMYFUNCTION("""COMPUTED_VALUE"""),"Mepronil")</f>
        <v>Mepronil</v>
      </c>
      <c r="B3742" t="str">
        <f ca="1">IFERROR(__xludf.DUMMYFUNCTION("""COMPUTED_VALUE"""),"RF-0780-001-PPP")</f>
        <v>RF-0780-001-PPP</v>
      </c>
    </row>
    <row r="3743" spans="1:2" ht="12.5" x14ac:dyDescent="0.25">
      <c r="A3743" t="str">
        <f ca="1">IFERROR(__xludf.DUMMYFUNCTION("""COMPUTED_VALUE"""),"Meptyldinocap (sum of 2,4 DNOPC and 2,4 DNOP expressed as meptyldinocap)")</f>
        <v>Meptyldinocap (sum of 2,4 DNOPC and 2,4 DNOP expressed as meptyldinocap)</v>
      </c>
      <c r="B3743" t="str">
        <f ca="1">IFERROR(__xludf.DUMMYFUNCTION("""COMPUTED_VALUE"""),"RF-0276-001-PPP")</f>
        <v>RF-0276-001-PPP</v>
      </c>
    </row>
    <row r="3744" spans="1:2" ht="12.5" x14ac:dyDescent="0.25">
      <c r="A3744" t="str">
        <f ca="1">IFERROR(__xludf.DUMMYFUNCTION("""COMPUTED_VALUE"""),"Mercaptobenzimidazole (2-Benzimidazolethiol)")</f>
        <v>Mercaptobenzimidazole (2-Benzimidazolethiol)</v>
      </c>
      <c r="B3744" t="str">
        <f ca="1">IFERROR(__xludf.DUMMYFUNCTION("""COMPUTED_VALUE"""),"RF-00000031-VET")</f>
        <v>RF-00000031-VET</v>
      </c>
    </row>
    <row r="3745" spans="1:2" ht="12.5" x14ac:dyDescent="0.25">
      <c r="A3745" t="str">
        <f ca="1">IFERROR(__xludf.DUMMYFUNCTION("""COMPUTED_VALUE"""),"Mercaptodimethur (Methiocarb)")</f>
        <v>Mercaptodimethur (Methiocarb)</v>
      </c>
      <c r="B3745" t="str">
        <f ca="1">IFERROR(__xludf.DUMMYFUNCTION("""COMPUTED_VALUE"""),"RF-00000122-VET")</f>
        <v>RF-00000122-VET</v>
      </c>
    </row>
    <row r="3746" spans="1:2" ht="12.5" x14ac:dyDescent="0.25">
      <c r="A3746" t="str">
        <f ca="1">IFERROR(__xludf.DUMMYFUNCTION("""COMPUTED_VALUE"""),"Mercaptodimethur sulfone")</f>
        <v>Mercaptodimethur sulfone</v>
      </c>
      <c r="B3746" t="str">
        <f ca="1">IFERROR(__xludf.DUMMYFUNCTION("""COMPUTED_VALUE"""),"RF-00000119-VET")</f>
        <v>RF-00000119-VET</v>
      </c>
    </row>
    <row r="3747" spans="1:2" ht="12.5" x14ac:dyDescent="0.25">
      <c r="A3747" t="str">
        <f ca="1">IFERROR(__xludf.DUMMYFUNCTION("""COMPUTED_VALUE"""),"Mercaptodimethur-Sulfoxide")</f>
        <v>Mercaptodimethur-Sulfoxide</v>
      </c>
      <c r="B3747" t="str">
        <f ca="1">IFERROR(__xludf.DUMMYFUNCTION("""COMPUTED_VALUE"""),"RF-00000117-VET")</f>
        <v>RF-00000117-VET</v>
      </c>
    </row>
    <row r="3748" spans="1:2" ht="12.5" x14ac:dyDescent="0.25">
      <c r="A3748" t="str">
        <f ca="1">IFERROR(__xludf.DUMMYFUNCTION("""COMPUTED_VALUE"""),"Mercury and derivatives")</f>
        <v>Mercury and derivatives</v>
      </c>
      <c r="B3748" t="str">
        <f ca="1">IFERROR(__xludf.DUMMYFUNCTION("""COMPUTED_VALUE"""),"RF-00000169-CHE")</f>
        <v>RF-00000169-CHE</v>
      </c>
    </row>
    <row r="3749" spans="1:2" ht="12.5" x14ac:dyDescent="0.25">
      <c r="A3749" t="str">
        <f ca="1">IFERROR(__xludf.DUMMYFUNCTION("""COMPUTED_VALUE"""),"Mercury compounds (sum of mercury compounds expressed as mercury)")</f>
        <v>Mercury compounds (sum of mercury compounds expressed as mercury)</v>
      </c>
      <c r="B3749" t="str">
        <f ca="1">IFERROR(__xludf.DUMMYFUNCTION("""COMPUTED_VALUE"""),"RF-0277-001-PPP")</f>
        <v>RF-0277-001-PPP</v>
      </c>
    </row>
    <row r="3750" spans="1:2" ht="12.5" x14ac:dyDescent="0.25">
      <c r="A3750" t="str">
        <f ca="1">IFERROR(__xludf.DUMMYFUNCTION("""COMPUTED_VALUE"""),"Meropenem")</f>
        <v>Meropenem</v>
      </c>
      <c r="B3750" t="str">
        <f ca="1">IFERROR(__xludf.DUMMYFUNCTION("""COMPUTED_VALUE"""),"RF-00000712-VET")</f>
        <v>RF-00000712-VET</v>
      </c>
    </row>
    <row r="3751" spans="1:2" ht="12.5" x14ac:dyDescent="0.25">
      <c r="A3751" t="str">
        <f ca="1">IFERROR(__xludf.DUMMYFUNCTION("""COMPUTED_VALUE"""),"Merphos")</f>
        <v>Merphos</v>
      </c>
      <c r="B3751" t="str">
        <f ca="1">IFERROR(__xludf.DUMMYFUNCTION("""COMPUTED_VALUE"""),"RF-0781-001-PPP")</f>
        <v>RF-0781-001-PPP</v>
      </c>
    </row>
    <row r="3752" spans="1:2" ht="12.5" x14ac:dyDescent="0.25">
      <c r="A3752" t="str">
        <f ca="1">IFERROR(__xludf.DUMMYFUNCTION("""COMPUTED_VALUE"""),"Mesosulfuron")</f>
        <v>Mesosulfuron</v>
      </c>
      <c r="B3752" t="str">
        <f ca="1">IFERROR(__xludf.DUMMYFUNCTION("""COMPUTED_VALUE"""),"RF-0278-002-PPP")</f>
        <v>RF-0278-002-PPP</v>
      </c>
    </row>
    <row r="3753" spans="1:2" ht="12.5" x14ac:dyDescent="0.25">
      <c r="A3753" t="str">
        <f ca="1">IFERROR(__xludf.DUMMYFUNCTION("""COMPUTED_VALUE"""),"Mesosulfuron-methyl")</f>
        <v>Mesosulfuron-methyl</v>
      </c>
      <c r="B3753" t="str">
        <f ca="1">IFERROR(__xludf.DUMMYFUNCTION("""COMPUTED_VALUE"""),"RF-0278-003-PPP")</f>
        <v>RF-0278-003-PPP</v>
      </c>
    </row>
    <row r="3754" spans="1:2" ht="12.5" x14ac:dyDescent="0.25">
      <c r="A3754" t="str">
        <f ca="1">IFERROR(__xludf.DUMMYFUNCTION("""COMPUTED_VALUE"""),"Mesosulfuron-methyl (expresssed as Mesosulfuron)")</f>
        <v>Mesosulfuron-methyl (expresssed as Mesosulfuron)</v>
      </c>
      <c r="B3754" t="str">
        <f ca="1">IFERROR(__xludf.DUMMYFUNCTION("""COMPUTED_VALUE"""),"RF-0278-001-PPP")</f>
        <v>RF-0278-001-PPP</v>
      </c>
    </row>
    <row r="3755" spans="1:2" ht="12.5" x14ac:dyDescent="0.25">
      <c r="A3755" t="str">
        <f ca="1">IFERROR(__xludf.DUMMYFUNCTION("""COMPUTED_VALUE"""),"Mesotrione (Sum of mesotrione and MNBA (4-methylsulfonyl-2-nitro benzoic acid), expressed as mesotrione)")</f>
        <v>Mesotrione (Sum of mesotrione and MNBA (4-methylsulfonyl-2-nitro benzoic acid), expressed as mesotrione)</v>
      </c>
      <c r="B3755" t="str">
        <f ca="1">IFERROR(__xludf.DUMMYFUNCTION("""COMPUTED_VALUE"""),"RF-0279-001-PPP")</f>
        <v>RF-0279-001-PPP</v>
      </c>
    </row>
    <row r="3756" spans="1:2" ht="12.5" x14ac:dyDescent="0.25">
      <c r="A3756" t="str">
        <f ca="1">IFERROR(__xludf.DUMMYFUNCTION("""COMPUTED_VALUE"""),"Mestanolone")</f>
        <v>Mestanolone</v>
      </c>
      <c r="B3756" t="str">
        <f ca="1">IFERROR(__xludf.DUMMYFUNCTION("""COMPUTED_VALUE"""),"RF-00000312-VET")</f>
        <v>RF-00000312-VET</v>
      </c>
    </row>
    <row r="3757" spans="1:2" ht="12.5" x14ac:dyDescent="0.25">
      <c r="A3757" t="str">
        <f ca="1">IFERROR(__xludf.DUMMYFUNCTION("""COMPUTED_VALUE"""),"Mesterolone")</f>
        <v>Mesterolone</v>
      </c>
      <c r="B3757" t="str">
        <f ca="1">IFERROR(__xludf.DUMMYFUNCTION("""COMPUTED_VALUE"""),"RF-00000313-VET")</f>
        <v>RF-00000313-VET</v>
      </c>
    </row>
    <row r="3758" spans="1:2" ht="12.5" x14ac:dyDescent="0.25">
      <c r="A3758" t="str">
        <f ca="1">IFERROR(__xludf.DUMMYFUNCTION("""COMPUTED_VALUE"""),"Mestilbol")</f>
        <v>Mestilbol</v>
      </c>
      <c r="B3758" t="str">
        <f ca="1">IFERROR(__xludf.DUMMYFUNCTION("""COMPUTED_VALUE"""),"RF-00000287-VET")</f>
        <v>RF-00000287-VET</v>
      </c>
    </row>
    <row r="3759" spans="1:2" ht="12.5" x14ac:dyDescent="0.25">
      <c r="A3759" t="str">
        <f ca="1">IFERROR(__xludf.DUMMYFUNCTION("""COMPUTED_VALUE"""),"Mestranol")</f>
        <v>Mestranol</v>
      </c>
      <c r="B3759" t="str">
        <f ca="1">IFERROR(__xludf.DUMMYFUNCTION("""COMPUTED_VALUE"""),"RF-00000318-VET")</f>
        <v>RF-00000318-VET</v>
      </c>
    </row>
    <row r="3760" spans="1:2" ht="12.5" x14ac:dyDescent="0.25">
      <c r="A3760" t="str">
        <f ca="1">IFERROR(__xludf.DUMMYFUNCTION("""COMPUTED_VALUE"""),"Meta-Cresol")</f>
        <v>Meta-Cresol</v>
      </c>
      <c r="B3760" t="str">
        <f ca="1">IFERROR(__xludf.DUMMYFUNCTION("""COMPUTED_VALUE"""),"RF-00000028-ORG")</f>
        <v>RF-00000028-ORG</v>
      </c>
    </row>
    <row r="3761" spans="1:2" ht="12.5" x14ac:dyDescent="0.25">
      <c r="A3761" t="str">
        <f ca="1">IFERROR(__xludf.DUMMYFUNCTION("""COMPUTED_VALUE"""),"Metacriphos")</f>
        <v>Metacriphos</v>
      </c>
      <c r="B3761" t="str">
        <f ca="1">IFERROR(__xludf.DUMMYFUNCTION("""COMPUTED_VALUE"""),"RF-1072-001-PPP")</f>
        <v>RF-1072-001-PPP</v>
      </c>
    </row>
    <row r="3762" spans="1:2" ht="12.5" x14ac:dyDescent="0.25">
      <c r="A3762" t="str">
        <f ca="1">IFERROR(__xludf.DUMMYFUNCTION("""COMPUTED_VALUE"""),"Metaflumizone (sum of E- and Z- isomers)")</f>
        <v>Metaflumizone (sum of E- and Z- isomers)</v>
      </c>
      <c r="B3762" t="str">
        <f ca="1">IFERROR(__xludf.DUMMYFUNCTION("""COMPUTED_VALUE"""),"RF-0280-001-PPP")</f>
        <v>RF-0280-001-PPP</v>
      </c>
    </row>
    <row r="3763" spans="1:2" ht="12.5" x14ac:dyDescent="0.25">
      <c r="A3763" t="str">
        <f ca="1">IFERROR(__xludf.DUMMYFUNCTION("""COMPUTED_VALUE"""),"Metalaxyl")</f>
        <v>Metalaxyl</v>
      </c>
      <c r="B3763" t="str">
        <f ca="1">IFERROR(__xludf.DUMMYFUNCTION("""COMPUTED_VALUE"""),"RF-0281-002-PPP")</f>
        <v>RF-0281-002-PPP</v>
      </c>
    </row>
    <row r="3764" spans="1:2" ht="12.5" x14ac:dyDescent="0.25">
      <c r="A3764" t="str">
        <f ca="1">IFERROR(__xludf.DUMMYFUNCTION("""COMPUTED_VALUE"""),"Metalaxyl and metalaxyl-M (metalaxyl including other mixtures of constituent isomers including metalaxyl-M (sum of isomers))_x000D_
Metalaxyl and metalaxyl-M (metalaxyl including other mixtures of constituent isomers including metalaxyl-M (sum of isomers)"&amp;")")</f>
        <v>Metalaxyl and metalaxyl-M (metalaxyl including other mixtures of constituent isomers including metalaxyl-M (sum of isomers))_x000D_
Metalaxyl and metalaxyl-M (metalaxyl including other mixtures of constituent isomers including metalaxyl-M (sum of isomers))</v>
      </c>
      <c r="B3764" t="str">
        <f ca="1">IFERROR(__xludf.DUMMYFUNCTION("""COMPUTED_VALUE"""),"RF-0281-001-PPP")</f>
        <v>RF-0281-001-PPP</v>
      </c>
    </row>
    <row r="3765" spans="1:2" ht="12.5" x14ac:dyDescent="0.25">
      <c r="A3765" t="str">
        <f ca="1">IFERROR(__xludf.DUMMYFUNCTION("""COMPUTED_VALUE"""),"Metalaxyl-M")</f>
        <v>Metalaxyl-M</v>
      </c>
      <c r="B3765" t="str">
        <f ca="1">IFERROR(__xludf.DUMMYFUNCTION("""COMPUTED_VALUE"""),"RF-0281-003-PPP")</f>
        <v>RF-0281-003-PPP</v>
      </c>
    </row>
    <row r="3766" spans="1:2" ht="12.5" x14ac:dyDescent="0.25">
      <c r="A3766" t="str">
        <f ca="1">IFERROR(__xludf.DUMMYFUNCTION("""COMPUTED_VALUE"""),"Metaldehyde")</f>
        <v>Metaldehyde</v>
      </c>
      <c r="B3766" t="str">
        <f ca="1">IFERROR(__xludf.DUMMYFUNCTION("""COMPUTED_VALUE"""),"RF-0282-001-PPP")</f>
        <v>RF-0282-001-PPP</v>
      </c>
    </row>
    <row r="3767" spans="1:2" ht="12.5" x14ac:dyDescent="0.25">
      <c r="A3767" t="str">
        <f ca="1">IFERROR(__xludf.DUMMYFUNCTION("""COMPUTED_VALUE"""),"Metam")</f>
        <v>Metam</v>
      </c>
      <c r="B3767" t="str">
        <f ca="1">IFERROR(__xludf.DUMMYFUNCTION("""COMPUTED_VALUE"""),"RF-0118-002-PPP")</f>
        <v>RF-0118-002-PPP</v>
      </c>
    </row>
    <row r="3768" spans="1:2" ht="12.5" x14ac:dyDescent="0.25">
      <c r="A3768" t="str">
        <f ca="1">IFERROR(__xludf.DUMMYFUNCTION("""COMPUTED_VALUE"""),"Metamitron")</f>
        <v>Metamitron</v>
      </c>
      <c r="B3768" t="str">
        <f ca="1">IFERROR(__xludf.DUMMYFUNCTION("""COMPUTED_VALUE"""),"RF-0284-001-PPP")</f>
        <v>RF-0284-001-PPP</v>
      </c>
    </row>
    <row r="3769" spans="1:2" ht="12.5" x14ac:dyDescent="0.25">
      <c r="A3769" t="str">
        <f ca="1">IFERROR(__xludf.DUMMYFUNCTION("""COMPUTED_VALUE"""),"Metamitron-desamino")</f>
        <v>Metamitron-desamino</v>
      </c>
      <c r="B3769" t="str">
        <f ca="1">IFERROR(__xludf.DUMMYFUNCTION("""COMPUTED_VALUE"""),"RF-1053-001-PPP")</f>
        <v>RF-1053-001-PPP</v>
      </c>
    </row>
    <row r="3770" spans="1:2" ht="12.5" x14ac:dyDescent="0.25">
      <c r="A3770" t="str">
        <f ca="1">IFERROR(__xludf.DUMMYFUNCTION("""COMPUTED_VALUE"""),"Metamizole (Dipyrone Monohydrate)")</f>
        <v>Metamizole (Dipyrone Monohydrate)</v>
      </c>
      <c r="B3770" t="str">
        <f ca="1">IFERROR(__xludf.DUMMYFUNCTION("""COMPUTED_VALUE"""),"RF-00000203-VET")</f>
        <v>RF-00000203-VET</v>
      </c>
    </row>
    <row r="3771" spans="1:2" ht="12.5" x14ac:dyDescent="0.25">
      <c r="A3771" t="str">
        <f ca="1">IFERROR(__xludf.DUMMYFUNCTION("""COMPUTED_VALUE"""),"Metaproterenol (Orciprenalin)")</f>
        <v>Metaproterenol (Orciprenalin)</v>
      </c>
      <c r="B3771" t="str">
        <f ca="1">IFERROR(__xludf.DUMMYFUNCTION("""COMPUTED_VALUE"""),"RF-00000488-VET")</f>
        <v>RF-00000488-VET</v>
      </c>
    </row>
    <row r="3772" spans="1:2" ht="12.5" x14ac:dyDescent="0.25">
      <c r="A3772" t="str">
        <f ca="1">IFERROR(__xludf.DUMMYFUNCTION("""COMPUTED_VALUE"""),"Metatartaric acid")</f>
        <v>Metatartaric acid</v>
      </c>
      <c r="B3772" t="str">
        <f ca="1">IFERROR(__xludf.DUMMYFUNCTION("""COMPUTED_VALUE"""),"RF-00000187-ADD")</f>
        <v>RF-00000187-ADD</v>
      </c>
    </row>
    <row r="3773" spans="1:2" ht="12.5" x14ac:dyDescent="0.25">
      <c r="A3773" t="str">
        <f ca="1">IFERROR(__xludf.DUMMYFUNCTION("""COMPUTED_VALUE"""),"Metazachlor")</f>
        <v>Metazachlor</v>
      </c>
      <c r="B3773" t="str">
        <f ca="1">IFERROR(__xludf.DUMMYFUNCTION("""COMPUTED_VALUE"""),"RF-0285-001-PPP")</f>
        <v>RF-0285-001-PPP</v>
      </c>
    </row>
    <row r="3774" spans="1:2" ht="12.5" x14ac:dyDescent="0.25">
      <c r="A3774" t="str">
        <f ca="1">IFERROR(__xludf.DUMMYFUNCTION("""COMPUTED_VALUE"""),"Metconazole")</f>
        <v>Metconazole</v>
      </c>
      <c r="B3774" t="str">
        <f ca="1">IFERROR(__xludf.DUMMYFUNCTION("""COMPUTED_VALUE"""),"RF-0286-001-PPP")</f>
        <v>RF-0286-001-PPP</v>
      </c>
    </row>
    <row r="3775" spans="1:2" ht="12.5" x14ac:dyDescent="0.25">
      <c r="A3775" t="str">
        <f ca="1">IFERROR(__xludf.DUMMYFUNCTION("""COMPUTED_VALUE"""),"Methabenzthiazuron")</f>
        <v>Methabenzthiazuron</v>
      </c>
      <c r="B3775" t="str">
        <f ca="1">IFERROR(__xludf.DUMMYFUNCTION("""COMPUTED_VALUE"""),"RF-0287-001-PPP")</f>
        <v>RF-0287-001-PPP</v>
      </c>
    </row>
    <row r="3776" spans="1:2" ht="12.5" x14ac:dyDescent="0.25">
      <c r="A3776" t="str">
        <f ca="1">IFERROR(__xludf.DUMMYFUNCTION("""COMPUTED_VALUE"""),"Methacrifos")</f>
        <v>Methacrifos</v>
      </c>
      <c r="B3776" t="str">
        <f ca="1">IFERROR(__xludf.DUMMYFUNCTION("""COMPUTED_VALUE"""),"RF-0288-001-PPP")</f>
        <v>RF-0288-001-PPP</v>
      </c>
    </row>
    <row r="3777" spans="1:2" ht="12.5" x14ac:dyDescent="0.25">
      <c r="A3777" t="str">
        <f ca="1">IFERROR(__xludf.DUMMYFUNCTION("""COMPUTED_VALUE"""),"Methacylin")</f>
        <v>Methacylin</v>
      </c>
      <c r="B3777" t="str">
        <f ca="1">IFERROR(__xludf.DUMMYFUNCTION("""COMPUTED_VALUE"""),"RF-00000654-VET")</f>
        <v>RF-00000654-VET</v>
      </c>
    </row>
    <row r="3778" spans="1:2" ht="12.5" x14ac:dyDescent="0.25">
      <c r="A3778" t="str">
        <f ca="1">IFERROR(__xludf.DUMMYFUNCTION("""COMPUTED_VALUE"""),"Methamidophos")</f>
        <v>Methamidophos</v>
      </c>
      <c r="B3778" t="str">
        <f ca="1">IFERROR(__xludf.DUMMYFUNCTION("""COMPUTED_VALUE"""),"RF-0289-001-PPP")</f>
        <v>RF-0289-001-PPP</v>
      </c>
    </row>
    <row r="3779" spans="1:2" ht="12.5" x14ac:dyDescent="0.25">
      <c r="A3779" t="str">
        <f ca="1">IFERROR(__xludf.DUMMYFUNCTION("""COMPUTED_VALUE"""),"Methandriol")</f>
        <v>Methandriol</v>
      </c>
      <c r="B3779" t="str">
        <f ca="1">IFERROR(__xludf.DUMMYFUNCTION("""COMPUTED_VALUE"""),"RF-00000314-VET")</f>
        <v>RF-00000314-VET</v>
      </c>
    </row>
    <row r="3780" spans="1:2" ht="12.5" x14ac:dyDescent="0.25">
      <c r="A3780" t="str">
        <f ca="1">IFERROR(__xludf.DUMMYFUNCTION("""COMPUTED_VALUE"""),"Methanol")</f>
        <v>Methanol</v>
      </c>
      <c r="B3780" t="str">
        <f ca="1">IFERROR(__xludf.DUMMYFUNCTION("""COMPUTED_VALUE"""),"RF-00000457-ORG")</f>
        <v>RF-00000457-ORG</v>
      </c>
    </row>
    <row r="3781" spans="1:2" ht="12.5" x14ac:dyDescent="0.25">
      <c r="A3781" t="str">
        <f ca="1">IFERROR(__xludf.DUMMYFUNCTION("""COMPUTED_VALUE"""),"Methapyrilen")</f>
        <v>Methapyrilen</v>
      </c>
      <c r="B3781" t="str">
        <f ca="1">IFERROR(__xludf.DUMMYFUNCTION("""COMPUTED_VALUE"""),"RF-00000185-VET")</f>
        <v>RF-00000185-VET</v>
      </c>
    </row>
    <row r="3782" spans="1:2" ht="12.5" x14ac:dyDescent="0.25">
      <c r="A3782" t="str">
        <f ca="1">IFERROR(__xludf.DUMMYFUNCTION("""COMPUTED_VALUE"""),"Methazole")</f>
        <v>Methazole</v>
      </c>
      <c r="B3782" t="str">
        <f ca="1">IFERROR(__xludf.DUMMYFUNCTION("""COMPUTED_VALUE"""),"RF-0782-001-PPP")</f>
        <v>RF-0782-001-PPP</v>
      </c>
    </row>
    <row r="3783" spans="1:2" ht="12.5" x14ac:dyDescent="0.25">
      <c r="A3783" t="str">
        <f ca="1">IFERROR(__xludf.DUMMYFUNCTION("""COMPUTED_VALUE"""),"Methenolone")</f>
        <v>Methenolone</v>
      </c>
      <c r="B3783" t="str">
        <f ca="1">IFERROR(__xludf.DUMMYFUNCTION("""COMPUTED_VALUE"""),"RF-00000331-VET")</f>
        <v>RF-00000331-VET</v>
      </c>
    </row>
    <row r="3784" spans="1:2" ht="12.5" x14ac:dyDescent="0.25">
      <c r="A3784" t="str">
        <f ca="1">IFERROR(__xludf.DUMMYFUNCTION("""COMPUTED_VALUE"""),"Methenolone acetate")</f>
        <v>Methenolone acetate</v>
      </c>
      <c r="B3784" t="str">
        <f ca="1">IFERROR(__xludf.DUMMYFUNCTION("""COMPUTED_VALUE"""),"RF-00000329-VET")</f>
        <v>RF-00000329-VET</v>
      </c>
    </row>
    <row r="3785" spans="1:2" ht="12.5" x14ac:dyDescent="0.25">
      <c r="A3785" t="str">
        <f ca="1">IFERROR(__xludf.DUMMYFUNCTION("""COMPUTED_VALUE"""),"Methfuroxam")</f>
        <v>Methfuroxam</v>
      </c>
      <c r="B3785" t="str">
        <f ca="1">IFERROR(__xludf.DUMMYFUNCTION("""COMPUTED_VALUE"""),"RF-0783-001-PPP")</f>
        <v>RF-0783-001-PPP</v>
      </c>
    </row>
    <row r="3786" spans="1:2" ht="12.5" x14ac:dyDescent="0.25">
      <c r="A3786" t="str">
        <f ca="1">IFERROR(__xludf.DUMMYFUNCTION("""COMPUTED_VALUE"""),"Methicillin")</f>
        <v>Methicillin</v>
      </c>
      <c r="B3786" t="str">
        <f ca="1">IFERROR(__xludf.DUMMYFUNCTION("""COMPUTED_VALUE"""),"RF-00000689-VET")</f>
        <v>RF-00000689-VET</v>
      </c>
    </row>
    <row r="3787" spans="1:2" ht="12.5" x14ac:dyDescent="0.25">
      <c r="A3787" t="str">
        <f ca="1">IFERROR(__xludf.DUMMYFUNCTION("""COMPUTED_VALUE"""),"Methidathion")</f>
        <v>Methidathion</v>
      </c>
      <c r="B3787" t="str">
        <f ca="1">IFERROR(__xludf.DUMMYFUNCTION("""COMPUTED_VALUE"""),"RF-0290-001-PPP")</f>
        <v>RF-0290-001-PPP</v>
      </c>
    </row>
    <row r="3788" spans="1:2" ht="12.5" x14ac:dyDescent="0.25">
      <c r="A3788" t="str">
        <f ca="1">IFERROR(__xludf.DUMMYFUNCTION("""COMPUTED_VALUE"""),"Methimazole (2-mercapto-1-methyl imidazole, tapazol, thiamazol)")</f>
        <v>Methimazole (2-mercapto-1-methyl imidazole, tapazol, thiamazol)</v>
      </c>
      <c r="B3788" t="str">
        <f ca="1">IFERROR(__xludf.DUMMYFUNCTION("""COMPUTED_VALUE"""),"RF-00000308-VET")</f>
        <v>RF-00000308-VET</v>
      </c>
    </row>
    <row r="3789" spans="1:2" ht="12.5" x14ac:dyDescent="0.25">
      <c r="A3789" t="str">
        <f ca="1">IFERROR(__xludf.DUMMYFUNCTION("""COMPUTED_VALUE"""),"Methiocarb")</f>
        <v>Methiocarb</v>
      </c>
      <c r="B3789" t="str">
        <f ca="1">IFERROR(__xludf.DUMMYFUNCTION("""COMPUTED_VALUE"""),"RF-0291-002-PPP")</f>
        <v>RF-0291-002-PPP</v>
      </c>
    </row>
    <row r="3790" spans="1:2" ht="12.5" x14ac:dyDescent="0.25">
      <c r="A3790" t="str">
        <f ca="1">IFERROR(__xludf.DUMMYFUNCTION("""COMPUTED_VALUE"""),"Methiocarb (sum of methiocarb and methiocarb sulfoxide and sulfone, expressed as methiocarb)")</f>
        <v>Methiocarb (sum of methiocarb and methiocarb sulfoxide and sulfone, expressed as methiocarb)</v>
      </c>
      <c r="B3790" t="str">
        <f ca="1">IFERROR(__xludf.DUMMYFUNCTION("""COMPUTED_VALUE"""),"RF-0291-001-PPP")</f>
        <v>RF-0291-001-PPP</v>
      </c>
    </row>
    <row r="3791" spans="1:2" ht="12.5" x14ac:dyDescent="0.25">
      <c r="A3791" t="str">
        <f ca="1">IFERROR(__xludf.DUMMYFUNCTION("""COMPUTED_VALUE"""),"Methiocarb-Sulfon")</f>
        <v>Methiocarb-Sulfon</v>
      </c>
      <c r="B3791" t="str">
        <f ca="1">IFERROR(__xludf.DUMMYFUNCTION("""COMPUTED_VALUE"""),"RF-0291-004-PPP")</f>
        <v>RF-0291-004-PPP</v>
      </c>
    </row>
    <row r="3792" spans="1:2" ht="12.5" x14ac:dyDescent="0.25">
      <c r="A3792" t="str">
        <f ca="1">IFERROR(__xludf.DUMMYFUNCTION("""COMPUTED_VALUE"""),"Methiocarb-Sulfoxid")</f>
        <v>Methiocarb-Sulfoxid</v>
      </c>
      <c r="B3792" t="str">
        <f ca="1">IFERROR(__xludf.DUMMYFUNCTION("""COMPUTED_VALUE"""),"RF-0291-003-PPP")</f>
        <v>RF-0291-003-PPP</v>
      </c>
    </row>
    <row r="3793" spans="1:2" ht="12.5" x14ac:dyDescent="0.25">
      <c r="A3793" t="str">
        <f ca="1">IFERROR(__xludf.DUMMYFUNCTION("""COMPUTED_VALUE"""),"methionine")</f>
        <v>methionine</v>
      </c>
      <c r="B3793" t="str">
        <f ca="1">IFERROR(__xludf.DUMMYFUNCTION("""COMPUTED_VALUE"""),"RF-00000343-NTR")</f>
        <v>RF-00000343-NTR</v>
      </c>
    </row>
    <row r="3794" spans="1:2" ht="12.5" x14ac:dyDescent="0.25">
      <c r="A3794" t="str">
        <f ca="1">IFERROR(__xludf.DUMMYFUNCTION("""COMPUTED_VALUE"""),"Metholachlor")</f>
        <v>Metholachlor</v>
      </c>
      <c r="B3794" t="str">
        <f ca="1">IFERROR(__xludf.DUMMYFUNCTION("""COMPUTED_VALUE"""),"RF-0292-002-PPP")</f>
        <v>RF-0292-002-PPP</v>
      </c>
    </row>
    <row r="3795" spans="1:2" ht="12.5" x14ac:dyDescent="0.25">
      <c r="A3795" t="str">
        <f ca="1">IFERROR(__xludf.DUMMYFUNCTION("""COMPUTED_VALUE"""),"Metholachlor and metholachlor-S (Metholachlor including other mixtures of constituent isomers including S-metholachlor (sum of isomers))")</f>
        <v>Metholachlor and metholachlor-S (Metholachlor including other mixtures of constituent isomers including S-metholachlor (sum of isomers))</v>
      </c>
      <c r="B3795" t="str">
        <f ca="1">IFERROR(__xludf.DUMMYFUNCTION("""COMPUTED_VALUE"""),"RF-0292-001-PPP")</f>
        <v>RF-0292-001-PPP</v>
      </c>
    </row>
    <row r="3796" spans="1:2" ht="12.5" x14ac:dyDescent="0.25">
      <c r="A3796" t="str">
        <f ca="1">IFERROR(__xludf.DUMMYFUNCTION("""COMPUTED_VALUE"""),"Metholachlor, S-")</f>
        <v>Metholachlor, S-</v>
      </c>
      <c r="B3796" t="str">
        <f ca="1">IFERROR(__xludf.DUMMYFUNCTION("""COMPUTED_VALUE"""),"RF-0292-003-PPP")</f>
        <v>RF-0292-003-PPP</v>
      </c>
    </row>
    <row r="3797" spans="1:2" ht="12.5" x14ac:dyDescent="0.25">
      <c r="A3797" t="str">
        <f ca="1">IFERROR(__xludf.DUMMYFUNCTION("""COMPUTED_VALUE"""),"Methomyl")</f>
        <v>Methomyl</v>
      </c>
      <c r="B3797" t="str">
        <f ca="1">IFERROR(__xludf.DUMMYFUNCTION("""COMPUTED_VALUE"""),"RF-00000120-VET")</f>
        <v>RF-00000120-VET</v>
      </c>
    </row>
    <row r="3798" spans="1:2" ht="12.5" x14ac:dyDescent="0.25">
      <c r="A3798" t="str">
        <f ca="1">IFERROR(__xludf.DUMMYFUNCTION("""COMPUTED_VALUE"""),"Methomyl")</f>
        <v>Methomyl</v>
      </c>
      <c r="B3798" t="str">
        <f ca="1">IFERROR(__xludf.DUMMYFUNCTION("""COMPUTED_VALUE"""),"RF-0293-003-PPP")</f>
        <v>RF-0293-003-PPP</v>
      </c>
    </row>
    <row r="3799" spans="1:2" ht="12.5" x14ac:dyDescent="0.25">
      <c r="A3799" t="str">
        <f ca="1">IFERROR(__xludf.DUMMYFUNCTION("""COMPUTED_VALUE"""),"Methomyl and Thiodicarb (sum of methomyl and thiodicarb expressed as methomyl)")</f>
        <v>Methomyl and Thiodicarb (sum of methomyl and thiodicarb expressed as methomyl)</v>
      </c>
      <c r="B3799" t="str">
        <f ca="1">IFERROR(__xludf.DUMMYFUNCTION("""COMPUTED_VALUE"""),"RF-0293-001-PPP")</f>
        <v>RF-0293-001-PPP</v>
      </c>
    </row>
    <row r="3800" spans="1:2" ht="12.5" x14ac:dyDescent="0.25">
      <c r="A3800" t="str">
        <f ca="1">IFERROR(__xludf.DUMMYFUNCTION("""COMPUTED_VALUE"""),"Methomyl-Oxime")</f>
        <v>Methomyl-Oxime</v>
      </c>
      <c r="B3800" t="str">
        <f ca="1">IFERROR(__xludf.DUMMYFUNCTION("""COMPUTED_VALUE"""),"RF-0784-001-PPP")</f>
        <v>RF-0784-001-PPP</v>
      </c>
    </row>
    <row r="3801" spans="1:2" ht="12.5" x14ac:dyDescent="0.25">
      <c r="A3801" t="str">
        <f ca="1">IFERROR(__xludf.DUMMYFUNCTION("""COMPUTED_VALUE"""),"Methomyl-Sulfone")</f>
        <v>Methomyl-Sulfone</v>
      </c>
      <c r="B3801" t="str">
        <f ca="1">IFERROR(__xludf.DUMMYFUNCTION("""COMPUTED_VALUE"""),"RF-0785-001-PPP")</f>
        <v>RF-0785-001-PPP</v>
      </c>
    </row>
    <row r="3802" spans="1:2" ht="12.5" x14ac:dyDescent="0.25">
      <c r="A3802" t="str">
        <f ca="1">IFERROR(__xludf.DUMMYFUNCTION("""COMPUTED_VALUE"""),"Methoprene")</f>
        <v>Methoprene</v>
      </c>
      <c r="B3802" t="str">
        <f ca="1">IFERROR(__xludf.DUMMYFUNCTION("""COMPUTED_VALUE"""),"RF-0294-001-PPP")</f>
        <v>RF-0294-001-PPP</v>
      </c>
    </row>
    <row r="3803" spans="1:2" ht="12.5" x14ac:dyDescent="0.25">
      <c r="A3803" t="str">
        <f ca="1">IFERROR(__xludf.DUMMYFUNCTION("""COMPUTED_VALUE"""),"Methoprotryne")</f>
        <v>Methoprotryne</v>
      </c>
      <c r="B3803" t="str">
        <f ca="1">IFERROR(__xludf.DUMMYFUNCTION("""COMPUTED_VALUE"""),"RF-0786-001-PPP")</f>
        <v>RF-0786-001-PPP</v>
      </c>
    </row>
    <row r="3804" spans="1:2" ht="12.5" x14ac:dyDescent="0.25">
      <c r="A3804" t="str">
        <f ca="1">IFERROR(__xludf.DUMMYFUNCTION("""COMPUTED_VALUE"""),"Methothrin")</f>
        <v>Methothrin</v>
      </c>
      <c r="B3804" t="str">
        <f ca="1">IFERROR(__xludf.DUMMYFUNCTION("""COMPUTED_VALUE"""),"RF-0787-001-PPP")</f>
        <v>RF-0787-001-PPP</v>
      </c>
    </row>
    <row r="3805" spans="1:2" ht="12.5" x14ac:dyDescent="0.25">
      <c r="A3805" t="str">
        <f ca="1">IFERROR(__xludf.DUMMYFUNCTION("""COMPUTED_VALUE"""),"Methoxychlor")</f>
        <v>Methoxychlor</v>
      </c>
      <c r="B3805" t="str">
        <f ca="1">IFERROR(__xludf.DUMMYFUNCTION("""COMPUTED_VALUE"""),"RF-0295-001-PPP")</f>
        <v>RF-0295-001-PPP</v>
      </c>
    </row>
    <row r="3806" spans="1:2" ht="12.5" x14ac:dyDescent="0.25">
      <c r="A3806" t="str">
        <f ca="1">IFERROR(__xludf.DUMMYFUNCTION("""COMPUTED_VALUE"""),"Methoxyfenozide")</f>
        <v>Methoxyfenozide</v>
      </c>
      <c r="B3806" t="str">
        <f ca="1">IFERROR(__xludf.DUMMYFUNCTION("""COMPUTED_VALUE"""),"RF-0296-001-PPP")</f>
        <v>RF-0296-001-PPP</v>
      </c>
    </row>
    <row r="3807" spans="1:2" ht="12.5" x14ac:dyDescent="0.25">
      <c r="A3807" t="str">
        <f ca="1">IFERROR(__xludf.DUMMYFUNCTION("""COMPUTED_VALUE"""),"Methyl bromide")</f>
        <v>Methyl bromide</v>
      </c>
      <c r="B3807" t="str">
        <f ca="1">IFERROR(__xludf.DUMMYFUNCTION("""COMPUTED_VALUE"""),"RF-0788-001-PPP")</f>
        <v>RF-0788-001-PPP</v>
      </c>
    </row>
    <row r="3808" spans="1:2" ht="12.5" x14ac:dyDescent="0.25">
      <c r="A3808" t="str">
        <f ca="1">IFERROR(__xludf.DUMMYFUNCTION("""COMPUTED_VALUE"""),"Methyl cellulose")</f>
        <v>Methyl cellulose</v>
      </c>
      <c r="B3808" t="str">
        <f ca="1">IFERROR(__xludf.DUMMYFUNCTION("""COMPUTED_VALUE"""),"RF-00000188-ADD")</f>
        <v>RF-00000188-ADD</v>
      </c>
    </row>
    <row r="3809" spans="1:2" ht="12.5" x14ac:dyDescent="0.25">
      <c r="A3809" t="str">
        <f ca="1">IFERROR(__xludf.DUMMYFUNCTION("""COMPUTED_VALUE"""),"Methyl methacrylate")</f>
        <v>Methyl methacrylate</v>
      </c>
      <c r="B3809" t="str">
        <f ca="1">IFERROR(__xludf.DUMMYFUNCTION("""COMPUTED_VALUE"""),"RF-00000232-VET")</f>
        <v>RF-00000232-VET</v>
      </c>
    </row>
    <row r="3810" spans="1:2" ht="12.5" x14ac:dyDescent="0.25">
      <c r="A3810" t="str">
        <f ca="1">IFERROR(__xludf.DUMMYFUNCTION("""COMPUTED_VALUE"""),"Methyl p-hydroxybenzoate")</f>
        <v>Methyl p-hydroxybenzoate</v>
      </c>
      <c r="B3810" t="str">
        <f ca="1">IFERROR(__xludf.DUMMYFUNCTION("""COMPUTED_VALUE"""),"RF-00000189-ADD")</f>
        <v>RF-00000189-ADD</v>
      </c>
    </row>
    <row r="3811" spans="1:2" ht="12.5" x14ac:dyDescent="0.25">
      <c r="A3811" t="str">
        <f ca="1">IFERROR(__xludf.DUMMYFUNCTION("""COMPUTED_VALUE"""),"Methyl-Isothiocyanate")</f>
        <v>Methyl-Isothiocyanate</v>
      </c>
      <c r="B3811" t="str">
        <f ca="1">IFERROR(__xludf.DUMMYFUNCTION("""COMPUTED_VALUE"""),"RF-0790-001-PPP")</f>
        <v>RF-0790-001-PPP</v>
      </c>
    </row>
    <row r="3812" spans="1:2" ht="12.5" x14ac:dyDescent="0.25">
      <c r="A3812" t="str">
        <f ca="1">IFERROR(__xludf.DUMMYFUNCTION("""COMPUTED_VALUE"""),"Methylamine")</f>
        <v>Methylamine</v>
      </c>
      <c r="B3812" t="str">
        <f ca="1">IFERROR(__xludf.DUMMYFUNCTION("""COMPUTED_VALUE"""),"RF-00000477-ORG")</f>
        <v>RF-00000477-ORG</v>
      </c>
    </row>
    <row r="3813" spans="1:2" ht="12.5" x14ac:dyDescent="0.25">
      <c r="A3813" t="str">
        <f ca="1">IFERROR(__xludf.DUMMYFUNCTION("""COMPUTED_VALUE"""),"Methylarsonate (MA)")</f>
        <v>Methylarsonate (MA)</v>
      </c>
      <c r="B3813" t="str">
        <f ca="1">IFERROR(__xludf.DUMMYFUNCTION("""COMPUTED_VALUE"""),"RF-00000133-CHE")</f>
        <v>RF-00000133-CHE</v>
      </c>
    </row>
    <row r="3814" spans="1:2" ht="12.5" x14ac:dyDescent="0.25">
      <c r="A3814" t="str">
        <f ca="1">IFERROR(__xludf.DUMMYFUNCTION("""COMPUTED_VALUE"""),"Methylarsonite (MA(III))")</f>
        <v>Methylarsonite (MA(III))</v>
      </c>
      <c r="B3814" t="str">
        <f ca="1">IFERROR(__xludf.DUMMYFUNCTION("""COMPUTED_VALUE"""),"RF-00000134-CHE")</f>
        <v>RF-00000134-CHE</v>
      </c>
    </row>
    <row r="3815" spans="1:2" ht="12.5" x14ac:dyDescent="0.25">
      <c r="A3815" t="str">
        <f ca="1">IFERROR(__xludf.DUMMYFUNCTION("""COMPUTED_VALUE"""),"Methylbenzoquat")</f>
        <v>Methylbenzoquat</v>
      </c>
      <c r="B3815" t="str">
        <f ca="1">IFERROR(__xludf.DUMMYFUNCTION("""COMPUTED_VALUE"""),"RF-00000097-VET")</f>
        <v>RF-00000097-VET</v>
      </c>
    </row>
    <row r="3816" spans="1:2" ht="12.5" x14ac:dyDescent="0.25">
      <c r="A3816" t="str">
        <f ca="1">IFERROR(__xludf.DUMMYFUNCTION("""COMPUTED_VALUE"""),"Methylcimaterol")</f>
        <v>Methylcimaterol</v>
      </c>
      <c r="B3816" t="str">
        <f ca="1">IFERROR(__xludf.DUMMYFUNCTION("""COMPUTED_VALUE"""),"RF-00000479-VET")</f>
        <v>RF-00000479-VET</v>
      </c>
    </row>
    <row r="3817" spans="1:2" ht="12.5" x14ac:dyDescent="0.25">
      <c r="A3817" t="str">
        <f ca="1">IFERROR(__xludf.DUMMYFUNCTION("""COMPUTED_VALUE"""),"Methyldymron")</f>
        <v>Methyldymron</v>
      </c>
      <c r="B3817" t="str">
        <f ca="1">IFERROR(__xludf.DUMMYFUNCTION("""COMPUTED_VALUE"""),"RF-0789-001-PPP")</f>
        <v>RF-0789-001-PPP</v>
      </c>
    </row>
    <row r="3818" spans="1:2" ht="12.5" x14ac:dyDescent="0.25">
      <c r="A3818" t="str">
        <f ca="1">IFERROR(__xludf.DUMMYFUNCTION("""COMPUTED_VALUE"""),"Methylergonovine")</f>
        <v>Methylergonovine</v>
      </c>
      <c r="B3818" t="str">
        <f ca="1">IFERROR(__xludf.DUMMYFUNCTION("""COMPUTED_VALUE"""),"RF-00000409-TOX")</f>
        <v>RF-00000409-TOX</v>
      </c>
    </row>
    <row r="3819" spans="1:2" ht="12.5" x14ac:dyDescent="0.25">
      <c r="A3819" t="str">
        <f ca="1">IFERROR(__xludf.DUMMYFUNCTION("""COMPUTED_VALUE"""),"Methylmabuterol")</f>
        <v>Methylmabuterol</v>
      </c>
      <c r="B3819" t="str">
        <f ca="1">IFERROR(__xludf.DUMMYFUNCTION("""COMPUTED_VALUE"""),"RF-00000466-VET")</f>
        <v>RF-00000466-VET</v>
      </c>
    </row>
    <row r="3820" spans="1:2" ht="12.5" x14ac:dyDescent="0.25">
      <c r="A3820" t="str">
        <f ca="1">IFERROR(__xludf.DUMMYFUNCTION("""COMPUTED_VALUE"""),"Methylmercury")</f>
        <v>Methylmercury</v>
      </c>
      <c r="B3820" t="str">
        <f ca="1">IFERROR(__xludf.DUMMYFUNCTION("""COMPUTED_VALUE"""),"RF-00000250-CHE")</f>
        <v>RF-00000250-CHE</v>
      </c>
    </row>
    <row r="3821" spans="1:2" ht="12.5" x14ac:dyDescent="0.25">
      <c r="A3821" t="str">
        <f ca="1">IFERROR(__xludf.DUMMYFUNCTION("""COMPUTED_VALUE"""),"Methylprednisolone")</f>
        <v>Methylprednisolone</v>
      </c>
      <c r="B3821" t="str">
        <f ca="1">IFERROR(__xludf.DUMMYFUNCTION("""COMPUTED_VALUE"""),"RF-00000267-VET")</f>
        <v>RF-00000267-VET</v>
      </c>
    </row>
    <row r="3822" spans="1:2" ht="12.5" x14ac:dyDescent="0.25">
      <c r="A3822" t="str">
        <f ca="1">IFERROR(__xludf.DUMMYFUNCTION("""COMPUTED_VALUE"""),"Methylprogesterone")</f>
        <v>Methylprogesterone</v>
      </c>
      <c r="B3822" t="str">
        <f ca="1">IFERROR(__xludf.DUMMYFUNCTION("""COMPUTED_VALUE"""),"RF-00000425-VET")</f>
        <v>RF-00000425-VET</v>
      </c>
    </row>
    <row r="3823" spans="1:2" ht="12.5" x14ac:dyDescent="0.25">
      <c r="A3823" t="str">
        <f ca="1">IFERROR(__xludf.DUMMYFUNCTION("""COMPUTED_VALUE"""),"Methyltestosterone")</f>
        <v>Methyltestosterone</v>
      </c>
      <c r="B3823" t="str">
        <f ca="1">IFERROR(__xludf.DUMMYFUNCTION("""COMPUTED_VALUE"""),"RF-00000424-VET")</f>
        <v>RF-00000424-VET</v>
      </c>
    </row>
    <row r="3824" spans="1:2" ht="12.5" x14ac:dyDescent="0.25">
      <c r="A3824" t="str">
        <f ca="1">IFERROR(__xludf.DUMMYFUNCTION("""COMPUTED_VALUE"""),"Methysergide")</f>
        <v>Methysergide</v>
      </c>
      <c r="B3824" t="str">
        <f ca="1">IFERROR(__xludf.DUMMYFUNCTION("""COMPUTED_VALUE"""),"RF-00000410-TOX")</f>
        <v>RF-00000410-TOX</v>
      </c>
    </row>
    <row r="3825" spans="1:2" ht="12.5" x14ac:dyDescent="0.25">
      <c r="A3825" t="str">
        <f ca="1">IFERROR(__xludf.DUMMYFUNCTION("""COMPUTED_VALUE"""),"Metiram")</f>
        <v>Metiram</v>
      </c>
      <c r="B3825" t="str">
        <f ca="1">IFERROR(__xludf.DUMMYFUNCTION("""COMPUTED_VALUE"""),"RF-0151-002-PPP")</f>
        <v>RF-0151-002-PPP</v>
      </c>
    </row>
    <row r="3826" spans="1:2" ht="12.5" x14ac:dyDescent="0.25">
      <c r="A3826" t="str">
        <f ca="1">IFERROR(__xludf.DUMMYFUNCTION("""COMPUTED_VALUE"""),"Metobromuron")</f>
        <v>Metobromuron</v>
      </c>
      <c r="B3826" t="str">
        <f ca="1">IFERROR(__xludf.DUMMYFUNCTION("""COMPUTED_VALUE"""),"RF-0791-001-PPP")</f>
        <v>RF-0791-001-PPP</v>
      </c>
    </row>
    <row r="3827" spans="1:2" ht="12.5" x14ac:dyDescent="0.25">
      <c r="A3827" t="str">
        <f ca="1">IFERROR(__xludf.DUMMYFUNCTION("""COMPUTED_VALUE"""),"Metolcarb")</f>
        <v>Metolcarb</v>
      </c>
      <c r="B3827" t="str">
        <f ca="1">IFERROR(__xludf.DUMMYFUNCTION("""COMPUTED_VALUE"""),"RF-00000127-VET")</f>
        <v>RF-00000127-VET</v>
      </c>
    </row>
    <row r="3828" spans="1:2" ht="12.5" x14ac:dyDescent="0.25">
      <c r="A3828" t="str">
        <f ca="1">IFERROR(__xludf.DUMMYFUNCTION("""COMPUTED_VALUE"""),"Metolcarb")</f>
        <v>Metolcarb</v>
      </c>
      <c r="B3828" t="str">
        <f ca="1">IFERROR(__xludf.DUMMYFUNCTION("""COMPUTED_VALUE"""),"RF-0792-001-PPP")</f>
        <v>RF-0792-001-PPP</v>
      </c>
    </row>
    <row r="3829" spans="1:2" ht="12.5" x14ac:dyDescent="0.25">
      <c r="A3829" t="str">
        <f ca="1">IFERROR(__xludf.DUMMYFUNCTION("""COMPUTED_VALUE"""),"Metominostrobin")</f>
        <v>Metominostrobin</v>
      </c>
      <c r="B3829" t="str">
        <f ca="1">IFERROR(__xludf.DUMMYFUNCTION("""COMPUTED_VALUE"""),"RF-0793-001-PPP")</f>
        <v>RF-0793-001-PPP</v>
      </c>
    </row>
    <row r="3830" spans="1:2" ht="12.5" x14ac:dyDescent="0.25">
      <c r="A3830" t="str">
        <f ca="1">IFERROR(__xludf.DUMMYFUNCTION("""COMPUTED_VALUE"""),"Metoprolol")</f>
        <v>Metoprolol</v>
      </c>
      <c r="B3830" t="str">
        <f ca="1">IFERROR(__xludf.DUMMYFUNCTION("""COMPUTED_VALUE"""),"RF-00000249-VET")</f>
        <v>RF-00000249-VET</v>
      </c>
    </row>
    <row r="3831" spans="1:2" ht="12.5" x14ac:dyDescent="0.25">
      <c r="A3831" t="str">
        <f ca="1">IFERROR(__xludf.DUMMYFUNCTION("""COMPUTED_VALUE"""),"Metosulam")</f>
        <v>Metosulam</v>
      </c>
      <c r="B3831" t="str">
        <f ca="1">IFERROR(__xludf.DUMMYFUNCTION("""COMPUTED_VALUE"""),"RF-0298-001-PPP")</f>
        <v>RF-0298-001-PPP</v>
      </c>
    </row>
    <row r="3832" spans="1:2" ht="12.5" x14ac:dyDescent="0.25">
      <c r="A3832" t="str">
        <f ca="1">IFERROR(__xludf.DUMMYFUNCTION("""COMPUTED_VALUE"""),"Metoxuron")</f>
        <v>Metoxuron</v>
      </c>
      <c r="B3832" t="str">
        <f ca="1">IFERROR(__xludf.DUMMYFUNCTION("""COMPUTED_VALUE"""),"RF-0794-001-PPP")</f>
        <v>RF-0794-001-PPP</v>
      </c>
    </row>
    <row r="3833" spans="1:2" ht="12.5" x14ac:dyDescent="0.25">
      <c r="A3833" t="str">
        <f ca="1">IFERROR(__xludf.DUMMYFUNCTION("""COMPUTED_VALUE"""),"Metrafenone")</f>
        <v>Metrafenone</v>
      </c>
      <c r="B3833" t="str">
        <f ca="1">IFERROR(__xludf.DUMMYFUNCTION("""COMPUTED_VALUE"""),"RF-0299-001-PPP")</f>
        <v>RF-0299-001-PPP</v>
      </c>
    </row>
    <row r="3834" spans="1:2" ht="12.5" x14ac:dyDescent="0.25">
      <c r="A3834" t="str">
        <f ca="1">IFERROR(__xludf.DUMMYFUNCTION("""COMPUTED_VALUE"""),"Metribuzin")</f>
        <v>Metribuzin</v>
      </c>
      <c r="B3834" t="str">
        <f ca="1">IFERROR(__xludf.DUMMYFUNCTION("""COMPUTED_VALUE"""),"RF-0300-001-PPP")</f>
        <v>RF-0300-001-PPP</v>
      </c>
    </row>
    <row r="3835" spans="1:2" ht="12.5" x14ac:dyDescent="0.25">
      <c r="A3835" t="str">
        <f ca="1">IFERROR(__xludf.DUMMYFUNCTION("""COMPUTED_VALUE"""),"Metronidazole")</f>
        <v>Metronidazole</v>
      </c>
      <c r="B3835" t="str">
        <f ca="1">IFERROR(__xludf.DUMMYFUNCTION("""COMPUTED_VALUE"""),"RF-00000513-VET")</f>
        <v>RF-00000513-VET</v>
      </c>
    </row>
    <row r="3836" spans="1:2" ht="12.5" x14ac:dyDescent="0.25">
      <c r="A3836" t="str">
        <f ca="1">IFERROR(__xludf.DUMMYFUNCTION("""COMPUTED_VALUE"""),"Metsulfovax")</f>
        <v>Metsulfovax</v>
      </c>
      <c r="B3836" t="str">
        <f ca="1">IFERROR(__xludf.DUMMYFUNCTION("""COMPUTED_VALUE"""),"RF-0795-001-PPP")</f>
        <v>RF-0795-001-PPP</v>
      </c>
    </row>
    <row r="3837" spans="1:2" ht="12.5" x14ac:dyDescent="0.25">
      <c r="A3837" t="str">
        <f ca="1">IFERROR(__xludf.DUMMYFUNCTION("""COMPUTED_VALUE"""),"Metsulfuron")</f>
        <v>Metsulfuron</v>
      </c>
      <c r="B3837" t="str">
        <f ca="1">IFERROR(__xludf.DUMMYFUNCTION("""COMPUTED_VALUE"""),"RF-0796-001-PPP")</f>
        <v>RF-0796-001-PPP</v>
      </c>
    </row>
    <row r="3838" spans="1:2" ht="12.5" x14ac:dyDescent="0.25">
      <c r="A3838" t="str">
        <f ca="1">IFERROR(__xludf.DUMMYFUNCTION("""COMPUTED_VALUE"""),"Metsulfuron-methyl")</f>
        <v>Metsulfuron-methyl</v>
      </c>
      <c r="B3838" t="str">
        <f ca="1">IFERROR(__xludf.DUMMYFUNCTION("""COMPUTED_VALUE"""),"RF-0301-001-PPP")</f>
        <v>RF-0301-001-PPP</v>
      </c>
    </row>
    <row r="3839" spans="1:2" ht="12.5" x14ac:dyDescent="0.25">
      <c r="A3839" t="str">
        <f ca="1">IFERROR(__xludf.DUMMYFUNCTION("""COMPUTED_VALUE"""),"Mevinphos (sum of E- and Z-isomers)")</f>
        <v>Mevinphos (sum of E- and Z-isomers)</v>
      </c>
      <c r="B3839" t="str">
        <f ca="1">IFERROR(__xludf.DUMMYFUNCTION("""COMPUTED_VALUE"""),"RF-0302-001-PPP")</f>
        <v>RF-0302-001-PPP</v>
      </c>
    </row>
    <row r="3840" spans="1:2" ht="12.5" x14ac:dyDescent="0.25">
      <c r="A3840" t="str">
        <f ca="1">IFERROR(__xludf.DUMMYFUNCTION("""COMPUTED_VALUE"""),"Microcrystalline wax")</f>
        <v>Microcrystalline wax</v>
      </c>
      <c r="B3840" t="str">
        <f ca="1">IFERROR(__xludf.DUMMYFUNCTION("""COMPUTED_VALUE"""),"RF-00000190-ADD")</f>
        <v>RF-00000190-ADD</v>
      </c>
    </row>
    <row r="3841" spans="1:2" ht="12.5" x14ac:dyDescent="0.25">
      <c r="A3841" t="str">
        <f ca="1">IFERROR(__xludf.DUMMYFUNCTION("""COMPUTED_VALUE"""),"Microorganisms")</f>
        <v>Microorganisms</v>
      </c>
      <c r="B3841" t="str">
        <f ca="1">IFERROR(__xludf.DUMMYFUNCTION("""COMPUTED_VALUE"""),"RF-00000001-MCG")</f>
        <v>RF-00000001-MCG</v>
      </c>
    </row>
    <row r="3842" spans="1:2" ht="12.5" x14ac:dyDescent="0.25">
      <c r="A3842" t="str">
        <f ca="1">IFERROR(__xludf.DUMMYFUNCTION("""COMPUTED_VALUE"""),"Microsporum")</f>
        <v>Microsporum</v>
      </c>
      <c r="B3842" t="str">
        <f ca="1">IFERROR(__xludf.DUMMYFUNCTION("""COMPUTED_VALUE"""),"RF-00000270-MCG")</f>
        <v>RF-00000270-MCG</v>
      </c>
    </row>
    <row r="3843" spans="1:2" ht="12.5" x14ac:dyDescent="0.25">
      <c r="A3843" t="str">
        <f ca="1">IFERROR(__xludf.DUMMYFUNCTION("""COMPUTED_VALUE"""),"Microsporum canis")</f>
        <v>Microsporum canis</v>
      </c>
      <c r="B3843" t="str">
        <f ca="1">IFERROR(__xludf.DUMMYFUNCTION("""COMPUTED_VALUE"""),"RF-00000272-MCG")</f>
        <v>RF-00000272-MCG</v>
      </c>
    </row>
    <row r="3844" spans="1:2" ht="12.5" x14ac:dyDescent="0.25">
      <c r="A3844" t="str">
        <f ca="1">IFERROR(__xludf.DUMMYFUNCTION("""COMPUTED_VALUE"""),"Milbemectin")</f>
        <v>Milbemectin</v>
      </c>
      <c r="B3844" t="str">
        <f ca="1">IFERROR(__xludf.DUMMYFUNCTION("""COMPUTED_VALUE"""),"RF-0303-004-PPP")</f>
        <v>RF-0303-004-PPP</v>
      </c>
    </row>
    <row r="3845" spans="1:2" ht="12.5" x14ac:dyDescent="0.25">
      <c r="A3845" t="str">
        <f ca="1">IFERROR(__xludf.DUMMYFUNCTION("""COMPUTED_VALUE"""),"Milbemectin (sum of MA4+8,9Z-MA4, expressed as Milbemectin)")</f>
        <v>Milbemectin (sum of MA4+8,9Z-MA4, expressed as Milbemectin)</v>
      </c>
      <c r="B3845" t="str">
        <f ca="1">IFERROR(__xludf.DUMMYFUNCTION("""COMPUTED_VALUE"""),"RF-0303-001-PPP")</f>
        <v>RF-0303-001-PPP</v>
      </c>
    </row>
    <row r="3846" spans="1:2" ht="12.5" x14ac:dyDescent="0.25">
      <c r="A3846" t="str">
        <f ca="1">IFERROR(__xludf.DUMMYFUNCTION("""COMPUTED_VALUE"""),"Milbemectin A3")</f>
        <v>Milbemectin A3</v>
      </c>
      <c r="B3846" t="str">
        <f ca="1">IFERROR(__xludf.DUMMYFUNCTION("""COMPUTED_VALUE"""),"RF-00000034-VET")</f>
        <v>RF-00000034-VET</v>
      </c>
    </row>
    <row r="3847" spans="1:2" ht="12.5" x14ac:dyDescent="0.25">
      <c r="A3847" t="str">
        <f ca="1">IFERROR(__xludf.DUMMYFUNCTION("""COMPUTED_VALUE"""),"Milbemectin A3")</f>
        <v>Milbemectin A3</v>
      </c>
      <c r="B3847" t="str">
        <f ca="1">IFERROR(__xludf.DUMMYFUNCTION("""COMPUTED_VALUE"""),"RF-0303-002-PPP")</f>
        <v>RF-0303-002-PPP</v>
      </c>
    </row>
    <row r="3848" spans="1:2" ht="12.5" x14ac:dyDescent="0.25">
      <c r="A3848" t="str">
        <f ca="1">IFERROR(__xludf.DUMMYFUNCTION("""COMPUTED_VALUE"""),"Milbemectin A4")</f>
        <v>Milbemectin A4</v>
      </c>
      <c r="B3848" t="str">
        <f ca="1">IFERROR(__xludf.DUMMYFUNCTION("""COMPUTED_VALUE"""),"RF-00000054-VET")</f>
        <v>RF-00000054-VET</v>
      </c>
    </row>
    <row r="3849" spans="1:2" ht="12.5" x14ac:dyDescent="0.25">
      <c r="A3849" t="str">
        <f ca="1">IFERROR(__xludf.DUMMYFUNCTION("""COMPUTED_VALUE"""),"Milbemectin A4")</f>
        <v>Milbemectin A4</v>
      </c>
      <c r="B3849" t="str">
        <f ca="1">IFERROR(__xludf.DUMMYFUNCTION("""COMPUTED_VALUE"""),"RF-0303-003-PPP")</f>
        <v>RF-0303-003-PPP</v>
      </c>
    </row>
    <row r="3850" spans="1:2" ht="12.5" x14ac:dyDescent="0.25">
      <c r="A3850" t="str">
        <f ca="1">IFERROR(__xludf.DUMMYFUNCTION("""COMPUTED_VALUE"""),"Milbemycine")</f>
        <v>Milbemycine</v>
      </c>
      <c r="B3850" t="str">
        <f ca="1">IFERROR(__xludf.DUMMYFUNCTION("""COMPUTED_VALUE"""),"RF-00000012-VET")</f>
        <v>RF-00000012-VET</v>
      </c>
    </row>
    <row r="3851" spans="1:2" ht="12.5" x14ac:dyDescent="0.25">
      <c r="A3851" t="str">
        <f ca="1">IFERROR(__xludf.DUMMYFUNCTION("""COMPUTED_VALUE"""),"Mineral oil aromatic hydrocarbons")</f>
        <v>Mineral oil aromatic hydrocarbons</v>
      </c>
      <c r="B3851" t="str">
        <f ca="1">IFERROR(__xludf.DUMMYFUNCTION("""COMPUTED_VALUE"""),"RF-00000398-ORG")</f>
        <v>RF-00000398-ORG</v>
      </c>
    </row>
    <row r="3852" spans="1:2" ht="12.5" x14ac:dyDescent="0.25">
      <c r="A3852" t="str">
        <f ca="1">IFERROR(__xludf.DUMMYFUNCTION("""COMPUTED_VALUE"""),"Mineral oil saturated hydrocarbons")</f>
        <v>Mineral oil saturated hydrocarbons</v>
      </c>
      <c r="B3852" t="str">
        <f ca="1">IFERROR(__xludf.DUMMYFUNCTION("""COMPUTED_VALUE"""),"RF-00000397-ORG")</f>
        <v>RF-00000397-ORG</v>
      </c>
    </row>
    <row r="3853" spans="1:2" ht="12.5" x14ac:dyDescent="0.25">
      <c r="A3853" t="str">
        <f ca="1">IFERROR(__xludf.DUMMYFUNCTION("""COMPUTED_VALUE"""),"Mineral oils")</f>
        <v>Mineral oils</v>
      </c>
      <c r="B3853" t="str">
        <f ca="1">IFERROR(__xludf.DUMMYFUNCTION("""COMPUTED_VALUE"""),"RF-00000396-ORG")</f>
        <v>RF-00000396-ORG</v>
      </c>
    </row>
    <row r="3854" spans="1:2" ht="12.5" x14ac:dyDescent="0.25">
      <c r="A3854" t="str">
        <f ca="1">IFERROR(__xludf.DUMMYFUNCTION("""COMPUTED_VALUE"""),"Minocyclin")</f>
        <v>Minocyclin</v>
      </c>
      <c r="B3854" t="str">
        <f ca="1">IFERROR(__xludf.DUMMYFUNCTION("""COMPUTED_VALUE"""),"RF-00000540-VET")</f>
        <v>RF-00000540-VET</v>
      </c>
    </row>
    <row r="3855" spans="1:2" ht="12.5" x14ac:dyDescent="0.25">
      <c r="A3855" t="str">
        <f ca="1">IFERROR(__xludf.DUMMYFUNCTION("""COMPUTED_VALUE"""),"Mirex")</f>
        <v>Mirex</v>
      </c>
      <c r="B3855" t="str">
        <f ca="1">IFERROR(__xludf.DUMMYFUNCTION("""COMPUTED_VALUE"""),"RF-0797-001-PPP")</f>
        <v>RF-0797-001-PPP</v>
      </c>
    </row>
    <row r="3856" spans="1:2" ht="12.5" x14ac:dyDescent="0.25">
      <c r="A3856" t="str">
        <f ca="1">IFERROR(__xludf.DUMMYFUNCTION("""COMPUTED_VALUE"""),"Mixed acetic and tartaric acid esters of mono- and diglycerides of fatty acids")</f>
        <v>Mixed acetic and tartaric acid esters of mono- and diglycerides of fatty acids</v>
      </c>
      <c r="B3856" t="str">
        <f ca="1">IFERROR(__xludf.DUMMYFUNCTION("""COMPUTED_VALUE"""),"RF-00000191-ADD")</f>
        <v>RF-00000191-ADD</v>
      </c>
    </row>
    <row r="3857" spans="1:2" ht="12.5" x14ac:dyDescent="0.25">
      <c r="A3857" t="str">
        <f ca="1">IFERROR(__xludf.DUMMYFUNCTION("""COMPUTED_VALUE"""),"Mokola virus")</f>
        <v>Mokola virus</v>
      </c>
      <c r="B3857" t="str">
        <f ca="1">IFERROR(__xludf.DUMMYFUNCTION("""COMPUTED_VALUE"""),"RF-00000262-MCG")</f>
        <v>RF-00000262-MCG</v>
      </c>
    </row>
    <row r="3858" spans="1:2" ht="12.5" x14ac:dyDescent="0.25">
      <c r="A3858" t="str">
        <f ca="1">IFERROR(__xludf.DUMMYFUNCTION("""COMPUTED_VALUE"""),"Molinate")</f>
        <v>Molinate</v>
      </c>
      <c r="B3858" t="str">
        <f ca="1">IFERROR(__xludf.DUMMYFUNCTION("""COMPUTED_VALUE"""),"RF-00000156-VET")</f>
        <v>RF-00000156-VET</v>
      </c>
    </row>
    <row r="3859" spans="1:2" ht="12.5" x14ac:dyDescent="0.25">
      <c r="A3859" t="str">
        <f ca="1">IFERROR(__xludf.DUMMYFUNCTION("""COMPUTED_VALUE"""),"Molinate")</f>
        <v>Molinate</v>
      </c>
      <c r="B3859" t="str">
        <f ca="1">IFERROR(__xludf.DUMMYFUNCTION("""COMPUTED_VALUE"""),"RF-0304-001-PPP")</f>
        <v>RF-0304-001-PPP</v>
      </c>
    </row>
    <row r="3860" spans="1:2" ht="12.5" x14ac:dyDescent="0.25">
      <c r="A3860" t="str">
        <f ca="1">IFERROR(__xludf.DUMMYFUNCTION("""COMPUTED_VALUE"""),"Molybdenum (Mo)")</f>
        <v>Molybdenum (Mo)</v>
      </c>
      <c r="B3860" t="str">
        <f ca="1">IFERROR(__xludf.DUMMYFUNCTION("""COMPUTED_VALUE"""),"RF-00000179-CHE")</f>
        <v>RF-00000179-CHE</v>
      </c>
    </row>
    <row r="3861" spans="1:2" ht="12.5" x14ac:dyDescent="0.25">
      <c r="A3861" t="str">
        <f ca="1">IFERROR(__xludf.DUMMYFUNCTION("""COMPUTED_VALUE"""),"Molybdenum and derivatives")</f>
        <v>Molybdenum and derivatives</v>
      </c>
      <c r="B3861" t="str">
        <f ca="1">IFERROR(__xludf.DUMMYFUNCTION("""COMPUTED_VALUE"""),"RF-00000178-CHE")</f>
        <v>RF-00000178-CHE</v>
      </c>
    </row>
    <row r="3862" spans="1:2" ht="12.5" x14ac:dyDescent="0.25">
      <c r="A3862" t="str">
        <f ca="1">IFERROR(__xludf.DUMMYFUNCTION("""COMPUTED_VALUE"""),"Monalide")</f>
        <v>Monalide</v>
      </c>
      <c r="B3862" t="str">
        <f ca="1">IFERROR(__xludf.DUMMYFUNCTION("""COMPUTED_VALUE"""),"RF-0798-001-PPP")</f>
        <v>RF-0798-001-PPP</v>
      </c>
    </row>
    <row r="3863" spans="1:2" ht="12.5" x14ac:dyDescent="0.25">
      <c r="A3863" t="str">
        <f ca="1">IFERROR(__xludf.DUMMYFUNCTION("""COMPUTED_VALUE"""),"Monensin")</f>
        <v>Monensin</v>
      </c>
      <c r="B3863" t="str">
        <f ca="1">IFERROR(__xludf.DUMMYFUNCTION("""COMPUTED_VALUE"""),"RF-00000066-VET")</f>
        <v>RF-00000066-VET</v>
      </c>
    </row>
    <row r="3864" spans="1:2" ht="12.5" x14ac:dyDescent="0.25">
      <c r="A3864" t="str">
        <f ca="1">IFERROR(__xludf.DUMMYFUNCTION("""COMPUTED_VALUE"""),"Moniliformine")</f>
        <v>Moniliformine</v>
      </c>
      <c r="B3864" t="str">
        <f ca="1">IFERROR(__xludf.DUMMYFUNCTION("""COMPUTED_VALUE"""),"RF-00000188-TOX")</f>
        <v>RF-00000188-TOX</v>
      </c>
    </row>
    <row r="3865" spans="1:2" ht="12.5" x14ac:dyDescent="0.25">
      <c r="A3865" t="str">
        <f ca="1">IFERROR(__xludf.DUMMYFUNCTION("""COMPUTED_VALUE"""),"Mono- and diacetyl tartaric acid esters of mono- and diglycerides of fatty acids")</f>
        <v>Mono- and diacetyl tartaric acid esters of mono- and diglycerides of fatty acids</v>
      </c>
      <c r="B3865" t="str">
        <f ca="1">IFERROR(__xludf.DUMMYFUNCTION("""COMPUTED_VALUE"""),"RF-00000192-ADD")</f>
        <v>RF-00000192-ADD</v>
      </c>
    </row>
    <row r="3866" spans="1:2" ht="12.5" x14ac:dyDescent="0.25">
      <c r="A3866" t="str">
        <f ca="1">IFERROR(__xludf.DUMMYFUNCTION("""COMPUTED_VALUE"""),"Mono- and disacharides")</f>
        <v>Mono- and disacharides</v>
      </c>
      <c r="B3866" t="str">
        <f ca="1">IFERROR(__xludf.DUMMYFUNCTION("""COMPUTED_VALUE"""),"RF-00000440-NTR")</f>
        <v>RF-00000440-NTR</v>
      </c>
    </row>
    <row r="3867" spans="1:2" ht="12.5" x14ac:dyDescent="0.25">
      <c r="A3867" t="str">
        <f ca="1">IFERROR(__xludf.DUMMYFUNCTION("""COMPUTED_VALUE"""),"Mono-(2-ethylhexyl)phthalate")</f>
        <v>Mono-(2-ethylhexyl)phthalate</v>
      </c>
      <c r="B3867" t="str">
        <f ca="1">IFERROR(__xludf.DUMMYFUNCTION("""COMPUTED_VALUE"""),"RF-00000009-ORG")</f>
        <v>RF-00000009-ORG</v>
      </c>
    </row>
    <row r="3868" spans="1:2" ht="12.5" x14ac:dyDescent="0.25">
      <c r="A3868" t="str">
        <f ca="1">IFERROR(__xludf.DUMMYFUNCTION("""COMPUTED_VALUE"""),"Mono-and diglycerides of fatty acids")</f>
        <v>Mono-and diglycerides of fatty acids</v>
      </c>
      <c r="B3868" t="str">
        <f ca="1">IFERROR(__xludf.DUMMYFUNCTION("""COMPUTED_VALUE"""),"RF-00000194-ADD")</f>
        <v>RF-00000194-ADD</v>
      </c>
    </row>
    <row r="3869" spans="1:2" ht="12.5" x14ac:dyDescent="0.25">
      <c r="A3869" t="str">
        <f ca="1">IFERROR(__xludf.DUMMYFUNCTION("""COMPUTED_VALUE"""),"Mono-ortho substituted PCBs")</f>
        <v>Mono-ortho substituted PCBs</v>
      </c>
      <c r="B3869" t="str">
        <f ca="1">IFERROR(__xludf.DUMMYFUNCTION("""COMPUTED_VALUE"""),"RF-00000116-ORG")</f>
        <v>RF-00000116-ORG</v>
      </c>
    </row>
    <row r="3870" spans="1:2" ht="12.5" x14ac:dyDescent="0.25">
      <c r="A3870" t="str">
        <f ca="1">IFERROR(__xludf.DUMMYFUNCTION("""COMPUTED_VALUE"""),"Monoammonium glutamate")</f>
        <v>Monoammonium glutamate</v>
      </c>
      <c r="B3870" t="str">
        <f ca="1">IFERROR(__xludf.DUMMYFUNCTION("""COMPUTED_VALUE"""),"RF-00000193-ADD")</f>
        <v>RF-00000193-ADD</v>
      </c>
    </row>
    <row r="3871" spans="1:2" ht="12.5" x14ac:dyDescent="0.25">
      <c r="A3871" t="str">
        <f ca="1">IFERROR(__xludf.DUMMYFUNCTION("""COMPUTED_VALUE"""),"Monobactams")</f>
        <v>Monobactams</v>
      </c>
      <c r="B3871" t="str">
        <f ca="1">IFERROR(__xludf.DUMMYFUNCTION("""COMPUTED_VALUE"""),"RF-00000748-VET")</f>
        <v>RF-00000748-VET</v>
      </c>
    </row>
    <row r="3872" spans="1:2" ht="12.5" x14ac:dyDescent="0.25">
      <c r="A3872" t="str">
        <f ca="1">IFERROR(__xludf.DUMMYFUNCTION("""COMPUTED_VALUE"""),"Monobutyltin")</f>
        <v>Monobutyltin</v>
      </c>
      <c r="B3872" t="str">
        <f ca="1">IFERROR(__xludf.DUMMYFUNCTION("""COMPUTED_VALUE"""),"RF-00000267-CHE")</f>
        <v>RF-00000267-CHE</v>
      </c>
    </row>
    <row r="3873" spans="1:2" ht="12.5" x14ac:dyDescent="0.25">
      <c r="A3873" t="str">
        <f ca="1">IFERROR(__xludf.DUMMYFUNCTION("""COMPUTED_VALUE"""),"monocalcium phosphate")</f>
        <v>monocalcium phosphate</v>
      </c>
      <c r="B3873" t="str">
        <f ca="1">IFERROR(__xludf.DUMMYFUNCTION("""COMPUTED_VALUE"""),"RF-00000046-CHE")</f>
        <v>RF-00000046-CHE</v>
      </c>
    </row>
    <row r="3874" spans="1:2" ht="12.5" x14ac:dyDescent="0.25">
      <c r="A3874" t="str">
        <f ca="1">IFERROR(__xludf.DUMMYFUNCTION("""COMPUTED_VALUE"""),"Monocarboxylic acid")</f>
        <v>Monocarboxylic acid</v>
      </c>
      <c r="B3874" t="str">
        <f ca="1">IFERROR(__xludf.DUMMYFUNCTION("""COMPUTED_VALUE"""),"RF-00000152-PAR")</f>
        <v>RF-00000152-PAR</v>
      </c>
    </row>
    <row r="3875" spans="1:2" ht="12.5" x14ac:dyDescent="0.25">
      <c r="A3875" t="str">
        <f ca="1">IFERROR(__xludf.DUMMYFUNCTION("""COMPUTED_VALUE"""),"Monocrotaline")</f>
        <v>Monocrotaline</v>
      </c>
      <c r="B3875" t="str">
        <f ca="1">IFERROR(__xludf.DUMMYFUNCTION("""COMPUTED_VALUE"""),"RF-00000238-TOX")</f>
        <v>RF-00000238-TOX</v>
      </c>
    </row>
    <row r="3876" spans="1:2" ht="12.5" x14ac:dyDescent="0.25">
      <c r="A3876" t="str">
        <f ca="1">IFERROR(__xludf.DUMMYFUNCTION("""COMPUTED_VALUE"""),"Monocrotaline-N-oxide")</f>
        <v>Monocrotaline-N-oxide</v>
      </c>
      <c r="B3876" t="str">
        <f ca="1">IFERROR(__xludf.DUMMYFUNCTION("""COMPUTED_VALUE"""),"RF-00000411-TOX")</f>
        <v>RF-00000411-TOX</v>
      </c>
    </row>
    <row r="3877" spans="1:2" ht="12.5" x14ac:dyDescent="0.25">
      <c r="A3877" t="str">
        <f ca="1">IFERROR(__xludf.DUMMYFUNCTION("""COMPUTED_VALUE"""),"Monocrotophos")</f>
        <v>Monocrotophos</v>
      </c>
      <c r="B3877" t="str">
        <f ca="1">IFERROR(__xludf.DUMMYFUNCTION("""COMPUTED_VALUE"""),"RF-0305-001-PPP")</f>
        <v>RF-0305-001-PPP</v>
      </c>
    </row>
    <row r="3878" spans="1:2" ht="12.5" x14ac:dyDescent="0.25">
      <c r="A3878" t="str">
        <f ca="1">IFERROR(__xludf.DUMMYFUNCTION("""COMPUTED_VALUE"""),"Monolinuron")</f>
        <v>Monolinuron</v>
      </c>
      <c r="B3878" t="str">
        <f ca="1">IFERROR(__xludf.DUMMYFUNCTION("""COMPUTED_VALUE"""),"RF-0306-001-PPP")</f>
        <v>RF-0306-001-PPP</v>
      </c>
    </row>
    <row r="3879" spans="1:2" ht="12.5" x14ac:dyDescent="0.25">
      <c r="A3879" t="str">
        <f ca="1">IFERROR(__xludf.DUMMYFUNCTION("""COMPUTED_VALUE"""),"Monophenyltin")</f>
        <v>Monophenyltin</v>
      </c>
      <c r="B3879" t="str">
        <f ca="1">IFERROR(__xludf.DUMMYFUNCTION("""COMPUTED_VALUE"""),"RF-00000270-CHE")</f>
        <v>RF-00000270-CHE</v>
      </c>
    </row>
    <row r="3880" spans="1:2" ht="12.5" x14ac:dyDescent="0.25">
      <c r="A3880" t="str">
        <f ca="1">IFERROR(__xludf.DUMMYFUNCTION("""COMPUTED_VALUE"""),"Monopotassium glutamate")</f>
        <v>Monopotassium glutamate</v>
      </c>
      <c r="B3880" t="str">
        <f ca="1">IFERROR(__xludf.DUMMYFUNCTION("""COMPUTED_VALUE"""),"RF-00000195-ADD")</f>
        <v>RF-00000195-ADD</v>
      </c>
    </row>
    <row r="3881" spans="1:2" ht="12.5" x14ac:dyDescent="0.25">
      <c r="A3881" t="str">
        <f ca="1">IFERROR(__xludf.DUMMYFUNCTION("""COMPUTED_VALUE"""),"monosaccharide equivalents")</f>
        <v>monosaccharide equivalents</v>
      </c>
      <c r="B3881" t="str">
        <f ca="1">IFERROR(__xludf.DUMMYFUNCTION("""COMPUTED_VALUE"""),"RF-00000442-NTR")</f>
        <v>RF-00000442-NTR</v>
      </c>
    </row>
    <row r="3882" spans="1:2" ht="12.5" x14ac:dyDescent="0.25">
      <c r="A3882" t="str">
        <f ca="1">IFERROR(__xludf.DUMMYFUNCTION("""COMPUTED_VALUE"""),"monosaccharides, total")</f>
        <v>monosaccharides, total</v>
      </c>
      <c r="B3882" t="str">
        <f ca="1">IFERROR(__xludf.DUMMYFUNCTION("""COMPUTED_VALUE"""),"RF-00000344-NTR")</f>
        <v>RF-00000344-NTR</v>
      </c>
    </row>
    <row r="3883" spans="1:2" ht="12.5" x14ac:dyDescent="0.25">
      <c r="A3883" t="str">
        <f ca="1">IFERROR(__xludf.DUMMYFUNCTION("""COMPUTED_VALUE"""),"Monosodium glutamate")</f>
        <v>Monosodium glutamate</v>
      </c>
      <c r="B3883" t="str">
        <f ca="1">IFERROR(__xludf.DUMMYFUNCTION("""COMPUTED_VALUE"""),"RF-00000440-ORG")</f>
        <v>RF-00000440-ORG</v>
      </c>
    </row>
    <row r="3884" spans="1:2" ht="12.5" x14ac:dyDescent="0.25">
      <c r="A3884" t="str">
        <f ca="1">IFERROR(__xludf.DUMMYFUNCTION("""COMPUTED_VALUE"""),"Monostarch phosphate")</f>
        <v>Monostarch phosphate</v>
      </c>
      <c r="B3884" t="str">
        <f ca="1">IFERROR(__xludf.DUMMYFUNCTION("""COMPUTED_VALUE"""),"RF-00000197-ADD")</f>
        <v>RF-00000197-ADD</v>
      </c>
    </row>
    <row r="3885" spans="1:2" ht="12.5" x14ac:dyDescent="0.25">
      <c r="A3885" t="str">
        <f ca="1">IFERROR(__xludf.DUMMYFUNCTION("""COMPUTED_VALUE"""),"Montan acid esters")</f>
        <v>Montan acid esters</v>
      </c>
      <c r="B3885" t="str">
        <f ca="1">IFERROR(__xludf.DUMMYFUNCTION("""COMPUTED_VALUE"""),"RF-00000198-ADD")</f>
        <v>RF-00000198-ADD</v>
      </c>
    </row>
    <row r="3886" spans="1:2" ht="12.5" x14ac:dyDescent="0.25">
      <c r="A3886" t="str">
        <f ca="1">IFERROR(__xludf.DUMMYFUNCTION("""COMPUTED_VALUE"""),"Monuron")</f>
        <v>Monuron</v>
      </c>
      <c r="B3886" t="str">
        <f ca="1">IFERROR(__xludf.DUMMYFUNCTION("""COMPUTED_VALUE"""),"RF-0307-001-PPP")</f>
        <v>RF-0307-001-PPP</v>
      </c>
    </row>
    <row r="3887" spans="1:2" ht="12.5" x14ac:dyDescent="0.25">
      <c r="A3887" t="str">
        <f ca="1">IFERROR(__xludf.DUMMYFUNCTION("""COMPUTED_VALUE"""),"Morantel")</f>
        <v>Morantel</v>
      </c>
      <c r="B3887" t="str">
        <f ca="1">IFERROR(__xludf.DUMMYFUNCTION("""COMPUTED_VALUE"""),"RF-00000036-VET")</f>
        <v>RF-00000036-VET</v>
      </c>
    </row>
    <row r="3888" spans="1:2" ht="12.5" x14ac:dyDescent="0.25">
      <c r="A3888" t="str">
        <f ca="1">IFERROR(__xludf.DUMMYFUNCTION("""COMPUTED_VALUE"""),"Morphine")</f>
        <v>Morphine</v>
      </c>
      <c r="B3888" t="str">
        <f ca="1">IFERROR(__xludf.DUMMYFUNCTION("""COMPUTED_VALUE"""),"RF-00000250-TOX")</f>
        <v>RF-00000250-TOX</v>
      </c>
    </row>
    <row r="3889" spans="1:2" ht="12.5" x14ac:dyDescent="0.25">
      <c r="A3889" t="str">
        <f ca="1">IFERROR(__xludf.DUMMYFUNCTION("""COMPUTED_VALUE"""),"Moschus ketone")</f>
        <v>Moschus ketone</v>
      </c>
      <c r="B3889" t="str">
        <f ca="1">IFERROR(__xludf.DUMMYFUNCTION("""COMPUTED_VALUE"""),"RF-00000027-PAR")</f>
        <v>RF-00000027-PAR</v>
      </c>
    </row>
    <row r="3890" spans="1:2" ht="12.5" x14ac:dyDescent="0.25">
      <c r="A3890" t="str">
        <f ca="1">IFERROR(__xludf.DUMMYFUNCTION("""COMPUTED_VALUE"""),"MOX")</f>
        <v>MOX</v>
      </c>
      <c r="B3890" t="str">
        <f ca="1">IFERROR(__xludf.DUMMYFUNCTION("""COMPUTED_VALUE"""),"RF-00000748-PAR")</f>
        <v>RF-00000748-PAR</v>
      </c>
    </row>
    <row r="3891" spans="1:2" ht="12.5" x14ac:dyDescent="0.25">
      <c r="A3891" t="str">
        <f ca="1">IFERROR(__xludf.DUMMYFUNCTION("""COMPUTED_VALUE"""),"MOX-1")</f>
        <v>MOX-1</v>
      </c>
      <c r="B3891" t="str">
        <f ca="1">IFERROR(__xludf.DUMMYFUNCTION("""COMPUTED_VALUE"""),"RF-00000749-PAR")</f>
        <v>RF-00000749-PAR</v>
      </c>
    </row>
    <row r="3892" spans="1:2" ht="12.5" x14ac:dyDescent="0.25">
      <c r="A3892" t="str">
        <f ca="1">IFERROR(__xludf.DUMMYFUNCTION("""COMPUTED_VALUE"""),"MOX-2")</f>
        <v>MOX-2</v>
      </c>
      <c r="B3892" t="str">
        <f ca="1">IFERROR(__xludf.DUMMYFUNCTION("""COMPUTED_VALUE"""),"RF-00000750-PAR")</f>
        <v>RF-00000750-PAR</v>
      </c>
    </row>
    <row r="3893" spans="1:2" ht="12.5" x14ac:dyDescent="0.25">
      <c r="A3893" t="str">
        <f ca="1">IFERROR(__xludf.DUMMYFUNCTION("""COMPUTED_VALUE"""),"MOX-3")</f>
        <v>MOX-3</v>
      </c>
      <c r="B3893" t="str">
        <f ca="1">IFERROR(__xludf.DUMMYFUNCTION("""COMPUTED_VALUE"""),"RF-00000751-PAR")</f>
        <v>RF-00000751-PAR</v>
      </c>
    </row>
    <row r="3894" spans="1:2" ht="12.5" x14ac:dyDescent="0.25">
      <c r="A3894" t="str">
        <f ca="1">IFERROR(__xludf.DUMMYFUNCTION("""COMPUTED_VALUE"""),"MOX-4")</f>
        <v>MOX-4</v>
      </c>
      <c r="B3894" t="str">
        <f ca="1">IFERROR(__xludf.DUMMYFUNCTION("""COMPUTED_VALUE"""),"RF-00000752-PAR")</f>
        <v>RF-00000752-PAR</v>
      </c>
    </row>
    <row r="3895" spans="1:2" ht="12.5" x14ac:dyDescent="0.25">
      <c r="A3895" t="str">
        <f ca="1">IFERROR(__xludf.DUMMYFUNCTION("""COMPUTED_VALUE"""),"MOX-5")</f>
        <v>MOX-5</v>
      </c>
      <c r="B3895" t="str">
        <f ca="1">IFERROR(__xludf.DUMMYFUNCTION("""COMPUTED_VALUE"""),"RF-00000753-PAR")</f>
        <v>RF-00000753-PAR</v>
      </c>
    </row>
    <row r="3896" spans="1:2" ht="12.5" x14ac:dyDescent="0.25">
      <c r="A3896" t="str">
        <f ca="1">IFERROR(__xludf.DUMMYFUNCTION("""COMPUTED_VALUE"""),"MOX-6")</f>
        <v>MOX-6</v>
      </c>
      <c r="B3896" t="str">
        <f ca="1">IFERROR(__xludf.DUMMYFUNCTION("""COMPUTED_VALUE"""),"RF-00000754-PAR")</f>
        <v>RF-00000754-PAR</v>
      </c>
    </row>
    <row r="3897" spans="1:2" ht="12.5" x14ac:dyDescent="0.25">
      <c r="A3897" t="str">
        <f ca="1">IFERROR(__xludf.DUMMYFUNCTION("""COMPUTED_VALUE"""),"MOX-7")</f>
        <v>MOX-7</v>
      </c>
      <c r="B3897" t="str">
        <f ca="1">IFERROR(__xludf.DUMMYFUNCTION("""COMPUTED_VALUE"""),"RF-00000755-PAR")</f>
        <v>RF-00000755-PAR</v>
      </c>
    </row>
    <row r="3898" spans="1:2" ht="12.5" x14ac:dyDescent="0.25">
      <c r="A3898" t="str">
        <f ca="1">IFERROR(__xludf.DUMMYFUNCTION("""COMPUTED_VALUE"""),"MOX-8")</f>
        <v>MOX-8</v>
      </c>
      <c r="B3898" t="str">
        <f ca="1">IFERROR(__xludf.DUMMYFUNCTION("""COMPUTED_VALUE"""),"RF-00000756-PAR")</f>
        <v>RF-00000756-PAR</v>
      </c>
    </row>
    <row r="3899" spans="1:2" ht="12.5" x14ac:dyDescent="0.25">
      <c r="A3899" t="str">
        <f ca="1">IFERROR(__xludf.DUMMYFUNCTION("""COMPUTED_VALUE"""),"Moxestrol")</f>
        <v>Moxestrol</v>
      </c>
      <c r="B3899" t="str">
        <f ca="1">IFERROR(__xludf.DUMMYFUNCTION("""COMPUTED_VALUE"""),"RF-00000433-VET")</f>
        <v>RF-00000433-VET</v>
      </c>
    </row>
    <row r="3900" spans="1:2" ht="12.5" x14ac:dyDescent="0.25">
      <c r="A3900" t="str">
        <f ca="1">IFERROR(__xludf.DUMMYFUNCTION("""COMPUTED_VALUE"""),"Moxidectin")</f>
        <v>Moxidectin</v>
      </c>
      <c r="B3900" t="str">
        <f ca="1">IFERROR(__xludf.DUMMYFUNCTION("""COMPUTED_VALUE"""),"RF-00000033-VET")</f>
        <v>RF-00000033-VET</v>
      </c>
    </row>
    <row r="3901" spans="1:2" ht="12.5" x14ac:dyDescent="0.25">
      <c r="A3901" t="str">
        <f ca="1">IFERROR(__xludf.DUMMYFUNCTION("""COMPUTED_VALUE"""),"Moxifloxacin")</f>
        <v>Moxifloxacin</v>
      </c>
      <c r="B3901" t="str">
        <f ca="1">IFERROR(__xludf.DUMMYFUNCTION("""COMPUTED_VALUE"""),"RF-00000548-VET")</f>
        <v>RF-00000548-VET</v>
      </c>
    </row>
    <row r="3902" spans="1:2" ht="12.5" x14ac:dyDescent="0.25">
      <c r="A3902" t="str">
        <f ca="1">IFERROR(__xludf.DUMMYFUNCTION("""COMPUTED_VALUE"""),"Mupirocin")</f>
        <v>Mupirocin</v>
      </c>
      <c r="B3902" t="str">
        <f ca="1">IFERROR(__xludf.DUMMYFUNCTION("""COMPUTED_VALUE"""),"RF-00000153-PAR")</f>
        <v>RF-00000153-PAR</v>
      </c>
    </row>
    <row r="3903" spans="1:2" ht="12.5" x14ac:dyDescent="0.25">
      <c r="A3903" t="str">
        <f ca="1">IFERROR(__xludf.DUMMYFUNCTION("""COMPUTED_VALUE"""),"Mushroom toxins")</f>
        <v>Mushroom toxins</v>
      </c>
      <c r="B3903" t="str">
        <f ca="1">IFERROR(__xludf.DUMMYFUNCTION("""COMPUTED_VALUE"""),"RF-00000452-TOX")</f>
        <v>RF-00000452-TOX</v>
      </c>
    </row>
    <row r="3904" spans="1:2" ht="12.5" x14ac:dyDescent="0.25">
      <c r="A3904" t="str">
        <f ca="1">IFERROR(__xludf.DUMMYFUNCTION("""COMPUTED_VALUE"""),"Myclobutanil")</f>
        <v>Myclobutanil</v>
      </c>
      <c r="B3904" t="str">
        <f ca="1">IFERROR(__xludf.DUMMYFUNCTION("""COMPUTED_VALUE"""),"RF-0308-001-PPP")</f>
        <v>RF-0308-001-PPP</v>
      </c>
    </row>
    <row r="3905" spans="1:2" ht="12.5" x14ac:dyDescent="0.25">
      <c r="A3905" t="str">
        <f ca="1">IFERROR(__xludf.DUMMYFUNCTION("""COMPUTED_VALUE"""),"Mycobacterium")</f>
        <v>Mycobacterium</v>
      </c>
      <c r="B3905" t="str">
        <f ca="1">IFERROR(__xludf.DUMMYFUNCTION("""COMPUTED_VALUE"""),"RF-00000273-MCG")</f>
        <v>RF-00000273-MCG</v>
      </c>
    </row>
    <row r="3906" spans="1:2" ht="12.5" x14ac:dyDescent="0.25">
      <c r="A3906" t="str">
        <f ca="1">IFERROR(__xludf.DUMMYFUNCTION("""COMPUTED_VALUE"""),"Mycobacterium - M. avium complex")</f>
        <v>Mycobacterium - M. avium complex</v>
      </c>
      <c r="B3906" t="str">
        <f ca="1">IFERROR(__xludf.DUMMYFUNCTION("""COMPUTED_VALUE"""),"RF-00003001-MCG")</f>
        <v>RF-00003001-MCG</v>
      </c>
    </row>
    <row r="3907" spans="1:2" ht="12.5" x14ac:dyDescent="0.25">
      <c r="A3907" t="str">
        <f ca="1">IFERROR(__xludf.DUMMYFUNCTION("""COMPUTED_VALUE"""),"Mycobacterium - M. avium complex - M. avium subsp. avium")</f>
        <v>Mycobacterium - M. avium complex - M. avium subsp. avium</v>
      </c>
      <c r="B3907" t="str">
        <f ca="1">IFERROR(__xludf.DUMMYFUNCTION("""COMPUTED_VALUE"""),"RF-00003005-MCG")</f>
        <v>RF-00003005-MCG</v>
      </c>
    </row>
    <row r="3908" spans="1:2" ht="12.5" x14ac:dyDescent="0.25">
      <c r="A3908" t="str">
        <f ca="1">IFERROR(__xludf.DUMMYFUNCTION("""COMPUTED_VALUE"""),"Mycobacterium - M. avium complex - M. avium subsp. hominissuis")</f>
        <v>Mycobacterium - M. avium complex - M. avium subsp. hominissuis</v>
      </c>
      <c r="B3908" t="str">
        <f ca="1">IFERROR(__xludf.DUMMYFUNCTION("""COMPUTED_VALUE"""),"RF-00003006-MCG")</f>
        <v>RF-00003006-MCG</v>
      </c>
    </row>
    <row r="3909" spans="1:2" ht="12.5" x14ac:dyDescent="0.25">
      <c r="A3909" t="str">
        <f ca="1">IFERROR(__xludf.DUMMYFUNCTION("""COMPUTED_VALUE"""),"Mycobacterium - M. bovis")</f>
        <v>Mycobacterium - M. bovis</v>
      </c>
      <c r="B3909" t="str">
        <f ca="1">IFERROR(__xludf.DUMMYFUNCTION("""COMPUTED_VALUE"""),"RF-00003002-MCG")</f>
        <v>RF-00003002-MCG</v>
      </c>
    </row>
    <row r="3910" spans="1:2" ht="12.5" x14ac:dyDescent="0.25">
      <c r="A3910" t="str">
        <f ca="1">IFERROR(__xludf.DUMMYFUNCTION("""COMPUTED_VALUE"""),"Mycobacterium - M. microti")</f>
        <v>Mycobacterium - M. microti</v>
      </c>
      <c r="B3910" t="str">
        <f ca="1">IFERROR(__xludf.DUMMYFUNCTION("""COMPUTED_VALUE"""),"RF-00003003-MCG")</f>
        <v>RF-00003003-MCG</v>
      </c>
    </row>
    <row r="3911" spans="1:2" ht="12.5" x14ac:dyDescent="0.25">
      <c r="A3911" t="str">
        <f ca="1">IFERROR(__xludf.DUMMYFUNCTION("""COMPUTED_VALUE"""),"Mycobacterium - M. pinnipedii")</f>
        <v>Mycobacterium - M. pinnipedii</v>
      </c>
      <c r="B3911" t="str">
        <f ca="1">IFERROR(__xludf.DUMMYFUNCTION("""COMPUTED_VALUE"""),"RF-00003004-MCG")</f>
        <v>RF-00003004-MCG</v>
      </c>
    </row>
    <row r="3912" spans="1:2" ht="12.5" x14ac:dyDescent="0.25">
      <c r="A3912" t="str">
        <f ca="1">IFERROR(__xludf.DUMMYFUNCTION("""COMPUTED_VALUE"""),"Mycobacterium africanum")</f>
        <v>Mycobacterium africanum</v>
      </c>
      <c r="B3912" t="str">
        <f ca="1">IFERROR(__xludf.DUMMYFUNCTION("""COMPUTED_VALUE"""),"RF-00000280-MCG")</f>
        <v>RF-00000280-MCG</v>
      </c>
    </row>
    <row r="3913" spans="1:2" ht="12.5" x14ac:dyDescent="0.25">
      <c r="A3913" t="str">
        <f ca="1">IFERROR(__xludf.DUMMYFUNCTION("""COMPUTED_VALUE"""),"Mycobacterium avium")</f>
        <v>Mycobacterium avium</v>
      </c>
      <c r="B3913" t="str">
        <f ca="1">IFERROR(__xludf.DUMMYFUNCTION("""COMPUTED_VALUE"""),"RF-00000284-MCG")</f>
        <v>RF-00000284-MCG</v>
      </c>
    </row>
    <row r="3914" spans="1:2" ht="12.5" x14ac:dyDescent="0.25">
      <c r="A3914" t="str">
        <f ca="1">IFERROR(__xludf.DUMMYFUNCTION("""COMPUTED_VALUE"""),"Mycobacterium avium subsp. avium")</f>
        <v>Mycobacterium avium subsp. avium</v>
      </c>
      <c r="B3914" t="str">
        <f ca="1">IFERROR(__xludf.DUMMYFUNCTION("""COMPUTED_VALUE"""),"RF-00000287-MCG")</f>
        <v>RF-00000287-MCG</v>
      </c>
    </row>
    <row r="3915" spans="1:2" ht="12.5" x14ac:dyDescent="0.25">
      <c r="A3915" t="str">
        <f ca="1">IFERROR(__xludf.DUMMYFUNCTION("""COMPUTED_VALUE"""),"Mycobacterium avium subsp. paratuberculosis")</f>
        <v>Mycobacterium avium subsp. paratuberculosis</v>
      </c>
      <c r="B3915" t="str">
        <f ca="1">IFERROR(__xludf.DUMMYFUNCTION("""COMPUTED_VALUE"""),"RF-00000286-MCG")</f>
        <v>RF-00000286-MCG</v>
      </c>
    </row>
    <row r="3916" spans="1:2" ht="12.5" x14ac:dyDescent="0.25">
      <c r="A3916" t="str">
        <f ca="1">IFERROR(__xludf.DUMMYFUNCTION("""COMPUTED_VALUE"""),"Mycobacterium avium subsp. silvaticum")</f>
        <v>Mycobacterium avium subsp. silvaticum</v>
      </c>
      <c r="B3916" t="str">
        <f ca="1">IFERROR(__xludf.DUMMYFUNCTION("""COMPUTED_VALUE"""),"RF-00000285-MCG")</f>
        <v>RF-00000285-MCG</v>
      </c>
    </row>
    <row r="3917" spans="1:2" ht="12.5" x14ac:dyDescent="0.25">
      <c r="A3917" t="str">
        <f ca="1">IFERROR(__xludf.DUMMYFUNCTION("""COMPUTED_VALUE"""),"Mycobacterium caprae")</f>
        <v>Mycobacterium caprae</v>
      </c>
      <c r="B3917" t="str">
        <f ca="1">IFERROR(__xludf.DUMMYFUNCTION("""COMPUTED_VALUE"""),"RF-00000274-MCG")</f>
        <v>RF-00000274-MCG</v>
      </c>
    </row>
    <row r="3918" spans="1:2" ht="12.5" x14ac:dyDescent="0.25">
      <c r="A3918" t="str">
        <f ca="1">IFERROR(__xludf.DUMMYFUNCTION("""COMPUTED_VALUE"""),"Mycobacterium celatum")</f>
        <v>Mycobacterium celatum</v>
      </c>
      <c r="B3918" t="str">
        <f ca="1">IFERROR(__xludf.DUMMYFUNCTION("""COMPUTED_VALUE"""),"RF-00000279-MCG")</f>
        <v>RF-00000279-MCG</v>
      </c>
    </row>
    <row r="3919" spans="1:2" ht="12.5" x14ac:dyDescent="0.25">
      <c r="A3919" t="str">
        <f ca="1">IFERROR(__xludf.DUMMYFUNCTION("""COMPUTED_VALUE"""),"Mycobacterium fortuitum")</f>
        <v>Mycobacterium fortuitum</v>
      </c>
      <c r="B3919" t="str">
        <f ca="1">IFERROR(__xludf.DUMMYFUNCTION("""COMPUTED_VALUE"""),"RF-00000276-MCG")</f>
        <v>RF-00000276-MCG</v>
      </c>
    </row>
    <row r="3920" spans="1:2" ht="12.5" x14ac:dyDescent="0.25">
      <c r="A3920" t="str">
        <f ca="1">IFERROR(__xludf.DUMMYFUNCTION("""COMPUTED_VALUE"""),"Mycobacterium intracellulare")</f>
        <v>Mycobacterium intracellulare</v>
      </c>
      <c r="B3920" t="str">
        <f ca="1">IFERROR(__xludf.DUMMYFUNCTION("""COMPUTED_VALUE"""),"RF-00000275-MCG")</f>
        <v>RF-00000275-MCG</v>
      </c>
    </row>
    <row r="3921" spans="1:2" ht="12.5" x14ac:dyDescent="0.25">
      <c r="A3921" t="str">
        <f ca="1">IFERROR(__xludf.DUMMYFUNCTION("""COMPUTED_VALUE"""),"Mycobacterium kansasii")</f>
        <v>Mycobacterium kansasii</v>
      </c>
      <c r="B3921" t="str">
        <f ca="1">IFERROR(__xludf.DUMMYFUNCTION("""COMPUTED_VALUE"""),"RF-00000277-MCG")</f>
        <v>RF-00000277-MCG</v>
      </c>
    </row>
    <row r="3922" spans="1:2" ht="12.5" x14ac:dyDescent="0.25">
      <c r="A3922" t="str">
        <f ca="1">IFERROR(__xludf.DUMMYFUNCTION("""COMPUTED_VALUE"""),"Mycobacterium scrofulaceum")</f>
        <v>Mycobacterium scrofulaceum</v>
      </c>
      <c r="B3922" t="str">
        <f ca="1">IFERROR(__xludf.DUMMYFUNCTION("""COMPUTED_VALUE"""),"RF-00000283-MCG")</f>
        <v>RF-00000283-MCG</v>
      </c>
    </row>
    <row r="3923" spans="1:2" ht="12.5" x14ac:dyDescent="0.25">
      <c r="A3923" t="str">
        <f ca="1">IFERROR(__xludf.DUMMYFUNCTION("""COMPUTED_VALUE"""),"Mycobacterium spp., unspecified")</f>
        <v>Mycobacterium spp., unspecified</v>
      </c>
      <c r="B3923" t="str">
        <f ca="1">IFERROR(__xludf.DUMMYFUNCTION("""COMPUTED_VALUE"""),"RF-00000281-MCG")</f>
        <v>RF-00000281-MCG</v>
      </c>
    </row>
    <row r="3924" spans="1:2" ht="12.5" x14ac:dyDescent="0.25">
      <c r="A3924" t="str">
        <f ca="1">IFERROR(__xludf.DUMMYFUNCTION("""COMPUTED_VALUE"""),"Mycobacterium tuberculosis")</f>
        <v>Mycobacterium tuberculosis</v>
      </c>
      <c r="B3924" t="str">
        <f ca="1">IFERROR(__xludf.DUMMYFUNCTION("""COMPUTED_VALUE"""),"RF-00000288-MCG")</f>
        <v>RF-00000288-MCG</v>
      </c>
    </row>
    <row r="3925" spans="1:2" ht="12.5" x14ac:dyDescent="0.25">
      <c r="A3925" t="str">
        <f ca="1">IFERROR(__xludf.DUMMYFUNCTION("""COMPUTED_VALUE"""),"Mycobacterium tuberculosis (other than definitive according to WHO)")</f>
        <v>Mycobacterium tuberculosis (other than definitive according to WHO)</v>
      </c>
      <c r="B3925" t="str">
        <f ca="1">IFERROR(__xludf.DUMMYFUNCTION("""COMPUTED_VALUE"""),"RF-00000289-MCG")</f>
        <v>RF-00000289-MCG</v>
      </c>
    </row>
    <row r="3926" spans="1:2" ht="12.5" x14ac:dyDescent="0.25">
      <c r="A3926" t="str">
        <f ca="1">IFERROR(__xludf.DUMMYFUNCTION("""COMPUTED_VALUE"""),"Mycobacterium tuberculosis complex")</f>
        <v>Mycobacterium tuberculosis complex</v>
      </c>
      <c r="B3926" t="str">
        <f ca="1">IFERROR(__xludf.DUMMYFUNCTION("""COMPUTED_VALUE"""),"RF-00000290-MCG")</f>
        <v>RF-00000290-MCG</v>
      </c>
    </row>
    <row r="3927" spans="1:2" ht="12.5" x14ac:dyDescent="0.25">
      <c r="A3927" t="str">
        <f ca="1">IFERROR(__xludf.DUMMYFUNCTION("""COMPUTED_VALUE"""),"Mycobacterium xenopi")</f>
        <v>Mycobacterium xenopi</v>
      </c>
      <c r="B3927" t="str">
        <f ca="1">IFERROR(__xludf.DUMMYFUNCTION("""COMPUTED_VALUE"""),"RF-00000278-MCG")</f>
        <v>RF-00000278-MCG</v>
      </c>
    </row>
    <row r="3928" spans="1:2" ht="12.5" x14ac:dyDescent="0.25">
      <c r="A3928" t="str">
        <f ca="1">IFERROR(__xludf.DUMMYFUNCTION("""COMPUTED_VALUE"""),"Mycobacterium, atypical")</f>
        <v>Mycobacterium, atypical</v>
      </c>
      <c r="B3928" t="str">
        <f ca="1">IFERROR(__xludf.DUMMYFUNCTION("""COMPUTED_VALUE"""),"RF-00000282-MCG")</f>
        <v>RF-00000282-MCG</v>
      </c>
    </row>
    <row r="3929" spans="1:2" ht="12.5" x14ac:dyDescent="0.25">
      <c r="A3929" t="str">
        <f ca="1">IFERROR(__xludf.DUMMYFUNCTION("""COMPUTED_VALUE"""),"Mycophenolic acid")</f>
        <v>Mycophenolic acid</v>
      </c>
      <c r="B3929" t="str">
        <f ca="1">IFERROR(__xludf.DUMMYFUNCTION("""COMPUTED_VALUE"""),"RF-00000434-TOX")</f>
        <v>RF-00000434-TOX</v>
      </c>
    </row>
    <row r="3930" spans="1:2" ht="12.5" x14ac:dyDescent="0.25">
      <c r="A3930" t="str">
        <f ca="1">IFERROR(__xludf.DUMMYFUNCTION("""COMPUTED_VALUE"""),"Mycotoxins")</f>
        <v>Mycotoxins</v>
      </c>
      <c r="B3930" t="str">
        <f ca="1">IFERROR(__xludf.DUMMYFUNCTION("""COMPUTED_VALUE"""),"RF-00000132-TOX")</f>
        <v>RF-00000132-TOX</v>
      </c>
    </row>
    <row r="3931" spans="1:2" ht="12.5" x14ac:dyDescent="0.25">
      <c r="A3931" t="str">
        <f ca="1">IFERROR(__xludf.DUMMYFUNCTION("""COMPUTED_VALUE"""),"Myoscorpine")</f>
        <v>Myoscorpine</v>
      </c>
      <c r="B3931" t="str">
        <f ca="1">IFERROR(__xludf.DUMMYFUNCTION("""COMPUTED_VALUE"""),"RF-00000291-TOX")</f>
        <v>RF-00000291-TOX</v>
      </c>
    </row>
    <row r="3932" spans="1:2" ht="12.5" x14ac:dyDescent="0.25">
      <c r="A3932" t="str">
        <f ca="1">IFERROR(__xludf.DUMMYFUNCTION("""COMPUTED_VALUE"""),"myricetin")</f>
        <v>myricetin</v>
      </c>
      <c r="B3932" t="str">
        <f ca="1">IFERROR(__xludf.DUMMYFUNCTION("""COMPUTED_VALUE"""),"RF-00000345-NTR")</f>
        <v>RF-00000345-NTR</v>
      </c>
    </row>
    <row r="3933" spans="1:2" ht="12.5" x14ac:dyDescent="0.25">
      <c r="A3933" t="str">
        <f ca="1">IFERROR(__xludf.DUMMYFUNCTION("""COMPUTED_VALUE"""),"N-desethyl-pirimiphos-methyl")</f>
        <v>N-desethyl-pirimiphos-methyl</v>
      </c>
      <c r="B3933" t="str">
        <f ca="1">IFERROR(__xludf.DUMMYFUNCTION("""COMPUTED_VALUE"""),"RF-00000028-PAR")</f>
        <v>RF-00000028-PAR</v>
      </c>
    </row>
    <row r="3934" spans="1:2" ht="12.5" x14ac:dyDescent="0.25">
      <c r="A3934" t="str">
        <f ca="1">IFERROR(__xludf.DUMMYFUNCTION("""COMPUTED_VALUE"""),"N-ethyl perfluorooctane sulfonamidoethanol")</f>
        <v>N-ethyl perfluorooctane sulfonamidoethanol</v>
      </c>
      <c r="B3934" t="str">
        <f ca="1">IFERROR(__xludf.DUMMYFUNCTION("""COMPUTED_VALUE"""),"RF-00000373-ORG")</f>
        <v>RF-00000373-ORG</v>
      </c>
    </row>
    <row r="3935" spans="1:2" ht="12.5" x14ac:dyDescent="0.25">
      <c r="A3935" t="str">
        <f ca="1">IFERROR(__xludf.DUMMYFUNCTION("""COMPUTED_VALUE"""),"N-ethylperfluorooctane sulfonamide")</f>
        <v>N-ethylperfluorooctane sulfonamide</v>
      </c>
      <c r="B3935" t="str">
        <f ca="1">IFERROR(__xludf.DUMMYFUNCTION("""COMPUTED_VALUE"""),"RF-00000443-ORG")</f>
        <v>RF-00000443-ORG</v>
      </c>
    </row>
    <row r="3936" spans="1:2" ht="12.5" x14ac:dyDescent="0.25">
      <c r="A3936" t="str">
        <f ca="1">IFERROR(__xludf.DUMMYFUNCTION("""COMPUTED_VALUE"""),"N-sulfo-carbamoyl gonyautoxins 5")</f>
        <v>N-sulfo-carbamoyl gonyautoxins 5</v>
      </c>
      <c r="B3936" t="str">
        <f ca="1">IFERROR(__xludf.DUMMYFUNCTION("""COMPUTED_VALUE"""),"RF-00000100-TOX")</f>
        <v>RF-00000100-TOX</v>
      </c>
    </row>
    <row r="3937" spans="1:2" ht="12.5" x14ac:dyDescent="0.25">
      <c r="A3937" t="str">
        <f ca="1">IFERROR(__xludf.DUMMYFUNCTION("""COMPUTED_VALUE"""),"N-sulfo-carbamoyl gonyautoxins 6")</f>
        <v>N-sulfo-carbamoyl gonyautoxins 6</v>
      </c>
      <c r="B3937" t="str">
        <f ca="1">IFERROR(__xludf.DUMMYFUNCTION("""COMPUTED_VALUE"""),"RF-00000101-TOX")</f>
        <v>RF-00000101-TOX</v>
      </c>
    </row>
    <row r="3938" spans="1:2" ht="12.5" x14ac:dyDescent="0.25">
      <c r="A3938" t="str">
        <f ca="1">IFERROR(__xludf.DUMMYFUNCTION("""COMPUTED_VALUE"""),"N-sulfo-carbamoyl saxitoxins")</f>
        <v>N-sulfo-carbamoyl saxitoxins</v>
      </c>
      <c r="B3938" t="str">
        <f ca="1">IFERROR(__xludf.DUMMYFUNCTION("""COMPUTED_VALUE"""),"RF-00000099-TOX")</f>
        <v>RF-00000099-TOX</v>
      </c>
    </row>
    <row r="3939" spans="1:2" ht="12.5" x14ac:dyDescent="0.25">
      <c r="A3939" t="str">
        <f ca="1">IFERROR(__xludf.DUMMYFUNCTION("""COMPUTED_VALUE"""),"N-sulfo-carbamoyl toxin 1")</f>
        <v>N-sulfo-carbamoyl toxin 1</v>
      </c>
      <c r="B3939" t="str">
        <f ca="1">IFERROR(__xludf.DUMMYFUNCTION("""COMPUTED_VALUE"""),"RF-00000102-TOX")</f>
        <v>RF-00000102-TOX</v>
      </c>
    </row>
    <row r="3940" spans="1:2" ht="12.5" x14ac:dyDescent="0.25">
      <c r="A3940" t="str">
        <f ca="1">IFERROR(__xludf.DUMMYFUNCTION("""COMPUTED_VALUE"""),"N-sulfo-carbamoyl toxin 2")</f>
        <v>N-sulfo-carbamoyl toxin 2</v>
      </c>
      <c r="B3940" t="str">
        <f ca="1">IFERROR(__xludf.DUMMYFUNCTION("""COMPUTED_VALUE"""),"RF-00000103-TOX")</f>
        <v>RF-00000103-TOX</v>
      </c>
    </row>
    <row r="3941" spans="1:2" ht="12.5" x14ac:dyDescent="0.25">
      <c r="A3941" t="str">
        <f ca="1">IFERROR(__xludf.DUMMYFUNCTION("""COMPUTED_VALUE"""),"N-sulfo-carbamoyl toxin 3")</f>
        <v>N-sulfo-carbamoyl toxin 3</v>
      </c>
      <c r="B3941" t="str">
        <f ca="1">IFERROR(__xludf.DUMMYFUNCTION("""COMPUTED_VALUE"""),"RF-00000104-TOX")</f>
        <v>RF-00000104-TOX</v>
      </c>
    </row>
    <row r="3942" spans="1:2" ht="12.5" x14ac:dyDescent="0.25">
      <c r="A3942" t="str">
        <f ca="1">IFERROR(__xludf.DUMMYFUNCTION("""COMPUTED_VALUE"""),"N-sulfo-carbamoyl toxin 4")</f>
        <v>N-sulfo-carbamoyl toxin 4</v>
      </c>
      <c r="B3942" t="str">
        <f ca="1">IFERROR(__xludf.DUMMYFUNCTION("""COMPUTED_VALUE"""),"RF-00000105-TOX")</f>
        <v>RF-00000105-TOX</v>
      </c>
    </row>
    <row r="3943" spans="1:2" ht="12.5" x14ac:dyDescent="0.25">
      <c r="A3943" t="str">
        <f ca="1">IFERROR(__xludf.DUMMYFUNCTION("""COMPUTED_VALUE"""),"Na-penicillin-G")</f>
        <v>Na-penicillin-G</v>
      </c>
      <c r="B3943" t="str">
        <f ca="1">IFERROR(__xludf.DUMMYFUNCTION("""COMPUTED_VALUE"""),"RF-00000537-VET")</f>
        <v>RF-00000537-VET</v>
      </c>
    </row>
    <row r="3944" spans="1:2" ht="12.5" x14ac:dyDescent="0.25">
      <c r="A3944" t="str">
        <f ca="1">IFERROR(__xludf.DUMMYFUNCTION("""COMPUTED_VALUE"""),"Nabam")</f>
        <v>Nabam</v>
      </c>
      <c r="B3944" t="str">
        <f ca="1">IFERROR(__xludf.DUMMYFUNCTION("""COMPUTED_VALUE"""),"RF-0799-001-PPP")</f>
        <v>RF-0799-001-PPP</v>
      </c>
    </row>
    <row r="3945" spans="1:2" ht="12.5" x14ac:dyDescent="0.25">
      <c r="A3945" t="str">
        <f ca="1">IFERROR(__xludf.DUMMYFUNCTION("""COMPUTED_VALUE"""),"Nabumetone")</f>
        <v>Nabumetone</v>
      </c>
      <c r="B3945" t="str">
        <f ca="1">IFERROR(__xludf.DUMMYFUNCTION("""COMPUTED_VALUE"""),"RF-00000242-VET")</f>
        <v>RF-00000242-VET</v>
      </c>
    </row>
    <row r="3946" spans="1:2" ht="12.5" x14ac:dyDescent="0.25">
      <c r="A3946" t="str">
        <f ca="1">IFERROR(__xludf.DUMMYFUNCTION("""COMPUTED_VALUE"""),"Nafcillin")</f>
        <v>Nafcillin</v>
      </c>
      <c r="B3946" t="str">
        <f ca="1">IFERROR(__xludf.DUMMYFUNCTION("""COMPUTED_VALUE"""),"RF-00000529-VET")</f>
        <v>RF-00000529-VET</v>
      </c>
    </row>
    <row r="3947" spans="1:2" ht="12.5" x14ac:dyDescent="0.25">
      <c r="A3947" t="str">
        <f ca="1">IFERROR(__xludf.DUMMYFUNCTION("""COMPUTED_VALUE"""),"Nairovirus")</f>
        <v>Nairovirus</v>
      </c>
      <c r="B3947" t="str">
        <f ca="1">IFERROR(__xludf.DUMMYFUNCTION("""COMPUTED_VALUE"""),"RF-00002661-MCG")</f>
        <v>RF-00002661-MCG</v>
      </c>
    </row>
    <row r="3948" spans="1:2" ht="12.5" x14ac:dyDescent="0.25">
      <c r="A3948" t="str">
        <f ca="1">IFERROR(__xludf.DUMMYFUNCTION("""COMPUTED_VALUE"""),"Nairovirus Crimean Congo haemorrhagic fever virus")</f>
        <v>Nairovirus Crimean Congo haemorrhagic fever virus</v>
      </c>
      <c r="B3948" t="str">
        <f ca="1">IFERROR(__xludf.DUMMYFUNCTION("""COMPUTED_VALUE"""),"RF-00002663-MCG")</f>
        <v>RF-00002663-MCG</v>
      </c>
    </row>
    <row r="3949" spans="1:2" ht="12.5" x14ac:dyDescent="0.25">
      <c r="A3949" t="str">
        <f ca="1">IFERROR(__xludf.DUMMYFUNCTION("""COMPUTED_VALUE"""),"Nairovirus spp., unidentified")</f>
        <v>Nairovirus spp., unidentified</v>
      </c>
      <c r="B3949" t="str">
        <f ca="1">IFERROR(__xludf.DUMMYFUNCTION("""COMPUTED_VALUE"""),"RF-00002662-MCG")</f>
        <v>RF-00002662-MCG</v>
      </c>
    </row>
    <row r="3950" spans="1:2" ht="12.5" x14ac:dyDescent="0.25">
      <c r="A3950" t="str">
        <f ca="1">IFERROR(__xludf.DUMMYFUNCTION("""COMPUTED_VALUE"""),"Naled")</f>
        <v>Naled</v>
      </c>
      <c r="B3950" t="str">
        <f ca="1">IFERROR(__xludf.DUMMYFUNCTION("""COMPUTED_VALUE"""),"RF-0800-001-PPP")</f>
        <v>RF-0800-001-PPP</v>
      </c>
    </row>
    <row r="3951" spans="1:2" ht="12.5" x14ac:dyDescent="0.25">
      <c r="A3951" t="str">
        <f ca="1">IFERROR(__xludf.DUMMYFUNCTION("""COMPUTED_VALUE"""),"Nalidixic acid")</f>
        <v>Nalidixic acid</v>
      </c>
      <c r="B3951" t="str">
        <f ca="1">IFERROR(__xludf.DUMMYFUNCTION("""COMPUTED_VALUE"""),"RF-00000547-VET")</f>
        <v>RF-00000547-VET</v>
      </c>
    </row>
    <row r="3952" spans="1:2" ht="12.5" x14ac:dyDescent="0.25">
      <c r="A3952" t="str">
        <f ca="1">IFERROR(__xludf.DUMMYFUNCTION("""COMPUTED_VALUE"""),"Nandrolone")</f>
        <v>Nandrolone</v>
      </c>
      <c r="B3952" t="str">
        <f ca="1">IFERROR(__xludf.DUMMYFUNCTION("""COMPUTED_VALUE"""),"RF-00000442-VET")</f>
        <v>RF-00000442-VET</v>
      </c>
    </row>
    <row r="3953" spans="1:2" ht="12.5" x14ac:dyDescent="0.25">
      <c r="A3953" t="str">
        <f ca="1">IFERROR(__xludf.DUMMYFUNCTION("""COMPUTED_VALUE"""),"Naphthalene")</f>
        <v>Naphthalene</v>
      </c>
      <c r="B3953" t="str">
        <f ca="1">IFERROR(__xludf.DUMMYFUNCTION("""COMPUTED_VALUE"""),"RF-00000062-ORG")</f>
        <v>RF-00000062-ORG</v>
      </c>
    </row>
    <row r="3954" spans="1:2" ht="12.5" x14ac:dyDescent="0.25">
      <c r="A3954" t="str">
        <f ca="1">IFERROR(__xludf.DUMMYFUNCTION("""COMPUTED_VALUE"""),"Naphthalene")</f>
        <v>Naphthalene</v>
      </c>
      <c r="B3954" t="str">
        <f ca="1">IFERROR(__xludf.DUMMYFUNCTION("""COMPUTED_VALUE"""),"RF-0801-001-PPP")</f>
        <v>RF-0801-001-PPP</v>
      </c>
    </row>
    <row r="3955" spans="1:2" ht="12.5" x14ac:dyDescent="0.25">
      <c r="A3955" t="str">
        <f ca="1">IFERROR(__xludf.DUMMYFUNCTION("""COMPUTED_VALUE"""),"Naphthol, 1-")</f>
        <v>Naphthol, 1-</v>
      </c>
      <c r="B3955" t="str">
        <f ca="1">IFERROR(__xludf.DUMMYFUNCTION("""COMPUTED_VALUE"""),"RF-0802-001-PPP")</f>
        <v>RF-0802-001-PPP</v>
      </c>
    </row>
    <row r="3956" spans="1:2" ht="12.5" x14ac:dyDescent="0.25">
      <c r="A3956" t="str">
        <f ca="1">IFERROR(__xludf.DUMMYFUNCTION("""COMPUTED_VALUE"""),"Naphthoxyacetic acid, 2-")</f>
        <v>Naphthoxyacetic acid, 2-</v>
      </c>
      <c r="B3956" t="str">
        <f ca="1">IFERROR(__xludf.DUMMYFUNCTION("""COMPUTED_VALUE"""),"RF-0803-001-PPP")</f>
        <v>RF-0803-001-PPP</v>
      </c>
    </row>
    <row r="3957" spans="1:2" ht="12.5" x14ac:dyDescent="0.25">
      <c r="A3957" t="str">
        <f ca="1">IFERROR(__xludf.DUMMYFUNCTION("""COMPUTED_VALUE"""),"Naphtol")</f>
        <v>Naphtol</v>
      </c>
      <c r="B3957" t="str">
        <f ca="1">IFERROR(__xludf.DUMMYFUNCTION("""COMPUTED_VALUE"""),"RF-00000133-VET")</f>
        <v>RF-00000133-VET</v>
      </c>
    </row>
    <row r="3958" spans="1:2" ht="12.5" x14ac:dyDescent="0.25">
      <c r="A3958" t="str">
        <f ca="1">IFERROR(__xludf.DUMMYFUNCTION("""COMPUTED_VALUE"""),"Napropamide")</f>
        <v>Napropamide</v>
      </c>
      <c r="B3958" t="str">
        <f ca="1">IFERROR(__xludf.DUMMYFUNCTION("""COMPUTED_VALUE"""),"RF-0309-001-PPP")</f>
        <v>RF-0309-001-PPP</v>
      </c>
    </row>
    <row r="3959" spans="1:2" ht="12.5" x14ac:dyDescent="0.25">
      <c r="A3959" t="str">
        <f ca="1">IFERROR(__xludf.DUMMYFUNCTION("""COMPUTED_VALUE"""),"Naproxen")</f>
        <v>Naproxen</v>
      </c>
      <c r="B3959" t="str">
        <f ca="1">IFERROR(__xludf.DUMMYFUNCTION("""COMPUTED_VALUE"""),"RF-00000221-VET")</f>
        <v>RF-00000221-VET</v>
      </c>
    </row>
    <row r="3960" spans="1:2" ht="12.5" x14ac:dyDescent="0.25">
      <c r="A3960" t="str">
        <f ca="1">IFERROR(__xludf.DUMMYFUNCTION("""COMPUTED_VALUE"""),"Naptalam")</f>
        <v>Naptalam</v>
      </c>
      <c r="B3960" t="str">
        <f ca="1">IFERROR(__xludf.DUMMYFUNCTION("""COMPUTED_VALUE"""),"RF-0804-001-PPP")</f>
        <v>RF-0804-001-PPP</v>
      </c>
    </row>
    <row r="3961" spans="1:2" ht="12.5" x14ac:dyDescent="0.25">
      <c r="A3961" t="str">
        <f ca="1">IFERROR(__xludf.DUMMYFUNCTION("""COMPUTED_VALUE"""),"Narasin")</f>
        <v>Narasin</v>
      </c>
      <c r="B3961" t="str">
        <f ca="1">IFERROR(__xludf.DUMMYFUNCTION("""COMPUTED_VALUE"""),"RF-00000090-VET")</f>
        <v>RF-00000090-VET</v>
      </c>
    </row>
    <row r="3962" spans="1:2" ht="12.5" x14ac:dyDescent="0.25">
      <c r="A3962" t="str">
        <f ca="1">IFERROR(__xludf.DUMMYFUNCTION("""COMPUTED_VALUE"""),"Narasin sodium")</f>
        <v>Narasin sodium</v>
      </c>
      <c r="B3962" t="str">
        <f ca="1">IFERROR(__xludf.DUMMYFUNCTION("""COMPUTED_VALUE"""),"RF-00000088-VET")</f>
        <v>RF-00000088-VET</v>
      </c>
    </row>
    <row r="3963" spans="1:2" ht="12.5" x14ac:dyDescent="0.25">
      <c r="A3963" t="str">
        <f ca="1">IFERROR(__xludf.DUMMYFUNCTION("""COMPUTED_VALUE"""),"Narceine")</f>
        <v>Narceine</v>
      </c>
      <c r="B3963" t="str">
        <f ca="1">IFERROR(__xludf.DUMMYFUNCTION("""COMPUTED_VALUE"""),"RF-00000255-TOX")</f>
        <v>RF-00000255-TOX</v>
      </c>
    </row>
    <row r="3964" spans="1:2" ht="12.5" x14ac:dyDescent="0.25">
      <c r="A3964" t="str">
        <f ca="1">IFERROR(__xludf.DUMMYFUNCTION("""COMPUTED_VALUE"""),"Natamycin")</f>
        <v>Natamycin</v>
      </c>
      <c r="B3964" t="str">
        <f ca="1">IFERROR(__xludf.DUMMYFUNCTION("""COMPUTED_VALUE"""),"RF-00000199-ADD")</f>
        <v>RF-00000199-ADD</v>
      </c>
    </row>
    <row r="3965" spans="1:2" ht="12.5" x14ac:dyDescent="0.25">
      <c r="A3965" t="str">
        <f ca="1">IFERROR(__xludf.DUMMYFUNCTION("""COMPUTED_VALUE"""),"NDM")</f>
        <v>NDM</v>
      </c>
      <c r="B3965" t="str">
        <f ca="1">IFERROR(__xludf.DUMMYFUNCTION("""COMPUTED_VALUE"""),"RF-00000964-PAR")</f>
        <v>RF-00000964-PAR</v>
      </c>
    </row>
    <row r="3966" spans="1:2" ht="12.5" x14ac:dyDescent="0.25">
      <c r="A3966" t="str">
        <f ca="1">IFERROR(__xludf.DUMMYFUNCTION("""COMPUTED_VALUE"""),"NDM-1")</f>
        <v>NDM-1</v>
      </c>
      <c r="B3966" t="str">
        <f ca="1">IFERROR(__xludf.DUMMYFUNCTION("""COMPUTED_VALUE"""),"RF-00000965-PAR")</f>
        <v>RF-00000965-PAR</v>
      </c>
    </row>
    <row r="3967" spans="1:2" ht="12.5" x14ac:dyDescent="0.25">
      <c r="A3967" t="str">
        <f ca="1">IFERROR(__xludf.DUMMYFUNCTION("""COMPUTED_VALUE"""),"NDM-2")</f>
        <v>NDM-2</v>
      </c>
      <c r="B3967" t="str">
        <f ca="1">IFERROR(__xludf.DUMMYFUNCTION("""COMPUTED_VALUE"""),"RF-00000966-PAR")</f>
        <v>RF-00000966-PAR</v>
      </c>
    </row>
    <row r="3968" spans="1:2" ht="12.5" x14ac:dyDescent="0.25">
      <c r="A3968" t="str">
        <f ca="1">IFERROR(__xludf.DUMMYFUNCTION("""COMPUTED_VALUE"""),"NDM-3")</f>
        <v>NDM-3</v>
      </c>
      <c r="B3968" t="str">
        <f ca="1">IFERROR(__xludf.DUMMYFUNCTION("""COMPUTED_VALUE"""),"RF-00000967-PAR")</f>
        <v>RF-00000967-PAR</v>
      </c>
    </row>
    <row r="3969" spans="1:2" ht="12.5" x14ac:dyDescent="0.25">
      <c r="A3969" t="str">
        <f ca="1">IFERROR(__xludf.DUMMYFUNCTION("""COMPUTED_VALUE"""),"NDM-4")</f>
        <v>NDM-4</v>
      </c>
      <c r="B3969" t="str">
        <f ca="1">IFERROR(__xludf.DUMMYFUNCTION("""COMPUTED_VALUE"""),"RF-00000968-PAR")</f>
        <v>RF-00000968-PAR</v>
      </c>
    </row>
    <row r="3970" spans="1:2" ht="12.5" x14ac:dyDescent="0.25">
      <c r="A3970" t="str">
        <f ca="1">IFERROR(__xludf.DUMMYFUNCTION("""COMPUTED_VALUE"""),"NDM-5")</f>
        <v>NDM-5</v>
      </c>
      <c r="B3970" t="str">
        <f ca="1">IFERROR(__xludf.DUMMYFUNCTION("""COMPUTED_VALUE"""),"RF-00000969-PAR")</f>
        <v>RF-00000969-PAR</v>
      </c>
    </row>
    <row r="3971" spans="1:2" ht="12.5" x14ac:dyDescent="0.25">
      <c r="A3971" t="str">
        <f ca="1">IFERROR(__xludf.DUMMYFUNCTION("""COMPUTED_VALUE"""),"NDM-6")</f>
        <v>NDM-6</v>
      </c>
      <c r="B3971" t="str">
        <f ca="1">IFERROR(__xludf.DUMMYFUNCTION("""COMPUTED_VALUE"""),"RF-00000970-PAR")</f>
        <v>RF-00000970-PAR</v>
      </c>
    </row>
    <row r="3972" spans="1:2" ht="12.5" x14ac:dyDescent="0.25">
      <c r="A3972" t="str">
        <f ca="1">IFERROR(__xludf.DUMMYFUNCTION("""COMPUTED_VALUE"""),"NDM-7")</f>
        <v>NDM-7</v>
      </c>
      <c r="B3972" t="str">
        <f ca="1">IFERROR(__xludf.DUMMYFUNCTION("""COMPUTED_VALUE"""),"RF-00000971-PAR")</f>
        <v>RF-00000971-PAR</v>
      </c>
    </row>
    <row r="3973" spans="1:2" ht="12.5" x14ac:dyDescent="0.25">
      <c r="A3973" t="str">
        <f ca="1">IFERROR(__xludf.DUMMYFUNCTION("""COMPUTED_VALUE"""),"Neamin (Neomycin A)")</f>
        <v>Neamin (Neomycin A)</v>
      </c>
      <c r="B3973" t="str">
        <f ca="1">IFERROR(__xludf.DUMMYFUNCTION("""COMPUTED_VALUE"""),"RF-00000539-VET")</f>
        <v>RF-00000539-VET</v>
      </c>
    </row>
    <row r="3974" spans="1:2" ht="12.5" x14ac:dyDescent="0.25">
      <c r="A3974" t="str">
        <f ca="1">IFERROR(__xludf.DUMMYFUNCTION("""COMPUTED_VALUE"""),"Neburon")</f>
        <v>Neburon</v>
      </c>
      <c r="B3974" t="str">
        <f ca="1">IFERROR(__xludf.DUMMYFUNCTION("""COMPUTED_VALUE"""),"RF-0805-001-PPP")</f>
        <v>RF-0805-001-PPP</v>
      </c>
    </row>
    <row r="3975" spans="1:2" ht="12.5" x14ac:dyDescent="0.25">
      <c r="A3975" t="str">
        <f ca="1">IFERROR(__xludf.DUMMYFUNCTION("""COMPUTED_VALUE"""),"Nemadectin")</f>
        <v>Nemadectin</v>
      </c>
      <c r="B3975" t="str">
        <f ca="1">IFERROR(__xludf.DUMMYFUNCTION("""COMPUTED_VALUE"""),"RF-00000017-VET")</f>
        <v>RF-00000017-VET</v>
      </c>
    </row>
    <row r="3976" spans="1:2" ht="12.5" x14ac:dyDescent="0.25">
      <c r="A3976" t="str">
        <f ca="1">IFERROR(__xludf.DUMMYFUNCTION("""COMPUTED_VALUE"""),"Nematodes")</f>
        <v>Nematodes</v>
      </c>
      <c r="B3976" t="str">
        <f ca="1">IFERROR(__xludf.DUMMYFUNCTION("""COMPUTED_VALUE"""),"RF-00002795-MCG")</f>
        <v>RF-00002795-MCG</v>
      </c>
    </row>
    <row r="3977" spans="1:2" ht="12.5" x14ac:dyDescent="0.25">
      <c r="A3977" t="str">
        <f ca="1">IFERROR(__xludf.DUMMYFUNCTION("""COMPUTED_VALUE"""),"Neohesperidine DC")</f>
        <v>Neohesperidine DC</v>
      </c>
      <c r="B3977" t="str">
        <f ca="1">IFERROR(__xludf.DUMMYFUNCTION("""COMPUTED_VALUE"""),"RF-00000200-ADD")</f>
        <v>RF-00000200-ADD</v>
      </c>
    </row>
    <row r="3978" spans="1:2" ht="12.5" x14ac:dyDescent="0.25">
      <c r="A3978" t="str">
        <f ca="1">IFERROR(__xludf.DUMMYFUNCTION("""COMPUTED_VALUE"""),"Neomycin")</f>
        <v>Neomycin</v>
      </c>
      <c r="B3978" t="str">
        <f ca="1">IFERROR(__xludf.DUMMYFUNCTION("""COMPUTED_VALUE"""),"RF-00000530-VET")</f>
        <v>RF-00000530-VET</v>
      </c>
    </row>
    <row r="3979" spans="1:2" ht="12.5" x14ac:dyDescent="0.25">
      <c r="A3979" t="str">
        <f ca="1">IFERROR(__xludf.DUMMYFUNCTION("""COMPUTED_VALUE"""),"Neomycin C")</f>
        <v>Neomycin C</v>
      </c>
      <c r="B3979" t="str">
        <f ca="1">IFERROR(__xludf.DUMMYFUNCTION("""COMPUTED_VALUE"""),"RF-00000531-VET")</f>
        <v>RF-00000531-VET</v>
      </c>
    </row>
    <row r="3980" spans="1:2" ht="12.5" x14ac:dyDescent="0.25">
      <c r="A3980" t="str">
        <f ca="1">IFERROR(__xludf.DUMMYFUNCTION("""COMPUTED_VALUE"""),"Neopalytoxin")</f>
        <v>Neopalytoxin</v>
      </c>
      <c r="B3980" t="str">
        <f ca="1">IFERROR(__xludf.DUMMYFUNCTION("""COMPUTED_VALUE"""),"RF-00000077-TOX")</f>
        <v>RF-00000077-TOX</v>
      </c>
    </row>
    <row r="3981" spans="1:2" ht="12.5" x14ac:dyDescent="0.25">
      <c r="A3981" t="str">
        <f ca="1">IFERROR(__xludf.DUMMYFUNCTION("""COMPUTED_VALUE"""),"Neoplatyphylline")</f>
        <v>Neoplatyphylline</v>
      </c>
      <c r="B3981" t="str">
        <f ca="1">IFERROR(__xludf.DUMMYFUNCTION("""COMPUTED_VALUE"""),"RF-00000244-TOX")</f>
        <v>RF-00000244-TOX</v>
      </c>
    </row>
    <row r="3982" spans="1:2" ht="12.5" x14ac:dyDescent="0.25">
      <c r="A3982" t="str">
        <f ca="1">IFERROR(__xludf.DUMMYFUNCTION("""COMPUTED_VALUE"""),"Neorickettsia")</f>
        <v>Neorickettsia</v>
      </c>
      <c r="B3982" t="str">
        <f ca="1">IFERROR(__xludf.DUMMYFUNCTION("""COMPUTED_VALUE"""),"RF-00003920-MCG")</f>
        <v>RF-00003920-MCG</v>
      </c>
    </row>
    <row r="3983" spans="1:2" ht="12.5" x14ac:dyDescent="0.25">
      <c r="A3983" t="str">
        <f ca="1">IFERROR(__xludf.DUMMYFUNCTION("""COMPUTED_VALUE"""),"Neorickettsia risticii")</f>
        <v>Neorickettsia risticii</v>
      </c>
      <c r="B3983" t="str">
        <f ca="1">IFERROR(__xludf.DUMMYFUNCTION("""COMPUTED_VALUE"""),"RF-00003921-MCG")</f>
        <v>RF-00003921-MCG</v>
      </c>
    </row>
    <row r="3984" spans="1:2" ht="12.5" x14ac:dyDescent="0.25">
      <c r="A3984" t="str">
        <f ca="1">IFERROR(__xludf.DUMMYFUNCTION("""COMPUTED_VALUE"""),"neosaxitoxin")</f>
        <v>neosaxitoxin</v>
      </c>
      <c r="B3984" t="str">
        <f ca="1">IFERROR(__xludf.DUMMYFUNCTION("""COMPUTED_VALUE"""),"RF-00000112-TOX")</f>
        <v>RF-00000112-TOX</v>
      </c>
    </row>
    <row r="3985" spans="1:2" ht="12.5" x14ac:dyDescent="0.25">
      <c r="A3985" t="str">
        <f ca="1">IFERROR(__xludf.DUMMYFUNCTION("""COMPUTED_VALUE"""),"Neosolaniol")</f>
        <v>Neosolaniol</v>
      </c>
      <c r="B3985" t="str">
        <f ca="1">IFERROR(__xludf.DUMMYFUNCTION("""COMPUTED_VALUE"""),"RF-00000189-TOX")</f>
        <v>RF-00000189-TOX</v>
      </c>
    </row>
    <row r="3986" spans="1:2" ht="12.5" x14ac:dyDescent="0.25">
      <c r="A3986" t="str">
        <f ca="1">IFERROR(__xludf.DUMMYFUNCTION("""COMPUTED_VALUE"""),"Neospiramycin")</f>
        <v>Neospiramycin</v>
      </c>
      <c r="B3986" t="str">
        <f ca="1">IFERROR(__xludf.DUMMYFUNCTION("""COMPUTED_VALUE"""),"RF-00000532-VET")</f>
        <v>RF-00000532-VET</v>
      </c>
    </row>
    <row r="3987" spans="1:2" ht="12.5" x14ac:dyDescent="0.25">
      <c r="A3987" t="str">
        <f ca="1">IFERROR(__xludf.DUMMYFUNCTION("""COMPUTED_VALUE"""),"Neotame")</f>
        <v>Neotame</v>
      </c>
      <c r="B3987" t="str">
        <f ca="1">IFERROR(__xludf.DUMMYFUNCTION("""COMPUTED_VALUE"""),"RF-00000201-ADD")</f>
        <v>RF-00000201-ADD</v>
      </c>
    </row>
    <row r="3988" spans="1:2" ht="12.5" x14ac:dyDescent="0.25">
      <c r="A3988" t="str">
        <f ca="1">IFERROR(__xludf.DUMMYFUNCTION("""COMPUTED_VALUE"""),"Nereistoxin")</f>
        <v>Nereistoxin</v>
      </c>
      <c r="B3988" t="str">
        <f ca="1">IFERROR(__xludf.DUMMYFUNCTION("""COMPUTED_VALUE"""),"RF-0806-001-PPP")</f>
        <v>RF-0806-001-PPP</v>
      </c>
    </row>
    <row r="3989" spans="1:2" ht="12.5" x14ac:dyDescent="0.25">
      <c r="A3989" t="str">
        <f ca="1">IFERROR(__xludf.DUMMYFUNCTION("""COMPUTED_VALUE"""),"Netilmicin")</f>
        <v>Netilmicin</v>
      </c>
      <c r="B3989" t="str">
        <f ca="1">IFERROR(__xludf.DUMMYFUNCTION("""COMPUTED_VALUE"""),"RF-00000598-VET")</f>
        <v>RF-00000598-VET</v>
      </c>
    </row>
    <row r="3990" spans="1:2" ht="12.5" x14ac:dyDescent="0.25">
      <c r="A3990" t="str">
        <f ca="1">IFERROR(__xludf.DUMMYFUNCTION("""COMPUTED_VALUE"""),"Netobimin")</f>
        <v>Netobimin</v>
      </c>
      <c r="B3990" t="str">
        <f ca="1">IFERROR(__xludf.DUMMYFUNCTION("""COMPUTED_VALUE"""),"RF-00000022-VET")</f>
        <v>RF-00000022-VET</v>
      </c>
    </row>
    <row r="3991" spans="1:2" ht="12.5" x14ac:dyDescent="0.25">
      <c r="A3991" t="str">
        <f ca="1">IFERROR(__xludf.DUMMYFUNCTION("""COMPUTED_VALUE"""),"niacin")</f>
        <v>niacin</v>
      </c>
      <c r="B3991" t="str">
        <f ca="1">IFERROR(__xludf.DUMMYFUNCTION("""COMPUTED_VALUE"""),"RF-00000441-NTR")</f>
        <v>RF-00000441-NTR</v>
      </c>
    </row>
    <row r="3992" spans="1:2" ht="12.5" x14ac:dyDescent="0.25">
      <c r="A3992" t="str">
        <f ca="1">IFERROR(__xludf.DUMMYFUNCTION("""COMPUTED_VALUE"""),"niacin equivalents from tryptophan")</f>
        <v>niacin equivalents from tryptophan</v>
      </c>
      <c r="B3992" t="str">
        <f ca="1">IFERROR(__xludf.DUMMYFUNCTION("""COMPUTED_VALUE"""),"RF-00000346-NTR")</f>
        <v>RF-00000346-NTR</v>
      </c>
    </row>
    <row r="3993" spans="1:2" ht="12.5" x14ac:dyDescent="0.25">
      <c r="A3993" t="str">
        <f ca="1">IFERROR(__xludf.DUMMYFUNCTION("""COMPUTED_VALUE"""),"niacin equivalents, total")</f>
        <v>niacin equivalents, total</v>
      </c>
      <c r="B3993" t="str">
        <f ca="1">IFERROR(__xludf.DUMMYFUNCTION("""COMPUTED_VALUE"""),"RF-00000347-NTR")</f>
        <v>RF-00000347-NTR</v>
      </c>
    </row>
    <row r="3994" spans="1:2" ht="12.5" x14ac:dyDescent="0.25">
      <c r="A3994" t="str">
        <f ca="1">IFERROR(__xludf.DUMMYFUNCTION("""COMPUTED_VALUE"""),"niacin, available")</f>
        <v>niacin, available</v>
      </c>
      <c r="B3994" t="str">
        <f ca="1">IFERROR(__xludf.DUMMYFUNCTION("""COMPUTED_VALUE"""),"RF-00000348-NTR")</f>
        <v>RF-00000348-NTR</v>
      </c>
    </row>
    <row r="3995" spans="1:2" ht="12.5" x14ac:dyDescent="0.25">
      <c r="A3995" t="str">
        <f ca="1">IFERROR(__xludf.DUMMYFUNCTION("""COMPUTED_VALUE"""),"niacin, preformed")</f>
        <v>niacin, preformed</v>
      </c>
      <c r="B3995" t="str">
        <f ca="1">IFERROR(__xludf.DUMMYFUNCTION("""COMPUTED_VALUE"""),"RF-00000349-NTR")</f>
        <v>RF-00000349-NTR</v>
      </c>
    </row>
    <row r="3996" spans="1:2" ht="12.5" x14ac:dyDescent="0.25">
      <c r="A3996" t="str">
        <f ca="1">IFERROR(__xludf.DUMMYFUNCTION("""COMPUTED_VALUE"""),"Nicarbazin")</f>
        <v>Nicarbazin</v>
      </c>
      <c r="B3996" t="str">
        <f ca="1">IFERROR(__xludf.DUMMYFUNCTION("""COMPUTED_VALUE"""),"RF-00000071-VET")</f>
        <v>RF-00000071-VET</v>
      </c>
    </row>
    <row r="3997" spans="1:2" ht="12.5" x14ac:dyDescent="0.25">
      <c r="A3997" t="str">
        <f ca="1">IFERROR(__xludf.DUMMYFUNCTION("""COMPUTED_VALUE"""),"Nickel (Ni)")</f>
        <v>Nickel (Ni)</v>
      </c>
      <c r="B3997" t="str">
        <f ca="1">IFERROR(__xludf.DUMMYFUNCTION("""COMPUTED_VALUE"""),"RF-00000182-CHE")</f>
        <v>RF-00000182-CHE</v>
      </c>
    </row>
    <row r="3998" spans="1:2" ht="12.5" x14ac:dyDescent="0.25">
      <c r="A3998" t="str">
        <f ca="1">IFERROR(__xludf.DUMMYFUNCTION("""COMPUTED_VALUE"""),"Nickel and derivatives")</f>
        <v>Nickel and derivatives</v>
      </c>
      <c r="B3998" t="str">
        <f ca="1">IFERROR(__xludf.DUMMYFUNCTION("""COMPUTED_VALUE"""),"RF-00000181-CHE")</f>
        <v>RF-00000181-CHE</v>
      </c>
    </row>
    <row r="3999" spans="1:2" ht="12.5" x14ac:dyDescent="0.25">
      <c r="A3999" t="str">
        <f ca="1">IFERROR(__xludf.DUMMYFUNCTION("""COMPUTED_VALUE"""),"Niclosamid")</f>
        <v>Niclosamid</v>
      </c>
      <c r="B3999" t="str">
        <f ca="1">IFERROR(__xludf.DUMMYFUNCTION("""COMPUTED_VALUE"""),"RF-00000020-VET")</f>
        <v>RF-00000020-VET</v>
      </c>
    </row>
    <row r="4000" spans="1:2" ht="12.5" x14ac:dyDescent="0.25">
      <c r="A4000" t="str">
        <f ca="1">IFERROR(__xludf.DUMMYFUNCTION("""COMPUTED_VALUE"""),"Niclosamide")</f>
        <v>Niclosamide</v>
      </c>
      <c r="B4000" t="str">
        <f ca="1">IFERROR(__xludf.DUMMYFUNCTION("""COMPUTED_VALUE"""),"RF-0808-001-PPP")</f>
        <v>RF-0808-001-PPP</v>
      </c>
    </row>
    <row r="4001" spans="1:2" ht="12.5" x14ac:dyDescent="0.25">
      <c r="A4001" t="str">
        <f ca="1">IFERROR(__xludf.DUMMYFUNCTION("""COMPUTED_VALUE"""),"Nicosulfuron")</f>
        <v>Nicosulfuron</v>
      </c>
      <c r="B4001" t="str">
        <f ca="1">IFERROR(__xludf.DUMMYFUNCTION("""COMPUTED_VALUE"""),"RF-0310-001-PPP")</f>
        <v>RF-0310-001-PPP</v>
      </c>
    </row>
    <row r="4002" spans="1:2" ht="12.5" x14ac:dyDescent="0.25">
      <c r="A4002" t="str">
        <f ca="1">IFERROR(__xludf.DUMMYFUNCTION("""COMPUTED_VALUE"""),"Nicotine")</f>
        <v>Nicotine</v>
      </c>
      <c r="B4002" t="str">
        <f ca="1">IFERROR(__xludf.DUMMYFUNCTION("""COMPUTED_VALUE"""),"RF-0809-001-PPP")</f>
        <v>RF-0809-001-PPP</v>
      </c>
    </row>
    <row r="4003" spans="1:2" ht="12.5" x14ac:dyDescent="0.25">
      <c r="A4003" t="str">
        <f ca="1">IFERROR(__xludf.DUMMYFUNCTION("""COMPUTED_VALUE"""),"Niflumic acid")</f>
        <v>Niflumic acid</v>
      </c>
      <c r="B4003" t="str">
        <f ca="1">IFERROR(__xludf.DUMMYFUNCTION("""COMPUTED_VALUE"""),"RF-00000240-VET")</f>
        <v>RF-00000240-VET</v>
      </c>
    </row>
    <row r="4004" spans="1:2" ht="12.5" x14ac:dyDescent="0.25">
      <c r="A4004" t="str">
        <f ca="1">IFERROR(__xludf.DUMMYFUNCTION("""COMPUTED_VALUE"""),"Nifuroxazide")</f>
        <v>Nifuroxazide</v>
      </c>
      <c r="B4004" t="str">
        <f ca="1">IFERROR(__xludf.DUMMYFUNCTION("""COMPUTED_VALUE"""),"RF-00000512-VET")</f>
        <v>RF-00000512-VET</v>
      </c>
    </row>
    <row r="4005" spans="1:2" ht="12.5" x14ac:dyDescent="0.25">
      <c r="A4005" t="str">
        <f ca="1">IFERROR(__xludf.DUMMYFUNCTION("""COMPUTED_VALUE"""),"Nifuroxin")</f>
        <v>Nifuroxin</v>
      </c>
      <c r="B4005" t="str">
        <f ca="1">IFERROR(__xludf.DUMMYFUNCTION("""COMPUTED_VALUE"""),"RF-00000283-VET")</f>
        <v>RF-00000283-VET</v>
      </c>
    </row>
    <row r="4006" spans="1:2" ht="12.5" x14ac:dyDescent="0.25">
      <c r="A4006" t="str">
        <f ca="1">IFERROR(__xludf.DUMMYFUNCTION("""COMPUTED_VALUE"""),"Nifurprazine")</f>
        <v>Nifurprazine</v>
      </c>
      <c r="B4006" t="str">
        <f ca="1">IFERROR(__xludf.DUMMYFUNCTION("""COMPUTED_VALUE"""),"RF-00000510-VET")</f>
        <v>RF-00000510-VET</v>
      </c>
    </row>
    <row r="4007" spans="1:2" ht="12.5" x14ac:dyDescent="0.25">
      <c r="A4007" t="str">
        <f ca="1">IFERROR(__xludf.DUMMYFUNCTION("""COMPUTED_VALUE"""),"Nifursol")</f>
        <v>Nifursol</v>
      </c>
      <c r="B4007" t="str">
        <f ca="1">IFERROR(__xludf.DUMMYFUNCTION("""COMPUTED_VALUE"""),"RF-00000500-VET")</f>
        <v>RF-00000500-VET</v>
      </c>
    </row>
    <row r="4008" spans="1:2" ht="12.5" x14ac:dyDescent="0.25">
      <c r="A4008" t="str">
        <f ca="1">IFERROR(__xludf.DUMMYFUNCTION("""COMPUTED_VALUE"""),"Nigericin sodium")</f>
        <v>Nigericin sodium</v>
      </c>
      <c r="B4008" t="str">
        <f ca="1">IFERROR(__xludf.DUMMYFUNCTION("""COMPUTED_VALUE"""),"RF-00000067-VET")</f>
        <v>RF-00000067-VET</v>
      </c>
    </row>
    <row r="4009" spans="1:2" ht="12.5" x14ac:dyDescent="0.25">
      <c r="A4009" t="str">
        <f ca="1">IFERROR(__xludf.DUMMYFUNCTION("""COMPUTED_VALUE"""),"Nimorazole")</f>
        <v>Nimorazole</v>
      </c>
      <c r="B4009" t="str">
        <f ca="1">IFERROR(__xludf.DUMMYFUNCTION("""COMPUTED_VALUE"""),"RF-00000073-VET")</f>
        <v>RF-00000073-VET</v>
      </c>
    </row>
    <row r="4010" spans="1:2" ht="12.5" x14ac:dyDescent="0.25">
      <c r="A4010" t="str">
        <f ca="1">IFERROR(__xludf.DUMMYFUNCTION("""COMPUTED_VALUE"""),"Nisin")</f>
        <v>Nisin</v>
      </c>
      <c r="B4010" t="str">
        <f ca="1">IFERROR(__xludf.DUMMYFUNCTION("""COMPUTED_VALUE"""),"RF-00000202-ADD")</f>
        <v>RF-00000202-ADD</v>
      </c>
    </row>
    <row r="4011" spans="1:2" ht="12.5" x14ac:dyDescent="0.25">
      <c r="A4011" t="str">
        <f ca="1">IFERROR(__xludf.DUMMYFUNCTION("""COMPUTED_VALUE"""),"Nitenpyram")</f>
        <v>Nitenpyram</v>
      </c>
      <c r="B4011" t="str">
        <f ca="1">IFERROR(__xludf.DUMMYFUNCTION("""COMPUTED_VALUE"""),"RF-0810-001-PPP")</f>
        <v>RF-0810-001-PPP</v>
      </c>
    </row>
    <row r="4012" spans="1:2" ht="12.5" x14ac:dyDescent="0.25">
      <c r="A4012" t="str">
        <f ca="1">IFERROR(__xludf.DUMMYFUNCTION("""COMPUTED_VALUE"""),"Nithiazine")</f>
        <v>Nithiazine</v>
      </c>
      <c r="B4012" t="str">
        <f ca="1">IFERROR(__xludf.DUMMYFUNCTION("""COMPUTED_VALUE"""),"RF-0811-001-PPP")</f>
        <v>RF-0811-001-PPP</v>
      </c>
    </row>
    <row r="4013" spans="1:2" ht="12.5" x14ac:dyDescent="0.25">
      <c r="A4013" t="str">
        <f ca="1">IFERROR(__xludf.DUMMYFUNCTION("""COMPUTED_VALUE"""),"Nitralin")</f>
        <v>Nitralin</v>
      </c>
      <c r="B4013" t="str">
        <f ca="1">IFERROR(__xludf.DUMMYFUNCTION("""COMPUTED_VALUE"""),"RF-0812-001-PPP")</f>
        <v>RF-0812-001-PPP</v>
      </c>
    </row>
    <row r="4014" spans="1:2" ht="12.5" x14ac:dyDescent="0.25">
      <c r="A4014" t="str">
        <f ca="1">IFERROR(__xludf.DUMMYFUNCTION("""COMPUTED_VALUE"""),"Nitrapyrin")</f>
        <v>Nitrapyrin</v>
      </c>
      <c r="B4014" t="str">
        <f ca="1">IFERROR(__xludf.DUMMYFUNCTION("""COMPUTED_VALUE"""),"RF-0813-001-PPP")</f>
        <v>RF-0813-001-PPP</v>
      </c>
    </row>
    <row r="4015" spans="1:2" ht="12.5" x14ac:dyDescent="0.25">
      <c r="A4015" t="str">
        <f ca="1">IFERROR(__xludf.DUMMYFUNCTION("""COMPUTED_VALUE"""),"Nitrate")</f>
        <v>Nitrate</v>
      </c>
      <c r="B4015" t="str">
        <f ca="1">IFERROR(__xludf.DUMMYFUNCTION("""COMPUTED_VALUE"""),"RF-00000085-CHE")</f>
        <v>RF-00000085-CHE</v>
      </c>
    </row>
    <row r="4016" spans="1:2" ht="12.5" x14ac:dyDescent="0.25">
      <c r="A4016" t="str">
        <f ca="1">IFERROR(__xludf.DUMMYFUNCTION("""COMPUTED_VALUE"""),"Nitric nitrogen")</f>
        <v>Nitric nitrogen</v>
      </c>
      <c r="B4016" t="str">
        <f ca="1">IFERROR(__xludf.DUMMYFUNCTION("""COMPUTED_VALUE"""),"RF-00000086-CHE")</f>
        <v>RF-00000086-CHE</v>
      </c>
    </row>
    <row r="4017" spans="1:2" ht="12.5" x14ac:dyDescent="0.25">
      <c r="A4017" t="str">
        <f ca="1">IFERROR(__xludf.DUMMYFUNCTION("""COMPUTED_VALUE"""),"Nitrites")</f>
        <v>Nitrites</v>
      </c>
      <c r="B4017" t="str">
        <f ca="1">IFERROR(__xludf.DUMMYFUNCTION("""COMPUTED_VALUE"""),"RF-00000087-CHE")</f>
        <v>RF-00000087-CHE</v>
      </c>
    </row>
    <row r="4018" spans="1:2" ht="12.5" x14ac:dyDescent="0.25">
      <c r="A4018" t="str">
        <f ca="1">IFERROR(__xludf.DUMMYFUNCTION("""COMPUTED_VALUE"""),"Nitrobenzene")</f>
        <v>Nitrobenzene</v>
      </c>
      <c r="B4018" t="str">
        <f ca="1">IFERROR(__xludf.DUMMYFUNCTION("""COMPUTED_VALUE"""),"RF-0814-001-PPP")</f>
        <v>RF-0814-001-PPP</v>
      </c>
    </row>
    <row r="4019" spans="1:2" ht="12.5" x14ac:dyDescent="0.25">
      <c r="A4019" t="str">
        <f ca="1">IFERROR(__xludf.DUMMYFUNCTION("""COMPUTED_VALUE"""),"Nitrofen")</f>
        <v>Nitrofen</v>
      </c>
      <c r="B4019" t="str">
        <f ca="1">IFERROR(__xludf.DUMMYFUNCTION("""COMPUTED_VALUE"""),"RF-0311-001-PPP")</f>
        <v>RF-0311-001-PPP</v>
      </c>
    </row>
    <row r="4020" spans="1:2" ht="12.5" x14ac:dyDescent="0.25">
      <c r="A4020" t="str">
        <f ca="1">IFERROR(__xludf.DUMMYFUNCTION("""COMPUTED_VALUE"""),"Nitrofurans")</f>
        <v>Nitrofurans</v>
      </c>
      <c r="B4020" t="str">
        <f ca="1">IFERROR(__xludf.DUMMYFUNCTION("""COMPUTED_VALUE"""),"RF-00000517-VET")</f>
        <v>RF-00000517-VET</v>
      </c>
    </row>
    <row r="4021" spans="1:2" ht="12.5" x14ac:dyDescent="0.25">
      <c r="A4021" t="str">
        <f ca="1">IFERROR(__xludf.DUMMYFUNCTION("""COMPUTED_VALUE"""),"Nitrofurantoin")</f>
        <v>Nitrofurantoin</v>
      </c>
      <c r="B4021" t="str">
        <f ca="1">IFERROR(__xludf.DUMMYFUNCTION("""COMPUTED_VALUE"""),"RF-00000505-VET")</f>
        <v>RF-00000505-VET</v>
      </c>
    </row>
    <row r="4022" spans="1:2" ht="12.5" x14ac:dyDescent="0.25">
      <c r="A4022" t="str">
        <f ca="1">IFERROR(__xludf.DUMMYFUNCTION("""COMPUTED_VALUE"""),"Nitrofurathiazide")</f>
        <v>Nitrofurathiazide</v>
      </c>
      <c r="B4022" t="str">
        <f ca="1">IFERROR(__xludf.DUMMYFUNCTION("""COMPUTED_VALUE"""),"RF-00000504-VET")</f>
        <v>RF-00000504-VET</v>
      </c>
    </row>
    <row r="4023" spans="1:2" ht="12.5" x14ac:dyDescent="0.25">
      <c r="A4023" t="str">
        <f ca="1">IFERROR(__xludf.DUMMYFUNCTION("""COMPUTED_VALUE"""),"Nitrofurazone")</f>
        <v>Nitrofurazone</v>
      </c>
      <c r="B4023" t="str">
        <f ca="1">IFERROR(__xludf.DUMMYFUNCTION("""COMPUTED_VALUE"""),"RF-00000503-VET")</f>
        <v>RF-00000503-VET</v>
      </c>
    </row>
    <row r="4024" spans="1:2" ht="12.5" x14ac:dyDescent="0.25">
      <c r="A4024" t="str">
        <f ca="1">IFERROR(__xludf.DUMMYFUNCTION("""COMPUTED_VALUE"""),"Nitrogen")</f>
        <v>Nitrogen</v>
      </c>
      <c r="B4024" t="str">
        <f ca="1">IFERROR(__xludf.DUMMYFUNCTION("""COMPUTED_VALUE"""),"RF-00000090-CHE")</f>
        <v>RF-00000090-CHE</v>
      </c>
    </row>
    <row r="4025" spans="1:2" ht="12.5" x14ac:dyDescent="0.25">
      <c r="A4025" t="str">
        <f ca="1">IFERROR(__xludf.DUMMYFUNCTION("""COMPUTED_VALUE"""),"Nitrogen (Isobutylidenediurea)")</f>
        <v>Nitrogen (Isobutylidenediurea)</v>
      </c>
      <c r="B4025" t="str">
        <f ca="1">IFERROR(__xludf.DUMMYFUNCTION("""COMPUTED_VALUE"""),"RF-00000094-CHE")</f>
        <v>RF-00000094-CHE</v>
      </c>
    </row>
    <row r="4026" spans="1:2" ht="12.5" x14ac:dyDescent="0.25">
      <c r="A4026" t="str">
        <f ca="1">IFERROR(__xludf.DUMMYFUNCTION("""COMPUTED_VALUE"""),"Nitrogen (N)")</f>
        <v>Nitrogen (N)</v>
      </c>
      <c r="B4026" t="str">
        <f ca="1">IFERROR(__xludf.DUMMYFUNCTION("""COMPUTED_VALUE"""),"RF-00000081-CHE")</f>
        <v>RF-00000081-CHE</v>
      </c>
    </row>
    <row r="4027" spans="1:2" ht="12.5" x14ac:dyDescent="0.25">
      <c r="A4027" t="str">
        <f ca="1">IFERROR(__xludf.DUMMYFUNCTION("""COMPUTED_VALUE"""),"Nitrogen and derivatives")</f>
        <v>Nitrogen and derivatives</v>
      </c>
      <c r="B4027" t="str">
        <f ca="1">IFERROR(__xludf.DUMMYFUNCTION("""COMPUTED_VALUE"""),"RF-00000080-CHE")</f>
        <v>RF-00000080-CHE</v>
      </c>
    </row>
    <row r="4028" spans="1:2" ht="12.5" x14ac:dyDescent="0.25">
      <c r="A4028" t="str">
        <f ca="1">IFERROR(__xludf.DUMMYFUNCTION("""COMPUTED_VALUE"""),"nitrogen conversion factor")</f>
        <v>nitrogen conversion factor</v>
      </c>
      <c r="B4028" t="str">
        <f ca="1">IFERROR(__xludf.DUMMYFUNCTION("""COMPUTED_VALUE"""),"RF-00000350-NTR")</f>
        <v>RF-00000350-NTR</v>
      </c>
    </row>
    <row r="4029" spans="1:2" ht="12.5" x14ac:dyDescent="0.25">
      <c r="A4029" t="str">
        <f ca="1">IFERROR(__xludf.DUMMYFUNCTION("""COMPUTED_VALUE"""),"Nitrogen from Nitrogen from crotonylidenediurea (CDU)")</f>
        <v>Nitrogen from Nitrogen from crotonylidenediurea (CDU)</v>
      </c>
      <c r="B4029" t="str">
        <f ca="1">IFERROR(__xludf.DUMMYFUNCTION("""COMPUTED_VALUE"""),"RF-00000091-CHE")</f>
        <v>RF-00000091-CHE</v>
      </c>
    </row>
    <row r="4030" spans="1:2" ht="12.5" x14ac:dyDescent="0.25">
      <c r="A4030" t="str">
        <f ca="1">IFERROR(__xludf.DUMMYFUNCTION("""COMPUTED_VALUE"""),"Nitrogen from the dicyanediamide")</f>
        <v>Nitrogen from the dicyanediamide</v>
      </c>
      <c r="B4030" t="str">
        <f ca="1">IFERROR(__xludf.DUMMYFUNCTION("""COMPUTED_VALUE"""),"RF-00000092-CHE")</f>
        <v>RF-00000092-CHE</v>
      </c>
    </row>
    <row r="4031" spans="1:2" ht="12.5" x14ac:dyDescent="0.25">
      <c r="A4031" t="str">
        <f ca="1">IFERROR(__xludf.DUMMYFUNCTION("""COMPUTED_VALUE"""),"Nitrogen from the ureaform")</f>
        <v>Nitrogen from the ureaform</v>
      </c>
      <c r="B4031" t="str">
        <f ca="1">IFERROR(__xludf.DUMMYFUNCTION("""COMPUTED_VALUE"""),"RF-00000093-CHE")</f>
        <v>RF-00000093-CHE</v>
      </c>
    </row>
    <row r="4032" spans="1:2" ht="12.5" x14ac:dyDescent="0.25">
      <c r="A4032" t="str">
        <f ca="1">IFERROR(__xludf.DUMMYFUNCTION("""COMPUTED_VALUE"""),"Nitrogen from the ureaform")</f>
        <v>Nitrogen from the ureaform</v>
      </c>
      <c r="B4032" t="str">
        <f ca="1">IFERROR(__xludf.DUMMYFUNCTION("""COMPUTED_VALUE"""),"RF-00000101-CHE")</f>
        <v>RF-00000101-CHE</v>
      </c>
    </row>
    <row r="4033" spans="1:2" ht="12.5" x14ac:dyDescent="0.25">
      <c r="A4033" t="str">
        <f ca="1">IFERROR(__xludf.DUMMYFUNCTION("""COMPUTED_VALUE"""),"Nitrogen from urea-formaldehyde")</f>
        <v>Nitrogen from urea-formaldehyde</v>
      </c>
      <c r="B4033" t="str">
        <f ca="1">IFERROR(__xludf.DUMMYFUNCTION("""COMPUTED_VALUE"""),"RF-00000106-CHE")</f>
        <v>RF-00000106-CHE</v>
      </c>
    </row>
    <row r="4034" spans="1:2" ht="12.5" x14ac:dyDescent="0.25">
      <c r="A4034" t="str">
        <f ca="1">IFERROR(__xludf.DUMMYFUNCTION("""COMPUTED_VALUE"""),"Nitrogen in the SCU, released after 1 day")</f>
        <v>Nitrogen in the SCU, released after 1 day</v>
      </c>
      <c r="B4034" t="str">
        <f ca="1">IFERROR(__xludf.DUMMYFUNCTION("""COMPUTED_VALUE"""),"RF-00000099-CHE")</f>
        <v>RF-00000099-CHE</v>
      </c>
    </row>
    <row r="4035" spans="1:2" ht="12.5" x14ac:dyDescent="0.25">
      <c r="A4035" t="str">
        <f ca="1">IFERROR(__xludf.DUMMYFUNCTION("""COMPUTED_VALUE"""),"Nitrogen in the SCU, which is released after 10 days")</f>
        <v>Nitrogen in the SCU, which is released after 10 days</v>
      </c>
      <c r="B4035" t="str">
        <f ca="1">IFERROR(__xludf.DUMMYFUNCTION("""COMPUTED_VALUE"""),"RF-00000100-CHE")</f>
        <v>RF-00000100-CHE</v>
      </c>
    </row>
    <row r="4036" spans="1:2" ht="12.5" x14ac:dyDescent="0.25">
      <c r="A4036" t="str">
        <f ca="1">IFERROR(__xludf.DUMMYFUNCTION("""COMPUTED_VALUE"""),"nitrogen, non protein")</f>
        <v>nitrogen, non protein</v>
      </c>
      <c r="B4036" t="str">
        <f ca="1">IFERROR(__xludf.DUMMYFUNCTION("""COMPUTED_VALUE"""),"RF-00000351-NTR")</f>
        <v>RF-00000351-NTR</v>
      </c>
    </row>
    <row r="4037" spans="1:2" ht="12.5" x14ac:dyDescent="0.25">
      <c r="A4037" t="str">
        <f ca="1">IFERROR(__xludf.DUMMYFUNCTION("""COMPUTED_VALUE"""),"Nitroimidazoles (group)")</f>
        <v>Nitroimidazoles (group)</v>
      </c>
      <c r="B4037" t="str">
        <f ca="1">IFERROR(__xludf.DUMMYFUNCTION("""COMPUTED_VALUE"""),"RF-00000499-VET")</f>
        <v>RF-00000499-VET</v>
      </c>
    </row>
    <row r="4038" spans="1:2" ht="12.5" x14ac:dyDescent="0.25">
      <c r="A4038" t="str">
        <f ca="1">IFERROR(__xludf.DUMMYFUNCTION("""COMPUTED_VALUE"""),"Nitroimidazoles and Nitrofurans")</f>
        <v>Nitroimidazoles and Nitrofurans</v>
      </c>
      <c r="B4038" t="str">
        <f ca="1">IFERROR(__xludf.DUMMYFUNCTION("""COMPUTED_VALUE"""),"RF-00000750-VET")</f>
        <v>RF-00000750-VET</v>
      </c>
    </row>
    <row r="4039" spans="1:2" ht="12.5" x14ac:dyDescent="0.25">
      <c r="A4039" t="str">
        <f ca="1">IFERROR(__xludf.DUMMYFUNCTION("""COMPUTED_VALUE"""),"Nitromide")</f>
        <v>Nitromide</v>
      </c>
      <c r="B4039" t="str">
        <f ca="1">IFERROR(__xludf.DUMMYFUNCTION("""COMPUTED_VALUE"""),"RF-00000060-VET")</f>
        <v>RF-00000060-VET</v>
      </c>
    </row>
    <row r="4040" spans="1:2" ht="12.5" x14ac:dyDescent="0.25">
      <c r="A4040" t="str">
        <f ca="1">IFERROR(__xludf.DUMMYFUNCTION("""COMPUTED_VALUE"""),"nitrosamines, total")</f>
        <v>nitrosamines, total</v>
      </c>
      <c r="B4040" t="str">
        <f ca="1">IFERROR(__xludf.DUMMYFUNCTION("""COMPUTED_VALUE"""),"RF-00000352-NTR")</f>
        <v>RF-00000352-NTR</v>
      </c>
    </row>
    <row r="4041" spans="1:2" ht="12.5" x14ac:dyDescent="0.25">
      <c r="A4041" t="str">
        <f ca="1">IFERROR(__xludf.DUMMYFUNCTION("""COMPUTED_VALUE"""),"Nitrothal-Isopropyl")</f>
        <v>Nitrothal-Isopropyl</v>
      </c>
      <c r="B4041" t="str">
        <f ca="1">IFERROR(__xludf.DUMMYFUNCTION("""COMPUTED_VALUE"""),"RF-0815-001-PPP")</f>
        <v>RF-0815-001-PPP</v>
      </c>
    </row>
    <row r="4042" spans="1:2" ht="12.5" x14ac:dyDescent="0.25">
      <c r="A4042" t="str">
        <f ca="1">IFERROR(__xludf.DUMMYFUNCTION("""COMPUTED_VALUE"""),"Nitrous oxide")</f>
        <v>Nitrous oxide</v>
      </c>
      <c r="B4042" t="str">
        <f ca="1">IFERROR(__xludf.DUMMYFUNCTION("""COMPUTED_VALUE"""),"RF-00000203-ADD")</f>
        <v>RF-00000203-ADD</v>
      </c>
    </row>
    <row r="4043" spans="1:2" ht="12.5" x14ac:dyDescent="0.25">
      <c r="A4043" t="str">
        <f ca="1">IFERROR(__xludf.DUMMYFUNCTION("""COMPUTED_VALUE"""),"Nitrovin")</f>
        <v>Nitrovin</v>
      </c>
      <c r="B4043" t="str">
        <f ca="1">IFERROR(__xludf.DUMMYFUNCTION("""COMPUTED_VALUE"""),"RF-00000509-VET")</f>
        <v>RF-00000509-VET</v>
      </c>
    </row>
    <row r="4044" spans="1:2" ht="12.5" x14ac:dyDescent="0.25">
      <c r="A4044" t="str">
        <f ca="1">IFERROR(__xludf.DUMMYFUNCTION("""COMPUTED_VALUE"""),"Nitroxinil")</f>
        <v>Nitroxinil</v>
      </c>
      <c r="B4044" t="str">
        <f ca="1">IFERROR(__xludf.DUMMYFUNCTION("""COMPUTED_VALUE"""),"RF-00000026-VET")</f>
        <v>RF-00000026-VET</v>
      </c>
    </row>
    <row r="4045" spans="1:2" ht="12.5" x14ac:dyDescent="0.25">
      <c r="A4045" t="str">
        <f ca="1">IFERROR(__xludf.DUMMYFUNCTION("""COMPUTED_VALUE"""),"Nivalenol")</f>
        <v>Nivalenol</v>
      </c>
      <c r="B4045" t="str">
        <f ca="1">IFERROR(__xludf.DUMMYFUNCTION("""COMPUTED_VALUE"""),"RF-00000166-TOX")</f>
        <v>RF-00000166-TOX</v>
      </c>
    </row>
    <row r="4046" spans="1:2" ht="12.5" x14ac:dyDescent="0.25">
      <c r="A4046" t="str">
        <f ca="1">IFERROR(__xludf.DUMMYFUNCTION("""COMPUTED_VALUE"""),"Non-dioxin-like PCBs")</f>
        <v>Non-dioxin-like PCBs</v>
      </c>
      <c r="B4046" t="str">
        <f ca="1">IFERROR(__xludf.DUMMYFUNCTION("""COMPUTED_VALUE"""),"RF-00000130-ORG")</f>
        <v>RF-00000130-ORG</v>
      </c>
    </row>
    <row r="4047" spans="1:2" ht="12.5" x14ac:dyDescent="0.25">
      <c r="A4047" t="str">
        <f ca="1">IFERROR(__xludf.DUMMYFUNCTION("""COMPUTED_VALUE"""),"Non-ortho substituted PCBs")</f>
        <v>Non-ortho substituted PCBs</v>
      </c>
      <c r="B4047" t="str">
        <f ca="1">IFERROR(__xludf.DUMMYFUNCTION("""COMPUTED_VALUE"""),"RF-00000125-ORG")</f>
        <v>RF-00000125-ORG</v>
      </c>
    </row>
    <row r="4048" spans="1:2" ht="12.5" x14ac:dyDescent="0.25">
      <c r="A4048" t="str">
        <f ca="1">IFERROR(__xludf.DUMMYFUNCTION("""COMPUTED_VALUE"""),"Non-protein nitrogen")</f>
        <v>Non-protein nitrogen</v>
      </c>
      <c r="B4048" t="str">
        <f ca="1">IFERROR(__xludf.DUMMYFUNCTION("""COMPUTED_VALUE"""),"RF-00000102-CHE")</f>
        <v>RF-00000102-CHE</v>
      </c>
    </row>
    <row r="4049" spans="1:2" ht="12.5" x14ac:dyDescent="0.25">
      <c r="A4049" t="str">
        <f ca="1">IFERROR(__xludf.DUMMYFUNCTION("""COMPUTED_VALUE"""),"non-starch polysaccharides")</f>
        <v>non-starch polysaccharides</v>
      </c>
      <c r="B4049" t="str">
        <f ca="1">IFERROR(__xludf.DUMMYFUNCTION("""COMPUTED_VALUE"""),"RF-00000353-NTR")</f>
        <v>RF-00000353-NTR</v>
      </c>
    </row>
    <row r="4050" spans="1:2" ht="12.5" x14ac:dyDescent="0.25">
      <c r="A4050" t="str">
        <f ca="1">IFERROR(__xludf.DUMMYFUNCTION("""COMPUTED_VALUE"""),"Non-steroidal anti-inflamatory drugs")</f>
        <v>Non-steroidal anti-inflamatory drugs</v>
      </c>
      <c r="B4050" t="str">
        <f ca="1">IFERROR(__xludf.DUMMYFUNCTION("""COMPUTED_VALUE"""),"RF-00000194-VET")</f>
        <v>RF-00000194-VET</v>
      </c>
    </row>
    <row r="4051" spans="1:2" ht="12.5" x14ac:dyDescent="0.25">
      <c r="A4051" t="str">
        <f ca="1">IFERROR(__xludf.DUMMYFUNCTION("""COMPUTED_VALUE"""),"Nonachlor")</f>
        <v>Nonachlor</v>
      </c>
      <c r="B4051" t="str">
        <f ca="1">IFERROR(__xludf.DUMMYFUNCTION("""COMPUTED_VALUE"""),"RF-0979-001-PPP")</f>
        <v>RF-0979-001-PPP</v>
      </c>
    </row>
    <row r="4052" spans="1:2" ht="12.5" x14ac:dyDescent="0.25">
      <c r="A4052" t="str">
        <f ca="1">IFERROR(__xludf.DUMMYFUNCTION("""COMPUTED_VALUE"""),"Nonachlor-Cis")</f>
        <v>Nonachlor-Cis</v>
      </c>
      <c r="B4052" t="str">
        <f ca="1">IFERROR(__xludf.DUMMYFUNCTION("""COMPUTED_VALUE"""),"RF-1008-001-PPP")</f>
        <v>RF-1008-001-PPP</v>
      </c>
    </row>
    <row r="4053" spans="1:2" ht="12.5" x14ac:dyDescent="0.25">
      <c r="A4053" t="str">
        <f ca="1">IFERROR(__xludf.DUMMYFUNCTION("""COMPUTED_VALUE"""),"Nonachlor-Trans")</f>
        <v>Nonachlor-Trans</v>
      </c>
      <c r="B4053" t="str">
        <f ca="1">IFERROR(__xludf.DUMMYFUNCTION("""COMPUTED_VALUE"""),"RF-0999-001-PPP")</f>
        <v>RF-0999-001-PPP</v>
      </c>
    </row>
    <row r="4054" spans="1:2" ht="12.5" x14ac:dyDescent="0.25">
      <c r="A4054" t="str">
        <f ca="1">IFERROR(__xludf.DUMMYFUNCTION("""COMPUTED_VALUE"""),"Nonachlorobornane")</f>
        <v>Nonachlorobornane</v>
      </c>
      <c r="B4054" t="str">
        <f ca="1">IFERROR(__xludf.DUMMYFUNCTION("""COMPUTED_VALUE"""),"RF-1000-001-PPP")</f>
        <v>RF-1000-001-PPP</v>
      </c>
    </row>
    <row r="4055" spans="1:2" ht="12.5" x14ac:dyDescent="0.25">
      <c r="A4055" t="str">
        <f ca="1">IFERROR(__xludf.DUMMYFUNCTION("""COMPUTED_VALUE"""),"Norandrostane-3-Beta-17-Diol")</f>
        <v>Norandrostane-3-Beta-17-Diol</v>
      </c>
      <c r="B4055" t="str">
        <f ca="1">IFERROR(__xludf.DUMMYFUNCTION("""COMPUTED_VALUE"""),"RF-00000431-VET")</f>
        <v>RF-00000431-VET</v>
      </c>
    </row>
    <row r="4056" spans="1:2" ht="12.5" x14ac:dyDescent="0.25">
      <c r="A4056" t="str">
        <f ca="1">IFERROR(__xludf.DUMMYFUNCTION("""COMPUTED_VALUE"""),"Norandrostendion")</f>
        <v>Norandrostendion</v>
      </c>
      <c r="B4056" t="str">
        <f ca="1">IFERROR(__xludf.DUMMYFUNCTION("""COMPUTED_VALUE"""),"RF-00000436-VET")</f>
        <v>RF-00000436-VET</v>
      </c>
    </row>
    <row r="4057" spans="1:2" ht="12.5" x14ac:dyDescent="0.25">
      <c r="A4057" t="str">
        <f ca="1">IFERROR(__xludf.DUMMYFUNCTION("""COMPUTED_VALUE"""),"Nordazepam")</f>
        <v>Nordazepam</v>
      </c>
      <c r="B4057" t="str">
        <f ca="1">IFERROR(__xludf.DUMMYFUNCTION("""COMPUTED_VALUE"""),"RF-00000190-VET")</f>
        <v>RF-00000190-VET</v>
      </c>
    </row>
    <row r="4058" spans="1:2" ht="12.5" x14ac:dyDescent="0.25">
      <c r="A4058" t="str">
        <f ca="1">IFERROR(__xludf.DUMMYFUNCTION("""COMPUTED_VALUE"""),"Norethandrolon")</f>
        <v>Norethandrolon</v>
      </c>
      <c r="B4058" t="str">
        <f ca="1">IFERROR(__xludf.DUMMYFUNCTION("""COMPUTED_VALUE"""),"RF-00000429-VET")</f>
        <v>RF-00000429-VET</v>
      </c>
    </row>
    <row r="4059" spans="1:2" ht="12.5" x14ac:dyDescent="0.25">
      <c r="A4059" t="str">
        <f ca="1">IFERROR(__xludf.DUMMYFUNCTION("""COMPUTED_VALUE"""),"Norethandrone")</f>
        <v>Norethandrone</v>
      </c>
      <c r="B4059" t="str">
        <f ca="1">IFERROR(__xludf.DUMMYFUNCTION("""COMPUTED_VALUE"""),"RF-00000440-VET")</f>
        <v>RF-00000440-VET</v>
      </c>
    </row>
    <row r="4060" spans="1:2" ht="12.5" x14ac:dyDescent="0.25">
      <c r="A4060" t="str">
        <f ca="1">IFERROR(__xludf.DUMMYFUNCTION("""COMPUTED_VALUE"""),"Norethindrone (Norethisteron)")</f>
        <v>Norethindrone (Norethisteron)</v>
      </c>
      <c r="B4060" t="str">
        <f ca="1">IFERROR(__xludf.DUMMYFUNCTION("""COMPUTED_VALUE"""),"RF-00000445-VET")</f>
        <v>RF-00000445-VET</v>
      </c>
    </row>
    <row r="4061" spans="1:2" ht="12.5" x14ac:dyDescent="0.25">
      <c r="A4061" t="str">
        <f ca="1">IFERROR(__xludf.DUMMYFUNCTION("""COMPUTED_VALUE"""),"Norethindroneacetate (Norethisteronacetate)")</f>
        <v>Norethindroneacetate (Norethisteronacetate)</v>
      </c>
      <c r="B4061" t="str">
        <f ca="1">IFERROR(__xludf.DUMMYFUNCTION("""COMPUTED_VALUE"""),"RF-00000403-VET")</f>
        <v>RF-00000403-VET</v>
      </c>
    </row>
    <row r="4062" spans="1:2" ht="12.5" x14ac:dyDescent="0.25">
      <c r="A4062" t="str">
        <f ca="1">IFERROR(__xludf.DUMMYFUNCTION("""COMPUTED_VALUE"""),"Norethynodrel")</f>
        <v>Norethynodrel</v>
      </c>
      <c r="B4062" t="str">
        <f ca="1">IFERROR(__xludf.DUMMYFUNCTION("""COMPUTED_VALUE"""),"RF-00000359-VET")</f>
        <v>RF-00000359-VET</v>
      </c>
    </row>
    <row r="4063" spans="1:2" ht="12.5" x14ac:dyDescent="0.25">
      <c r="A4063" t="str">
        <f ca="1">IFERROR(__xludf.DUMMYFUNCTION("""COMPUTED_VALUE"""),"Norfloxacin")</f>
        <v>Norfloxacin</v>
      </c>
      <c r="B4063" t="str">
        <f ca="1">IFERROR(__xludf.DUMMYFUNCTION("""COMPUTED_VALUE"""),"RF-00000597-VET")</f>
        <v>RF-00000597-VET</v>
      </c>
    </row>
    <row r="4064" spans="1:2" ht="12.5" x14ac:dyDescent="0.25">
      <c r="A4064" t="str">
        <f ca="1">IFERROR(__xludf.DUMMYFUNCTION("""COMPUTED_VALUE"""),"Norflurazon")</f>
        <v>Norflurazon</v>
      </c>
      <c r="B4064" t="str">
        <f ca="1">IFERROR(__xludf.DUMMYFUNCTION("""COMPUTED_VALUE"""),"RF-0312-001-PPP")</f>
        <v>RF-0312-001-PPP</v>
      </c>
    </row>
    <row r="4065" spans="1:2" ht="12.5" x14ac:dyDescent="0.25">
      <c r="A4065" t="str">
        <f ca="1">IFERROR(__xludf.DUMMYFUNCTION("""COMPUTED_VALUE"""),"Norflurazon-Desmethyl")</f>
        <v>Norflurazon-Desmethyl</v>
      </c>
      <c r="B4065" t="str">
        <f ca="1">IFERROR(__xludf.DUMMYFUNCTION("""COMPUTED_VALUE"""),"RF-0816-001-PPP")</f>
        <v>RF-0816-001-PPP</v>
      </c>
    </row>
    <row r="4066" spans="1:2" ht="12.5" x14ac:dyDescent="0.25">
      <c r="A4066" t="str">
        <f ca="1">IFERROR(__xludf.DUMMYFUNCTION("""COMPUTED_VALUE"""),"Norgestomet")</f>
        <v>Norgestomet</v>
      </c>
      <c r="B4066" t="str">
        <f ca="1">IFERROR(__xludf.DUMMYFUNCTION("""COMPUTED_VALUE"""),"RF-00000369-VET")</f>
        <v>RF-00000369-VET</v>
      </c>
    </row>
    <row r="4067" spans="1:2" ht="12.5" x14ac:dyDescent="0.25">
      <c r="A4067" t="str">
        <f ca="1">IFERROR(__xludf.DUMMYFUNCTION("""COMPUTED_VALUE"""),"Norgestrel")</f>
        <v>Norgestrel</v>
      </c>
      <c r="B4067" t="str">
        <f ca="1">IFERROR(__xludf.DUMMYFUNCTION("""COMPUTED_VALUE"""),"RF-00000405-VET")</f>
        <v>RF-00000405-VET</v>
      </c>
    </row>
    <row r="4068" spans="1:2" ht="12.5" x14ac:dyDescent="0.25">
      <c r="A4068" t="str">
        <f ca="1">IFERROR(__xludf.DUMMYFUNCTION("""COMPUTED_VALUE"""),"Normethandrolone")</f>
        <v>Normethandrolone</v>
      </c>
      <c r="B4068" t="str">
        <f ca="1">IFERROR(__xludf.DUMMYFUNCTION("""COMPUTED_VALUE"""),"RF-00000367-VET")</f>
        <v>RF-00000367-VET</v>
      </c>
    </row>
    <row r="4069" spans="1:2" ht="12.5" x14ac:dyDescent="0.25">
      <c r="A4069" t="str">
        <f ca="1">IFERROR(__xludf.DUMMYFUNCTION("""COMPUTED_VALUE"""),"norovirus (Norwalk-like virus)")</f>
        <v>norovirus (Norwalk-like virus)</v>
      </c>
      <c r="B4069" t="str">
        <f ca="1">IFERROR(__xludf.DUMMYFUNCTION("""COMPUTED_VALUE"""),"RF-00000041-MCG")</f>
        <v>RF-00000041-MCG</v>
      </c>
    </row>
    <row r="4070" spans="1:2" ht="12.5" x14ac:dyDescent="0.25">
      <c r="A4070" t="str">
        <f ca="1">IFERROR(__xludf.DUMMYFUNCTION("""COMPUTED_VALUE"""),"Nortestosterone cypionate")</f>
        <v>Nortestosterone cypionate</v>
      </c>
      <c r="B4070" t="str">
        <f ca="1">IFERROR(__xludf.DUMMYFUNCTION("""COMPUTED_VALUE"""),"RF-00000364-VET")</f>
        <v>RF-00000364-VET</v>
      </c>
    </row>
    <row r="4071" spans="1:2" ht="12.5" x14ac:dyDescent="0.25">
      <c r="A4071" t="str">
        <f ca="1">IFERROR(__xludf.DUMMYFUNCTION("""COMPUTED_VALUE"""),"Nortestosterone decanoate")</f>
        <v>Nortestosterone decanoate</v>
      </c>
      <c r="B4071" t="str">
        <f ca="1">IFERROR(__xludf.DUMMYFUNCTION("""COMPUTED_VALUE"""),"RF-00000363-VET")</f>
        <v>RF-00000363-VET</v>
      </c>
    </row>
    <row r="4072" spans="1:2" ht="12.5" x14ac:dyDescent="0.25">
      <c r="A4072" t="str">
        <f ca="1">IFERROR(__xludf.DUMMYFUNCTION("""COMPUTED_VALUE"""),"Nortestosterone laurate")</f>
        <v>Nortestosterone laurate</v>
      </c>
      <c r="B4072" t="str">
        <f ca="1">IFERROR(__xludf.DUMMYFUNCTION("""COMPUTED_VALUE"""),"RF-00000362-VET")</f>
        <v>RF-00000362-VET</v>
      </c>
    </row>
    <row r="4073" spans="1:2" ht="12.5" x14ac:dyDescent="0.25">
      <c r="A4073" t="str">
        <f ca="1">IFERROR(__xludf.DUMMYFUNCTION("""COMPUTED_VALUE"""),"Nortestosterone phenylpropionate")</f>
        <v>Nortestosterone phenylpropionate</v>
      </c>
      <c r="B4073" t="str">
        <f ca="1">IFERROR(__xludf.DUMMYFUNCTION("""COMPUTED_VALUE"""),"RF-00000348-VET")</f>
        <v>RF-00000348-VET</v>
      </c>
    </row>
    <row r="4074" spans="1:2" ht="12.5" x14ac:dyDescent="0.25">
      <c r="A4074" t="str">
        <f ca="1">IFERROR(__xludf.DUMMYFUNCTION("""COMPUTED_VALUE"""),"Noruron")</f>
        <v>Noruron</v>
      </c>
      <c r="B4074" t="str">
        <f ca="1">IFERROR(__xludf.DUMMYFUNCTION("""COMPUTED_VALUE"""),"RF-0817-001-PPP")</f>
        <v>RF-0817-001-PPP</v>
      </c>
    </row>
    <row r="4075" spans="1:2" ht="12.5" x14ac:dyDescent="0.25">
      <c r="A4075" t="str">
        <f ca="1">IFERROR(__xludf.DUMMYFUNCTION("""COMPUTED_VALUE"""),"Norvinisterone")</f>
        <v>Norvinisterone</v>
      </c>
      <c r="B4075" t="str">
        <f ca="1">IFERROR(__xludf.DUMMYFUNCTION("""COMPUTED_VALUE"""),"RF-00000360-VET")</f>
        <v>RF-00000360-VET</v>
      </c>
    </row>
    <row r="4076" spans="1:2" ht="12.5" x14ac:dyDescent="0.25">
      <c r="A4076" t="str">
        <f ca="1">IFERROR(__xludf.DUMMYFUNCTION("""COMPUTED_VALUE"""),"Noscapine")</f>
        <v>Noscapine</v>
      </c>
      <c r="B4076" t="str">
        <f ca="1">IFERROR(__xludf.DUMMYFUNCTION("""COMPUTED_VALUE"""),"RF-00000253-TOX")</f>
        <v>RF-00000253-TOX</v>
      </c>
    </row>
    <row r="4077" spans="1:2" ht="12.5" x14ac:dyDescent="0.25">
      <c r="A4077" t="str">
        <f ca="1">IFERROR(__xludf.DUMMYFUNCTION("""COMPUTED_VALUE"""),"Not in list")</f>
        <v>Not in list</v>
      </c>
      <c r="B4077" t="str">
        <f ca="1">IFERROR(__xludf.DUMMYFUNCTION("""COMPUTED_VALUE"""),"RF-XXXX-XXX-XXX")</f>
        <v>RF-XXXX-XXX-XXX</v>
      </c>
    </row>
    <row r="4078" spans="1:2" ht="12.5" x14ac:dyDescent="0.25">
      <c r="A4078" t="str">
        <f ca="1">IFERROR(__xludf.DUMMYFUNCTION("""COMPUTED_VALUE"""),"Not typeable")</f>
        <v>Not typeable</v>
      </c>
      <c r="B4078" t="str">
        <f ca="1">IFERROR(__xludf.DUMMYFUNCTION("""COMPUTED_VALUE"""),"RF-00000489-MCG")</f>
        <v>RF-00000489-MCG</v>
      </c>
    </row>
    <row r="4079" spans="1:2" ht="12.5" x14ac:dyDescent="0.25">
      <c r="A4079" t="str">
        <f ca="1">IFERROR(__xludf.DUMMYFUNCTION("""COMPUTED_VALUE"""),"Novaluron")</f>
        <v>Novaluron</v>
      </c>
      <c r="B4079" t="str">
        <f ca="1">IFERROR(__xludf.DUMMYFUNCTION("""COMPUTED_VALUE"""),"RF-0313-001-PPP")</f>
        <v>RF-0313-001-PPP</v>
      </c>
    </row>
    <row r="4080" spans="1:2" ht="12.5" x14ac:dyDescent="0.25">
      <c r="A4080" t="str">
        <f ca="1">IFERROR(__xludf.DUMMYFUNCTION("""COMPUTED_VALUE"""),"Noviflumuron")</f>
        <v>Noviflumuron</v>
      </c>
      <c r="B4080" t="str">
        <f ca="1">IFERROR(__xludf.DUMMYFUNCTION("""COMPUTED_VALUE"""),"RF-0818-001-PPP")</f>
        <v>RF-0818-001-PPP</v>
      </c>
    </row>
    <row r="4081" spans="1:2" ht="12.5" x14ac:dyDescent="0.25">
      <c r="A4081" t="str">
        <f ca="1">IFERROR(__xludf.DUMMYFUNCTION("""COMPUTED_VALUE"""),"Novobiocin")</f>
        <v>Novobiocin</v>
      </c>
      <c r="B4081" t="str">
        <f ca="1">IFERROR(__xludf.DUMMYFUNCTION("""COMPUTED_VALUE"""),"RF-00000587-VET")</f>
        <v>RF-00000587-VET</v>
      </c>
    </row>
    <row r="4082" spans="1:2" ht="12.5" x14ac:dyDescent="0.25">
      <c r="A4082" t="str">
        <f ca="1">IFERROR(__xludf.DUMMYFUNCTION("""COMPUTED_VALUE"""),"Nuarimol")</f>
        <v>Nuarimol</v>
      </c>
      <c r="B4082" t="str">
        <f ca="1">IFERROR(__xludf.DUMMYFUNCTION("""COMPUTED_VALUE"""),"RF-0819-001-PPP")</f>
        <v>RF-0819-001-PPP</v>
      </c>
    </row>
    <row r="4083" spans="1:2" ht="12.5" x14ac:dyDescent="0.25">
      <c r="A4083" t="str">
        <f ca="1">IFERROR(__xludf.DUMMYFUNCTION("""COMPUTED_VALUE"""),"Nutrients")</f>
        <v>Nutrients</v>
      </c>
      <c r="B4083" t="str">
        <f ca="1">IFERROR(__xludf.DUMMYFUNCTION("""COMPUTED_VALUE"""),"RF-00000001-NTR")</f>
        <v>RF-00000001-NTR</v>
      </c>
    </row>
    <row r="4084" spans="1:2" ht="12.5" x14ac:dyDescent="0.25">
      <c r="A4084" t="str">
        <f ca="1">IFERROR(__xludf.DUMMYFUNCTION("""COMPUTED_VALUE"""),"O-methylsterigmatocystin")</f>
        <v>O-methylsterigmatocystin</v>
      </c>
      <c r="B4084" t="str">
        <f ca="1">IFERROR(__xludf.DUMMYFUNCTION("""COMPUTED_VALUE"""),"RF-00000196-TOX")</f>
        <v>RF-00000196-TOX</v>
      </c>
    </row>
    <row r="4085" spans="1:2" ht="12.5" x14ac:dyDescent="0.25">
      <c r="A4085" t="str">
        <f ca="1">IFERROR(__xludf.DUMMYFUNCTION("""COMPUTED_VALUE"""),"OCDD")</f>
        <v>OCDD</v>
      </c>
      <c r="B4085" t="str">
        <f ca="1">IFERROR(__xludf.DUMMYFUNCTION("""COMPUTED_VALUE"""),"RF-00000346-ORG")</f>
        <v>RF-00000346-ORG</v>
      </c>
    </row>
    <row r="4086" spans="1:2" ht="12.5" x14ac:dyDescent="0.25">
      <c r="A4086" t="str">
        <f ca="1">IFERROR(__xludf.DUMMYFUNCTION("""COMPUTED_VALUE"""),"OCDF")</f>
        <v>OCDF</v>
      </c>
      <c r="B4086" t="str">
        <f ca="1">IFERROR(__xludf.DUMMYFUNCTION("""COMPUTED_VALUE"""),"RF-00000339-ORG")</f>
        <v>RF-00000339-ORG</v>
      </c>
    </row>
    <row r="4087" spans="1:2" ht="12.5" x14ac:dyDescent="0.25">
      <c r="A4087" t="str">
        <f ca="1">IFERROR(__xludf.DUMMYFUNCTION("""COMPUTED_VALUE"""),"Ochratoxin A")</f>
        <v>Ochratoxin A</v>
      </c>
      <c r="B4087" t="str">
        <f ca="1">IFERROR(__xludf.DUMMYFUNCTION("""COMPUTED_VALUE"""),"RF-00000148-TOX")</f>
        <v>RF-00000148-TOX</v>
      </c>
    </row>
    <row r="4088" spans="1:2" ht="12.5" x14ac:dyDescent="0.25">
      <c r="A4088" t="str">
        <f ca="1">IFERROR(__xludf.DUMMYFUNCTION("""COMPUTED_VALUE"""),"Ochratoxin B")</f>
        <v>Ochratoxin B</v>
      </c>
      <c r="B4088" t="str">
        <f ca="1">IFERROR(__xludf.DUMMYFUNCTION("""COMPUTED_VALUE"""),"RF-00000431-TOX")</f>
        <v>RF-00000431-TOX</v>
      </c>
    </row>
    <row r="4089" spans="1:2" ht="12.5" x14ac:dyDescent="0.25">
      <c r="A4089" t="str">
        <f ca="1">IFERROR(__xludf.DUMMYFUNCTION("""COMPUTED_VALUE"""),"Ochratoxins")</f>
        <v>Ochratoxins</v>
      </c>
      <c r="B4089" t="str">
        <f ca="1">IFERROR(__xludf.DUMMYFUNCTION("""COMPUTED_VALUE"""),"RF-00000430-TOX")</f>
        <v>RF-00000430-TOX</v>
      </c>
    </row>
    <row r="4090" spans="1:2" ht="12.5" x14ac:dyDescent="0.25">
      <c r="A4090" t="str">
        <f ca="1">IFERROR(__xludf.DUMMYFUNCTION("""COMPUTED_VALUE"""),"Octacloroestireno")</f>
        <v>Octacloroestireno</v>
      </c>
      <c r="B4090" t="str">
        <f ca="1">IFERROR(__xludf.DUMMYFUNCTION("""COMPUTED_VALUE"""),"RF-1073-001-PPP")</f>
        <v>RF-1073-001-PPP</v>
      </c>
    </row>
    <row r="4091" spans="1:2" ht="12.5" x14ac:dyDescent="0.25">
      <c r="A4091" t="str">
        <f ca="1">IFERROR(__xludf.DUMMYFUNCTION("""COMPUTED_VALUE"""),"Octhilinone")</f>
        <v>Octhilinone</v>
      </c>
      <c r="B4091" t="str">
        <f ca="1">IFERROR(__xludf.DUMMYFUNCTION("""COMPUTED_VALUE"""),"RF-0820-001-PPP")</f>
        <v>RF-0820-001-PPP</v>
      </c>
    </row>
    <row r="4092" spans="1:2" ht="12.5" x14ac:dyDescent="0.25">
      <c r="A4092" t="str">
        <f ca="1">IFERROR(__xludf.DUMMYFUNCTION("""COMPUTED_VALUE"""),"Octyl gallate")</f>
        <v>Octyl gallate</v>
      </c>
      <c r="B4092" t="str">
        <f ca="1">IFERROR(__xludf.DUMMYFUNCTION("""COMPUTED_VALUE"""),"RF-00000204-ADD")</f>
        <v>RF-00000204-ADD</v>
      </c>
    </row>
    <row r="4093" spans="1:2" ht="12.5" x14ac:dyDescent="0.25">
      <c r="A4093" t="str">
        <f ca="1">IFERROR(__xludf.DUMMYFUNCTION("""COMPUTED_VALUE"""),"Ofloxacin")</f>
        <v>Ofloxacin</v>
      </c>
      <c r="B4093" t="str">
        <f ca="1">IFERROR(__xludf.DUMMYFUNCTION("""COMPUTED_VALUE"""),"RF-00000558-VET")</f>
        <v>RF-00000558-VET</v>
      </c>
    </row>
    <row r="4094" spans="1:2" ht="12.5" x14ac:dyDescent="0.25">
      <c r="A4094" t="str">
        <f ca="1">IFERROR(__xludf.DUMMYFUNCTION("""COMPUTED_VALUE"""),"Ofurace")</f>
        <v>Ofurace</v>
      </c>
      <c r="B4094" t="str">
        <f ca="1">IFERROR(__xludf.DUMMYFUNCTION("""COMPUTED_VALUE"""),"RF-0821-001-PPP")</f>
        <v>RF-0821-001-PPP</v>
      </c>
    </row>
    <row r="4095" spans="1:2" ht="12.5" x14ac:dyDescent="0.25">
      <c r="A4095" t="str">
        <f ca="1">IFERROR(__xludf.DUMMYFUNCTION("""COMPUTED_VALUE"""),"Okadaic acid")</f>
        <v>Okadaic acid</v>
      </c>
      <c r="B4095" t="str">
        <f ca="1">IFERROR(__xludf.DUMMYFUNCTION("""COMPUTED_VALUE"""),"RF-00000065-TOX")</f>
        <v>RF-00000065-TOX</v>
      </c>
    </row>
    <row r="4096" spans="1:2" ht="12.5" x14ac:dyDescent="0.25">
      <c r="A4096" t="str">
        <f ca="1">IFERROR(__xludf.DUMMYFUNCTION("""COMPUTED_VALUE"""),"Okadaic acid group toxins")</f>
        <v>Okadaic acid group toxins</v>
      </c>
      <c r="B4096" t="str">
        <f ca="1">IFERROR(__xludf.DUMMYFUNCTION("""COMPUTED_VALUE"""),"RF-00000064-TOX")</f>
        <v>RF-00000064-TOX</v>
      </c>
    </row>
    <row r="4097" spans="1:2" ht="12.5" x14ac:dyDescent="0.25">
      <c r="A4097" t="str">
        <f ca="1">IFERROR(__xludf.DUMMYFUNCTION("""COMPUTED_VALUE"""),"Olaquindox")</f>
        <v>Olaquindox</v>
      </c>
      <c r="B4097" t="str">
        <f ca="1">IFERROR(__xludf.DUMMYFUNCTION("""COMPUTED_VALUE"""),"RF-00000269-VET")</f>
        <v>RF-00000269-VET</v>
      </c>
    </row>
    <row r="4098" spans="1:2" ht="12.5" x14ac:dyDescent="0.25">
      <c r="A4098" t="str">
        <f ca="1">IFERROR(__xludf.DUMMYFUNCTION("""COMPUTED_VALUE"""),"Oleandomycin")</f>
        <v>Oleandomycin</v>
      </c>
      <c r="B4098" t="str">
        <f ca="1">IFERROR(__xludf.DUMMYFUNCTION("""COMPUTED_VALUE"""),"RF-00000559-VET")</f>
        <v>RF-00000559-VET</v>
      </c>
    </row>
    <row r="4099" spans="1:2" ht="12.5" x14ac:dyDescent="0.25">
      <c r="A4099" t="str">
        <f ca="1">IFERROR(__xludf.DUMMYFUNCTION("""COMPUTED_VALUE"""),"oligosaccharides, available")</f>
        <v>oligosaccharides, available</v>
      </c>
      <c r="B4099" t="str">
        <f ca="1">IFERROR(__xludf.DUMMYFUNCTION("""COMPUTED_VALUE"""),"RF-00000354-NTR")</f>
        <v>RF-00000354-NTR</v>
      </c>
    </row>
    <row r="4100" spans="1:2" ht="12.5" x14ac:dyDescent="0.25">
      <c r="A4100" t="str">
        <f ca="1">IFERROR(__xludf.DUMMYFUNCTION("""COMPUTED_VALUE"""),"Omethoate")</f>
        <v>Omethoate</v>
      </c>
      <c r="B4100" t="str">
        <f ca="1">IFERROR(__xludf.DUMMYFUNCTION("""COMPUTED_VALUE"""),"RF-0139-002-PPP")</f>
        <v>RF-0139-002-PPP</v>
      </c>
    </row>
    <row r="4101" spans="1:2" ht="12.5" x14ac:dyDescent="0.25">
      <c r="A4101" t="str">
        <f ca="1">IFERROR(__xludf.DUMMYFUNCTION("""COMPUTED_VALUE"""),"Onetine")</f>
        <v>Onetine</v>
      </c>
      <c r="B4101" t="str">
        <f ca="1">IFERROR(__xludf.DUMMYFUNCTION("""COMPUTED_VALUE"""),"RF-00000412-TOX")</f>
        <v>RF-00000412-TOX</v>
      </c>
    </row>
    <row r="4102" spans="1:2" ht="12.5" x14ac:dyDescent="0.25">
      <c r="A4102" t="str">
        <f ca="1">IFERROR(__xludf.DUMMYFUNCTION("""COMPUTED_VALUE"""),"Opium alkaloids")</f>
        <v>Opium alkaloids</v>
      </c>
      <c r="B4102" t="str">
        <f ca="1">IFERROR(__xludf.DUMMYFUNCTION("""COMPUTED_VALUE"""),"RF-00000249-TOX")</f>
        <v>RF-00000249-TOX</v>
      </c>
    </row>
    <row r="4103" spans="1:2" ht="12.5" x14ac:dyDescent="0.25">
      <c r="A4103" t="str">
        <f ca="1">IFERROR(__xludf.DUMMYFUNCTION("""COMPUTED_VALUE"""),"Orbencarb")</f>
        <v>Orbencarb</v>
      </c>
      <c r="B4103" t="str">
        <f ca="1">IFERROR(__xludf.DUMMYFUNCTION("""COMPUTED_VALUE"""),"RF-0822-001-PPP")</f>
        <v>RF-0822-001-PPP</v>
      </c>
    </row>
    <row r="4104" spans="1:2" ht="12.5" x14ac:dyDescent="0.25">
      <c r="A4104" t="str">
        <f ca="1">IFERROR(__xludf.DUMMYFUNCTION("""COMPUTED_VALUE"""),"Orbifloxacin")</f>
        <v>Orbifloxacin</v>
      </c>
      <c r="B4104" t="str">
        <f ca="1">IFERROR(__xludf.DUMMYFUNCTION("""COMPUTED_VALUE"""),"RF-00000734-VET")</f>
        <v>RF-00000734-VET</v>
      </c>
    </row>
    <row r="4105" spans="1:2" ht="12.5" x14ac:dyDescent="0.25">
      <c r="A4105" t="str">
        <f ca="1">IFERROR(__xludf.DUMMYFUNCTION("""COMPUTED_VALUE"""),"Orbivirus")</f>
        <v>Orbivirus</v>
      </c>
      <c r="B4105" t="str">
        <f ca="1">IFERROR(__xludf.DUMMYFUNCTION("""COMPUTED_VALUE"""),"RF-00002658-MCG")</f>
        <v>RF-00002658-MCG</v>
      </c>
    </row>
    <row r="4106" spans="1:2" ht="12.5" x14ac:dyDescent="0.25">
      <c r="A4106" t="str">
        <f ca="1">IFERROR(__xludf.DUMMYFUNCTION("""COMPUTED_VALUE"""),"Orbivirus African horse sickness virus")</f>
        <v>Orbivirus African horse sickness virus</v>
      </c>
      <c r="B4106" t="str">
        <f ca="1">IFERROR(__xludf.DUMMYFUNCTION("""COMPUTED_VALUE"""),"RF-00002660-MCG")</f>
        <v>RF-00002660-MCG</v>
      </c>
    </row>
    <row r="4107" spans="1:2" ht="12.5" x14ac:dyDescent="0.25">
      <c r="A4107" t="str">
        <f ca="1">IFERROR(__xludf.DUMMYFUNCTION("""COMPUTED_VALUE"""),"Orbivirus Great Island virus")</f>
        <v>Orbivirus Great Island virus</v>
      </c>
      <c r="B4107" t="str">
        <f ca="1">IFERROR(__xludf.DUMMYFUNCTION("""COMPUTED_VALUE"""),"RF-00003926-MCG")</f>
        <v>RF-00003926-MCG</v>
      </c>
    </row>
    <row r="4108" spans="1:2" ht="12.5" x14ac:dyDescent="0.25">
      <c r="A4108" t="str">
        <f ca="1">IFERROR(__xludf.DUMMYFUNCTION("""COMPUTED_VALUE"""),"Orbivirus spp., unidentified")</f>
        <v>Orbivirus spp., unidentified</v>
      </c>
      <c r="B4108" t="str">
        <f ca="1">IFERROR(__xludf.DUMMYFUNCTION("""COMPUTED_VALUE"""),"RF-00002659-MCG")</f>
        <v>RF-00002659-MCG</v>
      </c>
    </row>
    <row r="4109" spans="1:2" ht="12.5" x14ac:dyDescent="0.25">
      <c r="A4109" t="str">
        <f ca="1">IFERROR(__xludf.DUMMYFUNCTION("""COMPUTED_VALUE"""),"Orciprenalin-3-O-sulfate")</f>
        <v>Orciprenalin-3-O-sulfate</v>
      </c>
      <c r="B4109" t="str">
        <f ca="1">IFERROR(__xludf.DUMMYFUNCTION("""COMPUTED_VALUE"""),"RF-00000477-VET")</f>
        <v>RF-00000477-VET</v>
      </c>
    </row>
    <row r="4110" spans="1:2" ht="12.5" x14ac:dyDescent="0.25">
      <c r="A4110" t="str">
        <f ca="1">IFERROR(__xludf.DUMMYFUNCTION("""COMPUTED_VALUE"""),"organic acids, total")</f>
        <v>organic acids, total</v>
      </c>
      <c r="B4110" t="str">
        <f ca="1">IFERROR(__xludf.DUMMYFUNCTION("""COMPUTED_VALUE"""),"RF-00000355-NTR")</f>
        <v>RF-00000355-NTR</v>
      </c>
    </row>
    <row r="4111" spans="1:2" ht="12.5" x14ac:dyDescent="0.25">
      <c r="A4111" t="str">
        <f ca="1">IFERROR(__xludf.DUMMYFUNCTION("""COMPUTED_VALUE"""),"Organic Arsenic")</f>
        <v>Organic Arsenic</v>
      </c>
      <c r="B4111" t="str">
        <f ca="1">IFERROR(__xludf.DUMMYFUNCTION("""COMPUTED_VALUE"""),"RF-00000132-CHE")</f>
        <v>RF-00000132-CHE</v>
      </c>
    </row>
    <row r="4112" spans="1:2" ht="12.5" x14ac:dyDescent="0.25">
      <c r="A4112" t="str">
        <f ca="1">IFERROR(__xludf.DUMMYFUNCTION("""COMPUTED_VALUE"""),"Organic Chromium")</f>
        <v>Organic Chromium</v>
      </c>
      <c r="B4112" t="str">
        <f ca="1">IFERROR(__xludf.DUMMYFUNCTION("""COMPUTED_VALUE"""),"RF-00000153-CHE")</f>
        <v>RF-00000153-CHE</v>
      </c>
    </row>
    <row r="4113" spans="1:2" ht="12.5" x14ac:dyDescent="0.25">
      <c r="A4113" t="str">
        <f ca="1">IFERROR(__xludf.DUMMYFUNCTION("""COMPUTED_VALUE"""),"Organic contaminants")</f>
        <v>Organic contaminants</v>
      </c>
      <c r="B4113" t="str">
        <f ca="1">IFERROR(__xludf.DUMMYFUNCTION("""COMPUTED_VALUE"""),"RF-00000001-ORG")</f>
        <v>RF-00000001-ORG</v>
      </c>
    </row>
    <row r="4114" spans="1:2" ht="12.5" x14ac:dyDescent="0.25">
      <c r="A4114" t="str">
        <f ca="1">IFERROR(__xludf.DUMMYFUNCTION("""COMPUTED_VALUE"""),"Organic Nitrogen")</f>
        <v>Organic Nitrogen</v>
      </c>
      <c r="B4114" t="str">
        <f ca="1">IFERROR(__xludf.DUMMYFUNCTION("""COMPUTED_VALUE"""),"RF-00000088-CHE")</f>
        <v>RF-00000088-CHE</v>
      </c>
    </row>
    <row r="4115" spans="1:2" ht="12.5" x14ac:dyDescent="0.25">
      <c r="A4115" t="str">
        <f ca="1">IFERROR(__xludf.DUMMYFUNCTION("""COMPUTED_VALUE"""),"Organic Selenium")</f>
        <v>Organic Selenium</v>
      </c>
      <c r="B4115" t="str">
        <f ca="1">IFERROR(__xludf.DUMMYFUNCTION("""COMPUTED_VALUE"""),"RF-00000185-CHE")</f>
        <v>RF-00000185-CHE</v>
      </c>
    </row>
    <row r="4116" spans="1:2" ht="12.5" x14ac:dyDescent="0.25">
      <c r="A4116" t="str">
        <f ca="1">IFERROR(__xludf.DUMMYFUNCTION("""COMPUTED_VALUE"""),"Organic tin")</f>
        <v>Organic tin</v>
      </c>
      <c r="B4116" t="str">
        <f ca="1">IFERROR(__xludf.DUMMYFUNCTION("""COMPUTED_VALUE"""),"RF-00000266-CHE")</f>
        <v>RF-00000266-CHE</v>
      </c>
    </row>
    <row r="4117" spans="1:2" ht="12.5" x14ac:dyDescent="0.25">
      <c r="A4117" t="str">
        <f ca="1">IFERROR(__xludf.DUMMYFUNCTION("""COMPUTED_VALUE"""),"Organochlorine compounds")</f>
        <v>Organochlorine compounds</v>
      </c>
      <c r="B4117" t="str">
        <f ca="1">IFERROR(__xludf.DUMMYFUNCTION("""COMPUTED_VALUE"""),"RF-00000004-PAR")</f>
        <v>RF-00000004-PAR</v>
      </c>
    </row>
    <row r="4118" spans="1:2" ht="12.5" x14ac:dyDescent="0.25">
      <c r="A4118" t="str">
        <f ca="1">IFERROR(__xludf.DUMMYFUNCTION("""COMPUTED_VALUE"""),"Ornidazole")</f>
        <v>Ornidazole</v>
      </c>
      <c r="B4118" t="str">
        <f ca="1">IFERROR(__xludf.DUMMYFUNCTION("""COMPUTED_VALUE"""),"RF-00000070-VET")</f>
        <v>RF-00000070-VET</v>
      </c>
    </row>
    <row r="4119" spans="1:2" ht="12.5" x14ac:dyDescent="0.25">
      <c r="A4119" t="str">
        <f ca="1">IFERROR(__xludf.DUMMYFUNCTION("""COMPUTED_VALUE"""),"Ortho-Cresol")</f>
        <v>Ortho-Cresol</v>
      </c>
      <c r="B4119" t="str">
        <f ca="1">IFERROR(__xludf.DUMMYFUNCTION("""COMPUTED_VALUE"""),"RF-00000032-ORG")</f>
        <v>RF-00000032-ORG</v>
      </c>
    </row>
    <row r="4120" spans="1:2" ht="12.5" x14ac:dyDescent="0.25">
      <c r="A4120" t="str">
        <f ca="1">IFERROR(__xludf.DUMMYFUNCTION("""COMPUTED_VALUE"""),"Orthobunyavirus")</f>
        <v>Orthobunyavirus</v>
      </c>
      <c r="B4120" t="str">
        <f ca="1">IFERROR(__xludf.DUMMYFUNCTION("""COMPUTED_VALUE"""),"RF-00002650-MCG")</f>
        <v>RF-00002650-MCG</v>
      </c>
    </row>
    <row r="4121" spans="1:2" ht="12.5" x14ac:dyDescent="0.25">
      <c r="A4121" t="str">
        <f ca="1">IFERROR(__xludf.DUMMYFUNCTION("""COMPUTED_VALUE"""),"Orthobunyavirus Batai virus")</f>
        <v>Orthobunyavirus Batai virus</v>
      </c>
      <c r="B4121" t="str">
        <f ca="1">IFERROR(__xludf.DUMMYFUNCTION("""COMPUTED_VALUE"""),"RF-00002653-MCG")</f>
        <v>RF-00002653-MCG</v>
      </c>
    </row>
    <row r="4122" spans="1:2" ht="12.5" x14ac:dyDescent="0.25">
      <c r="A4122" t="str">
        <f ca="1">IFERROR(__xludf.DUMMYFUNCTION("""COMPUTED_VALUE"""),"Orthobunyavirus Bhanja virus")</f>
        <v>Orthobunyavirus Bhanja virus</v>
      </c>
      <c r="B4122" t="str">
        <f ca="1">IFERROR(__xludf.DUMMYFUNCTION("""COMPUTED_VALUE"""),"RF-00003924-MCG")</f>
        <v>RF-00003924-MCG</v>
      </c>
    </row>
    <row r="4123" spans="1:2" ht="12.5" x14ac:dyDescent="0.25">
      <c r="A4123" t="str">
        <f ca="1">IFERROR(__xludf.DUMMYFUNCTION("""COMPUTED_VALUE"""),"Orthobunyavirus Inkoo virus")</f>
        <v>Orthobunyavirus Inkoo virus</v>
      </c>
      <c r="B4123" t="str">
        <f ca="1">IFERROR(__xludf.DUMMYFUNCTION("""COMPUTED_VALUE"""),"RF-00002654-MCG")</f>
        <v>RF-00002654-MCG</v>
      </c>
    </row>
    <row r="4124" spans="1:2" ht="12.5" x14ac:dyDescent="0.25">
      <c r="A4124" t="str">
        <f ca="1">IFERROR(__xludf.DUMMYFUNCTION("""COMPUTED_VALUE"""),"Orthobunyavirus spp., unidentified")</f>
        <v>Orthobunyavirus spp., unidentified</v>
      </c>
      <c r="B4124" t="str">
        <f ca="1">IFERROR(__xludf.DUMMYFUNCTION("""COMPUTED_VALUE"""),"RF-00002651-MCG")</f>
        <v>RF-00002651-MCG</v>
      </c>
    </row>
    <row r="4125" spans="1:2" ht="12.5" x14ac:dyDescent="0.25">
      <c r="A4125" t="str">
        <f ca="1">IFERROR(__xludf.DUMMYFUNCTION("""COMPUTED_VALUE"""),"Orthobunyavirus Tahyna virus")</f>
        <v>Orthobunyavirus Tahyna virus</v>
      </c>
      <c r="B4125" t="str">
        <f ca="1">IFERROR(__xludf.DUMMYFUNCTION("""COMPUTED_VALUE"""),"RF-00002652-MCG")</f>
        <v>RF-00002652-MCG</v>
      </c>
    </row>
    <row r="4126" spans="1:2" ht="12.5" x14ac:dyDescent="0.25">
      <c r="A4126" t="str">
        <f ca="1">IFERROR(__xludf.DUMMYFUNCTION("""COMPUTED_VALUE"""),"Orthosomycins")</f>
        <v>Orthosomycins</v>
      </c>
      <c r="B4126" t="str">
        <f ca="1">IFERROR(__xludf.DUMMYFUNCTION("""COMPUTED_VALUE"""),"RF-00000755-VET")</f>
        <v>RF-00000755-VET</v>
      </c>
    </row>
    <row r="4127" spans="1:2" ht="12.5" x14ac:dyDescent="0.25">
      <c r="A4127" t="str">
        <f ca="1">IFERROR(__xludf.DUMMYFUNCTION("""COMPUTED_VALUE"""),"Orthosulfamuron")</f>
        <v>Orthosulfamuron</v>
      </c>
      <c r="B4127" t="str">
        <f ca="1">IFERROR(__xludf.DUMMYFUNCTION("""COMPUTED_VALUE"""),"RF-0315-001-PPP")</f>
        <v>RF-0315-001-PPP</v>
      </c>
    </row>
    <row r="4128" spans="1:2" ht="12.5" x14ac:dyDescent="0.25">
      <c r="A4128" t="str">
        <f ca="1">IFERROR(__xludf.DUMMYFUNCTION("""COMPUTED_VALUE"""),"Orto-phosphate")</f>
        <v>Orto-phosphate</v>
      </c>
      <c r="B4128" t="str">
        <f ca="1">IFERROR(__xludf.DUMMYFUNCTION("""COMPUTED_VALUE"""),"RF-00000032-CHE")</f>
        <v>RF-00000032-CHE</v>
      </c>
    </row>
    <row r="4129" spans="1:2" ht="12.5" x14ac:dyDescent="0.25">
      <c r="A4129" t="str">
        <f ca="1">IFERROR(__xludf.DUMMYFUNCTION("""COMPUTED_VALUE"""),"Oryzalin")</f>
        <v>Oryzalin</v>
      </c>
      <c r="B4129" t="str">
        <f ca="1">IFERROR(__xludf.DUMMYFUNCTION("""COMPUTED_VALUE"""),"RF-0316-001-PPP")</f>
        <v>RF-0316-001-PPP</v>
      </c>
    </row>
    <row r="4130" spans="1:2" ht="12.5" x14ac:dyDescent="0.25">
      <c r="A4130" t="str">
        <f ca="1">IFERROR(__xludf.DUMMYFUNCTION("""COMPUTED_VALUE"""),"Ostreocin-D")</f>
        <v>Ostreocin-D</v>
      </c>
      <c r="B4130" t="str">
        <f ca="1">IFERROR(__xludf.DUMMYFUNCTION("""COMPUTED_VALUE"""),"RF-00000071-TOX")</f>
        <v>RF-00000071-TOX</v>
      </c>
    </row>
    <row r="4131" spans="1:2" ht="12.5" x14ac:dyDescent="0.25">
      <c r="A4131" t="str">
        <f ca="1">IFERROR(__xludf.DUMMYFUNCTION("""COMPUTED_VALUE"""),"Other")</f>
        <v>Other</v>
      </c>
      <c r="B4131" t="str">
        <f ca="1">IFERROR(__xludf.DUMMYFUNCTION("""COMPUTED_VALUE"""),"Other")</f>
        <v>Other</v>
      </c>
    </row>
    <row r="4132" spans="1:2" ht="12.5" x14ac:dyDescent="0.25">
      <c r="A4132" t="str">
        <f ca="1">IFERROR(__xludf.DUMMYFUNCTION("""COMPUTED_VALUE"""),"Other Brominated flame retardant (BFR)")</f>
        <v>Other Brominated flame retardant (BFR)</v>
      </c>
      <c r="B4132" t="str">
        <f ca="1">IFERROR(__xludf.DUMMYFUNCTION("""COMPUTED_VALUE"""),"RF-00000081-ORG")</f>
        <v>RF-00000081-ORG</v>
      </c>
    </row>
    <row r="4133" spans="1:2" ht="12.5" x14ac:dyDescent="0.25">
      <c r="A4133" t="str">
        <f ca="1">IFERROR(__xludf.DUMMYFUNCTION("""COMPUTED_VALUE"""),"Other pharmacologically active substances")</f>
        <v>Other pharmacologically active substances</v>
      </c>
      <c r="B4133" t="str">
        <f ca="1">IFERROR(__xludf.DUMMYFUNCTION("""COMPUTED_VALUE"""),"RF-00000243-VET")</f>
        <v>RF-00000243-VET</v>
      </c>
    </row>
    <row r="4134" spans="1:2" ht="12.5" x14ac:dyDescent="0.25">
      <c r="A4134" t="str">
        <f ca="1">IFERROR(__xludf.DUMMYFUNCTION("""COMPUTED_VALUE"""),"Other serotypes")</f>
        <v>Other serotypes</v>
      </c>
      <c r="B4134" t="str">
        <f ca="1">IFERROR(__xludf.DUMMYFUNCTION("""COMPUTED_VALUE"""),"RF-00000488-MCG")</f>
        <v>RF-00000488-MCG</v>
      </c>
    </row>
    <row r="4135" spans="1:2" ht="12.5" x14ac:dyDescent="0.25">
      <c r="A4135" t="str">
        <f ca="1">IFERROR(__xludf.DUMMYFUNCTION("""COMPUTED_VALUE"""),"Otosenine")</f>
        <v>Otosenine</v>
      </c>
      <c r="B4135" t="str">
        <f ca="1">IFERROR(__xludf.DUMMYFUNCTION("""COMPUTED_VALUE"""),"RF-00000292-TOX")</f>
        <v>RF-00000292-TOX</v>
      </c>
    </row>
    <row r="4136" spans="1:2" ht="12.5" x14ac:dyDescent="0.25">
      <c r="A4136" t="str">
        <f ca="1">IFERROR(__xludf.DUMMYFUNCTION("""COMPUTED_VALUE"""),"Ovatoxin A")</f>
        <v>Ovatoxin A</v>
      </c>
      <c r="B4136" t="str">
        <f ca="1">IFERROR(__xludf.DUMMYFUNCTION("""COMPUTED_VALUE"""),"RF-00000072-TOX")</f>
        <v>RF-00000072-TOX</v>
      </c>
    </row>
    <row r="4137" spans="1:2" ht="12.5" x14ac:dyDescent="0.25">
      <c r="A4137" t="str">
        <f ca="1">IFERROR(__xludf.DUMMYFUNCTION("""COMPUTED_VALUE"""),"OXA")</f>
        <v>OXA</v>
      </c>
      <c r="B4137" t="str">
        <f ca="1">IFERROR(__xludf.DUMMYFUNCTION("""COMPUTED_VALUE"""),"RF-00000972-PAR")</f>
        <v>RF-00000972-PAR</v>
      </c>
    </row>
    <row r="4138" spans="1:2" ht="12.5" x14ac:dyDescent="0.25">
      <c r="A4138" t="str">
        <f ca="1">IFERROR(__xludf.DUMMYFUNCTION("""COMPUTED_VALUE"""),"OXA-1")</f>
        <v>OXA-1</v>
      </c>
      <c r="B4138" t="str">
        <f ca="1">IFERROR(__xludf.DUMMYFUNCTION("""COMPUTED_VALUE"""),"RF-00000973-PAR")</f>
        <v>RF-00000973-PAR</v>
      </c>
    </row>
    <row r="4139" spans="1:2" ht="12.5" x14ac:dyDescent="0.25">
      <c r="A4139" t="str">
        <f ca="1">IFERROR(__xludf.DUMMYFUNCTION("""COMPUTED_VALUE"""),"OXA-10")</f>
        <v>OXA-10</v>
      </c>
      <c r="B4139" t="str">
        <f ca="1">IFERROR(__xludf.DUMMYFUNCTION("""COMPUTED_VALUE"""),"RF-00000982-PAR")</f>
        <v>RF-00000982-PAR</v>
      </c>
    </row>
    <row r="4140" spans="1:2" ht="12.5" x14ac:dyDescent="0.25">
      <c r="A4140" t="str">
        <f ca="1">IFERROR(__xludf.DUMMYFUNCTION("""COMPUTED_VALUE"""),"OXA-100")</f>
        <v>OXA-100</v>
      </c>
      <c r="B4140" t="str">
        <f ca="1">IFERROR(__xludf.DUMMYFUNCTION("""COMPUTED_VALUE"""),"RF-00001072-PAR")</f>
        <v>RF-00001072-PAR</v>
      </c>
    </row>
    <row r="4141" spans="1:2" ht="12.5" x14ac:dyDescent="0.25">
      <c r="A4141" t="str">
        <f ca="1">IFERROR(__xludf.DUMMYFUNCTION("""COMPUTED_VALUE"""),"OXA-101")</f>
        <v>OXA-101</v>
      </c>
      <c r="B4141" t="str">
        <f ca="1">IFERROR(__xludf.DUMMYFUNCTION("""COMPUTED_VALUE"""),"RF-00001073-PAR")</f>
        <v>RF-00001073-PAR</v>
      </c>
    </row>
    <row r="4142" spans="1:2" ht="12.5" x14ac:dyDescent="0.25">
      <c r="A4142" t="str">
        <f ca="1">IFERROR(__xludf.DUMMYFUNCTION("""COMPUTED_VALUE"""),"OXA-102")</f>
        <v>OXA-102</v>
      </c>
      <c r="B4142" t="str">
        <f ca="1">IFERROR(__xludf.DUMMYFUNCTION("""COMPUTED_VALUE"""),"RF-00001074-PAR")</f>
        <v>RF-00001074-PAR</v>
      </c>
    </row>
    <row r="4143" spans="1:2" ht="12.5" x14ac:dyDescent="0.25">
      <c r="A4143" t="str">
        <f ca="1">IFERROR(__xludf.DUMMYFUNCTION("""COMPUTED_VALUE"""),"OXA-103")</f>
        <v>OXA-103</v>
      </c>
      <c r="B4143" t="str">
        <f ca="1">IFERROR(__xludf.DUMMYFUNCTION("""COMPUTED_VALUE"""),"RF-00001075-PAR")</f>
        <v>RF-00001075-PAR</v>
      </c>
    </row>
    <row r="4144" spans="1:2" ht="12.5" x14ac:dyDescent="0.25">
      <c r="A4144" t="str">
        <f ca="1">IFERROR(__xludf.DUMMYFUNCTION("""COMPUTED_VALUE"""),"OXA-104")</f>
        <v>OXA-104</v>
      </c>
      <c r="B4144" t="str">
        <f ca="1">IFERROR(__xludf.DUMMYFUNCTION("""COMPUTED_VALUE"""),"RF-00001076-PAR")</f>
        <v>RF-00001076-PAR</v>
      </c>
    </row>
    <row r="4145" spans="1:2" ht="12.5" x14ac:dyDescent="0.25">
      <c r="A4145" t="str">
        <f ca="1">IFERROR(__xludf.DUMMYFUNCTION("""COMPUTED_VALUE"""),"OXA-105")</f>
        <v>OXA-105</v>
      </c>
      <c r="B4145" t="str">
        <f ca="1">IFERROR(__xludf.DUMMYFUNCTION("""COMPUTED_VALUE"""),"RF-00001077-PAR")</f>
        <v>RF-00001077-PAR</v>
      </c>
    </row>
    <row r="4146" spans="1:2" ht="12.5" x14ac:dyDescent="0.25">
      <c r="A4146" t="str">
        <f ca="1">IFERROR(__xludf.DUMMYFUNCTION("""COMPUTED_VALUE"""),"OXA-106")</f>
        <v>OXA-106</v>
      </c>
      <c r="B4146" t="str">
        <f ca="1">IFERROR(__xludf.DUMMYFUNCTION("""COMPUTED_VALUE"""),"RF-00001078-PAR")</f>
        <v>RF-00001078-PAR</v>
      </c>
    </row>
    <row r="4147" spans="1:2" ht="12.5" x14ac:dyDescent="0.25">
      <c r="A4147" t="str">
        <f ca="1">IFERROR(__xludf.DUMMYFUNCTION("""COMPUTED_VALUE"""),"OXA-107")</f>
        <v>OXA-107</v>
      </c>
      <c r="B4147" t="str">
        <f ca="1">IFERROR(__xludf.DUMMYFUNCTION("""COMPUTED_VALUE"""),"RF-00001079-PAR")</f>
        <v>RF-00001079-PAR</v>
      </c>
    </row>
    <row r="4148" spans="1:2" ht="12.5" x14ac:dyDescent="0.25">
      <c r="A4148" t="str">
        <f ca="1">IFERROR(__xludf.DUMMYFUNCTION("""COMPUTED_VALUE"""),"OXA-108")</f>
        <v>OXA-108</v>
      </c>
      <c r="B4148" t="str">
        <f ca="1">IFERROR(__xludf.DUMMYFUNCTION("""COMPUTED_VALUE"""),"RF-00001080-PAR")</f>
        <v>RF-00001080-PAR</v>
      </c>
    </row>
    <row r="4149" spans="1:2" ht="12.5" x14ac:dyDescent="0.25">
      <c r="A4149" t="str">
        <f ca="1">IFERROR(__xludf.DUMMYFUNCTION("""COMPUTED_VALUE"""),"OXA-109")</f>
        <v>OXA-109</v>
      </c>
      <c r="B4149" t="str">
        <f ca="1">IFERROR(__xludf.DUMMYFUNCTION("""COMPUTED_VALUE"""),"RF-00001081-PAR")</f>
        <v>RF-00001081-PAR</v>
      </c>
    </row>
    <row r="4150" spans="1:2" ht="12.5" x14ac:dyDescent="0.25">
      <c r="A4150" t="str">
        <f ca="1">IFERROR(__xludf.DUMMYFUNCTION("""COMPUTED_VALUE"""),"OXA-11")</f>
        <v>OXA-11</v>
      </c>
      <c r="B4150" t="str">
        <f ca="1">IFERROR(__xludf.DUMMYFUNCTION("""COMPUTED_VALUE"""),"RF-00000983-PAR")</f>
        <v>RF-00000983-PAR</v>
      </c>
    </row>
    <row r="4151" spans="1:2" ht="12.5" x14ac:dyDescent="0.25">
      <c r="A4151" t="str">
        <f ca="1">IFERROR(__xludf.DUMMYFUNCTION("""COMPUTED_VALUE"""),"OXA-110")</f>
        <v>OXA-110</v>
      </c>
      <c r="B4151" t="str">
        <f ca="1">IFERROR(__xludf.DUMMYFUNCTION("""COMPUTED_VALUE"""),"RF-00001082-PAR")</f>
        <v>RF-00001082-PAR</v>
      </c>
    </row>
    <row r="4152" spans="1:2" ht="12.5" x14ac:dyDescent="0.25">
      <c r="A4152" t="str">
        <f ca="1">IFERROR(__xludf.DUMMYFUNCTION("""COMPUTED_VALUE"""),"OXA-111")</f>
        <v>OXA-111</v>
      </c>
      <c r="B4152" t="str">
        <f ca="1">IFERROR(__xludf.DUMMYFUNCTION("""COMPUTED_VALUE"""),"RF-00001083-PAR")</f>
        <v>RF-00001083-PAR</v>
      </c>
    </row>
    <row r="4153" spans="1:2" ht="12.5" x14ac:dyDescent="0.25">
      <c r="A4153" t="str">
        <f ca="1">IFERROR(__xludf.DUMMYFUNCTION("""COMPUTED_VALUE"""),"OXA-112")</f>
        <v>OXA-112</v>
      </c>
      <c r="B4153" t="str">
        <f ca="1">IFERROR(__xludf.DUMMYFUNCTION("""COMPUTED_VALUE"""),"RF-00001084-PAR")</f>
        <v>RF-00001084-PAR</v>
      </c>
    </row>
    <row r="4154" spans="1:2" ht="12.5" x14ac:dyDescent="0.25">
      <c r="A4154" t="str">
        <f ca="1">IFERROR(__xludf.DUMMYFUNCTION("""COMPUTED_VALUE"""),"OXA-113")</f>
        <v>OXA-113</v>
      </c>
      <c r="B4154" t="str">
        <f ca="1">IFERROR(__xludf.DUMMYFUNCTION("""COMPUTED_VALUE"""),"RF-00001085-PAR")</f>
        <v>RF-00001085-PAR</v>
      </c>
    </row>
    <row r="4155" spans="1:2" ht="12.5" x14ac:dyDescent="0.25">
      <c r="A4155" t="str">
        <f ca="1">IFERROR(__xludf.DUMMYFUNCTION("""COMPUTED_VALUE"""),"OXA-114")</f>
        <v>OXA-114</v>
      </c>
      <c r="B4155" t="str">
        <f ca="1">IFERROR(__xludf.DUMMYFUNCTION("""COMPUTED_VALUE"""),"RF-00001086-PAR")</f>
        <v>RF-00001086-PAR</v>
      </c>
    </row>
    <row r="4156" spans="1:2" ht="12.5" x14ac:dyDescent="0.25">
      <c r="A4156" t="str">
        <f ca="1">IFERROR(__xludf.DUMMYFUNCTION("""COMPUTED_VALUE"""),"OXA-115")</f>
        <v>OXA-115</v>
      </c>
      <c r="B4156" t="str">
        <f ca="1">IFERROR(__xludf.DUMMYFUNCTION("""COMPUTED_VALUE"""),"RF-00001087-PAR")</f>
        <v>RF-00001087-PAR</v>
      </c>
    </row>
    <row r="4157" spans="1:2" ht="12.5" x14ac:dyDescent="0.25">
      <c r="A4157" t="str">
        <f ca="1">IFERROR(__xludf.DUMMYFUNCTION("""COMPUTED_VALUE"""),"OXA-116")</f>
        <v>OXA-116</v>
      </c>
      <c r="B4157" t="str">
        <f ca="1">IFERROR(__xludf.DUMMYFUNCTION("""COMPUTED_VALUE"""),"RF-00001088-PAR")</f>
        <v>RF-00001088-PAR</v>
      </c>
    </row>
    <row r="4158" spans="1:2" ht="12.5" x14ac:dyDescent="0.25">
      <c r="A4158" t="str">
        <f ca="1">IFERROR(__xludf.DUMMYFUNCTION("""COMPUTED_VALUE"""),"OXA-117")</f>
        <v>OXA-117</v>
      </c>
      <c r="B4158" t="str">
        <f ca="1">IFERROR(__xludf.DUMMYFUNCTION("""COMPUTED_VALUE"""),"RF-00001089-PAR")</f>
        <v>RF-00001089-PAR</v>
      </c>
    </row>
    <row r="4159" spans="1:2" ht="12.5" x14ac:dyDescent="0.25">
      <c r="A4159" t="str">
        <f ca="1">IFERROR(__xludf.DUMMYFUNCTION("""COMPUTED_VALUE"""),"OXA-118")</f>
        <v>OXA-118</v>
      </c>
      <c r="B4159" t="str">
        <f ca="1">IFERROR(__xludf.DUMMYFUNCTION("""COMPUTED_VALUE"""),"RF-00001090-PAR")</f>
        <v>RF-00001090-PAR</v>
      </c>
    </row>
    <row r="4160" spans="1:2" ht="12.5" x14ac:dyDescent="0.25">
      <c r="A4160" t="str">
        <f ca="1">IFERROR(__xludf.DUMMYFUNCTION("""COMPUTED_VALUE"""),"OXA-119")</f>
        <v>OXA-119</v>
      </c>
      <c r="B4160" t="str">
        <f ca="1">IFERROR(__xludf.DUMMYFUNCTION("""COMPUTED_VALUE"""),"RF-00001091-PAR")</f>
        <v>RF-00001091-PAR</v>
      </c>
    </row>
    <row r="4161" spans="1:2" ht="12.5" x14ac:dyDescent="0.25">
      <c r="A4161" t="str">
        <f ca="1">IFERROR(__xludf.DUMMYFUNCTION("""COMPUTED_VALUE"""),"OXA-12")</f>
        <v>OXA-12</v>
      </c>
      <c r="B4161" t="str">
        <f ca="1">IFERROR(__xludf.DUMMYFUNCTION("""COMPUTED_VALUE"""),"RF-00000984-PAR")</f>
        <v>RF-00000984-PAR</v>
      </c>
    </row>
    <row r="4162" spans="1:2" ht="12.5" x14ac:dyDescent="0.25">
      <c r="A4162" t="str">
        <f ca="1">IFERROR(__xludf.DUMMYFUNCTION("""COMPUTED_VALUE"""),"OXA-120")</f>
        <v>OXA-120</v>
      </c>
      <c r="B4162" t="str">
        <f ca="1">IFERROR(__xludf.DUMMYFUNCTION("""COMPUTED_VALUE"""),"RF-00001092-PAR")</f>
        <v>RF-00001092-PAR</v>
      </c>
    </row>
    <row r="4163" spans="1:2" ht="12.5" x14ac:dyDescent="0.25">
      <c r="A4163" t="str">
        <f ca="1">IFERROR(__xludf.DUMMYFUNCTION("""COMPUTED_VALUE"""),"OXA-121")</f>
        <v>OXA-121</v>
      </c>
      <c r="B4163" t="str">
        <f ca="1">IFERROR(__xludf.DUMMYFUNCTION("""COMPUTED_VALUE"""),"RF-00001093-PAR")</f>
        <v>RF-00001093-PAR</v>
      </c>
    </row>
    <row r="4164" spans="1:2" ht="12.5" x14ac:dyDescent="0.25">
      <c r="A4164" t="str">
        <f ca="1">IFERROR(__xludf.DUMMYFUNCTION("""COMPUTED_VALUE"""),"OXA-122")</f>
        <v>OXA-122</v>
      </c>
      <c r="B4164" t="str">
        <f ca="1">IFERROR(__xludf.DUMMYFUNCTION("""COMPUTED_VALUE"""),"RF-00001094-PAR")</f>
        <v>RF-00001094-PAR</v>
      </c>
    </row>
    <row r="4165" spans="1:2" ht="12.5" x14ac:dyDescent="0.25">
      <c r="A4165" t="str">
        <f ca="1">IFERROR(__xludf.DUMMYFUNCTION("""COMPUTED_VALUE"""),"OXA-123")</f>
        <v>OXA-123</v>
      </c>
      <c r="B4165" t="str">
        <f ca="1">IFERROR(__xludf.DUMMYFUNCTION("""COMPUTED_VALUE"""),"RF-00001095-PAR")</f>
        <v>RF-00001095-PAR</v>
      </c>
    </row>
    <row r="4166" spans="1:2" ht="12.5" x14ac:dyDescent="0.25">
      <c r="A4166" t="str">
        <f ca="1">IFERROR(__xludf.DUMMYFUNCTION("""COMPUTED_VALUE"""),"OXA-124")</f>
        <v>OXA-124</v>
      </c>
      <c r="B4166" t="str">
        <f ca="1">IFERROR(__xludf.DUMMYFUNCTION("""COMPUTED_VALUE"""),"RF-00001096-PAR")</f>
        <v>RF-00001096-PAR</v>
      </c>
    </row>
    <row r="4167" spans="1:2" ht="12.5" x14ac:dyDescent="0.25">
      <c r="A4167" t="str">
        <f ca="1">IFERROR(__xludf.DUMMYFUNCTION("""COMPUTED_VALUE"""),"OXA-125")</f>
        <v>OXA-125</v>
      </c>
      <c r="B4167" t="str">
        <f ca="1">IFERROR(__xludf.DUMMYFUNCTION("""COMPUTED_VALUE"""),"RF-00001097-PAR")</f>
        <v>RF-00001097-PAR</v>
      </c>
    </row>
    <row r="4168" spans="1:2" ht="12.5" x14ac:dyDescent="0.25">
      <c r="A4168" t="str">
        <f ca="1">IFERROR(__xludf.DUMMYFUNCTION("""COMPUTED_VALUE"""),"OXA-126")</f>
        <v>OXA-126</v>
      </c>
      <c r="B4168" t="str">
        <f ca="1">IFERROR(__xludf.DUMMYFUNCTION("""COMPUTED_VALUE"""),"RF-00001098-PAR")</f>
        <v>RF-00001098-PAR</v>
      </c>
    </row>
    <row r="4169" spans="1:2" ht="12.5" x14ac:dyDescent="0.25">
      <c r="A4169" t="str">
        <f ca="1">IFERROR(__xludf.DUMMYFUNCTION("""COMPUTED_VALUE"""),"OXA-127")</f>
        <v>OXA-127</v>
      </c>
      <c r="B4169" t="str">
        <f ca="1">IFERROR(__xludf.DUMMYFUNCTION("""COMPUTED_VALUE"""),"RF-00001099-PAR")</f>
        <v>RF-00001099-PAR</v>
      </c>
    </row>
    <row r="4170" spans="1:2" ht="12.5" x14ac:dyDescent="0.25">
      <c r="A4170" t="str">
        <f ca="1">IFERROR(__xludf.DUMMYFUNCTION("""COMPUTED_VALUE"""),"OXA-128")</f>
        <v>OXA-128</v>
      </c>
      <c r="B4170" t="str">
        <f ca="1">IFERROR(__xludf.DUMMYFUNCTION("""COMPUTED_VALUE"""),"RF-00001100-PAR")</f>
        <v>RF-00001100-PAR</v>
      </c>
    </row>
    <row r="4171" spans="1:2" ht="12.5" x14ac:dyDescent="0.25">
      <c r="A4171" t="str">
        <f ca="1">IFERROR(__xludf.DUMMYFUNCTION("""COMPUTED_VALUE"""),"OXA-129")</f>
        <v>OXA-129</v>
      </c>
      <c r="B4171" t="str">
        <f ca="1">IFERROR(__xludf.DUMMYFUNCTION("""COMPUTED_VALUE"""),"RF-00001101-PAR")</f>
        <v>RF-00001101-PAR</v>
      </c>
    </row>
    <row r="4172" spans="1:2" ht="12.5" x14ac:dyDescent="0.25">
      <c r="A4172" t="str">
        <f ca="1">IFERROR(__xludf.DUMMYFUNCTION("""COMPUTED_VALUE"""),"OXA-13")</f>
        <v>OXA-13</v>
      </c>
      <c r="B4172" t="str">
        <f ca="1">IFERROR(__xludf.DUMMYFUNCTION("""COMPUTED_VALUE"""),"RF-00000985-PAR")</f>
        <v>RF-00000985-PAR</v>
      </c>
    </row>
    <row r="4173" spans="1:2" ht="12.5" x14ac:dyDescent="0.25">
      <c r="A4173" t="str">
        <f ca="1">IFERROR(__xludf.DUMMYFUNCTION("""COMPUTED_VALUE"""),"OXA-130")</f>
        <v>OXA-130</v>
      </c>
      <c r="B4173" t="str">
        <f ca="1">IFERROR(__xludf.DUMMYFUNCTION("""COMPUTED_VALUE"""),"RF-00001102-PAR")</f>
        <v>RF-00001102-PAR</v>
      </c>
    </row>
    <row r="4174" spans="1:2" ht="12.5" x14ac:dyDescent="0.25">
      <c r="A4174" t="str">
        <f ca="1">IFERROR(__xludf.DUMMYFUNCTION("""COMPUTED_VALUE"""),"OXA-131")</f>
        <v>OXA-131</v>
      </c>
      <c r="B4174" t="str">
        <f ca="1">IFERROR(__xludf.DUMMYFUNCTION("""COMPUTED_VALUE"""),"RF-00001103-PAR")</f>
        <v>RF-00001103-PAR</v>
      </c>
    </row>
    <row r="4175" spans="1:2" ht="12.5" x14ac:dyDescent="0.25">
      <c r="A4175" t="str">
        <f ca="1">IFERROR(__xludf.DUMMYFUNCTION("""COMPUTED_VALUE"""),"OXA-132")</f>
        <v>OXA-132</v>
      </c>
      <c r="B4175" t="str">
        <f ca="1">IFERROR(__xludf.DUMMYFUNCTION("""COMPUTED_VALUE"""),"RF-00001104-PAR")</f>
        <v>RF-00001104-PAR</v>
      </c>
    </row>
    <row r="4176" spans="1:2" ht="12.5" x14ac:dyDescent="0.25">
      <c r="A4176" t="str">
        <f ca="1">IFERROR(__xludf.DUMMYFUNCTION("""COMPUTED_VALUE"""),"OXA-133")</f>
        <v>OXA-133</v>
      </c>
      <c r="B4176" t="str">
        <f ca="1">IFERROR(__xludf.DUMMYFUNCTION("""COMPUTED_VALUE"""),"RF-00001105-PAR")</f>
        <v>RF-00001105-PAR</v>
      </c>
    </row>
    <row r="4177" spans="1:2" ht="12.5" x14ac:dyDescent="0.25">
      <c r="A4177" t="str">
        <f ca="1">IFERROR(__xludf.DUMMYFUNCTION("""COMPUTED_VALUE"""),"OXA-134")</f>
        <v>OXA-134</v>
      </c>
      <c r="B4177" t="str">
        <f ca="1">IFERROR(__xludf.DUMMYFUNCTION("""COMPUTED_VALUE"""),"RF-00001106-PAR")</f>
        <v>RF-00001106-PAR</v>
      </c>
    </row>
    <row r="4178" spans="1:2" ht="12.5" x14ac:dyDescent="0.25">
      <c r="A4178" t="str">
        <f ca="1">IFERROR(__xludf.DUMMYFUNCTION("""COMPUTED_VALUE"""),"OXA-135")</f>
        <v>OXA-135</v>
      </c>
      <c r="B4178" t="str">
        <f ca="1">IFERROR(__xludf.DUMMYFUNCTION("""COMPUTED_VALUE"""),"RF-00001107-PAR")</f>
        <v>RF-00001107-PAR</v>
      </c>
    </row>
    <row r="4179" spans="1:2" ht="12.5" x14ac:dyDescent="0.25">
      <c r="A4179" t="str">
        <f ca="1">IFERROR(__xludf.DUMMYFUNCTION("""COMPUTED_VALUE"""),"OXA-136")</f>
        <v>OXA-136</v>
      </c>
      <c r="B4179" t="str">
        <f ca="1">IFERROR(__xludf.DUMMYFUNCTION("""COMPUTED_VALUE"""),"RF-00001108-PAR")</f>
        <v>RF-00001108-PAR</v>
      </c>
    </row>
    <row r="4180" spans="1:2" ht="12.5" x14ac:dyDescent="0.25">
      <c r="A4180" t="str">
        <f ca="1">IFERROR(__xludf.DUMMYFUNCTION("""COMPUTED_VALUE"""),"OXA-137")</f>
        <v>OXA-137</v>
      </c>
      <c r="B4180" t="str">
        <f ca="1">IFERROR(__xludf.DUMMYFUNCTION("""COMPUTED_VALUE"""),"RF-00001109-PAR")</f>
        <v>RF-00001109-PAR</v>
      </c>
    </row>
    <row r="4181" spans="1:2" ht="12.5" x14ac:dyDescent="0.25">
      <c r="A4181" t="str">
        <f ca="1">IFERROR(__xludf.DUMMYFUNCTION("""COMPUTED_VALUE"""),"OXA-138")</f>
        <v>OXA-138</v>
      </c>
      <c r="B4181" t="str">
        <f ca="1">IFERROR(__xludf.DUMMYFUNCTION("""COMPUTED_VALUE"""),"RF-00001110-PAR")</f>
        <v>RF-00001110-PAR</v>
      </c>
    </row>
    <row r="4182" spans="1:2" ht="12.5" x14ac:dyDescent="0.25">
      <c r="A4182" t="str">
        <f ca="1">IFERROR(__xludf.DUMMYFUNCTION("""COMPUTED_VALUE"""),"OXA-139")</f>
        <v>OXA-139</v>
      </c>
      <c r="B4182" t="str">
        <f ca="1">IFERROR(__xludf.DUMMYFUNCTION("""COMPUTED_VALUE"""),"RF-00001111-PAR")</f>
        <v>RF-00001111-PAR</v>
      </c>
    </row>
    <row r="4183" spans="1:2" ht="12.5" x14ac:dyDescent="0.25">
      <c r="A4183" t="str">
        <f ca="1">IFERROR(__xludf.DUMMYFUNCTION("""COMPUTED_VALUE"""),"OXA-14")</f>
        <v>OXA-14</v>
      </c>
      <c r="B4183" t="str">
        <f ca="1">IFERROR(__xludf.DUMMYFUNCTION("""COMPUTED_VALUE"""),"RF-00000986-PAR")</f>
        <v>RF-00000986-PAR</v>
      </c>
    </row>
    <row r="4184" spans="1:2" ht="12.5" x14ac:dyDescent="0.25">
      <c r="A4184" t="str">
        <f ca="1">IFERROR(__xludf.DUMMYFUNCTION("""COMPUTED_VALUE"""),"OXA-140")</f>
        <v>OXA-140</v>
      </c>
      <c r="B4184" t="str">
        <f ca="1">IFERROR(__xludf.DUMMYFUNCTION("""COMPUTED_VALUE"""),"RF-00001112-PAR")</f>
        <v>RF-00001112-PAR</v>
      </c>
    </row>
    <row r="4185" spans="1:2" ht="12.5" x14ac:dyDescent="0.25">
      <c r="A4185" t="str">
        <f ca="1">IFERROR(__xludf.DUMMYFUNCTION("""COMPUTED_VALUE"""),"OXA-141")</f>
        <v>OXA-141</v>
      </c>
      <c r="B4185" t="str">
        <f ca="1">IFERROR(__xludf.DUMMYFUNCTION("""COMPUTED_VALUE"""),"RF-00001113-PAR")</f>
        <v>RF-00001113-PAR</v>
      </c>
    </row>
    <row r="4186" spans="1:2" ht="12.5" x14ac:dyDescent="0.25">
      <c r="A4186" t="str">
        <f ca="1">IFERROR(__xludf.DUMMYFUNCTION("""COMPUTED_VALUE"""),"OXA-142")</f>
        <v>OXA-142</v>
      </c>
      <c r="B4186" t="str">
        <f ca="1">IFERROR(__xludf.DUMMYFUNCTION("""COMPUTED_VALUE"""),"RF-00001114-PAR")</f>
        <v>RF-00001114-PAR</v>
      </c>
    </row>
    <row r="4187" spans="1:2" ht="12.5" x14ac:dyDescent="0.25">
      <c r="A4187" t="str">
        <f ca="1">IFERROR(__xludf.DUMMYFUNCTION("""COMPUTED_VALUE"""),"OXA-143")</f>
        <v>OXA-143</v>
      </c>
      <c r="B4187" t="str">
        <f ca="1">IFERROR(__xludf.DUMMYFUNCTION("""COMPUTED_VALUE"""),"RF-00001115-PAR")</f>
        <v>RF-00001115-PAR</v>
      </c>
    </row>
    <row r="4188" spans="1:2" ht="12.5" x14ac:dyDescent="0.25">
      <c r="A4188" t="str">
        <f ca="1">IFERROR(__xludf.DUMMYFUNCTION("""COMPUTED_VALUE"""),"OXA-144")</f>
        <v>OXA-144</v>
      </c>
      <c r="B4188" t="str">
        <f ca="1">IFERROR(__xludf.DUMMYFUNCTION("""COMPUTED_VALUE"""),"RF-00001116-PAR")</f>
        <v>RF-00001116-PAR</v>
      </c>
    </row>
    <row r="4189" spans="1:2" ht="12.5" x14ac:dyDescent="0.25">
      <c r="A4189" t="str">
        <f ca="1">IFERROR(__xludf.DUMMYFUNCTION("""COMPUTED_VALUE"""),"OXA-145")</f>
        <v>OXA-145</v>
      </c>
      <c r="B4189" t="str">
        <f ca="1">IFERROR(__xludf.DUMMYFUNCTION("""COMPUTED_VALUE"""),"RF-00001117-PAR")</f>
        <v>RF-00001117-PAR</v>
      </c>
    </row>
    <row r="4190" spans="1:2" ht="12.5" x14ac:dyDescent="0.25">
      <c r="A4190" t="str">
        <f ca="1">IFERROR(__xludf.DUMMYFUNCTION("""COMPUTED_VALUE"""),"OXA-146")</f>
        <v>OXA-146</v>
      </c>
      <c r="B4190" t="str">
        <f ca="1">IFERROR(__xludf.DUMMYFUNCTION("""COMPUTED_VALUE"""),"RF-00001118-PAR")</f>
        <v>RF-00001118-PAR</v>
      </c>
    </row>
    <row r="4191" spans="1:2" ht="12.5" x14ac:dyDescent="0.25">
      <c r="A4191" t="str">
        <f ca="1">IFERROR(__xludf.DUMMYFUNCTION("""COMPUTED_VALUE"""),"OXA-147")</f>
        <v>OXA-147</v>
      </c>
      <c r="B4191" t="str">
        <f ca="1">IFERROR(__xludf.DUMMYFUNCTION("""COMPUTED_VALUE"""),"RF-00001119-PAR")</f>
        <v>RF-00001119-PAR</v>
      </c>
    </row>
    <row r="4192" spans="1:2" ht="12.5" x14ac:dyDescent="0.25">
      <c r="A4192" t="str">
        <f ca="1">IFERROR(__xludf.DUMMYFUNCTION("""COMPUTED_VALUE"""),"OXA-148")</f>
        <v>OXA-148</v>
      </c>
      <c r="B4192" t="str">
        <f ca="1">IFERROR(__xludf.DUMMYFUNCTION("""COMPUTED_VALUE"""),"RF-00001120-PAR")</f>
        <v>RF-00001120-PAR</v>
      </c>
    </row>
    <row r="4193" spans="1:2" ht="12.5" x14ac:dyDescent="0.25">
      <c r="A4193" t="str">
        <f ca="1">IFERROR(__xludf.DUMMYFUNCTION("""COMPUTED_VALUE"""),"OXA-149")</f>
        <v>OXA-149</v>
      </c>
      <c r="B4193" t="str">
        <f ca="1">IFERROR(__xludf.DUMMYFUNCTION("""COMPUTED_VALUE"""),"RF-00001121-PAR")</f>
        <v>RF-00001121-PAR</v>
      </c>
    </row>
    <row r="4194" spans="1:2" ht="12.5" x14ac:dyDescent="0.25">
      <c r="A4194" t="str">
        <f ca="1">IFERROR(__xludf.DUMMYFUNCTION("""COMPUTED_VALUE"""),"OXA-15")</f>
        <v>OXA-15</v>
      </c>
      <c r="B4194" t="str">
        <f ca="1">IFERROR(__xludf.DUMMYFUNCTION("""COMPUTED_VALUE"""),"RF-00000987-PAR")</f>
        <v>RF-00000987-PAR</v>
      </c>
    </row>
    <row r="4195" spans="1:2" ht="12.5" x14ac:dyDescent="0.25">
      <c r="A4195" t="str">
        <f ca="1">IFERROR(__xludf.DUMMYFUNCTION("""COMPUTED_VALUE"""),"OXA-150")</f>
        <v>OXA-150</v>
      </c>
      <c r="B4195" t="str">
        <f ca="1">IFERROR(__xludf.DUMMYFUNCTION("""COMPUTED_VALUE"""),"RF-00001122-PAR")</f>
        <v>RF-00001122-PAR</v>
      </c>
    </row>
    <row r="4196" spans="1:2" ht="12.5" x14ac:dyDescent="0.25">
      <c r="A4196" t="str">
        <f ca="1">IFERROR(__xludf.DUMMYFUNCTION("""COMPUTED_VALUE"""),"OXA-151")</f>
        <v>OXA-151</v>
      </c>
      <c r="B4196" t="str">
        <f ca="1">IFERROR(__xludf.DUMMYFUNCTION("""COMPUTED_VALUE"""),"RF-00001123-PAR")</f>
        <v>RF-00001123-PAR</v>
      </c>
    </row>
    <row r="4197" spans="1:2" ht="12.5" x14ac:dyDescent="0.25">
      <c r="A4197" t="str">
        <f ca="1">IFERROR(__xludf.DUMMYFUNCTION("""COMPUTED_VALUE"""),"OXA-152")</f>
        <v>OXA-152</v>
      </c>
      <c r="B4197" t="str">
        <f ca="1">IFERROR(__xludf.DUMMYFUNCTION("""COMPUTED_VALUE"""),"RF-00001124-PAR")</f>
        <v>RF-00001124-PAR</v>
      </c>
    </row>
    <row r="4198" spans="1:2" ht="12.5" x14ac:dyDescent="0.25">
      <c r="A4198" t="str">
        <f ca="1">IFERROR(__xludf.DUMMYFUNCTION("""COMPUTED_VALUE"""),"OXA-153")</f>
        <v>OXA-153</v>
      </c>
      <c r="B4198" t="str">
        <f ca="1">IFERROR(__xludf.DUMMYFUNCTION("""COMPUTED_VALUE"""),"RF-00001125-PAR")</f>
        <v>RF-00001125-PAR</v>
      </c>
    </row>
    <row r="4199" spans="1:2" ht="12.5" x14ac:dyDescent="0.25">
      <c r="A4199" t="str">
        <f ca="1">IFERROR(__xludf.DUMMYFUNCTION("""COMPUTED_VALUE"""),"OXA-154")</f>
        <v>OXA-154</v>
      </c>
      <c r="B4199" t="str">
        <f ca="1">IFERROR(__xludf.DUMMYFUNCTION("""COMPUTED_VALUE"""),"RF-00001126-PAR")</f>
        <v>RF-00001126-PAR</v>
      </c>
    </row>
    <row r="4200" spans="1:2" ht="12.5" x14ac:dyDescent="0.25">
      <c r="A4200" t="str">
        <f ca="1">IFERROR(__xludf.DUMMYFUNCTION("""COMPUTED_VALUE"""),"OXA-155")</f>
        <v>OXA-155</v>
      </c>
      <c r="B4200" t="str">
        <f ca="1">IFERROR(__xludf.DUMMYFUNCTION("""COMPUTED_VALUE"""),"RF-00001127-PAR")</f>
        <v>RF-00001127-PAR</v>
      </c>
    </row>
    <row r="4201" spans="1:2" ht="12.5" x14ac:dyDescent="0.25">
      <c r="A4201" t="str">
        <f ca="1">IFERROR(__xludf.DUMMYFUNCTION("""COMPUTED_VALUE"""),"OXA-156")</f>
        <v>OXA-156</v>
      </c>
      <c r="B4201" t="str">
        <f ca="1">IFERROR(__xludf.DUMMYFUNCTION("""COMPUTED_VALUE"""),"RF-00001128-PAR")</f>
        <v>RF-00001128-PAR</v>
      </c>
    </row>
    <row r="4202" spans="1:2" ht="12.5" x14ac:dyDescent="0.25">
      <c r="A4202" t="str">
        <f ca="1">IFERROR(__xludf.DUMMYFUNCTION("""COMPUTED_VALUE"""),"OXA-157")</f>
        <v>OXA-157</v>
      </c>
      <c r="B4202" t="str">
        <f ca="1">IFERROR(__xludf.DUMMYFUNCTION("""COMPUTED_VALUE"""),"RF-00001129-PAR")</f>
        <v>RF-00001129-PAR</v>
      </c>
    </row>
    <row r="4203" spans="1:2" ht="12.5" x14ac:dyDescent="0.25">
      <c r="A4203" t="str">
        <f ca="1">IFERROR(__xludf.DUMMYFUNCTION("""COMPUTED_VALUE"""),"OXA-158")</f>
        <v>OXA-158</v>
      </c>
      <c r="B4203" t="str">
        <f ca="1">IFERROR(__xludf.DUMMYFUNCTION("""COMPUTED_VALUE"""),"RF-00001130-PAR")</f>
        <v>RF-00001130-PAR</v>
      </c>
    </row>
    <row r="4204" spans="1:2" ht="12.5" x14ac:dyDescent="0.25">
      <c r="A4204" t="str">
        <f ca="1">IFERROR(__xludf.DUMMYFUNCTION("""COMPUTED_VALUE"""),"OXA-159")</f>
        <v>OXA-159</v>
      </c>
      <c r="B4204" t="str">
        <f ca="1">IFERROR(__xludf.DUMMYFUNCTION("""COMPUTED_VALUE"""),"RF-00001131-PAR")</f>
        <v>RF-00001131-PAR</v>
      </c>
    </row>
    <row r="4205" spans="1:2" ht="12.5" x14ac:dyDescent="0.25">
      <c r="A4205" t="str">
        <f ca="1">IFERROR(__xludf.DUMMYFUNCTION("""COMPUTED_VALUE"""),"OXA-16")</f>
        <v>OXA-16</v>
      </c>
      <c r="B4205" t="str">
        <f ca="1">IFERROR(__xludf.DUMMYFUNCTION("""COMPUTED_VALUE"""),"RF-00000988-PAR")</f>
        <v>RF-00000988-PAR</v>
      </c>
    </row>
    <row r="4206" spans="1:2" ht="12.5" x14ac:dyDescent="0.25">
      <c r="A4206" t="str">
        <f ca="1">IFERROR(__xludf.DUMMYFUNCTION("""COMPUTED_VALUE"""),"OXA-160")</f>
        <v>OXA-160</v>
      </c>
      <c r="B4206" t="str">
        <f ca="1">IFERROR(__xludf.DUMMYFUNCTION("""COMPUTED_VALUE"""),"RF-00001132-PAR")</f>
        <v>RF-00001132-PAR</v>
      </c>
    </row>
    <row r="4207" spans="1:2" ht="12.5" x14ac:dyDescent="0.25">
      <c r="A4207" t="str">
        <f ca="1">IFERROR(__xludf.DUMMYFUNCTION("""COMPUTED_VALUE"""),"OXA-161")</f>
        <v>OXA-161</v>
      </c>
      <c r="B4207" t="str">
        <f ca="1">IFERROR(__xludf.DUMMYFUNCTION("""COMPUTED_VALUE"""),"RF-00001133-PAR")</f>
        <v>RF-00001133-PAR</v>
      </c>
    </row>
    <row r="4208" spans="1:2" ht="12.5" x14ac:dyDescent="0.25">
      <c r="A4208" t="str">
        <f ca="1">IFERROR(__xludf.DUMMYFUNCTION("""COMPUTED_VALUE"""),"OXA-162")</f>
        <v>OXA-162</v>
      </c>
      <c r="B4208" t="str">
        <f ca="1">IFERROR(__xludf.DUMMYFUNCTION("""COMPUTED_VALUE"""),"RF-00001134-PAR")</f>
        <v>RF-00001134-PAR</v>
      </c>
    </row>
    <row r="4209" spans="1:2" ht="12.5" x14ac:dyDescent="0.25">
      <c r="A4209" t="str">
        <f ca="1">IFERROR(__xludf.DUMMYFUNCTION("""COMPUTED_VALUE"""),"OXA-163")</f>
        <v>OXA-163</v>
      </c>
      <c r="B4209" t="str">
        <f ca="1">IFERROR(__xludf.DUMMYFUNCTION("""COMPUTED_VALUE"""),"RF-00001135-PAR")</f>
        <v>RF-00001135-PAR</v>
      </c>
    </row>
    <row r="4210" spans="1:2" ht="12.5" x14ac:dyDescent="0.25">
      <c r="A4210" t="str">
        <f ca="1">IFERROR(__xludf.DUMMYFUNCTION("""COMPUTED_VALUE"""),"OXA-164")</f>
        <v>OXA-164</v>
      </c>
      <c r="B4210" t="str">
        <f ca="1">IFERROR(__xludf.DUMMYFUNCTION("""COMPUTED_VALUE"""),"RF-00001136-PAR")</f>
        <v>RF-00001136-PAR</v>
      </c>
    </row>
    <row r="4211" spans="1:2" ht="12.5" x14ac:dyDescent="0.25">
      <c r="A4211" t="str">
        <f ca="1">IFERROR(__xludf.DUMMYFUNCTION("""COMPUTED_VALUE"""),"OXA-165")</f>
        <v>OXA-165</v>
      </c>
      <c r="B4211" t="str">
        <f ca="1">IFERROR(__xludf.DUMMYFUNCTION("""COMPUTED_VALUE"""),"RF-00001137-PAR")</f>
        <v>RF-00001137-PAR</v>
      </c>
    </row>
    <row r="4212" spans="1:2" ht="12.5" x14ac:dyDescent="0.25">
      <c r="A4212" t="str">
        <f ca="1">IFERROR(__xludf.DUMMYFUNCTION("""COMPUTED_VALUE"""),"OXA-166")</f>
        <v>OXA-166</v>
      </c>
      <c r="B4212" t="str">
        <f ca="1">IFERROR(__xludf.DUMMYFUNCTION("""COMPUTED_VALUE"""),"RF-00001138-PAR")</f>
        <v>RF-00001138-PAR</v>
      </c>
    </row>
    <row r="4213" spans="1:2" ht="12.5" x14ac:dyDescent="0.25">
      <c r="A4213" t="str">
        <f ca="1">IFERROR(__xludf.DUMMYFUNCTION("""COMPUTED_VALUE"""),"OXA-167")</f>
        <v>OXA-167</v>
      </c>
      <c r="B4213" t="str">
        <f ca="1">IFERROR(__xludf.DUMMYFUNCTION("""COMPUTED_VALUE"""),"RF-00001139-PAR")</f>
        <v>RF-00001139-PAR</v>
      </c>
    </row>
    <row r="4214" spans="1:2" ht="12.5" x14ac:dyDescent="0.25">
      <c r="A4214" t="str">
        <f ca="1">IFERROR(__xludf.DUMMYFUNCTION("""COMPUTED_VALUE"""),"OXA-168")</f>
        <v>OXA-168</v>
      </c>
      <c r="B4214" t="str">
        <f ca="1">IFERROR(__xludf.DUMMYFUNCTION("""COMPUTED_VALUE"""),"RF-00001140-PAR")</f>
        <v>RF-00001140-PAR</v>
      </c>
    </row>
    <row r="4215" spans="1:2" ht="12.5" x14ac:dyDescent="0.25">
      <c r="A4215" t="str">
        <f ca="1">IFERROR(__xludf.DUMMYFUNCTION("""COMPUTED_VALUE"""),"OXA-169")</f>
        <v>OXA-169</v>
      </c>
      <c r="B4215" t="str">
        <f ca="1">IFERROR(__xludf.DUMMYFUNCTION("""COMPUTED_VALUE"""),"RF-00001141-PAR")</f>
        <v>RF-00001141-PAR</v>
      </c>
    </row>
    <row r="4216" spans="1:2" ht="12.5" x14ac:dyDescent="0.25">
      <c r="A4216" t="str">
        <f ca="1">IFERROR(__xludf.DUMMYFUNCTION("""COMPUTED_VALUE"""),"OXA-17")</f>
        <v>OXA-17</v>
      </c>
      <c r="B4216" t="str">
        <f ca="1">IFERROR(__xludf.DUMMYFUNCTION("""COMPUTED_VALUE"""),"RF-00000989-PAR")</f>
        <v>RF-00000989-PAR</v>
      </c>
    </row>
    <row r="4217" spans="1:2" ht="12.5" x14ac:dyDescent="0.25">
      <c r="A4217" t="str">
        <f ca="1">IFERROR(__xludf.DUMMYFUNCTION("""COMPUTED_VALUE"""),"OXA-170")</f>
        <v>OXA-170</v>
      </c>
      <c r="B4217" t="str">
        <f ca="1">IFERROR(__xludf.DUMMYFUNCTION("""COMPUTED_VALUE"""),"RF-00001142-PAR")</f>
        <v>RF-00001142-PAR</v>
      </c>
    </row>
    <row r="4218" spans="1:2" ht="12.5" x14ac:dyDescent="0.25">
      <c r="A4218" t="str">
        <f ca="1">IFERROR(__xludf.DUMMYFUNCTION("""COMPUTED_VALUE"""),"OXA-171")</f>
        <v>OXA-171</v>
      </c>
      <c r="B4218" t="str">
        <f ca="1">IFERROR(__xludf.DUMMYFUNCTION("""COMPUTED_VALUE"""),"RF-00001143-PAR")</f>
        <v>RF-00001143-PAR</v>
      </c>
    </row>
    <row r="4219" spans="1:2" ht="12.5" x14ac:dyDescent="0.25">
      <c r="A4219" t="str">
        <f ca="1">IFERROR(__xludf.DUMMYFUNCTION("""COMPUTED_VALUE"""),"OXA-172")</f>
        <v>OXA-172</v>
      </c>
      <c r="B4219" t="str">
        <f ca="1">IFERROR(__xludf.DUMMYFUNCTION("""COMPUTED_VALUE"""),"RF-00001144-PAR")</f>
        <v>RF-00001144-PAR</v>
      </c>
    </row>
    <row r="4220" spans="1:2" ht="12.5" x14ac:dyDescent="0.25">
      <c r="A4220" t="str">
        <f ca="1">IFERROR(__xludf.DUMMYFUNCTION("""COMPUTED_VALUE"""),"OXA-173")</f>
        <v>OXA-173</v>
      </c>
      <c r="B4220" t="str">
        <f ca="1">IFERROR(__xludf.DUMMYFUNCTION("""COMPUTED_VALUE"""),"RF-00001145-PAR")</f>
        <v>RF-00001145-PAR</v>
      </c>
    </row>
    <row r="4221" spans="1:2" ht="12.5" x14ac:dyDescent="0.25">
      <c r="A4221" t="str">
        <f ca="1">IFERROR(__xludf.DUMMYFUNCTION("""COMPUTED_VALUE"""),"OXA-174")</f>
        <v>OXA-174</v>
      </c>
      <c r="B4221" t="str">
        <f ca="1">IFERROR(__xludf.DUMMYFUNCTION("""COMPUTED_VALUE"""),"RF-00001146-PAR")</f>
        <v>RF-00001146-PAR</v>
      </c>
    </row>
    <row r="4222" spans="1:2" ht="12.5" x14ac:dyDescent="0.25">
      <c r="A4222" t="str">
        <f ca="1">IFERROR(__xludf.DUMMYFUNCTION("""COMPUTED_VALUE"""),"OXA-175")</f>
        <v>OXA-175</v>
      </c>
      <c r="B4222" t="str">
        <f ca="1">IFERROR(__xludf.DUMMYFUNCTION("""COMPUTED_VALUE"""),"RF-00001147-PAR")</f>
        <v>RF-00001147-PAR</v>
      </c>
    </row>
    <row r="4223" spans="1:2" ht="12.5" x14ac:dyDescent="0.25">
      <c r="A4223" t="str">
        <f ca="1">IFERROR(__xludf.DUMMYFUNCTION("""COMPUTED_VALUE"""),"OXA-176")</f>
        <v>OXA-176</v>
      </c>
      <c r="B4223" t="str">
        <f ca="1">IFERROR(__xludf.DUMMYFUNCTION("""COMPUTED_VALUE"""),"RF-00001148-PAR")</f>
        <v>RF-00001148-PAR</v>
      </c>
    </row>
    <row r="4224" spans="1:2" ht="12.5" x14ac:dyDescent="0.25">
      <c r="A4224" t="str">
        <f ca="1">IFERROR(__xludf.DUMMYFUNCTION("""COMPUTED_VALUE"""),"OXA-177")</f>
        <v>OXA-177</v>
      </c>
      <c r="B4224" t="str">
        <f ca="1">IFERROR(__xludf.DUMMYFUNCTION("""COMPUTED_VALUE"""),"RF-00001149-PAR")</f>
        <v>RF-00001149-PAR</v>
      </c>
    </row>
    <row r="4225" spans="1:2" ht="12.5" x14ac:dyDescent="0.25">
      <c r="A4225" t="str">
        <f ca="1">IFERROR(__xludf.DUMMYFUNCTION("""COMPUTED_VALUE"""),"OXA-178")</f>
        <v>OXA-178</v>
      </c>
      <c r="B4225" t="str">
        <f ca="1">IFERROR(__xludf.DUMMYFUNCTION("""COMPUTED_VALUE"""),"RF-00001150-PAR")</f>
        <v>RF-00001150-PAR</v>
      </c>
    </row>
    <row r="4226" spans="1:2" ht="12.5" x14ac:dyDescent="0.25">
      <c r="A4226" t="str">
        <f ca="1">IFERROR(__xludf.DUMMYFUNCTION("""COMPUTED_VALUE"""),"OXA-179")</f>
        <v>OXA-179</v>
      </c>
      <c r="B4226" t="str">
        <f ca="1">IFERROR(__xludf.DUMMYFUNCTION("""COMPUTED_VALUE"""),"RF-00001151-PAR")</f>
        <v>RF-00001151-PAR</v>
      </c>
    </row>
    <row r="4227" spans="1:2" ht="12.5" x14ac:dyDescent="0.25">
      <c r="A4227" t="str">
        <f ca="1">IFERROR(__xludf.DUMMYFUNCTION("""COMPUTED_VALUE"""),"OXA-18")</f>
        <v>OXA-18</v>
      </c>
      <c r="B4227" t="str">
        <f ca="1">IFERROR(__xludf.DUMMYFUNCTION("""COMPUTED_VALUE"""),"RF-00000990-PAR")</f>
        <v>RF-00000990-PAR</v>
      </c>
    </row>
    <row r="4228" spans="1:2" ht="12.5" x14ac:dyDescent="0.25">
      <c r="A4228" t="str">
        <f ca="1">IFERROR(__xludf.DUMMYFUNCTION("""COMPUTED_VALUE"""),"OXA-180")</f>
        <v>OXA-180</v>
      </c>
      <c r="B4228" t="str">
        <f ca="1">IFERROR(__xludf.DUMMYFUNCTION("""COMPUTED_VALUE"""),"RF-00001152-PAR")</f>
        <v>RF-00001152-PAR</v>
      </c>
    </row>
    <row r="4229" spans="1:2" ht="12.5" x14ac:dyDescent="0.25">
      <c r="A4229" t="str">
        <f ca="1">IFERROR(__xludf.DUMMYFUNCTION("""COMPUTED_VALUE"""),"OXA-181")</f>
        <v>OXA-181</v>
      </c>
      <c r="B4229" t="str">
        <f ca="1">IFERROR(__xludf.DUMMYFUNCTION("""COMPUTED_VALUE"""),"RF-00001153-PAR")</f>
        <v>RF-00001153-PAR</v>
      </c>
    </row>
    <row r="4230" spans="1:2" ht="12.5" x14ac:dyDescent="0.25">
      <c r="A4230" t="str">
        <f ca="1">IFERROR(__xludf.DUMMYFUNCTION("""COMPUTED_VALUE"""),"OXA-182")</f>
        <v>OXA-182</v>
      </c>
      <c r="B4230" t="str">
        <f ca="1">IFERROR(__xludf.DUMMYFUNCTION("""COMPUTED_VALUE"""),"RF-00001154-PAR")</f>
        <v>RF-00001154-PAR</v>
      </c>
    </row>
    <row r="4231" spans="1:2" ht="12.5" x14ac:dyDescent="0.25">
      <c r="A4231" t="str">
        <f ca="1">IFERROR(__xludf.DUMMYFUNCTION("""COMPUTED_VALUE"""),"OXA-183")</f>
        <v>OXA-183</v>
      </c>
      <c r="B4231" t="str">
        <f ca="1">IFERROR(__xludf.DUMMYFUNCTION("""COMPUTED_VALUE"""),"RF-00001155-PAR")</f>
        <v>RF-00001155-PAR</v>
      </c>
    </row>
    <row r="4232" spans="1:2" ht="12.5" x14ac:dyDescent="0.25">
      <c r="A4232" t="str">
        <f ca="1">IFERROR(__xludf.DUMMYFUNCTION("""COMPUTED_VALUE"""),"OXA-184")</f>
        <v>OXA-184</v>
      </c>
      <c r="B4232" t="str">
        <f ca="1">IFERROR(__xludf.DUMMYFUNCTION("""COMPUTED_VALUE"""),"RF-00001156-PAR")</f>
        <v>RF-00001156-PAR</v>
      </c>
    </row>
    <row r="4233" spans="1:2" ht="12.5" x14ac:dyDescent="0.25">
      <c r="A4233" t="str">
        <f ca="1">IFERROR(__xludf.DUMMYFUNCTION("""COMPUTED_VALUE"""),"OXA-185")</f>
        <v>OXA-185</v>
      </c>
      <c r="B4233" t="str">
        <f ca="1">IFERROR(__xludf.DUMMYFUNCTION("""COMPUTED_VALUE"""),"RF-00001157-PAR")</f>
        <v>RF-00001157-PAR</v>
      </c>
    </row>
    <row r="4234" spans="1:2" ht="12.5" x14ac:dyDescent="0.25">
      <c r="A4234" t="str">
        <f ca="1">IFERROR(__xludf.DUMMYFUNCTION("""COMPUTED_VALUE"""),"OXA-186")</f>
        <v>OXA-186</v>
      </c>
      <c r="B4234" t="str">
        <f ca="1">IFERROR(__xludf.DUMMYFUNCTION("""COMPUTED_VALUE"""),"RF-00001158-PAR")</f>
        <v>RF-00001158-PAR</v>
      </c>
    </row>
    <row r="4235" spans="1:2" ht="12.5" x14ac:dyDescent="0.25">
      <c r="A4235" t="str">
        <f ca="1">IFERROR(__xludf.DUMMYFUNCTION("""COMPUTED_VALUE"""),"OXA-187")</f>
        <v>OXA-187</v>
      </c>
      <c r="B4235" t="str">
        <f ca="1">IFERROR(__xludf.DUMMYFUNCTION("""COMPUTED_VALUE"""),"RF-00001159-PAR")</f>
        <v>RF-00001159-PAR</v>
      </c>
    </row>
    <row r="4236" spans="1:2" ht="12.5" x14ac:dyDescent="0.25">
      <c r="A4236" t="str">
        <f ca="1">IFERROR(__xludf.DUMMYFUNCTION("""COMPUTED_VALUE"""),"OXA-188")</f>
        <v>OXA-188</v>
      </c>
      <c r="B4236" t="str">
        <f ca="1">IFERROR(__xludf.DUMMYFUNCTION("""COMPUTED_VALUE"""),"RF-00001160-PAR")</f>
        <v>RF-00001160-PAR</v>
      </c>
    </row>
    <row r="4237" spans="1:2" ht="12.5" x14ac:dyDescent="0.25">
      <c r="A4237" t="str">
        <f ca="1">IFERROR(__xludf.DUMMYFUNCTION("""COMPUTED_VALUE"""),"OXA-189")</f>
        <v>OXA-189</v>
      </c>
      <c r="B4237" t="str">
        <f ca="1">IFERROR(__xludf.DUMMYFUNCTION("""COMPUTED_VALUE"""),"RF-00001161-PAR")</f>
        <v>RF-00001161-PAR</v>
      </c>
    </row>
    <row r="4238" spans="1:2" ht="12.5" x14ac:dyDescent="0.25">
      <c r="A4238" t="str">
        <f ca="1">IFERROR(__xludf.DUMMYFUNCTION("""COMPUTED_VALUE"""),"OXA-19")</f>
        <v>OXA-19</v>
      </c>
      <c r="B4238" t="str">
        <f ca="1">IFERROR(__xludf.DUMMYFUNCTION("""COMPUTED_VALUE"""),"RF-00000991-PAR")</f>
        <v>RF-00000991-PAR</v>
      </c>
    </row>
    <row r="4239" spans="1:2" ht="12.5" x14ac:dyDescent="0.25">
      <c r="A4239" t="str">
        <f ca="1">IFERROR(__xludf.DUMMYFUNCTION("""COMPUTED_VALUE"""),"OXA-190")</f>
        <v>OXA-190</v>
      </c>
      <c r="B4239" t="str">
        <f ca="1">IFERROR(__xludf.DUMMYFUNCTION("""COMPUTED_VALUE"""),"RF-00001162-PAR")</f>
        <v>RF-00001162-PAR</v>
      </c>
    </row>
    <row r="4240" spans="1:2" ht="12.5" x14ac:dyDescent="0.25">
      <c r="A4240" t="str">
        <f ca="1">IFERROR(__xludf.DUMMYFUNCTION("""COMPUTED_VALUE"""),"OXA-191")</f>
        <v>OXA-191</v>
      </c>
      <c r="B4240" t="str">
        <f ca="1">IFERROR(__xludf.DUMMYFUNCTION("""COMPUTED_VALUE"""),"RF-00001163-PAR")</f>
        <v>RF-00001163-PAR</v>
      </c>
    </row>
    <row r="4241" spans="1:2" ht="12.5" x14ac:dyDescent="0.25">
      <c r="A4241" t="str">
        <f ca="1">IFERROR(__xludf.DUMMYFUNCTION("""COMPUTED_VALUE"""),"OXA-192")</f>
        <v>OXA-192</v>
      </c>
      <c r="B4241" t="str">
        <f ca="1">IFERROR(__xludf.DUMMYFUNCTION("""COMPUTED_VALUE"""),"RF-00001164-PAR")</f>
        <v>RF-00001164-PAR</v>
      </c>
    </row>
    <row r="4242" spans="1:2" ht="12.5" x14ac:dyDescent="0.25">
      <c r="A4242" t="str">
        <f ca="1">IFERROR(__xludf.DUMMYFUNCTION("""COMPUTED_VALUE"""),"OXA-193")</f>
        <v>OXA-193</v>
      </c>
      <c r="B4242" t="str">
        <f ca="1">IFERROR(__xludf.DUMMYFUNCTION("""COMPUTED_VALUE"""),"RF-00001165-PAR")</f>
        <v>RF-00001165-PAR</v>
      </c>
    </row>
    <row r="4243" spans="1:2" ht="12.5" x14ac:dyDescent="0.25">
      <c r="A4243" t="str">
        <f ca="1">IFERROR(__xludf.DUMMYFUNCTION("""COMPUTED_VALUE"""),"OXA-194")</f>
        <v>OXA-194</v>
      </c>
      <c r="B4243" t="str">
        <f ca="1">IFERROR(__xludf.DUMMYFUNCTION("""COMPUTED_VALUE"""),"RF-00001166-PAR")</f>
        <v>RF-00001166-PAR</v>
      </c>
    </row>
    <row r="4244" spans="1:2" ht="12.5" x14ac:dyDescent="0.25">
      <c r="A4244" t="str">
        <f ca="1">IFERROR(__xludf.DUMMYFUNCTION("""COMPUTED_VALUE"""),"OXA-195")</f>
        <v>OXA-195</v>
      </c>
      <c r="B4244" t="str">
        <f ca="1">IFERROR(__xludf.DUMMYFUNCTION("""COMPUTED_VALUE"""),"RF-00001167-PAR")</f>
        <v>RF-00001167-PAR</v>
      </c>
    </row>
    <row r="4245" spans="1:2" ht="12.5" x14ac:dyDescent="0.25">
      <c r="A4245" t="str">
        <f ca="1">IFERROR(__xludf.DUMMYFUNCTION("""COMPUTED_VALUE"""),"OXA-196")</f>
        <v>OXA-196</v>
      </c>
      <c r="B4245" t="str">
        <f ca="1">IFERROR(__xludf.DUMMYFUNCTION("""COMPUTED_VALUE"""),"RF-00001168-PAR")</f>
        <v>RF-00001168-PAR</v>
      </c>
    </row>
    <row r="4246" spans="1:2" ht="12.5" x14ac:dyDescent="0.25">
      <c r="A4246" t="str">
        <f ca="1">IFERROR(__xludf.DUMMYFUNCTION("""COMPUTED_VALUE"""),"OXA-197")</f>
        <v>OXA-197</v>
      </c>
      <c r="B4246" t="str">
        <f ca="1">IFERROR(__xludf.DUMMYFUNCTION("""COMPUTED_VALUE"""),"RF-00001169-PAR")</f>
        <v>RF-00001169-PAR</v>
      </c>
    </row>
    <row r="4247" spans="1:2" ht="12.5" x14ac:dyDescent="0.25">
      <c r="A4247" t="str">
        <f ca="1">IFERROR(__xludf.DUMMYFUNCTION("""COMPUTED_VALUE"""),"OXA-198")</f>
        <v>OXA-198</v>
      </c>
      <c r="B4247" t="str">
        <f ca="1">IFERROR(__xludf.DUMMYFUNCTION("""COMPUTED_VALUE"""),"RF-00001170-PAR")</f>
        <v>RF-00001170-PAR</v>
      </c>
    </row>
    <row r="4248" spans="1:2" ht="12.5" x14ac:dyDescent="0.25">
      <c r="A4248" t="str">
        <f ca="1">IFERROR(__xludf.DUMMYFUNCTION("""COMPUTED_VALUE"""),"OXA-199")</f>
        <v>OXA-199</v>
      </c>
      <c r="B4248" t="str">
        <f ca="1">IFERROR(__xludf.DUMMYFUNCTION("""COMPUTED_VALUE"""),"RF-00001171-PAR")</f>
        <v>RF-00001171-PAR</v>
      </c>
    </row>
    <row r="4249" spans="1:2" ht="12.5" x14ac:dyDescent="0.25">
      <c r="A4249" t="str">
        <f ca="1">IFERROR(__xludf.DUMMYFUNCTION("""COMPUTED_VALUE"""),"OXA-2")</f>
        <v>OXA-2</v>
      </c>
      <c r="B4249" t="str">
        <f ca="1">IFERROR(__xludf.DUMMYFUNCTION("""COMPUTED_VALUE"""),"RF-00000974-PAR")</f>
        <v>RF-00000974-PAR</v>
      </c>
    </row>
    <row r="4250" spans="1:2" ht="12.5" x14ac:dyDescent="0.25">
      <c r="A4250" t="str">
        <f ca="1">IFERROR(__xludf.DUMMYFUNCTION("""COMPUTED_VALUE"""),"OXA-20")</f>
        <v>OXA-20</v>
      </c>
      <c r="B4250" t="str">
        <f ca="1">IFERROR(__xludf.DUMMYFUNCTION("""COMPUTED_VALUE"""),"RF-00000992-PAR")</f>
        <v>RF-00000992-PAR</v>
      </c>
    </row>
    <row r="4251" spans="1:2" ht="12.5" x14ac:dyDescent="0.25">
      <c r="A4251" t="str">
        <f ca="1">IFERROR(__xludf.DUMMYFUNCTION("""COMPUTED_VALUE"""),"OXA-200")</f>
        <v>OXA-200</v>
      </c>
      <c r="B4251" t="str">
        <f ca="1">IFERROR(__xludf.DUMMYFUNCTION("""COMPUTED_VALUE"""),"RF-00001172-PAR")</f>
        <v>RF-00001172-PAR</v>
      </c>
    </row>
    <row r="4252" spans="1:2" ht="12.5" x14ac:dyDescent="0.25">
      <c r="A4252" t="str">
        <f ca="1">IFERROR(__xludf.DUMMYFUNCTION("""COMPUTED_VALUE"""),"OXA-201")</f>
        <v>OXA-201</v>
      </c>
      <c r="B4252" t="str">
        <f ca="1">IFERROR(__xludf.DUMMYFUNCTION("""COMPUTED_VALUE"""),"RF-00001173-PAR")</f>
        <v>RF-00001173-PAR</v>
      </c>
    </row>
    <row r="4253" spans="1:2" ht="12.5" x14ac:dyDescent="0.25">
      <c r="A4253" t="str">
        <f ca="1">IFERROR(__xludf.DUMMYFUNCTION("""COMPUTED_VALUE"""),"OXA-202")</f>
        <v>OXA-202</v>
      </c>
      <c r="B4253" t="str">
        <f ca="1">IFERROR(__xludf.DUMMYFUNCTION("""COMPUTED_VALUE"""),"RF-00001174-PAR")</f>
        <v>RF-00001174-PAR</v>
      </c>
    </row>
    <row r="4254" spans="1:2" ht="12.5" x14ac:dyDescent="0.25">
      <c r="A4254" t="str">
        <f ca="1">IFERROR(__xludf.DUMMYFUNCTION("""COMPUTED_VALUE"""),"OXA-203")</f>
        <v>OXA-203</v>
      </c>
      <c r="B4254" t="str">
        <f ca="1">IFERROR(__xludf.DUMMYFUNCTION("""COMPUTED_VALUE"""),"RF-00001175-PAR")</f>
        <v>RF-00001175-PAR</v>
      </c>
    </row>
    <row r="4255" spans="1:2" ht="12.5" x14ac:dyDescent="0.25">
      <c r="A4255" t="str">
        <f ca="1">IFERROR(__xludf.DUMMYFUNCTION("""COMPUTED_VALUE"""),"OXA-204")</f>
        <v>OXA-204</v>
      </c>
      <c r="B4255" t="str">
        <f ca="1">IFERROR(__xludf.DUMMYFUNCTION("""COMPUTED_VALUE"""),"RF-00001176-PAR")</f>
        <v>RF-00001176-PAR</v>
      </c>
    </row>
    <row r="4256" spans="1:2" ht="12.5" x14ac:dyDescent="0.25">
      <c r="A4256" t="str">
        <f ca="1">IFERROR(__xludf.DUMMYFUNCTION("""COMPUTED_VALUE"""),"OXA-205")</f>
        <v>OXA-205</v>
      </c>
      <c r="B4256" t="str">
        <f ca="1">IFERROR(__xludf.DUMMYFUNCTION("""COMPUTED_VALUE"""),"RF-00001177-PAR")</f>
        <v>RF-00001177-PAR</v>
      </c>
    </row>
    <row r="4257" spans="1:2" ht="12.5" x14ac:dyDescent="0.25">
      <c r="A4257" t="str">
        <f ca="1">IFERROR(__xludf.DUMMYFUNCTION("""COMPUTED_VALUE"""),"OXA-206")</f>
        <v>OXA-206</v>
      </c>
      <c r="B4257" t="str">
        <f ca="1">IFERROR(__xludf.DUMMYFUNCTION("""COMPUTED_VALUE"""),"RF-00001178-PAR")</f>
        <v>RF-00001178-PAR</v>
      </c>
    </row>
    <row r="4258" spans="1:2" ht="12.5" x14ac:dyDescent="0.25">
      <c r="A4258" t="str">
        <f ca="1">IFERROR(__xludf.DUMMYFUNCTION("""COMPUTED_VALUE"""),"OXA-207")</f>
        <v>OXA-207</v>
      </c>
      <c r="B4258" t="str">
        <f ca="1">IFERROR(__xludf.DUMMYFUNCTION("""COMPUTED_VALUE"""),"RF-00001179-PAR")</f>
        <v>RF-00001179-PAR</v>
      </c>
    </row>
    <row r="4259" spans="1:2" ht="12.5" x14ac:dyDescent="0.25">
      <c r="A4259" t="str">
        <f ca="1">IFERROR(__xludf.DUMMYFUNCTION("""COMPUTED_VALUE"""),"OXA-208")</f>
        <v>OXA-208</v>
      </c>
      <c r="B4259" t="str">
        <f ca="1">IFERROR(__xludf.DUMMYFUNCTION("""COMPUTED_VALUE"""),"RF-00001180-PAR")</f>
        <v>RF-00001180-PAR</v>
      </c>
    </row>
    <row r="4260" spans="1:2" ht="12.5" x14ac:dyDescent="0.25">
      <c r="A4260" t="str">
        <f ca="1">IFERROR(__xludf.DUMMYFUNCTION("""COMPUTED_VALUE"""),"OXA-209")</f>
        <v>OXA-209</v>
      </c>
      <c r="B4260" t="str">
        <f ca="1">IFERROR(__xludf.DUMMYFUNCTION("""COMPUTED_VALUE"""),"RF-00001181-PAR")</f>
        <v>RF-00001181-PAR</v>
      </c>
    </row>
    <row r="4261" spans="1:2" ht="12.5" x14ac:dyDescent="0.25">
      <c r="A4261" t="str">
        <f ca="1">IFERROR(__xludf.DUMMYFUNCTION("""COMPUTED_VALUE"""),"OXA-21")</f>
        <v>OXA-21</v>
      </c>
      <c r="B4261" t="str">
        <f ca="1">IFERROR(__xludf.DUMMYFUNCTION("""COMPUTED_VALUE"""),"RF-00000993-PAR")</f>
        <v>RF-00000993-PAR</v>
      </c>
    </row>
    <row r="4262" spans="1:2" ht="12.5" x14ac:dyDescent="0.25">
      <c r="A4262" t="str">
        <f ca="1">IFERROR(__xludf.DUMMYFUNCTION("""COMPUTED_VALUE"""),"OXA-210")</f>
        <v>OXA-210</v>
      </c>
      <c r="B4262" t="str">
        <f ca="1">IFERROR(__xludf.DUMMYFUNCTION("""COMPUTED_VALUE"""),"RF-00001182-PAR")</f>
        <v>RF-00001182-PAR</v>
      </c>
    </row>
    <row r="4263" spans="1:2" ht="12.5" x14ac:dyDescent="0.25">
      <c r="A4263" t="str">
        <f ca="1">IFERROR(__xludf.DUMMYFUNCTION("""COMPUTED_VALUE"""),"OXA-211")</f>
        <v>OXA-211</v>
      </c>
      <c r="B4263" t="str">
        <f ca="1">IFERROR(__xludf.DUMMYFUNCTION("""COMPUTED_VALUE"""),"RF-00001183-PAR")</f>
        <v>RF-00001183-PAR</v>
      </c>
    </row>
    <row r="4264" spans="1:2" ht="12.5" x14ac:dyDescent="0.25">
      <c r="A4264" t="str">
        <f ca="1">IFERROR(__xludf.DUMMYFUNCTION("""COMPUTED_VALUE"""),"OXA-212")</f>
        <v>OXA-212</v>
      </c>
      <c r="B4264" t="str">
        <f ca="1">IFERROR(__xludf.DUMMYFUNCTION("""COMPUTED_VALUE"""),"RF-00001184-PAR")</f>
        <v>RF-00001184-PAR</v>
      </c>
    </row>
    <row r="4265" spans="1:2" ht="12.5" x14ac:dyDescent="0.25">
      <c r="A4265" t="str">
        <f ca="1">IFERROR(__xludf.DUMMYFUNCTION("""COMPUTED_VALUE"""),"OXA-213")</f>
        <v>OXA-213</v>
      </c>
      <c r="B4265" t="str">
        <f ca="1">IFERROR(__xludf.DUMMYFUNCTION("""COMPUTED_VALUE"""),"RF-00001185-PAR")</f>
        <v>RF-00001185-PAR</v>
      </c>
    </row>
    <row r="4266" spans="1:2" ht="12.5" x14ac:dyDescent="0.25">
      <c r="A4266" t="str">
        <f ca="1">IFERROR(__xludf.DUMMYFUNCTION("""COMPUTED_VALUE"""),"OXA-214")</f>
        <v>OXA-214</v>
      </c>
      <c r="B4266" t="str">
        <f ca="1">IFERROR(__xludf.DUMMYFUNCTION("""COMPUTED_VALUE"""),"RF-00001186-PAR")</f>
        <v>RF-00001186-PAR</v>
      </c>
    </row>
    <row r="4267" spans="1:2" ht="12.5" x14ac:dyDescent="0.25">
      <c r="A4267" t="str">
        <f ca="1">IFERROR(__xludf.DUMMYFUNCTION("""COMPUTED_VALUE"""),"OXA-215")</f>
        <v>OXA-215</v>
      </c>
      <c r="B4267" t="str">
        <f ca="1">IFERROR(__xludf.DUMMYFUNCTION("""COMPUTED_VALUE"""),"RF-00001187-PAR")</f>
        <v>RF-00001187-PAR</v>
      </c>
    </row>
    <row r="4268" spans="1:2" ht="12.5" x14ac:dyDescent="0.25">
      <c r="A4268" t="str">
        <f ca="1">IFERROR(__xludf.DUMMYFUNCTION("""COMPUTED_VALUE"""),"OXA-216")</f>
        <v>OXA-216</v>
      </c>
      <c r="B4268" t="str">
        <f ca="1">IFERROR(__xludf.DUMMYFUNCTION("""COMPUTED_VALUE"""),"RF-00001188-PAR")</f>
        <v>RF-00001188-PAR</v>
      </c>
    </row>
    <row r="4269" spans="1:2" ht="12.5" x14ac:dyDescent="0.25">
      <c r="A4269" t="str">
        <f ca="1">IFERROR(__xludf.DUMMYFUNCTION("""COMPUTED_VALUE"""),"OXA-217")</f>
        <v>OXA-217</v>
      </c>
      <c r="B4269" t="str">
        <f ca="1">IFERROR(__xludf.DUMMYFUNCTION("""COMPUTED_VALUE"""),"RF-00001189-PAR")</f>
        <v>RF-00001189-PAR</v>
      </c>
    </row>
    <row r="4270" spans="1:2" ht="12.5" x14ac:dyDescent="0.25">
      <c r="A4270" t="str">
        <f ca="1">IFERROR(__xludf.DUMMYFUNCTION("""COMPUTED_VALUE"""),"OXA-218")</f>
        <v>OXA-218</v>
      </c>
      <c r="B4270" t="str">
        <f ca="1">IFERROR(__xludf.DUMMYFUNCTION("""COMPUTED_VALUE"""),"RF-00001190-PAR")</f>
        <v>RF-00001190-PAR</v>
      </c>
    </row>
    <row r="4271" spans="1:2" ht="12.5" x14ac:dyDescent="0.25">
      <c r="A4271" t="str">
        <f ca="1">IFERROR(__xludf.DUMMYFUNCTION("""COMPUTED_VALUE"""),"OXA-219")</f>
        <v>OXA-219</v>
      </c>
      <c r="B4271" t="str">
        <f ca="1">IFERROR(__xludf.DUMMYFUNCTION("""COMPUTED_VALUE"""),"RF-00001191-PAR")</f>
        <v>RF-00001191-PAR</v>
      </c>
    </row>
    <row r="4272" spans="1:2" ht="12.5" x14ac:dyDescent="0.25">
      <c r="A4272" t="str">
        <f ca="1">IFERROR(__xludf.DUMMYFUNCTION("""COMPUTED_VALUE"""),"OXA-22")</f>
        <v>OXA-22</v>
      </c>
      <c r="B4272" t="str">
        <f ca="1">IFERROR(__xludf.DUMMYFUNCTION("""COMPUTED_VALUE"""),"RF-00000994-PAR")</f>
        <v>RF-00000994-PAR</v>
      </c>
    </row>
    <row r="4273" spans="1:2" ht="12.5" x14ac:dyDescent="0.25">
      <c r="A4273" t="str">
        <f ca="1">IFERROR(__xludf.DUMMYFUNCTION("""COMPUTED_VALUE"""),"OXA-220")</f>
        <v>OXA-220</v>
      </c>
      <c r="B4273" t="str">
        <f ca="1">IFERROR(__xludf.DUMMYFUNCTION("""COMPUTED_VALUE"""),"RF-00001192-PAR")</f>
        <v>RF-00001192-PAR</v>
      </c>
    </row>
    <row r="4274" spans="1:2" ht="12.5" x14ac:dyDescent="0.25">
      <c r="A4274" t="str">
        <f ca="1">IFERROR(__xludf.DUMMYFUNCTION("""COMPUTED_VALUE"""),"OXA-221")</f>
        <v>OXA-221</v>
      </c>
      <c r="B4274" t="str">
        <f ca="1">IFERROR(__xludf.DUMMYFUNCTION("""COMPUTED_VALUE"""),"RF-00001193-PAR")</f>
        <v>RF-00001193-PAR</v>
      </c>
    </row>
    <row r="4275" spans="1:2" ht="12.5" x14ac:dyDescent="0.25">
      <c r="A4275" t="str">
        <f ca="1">IFERROR(__xludf.DUMMYFUNCTION("""COMPUTED_VALUE"""),"OXA-222")</f>
        <v>OXA-222</v>
      </c>
      <c r="B4275" t="str">
        <f ca="1">IFERROR(__xludf.DUMMYFUNCTION("""COMPUTED_VALUE"""),"RF-00001194-PAR")</f>
        <v>RF-00001194-PAR</v>
      </c>
    </row>
    <row r="4276" spans="1:2" ht="12.5" x14ac:dyDescent="0.25">
      <c r="A4276" t="str">
        <f ca="1">IFERROR(__xludf.DUMMYFUNCTION("""COMPUTED_VALUE"""),"OXA-223")</f>
        <v>OXA-223</v>
      </c>
      <c r="B4276" t="str">
        <f ca="1">IFERROR(__xludf.DUMMYFUNCTION("""COMPUTED_VALUE"""),"RF-00001195-PAR")</f>
        <v>RF-00001195-PAR</v>
      </c>
    </row>
    <row r="4277" spans="1:2" ht="12.5" x14ac:dyDescent="0.25">
      <c r="A4277" t="str">
        <f ca="1">IFERROR(__xludf.DUMMYFUNCTION("""COMPUTED_VALUE"""),"OXA-224")</f>
        <v>OXA-224</v>
      </c>
      <c r="B4277" t="str">
        <f ca="1">IFERROR(__xludf.DUMMYFUNCTION("""COMPUTED_VALUE"""),"RF-00001196-PAR")</f>
        <v>RF-00001196-PAR</v>
      </c>
    </row>
    <row r="4278" spans="1:2" ht="12.5" x14ac:dyDescent="0.25">
      <c r="A4278" t="str">
        <f ca="1">IFERROR(__xludf.DUMMYFUNCTION("""COMPUTED_VALUE"""),"OXA-225")</f>
        <v>OXA-225</v>
      </c>
      <c r="B4278" t="str">
        <f ca="1">IFERROR(__xludf.DUMMYFUNCTION("""COMPUTED_VALUE"""),"RF-00001197-PAR")</f>
        <v>RF-00001197-PAR</v>
      </c>
    </row>
    <row r="4279" spans="1:2" ht="12.5" x14ac:dyDescent="0.25">
      <c r="A4279" t="str">
        <f ca="1">IFERROR(__xludf.DUMMYFUNCTION("""COMPUTED_VALUE"""),"OXA-226")</f>
        <v>OXA-226</v>
      </c>
      <c r="B4279" t="str">
        <f ca="1">IFERROR(__xludf.DUMMYFUNCTION("""COMPUTED_VALUE"""),"RF-00001198-PAR")</f>
        <v>RF-00001198-PAR</v>
      </c>
    </row>
    <row r="4280" spans="1:2" ht="12.5" x14ac:dyDescent="0.25">
      <c r="A4280" t="str">
        <f ca="1">IFERROR(__xludf.DUMMYFUNCTION("""COMPUTED_VALUE"""),"OXA-227")</f>
        <v>OXA-227</v>
      </c>
      <c r="B4280" t="str">
        <f ca="1">IFERROR(__xludf.DUMMYFUNCTION("""COMPUTED_VALUE"""),"RF-00001199-PAR")</f>
        <v>RF-00001199-PAR</v>
      </c>
    </row>
    <row r="4281" spans="1:2" ht="12.5" x14ac:dyDescent="0.25">
      <c r="A4281" t="str">
        <f ca="1">IFERROR(__xludf.DUMMYFUNCTION("""COMPUTED_VALUE"""),"OXA-228")</f>
        <v>OXA-228</v>
      </c>
      <c r="B4281" t="str">
        <f ca="1">IFERROR(__xludf.DUMMYFUNCTION("""COMPUTED_VALUE"""),"RF-00001200-PAR")</f>
        <v>RF-00001200-PAR</v>
      </c>
    </row>
    <row r="4282" spans="1:2" ht="12.5" x14ac:dyDescent="0.25">
      <c r="A4282" t="str">
        <f ca="1">IFERROR(__xludf.DUMMYFUNCTION("""COMPUTED_VALUE"""),"OXA-229")</f>
        <v>OXA-229</v>
      </c>
      <c r="B4282" t="str">
        <f ca="1">IFERROR(__xludf.DUMMYFUNCTION("""COMPUTED_VALUE"""),"RF-00001201-PAR")</f>
        <v>RF-00001201-PAR</v>
      </c>
    </row>
    <row r="4283" spans="1:2" ht="12.5" x14ac:dyDescent="0.25">
      <c r="A4283" t="str">
        <f ca="1">IFERROR(__xludf.DUMMYFUNCTION("""COMPUTED_VALUE"""),"OXA-23")</f>
        <v>OXA-23</v>
      </c>
      <c r="B4283" t="str">
        <f ca="1">IFERROR(__xludf.DUMMYFUNCTION("""COMPUTED_VALUE"""),"RF-00000995-PAR")</f>
        <v>RF-00000995-PAR</v>
      </c>
    </row>
    <row r="4284" spans="1:2" ht="12.5" x14ac:dyDescent="0.25">
      <c r="A4284" t="str">
        <f ca="1">IFERROR(__xludf.DUMMYFUNCTION("""COMPUTED_VALUE"""),"OXA-230")</f>
        <v>OXA-230</v>
      </c>
      <c r="B4284" t="str">
        <f ca="1">IFERROR(__xludf.DUMMYFUNCTION("""COMPUTED_VALUE"""),"RF-00001202-PAR")</f>
        <v>RF-00001202-PAR</v>
      </c>
    </row>
    <row r="4285" spans="1:2" ht="12.5" x14ac:dyDescent="0.25">
      <c r="A4285" t="str">
        <f ca="1">IFERROR(__xludf.DUMMYFUNCTION("""COMPUTED_VALUE"""),"OXA-231")</f>
        <v>OXA-231</v>
      </c>
      <c r="B4285" t="str">
        <f ca="1">IFERROR(__xludf.DUMMYFUNCTION("""COMPUTED_VALUE"""),"RF-00001203-PAR")</f>
        <v>RF-00001203-PAR</v>
      </c>
    </row>
    <row r="4286" spans="1:2" ht="12.5" x14ac:dyDescent="0.25">
      <c r="A4286" t="str">
        <f ca="1">IFERROR(__xludf.DUMMYFUNCTION("""COMPUTED_VALUE"""),"OXA-232")</f>
        <v>OXA-232</v>
      </c>
      <c r="B4286" t="str">
        <f ca="1">IFERROR(__xludf.DUMMYFUNCTION("""COMPUTED_VALUE"""),"RF-00001204-PAR")</f>
        <v>RF-00001204-PAR</v>
      </c>
    </row>
    <row r="4287" spans="1:2" ht="12.5" x14ac:dyDescent="0.25">
      <c r="A4287" t="str">
        <f ca="1">IFERROR(__xludf.DUMMYFUNCTION("""COMPUTED_VALUE"""),"OXA-233")</f>
        <v>OXA-233</v>
      </c>
      <c r="B4287" t="str">
        <f ca="1">IFERROR(__xludf.DUMMYFUNCTION("""COMPUTED_VALUE"""),"RF-00001205-PAR")</f>
        <v>RF-00001205-PAR</v>
      </c>
    </row>
    <row r="4288" spans="1:2" ht="12.5" x14ac:dyDescent="0.25">
      <c r="A4288" t="str">
        <f ca="1">IFERROR(__xludf.DUMMYFUNCTION("""COMPUTED_VALUE"""),"OXA-234")</f>
        <v>OXA-234</v>
      </c>
      <c r="B4288" t="str">
        <f ca="1">IFERROR(__xludf.DUMMYFUNCTION("""COMPUTED_VALUE"""),"RF-00001206-PAR")</f>
        <v>RF-00001206-PAR</v>
      </c>
    </row>
    <row r="4289" spans="1:2" ht="12.5" x14ac:dyDescent="0.25">
      <c r="A4289" t="str">
        <f ca="1">IFERROR(__xludf.DUMMYFUNCTION("""COMPUTED_VALUE"""),"OXA-235")</f>
        <v>OXA-235</v>
      </c>
      <c r="B4289" t="str">
        <f ca="1">IFERROR(__xludf.DUMMYFUNCTION("""COMPUTED_VALUE"""),"RF-00001207-PAR")</f>
        <v>RF-00001207-PAR</v>
      </c>
    </row>
    <row r="4290" spans="1:2" ht="12.5" x14ac:dyDescent="0.25">
      <c r="A4290" t="str">
        <f ca="1">IFERROR(__xludf.DUMMYFUNCTION("""COMPUTED_VALUE"""),"OXA-236")</f>
        <v>OXA-236</v>
      </c>
      <c r="B4290" t="str">
        <f ca="1">IFERROR(__xludf.DUMMYFUNCTION("""COMPUTED_VALUE"""),"RF-00001208-PAR")</f>
        <v>RF-00001208-PAR</v>
      </c>
    </row>
    <row r="4291" spans="1:2" ht="12.5" x14ac:dyDescent="0.25">
      <c r="A4291" t="str">
        <f ca="1">IFERROR(__xludf.DUMMYFUNCTION("""COMPUTED_VALUE"""),"OXA-237")</f>
        <v>OXA-237</v>
      </c>
      <c r="B4291" t="str">
        <f ca="1">IFERROR(__xludf.DUMMYFUNCTION("""COMPUTED_VALUE"""),"RF-00001209-PAR")</f>
        <v>RF-00001209-PAR</v>
      </c>
    </row>
    <row r="4292" spans="1:2" ht="12.5" x14ac:dyDescent="0.25">
      <c r="A4292" t="str">
        <f ca="1">IFERROR(__xludf.DUMMYFUNCTION("""COMPUTED_VALUE"""),"OXA-238")</f>
        <v>OXA-238</v>
      </c>
      <c r="B4292" t="str">
        <f ca="1">IFERROR(__xludf.DUMMYFUNCTION("""COMPUTED_VALUE"""),"RF-00001210-PAR")</f>
        <v>RF-00001210-PAR</v>
      </c>
    </row>
    <row r="4293" spans="1:2" ht="12.5" x14ac:dyDescent="0.25">
      <c r="A4293" t="str">
        <f ca="1">IFERROR(__xludf.DUMMYFUNCTION("""COMPUTED_VALUE"""),"OXA-239")</f>
        <v>OXA-239</v>
      </c>
      <c r="B4293" t="str">
        <f ca="1">IFERROR(__xludf.DUMMYFUNCTION("""COMPUTED_VALUE"""),"RF-00001211-PAR")</f>
        <v>RF-00001211-PAR</v>
      </c>
    </row>
    <row r="4294" spans="1:2" ht="12.5" x14ac:dyDescent="0.25">
      <c r="A4294" t="str">
        <f ca="1">IFERROR(__xludf.DUMMYFUNCTION("""COMPUTED_VALUE"""),"OXA-24")</f>
        <v>OXA-24</v>
      </c>
      <c r="B4294" t="str">
        <f ca="1">IFERROR(__xludf.DUMMYFUNCTION("""COMPUTED_VALUE"""),"RF-00000996-PAR")</f>
        <v>RF-00000996-PAR</v>
      </c>
    </row>
    <row r="4295" spans="1:2" ht="12.5" x14ac:dyDescent="0.25">
      <c r="A4295" t="str">
        <f ca="1">IFERROR(__xludf.DUMMYFUNCTION("""COMPUTED_VALUE"""),"OXA-240")</f>
        <v>OXA-240</v>
      </c>
      <c r="B4295" t="str">
        <f ca="1">IFERROR(__xludf.DUMMYFUNCTION("""COMPUTED_VALUE"""),"RF-00001212-PAR")</f>
        <v>RF-00001212-PAR</v>
      </c>
    </row>
    <row r="4296" spans="1:2" ht="12.5" x14ac:dyDescent="0.25">
      <c r="A4296" t="str">
        <f ca="1">IFERROR(__xludf.DUMMYFUNCTION("""COMPUTED_VALUE"""),"OXA-241")</f>
        <v>OXA-241</v>
      </c>
      <c r="B4296" t="str">
        <f ca="1">IFERROR(__xludf.DUMMYFUNCTION("""COMPUTED_VALUE"""),"RF-00001213-PAR")</f>
        <v>RF-00001213-PAR</v>
      </c>
    </row>
    <row r="4297" spans="1:2" ht="12.5" x14ac:dyDescent="0.25">
      <c r="A4297" t="str">
        <f ca="1">IFERROR(__xludf.DUMMYFUNCTION("""COMPUTED_VALUE"""),"OXA-242")</f>
        <v>OXA-242</v>
      </c>
      <c r="B4297" t="str">
        <f ca="1">IFERROR(__xludf.DUMMYFUNCTION("""COMPUTED_VALUE"""),"RF-00001214-PAR")</f>
        <v>RF-00001214-PAR</v>
      </c>
    </row>
    <row r="4298" spans="1:2" ht="12.5" x14ac:dyDescent="0.25">
      <c r="A4298" t="str">
        <f ca="1">IFERROR(__xludf.DUMMYFUNCTION("""COMPUTED_VALUE"""),"OXA-243")</f>
        <v>OXA-243</v>
      </c>
      <c r="B4298" t="str">
        <f ca="1">IFERROR(__xludf.DUMMYFUNCTION("""COMPUTED_VALUE"""),"RF-00001215-PAR")</f>
        <v>RF-00001215-PAR</v>
      </c>
    </row>
    <row r="4299" spans="1:2" ht="12.5" x14ac:dyDescent="0.25">
      <c r="A4299" t="str">
        <f ca="1">IFERROR(__xludf.DUMMYFUNCTION("""COMPUTED_VALUE"""),"OXA-244")</f>
        <v>OXA-244</v>
      </c>
      <c r="B4299" t="str">
        <f ca="1">IFERROR(__xludf.DUMMYFUNCTION("""COMPUTED_VALUE"""),"RF-00001216-PAR")</f>
        <v>RF-00001216-PAR</v>
      </c>
    </row>
    <row r="4300" spans="1:2" ht="12.5" x14ac:dyDescent="0.25">
      <c r="A4300" t="str">
        <f ca="1">IFERROR(__xludf.DUMMYFUNCTION("""COMPUTED_VALUE"""),"OXA-245")</f>
        <v>OXA-245</v>
      </c>
      <c r="B4300" t="str">
        <f ca="1">IFERROR(__xludf.DUMMYFUNCTION("""COMPUTED_VALUE"""),"RF-00001217-PAR")</f>
        <v>RF-00001217-PAR</v>
      </c>
    </row>
    <row r="4301" spans="1:2" ht="12.5" x14ac:dyDescent="0.25">
      <c r="A4301" t="str">
        <f ca="1">IFERROR(__xludf.DUMMYFUNCTION("""COMPUTED_VALUE"""),"OXA-246")</f>
        <v>OXA-246</v>
      </c>
      <c r="B4301" t="str">
        <f ca="1">IFERROR(__xludf.DUMMYFUNCTION("""COMPUTED_VALUE"""),"RF-00001218-PAR")</f>
        <v>RF-00001218-PAR</v>
      </c>
    </row>
    <row r="4302" spans="1:2" ht="12.5" x14ac:dyDescent="0.25">
      <c r="A4302" t="str">
        <f ca="1">IFERROR(__xludf.DUMMYFUNCTION("""COMPUTED_VALUE"""),"OXA-247")</f>
        <v>OXA-247</v>
      </c>
      <c r="B4302" t="str">
        <f ca="1">IFERROR(__xludf.DUMMYFUNCTION("""COMPUTED_VALUE"""),"RF-00001219-PAR")</f>
        <v>RF-00001219-PAR</v>
      </c>
    </row>
    <row r="4303" spans="1:2" ht="12.5" x14ac:dyDescent="0.25">
      <c r="A4303" t="str">
        <f ca="1">IFERROR(__xludf.DUMMYFUNCTION("""COMPUTED_VALUE"""),"OXA-248")</f>
        <v>OXA-248</v>
      </c>
      <c r="B4303" t="str">
        <f ca="1">IFERROR(__xludf.DUMMYFUNCTION("""COMPUTED_VALUE"""),"RF-00001220-PAR")</f>
        <v>RF-00001220-PAR</v>
      </c>
    </row>
    <row r="4304" spans="1:2" ht="12.5" x14ac:dyDescent="0.25">
      <c r="A4304" t="str">
        <f ca="1">IFERROR(__xludf.DUMMYFUNCTION("""COMPUTED_VALUE"""),"OXA-249")</f>
        <v>OXA-249</v>
      </c>
      <c r="B4304" t="str">
        <f ca="1">IFERROR(__xludf.DUMMYFUNCTION("""COMPUTED_VALUE"""),"RF-00001221-PAR")</f>
        <v>RF-00001221-PAR</v>
      </c>
    </row>
    <row r="4305" spans="1:2" ht="12.5" x14ac:dyDescent="0.25">
      <c r="A4305" t="str">
        <f ca="1">IFERROR(__xludf.DUMMYFUNCTION("""COMPUTED_VALUE"""),"OXA-25")</f>
        <v>OXA-25</v>
      </c>
      <c r="B4305" t="str">
        <f ca="1">IFERROR(__xludf.DUMMYFUNCTION("""COMPUTED_VALUE"""),"RF-00000997-PAR")</f>
        <v>RF-00000997-PAR</v>
      </c>
    </row>
    <row r="4306" spans="1:2" ht="12.5" x14ac:dyDescent="0.25">
      <c r="A4306" t="str">
        <f ca="1">IFERROR(__xludf.DUMMYFUNCTION("""COMPUTED_VALUE"""),"OXA-250")</f>
        <v>OXA-250</v>
      </c>
      <c r="B4306" t="str">
        <f ca="1">IFERROR(__xludf.DUMMYFUNCTION("""COMPUTED_VALUE"""),"RF-00001222-PAR")</f>
        <v>RF-00001222-PAR</v>
      </c>
    </row>
    <row r="4307" spans="1:2" ht="12.5" x14ac:dyDescent="0.25">
      <c r="A4307" t="str">
        <f ca="1">IFERROR(__xludf.DUMMYFUNCTION("""COMPUTED_VALUE"""),"OXA-251")</f>
        <v>OXA-251</v>
      </c>
      <c r="B4307" t="str">
        <f ca="1">IFERROR(__xludf.DUMMYFUNCTION("""COMPUTED_VALUE"""),"RF-00001223-PAR")</f>
        <v>RF-00001223-PAR</v>
      </c>
    </row>
    <row r="4308" spans="1:2" ht="12.5" x14ac:dyDescent="0.25">
      <c r="A4308" t="str">
        <f ca="1">IFERROR(__xludf.DUMMYFUNCTION("""COMPUTED_VALUE"""),"OXA-252")</f>
        <v>OXA-252</v>
      </c>
      <c r="B4308" t="str">
        <f ca="1">IFERROR(__xludf.DUMMYFUNCTION("""COMPUTED_VALUE"""),"RF-00001224-PAR")</f>
        <v>RF-00001224-PAR</v>
      </c>
    </row>
    <row r="4309" spans="1:2" ht="12.5" x14ac:dyDescent="0.25">
      <c r="A4309" t="str">
        <f ca="1">IFERROR(__xludf.DUMMYFUNCTION("""COMPUTED_VALUE"""),"OXA-253")</f>
        <v>OXA-253</v>
      </c>
      <c r="B4309" t="str">
        <f ca="1">IFERROR(__xludf.DUMMYFUNCTION("""COMPUTED_VALUE"""),"RF-00001225-PAR")</f>
        <v>RF-00001225-PAR</v>
      </c>
    </row>
    <row r="4310" spans="1:2" ht="12.5" x14ac:dyDescent="0.25">
      <c r="A4310" t="str">
        <f ca="1">IFERROR(__xludf.DUMMYFUNCTION("""COMPUTED_VALUE"""),"OXA-254")</f>
        <v>OXA-254</v>
      </c>
      <c r="B4310" t="str">
        <f ca="1">IFERROR(__xludf.DUMMYFUNCTION("""COMPUTED_VALUE"""),"RF-00001226-PAR")</f>
        <v>RF-00001226-PAR</v>
      </c>
    </row>
    <row r="4311" spans="1:2" ht="12.5" x14ac:dyDescent="0.25">
      <c r="A4311" t="str">
        <f ca="1">IFERROR(__xludf.DUMMYFUNCTION("""COMPUTED_VALUE"""),"OXA-255")</f>
        <v>OXA-255</v>
      </c>
      <c r="B4311" t="str">
        <f ca="1">IFERROR(__xludf.DUMMYFUNCTION("""COMPUTED_VALUE"""),"RF-00001227-PAR")</f>
        <v>RF-00001227-PAR</v>
      </c>
    </row>
    <row r="4312" spans="1:2" ht="12.5" x14ac:dyDescent="0.25">
      <c r="A4312" t="str">
        <f ca="1">IFERROR(__xludf.DUMMYFUNCTION("""COMPUTED_VALUE"""),"OXA-256")</f>
        <v>OXA-256</v>
      </c>
      <c r="B4312" t="str">
        <f ca="1">IFERROR(__xludf.DUMMYFUNCTION("""COMPUTED_VALUE"""),"RF-00001228-PAR")</f>
        <v>RF-00001228-PAR</v>
      </c>
    </row>
    <row r="4313" spans="1:2" ht="12.5" x14ac:dyDescent="0.25">
      <c r="A4313" t="str">
        <f ca="1">IFERROR(__xludf.DUMMYFUNCTION("""COMPUTED_VALUE"""),"OXA-257")</f>
        <v>OXA-257</v>
      </c>
      <c r="B4313" t="str">
        <f ca="1">IFERROR(__xludf.DUMMYFUNCTION("""COMPUTED_VALUE"""),"RF-00001229-PAR")</f>
        <v>RF-00001229-PAR</v>
      </c>
    </row>
    <row r="4314" spans="1:2" ht="12.5" x14ac:dyDescent="0.25">
      <c r="A4314" t="str">
        <f ca="1">IFERROR(__xludf.DUMMYFUNCTION("""COMPUTED_VALUE"""),"OXA-26")</f>
        <v>OXA-26</v>
      </c>
      <c r="B4314" t="str">
        <f ca="1">IFERROR(__xludf.DUMMYFUNCTION("""COMPUTED_VALUE"""),"RF-00000998-PAR")</f>
        <v>RF-00000998-PAR</v>
      </c>
    </row>
    <row r="4315" spans="1:2" ht="12.5" x14ac:dyDescent="0.25">
      <c r="A4315" t="str">
        <f ca="1">IFERROR(__xludf.DUMMYFUNCTION("""COMPUTED_VALUE"""),"OXA-27")</f>
        <v>OXA-27</v>
      </c>
      <c r="B4315" t="str">
        <f ca="1">IFERROR(__xludf.DUMMYFUNCTION("""COMPUTED_VALUE"""),"RF-00000999-PAR")</f>
        <v>RF-00000999-PAR</v>
      </c>
    </row>
    <row r="4316" spans="1:2" ht="12.5" x14ac:dyDescent="0.25">
      <c r="A4316" t="str">
        <f ca="1">IFERROR(__xludf.DUMMYFUNCTION("""COMPUTED_VALUE"""),"OXA-28")</f>
        <v>OXA-28</v>
      </c>
      <c r="B4316" t="str">
        <f ca="1">IFERROR(__xludf.DUMMYFUNCTION("""COMPUTED_VALUE"""),"RF-00001000-PAR")</f>
        <v>RF-00001000-PAR</v>
      </c>
    </row>
    <row r="4317" spans="1:2" ht="12.5" x14ac:dyDescent="0.25">
      <c r="A4317" t="str">
        <f ca="1">IFERROR(__xludf.DUMMYFUNCTION("""COMPUTED_VALUE"""),"OXA-29")</f>
        <v>OXA-29</v>
      </c>
      <c r="B4317" t="str">
        <f ca="1">IFERROR(__xludf.DUMMYFUNCTION("""COMPUTED_VALUE"""),"RF-00001001-PAR")</f>
        <v>RF-00001001-PAR</v>
      </c>
    </row>
    <row r="4318" spans="1:2" ht="12.5" x14ac:dyDescent="0.25">
      <c r="A4318" t="str">
        <f ca="1">IFERROR(__xludf.DUMMYFUNCTION("""COMPUTED_VALUE"""),"OXA-3")</f>
        <v>OXA-3</v>
      </c>
      <c r="B4318" t="str">
        <f ca="1">IFERROR(__xludf.DUMMYFUNCTION("""COMPUTED_VALUE"""),"RF-00000975-PAR")</f>
        <v>RF-00000975-PAR</v>
      </c>
    </row>
    <row r="4319" spans="1:2" ht="12.5" x14ac:dyDescent="0.25">
      <c r="A4319" t="str">
        <f ca="1">IFERROR(__xludf.DUMMYFUNCTION("""COMPUTED_VALUE"""),"OXA-30")</f>
        <v>OXA-30</v>
      </c>
      <c r="B4319" t="str">
        <f ca="1">IFERROR(__xludf.DUMMYFUNCTION("""COMPUTED_VALUE"""),"RF-00001002-PAR")</f>
        <v>RF-00001002-PAR</v>
      </c>
    </row>
    <row r="4320" spans="1:2" ht="12.5" x14ac:dyDescent="0.25">
      <c r="A4320" t="str">
        <f ca="1">IFERROR(__xludf.DUMMYFUNCTION("""COMPUTED_VALUE"""),"OXA-31")</f>
        <v>OXA-31</v>
      </c>
      <c r="B4320" t="str">
        <f ca="1">IFERROR(__xludf.DUMMYFUNCTION("""COMPUTED_VALUE"""),"RF-00001003-PAR")</f>
        <v>RF-00001003-PAR</v>
      </c>
    </row>
    <row r="4321" spans="1:2" ht="12.5" x14ac:dyDescent="0.25">
      <c r="A4321" t="str">
        <f ca="1">IFERROR(__xludf.DUMMYFUNCTION("""COMPUTED_VALUE"""),"OXA-32")</f>
        <v>OXA-32</v>
      </c>
      <c r="B4321" t="str">
        <f ca="1">IFERROR(__xludf.DUMMYFUNCTION("""COMPUTED_VALUE"""),"RF-00001004-PAR")</f>
        <v>RF-00001004-PAR</v>
      </c>
    </row>
    <row r="4322" spans="1:2" ht="12.5" x14ac:dyDescent="0.25">
      <c r="A4322" t="str">
        <f ca="1">IFERROR(__xludf.DUMMYFUNCTION("""COMPUTED_VALUE"""),"OXA-33")</f>
        <v>OXA-33</v>
      </c>
      <c r="B4322" t="str">
        <f ca="1">IFERROR(__xludf.DUMMYFUNCTION("""COMPUTED_VALUE"""),"RF-00001005-PAR")</f>
        <v>RF-00001005-PAR</v>
      </c>
    </row>
    <row r="4323" spans="1:2" ht="12.5" x14ac:dyDescent="0.25">
      <c r="A4323" t="str">
        <f ca="1">IFERROR(__xludf.DUMMYFUNCTION("""COMPUTED_VALUE"""),"OXA-34")</f>
        <v>OXA-34</v>
      </c>
      <c r="B4323" t="str">
        <f ca="1">IFERROR(__xludf.DUMMYFUNCTION("""COMPUTED_VALUE"""),"RF-00001006-PAR")</f>
        <v>RF-00001006-PAR</v>
      </c>
    </row>
    <row r="4324" spans="1:2" ht="12.5" x14ac:dyDescent="0.25">
      <c r="A4324" t="str">
        <f ca="1">IFERROR(__xludf.DUMMYFUNCTION("""COMPUTED_VALUE"""),"OXA-35")</f>
        <v>OXA-35</v>
      </c>
      <c r="B4324" t="str">
        <f ca="1">IFERROR(__xludf.DUMMYFUNCTION("""COMPUTED_VALUE"""),"RF-00001007-PAR")</f>
        <v>RF-00001007-PAR</v>
      </c>
    </row>
    <row r="4325" spans="1:2" ht="12.5" x14ac:dyDescent="0.25">
      <c r="A4325" t="str">
        <f ca="1">IFERROR(__xludf.DUMMYFUNCTION("""COMPUTED_VALUE"""),"OXA-36")</f>
        <v>OXA-36</v>
      </c>
      <c r="B4325" t="str">
        <f ca="1">IFERROR(__xludf.DUMMYFUNCTION("""COMPUTED_VALUE"""),"RF-00001008-PAR")</f>
        <v>RF-00001008-PAR</v>
      </c>
    </row>
    <row r="4326" spans="1:2" ht="12.5" x14ac:dyDescent="0.25">
      <c r="A4326" t="str">
        <f ca="1">IFERROR(__xludf.DUMMYFUNCTION("""COMPUTED_VALUE"""),"OXA-37")</f>
        <v>OXA-37</v>
      </c>
      <c r="B4326" t="str">
        <f ca="1">IFERROR(__xludf.DUMMYFUNCTION("""COMPUTED_VALUE"""),"RF-00001009-PAR")</f>
        <v>RF-00001009-PAR</v>
      </c>
    </row>
    <row r="4327" spans="1:2" ht="12.5" x14ac:dyDescent="0.25">
      <c r="A4327" t="str">
        <f ca="1">IFERROR(__xludf.DUMMYFUNCTION("""COMPUTED_VALUE"""),"OXA-38")</f>
        <v>OXA-38</v>
      </c>
      <c r="B4327" t="str">
        <f ca="1">IFERROR(__xludf.DUMMYFUNCTION("""COMPUTED_VALUE"""),"RF-00001010-PAR")</f>
        <v>RF-00001010-PAR</v>
      </c>
    </row>
    <row r="4328" spans="1:2" ht="12.5" x14ac:dyDescent="0.25">
      <c r="A4328" t="str">
        <f ca="1">IFERROR(__xludf.DUMMYFUNCTION("""COMPUTED_VALUE"""),"OXA-39")</f>
        <v>OXA-39</v>
      </c>
      <c r="B4328" t="str">
        <f ca="1">IFERROR(__xludf.DUMMYFUNCTION("""COMPUTED_VALUE"""),"RF-00001011-PAR")</f>
        <v>RF-00001011-PAR</v>
      </c>
    </row>
    <row r="4329" spans="1:2" ht="12.5" x14ac:dyDescent="0.25">
      <c r="A4329" t="str">
        <f ca="1">IFERROR(__xludf.DUMMYFUNCTION("""COMPUTED_VALUE"""),"OXA-4")</f>
        <v>OXA-4</v>
      </c>
      <c r="B4329" t="str">
        <f ca="1">IFERROR(__xludf.DUMMYFUNCTION("""COMPUTED_VALUE"""),"RF-00000976-PAR")</f>
        <v>RF-00000976-PAR</v>
      </c>
    </row>
    <row r="4330" spans="1:2" ht="12.5" x14ac:dyDescent="0.25">
      <c r="A4330" t="str">
        <f ca="1">IFERROR(__xludf.DUMMYFUNCTION("""COMPUTED_VALUE"""),"OXA-40")</f>
        <v>OXA-40</v>
      </c>
      <c r="B4330" t="str">
        <f ca="1">IFERROR(__xludf.DUMMYFUNCTION("""COMPUTED_VALUE"""),"RF-00001012-PAR")</f>
        <v>RF-00001012-PAR</v>
      </c>
    </row>
    <row r="4331" spans="1:2" ht="12.5" x14ac:dyDescent="0.25">
      <c r="A4331" t="str">
        <f ca="1">IFERROR(__xludf.DUMMYFUNCTION("""COMPUTED_VALUE"""),"OXA-41")</f>
        <v>OXA-41</v>
      </c>
      <c r="B4331" t="str">
        <f ca="1">IFERROR(__xludf.DUMMYFUNCTION("""COMPUTED_VALUE"""),"RF-00001013-PAR")</f>
        <v>RF-00001013-PAR</v>
      </c>
    </row>
    <row r="4332" spans="1:2" ht="12.5" x14ac:dyDescent="0.25">
      <c r="A4332" t="str">
        <f ca="1">IFERROR(__xludf.DUMMYFUNCTION("""COMPUTED_VALUE"""),"OXA-42")</f>
        <v>OXA-42</v>
      </c>
      <c r="B4332" t="str">
        <f ca="1">IFERROR(__xludf.DUMMYFUNCTION("""COMPUTED_VALUE"""),"RF-00001014-PAR")</f>
        <v>RF-00001014-PAR</v>
      </c>
    </row>
    <row r="4333" spans="1:2" ht="12.5" x14ac:dyDescent="0.25">
      <c r="A4333" t="str">
        <f ca="1">IFERROR(__xludf.DUMMYFUNCTION("""COMPUTED_VALUE"""),"OXA-43")</f>
        <v>OXA-43</v>
      </c>
      <c r="B4333" t="str">
        <f ca="1">IFERROR(__xludf.DUMMYFUNCTION("""COMPUTED_VALUE"""),"RF-00001015-PAR")</f>
        <v>RF-00001015-PAR</v>
      </c>
    </row>
    <row r="4334" spans="1:2" ht="12.5" x14ac:dyDescent="0.25">
      <c r="A4334" t="str">
        <f ca="1">IFERROR(__xludf.DUMMYFUNCTION("""COMPUTED_VALUE"""),"OXA-44")</f>
        <v>OXA-44</v>
      </c>
      <c r="B4334" t="str">
        <f ca="1">IFERROR(__xludf.DUMMYFUNCTION("""COMPUTED_VALUE"""),"RF-00001016-PAR")</f>
        <v>RF-00001016-PAR</v>
      </c>
    </row>
    <row r="4335" spans="1:2" ht="12.5" x14ac:dyDescent="0.25">
      <c r="A4335" t="str">
        <f ca="1">IFERROR(__xludf.DUMMYFUNCTION("""COMPUTED_VALUE"""),"OXA-45")</f>
        <v>OXA-45</v>
      </c>
      <c r="B4335" t="str">
        <f ca="1">IFERROR(__xludf.DUMMYFUNCTION("""COMPUTED_VALUE"""),"RF-00001017-PAR")</f>
        <v>RF-00001017-PAR</v>
      </c>
    </row>
    <row r="4336" spans="1:2" ht="12.5" x14ac:dyDescent="0.25">
      <c r="A4336" t="str">
        <f ca="1">IFERROR(__xludf.DUMMYFUNCTION("""COMPUTED_VALUE"""),"OXA-46")</f>
        <v>OXA-46</v>
      </c>
      <c r="B4336" t="str">
        <f ca="1">IFERROR(__xludf.DUMMYFUNCTION("""COMPUTED_VALUE"""),"RF-00001018-PAR")</f>
        <v>RF-00001018-PAR</v>
      </c>
    </row>
    <row r="4337" spans="1:2" ht="12.5" x14ac:dyDescent="0.25">
      <c r="A4337" t="str">
        <f ca="1">IFERROR(__xludf.DUMMYFUNCTION("""COMPUTED_VALUE"""),"OXA-47")</f>
        <v>OXA-47</v>
      </c>
      <c r="B4337" t="str">
        <f ca="1">IFERROR(__xludf.DUMMYFUNCTION("""COMPUTED_VALUE"""),"RF-00001019-PAR")</f>
        <v>RF-00001019-PAR</v>
      </c>
    </row>
    <row r="4338" spans="1:2" ht="12.5" x14ac:dyDescent="0.25">
      <c r="A4338" t="str">
        <f ca="1">IFERROR(__xludf.DUMMYFUNCTION("""COMPUTED_VALUE"""),"OXA-48")</f>
        <v>OXA-48</v>
      </c>
      <c r="B4338" t="str">
        <f ca="1">IFERROR(__xludf.DUMMYFUNCTION("""COMPUTED_VALUE"""),"RF-00001020-PAR")</f>
        <v>RF-00001020-PAR</v>
      </c>
    </row>
    <row r="4339" spans="1:2" ht="12.5" x14ac:dyDescent="0.25">
      <c r="A4339" t="str">
        <f ca="1">IFERROR(__xludf.DUMMYFUNCTION("""COMPUTED_VALUE"""),"OXA-49")</f>
        <v>OXA-49</v>
      </c>
      <c r="B4339" t="str">
        <f ca="1">IFERROR(__xludf.DUMMYFUNCTION("""COMPUTED_VALUE"""),"RF-00001021-PAR")</f>
        <v>RF-00001021-PAR</v>
      </c>
    </row>
    <row r="4340" spans="1:2" ht="12.5" x14ac:dyDescent="0.25">
      <c r="A4340" t="str">
        <f ca="1">IFERROR(__xludf.DUMMYFUNCTION("""COMPUTED_VALUE"""),"OXA-5")</f>
        <v>OXA-5</v>
      </c>
      <c r="B4340" t="str">
        <f ca="1">IFERROR(__xludf.DUMMYFUNCTION("""COMPUTED_VALUE"""),"RF-00000977-PAR")</f>
        <v>RF-00000977-PAR</v>
      </c>
    </row>
    <row r="4341" spans="1:2" ht="12.5" x14ac:dyDescent="0.25">
      <c r="A4341" t="str">
        <f ca="1">IFERROR(__xludf.DUMMYFUNCTION("""COMPUTED_VALUE"""),"OXA-50")</f>
        <v>OXA-50</v>
      </c>
      <c r="B4341" t="str">
        <f ca="1">IFERROR(__xludf.DUMMYFUNCTION("""COMPUTED_VALUE"""),"RF-00001022-PAR")</f>
        <v>RF-00001022-PAR</v>
      </c>
    </row>
    <row r="4342" spans="1:2" ht="12.5" x14ac:dyDescent="0.25">
      <c r="A4342" t="str">
        <f ca="1">IFERROR(__xludf.DUMMYFUNCTION("""COMPUTED_VALUE"""),"OXA-51")</f>
        <v>OXA-51</v>
      </c>
      <c r="B4342" t="str">
        <f ca="1">IFERROR(__xludf.DUMMYFUNCTION("""COMPUTED_VALUE"""),"RF-00001023-PAR")</f>
        <v>RF-00001023-PAR</v>
      </c>
    </row>
    <row r="4343" spans="1:2" ht="12.5" x14ac:dyDescent="0.25">
      <c r="A4343" t="str">
        <f ca="1">IFERROR(__xludf.DUMMYFUNCTION("""COMPUTED_VALUE"""),"OXA-52")</f>
        <v>OXA-52</v>
      </c>
      <c r="B4343" t="str">
        <f ca="1">IFERROR(__xludf.DUMMYFUNCTION("""COMPUTED_VALUE"""),"RF-00001024-PAR")</f>
        <v>RF-00001024-PAR</v>
      </c>
    </row>
    <row r="4344" spans="1:2" ht="12.5" x14ac:dyDescent="0.25">
      <c r="A4344" t="str">
        <f ca="1">IFERROR(__xludf.DUMMYFUNCTION("""COMPUTED_VALUE"""),"OXA-53")</f>
        <v>OXA-53</v>
      </c>
      <c r="B4344" t="str">
        <f ca="1">IFERROR(__xludf.DUMMYFUNCTION("""COMPUTED_VALUE"""),"RF-00001025-PAR")</f>
        <v>RF-00001025-PAR</v>
      </c>
    </row>
    <row r="4345" spans="1:2" ht="12.5" x14ac:dyDescent="0.25">
      <c r="A4345" t="str">
        <f ca="1">IFERROR(__xludf.DUMMYFUNCTION("""COMPUTED_VALUE"""),"OXA-54")</f>
        <v>OXA-54</v>
      </c>
      <c r="B4345" t="str">
        <f ca="1">IFERROR(__xludf.DUMMYFUNCTION("""COMPUTED_VALUE"""),"RF-00001026-PAR")</f>
        <v>RF-00001026-PAR</v>
      </c>
    </row>
    <row r="4346" spans="1:2" ht="12.5" x14ac:dyDescent="0.25">
      <c r="A4346" t="str">
        <f ca="1">IFERROR(__xludf.DUMMYFUNCTION("""COMPUTED_VALUE"""),"OXA-55")</f>
        <v>OXA-55</v>
      </c>
      <c r="B4346" t="str">
        <f ca="1">IFERROR(__xludf.DUMMYFUNCTION("""COMPUTED_VALUE"""),"RF-00001027-PAR")</f>
        <v>RF-00001027-PAR</v>
      </c>
    </row>
    <row r="4347" spans="1:2" ht="12.5" x14ac:dyDescent="0.25">
      <c r="A4347" t="str">
        <f ca="1">IFERROR(__xludf.DUMMYFUNCTION("""COMPUTED_VALUE"""),"OXA-56")</f>
        <v>OXA-56</v>
      </c>
      <c r="B4347" t="str">
        <f ca="1">IFERROR(__xludf.DUMMYFUNCTION("""COMPUTED_VALUE"""),"RF-00001028-PAR")</f>
        <v>RF-00001028-PAR</v>
      </c>
    </row>
    <row r="4348" spans="1:2" ht="12.5" x14ac:dyDescent="0.25">
      <c r="A4348" t="str">
        <f ca="1">IFERROR(__xludf.DUMMYFUNCTION("""COMPUTED_VALUE"""),"OXA-57")</f>
        <v>OXA-57</v>
      </c>
      <c r="B4348" t="str">
        <f ca="1">IFERROR(__xludf.DUMMYFUNCTION("""COMPUTED_VALUE"""),"RF-00001029-PAR")</f>
        <v>RF-00001029-PAR</v>
      </c>
    </row>
    <row r="4349" spans="1:2" ht="12.5" x14ac:dyDescent="0.25">
      <c r="A4349" t="str">
        <f ca="1">IFERROR(__xludf.DUMMYFUNCTION("""COMPUTED_VALUE"""),"OXA-58")</f>
        <v>OXA-58</v>
      </c>
      <c r="B4349" t="str">
        <f ca="1">IFERROR(__xludf.DUMMYFUNCTION("""COMPUTED_VALUE"""),"RF-00001030-PAR")</f>
        <v>RF-00001030-PAR</v>
      </c>
    </row>
    <row r="4350" spans="1:2" ht="12.5" x14ac:dyDescent="0.25">
      <c r="A4350" t="str">
        <f ca="1">IFERROR(__xludf.DUMMYFUNCTION("""COMPUTED_VALUE"""),"OXA-59")</f>
        <v>OXA-59</v>
      </c>
      <c r="B4350" t="str">
        <f ca="1">IFERROR(__xludf.DUMMYFUNCTION("""COMPUTED_VALUE"""),"RF-00001031-PAR")</f>
        <v>RF-00001031-PAR</v>
      </c>
    </row>
    <row r="4351" spans="1:2" ht="12.5" x14ac:dyDescent="0.25">
      <c r="A4351" t="str">
        <f ca="1">IFERROR(__xludf.DUMMYFUNCTION("""COMPUTED_VALUE"""),"OXA-6")</f>
        <v>OXA-6</v>
      </c>
      <c r="B4351" t="str">
        <f ca="1">IFERROR(__xludf.DUMMYFUNCTION("""COMPUTED_VALUE"""),"RF-00000978-PAR")</f>
        <v>RF-00000978-PAR</v>
      </c>
    </row>
    <row r="4352" spans="1:2" ht="12.5" x14ac:dyDescent="0.25">
      <c r="A4352" t="str">
        <f ca="1">IFERROR(__xludf.DUMMYFUNCTION("""COMPUTED_VALUE"""),"OXA-60")</f>
        <v>OXA-60</v>
      </c>
      <c r="B4352" t="str">
        <f ca="1">IFERROR(__xludf.DUMMYFUNCTION("""COMPUTED_VALUE"""),"RF-00001032-PAR")</f>
        <v>RF-00001032-PAR</v>
      </c>
    </row>
    <row r="4353" spans="1:2" ht="12.5" x14ac:dyDescent="0.25">
      <c r="A4353" t="str">
        <f ca="1">IFERROR(__xludf.DUMMYFUNCTION("""COMPUTED_VALUE"""),"OXA-61")</f>
        <v>OXA-61</v>
      </c>
      <c r="B4353" t="str">
        <f ca="1">IFERROR(__xludf.DUMMYFUNCTION("""COMPUTED_VALUE"""),"RF-00001033-PAR")</f>
        <v>RF-00001033-PAR</v>
      </c>
    </row>
    <row r="4354" spans="1:2" ht="12.5" x14ac:dyDescent="0.25">
      <c r="A4354" t="str">
        <f ca="1">IFERROR(__xludf.DUMMYFUNCTION("""COMPUTED_VALUE"""),"OXA-62")</f>
        <v>OXA-62</v>
      </c>
      <c r="B4354" t="str">
        <f ca="1">IFERROR(__xludf.DUMMYFUNCTION("""COMPUTED_VALUE"""),"RF-00001034-PAR")</f>
        <v>RF-00001034-PAR</v>
      </c>
    </row>
    <row r="4355" spans="1:2" ht="12.5" x14ac:dyDescent="0.25">
      <c r="A4355" t="str">
        <f ca="1">IFERROR(__xludf.DUMMYFUNCTION("""COMPUTED_VALUE"""),"OXA-63")</f>
        <v>OXA-63</v>
      </c>
      <c r="B4355" t="str">
        <f ca="1">IFERROR(__xludf.DUMMYFUNCTION("""COMPUTED_VALUE"""),"RF-00001035-PAR")</f>
        <v>RF-00001035-PAR</v>
      </c>
    </row>
    <row r="4356" spans="1:2" ht="12.5" x14ac:dyDescent="0.25">
      <c r="A4356" t="str">
        <f ca="1">IFERROR(__xludf.DUMMYFUNCTION("""COMPUTED_VALUE"""),"OXA-64")</f>
        <v>OXA-64</v>
      </c>
      <c r="B4356" t="str">
        <f ca="1">IFERROR(__xludf.DUMMYFUNCTION("""COMPUTED_VALUE"""),"RF-00001036-PAR")</f>
        <v>RF-00001036-PAR</v>
      </c>
    </row>
    <row r="4357" spans="1:2" ht="12.5" x14ac:dyDescent="0.25">
      <c r="A4357" t="str">
        <f ca="1">IFERROR(__xludf.DUMMYFUNCTION("""COMPUTED_VALUE"""),"OXA-65")</f>
        <v>OXA-65</v>
      </c>
      <c r="B4357" t="str">
        <f ca="1">IFERROR(__xludf.DUMMYFUNCTION("""COMPUTED_VALUE"""),"RF-00001037-PAR")</f>
        <v>RF-00001037-PAR</v>
      </c>
    </row>
    <row r="4358" spans="1:2" ht="12.5" x14ac:dyDescent="0.25">
      <c r="A4358" t="str">
        <f ca="1">IFERROR(__xludf.DUMMYFUNCTION("""COMPUTED_VALUE"""),"OXA-66")</f>
        <v>OXA-66</v>
      </c>
      <c r="B4358" t="str">
        <f ca="1">IFERROR(__xludf.DUMMYFUNCTION("""COMPUTED_VALUE"""),"RF-00001038-PAR")</f>
        <v>RF-00001038-PAR</v>
      </c>
    </row>
    <row r="4359" spans="1:2" ht="12.5" x14ac:dyDescent="0.25">
      <c r="A4359" t="str">
        <f ca="1">IFERROR(__xludf.DUMMYFUNCTION("""COMPUTED_VALUE"""),"OXA-67")</f>
        <v>OXA-67</v>
      </c>
      <c r="B4359" t="str">
        <f ca="1">IFERROR(__xludf.DUMMYFUNCTION("""COMPUTED_VALUE"""),"RF-00001039-PAR")</f>
        <v>RF-00001039-PAR</v>
      </c>
    </row>
    <row r="4360" spans="1:2" ht="12.5" x14ac:dyDescent="0.25">
      <c r="A4360" t="str">
        <f ca="1">IFERROR(__xludf.DUMMYFUNCTION("""COMPUTED_VALUE"""),"OXA-68")</f>
        <v>OXA-68</v>
      </c>
      <c r="B4360" t="str">
        <f ca="1">IFERROR(__xludf.DUMMYFUNCTION("""COMPUTED_VALUE"""),"RF-00001040-PAR")</f>
        <v>RF-00001040-PAR</v>
      </c>
    </row>
    <row r="4361" spans="1:2" ht="12.5" x14ac:dyDescent="0.25">
      <c r="A4361" t="str">
        <f ca="1">IFERROR(__xludf.DUMMYFUNCTION("""COMPUTED_VALUE"""),"OXA-69")</f>
        <v>OXA-69</v>
      </c>
      <c r="B4361" t="str">
        <f ca="1">IFERROR(__xludf.DUMMYFUNCTION("""COMPUTED_VALUE"""),"RF-00001041-PAR")</f>
        <v>RF-00001041-PAR</v>
      </c>
    </row>
    <row r="4362" spans="1:2" ht="12.5" x14ac:dyDescent="0.25">
      <c r="A4362" t="str">
        <f ca="1">IFERROR(__xludf.DUMMYFUNCTION("""COMPUTED_VALUE"""),"OXA-7")</f>
        <v>OXA-7</v>
      </c>
      <c r="B4362" t="str">
        <f ca="1">IFERROR(__xludf.DUMMYFUNCTION("""COMPUTED_VALUE"""),"RF-00000979-PAR")</f>
        <v>RF-00000979-PAR</v>
      </c>
    </row>
    <row r="4363" spans="1:2" ht="12.5" x14ac:dyDescent="0.25">
      <c r="A4363" t="str">
        <f ca="1">IFERROR(__xludf.DUMMYFUNCTION("""COMPUTED_VALUE"""),"OXA-70")</f>
        <v>OXA-70</v>
      </c>
      <c r="B4363" t="str">
        <f ca="1">IFERROR(__xludf.DUMMYFUNCTION("""COMPUTED_VALUE"""),"RF-00001042-PAR")</f>
        <v>RF-00001042-PAR</v>
      </c>
    </row>
    <row r="4364" spans="1:2" ht="12.5" x14ac:dyDescent="0.25">
      <c r="A4364" t="str">
        <f ca="1">IFERROR(__xludf.DUMMYFUNCTION("""COMPUTED_VALUE"""),"OXA-71")</f>
        <v>OXA-71</v>
      </c>
      <c r="B4364" t="str">
        <f ca="1">IFERROR(__xludf.DUMMYFUNCTION("""COMPUTED_VALUE"""),"RF-00001043-PAR")</f>
        <v>RF-00001043-PAR</v>
      </c>
    </row>
    <row r="4365" spans="1:2" ht="12.5" x14ac:dyDescent="0.25">
      <c r="A4365" t="str">
        <f ca="1">IFERROR(__xludf.DUMMYFUNCTION("""COMPUTED_VALUE"""),"OXA-72")</f>
        <v>OXA-72</v>
      </c>
      <c r="B4365" t="str">
        <f ca="1">IFERROR(__xludf.DUMMYFUNCTION("""COMPUTED_VALUE"""),"RF-00001044-PAR")</f>
        <v>RF-00001044-PAR</v>
      </c>
    </row>
    <row r="4366" spans="1:2" ht="12.5" x14ac:dyDescent="0.25">
      <c r="A4366" t="str">
        <f ca="1">IFERROR(__xludf.DUMMYFUNCTION("""COMPUTED_VALUE"""),"OXA-73")</f>
        <v>OXA-73</v>
      </c>
      <c r="B4366" t="str">
        <f ca="1">IFERROR(__xludf.DUMMYFUNCTION("""COMPUTED_VALUE"""),"RF-00001045-PAR")</f>
        <v>RF-00001045-PAR</v>
      </c>
    </row>
    <row r="4367" spans="1:2" ht="12.5" x14ac:dyDescent="0.25">
      <c r="A4367" t="str">
        <f ca="1">IFERROR(__xludf.DUMMYFUNCTION("""COMPUTED_VALUE"""),"OXA-74")</f>
        <v>OXA-74</v>
      </c>
      <c r="B4367" t="str">
        <f ca="1">IFERROR(__xludf.DUMMYFUNCTION("""COMPUTED_VALUE"""),"RF-00001046-PAR")</f>
        <v>RF-00001046-PAR</v>
      </c>
    </row>
    <row r="4368" spans="1:2" ht="12.5" x14ac:dyDescent="0.25">
      <c r="A4368" t="str">
        <f ca="1">IFERROR(__xludf.DUMMYFUNCTION("""COMPUTED_VALUE"""),"OXA-75")</f>
        <v>OXA-75</v>
      </c>
      <c r="B4368" t="str">
        <f ca="1">IFERROR(__xludf.DUMMYFUNCTION("""COMPUTED_VALUE"""),"RF-00001047-PAR")</f>
        <v>RF-00001047-PAR</v>
      </c>
    </row>
    <row r="4369" spans="1:2" ht="12.5" x14ac:dyDescent="0.25">
      <c r="A4369" t="str">
        <f ca="1">IFERROR(__xludf.DUMMYFUNCTION("""COMPUTED_VALUE"""),"OXA-76")</f>
        <v>OXA-76</v>
      </c>
      <c r="B4369" t="str">
        <f ca="1">IFERROR(__xludf.DUMMYFUNCTION("""COMPUTED_VALUE"""),"RF-00001048-PAR")</f>
        <v>RF-00001048-PAR</v>
      </c>
    </row>
    <row r="4370" spans="1:2" ht="12.5" x14ac:dyDescent="0.25">
      <c r="A4370" t="str">
        <f ca="1">IFERROR(__xludf.DUMMYFUNCTION("""COMPUTED_VALUE"""),"OXA-77")</f>
        <v>OXA-77</v>
      </c>
      <c r="B4370" t="str">
        <f ca="1">IFERROR(__xludf.DUMMYFUNCTION("""COMPUTED_VALUE"""),"RF-00001049-PAR")</f>
        <v>RF-00001049-PAR</v>
      </c>
    </row>
    <row r="4371" spans="1:2" ht="12.5" x14ac:dyDescent="0.25">
      <c r="A4371" t="str">
        <f ca="1">IFERROR(__xludf.DUMMYFUNCTION("""COMPUTED_VALUE"""),"OXA-78")</f>
        <v>OXA-78</v>
      </c>
      <c r="B4371" t="str">
        <f ca="1">IFERROR(__xludf.DUMMYFUNCTION("""COMPUTED_VALUE"""),"RF-00001050-PAR")</f>
        <v>RF-00001050-PAR</v>
      </c>
    </row>
    <row r="4372" spans="1:2" ht="12.5" x14ac:dyDescent="0.25">
      <c r="A4372" t="str">
        <f ca="1">IFERROR(__xludf.DUMMYFUNCTION("""COMPUTED_VALUE"""),"OXA-79")</f>
        <v>OXA-79</v>
      </c>
      <c r="B4372" t="str">
        <f ca="1">IFERROR(__xludf.DUMMYFUNCTION("""COMPUTED_VALUE"""),"RF-00001051-PAR")</f>
        <v>RF-00001051-PAR</v>
      </c>
    </row>
    <row r="4373" spans="1:2" ht="12.5" x14ac:dyDescent="0.25">
      <c r="A4373" t="str">
        <f ca="1">IFERROR(__xludf.DUMMYFUNCTION("""COMPUTED_VALUE"""),"OXA-8")</f>
        <v>OXA-8</v>
      </c>
      <c r="B4373" t="str">
        <f ca="1">IFERROR(__xludf.DUMMYFUNCTION("""COMPUTED_VALUE"""),"RF-00000980-PAR")</f>
        <v>RF-00000980-PAR</v>
      </c>
    </row>
    <row r="4374" spans="1:2" ht="12.5" x14ac:dyDescent="0.25">
      <c r="A4374" t="str">
        <f ca="1">IFERROR(__xludf.DUMMYFUNCTION("""COMPUTED_VALUE"""),"OXA-80")</f>
        <v>OXA-80</v>
      </c>
      <c r="B4374" t="str">
        <f ca="1">IFERROR(__xludf.DUMMYFUNCTION("""COMPUTED_VALUE"""),"RF-00001052-PAR")</f>
        <v>RF-00001052-PAR</v>
      </c>
    </row>
    <row r="4375" spans="1:2" ht="12.5" x14ac:dyDescent="0.25">
      <c r="A4375" t="str">
        <f ca="1">IFERROR(__xludf.DUMMYFUNCTION("""COMPUTED_VALUE"""),"OXA-81")</f>
        <v>OXA-81</v>
      </c>
      <c r="B4375" t="str">
        <f ca="1">IFERROR(__xludf.DUMMYFUNCTION("""COMPUTED_VALUE"""),"RF-00001053-PAR")</f>
        <v>RF-00001053-PAR</v>
      </c>
    </row>
    <row r="4376" spans="1:2" ht="12.5" x14ac:dyDescent="0.25">
      <c r="A4376" t="str">
        <f ca="1">IFERROR(__xludf.DUMMYFUNCTION("""COMPUTED_VALUE"""),"OXA-82")</f>
        <v>OXA-82</v>
      </c>
      <c r="B4376" t="str">
        <f ca="1">IFERROR(__xludf.DUMMYFUNCTION("""COMPUTED_VALUE"""),"RF-00001054-PAR")</f>
        <v>RF-00001054-PAR</v>
      </c>
    </row>
    <row r="4377" spans="1:2" ht="12.5" x14ac:dyDescent="0.25">
      <c r="A4377" t="str">
        <f ca="1">IFERROR(__xludf.DUMMYFUNCTION("""COMPUTED_VALUE"""),"OXA-83")</f>
        <v>OXA-83</v>
      </c>
      <c r="B4377" t="str">
        <f ca="1">IFERROR(__xludf.DUMMYFUNCTION("""COMPUTED_VALUE"""),"RF-00001055-PAR")</f>
        <v>RF-00001055-PAR</v>
      </c>
    </row>
    <row r="4378" spans="1:2" ht="12.5" x14ac:dyDescent="0.25">
      <c r="A4378" t="str">
        <f ca="1">IFERROR(__xludf.DUMMYFUNCTION("""COMPUTED_VALUE"""),"OXA-84")</f>
        <v>OXA-84</v>
      </c>
      <c r="B4378" t="str">
        <f ca="1">IFERROR(__xludf.DUMMYFUNCTION("""COMPUTED_VALUE"""),"RF-00001056-PAR")</f>
        <v>RF-00001056-PAR</v>
      </c>
    </row>
    <row r="4379" spans="1:2" ht="12.5" x14ac:dyDescent="0.25">
      <c r="A4379" t="str">
        <f ca="1">IFERROR(__xludf.DUMMYFUNCTION("""COMPUTED_VALUE"""),"OXA-85")</f>
        <v>OXA-85</v>
      </c>
      <c r="B4379" t="str">
        <f ca="1">IFERROR(__xludf.DUMMYFUNCTION("""COMPUTED_VALUE"""),"RF-00001057-PAR")</f>
        <v>RF-00001057-PAR</v>
      </c>
    </row>
    <row r="4380" spans="1:2" ht="12.5" x14ac:dyDescent="0.25">
      <c r="A4380" t="str">
        <f ca="1">IFERROR(__xludf.DUMMYFUNCTION("""COMPUTED_VALUE"""),"OXA-86")</f>
        <v>OXA-86</v>
      </c>
      <c r="B4380" t="str">
        <f ca="1">IFERROR(__xludf.DUMMYFUNCTION("""COMPUTED_VALUE"""),"RF-00001058-PAR")</f>
        <v>RF-00001058-PAR</v>
      </c>
    </row>
    <row r="4381" spans="1:2" ht="12.5" x14ac:dyDescent="0.25">
      <c r="A4381" t="str">
        <f ca="1">IFERROR(__xludf.DUMMYFUNCTION("""COMPUTED_VALUE"""),"OXA-87")</f>
        <v>OXA-87</v>
      </c>
      <c r="B4381" t="str">
        <f ca="1">IFERROR(__xludf.DUMMYFUNCTION("""COMPUTED_VALUE"""),"RF-00001059-PAR")</f>
        <v>RF-00001059-PAR</v>
      </c>
    </row>
    <row r="4382" spans="1:2" ht="12.5" x14ac:dyDescent="0.25">
      <c r="A4382" t="str">
        <f ca="1">IFERROR(__xludf.DUMMYFUNCTION("""COMPUTED_VALUE"""),"OXA-88")</f>
        <v>OXA-88</v>
      </c>
      <c r="B4382" t="str">
        <f ca="1">IFERROR(__xludf.DUMMYFUNCTION("""COMPUTED_VALUE"""),"RF-00001060-PAR")</f>
        <v>RF-00001060-PAR</v>
      </c>
    </row>
    <row r="4383" spans="1:2" ht="12.5" x14ac:dyDescent="0.25">
      <c r="A4383" t="str">
        <f ca="1">IFERROR(__xludf.DUMMYFUNCTION("""COMPUTED_VALUE"""),"OXA-89")</f>
        <v>OXA-89</v>
      </c>
      <c r="B4383" t="str">
        <f ca="1">IFERROR(__xludf.DUMMYFUNCTION("""COMPUTED_VALUE"""),"RF-00001061-PAR")</f>
        <v>RF-00001061-PAR</v>
      </c>
    </row>
    <row r="4384" spans="1:2" ht="12.5" x14ac:dyDescent="0.25">
      <c r="A4384" t="str">
        <f ca="1">IFERROR(__xludf.DUMMYFUNCTION("""COMPUTED_VALUE"""),"OXA-9")</f>
        <v>OXA-9</v>
      </c>
      <c r="B4384" t="str">
        <f ca="1">IFERROR(__xludf.DUMMYFUNCTION("""COMPUTED_VALUE"""),"RF-00000981-PAR")</f>
        <v>RF-00000981-PAR</v>
      </c>
    </row>
    <row r="4385" spans="1:2" ht="12.5" x14ac:dyDescent="0.25">
      <c r="A4385" t="str">
        <f ca="1">IFERROR(__xludf.DUMMYFUNCTION("""COMPUTED_VALUE"""),"OXA-90")</f>
        <v>OXA-90</v>
      </c>
      <c r="B4385" t="str">
        <f ca="1">IFERROR(__xludf.DUMMYFUNCTION("""COMPUTED_VALUE"""),"RF-00001062-PAR")</f>
        <v>RF-00001062-PAR</v>
      </c>
    </row>
    <row r="4386" spans="1:2" ht="12.5" x14ac:dyDescent="0.25">
      <c r="A4386" t="str">
        <f ca="1">IFERROR(__xludf.DUMMYFUNCTION("""COMPUTED_VALUE"""),"OXA-91")</f>
        <v>OXA-91</v>
      </c>
      <c r="B4386" t="str">
        <f ca="1">IFERROR(__xludf.DUMMYFUNCTION("""COMPUTED_VALUE"""),"RF-00001063-PAR")</f>
        <v>RF-00001063-PAR</v>
      </c>
    </row>
    <row r="4387" spans="1:2" ht="12.5" x14ac:dyDescent="0.25">
      <c r="A4387" t="str">
        <f ca="1">IFERROR(__xludf.DUMMYFUNCTION("""COMPUTED_VALUE"""),"OXA-92")</f>
        <v>OXA-92</v>
      </c>
      <c r="B4387" t="str">
        <f ca="1">IFERROR(__xludf.DUMMYFUNCTION("""COMPUTED_VALUE"""),"RF-00001064-PAR")</f>
        <v>RF-00001064-PAR</v>
      </c>
    </row>
    <row r="4388" spans="1:2" ht="12.5" x14ac:dyDescent="0.25">
      <c r="A4388" t="str">
        <f ca="1">IFERROR(__xludf.DUMMYFUNCTION("""COMPUTED_VALUE"""),"OXA-93")</f>
        <v>OXA-93</v>
      </c>
      <c r="B4388" t="str">
        <f ca="1">IFERROR(__xludf.DUMMYFUNCTION("""COMPUTED_VALUE"""),"RF-00001065-PAR")</f>
        <v>RF-00001065-PAR</v>
      </c>
    </row>
    <row r="4389" spans="1:2" ht="12.5" x14ac:dyDescent="0.25">
      <c r="A4389" t="str">
        <f ca="1">IFERROR(__xludf.DUMMYFUNCTION("""COMPUTED_VALUE"""),"OXA-94")</f>
        <v>OXA-94</v>
      </c>
      <c r="B4389" t="str">
        <f ca="1">IFERROR(__xludf.DUMMYFUNCTION("""COMPUTED_VALUE"""),"RF-00001066-PAR")</f>
        <v>RF-00001066-PAR</v>
      </c>
    </row>
    <row r="4390" spans="1:2" ht="12.5" x14ac:dyDescent="0.25">
      <c r="A4390" t="str">
        <f ca="1">IFERROR(__xludf.DUMMYFUNCTION("""COMPUTED_VALUE"""),"OXA-95")</f>
        <v>OXA-95</v>
      </c>
      <c r="B4390" t="str">
        <f ca="1">IFERROR(__xludf.DUMMYFUNCTION("""COMPUTED_VALUE"""),"RF-00001067-PAR")</f>
        <v>RF-00001067-PAR</v>
      </c>
    </row>
    <row r="4391" spans="1:2" ht="12.5" x14ac:dyDescent="0.25">
      <c r="A4391" t="str">
        <f ca="1">IFERROR(__xludf.DUMMYFUNCTION("""COMPUTED_VALUE"""),"OXA-96")</f>
        <v>OXA-96</v>
      </c>
      <c r="B4391" t="str">
        <f ca="1">IFERROR(__xludf.DUMMYFUNCTION("""COMPUTED_VALUE"""),"RF-00001068-PAR")</f>
        <v>RF-00001068-PAR</v>
      </c>
    </row>
    <row r="4392" spans="1:2" ht="12.5" x14ac:dyDescent="0.25">
      <c r="A4392" t="str">
        <f ca="1">IFERROR(__xludf.DUMMYFUNCTION("""COMPUTED_VALUE"""),"OXA-97")</f>
        <v>OXA-97</v>
      </c>
      <c r="B4392" t="str">
        <f ca="1">IFERROR(__xludf.DUMMYFUNCTION("""COMPUTED_VALUE"""),"RF-00001069-PAR")</f>
        <v>RF-00001069-PAR</v>
      </c>
    </row>
    <row r="4393" spans="1:2" ht="12.5" x14ac:dyDescent="0.25">
      <c r="A4393" t="str">
        <f ca="1">IFERROR(__xludf.DUMMYFUNCTION("""COMPUTED_VALUE"""),"OXA-98")</f>
        <v>OXA-98</v>
      </c>
      <c r="B4393" t="str">
        <f ca="1">IFERROR(__xludf.DUMMYFUNCTION("""COMPUTED_VALUE"""),"RF-00001070-PAR")</f>
        <v>RF-00001070-PAR</v>
      </c>
    </row>
    <row r="4394" spans="1:2" ht="12.5" x14ac:dyDescent="0.25">
      <c r="A4394" t="str">
        <f ca="1">IFERROR(__xludf.DUMMYFUNCTION("""COMPUTED_VALUE"""),"OXA-99")</f>
        <v>OXA-99</v>
      </c>
      <c r="B4394" t="str">
        <f ca="1">IFERROR(__xludf.DUMMYFUNCTION("""COMPUTED_VALUE"""),"RF-00001071-PAR")</f>
        <v>RF-00001071-PAR</v>
      </c>
    </row>
    <row r="4395" spans="1:2" ht="12.5" x14ac:dyDescent="0.25">
      <c r="A4395" t="str">
        <f ca="1">IFERROR(__xludf.DUMMYFUNCTION("""COMPUTED_VALUE"""),"Oxabetrinil")</f>
        <v>Oxabetrinil</v>
      </c>
      <c r="B4395" t="str">
        <f ca="1">IFERROR(__xludf.DUMMYFUNCTION("""COMPUTED_VALUE"""),"RF-1037-001-PPP")</f>
        <v>RF-1037-001-PPP</v>
      </c>
    </row>
    <row r="4396" spans="1:2" ht="12.5" x14ac:dyDescent="0.25">
      <c r="A4396" t="str">
        <f ca="1">IFERROR(__xludf.DUMMYFUNCTION("""COMPUTED_VALUE"""),"Oxacillin")</f>
        <v>Oxacillin</v>
      </c>
      <c r="B4396" t="str">
        <f ca="1">IFERROR(__xludf.DUMMYFUNCTION("""COMPUTED_VALUE"""),"RF-00000534-VET")</f>
        <v>RF-00000534-VET</v>
      </c>
    </row>
    <row r="4397" spans="1:2" ht="12.5" x14ac:dyDescent="0.25">
      <c r="A4397" t="str">
        <f ca="1">IFERROR(__xludf.DUMMYFUNCTION("""COMPUTED_VALUE"""),"Oxadiargyl")</f>
        <v>Oxadiargyl</v>
      </c>
      <c r="B4397" t="str">
        <f ca="1">IFERROR(__xludf.DUMMYFUNCTION("""COMPUTED_VALUE"""),"RF-0317-001-PPP")</f>
        <v>RF-0317-001-PPP</v>
      </c>
    </row>
    <row r="4398" spans="1:2" ht="12.5" x14ac:dyDescent="0.25">
      <c r="A4398" t="str">
        <f ca="1">IFERROR(__xludf.DUMMYFUNCTION("""COMPUTED_VALUE"""),"Oxadiazon")</f>
        <v>Oxadiazon</v>
      </c>
      <c r="B4398" t="str">
        <f ca="1">IFERROR(__xludf.DUMMYFUNCTION("""COMPUTED_VALUE"""),"RF-0318-001-PPP")</f>
        <v>RF-0318-001-PPP</v>
      </c>
    </row>
    <row r="4399" spans="1:2" ht="12.5" x14ac:dyDescent="0.25">
      <c r="A4399" t="str">
        <f ca="1">IFERROR(__xludf.DUMMYFUNCTION("""COMPUTED_VALUE"""),"Oxadixyl")</f>
        <v>Oxadixyl</v>
      </c>
      <c r="B4399" t="str">
        <f ca="1">IFERROR(__xludf.DUMMYFUNCTION("""COMPUTED_VALUE"""),"RF-0319-001-PPP")</f>
        <v>RF-0319-001-PPP</v>
      </c>
    </row>
    <row r="4400" spans="1:2" ht="12.5" x14ac:dyDescent="0.25">
      <c r="A4400" t="str">
        <f ca="1">IFERROR(__xludf.DUMMYFUNCTION("""COMPUTED_VALUE"""),"oxalic acid")</f>
        <v>oxalic acid</v>
      </c>
      <c r="B4400" t="str">
        <f ca="1">IFERROR(__xludf.DUMMYFUNCTION("""COMPUTED_VALUE"""),"RF-00000356-NTR")</f>
        <v>RF-00000356-NTR</v>
      </c>
    </row>
    <row r="4401" spans="1:2" ht="12.5" x14ac:dyDescent="0.25">
      <c r="A4401" t="str">
        <f ca="1">IFERROR(__xludf.DUMMYFUNCTION("""COMPUTED_VALUE"""),"Oxamyl")</f>
        <v>Oxamyl</v>
      </c>
      <c r="B4401" t="str">
        <f ca="1">IFERROR(__xludf.DUMMYFUNCTION("""COMPUTED_VALUE"""),"RF-00000113-VET")</f>
        <v>RF-00000113-VET</v>
      </c>
    </row>
    <row r="4402" spans="1:2" ht="12.5" x14ac:dyDescent="0.25">
      <c r="A4402" t="str">
        <f ca="1">IFERROR(__xludf.DUMMYFUNCTION("""COMPUTED_VALUE"""),"Oxamyl")</f>
        <v>Oxamyl</v>
      </c>
      <c r="B4402" t="str">
        <f ca="1">IFERROR(__xludf.DUMMYFUNCTION("""COMPUTED_VALUE"""),"RF-0320-001-PPP")</f>
        <v>RF-0320-001-PPP</v>
      </c>
    </row>
    <row r="4403" spans="1:2" ht="12.5" x14ac:dyDescent="0.25">
      <c r="A4403" t="str">
        <f ca="1">IFERROR(__xludf.DUMMYFUNCTION("""COMPUTED_VALUE"""),"Oxamyl-Oxime")</f>
        <v>Oxamyl-Oxime</v>
      </c>
      <c r="B4403" t="str">
        <f ca="1">IFERROR(__xludf.DUMMYFUNCTION("""COMPUTED_VALUE"""),"RF-0824-001-PPP")</f>
        <v>RF-0824-001-PPP</v>
      </c>
    </row>
    <row r="4404" spans="1:2" ht="12.5" x14ac:dyDescent="0.25">
      <c r="A4404" t="str">
        <f ca="1">IFERROR(__xludf.DUMMYFUNCTION("""COMPUTED_VALUE"""),"Oxandrolone")</f>
        <v>Oxandrolone</v>
      </c>
      <c r="B4404" t="str">
        <f ca="1">IFERROR(__xludf.DUMMYFUNCTION("""COMPUTED_VALUE"""),"RF-00000443-VET")</f>
        <v>RF-00000443-VET</v>
      </c>
    </row>
    <row r="4405" spans="1:2" ht="12.5" x14ac:dyDescent="0.25">
      <c r="A4405" t="str">
        <f ca="1">IFERROR(__xludf.DUMMYFUNCTION("""COMPUTED_VALUE"""),"Oxasulfuron")</f>
        <v>Oxasulfuron</v>
      </c>
      <c r="B4405" t="str">
        <f ca="1">IFERROR(__xludf.DUMMYFUNCTION("""COMPUTED_VALUE"""),"RF-0321-001-PPP")</f>
        <v>RF-0321-001-PPP</v>
      </c>
    </row>
    <row r="4406" spans="1:2" ht="12.5" x14ac:dyDescent="0.25">
      <c r="A4406" t="str">
        <f ca="1">IFERROR(__xludf.DUMMYFUNCTION("""COMPUTED_VALUE"""),"Oxazepam")</f>
        <v>Oxazepam</v>
      </c>
      <c r="B4406" t="str">
        <f ca="1">IFERROR(__xludf.DUMMYFUNCTION("""COMPUTED_VALUE"""),"RF-00000167-VET")</f>
        <v>RF-00000167-VET</v>
      </c>
    </row>
    <row r="4407" spans="1:2" ht="12.5" x14ac:dyDescent="0.25">
      <c r="A4407" t="str">
        <f ca="1">IFERROR(__xludf.DUMMYFUNCTION("""COMPUTED_VALUE"""),"Oxaziclomefone")</f>
        <v>Oxaziclomefone</v>
      </c>
      <c r="B4407" t="str">
        <f ca="1">IFERROR(__xludf.DUMMYFUNCTION("""COMPUTED_VALUE"""),"RF-0825-001-PPP")</f>
        <v>RF-0825-001-PPP</v>
      </c>
    </row>
    <row r="4408" spans="1:2" ht="12.5" x14ac:dyDescent="0.25">
      <c r="A4408" t="str">
        <f ca="1">IFERROR(__xludf.DUMMYFUNCTION("""COMPUTED_VALUE"""),"Oxazolidines")</f>
        <v>Oxazolidines</v>
      </c>
      <c r="B4408" t="str">
        <f ca="1">IFERROR(__xludf.DUMMYFUNCTION("""COMPUTED_VALUE"""),"RF-00000757-VET")</f>
        <v>RF-00000757-VET</v>
      </c>
    </row>
    <row r="4409" spans="1:2" ht="12.5" x14ac:dyDescent="0.25">
      <c r="A4409" t="str">
        <f ca="1">IFERROR(__xludf.DUMMYFUNCTION("""COMPUTED_VALUE"""),"Oxfendazole")</f>
        <v>Oxfendazole</v>
      </c>
      <c r="B4409" t="str">
        <f ca="1">IFERROR(__xludf.DUMMYFUNCTION("""COMPUTED_VALUE"""),"RF-00000047-VET")</f>
        <v>RF-00000047-VET</v>
      </c>
    </row>
    <row r="4410" spans="1:2" ht="12.5" x14ac:dyDescent="0.25">
      <c r="A4410" t="str">
        <f ca="1">IFERROR(__xludf.DUMMYFUNCTION("""COMPUTED_VALUE"""),"Oxfendazole sulfon")</f>
        <v>Oxfendazole sulfon</v>
      </c>
      <c r="B4410" t="str">
        <f ca="1">IFERROR(__xludf.DUMMYFUNCTION("""COMPUTED_VALUE"""),"RF-00000046-VET")</f>
        <v>RF-00000046-VET</v>
      </c>
    </row>
    <row r="4411" spans="1:2" ht="12.5" x14ac:dyDescent="0.25">
      <c r="A4411" t="str">
        <f ca="1">IFERROR(__xludf.DUMMYFUNCTION("""COMPUTED_VALUE"""),"Oxibendazole")</f>
        <v>Oxibendazole</v>
      </c>
      <c r="B4411" t="str">
        <f ca="1">IFERROR(__xludf.DUMMYFUNCTION("""COMPUTED_VALUE"""),"RF-00000035-VET")</f>
        <v>RF-00000035-VET</v>
      </c>
    </row>
    <row r="4412" spans="1:2" ht="12.5" x14ac:dyDescent="0.25">
      <c r="A4412" t="str">
        <f ca="1">IFERROR(__xludf.DUMMYFUNCTION("""COMPUTED_VALUE"""),"Oxidised polyethylene wax")</f>
        <v>Oxidised polyethylene wax</v>
      </c>
      <c r="B4412" t="str">
        <f ca="1">IFERROR(__xludf.DUMMYFUNCTION("""COMPUTED_VALUE"""),"RF-00000205-ADD")</f>
        <v>RF-00000205-ADD</v>
      </c>
    </row>
    <row r="4413" spans="1:2" ht="12.5" x14ac:dyDescent="0.25">
      <c r="A4413" t="str">
        <f ca="1">IFERROR(__xludf.DUMMYFUNCTION("""COMPUTED_VALUE"""),"Oxidised starch")</f>
        <v>Oxidised starch</v>
      </c>
      <c r="B4413" t="str">
        <f ca="1">IFERROR(__xludf.DUMMYFUNCTION("""COMPUTED_VALUE"""),"RF-00000206-ADD")</f>
        <v>RF-00000206-ADD</v>
      </c>
    </row>
    <row r="4414" spans="1:2" ht="12.5" x14ac:dyDescent="0.25">
      <c r="A4414" t="str">
        <f ca="1">IFERROR(__xludf.DUMMYFUNCTION("""COMPUTED_VALUE"""),"Oxolinic Acid")</f>
        <v>Oxolinic Acid</v>
      </c>
      <c r="B4414" t="str">
        <f ca="1">IFERROR(__xludf.DUMMYFUNCTION("""COMPUTED_VALUE"""),"RF-0826-001-PPP")</f>
        <v>RF-0826-001-PPP</v>
      </c>
    </row>
    <row r="4415" spans="1:2" ht="12.5" x14ac:dyDescent="0.25">
      <c r="A4415" t="str">
        <f ca="1">IFERROR(__xludf.DUMMYFUNCTION("""COMPUTED_VALUE"""),"Oxolinic acid")</f>
        <v>Oxolinic acid</v>
      </c>
      <c r="B4415" t="str">
        <f ca="1">IFERROR(__xludf.DUMMYFUNCTION("""COMPUTED_VALUE"""),"RF-00000550-VET")</f>
        <v>RF-00000550-VET</v>
      </c>
    </row>
    <row r="4416" spans="1:2" ht="12.5" x14ac:dyDescent="0.25">
      <c r="A4416" t="str">
        <f ca="1">IFERROR(__xludf.DUMMYFUNCTION("""COMPUTED_VALUE"""),"Oxycarboxin")</f>
        <v>Oxycarboxin</v>
      </c>
      <c r="B4416" t="str">
        <f ca="1">IFERROR(__xludf.DUMMYFUNCTION("""COMPUTED_VALUE"""),"RF-0322-001-PPP")</f>
        <v>RF-0322-001-PPP</v>
      </c>
    </row>
    <row r="4417" spans="1:2" ht="12.5" x14ac:dyDescent="0.25">
      <c r="A4417" t="str">
        <f ca="1">IFERROR(__xludf.DUMMYFUNCTION("""COMPUTED_VALUE"""),"Oxychlordane")</f>
        <v>Oxychlordane</v>
      </c>
      <c r="B4417" t="str">
        <f ca="1">IFERROR(__xludf.DUMMYFUNCTION("""COMPUTED_VALUE"""),"RF-0827-001-PPP")</f>
        <v>RF-0827-001-PPP</v>
      </c>
    </row>
    <row r="4418" spans="1:2" ht="12.5" x14ac:dyDescent="0.25">
      <c r="A4418" t="str">
        <f ca="1">IFERROR(__xludf.DUMMYFUNCTION("""COMPUTED_VALUE"""),"Oxyclozanide")</f>
        <v>Oxyclozanide</v>
      </c>
      <c r="B4418" t="str">
        <f ca="1">IFERROR(__xludf.DUMMYFUNCTION("""COMPUTED_VALUE"""),"RF-00000052-VET")</f>
        <v>RF-00000052-VET</v>
      </c>
    </row>
    <row r="4419" spans="1:2" ht="12.5" x14ac:dyDescent="0.25">
      <c r="A4419" t="str">
        <f ca="1">IFERROR(__xludf.DUMMYFUNCTION("""COMPUTED_VALUE"""),"Oxydemeton-methyl")</f>
        <v>Oxydemeton-methyl</v>
      </c>
      <c r="B4419" t="str">
        <f ca="1">IFERROR(__xludf.DUMMYFUNCTION("""COMPUTED_VALUE"""),"RF-0323-004-PPP")</f>
        <v>RF-0323-004-PPP</v>
      </c>
    </row>
    <row r="4420" spans="1:2" ht="12.5" x14ac:dyDescent="0.25">
      <c r="A4420" t="str">
        <f ca="1">IFERROR(__xludf.DUMMYFUNCTION("""COMPUTED_VALUE"""),"Oxydemeton-methyl (sum of oxydemeton-methyl and demeton-S-methylsulfone expressed as oxydemeton-methyl)")</f>
        <v>Oxydemeton-methyl (sum of oxydemeton-methyl and demeton-S-methylsulfone expressed as oxydemeton-methyl)</v>
      </c>
      <c r="B4420" t="str">
        <f ca="1">IFERROR(__xludf.DUMMYFUNCTION("""COMPUTED_VALUE"""),"RF-0323-001-PPP")</f>
        <v>RF-0323-001-PPP</v>
      </c>
    </row>
    <row r="4421" spans="1:2" ht="12.5" x14ac:dyDescent="0.25">
      <c r="A4421" t="str">
        <f ca="1">IFERROR(__xludf.DUMMYFUNCTION("""COMPUTED_VALUE"""),"Oxyfluorfen")</f>
        <v>Oxyfluorfen</v>
      </c>
      <c r="B4421" t="str">
        <f ca="1">IFERROR(__xludf.DUMMYFUNCTION("""COMPUTED_VALUE"""),"RF-0324-001-PPP")</f>
        <v>RF-0324-001-PPP</v>
      </c>
    </row>
    <row r="4422" spans="1:2" ht="12.5" x14ac:dyDescent="0.25">
      <c r="A4422" t="str">
        <f ca="1">IFERROR(__xludf.DUMMYFUNCTION("""COMPUTED_VALUE"""),"Oxygen")</f>
        <v>Oxygen</v>
      </c>
      <c r="B4422" t="str">
        <f ca="1">IFERROR(__xludf.DUMMYFUNCTION("""COMPUTED_VALUE"""),"RF-00000207-ADD")</f>
        <v>RF-00000207-ADD</v>
      </c>
    </row>
    <row r="4423" spans="1:2" ht="12.5" x14ac:dyDescent="0.25">
      <c r="A4423" t="str">
        <f ca="1">IFERROR(__xludf.DUMMYFUNCTION("""COMPUTED_VALUE"""),"Oxymetholone")</f>
        <v>Oxymetholone</v>
      </c>
      <c r="B4423" t="str">
        <f ca="1">IFERROR(__xludf.DUMMYFUNCTION("""COMPUTED_VALUE"""),"RF-00000319-VET")</f>
        <v>RF-00000319-VET</v>
      </c>
    </row>
    <row r="4424" spans="1:2" ht="12.5" x14ac:dyDescent="0.25">
      <c r="A4424" t="str">
        <f ca="1">IFERROR(__xludf.DUMMYFUNCTION("""COMPUTED_VALUE"""),"Oxyphenbutazone Anhydrate")</f>
        <v>Oxyphenbutazone Anhydrate</v>
      </c>
      <c r="B4424" t="str">
        <f ca="1">IFERROR(__xludf.DUMMYFUNCTION("""COMPUTED_VALUE"""),"RF-00000230-VET")</f>
        <v>RF-00000230-VET</v>
      </c>
    </row>
    <row r="4425" spans="1:2" ht="12.5" x14ac:dyDescent="0.25">
      <c r="A4425" t="str">
        <f ca="1">IFERROR(__xludf.DUMMYFUNCTION("""COMPUTED_VALUE"""),"Oxyphenbutazone Monohydrate")</f>
        <v>Oxyphenbutazone Monohydrate</v>
      </c>
      <c r="B4425" t="str">
        <f ca="1">IFERROR(__xludf.DUMMYFUNCTION("""COMPUTED_VALUE"""),"RF-00000226-VET")</f>
        <v>RF-00000226-VET</v>
      </c>
    </row>
    <row r="4426" spans="1:2" ht="12.5" x14ac:dyDescent="0.25">
      <c r="A4426" t="str">
        <f ca="1">IFERROR(__xludf.DUMMYFUNCTION("""COMPUTED_VALUE"""),"Oxytetracycline")</f>
        <v>Oxytetracycline</v>
      </c>
      <c r="B4426" t="str">
        <f ca="1">IFERROR(__xludf.DUMMYFUNCTION("""COMPUTED_VALUE"""),"RF-00000543-VET")</f>
        <v>RF-00000543-VET</v>
      </c>
    </row>
    <row r="4427" spans="1:2" ht="12.5" x14ac:dyDescent="0.25">
      <c r="A4427" t="str">
        <f ca="1">IFERROR(__xludf.DUMMYFUNCTION("""COMPUTED_VALUE"""),"P-CTX1")</f>
        <v>P-CTX1</v>
      </c>
      <c r="B4427" t="str">
        <f ca="1">IFERROR(__xludf.DUMMYFUNCTION("""COMPUTED_VALUE"""),"RF-00000049-TOX")</f>
        <v>RF-00000049-TOX</v>
      </c>
    </row>
    <row r="4428" spans="1:2" ht="12.5" x14ac:dyDescent="0.25">
      <c r="A4428" t="str">
        <f ca="1">IFERROR(__xludf.DUMMYFUNCTION("""COMPUTED_VALUE"""),"P-CTX2")</f>
        <v>P-CTX2</v>
      </c>
      <c r="B4428" t="str">
        <f ca="1">IFERROR(__xludf.DUMMYFUNCTION("""COMPUTED_VALUE"""),"RF-00000050-TOX")</f>
        <v>RF-00000050-TOX</v>
      </c>
    </row>
    <row r="4429" spans="1:2" ht="12.5" x14ac:dyDescent="0.25">
      <c r="A4429" t="str">
        <f ca="1">IFERROR(__xludf.DUMMYFUNCTION("""COMPUTED_VALUE"""),"P-CTX3")</f>
        <v>P-CTX3</v>
      </c>
      <c r="B4429" t="str">
        <f ca="1">IFERROR(__xludf.DUMMYFUNCTION("""COMPUTED_VALUE"""),"RF-00000051-TOX")</f>
        <v>RF-00000051-TOX</v>
      </c>
    </row>
    <row r="4430" spans="1:2" ht="12.5" x14ac:dyDescent="0.25">
      <c r="A4430" t="str">
        <f ca="1">IFERROR(__xludf.DUMMYFUNCTION("""COMPUTED_VALUE"""),"P-Nitroaniline")</f>
        <v>P-Nitroaniline</v>
      </c>
      <c r="B4430" t="str">
        <f ca="1">IFERROR(__xludf.DUMMYFUNCTION("""COMPUTED_VALUE"""),"RF-00000251-VET")</f>
        <v>RF-00000251-VET</v>
      </c>
    </row>
    <row r="4431" spans="1:2" ht="12.5" x14ac:dyDescent="0.25">
      <c r="A4431" t="str">
        <f ca="1">IFERROR(__xludf.DUMMYFUNCTION("""COMPUTED_VALUE"""),"Pacific ciguatoxins")</f>
        <v>Pacific ciguatoxins</v>
      </c>
      <c r="B4431" t="str">
        <f ca="1">IFERROR(__xludf.DUMMYFUNCTION("""COMPUTED_VALUE"""),"RF-00000048-TOX")</f>
        <v>RF-00000048-TOX</v>
      </c>
    </row>
    <row r="4432" spans="1:2" ht="12.5" x14ac:dyDescent="0.25">
      <c r="A4432" t="str">
        <f ca="1">IFERROR(__xludf.DUMMYFUNCTION("""COMPUTED_VALUE"""),"Paclobutrazol")</f>
        <v>Paclobutrazol</v>
      </c>
      <c r="B4432" t="str">
        <f ca="1">IFERROR(__xludf.DUMMYFUNCTION("""COMPUTED_VALUE"""),"RF-0325-001-PPP")</f>
        <v>RF-0325-001-PPP</v>
      </c>
    </row>
    <row r="4433" spans="1:2" ht="12.5" x14ac:dyDescent="0.25">
      <c r="A4433" t="str">
        <f ca="1">IFERROR(__xludf.DUMMYFUNCTION("""COMPUTED_VALUE"""),"Palytoxin")</f>
        <v>Palytoxin</v>
      </c>
      <c r="B4433" t="str">
        <f ca="1">IFERROR(__xludf.DUMMYFUNCTION("""COMPUTED_VALUE"""),"RF-00000070-TOX")</f>
        <v>RF-00000070-TOX</v>
      </c>
    </row>
    <row r="4434" spans="1:2" ht="12.5" x14ac:dyDescent="0.25">
      <c r="A4434" t="str">
        <f ca="1">IFERROR(__xludf.DUMMYFUNCTION("""COMPUTED_VALUE"""),"Palytoxin group toxins")</f>
        <v>Palytoxin group toxins</v>
      </c>
      <c r="B4434" t="str">
        <f ca="1">IFERROR(__xludf.DUMMYFUNCTION("""COMPUTED_VALUE"""),"RF-00000069-TOX")</f>
        <v>RF-00000069-TOX</v>
      </c>
    </row>
    <row r="4435" spans="1:2" ht="12.5" x14ac:dyDescent="0.25">
      <c r="A4435" t="str">
        <f ca="1">IFERROR(__xludf.DUMMYFUNCTION("""COMPUTED_VALUE"""),"pantothenic acid (vitamin B5)")</f>
        <v>pantothenic acid (vitamin B5)</v>
      </c>
      <c r="B4435" t="str">
        <f ca="1">IFERROR(__xludf.DUMMYFUNCTION("""COMPUTED_VALUE"""),"RF-00000357-NTR")</f>
        <v>RF-00000357-NTR</v>
      </c>
    </row>
    <row r="4436" spans="1:2" ht="12.5" x14ac:dyDescent="0.25">
      <c r="A4436" t="str">
        <f ca="1">IFERROR(__xludf.DUMMYFUNCTION("""COMPUTED_VALUE"""),"Papaverine")</f>
        <v>Papaverine</v>
      </c>
      <c r="B4436" t="str">
        <f ca="1">IFERROR(__xludf.DUMMYFUNCTION("""COMPUTED_VALUE"""),"RF-00000252-TOX")</f>
        <v>RF-00000252-TOX</v>
      </c>
    </row>
    <row r="4437" spans="1:2" ht="12.5" x14ac:dyDescent="0.25">
      <c r="A4437" t="str">
        <f ca="1">IFERROR(__xludf.DUMMYFUNCTION("""COMPUTED_VALUE"""),"Paprika extract, capsanthin, capsorubin")</f>
        <v>Paprika extract, capsanthin, capsorubin</v>
      </c>
      <c r="B4437" t="str">
        <f ca="1">IFERROR(__xludf.DUMMYFUNCTION("""COMPUTED_VALUE"""),"RF-00000208-ADD")</f>
        <v>RF-00000208-ADD</v>
      </c>
    </row>
    <row r="4438" spans="1:2" ht="12.5" x14ac:dyDescent="0.25">
      <c r="A4438" t="str">
        <f ca="1">IFERROR(__xludf.DUMMYFUNCTION("""COMPUTED_VALUE"""),"Para-Cresol")</f>
        <v>Para-Cresol</v>
      </c>
      <c r="B4438" t="str">
        <f ca="1">IFERROR(__xludf.DUMMYFUNCTION("""COMPUTED_VALUE"""),"RF-00000029-ORG")</f>
        <v>RF-00000029-ORG</v>
      </c>
    </row>
    <row r="4439" spans="1:2" ht="12.5" x14ac:dyDescent="0.25">
      <c r="A4439" t="str">
        <f ca="1">IFERROR(__xludf.DUMMYFUNCTION("""COMPUTED_VALUE"""),"Parameter facets")</f>
        <v>Parameter facets</v>
      </c>
      <c r="B4439" t="str">
        <f ca="1">IFERROR(__xludf.DUMMYFUNCTION("""COMPUTED_VALUE"""),"RF-00000155-PAR")</f>
        <v>RF-00000155-PAR</v>
      </c>
    </row>
    <row r="4440" spans="1:2" ht="12.5" x14ac:dyDescent="0.25">
      <c r="A4440" t="str">
        <f ca="1">IFERROR(__xludf.DUMMYFUNCTION("""COMPUTED_VALUE"""),"Paraoxon")</f>
        <v>Paraoxon</v>
      </c>
      <c r="B4440" t="str">
        <f ca="1">IFERROR(__xludf.DUMMYFUNCTION("""COMPUTED_VALUE"""),"RF-0828-001-PPP")</f>
        <v>RF-0828-001-PPP</v>
      </c>
    </row>
    <row r="4441" spans="1:2" ht="12.5" x14ac:dyDescent="0.25">
      <c r="A4441" t="str">
        <f ca="1">IFERROR(__xludf.DUMMYFUNCTION("""COMPUTED_VALUE"""),"Paraoxon-Methyl")</f>
        <v>Paraoxon-Methyl</v>
      </c>
      <c r="B4441" t="str">
        <f ca="1">IFERROR(__xludf.DUMMYFUNCTION("""COMPUTED_VALUE"""),"RF-0328-002-PPP")</f>
        <v>RF-0328-002-PPP</v>
      </c>
    </row>
    <row r="4442" spans="1:2" ht="12.5" x14ac:dyDescent="0.25">
      <c r="A4442" t="str">
        <f ca="1">IFERROR(__xludf.DUMMYFUNCTION("""COMPUTED_VALUE"""),"Paraquat")</f>
        <v>Paraquat</v>
      </c>
      <c r="B4442" t="str">
        <f ca="1">IFERROR(__xludf.DUMMYFUNCTION("""COMPUTED_VALUE"""),"RF-0326-001-PPP")</f>
        <v>RF-0326-001-PPP</v>
      </c>
    </row>
    <row r="4443" spans="1:2" ht="12.5" x14ac:dyDescent="0.25">
      <c r="A4443" t="str">
        <f ca="1">IFERROR(__xludf.DUMMYFUNCTION("""COMPUTED_VALUE"""),"Parasites")</f>
        <v>Parasites</v>
      </c>
      <c r="B4443" t="str">
        <f ca="1">IFERROR(__xludf.DUMMYFUNCTION("""COMPUTED_VALUE"""),"RF-00003916-MCG")</f>
        <v>RF-00003916-MCG</v>
      </c>
    </row>
    <row r="4444" spans="1:2" ht="12.5" x14ac:dyDescent="0.25">
      <c r="A4444" t="str">
        <f ca="1">IFERROR(__xludf.DUMMYFUNCTION("""COMPUTED_VALUE"""),"Parathion")</f>
        <v>Parathion</v>
      </c>
      <c r="B4444" t="str">
        <f ca="1">IFERROR(__xludf.DUMMYFUNCTION("""COMPUTED_VALUE"""),"RF-0327-001-PPP")</f>
        <v>RF-0327-001-PPP</v>
      </c>
    </row>
    <row r="4445" spans="1:2" ht="12.5" x14ac:dyDescent="0.25">
      <c r="A4445" t="str">
        <f ca="1">IFERROR(__xludf.DUMMYFUNCTION("""COMPUTED_VALUE"""),"Parathion ethyl")</f>
        <v>Parathion ethyl</v>
      </c>
      <c r="B4445" t="str">
        <f ca="1">IFERROR(__xludf.DUMMYFUNCTION("""COMPUTED_VALUE"""),"RF-1014-001-PPP")</f>
        <v>RF-1014-001-PPP</v>
      </c>
    </row>
    <row r="4446" spans="1:2" ht="12.5" x14ac:dyDescent="0.25">
      <c r="A4446" t="str">
        <f ca="1">IFERROR(__xludf.DUMMYFUNCTION("""COMPUTED_VALUE"""),"Parathion-methyl")</f>
        <v>Parathion-methyl</v>
      </c>
      <c r="B4446" t="str">
        <f ca="1">IFERROR(__xludf.DUMMYFUNCTION("""COMPUTED_VALUE"""),"RF-0328-003-PPP")</f>
        <v>RF-0328-003-PPP</v>
      </c>
    </row>
    <row r="4447" spans="1:2" ht="12.5" x14ac:dyDescent="0.25">
      <c r="A4447" t="str">
        <f ca="1">IFERROR(__xludf.DUMMYFUNCTION("""COMPUTED_VALUE"""),"Parathion-methyl (sum of Parathion-methyl and paraoxon-methyl expressed as Parathion-methyl)")</f>
        <v>Parathion-methyl (sum of Parathion-methyl and paraoxon-methyl expressed as Parathion-methyl)</v>
      </c>
      <c r="B4447" t="str">
        <f ca="1">IFERROR(__xludf.DUMMYFUNCTION("""COMPUTED_VALUE"""),"RF-0328-001-PPP")</f>
        <v>RF-0328-001-PPP</v>
      </c>
    </row>
    <row r="4448" spans="1:2" ht="12.5" x14ac:dyDescent="0.25">
      <c r="A4448" t="str">
        <f ca="1">IFERROR(__xludf.DUMMYFUNCTION("""COMPUTED_VALUE"""),"Parbendazol")</f>
        <v>Parbendazol</v>
      </c>
      <c r="B4448" t="str">
        <f ca="1">IFERROR(__xludf.DUMMYFUNCTION("""COMPUTED_VALUE"""),"RF-00000023-VET")</f>
        <v>RF-00000023-VET</v>
      </c>
    </row>
    <row r="4449" spans="1:2" ht="12.5" x14ac:dyDescent="0.25">
      <c r="A4449" t="str">
        <f ca="1">IFERROR(__xludf.DUMMYFUNCTION("""COMPUTED_VALUE"""),"Parlar No 26")</f>
        <v>Parlar No 26</v>
      </c>
      <c r="B4449" t="str">
        <f ca="1">IFERROR(__xludf.DUMMYFUNCTION("""COMPUTED_VALUE"""),"RF-0059-004-PPP")</f>
        <v>RF-0059-004-PPP</v>
      </c>
    </row>
    <row r="4450" spans="1:2" ht="12.5" x14ac:dyDescent="0.25">
      <c r="A4450" t="str">
        <f ca="1">IFERROR(__xludf.DUMMYFUNCTION("""COMPUTED_VALUE"""),"Parlar No 50")</f>
        <v>Parlar No 50</v>
      </c>
      <c r="B4450" t="str">
        <f ca="1">IFERROR(__xludf.DUMMYFUNCTION("""COMPUTED_VALUE"""),"RF-0059-006-PPP")</f>
        <v>RF-0059-006-PPP</v>
      </c>
    </row>
    <row r="4451" spans="1:2" ht="12.5" x14ac:dyDescent="0.25">
      <c r="A4451" t="str">
        <f ca="1">IFERROR(__xludf.DUMMYFUNCTION("""COMPUTED_VALUE"""),"Parlar No 62")</f>
        <v>Parlar No 62</v>
      </c>
      <c r="B4451" t="str">
        <f ca="1">IFERROR(__xludf.DUMMYFUNCTION("""COMPUTED_VALUE"""),"RF-0059-005-PPP")</f>
        <v>RF-0059-005-PPP</v>
      </c>
    </row>
    <row r="4452" spans="1:2" ht="12.5" x14ac:dyDescent="0.25">
      <c r="A4452" t="str">
        <f ca="1">IFERROR(__xludf.DUMMYFUNCTION("""COMPUTED_VALUE"""),"Paromomycin")</f>
        <v>Paromomycin</v>
      </c>
      <c r="B4452" t="str">
        <f ca="1">IFERROR(__xludf.DUMMYFUNCTION("""COMPUTED_VALUE"""),"RF-00000703-VET")</f>
        <v>RF-00000703-VET</v>
      </c>
    </row>
    <row r="4453" spans="1:2" ht="12.5" x14ac:dyDescent="0.25">
      <c r="A4453" t="str">
        <f ca="1">IFERROR(__xludf.DUMMYFUNCTION("""COMPUTED_VALUE"""),"Patent Blue V")</f>
        <v>Patent Blue V</v>
      </c>
      <c r="B4453" t="str">
        <f ca="1">IFERROR(__xludf.DUMMYFUNCTION("""COMPUTED_VALUE"""),"RF-00000209-ADD")</f>
        <v>RF-00000209-ADD</v>
      </c>
    </row>
    <row r="4454" spans="1:2" ht="12.5" x14ac:dyDescent="0.25">
      <c r="A4454" t="str">
        <f ca="1">IFERROR(__xludf.DUMMYFUNCTION("""COMPUTED_VALUE"""),"Patulin")</f>
        <v>Patulin</v>
      </c>
      <c r="B4454" t="str">
        <f ca="1">IFERROR(__xludf.DUMMYFUNCTION("""COMPUTED_VALUE"""),"RF-00000157-TOX")</f>
        <v>RF-00000157-TOX</v>
      </c>
    </row>
    <row r="4455" spans="1:2" ht="12.5" x14ac:dyDescent="0.25">
      <c r="A4455" t="str">
        <f ca="1">IFERROR(__xludf.DUMMYFUNCTION("""COMPUTED_VALUE"""),"PBDD-F TEQ LB")</f>
        <v>PBDD-F TEQ LB</v>
      </c>
      <c r="B4455" t="str">
        <f ca="1">IFERROR(__xludf.DUMMYFUNCTION("""COMPUTED_VALUE"""),"RF-00000431-ORG")</f>
        <v>RF-00000431-ORG</v>
      </c>
    </row>
    <row r="4456" spans="1:2" ht="12.5" x14ac:dyDescent="0.25">
      <c r="A4456" t="str">
        <f ca="1">IFERROR(__xludf.DUMMYFUNCTION("""COMPUTED_VALUE"""),"PBDD-F TEQ UB")</f>
        <v>PBDD-F TEQ UB</v>
      </c>
      <c r="B4456" t="str">
        <f ca="1">IFERROR(__xludf.DUMMYFUNCTION("""COMPUTED_VALUE"""),"RF-00000432-ORG")</f>
        <v>RF-00000432-ORG</v>
      </c>
    </row>
    <row r="4457" spans="1:2" ht="12.5" x14ac:dyDescent="0.25">
      <c r="A4457" t="str">
        <f ca="1">IFERROR(__xludf.DUMMYFUNCTION("""COMPUTED_VALUE"""),"PBDD-F+PBB TEQ LB")</f>
        <v>PBDD-F+PBB TEQ LB</v>
      </c>
      <c r="B4457" t="str">
        <f ca="1">IFERROR(__xludf.DUMMYFUNCTION("""COMPUTED_VALUE"""),"RF-00000458-ORG")</f>
        <v>RF-00000458-ORG</v>
      </c>
    </row>
    <row r="4458" spans="1:2" ht="12.5" x14ac:dyDescent="0.25">
      <c r="A4458" t="str">
        <f ca="1">IFERROR(__xludf.DUMMYFUNCTION("""COMPUTED_VALUE"""),"PBDD-F+PBB TEQ UB")</f>
        <v>PBDD-F+PBB TEQ UB</v>
      </c>
      <c r="B4458" t="str">
        <f ca="1">IFERROR(__xludf.DUMMYFUNCTION("""COMPUTED_VALUE"""),"RF-00000459-ORG")</f>
        <v>RF-00000459-ORG</v>
      </c>
    </row>
    <row r="4459" spans="1:2" ht="12.5" x14ac:dyDescent="0.25">
      <c r="A4459" t="str">
        <f ca="1">IFERROR(__xludf.DUMMYFUNCTION("""COMPUTED_VALUE"""),"PCB-1")</f>
        <v>PCB-1</v>
      </c>
      <c r="B4459" t="str">
        <f ca="1">IFERROR(__xludf.DUMMYFUNCTION("""COMPUTED_VALUE"""),"RF-00000131-ORG")</f>
        <v>RF-00000131-ORG</v>
      </c>
    </row>
    <row r="4460" spans="1:2" ht="12.5" x14ac:dyDescent="0.25">
      <c r="A4460" t="str">
        <f ca="1">IFERROR(__xludf.DUMMYFUNCTION("""COMPUTED_VALUE"""),"PCB-10")</f>
        <v>PCB-10</v>
      </c>
      <c r="B4460" t="str">
        <f ca="1">IFERROR(__xludf.DUMMYFUNCTION("""COMPUTED_VALUE"""),"RF-00000132-ORG")</f>
        <v>RF-00000132-ORG</v>
      </c>
    </row>
    <row r="4461" spans="1:2" ht="12.5" x14ac:dyDescent="0.25">
      <c r="A4461" t="str">
        <f ca="1">IFERROR(__xludf.DUMMYFUNCTION("""COMPUTED_VALUE"""),"PCB-100")</f>
        <v>PCB-100</v>
      </c>
      <c r="B4461" t="str">
        <f ca="1">IFERROR(__xludf.DUMMYFUNCTION("""COMPUTED_VALUE"""),"RF-00000133-ORG")</f>
        <v>RF-00000133-ORG</v>
      </c>
    </row>
    <row r="4462" spans="1:2" ht="12.5" x14ac:dyDescent="0.25">
      <c r="A4462" t="str">
        <f ca="1">IFERROR(__xludf.DUMMYFUNCTION("""COMPUTED_VALUE"""),"PCB-101")</f>
        <v>PCB-101</v>
      </c>
      <c r="B4462" t="str">
        <f ca="1">IFERROR(__xludf.DUMMYFUNCTION("""COMPUTED_VALUE"""),"RF-00000134-ORG")</f>
        <v>RF-00000134-ORG</v>
      </c>
    </row>
    <row r="4463" spans="1:2" ht="12.5" x14ac:dyDescent="0.25">
      <c r="A4463" t="str">
        <f ca="1">IFERROR(__xludf.DUMMYFUNCTION("""COMPUTED_VALUE"""),"PCB-102")</f>
        <v>PCB-102</v>
      </c>
      <c r="B4463" t="str">
        <f ca="1">IFERROR(__xludf.DUMMYFUNCTION("""COMPUTED_VALUE"""),"RF-00000135-ORG")</f>
        <v>RF-00000135-ORG</v>
      </c>
    </row>
    <row r="4464" spans="1:2" ht="12.5" x14ac:dyDescent="0.25">
      <c r="A4464" t="str">
        <f ca="1">IFERROR(__xludf.DUMMYFUNCTION("""COMPUTED_VALUE"""),"PCB-103")</f>
        <v>PCB-103</v>
      </c>
      <c r="B4464" t="str">
        <f ca="1">IFERROR(__xludf.DUMMYFUNCTION("""COMPUTED_VALUE"""),"RF-00000136-ORG")</f>
        <v>RF-00000136-ORG</v>
      </c>
    </row>
    <row r="4465" spans="1:2" ht="12.5" x14ac:dyDescent="0.25">
      <c r="A4465" t="str">
        <f ca="1">IFERROR(__xludf.DUMMYFUNCTION("""COMPUTED_VALUE"""),"PCB-104")</f>
        <v>PCB-104</v>
      </c>
      <c r="B4465" t="str">
        <f ca="1">IFERROR(__xludf.DUMMYFUNCTION("""COMPUTED_VALUE"""),"RF-00000137-ORG")</f>
        <v>RF-00000137-ORG</v>
      </c>
    </row>
    <row r="4466" spans="1:2" ht="12.5" x14ac:dyDescent="0.25">
      <c r="A4466" t="str">
        <f ca="1">IFERROR(__xludf.DUMMYFUNCTION("""COMPUTED_VALUE"""),"PCB-105")</f>
        <v>PCB-105</v>
      </c>
      <c r="B4466" t="str">
        <f ca="1">IFERROR(__xludf.DUMMYFUNCTION("""COMPUTED_VALUE"""),"RF-00000117-ORG")</f>
        <v>RF-00000117-ORG</v>
      </c>
    </row>
    <row r="4467" spans="1:2" ht="12.5" x14ac:dyDescent="0.25">
      <c r="A4467" t="str">
        <f ca="1">IFERROR(__xludf.DUMMYFUNCTION("""COMPUTED_VALUE"""),"PCB-106")</f>
        <v>PCB-106</v>
      </c>
      <c r="B4467" t="str">
        <f ca="1">IFERROR(__xludf.DUMMYFUNCTION("""COMPUTED_VALUE"""),"RF-00000138-ORG")</f>
        <v>RF-00000138-ORG</v>
      </c>
    </row>
    <row r="4468" spans="1:2" ht="12.5" x14ac:dyDescent="0.25">
      <c r="A4468" t="str">
        <f ca="1">IFERROR(__xludf.DUMMYFUNCTION("""COMPUTED_VALUE"""),"PCB-107")</f>
        <v>PCB-107</v>
      </c>
      <c r="B4468" t="str">
        <f ca="1">IFERROR(__xludf.DUMMYFUNCTION("""COMPUTED_VALUE"""),"RF-00000139-ORG")</f>
        <v>RF-00000139-ORG</v>
      </c>
    </row>
    <row r="4469" spans="1:2" ht="12.5" x14ac:dyDescent="0.25">
      <c r="A4469" t="str">
        <f ca="1">IFERROR(__xludf.DUMMYFUNCTION("""COMPUTED_VALUE"""),"PCB-108")</f>
        <v>PCB-108</v>
      </c>
      <c r="B4469" t="str">
        <f ca="1">IFERROR(__xludf.DUMMYFUNCTION("""COMPUTED_VALUE"""),"RF-00000140-ORG")</f>
        <v>RF-00000140-ORG</v>
      </c>
    </row>
    <row r="4470" spans="1:2" ht="12.5" x14ac:dyDescent="0.25">
      <c r="A4470" t="str">
        <f ca="1">IFERROR(__xludf.DUMMYFUNCTION("""COMPUTED_VALUE"""),"PCB-109")</f>
        <v>PCB-109</v>
      </c>
      <c r="B4470" t="str">
        <f ca="1">IFERROR(__xludf.DUMMYFUNCTION("""COMPUTED_VALUE"""),"RF-00000141-ORG")</f>
        <v>RF-00000141-ORG</v>
      </c>
    </row>
    <row r="4471" spans="1:2" ht="12.5" x14ac:dyDescent="0.25">
      <c r="A4471" t="str">
        <f ca="1">IFERROR(__xludf.DUMMYFUNCTION("""COMPUTED_VALUE"""),"PCB-11")</f>
        <v>PCB-11</v>
      </c>
      <c r="B4471" t="str">
        <f ca="1">IFERROR(__xludf.DUMMYFUNCTION("""COMPUTED_VALUE"""),"RF-00000142-ORG")</f>
        <v>RF-00000142-ORG</v>
      </c>
    </row>
    <row r="4472" spans="1:2" ht="12.5" x14ac:dyDescent="0.25">
      <c r="A4472" t="str">
        <f ca="1">IFERROR(__xludf.DUMMYFUNCTION("""COMPUTED_VALUE"""),"PCB-110")</f>
        <v>PCB-110</v>
      </c>
      <c r="B4472" t="str">
        <f ca="1">IFERROR(__xludf.DUMMYFUNCTION("""COMPUTED_VALUE"""),"RF-00000143-ORG")</f>
        <v>RF-00000143-ORG</v>
      </c>
    </row>
    <row r="4473" spans="1:2" ht="12.5" x14ac:dyDescent="0.25">
      <c r="A4473" t="str">
        <f ca="1">IFERROR(__xludf.DUMMYFUNCTION("""COMPUTED_VALUE"""),"PCB-111")</f>
        <v>PCB-111</v>
      </c>
      <c r="B4473" t="str">
        <f ca="1">IFERROR(__xludf.DUMMYFUNCTION("""COMPUTED_VALUE"""),"RF-00000144-ORG")</f>
        <v>RF-00000144-ORG</v>
      </c>
    </row>
    <row r="4474" spans="1:2" ht="12.5" x14ac:dyDescent="0.25">
      <c r="A4474" t="str">
        <f ca="1">IFERROR(__xludf.DUMMYFUNCTION("""COMPUTED_VALUE"""),"PCB-112")</f>
        <v>PCB-112</v>
      </c>
      <c r="B4474" t="str">
        <f ca="1">IFERROR(__xludf.DUMMYFUNCTION("""COMPUTED_VALUE"""),"RF-00000145-ORG")</f>
        <v>RF-00000145-ORG</v>
      </c>
    </row>
    <row r="4475" spans="1:2" ht="12.5" x14ac:dyDescent="0.25">
      <c r="A4475" t="str">
        <f ca="1">IFERROR(__xludf.DUMMYFUNCTION("""COMPUTED_VALUE"""),"PCB-113")</f>
        <v>PCB-113</v>
      </c>
      <c r="B4475" t="str">
        <f ca="1">IFERROR(__xludf.DUMMYFUNCTION("""COMPUTED_VALUE"""),"RF-00000146-ORG")</f>
        <v>RF-00000146-ORG</v>
      </c>
    </row>
    <row r="4476" spans="1:2" ht="12.5" x14ac:dyDescent="0.25">
      <c r="A4476" t="str">
        <f ca="1">IFERROR(__xludf.DUMMYFUNCTION("""COMPUTED_VALUE"""),"PCB-114")</f>
        <v>PCB-114</v>
      </c>
      <c r="B4476" t="str">
        <f ca="1">IFERROR(__xludf.DUMMYFUNCTION("""COMPUTED_VALUE"""),"RF-00000118-ORG")</f>
        <v>RF-00000118-ORG</v>
      </c>
    </row>
    <row r="4477" spans="1:2" ht="12.5" x14ac:dyDescent="0.25">
      <c r="A4477" t="str">
        <f ca="1">IFERROR(__xludf.DUMMYFUNCTION("""COMPUTED_VALUE"""),"PCB-115")</f>
        <v>PCB-115</v>
      </c>
      <c r="B4477" t="str">
        <f ca="1">IFERROR(__xludf.DUMMYFUNCTION("""COMPUTED_VALUE"""),"RF-00000147-ORG")</f>
        <v>RF-00000147-ORG</v>
      </c>
    </row>
    <row r="4478" spans="1:2" ht="12.5" x14ac:dyDescent="0.25">
      <c r="A4478" t="str">
        <f ca="1">IFERROR(__xludf.DUMMYFUNCTION("""COMPUTED_VALUE"""),"PCB-116")</f>
        <v>PCB-116</v>
      </c>
      <c r="B4478" t="str">
        <f ca="1">IFERROR(__xludf.DUMMYFUNCTION("""COMPUTED_VALUE"""),"RF-00000148-ORG")</f>
        <v>RF-00000148-ORG</v>
      </c>
    </row>
    <row r="4479" spans="1:2" ht="12.5" x14ac:dyDescent="0.25">
      <c r="A4479" t="str">
        <f ca="1">IFERROR(__xludf.DUMMYFUNCTION("""COMPUTED_VALUE"""),"PCB-117")</f>
        <v>PCB-117</v>
      </c>
      <c r="B4479" t="str">
        <f ca="1">IFERROR(__xludf.DUMMYFUNCTION("""COMPUTED_VALUE"""),"RF-00000149-ORG")</f>
        <v>RF-00000149-ORG</v>
      </c>
    </row>
    <row r="4480" spans="1:2" ht="12.5" x14ac:dyDescent="0.25">
      <c r="A4480" t="str">
        <f ca="1">IFERROR(__xludf.DUMMYFUNCTION("""COMPUTED_VALUE"""),"PCB-118")</f>
        <v>PCB-118</v>
      </c>
      <c r="B4480" t="str">
        <f ca="1">IFERROR(__xludf.DUMMYFUNCTION("""COMPUTED_VALUE"""),"RF-00000119-ORG")</f>
        <v>RF-00000119-ORG</v>
      </c>
    </row>
    <row r="4481" spans="1:2" ht="12.5" x14ac:dyDescent="0.25">
      <c r="A4481" t="str">
        <f ca="1">IFERROR(__xludf.DUMMYFUNCTION("""COMPUTED_VALUE"""),"PCB-119")</f>
        <v>PCB-119</v>
      </c>
      <c r="B4481" t="str">
        <f ca="1">IFERROR(__xludf.DUMMYFUNCTION("""COMPUTED_VALUE"""),"RF-00000150-ORG")</f>
        <v>RF-00000150-ORG</v>
      </c>
    </row>
    <row r="4482" spans="1:2" ht="12.5" x14ac:dyDescent="0.25">
      <c r="A4482" t="str">
        <f ca="1">IFERROR(__xludf.DUMMYFUNCTION("""COMPUTED_VALUE"""),"PCB-12")</f>
        <v>PCB-12</v>
      </c>
      <c r="B4482" t="str">
        <f ca="1">IFERROR(__xludf.DUMMYFUNCTION("""COMPUTED_VALUE"""),"RF-00000151-ORG")</f>
        <v>RF-00000151-ORG</v>
      </c>
    </row>
    <row r="4483" spans="1:2" ht="12.5" x14ac:dyDescent="0.25">
      <c r="A4483" t="str">
        <f ca="1">IFERROR(__xludf.DUMMYFUNCTION("""COMPUTED_VALUE"""),"PCB-120")</f>
        <v>PCB-120</v>
      </c>
      <c r="B4483" t="str">
        <f ca="1">IFERROR(__xludf.DUMMYFUNCTION("""COMPUTED_VALUE"""),"RF-00000152-ORG")</f>
        <v>RF-00000152-ORG</v>
      </c>
    </row>
    <row r="4484" spans="1:2" ht="12.5" x14ac:dyDescent="0.25">
      <c r="A4484" t="str">
        <f ca="1">IFERROR(__xludf.DUMMYFUNCTION("""COMPUTED_VALUE"""),"PCB-121")</f>
        <v>PCB-121</v>
      </c>
      <c r="B4484" t="str">
        <f ca="1">IFERROR(__xludf.DUMMYFUNCTION("""COMPUTED_VALUE"""),"RF-00000153-ORG")</f>
        <v>RF-00000153-ORG</v>
      </c>
    </row>
    <row r="4485" spans="1:2" ht="12.5" x14ac:dyDescent="0.25">
      <c r="A4485" t="str">
        <f ca="1">IFERROR(__xludf.DUMMYFUNCTION("""COMPUTED_VALUE"""),"PCB-122")</f>
        <v>PCB-122</v>
      </c>
      <c r="B4485" t="str">
        <f ca="1">IFERROR(__xludf.DUMMYFUNCTION("""COMPUTED_VALUE"""),"RF-00000154-ORG")</f>
        <v>RF-00000154-ORG</v>
      </c>
    </row>
    <row r="4486" spans="1:2" ht="12.5" x14ac:dyDescent="0.25">
      <c r="A4486" t="str">
        <f ca="1">IFERROR(__xludf.DUMMYFUNCTION("""COMPUTED_VALUE"""),"PCB-123")</f>
        <v>PCB-123</v>
      </c>
      <c r="B4486" t="str">
        <f ca="1">IFERROR(__xludf.DUMMYFUNCTION("""COMPUTED_VALUE"""),"RF-00000120-ORG")</f>
        <v>RF-00000120-ORG</v>
      </c>
    </row>
    <row r="4487" spans="1:2" ht="12.5" x14ac:dyDescent="0.25">
      <c r="A4487" t="str">
        <f ca="1">IFERROR(__xludf.DUMMYFUNCTION("""COMPUTED_VALUE"""),"PCB-124")</f>
        <v>PCB-124</v>
      </c>
      <c r="B4487" t="str">
        <f ca="1">IFERROR(__xludf.DUMMYFUNCTION("""COMPUTED_VALUE"""),"RF-00000155-ORG")</f>
        <v>RF-00000155-ORG</v>
      </c>
    </row>
    <row r="4488" spans="1:2" ht="12.5" x14ac:dyDescent="0.25">
      <c r="A4488" t="str">
        <f ca="1">IFERROR(__xludf.DUMMYFUNCTION("""COMPUTED_VALUE"""),"PCB-125")</f>
        <v>PCB-125</v>
      </c>
      <c r="B4488" t="str">
        <f ca="1">IFERROR(__xludf.DUMMYFUNCTION("""COMPUTED_VALUE"""),"RF-00000156-ORG")</f>
        <v>RF-00000156-ORG</v>
      </c>
    </row>
    <row r="4489" spans="1:2" ht="12.5" x14ac:dyDescent="0.25">
      <c r="A4489" t="str">
        <f ca="1">IFERROR(__xludf.DUMMYFUNCTION("""COMPUTED_VALUE"""),"PCB-126")</f>
        <v>PCB-126</v>
      </c>
      <c r="B4489" t="str">
        <f ca="1">IFERROR(__xludf.DUMMYFUNCTION("""COMPUTED_VALUE"""),"RF-00000126-ORG")</f>
        <v>RF-00000126-ORG</v>
      </c>
    </row>
    <row r="4490" spans="1:2" ht="12.5" x14ac:dyDescent="0.25">
      <c r="A4490" t="str">
        <f ca="1">IFERROR(__xludf.DUMMYFUNCTION("""COMPUTED_VALUE"""),"PCB-127")</f>
        <v>PCB-127</v>
      </c>
      <c r="B4490" t="str">
        <f ca="1">IFERROR(__xludf.DUMMYFUNCTION("""COMPUTED_VALUE"""),"RF-00000157-ORG")</f>
        <v>RF-00000157-ORG</v>
      </c>
    </row>
    <row r="4491" spans="1:2" ht="12.5" x14ac:dyDescent="0.25">
      <c r="A4491" t="str">
        <f ca="1">IFERROR(__xludf.DUMMYFUNCTION("""COMPUTED_VALUE"""),"PCB-128")</f>
        <v>PCB-128</v>
      </c>
      <c r="B4491" t="str">
        <f ca="1">IFERROR(__xludf.DUMMYFUNCTION("""COMPUTED_VALUE"""),"RF-00000158-ORG")</f>
        <v>RF-00000158-ORG</v>
      </c>
    </row>
    <row r="4492" spans="1:2" ht="12.5" x14ac:dyDescent="0.25">
      <c r="A4492" t="str">
        <f ca="1">IFERROR(__xludf.DUMMYFUNCTION("""COMPUTED_VALUE"""),"PCB-129")</f>
        <v>PCB-129</v>
      </c>
      <c r="B4492" t="str">
        <f ca="1">IFERROR(__xludf.DUMMYFUNCTION("""COMPUTED_VALUE"""),"RF-00000159-ORG")</f>
        <v>RF-00000159-ORG</v>
      </c>
    </row>
    <row r="4493" spans="1:2" ht="12.5" x14ac:dyDescent="0.25">
      <c r="A4493" t="str">
        <f ca="1">IFERROR(__xludf.DUMMYFUNCTION("""COMPUTED_VALUE"""),"PCB-13")</f>
        <v>PCB-13</v>
      </c>
      <c r="B4493" t="str">
        <f ca="1">IFERROR(__xludf.DUMMYFUNCTION("""COMPUTED_VALUE"""),"RF-00000160-ORG")</f>
        <v>RF-00000160-ORG</v>
      </c>
    </row>
    <row r="4494" spans="1:2" ht="12.5" x14ac:dyDescent="0.25">
      <c r="A4494" t="str">
        <f ca="1">IFERROR(__xludf.DUMMYFUNCTION("""COMPUTED_VALUE"""),"PCB-130")</f>
        <v>PCB-130</v>
      </c>
      <c r="B4494" t="str">
        <f ca="1">IFERROR(__xludf.DUMMYFUNCTION("""COMPUTED_VALUE"""),"RF-00000161-ORG")</f>
        <v>RF-00000161-ORG</v>
      </c>
    </row>
    <row r="4495" spans="1:2" ht="12.5" x14ac:dyDescent="0.25">
      <c r="A4495" t="str">
        <f ca="1">IFERROR(__xludf.DUMMYFUNCTION("""COMPUTED_VALUE"""),"PCB-131")</f>
        <v>PCB-131</v>
      </c>
      <c r="B4495" t="str">
        <f ca="1">IFERROR(__xludf.DUMMYFUNCTION("""COMPUTED_VALUE"""),"RF-00000162-ORG")</f>
        <v>RF-00000162-ORG</v>
      </c>
    </row>
    <row r="4496" spans="1:2" ht="12.5" x14ac:dyDescent="0.25">
      <c r="A4496" t="str">
        <f ca="1">IFERROR(__xludf.DUMMYFUNCTION("""COMPUTED_VALUE"""),"PCB-132")</f>
        <v>PCB-132</v>
      </c>
      <c r="B4496" t="str">
        <f ca="1">IFERROR(__xludf.DUMMYFUNCTION("""COMPUTED_VALUE"""),"RF-00000163-ORG")</f>
        <v>RF-00000163-ORG</v>
      </c>
    </row>
    <row r="4497" spans="1:2" ht="12.5" x14ac:dyDescent="0.25">
      <c r="A4497" t="str">
        <f ca="1">IFERROR(__xludf.DUMMYFUNCTION("""COMPUTED_VALUE"""),"PCB-133")</f>
        <v>PCB-133</v>
      </c>
      <c r="B4497" t="str">
        <f ca="1">IFERROR(__xludf.DUMMYFUNCTION("""COMPUTED_VALUE"""),"RF-00000164-ORG")</f>
        <v>RF-00000164-ORG</v>
      </c>
    </row>
    <row r="4498" spans="1:2" ht="12.5" x14ac:dyDescent="0.25">
      <c r="A4498" t="str">
        <f ca="1">IFERROR(__xludf.DUMMYFUNCTION("""COMPUTED_VALUE"""),"PCB-134")</f>
        <v>PCB-134</v>
      </c>
      <c r="B4498" t="str">
        <f ca="1">IFERROR(__xludf.DUMMYFUNCTION("""COMPUTED_VALUE"""),"RF-00000165-ORG")</f>
        <v>RF-00000165-ORG</v>
      </c>
    </row>
    <row r="4499" spans="1:2" ht="12.5" x14ac:dyDescent="0.25">
      <c r="A4499" t="str">
        <f ca="1">IFERROR(__xludf.DUMMYFUNCTION("""COMPUTED_VALUE"""),"PCB-135")</f>
        <v>PCB-135</v>
      </c>
      <c r="B4499" t="str">
        <f ca="1">IFERROR(__xludf.DUMMYFUNCTION("""COMPUTED_VALUE"""),"RF-00000166-ORG")</f>
        <v>RF-00000166-ORG</v>
      </c>
    </row>
    <row r="4500" spans="1:2" ht="12.5" x14ac:dyDescent="0.25">
      <c r="A4500" t="str">
        <f ca="1">IFERROR(__xludf.DUMMYFUNCTION("""COMPUTED_VALUE"""),"PCB-136")</f>
        <v>PCB-136</v>
      </c>
      <c r="B4500" t="str">
        <f ca="1">IFERROR(__xludf.DUMMYFUNCTION("""COMPUTED_VALUE"""),"RF-00000167-ORG")</f>
        <v>RF-00000167-ORG</v>
      </c>
    </row>
    <row r="4501" spans="1:2" ht="12.5" x14ac:dyDescent="0.25">
      <c r="A4501" t="str">
        <f ca="1">IFERROR(__xludf.DUMMYFUNCTION("""COMPUTED_VALUE"""),"PCB-137")</f>
        <v>PCB-137</v>
      </c>
      <c r="B4501" t="str">
        <f ca="1">IFERROR(__xludf.DUMMYFUNCTION("""COMPUTED_VALUE"""),"RF-00000168-ORG")</f>
        <v>RF-00000168-ORG</v>
      </c>
    </row>
    <row r="4502" spans="1:2" ht="12.5" x14ac:dyDescent="0.25">
      <c r="A4502" t="str">
        <f ca="1">IFERROR(__xludf.DUMMYFUNCTION("""COMPUTED_VALUE"""),"PCB-138")</f>
        <v>PCB-138</v>
      </c>
      <c r="B4502" t="str">
        <f ca="1">IFERROR(__xludf.DUMMYFUNCTION("""COMPUTED_VALUE"""),"RF-00000169-ORG")</f>
        <v>RF-00000169-ORG</v>
      </c>
    </row>
    <row r="4503" spans="1:2" ht="12.5" x14ac:dyDescent="0.25">
      <c r="A4503" t="str">
        <f ca="1">IFERROR(__xludf.DUMMYFUNCTION("""COMPUTED_VALUE"""),"PCB-139")</f>
        <v>PCB-139</v>
      </c>
      <c r="B4503" t="str">
        <f ca="1">IFERROR(__xludf.DUMMYFUNCTION("""COMPUTED_VALUE"""),"RF-00000170-ORG")</f>
        <v>RF-00000170-ORG</v>
      </c>
    </row>
    <row r="4504" spans="1:2" ht="12.5" x14ac:dyDescent="0.25">
      <c r="A4504" t="str">
        <f ca="1">IFERROR(__xludf.DUMMYFUNCTION("""COMPUTED_VALUE"""),"PCB-14")</f>
        <v>PCB-14</v>
      </c>
      <c r="B4504" t="str">
        <f ca="1">IFERROR(__xludf.DUMMYFUNCTION("""COMPUTED_VALUE"""),"RF-00000171-ORG")</f>
        <v>RF-00000171-ORG</v>
      </c>
    </row>
    <row r="4505" spans="1:2" ht="12.5" x14ac:dyDescent="0.25">
      <c r="A4505" t="str">
        <f ca="1">IFERROR(__xludf.DUMMYFUNCTION("""COMPUTED_VALUE"""),"PCB-140")</f>
        <v>PCB-140</v>
      </c>
      <c r="B4505" t="str">
        <f ca="1">IFERROR(__xludf.DUMMYFUNCTION("""COMPUTED_VALUE"""),"RF-00000172-ORG")</f>
        <v>RF-00000172-ORG</v>
      </c>
    </row>
    <row r="4506" spans="1:2" ht="12.5" x14ac:dyDescent="0.25">
      <c r="A4506" t="str">
        <f ca="1">IFERROR(__xludf.DUMMYFUNCTION("""COMPUTED_VALUE"""),"PCB-141")</f>
        <v>PCB-141</v>
      </c>
      <c r="B4506" t="str">
        <f ca="1">IFERROR(__xludf.DUMMYFUNCTION("""COMPUTED_VALUE"""),"RF-00000173-ORG")</f>
        <v>RF-00000173-ORG</v>
      </c>
    </row>
    <row r="4507" spans="1:2" ht="12.5" x14ac:dyDescent="0.25">
      <c r="A4507" t="str">
        <f ca="1">IFERROR(__xludf.DUMMYFUNCTION("""COMPUTED_VALUE"""),"PCB-142")</f>
        <v>PCB-142</v>
      </c>
      <c r="B4507" t="str">
        <f ca="1">IFERROR(__xludf.DUMMYFUNCTION("""COMPUTED_VALUE"""),"RF-00000174-ORG")</f>
        <v>RF-00000174-ORG</v>
      </c>
    </row>
    <row r="4508" spans="1:2" ht="12.5" x14ac:dyDescent="0.25">
      <c r="A4508" t="str">
        <f ca="1">IFERROR(__xludf.DUMMYFUNCTION("""COMPUTED_VALUE"""),"PCB-143")</f>
        <v>PCB-143</v>
      </c>
      <c r="B4508" t="str">
        <f ca="1">IFERROR(__xludf.DUMMYFUNCTION("""COMPUTED_VALUE"""),"RF-00000175-ORG")</f>
        <v>RF-00000175-ORG</v>
      </c>
    </row>
    <row r="4509" spans="1:2" ht="12.5" x14ac:dyDescent="0.25">
      <c r="A4509" t="str">
        <f ca="1">IFERROR(__xludf.DUMMYFUNCTION("""COMPUTED_VALUE"""),"PCB-144")</f>
        <v>PCB-144</v>
      </c>
      <c r="B4509" t="str">
        <f ca="1">IFERROR(__xludf.DUMMYFUNCTION("""COMPUTED_VALUE"""),"RF-00000176-ORG")</f>
        <v>RF-00000176-ORG</v>
      </c>
    </row>
    <row r="4510" spans="1:2" ht="12.5" x14ac:dyDescent="0.25">
      <c r="A4510" t="str">
        <f ca="1">IFERROR(__xludf.DUMMYFUNCTION("""COMPUTED_VALUE"""),"PCB-145")</f>
        <v>PCB-145</v>
      </c>
      <c r="B4510" t="str">
        <f ca="1">IFERROR(__xludf.DUMMYFUNCTION("""COMPUTED_VALUE"""),"RF-00000177-ORG")</f>
        <v>RF-00000177-ORG</v>
      </c>
    </row>
    <row r="4511" spans="1:2" ht="12.5" x14ac:dyDescent="0.25">
      <c r="A4511" t="str">
        <f ca="1">IFERROR(__xludf.DUMMYFUNCTION("""COMPUTED_VALUE"""),"PCB-146")</f>
        <v>PCB-146</v>
      </c>
      <c r="B4511" t="str">
        <f ca="1">IFERROR(__xludf.DUMMYFUNCTION("""COMPUTED_VALUE"""),"RF-00000178-ORG")</f>
        <v>RF-00000178-ORG</v>
      </c>
    </row>
    <row r="4512" spans="1:2" ht="12.5" x14ac:dyDescent="0.25">
      <c r="A4512" t="str">
        <f ca="1">IFERROR(__xludf.DUMMYFUNCTION("""COMPUTED_VALUE"""),"PCB-147")</f>
        <v>PCB-147</v>
      </c>
      <c r="B4512" t="str">
        <f ca="1">IFERROR(__xludf.DUMMYFUNCTION("""COMPUTED_VALUE"""),"RF-00000179-ORG")</f>
        <v>RF-00000179-ORG</v>
      </c>
    </row>
    <row r="4513" spans="1:2" ht="12.5" x14ac:dyDescent="0.25">
      <c r="A4513" t="str">
        <f ca="1">IFERROR(__xludf.DUMMYFUNCTION("""COMPUTED_VALUE"""),"PCB-148")</f>
        <v>PCB-148</v>
      </c>
      <c r="B4513" t="str">
        <f ca="1">IFERROR(__xludf.DUMMYFUNCTION("""COMPUTED_VALUE"""),"RF-00000180-ORG")</f>
        <v>RF-00000180-ORG</v>
      </c>
    </row>
    <row r="4514" spans="1:2" ht="12.5" x14ac:dyDescent="0.25">
      <c r="A4514" t="str">
        <f ca="1">IFERROR(__xludf.DUMMYFUNCTION("""COMPUTED_VALUE"""),"PCB-149")</f>
        <v>PCB-149</v>
      </c>
      <c r="B4514" t="str">
        <f ca="1">IFERROR(__xludf.DUMMYFUNCTION("""COMPUTED_VALUE"""),"RF-00000181-ORG")</f>
        <v>RF-00000181-ORG</v>
      </c>
    </row>
    <row r="4515" spans="1:2" ht="12.5" x14ac:dyDescent="0.25">
      <c r="A4515" t="str">
        <f ca="1">IFERROR(__xludf.DUMMYFUNCTION("""COMPUTED_VALUE"""),"PCB-15")</f>
        <v>PCB-15</v>
      </c>
      <c r="B4515" t="str">
        <f ca="1">IFERROR(__xludf.DUMMYFUNCTION("""COMPUTED_VALUE"""),"RF-00000182-ORG")</f>
        <v>RF-00000182-ORG</v>
      </c>
    </row>
    <row r="4516" spans="1:2" ht="12.5" x14ac:dyDescent="0.25">
      <c r="A4516" t="str">
        <f ca="1">IFERROR(__xludf.DUMMYFUNCTION("""COMPUTED_VALUE"""),"PCB-150")</f>
        <v>PCB-150</v>
      </c>
      <c r="B4516" t="str">
        <f ca="1">IFERROR(__xludf.DUMMYFUNCTION("""COMPUTED_VALUE"""),"RF-00000183-ORG")</f>
        <v>RF-00000183-ORG</v>
      </c>
    </row>
    <row r="4517" spans="1:2" ht="12.5" x14ac:dyDescent="0.25">
      <c r="A4517" t="str">
        <f ca="1">IFERROR(__xludf.DUMMYFUNCTION("""COMPUTED_VALUE"""),"PCB-151")</f>
        <v>PCB-151</v>
      </c>
      <c r="B4517" t="str">
        <f ca="1">IFERROR(__xludf.DUMMYFUNCTION("""COMPUTED_VALUE"""),"RF-00000184-ORG")</f>
        <v>RF-00000184-ORG</v>
      </c>
    </row>
    <row r="4518" spans="1:2" ht="12.5" x14ac:dyDescent="0.25">
      <c r="A4518" t="str">
        <f ca="1">IFERROR(__xludf.DUMMYFUNCTION("""COMPUTED_VALUE"""),"PCB-152")</f>
        <v>PCB-152</v>
      </c>
      <c r="B4518" t="str">
        <f ca="1">IFERROR(__xludf.DUMMYFUNCTION("""COMPUTED_VALUE"""),"RF-00000185-ORG")</f>
        <v>RF-00000185-ORG</v>
      </c>
    </row>
    <row r="4519" spans="1:2" ht="12.5" x14ac:dyDescent="0.25">
      <c r="A4519" t="str">
        <f ca="1">IFERROR(__xludf.DUMMYFUNCTION("""COMPUTED_VALUE"""),"PCB-153")</f>
        <v>PCB-153</v>
      </c>
      <c r="B4519" t="str">
        <f ca="1">IFERROR(__xludf.DUMMYFUNCTION("""COMPUTED_VALUE"""),"RF-00000186-ORG")</f>
        <v>RF-00000186-ORG</v>
      </c>
    </row>
    <row r="4520" spans="1:2" ht="12.5" x14ac:dyDescent="0.25">
      <c r="A4520" t="str">
        <f ca="1">IFERROR(__xludf.DUMMYFUNCTION("""COMPUTED_VALUE"""),"PCB-154")</f>
        <v>PCB-154</v>
      </c>
      <c r="B4520" t="str">
        <f ca="1">IFERROR(__xludf.DUMMYFUNCTION("""COMPUTED_VALUE"""),"RF-00000187-ORG")</f>
        <v>RF-00000187-ORG</v>
      </c>
    </row>
    <row r="4521" spans="1:2" ht="12.5" x14ac:dyDescent="0.25">
      <c r="A4521" t="str">
        <f ca="1">IFERROR(__xludf.DUMMYFUNCTION("""COMPUTED_VALUE"""),"PCB-155")</f>
        <v>PCB-155</v>
      </c>
      <c r="B4521" t="str">
        <f ca="1">IFERROR(__xludf.DUMMYFUNCTION("""COMPUTED_VALUE"""),"RF-00000188-ORG")</f>
        <v>RF-00000188-ORG</v>
      </c>
    </row>
    <row r="4522" spans="1:2" ht="12.5" x14ac:dyDescent="0.25">
      <c r="A4522" t="str">
        <f ca="1">IFERROR(__xludf.DUMMYFUNCTION("""COMPUTED_VALUE"""),"PCB-156")</f>
        <v>PCB-156</v>
      </c>
      <c r="B4522" t="str">
        <f ca="1">IFERROR(__xludf.DUMMYFUNCTION("""COMPUTED_VALUE"""),"RF-00000121-ORG")</f>
        <v>RF-00000121-ORG</v>
      </c>
    </row>
    <row r="4523" spans="1:2" ht="12.5" x14ac:dyDescent="0.25">
      <c r="A4523" t="str">
        <f ca="1">IFERROR(__xludf.DUMMYFUNCTION("""COMPUTED_VALUE"""),"PCB-157")</f>
        <v>PCB-157</v>
      </c>
      <c r="B4523" t="str">
        <f ca="1">IFERROR(__xludf.DUMMYFUNCTION("""COMPUTED_VALUE"""),"RF-00000122-ORG")</f>
        <v>RF-00000122-ORG</v>
      </c>
    </row>
    <row r="4524" spans="1:2" ht="12.5" x14ac:dyDescent="0.25">
      <c r="A4524" t="str">
        <f ca="1">IFERROR(__xludf.DUMMYFUNCTION("""COMPUTED_VALUE"""),"PCB-158")</f>
        <v>PCB-158</v>
      </c>
      <c r="B4524" t="str">
        <f ca="1">IFERROR(__xludf.DUMMYFUNCTION("""COMPUTED_VALUE"""),"RF-00000189-ORG")</f>
        <v>RF-00000189-ORG</v>
      </c>
    </row>
    <row r="4525" spans="1:2" ht="12.5" x14ac:dyDescent="0.25">
      <c r="A4525" t="str">
        <f ca="1">IFERROR(__xludf.DUMMYFUNCTION("""COMPUTED_VALUE"""),"PCB-159")</f>
        <v>PCB-159</v>
      </c>
      <c r="B4525" t="str">
        <f ca="1">IFERROR(__xludf.DUMMYFUNCTION("""COMPUTED_VALUE"""),"RF-00000190-ORG")</f>
        <v>RF-00000190-ORG</v>
      </c>
    </row>
    <row r="4526" spans="1:2" ht="12.5" x14ac:dyDescent="0.25">
      <c r="A4526" t="str">
        <f ca="1">IFERROR(__xludf.DUMMYFUNCTION("""COMPUTED_VALUE"""),"PCB-16")</f>
        <v>PCB-16</v>
      </c>
      <c r="B4526" t="str">
        <f ca="1">IFERROR(__xludf.DUMMYFUNCTION("""COMPUTED_VALUE"""),"RF-00000191-ORG")</f>
        <v>RF-00000191-ORG</v>
      </c>
    </row>
    <row r="4527" spans="1:2" ht="12.5" x14ac:dyDescent="0.25">
      <c r="A4527" t="str">
        <f ca="1">IFERROR(__xludf.DUMMYFUNCTION("""COMPUTED_VALUE"""),"PCB-160")</f>
        <v>PCB-160</v>
      </c>
      <c r="B4527" t="str">
        <f ca="1">IFERROR(__xludf.DUMMYFUNCTION("""COMPUTED_VALUE"""),"RF-00000192-ORG")</f>
        <v>RF-00000192-ORG</v>
      </c>
    </row>
    <row r="4528" spans="1:2" ht="12.5" x14ac:dyDescent="0.25">
      <c r="A4528" t="str">
        <f ca="1">IFERROR(__xludf.DUMMYFUNCTION("""COMPUTED_VALUE"""),"PCB-161")</f>
        <v>PCB-161</v>
      </c>
      <c r="B4528" t="str">
        <f ca="1">IFERROR(__xludf.DUMMYFUNCTION("""COMPUTED_VALUE"""),"RF-00000193-ORG")</f>
        <v>RF-00000193-ORG</v>
      </c>
    </row>
    <row r="4529" spans="1:2" ht="12.5" x14ac:dyDescent="0.25">
      <c r="A4529" t="str">
        <f ca="1">IFERROR(__xludf.DUMMYFUNCTION("""COMPUTED_VALUE"""),"PCB-162")</f>
        <v>PCB-162</v>
      </c>
      <c r="B4529" t="str">
        <f ca="1">IFERROR(__xludf.DUMMYFUNCTION("""COMPUTED_VALUE"""),"RF-00000194-ORG")</f>
        <v>RF-00000194-ORG</v>
      </c>
    </row>
    <row r="4530" spans="1:2" ht="12.5" x14ac:dyDescent="0.25">
      <c r="A4530" t="str">
        <f ca="1">IFERROR(__xludf.DUMMYFUNCTION("""COMPUTED_VALUE"""),"PCB-163")</f>
        <v>PCB-163</v>
      </c>
      <c r="B4530" t="str">
        <f ca="1">IFERROR(__xludf.DUMMYFUNCTION("""COMPUTED_VALUE"""),"RF-00000195-ORG")</f>
        <v>RF-00000195-ORG</v>
      </c>
    </row>
    <row r="4531" spans="1:2" ht="12.5" x14ac:dyDescent="0.25">
      <c r="A4531" t="str">
        <f ca="1">IFERROR(__xludf.DUMMYFUNCTION("""COMPUTED_VALUE"""),"PCB-164")</f>
        <v>PCB-164</v>
      </c>
      <c r="B4531" t="str">
        <f ca="1">IFERROR(__xludf.DUMMYFUNCTION("""COMPUTED_VALUE"""),"RF-00000196-ORG")</f>
        <v>RF-00000196-ORG</v>
      </c>
    </row>
    <row r="4532" spans="1:2" ht="12.5" x14ac:dyDescent="0.25">
      <c r="A4532" t="str">
        <f ca="1">IFERROR(__xludf.DUMMYFUNCTION("""COMPUTED_VALUE"""),"PCB-165")</f>
        <v>PCB-165</v>
      </c>
      <c r="B4532" t="str">
        <f ca="1">IFERROR(__xludf.DUMMYFUNCTION("""COMPUTED_VALUE"""),"RF-00000197-ORG")</f>
        <v>RF-00000197-ORG</v>
      </c>
    </row>
    <row r="4533" spans="1:2" ht="12.5" x14ac:dyDescent="0.25">
      <c r="A4533" t="str">
        <f ca="1">IFERROR(__xludf.DUMMYFUNCTION("""COMPUTED_VALUE"""),"PCB-166")</f>
        <v>PCB-166</v>
      </c>
      <c r="B4533" t="str">
        <f ca="1">IFERROR(__xludf.DUMMYFUNCTION("""COMPUTED_VALUE"""),"RF-00000198-ORG")</f>
        <v>RF-00000198-ORG</v>
      </c>
    </row>
    <row r="4534" spans="1:2" ht="12.5" x14ac:dyDescent="0.25">
      <c r="A4534" t="str">
        <f ca="1">IFERROR(__xludf.DUMMYFUNCTION("""COMPUTED_VALUE"""),"PCB-167")</f>
        <v>PCB-167</v>
      </c>
      <c r="B4534" t="str">
        <f ca="1">IFERROR(__xludf.DUMMYFUNCTION("""COMPUTED_VALUE"""),"RF-00000123-ORG")</f>
        <v>RF-00000123-ORG</v>
      </c>
    </row>
    <row r="4535" spans="1:2" ht="12.5" x14ac:dyDescent="0.25">
      <c r="A4535" t="str">
        <f ca="1">IFERROR(__xludf.DUMMYFUNCTION("""COMPUTED_VALUE"""),"PCB-168")</f>
        <v>PCB-168</v>
      </c>
      <c r="B4535" t="str">
        <f ca="1">IFERROR(__xludf.DUMMYFUNCTION("""COMPUTED_VALUE"""),"RF-00000199-ORG")</f>
        <v>RF-00000199-ORG</v>
      </c>
    </row>
    <row r="4536" spans="1:2" ht="12.5" x14ac:dyDescent="0.25">
      <c r="A4536" t="str">
        <f ca="1">IFERROR(__xludf.DUMMYFUNCTION("""COMPUTED_VALUE"""),"PCB-169")</f>
        <v>PCB-169</v>
      </c>
      <c r="B4536" t="str">
        <f ca="1">IFERROR(__xludf.DUMMYFUNCTION("""COMPUTED_VALUE"""),"RF-00000127-ORG")</f>
        <v>RF-00000127-ORG</v>
      </c>
    </row>
    <row r="4537" spans="1:2" ht="12.5" x14ac:dyDescent="0.25">
      <c r="A4537" t="str">
        <f ca="1">IFERROR(__xludf.DUMMYFUNCTION("""COMPUTED_VALUE"""),"PCB-17")</f>
        <v>PCB-17</v>
      </c>
      <c r="B4537" t="str">
        <f ca="1">IFERROR(__xludf.DUMMYFUNCTION("""COMPUTED_VALUE"""),"RF-00000200-ORG")</f>
        <v>RF-00000200-ORG</v>
      </c>
    </row>
    <row r="4538" spans="1:2" ht="12.5" x14ac:dyDescent="0.25">
      <c r="A4538" t="str">
        <f ca="1">IFERROR(__xludf.DUMMYFUNCTION("""COMPUTED_VALUE"""),"PCB-170")</f>
        <v>PCB-170</v>
      </c>
      <c r="B4538" t="str">
        <f ca="1">IFERROR(__xludf.DUMMYFUNCTION("""COMPUTED_VALUE"""),"RF-00000201-ORG")</f>
        <v>RF-00000201-ORG</v>
      </c>
    </row>
    <row r="4539" spans="1:2" ht="12.5" x14ac:dyDescent="0.25">
      <c r="A4539" t="str">
        <f ca="1">IFERROR(__xludf.DUMMYFUNCTION("""COMPUTED_VALUE"""),"PCB-171")</f>
        <v>PCB-171</v>
      </c>
      <c r="B4539" t="str">
        <f ca="1">IFERROR(__xludf.DUMMYFUNCTION("""COMPUTED_VALUE"""),"RF-00000202-ORG")</f>
        <v>RF-00000202-ORG</v>
      </c>
    </row>
    <row r="4540" spans="1:2" ht="12.5" x14ac:dyDescent="0.25">
      <c r="A4540" t="str">
        <f ca="1">IFERROR(__xludf.DUMMYFUNCTION("""COMPUTED_VALUE"""),"PCB-172")</f>
        <v>PCB-172</v>
      </c>
      <c r="B4540" t="str">
        <f ca="1">IFERROR(__xludf.DUMMYFUNCTION("""COMPUTED_VALUE"""),"RF-00000203-ORG")</f>
        <v>RF-00000203-ORG</v>
      </c>
    </row>
    <row r="4541" spans="1:2" ht="12.5" x14ac:dyDescent="0.25">
      <c r="A4541" t="str">
        <f ca="1">IFERROR(__xludf.DUMMYFUNCTION("""COMPUTED_VALUE"""),"PCB-173")</f>
        <v>PCB-173</v>
      </c>
      <c r="B4541" t="str">
        <f ca="1">IFERROR(__xludf.DUMMYFUNCTION("""COMPUTED_VALUE"""),"RF-00000204-ORG")</f>
        <v>RF-00000204-ORG</v>
      </c>
    </row>
    <row r="4542" spans="1:2" ht="12.5" x14ac:dyDescent="0.25">
      <c r="A4542" t="str">
        <f ca="1">IFERROR(__xludf.DUMMYFUNCTION("""COMPUTED_VALUE"""),"PCB-174")</f>
        <v>PCB-174</v>
      </c>
      <c r="B4542" t="str">
        <f ca="1">IFERROR(__xludf.DUMMYFUNCTION("""COMPUTED_VALUE"""),"RF-00000205-ORG")</f>
        <v>RF-00000205-ORG</v>
      </c>
    </row>
    <row r="4543" spans="1:2" ht="12.5" x14ac:dyDescent="0.25">
      <c r="A4543" t="str">
        <f ca="1">IFERROR(__xludf.DUMMYFUNCTION("""COMPUTED_VALUE"""),"PCB-175")</f>
        <v>PCB-175</v>
      </c>
      <c r="B4543" t="str">
        <f ca="1">IFERROR(__xludf.DUMMYFUNCTION("""COMPUTED_VALUE"""),"RF-00000206-ORG")</f>
        <v>RF-00000206-ORG</v>
      </c>
    </row>
    <row r="4544" spans="1:2" ht="12.5" x14ac:dyDescent="0.25">
      <c r="A4544" t="str">
        <f ca="1">IFERROR(__xludf.DUMMYFUNCTION("""COMPUTED_VALUE"""),"PCB-176")</f>
        <v>PCB-176</v>
      </c>
      <c r="B4544" t="str">
        <f ca="1">IFERROR(__xludf.DUMMYFUNCTION("""COMPUTED_VALUE"""),"RF-00000207-ORG")</f>
        <v>RF-00000207-ORG</v>
      </c>
    </row>
    <row r="4545" spans="1:2" ht="12.5" x14ac:dyDescent="0.25">
      <c r="A4545" t="str">
        <f ca="1">IFERROR(__xludf.DUMMYFUNCTION("""COMPUTED_VALUE"""),"PCB-177")</f>
        <v>PCB-177</v>
      </c>
      <c r="B4545" t="str">
        <f ca="1">IFERROR(__xludf.DUMMYFUNCTION("""COMPUTED_VALUE"""),"RF-00000208-ORG")</f>
        <v>RF-00000208-ORG</v>
      </c>
    </row>
    <row r="4546" spans="1:2" ht="12.5" x14ac:dyDescent="0.25">
      <c r="A4546" t="str">
        <f ca="1">IFERROR(__xludf.DUMMYFUNCTION("""COMPUTED_VALUE"""),"PCB-178")</f>
        <v>PCB-178</v>
      </c>
      <c r="B4546" t="str">
        <f ca="1">IFERROR(__xludf.DUMMYFUNCTION("""COMPUTED_VALUE"""),"RF-00000209-ORG")</f>
        <v>RF-00000209-ORG</v>
      </c>
    </row>
    <row r="4547" spans="1:2" ht="12.5" x14ac:dyDescent="0.25">
      <c r="A4547" t="str">
        <f ca="1">IFERROR(__xludf.DUMMYFUNCTION("""COMPUTED_VALUE"""),"PCB-179")</f>
        <v>PCB-179</v>
      </c>
      <c r="B4547" t="str">
        <f ca="1">IFERROR(__xludf.DUMMYFUNCTION("""COMPUTED_VALUE"""),"RF-00000210-ORG")</f>
        <v>RF-00000210-ORG</v>
      </c>
    </row>
    <row r="4548" spans="1:2" ht="12.5" x14ac:dyDescent="0.25">
      <c r="A4548" t="str">
        <f ca="1">IFERROR(__xludf.DUMMYFUNCTION("""COMPUTED_VALUE"""),"PCB-18")</f>
        <v>PCB-18</v>
      </c>
      <c r="B4548" t="str">
        <f ca="1">IFERROR(__xludf.DUMMYFUNCTION("""COMPUTED_VALUE"""),"RF-00000211-ORG")</f>
        <v>RF-00000211-ORG</v>
      </c>
    </row>
    <row r="4549" spans="1:2" ht="12.5" x14ac:dyDescent="0.25">
      <c r="A4549" t="str">
        <f ca="1">IFERROR(__xludf.DUMMYFUNCTION("""COMPUTED_VALUE"""),"PCB-180")</f>
        <v>PCB-180</v>
      </c>
      <c r="B4549" t="str">
        <f ca="1">IFERROR(__xludf.DUMMYFUNCTION("""COMPUTED_VALUE"""),"RF-00000212-ORG")</f>
        <v>RF-00000212-ORG</v>
      </c>
    </row>
    <row r="4550" spans="1:2" ht="12.5" x14ac:dyDescent="0.25">
      <c r="A4550" t="str">
        <f ca="1">IFERROR(__xludf.DUMMYFUNCTION("""COMPUTED_VALUE"""),"PCB-181")</f>
        <v>PCB-181</v>
      </c>
      <c r="B4550" t="str">
        <f ca="1">IFERROR(__xludf.DUMMYFUNCTION("""COMPUTED_VALUE"""),"RF-00000213-ORG")</f>
        <v>RF-00000213-ORG</v>
      </c>
    </row>
    <row r="4551" spans="1:2" ht="12.5" x14ac:dyDescent="0.25">
      <c r="A4551" t="str">
        <f ca="1">IFERROR(__xludf.DUMMYFUNCTION("""COMPUTED_VALUE"""),"PCB-182")</f>
        <v>PCB-182</v>
      </c>
      <c r="B4551" t="str">
        <f ca="1">IFERROR(__xludf.DUMMYFUNCTION("""COMPUTED_VALUE"""),"RF-00000214-ORG")</f>
        <v>RF-00000214-ORG</v>
      </c>
    </row>
    <row r="4552" spans="1:2" ht="12.5" x14ac:dyDescent="0.25">
      <c r="A4552" t="str">
        <f ca="1">IFERROR(__xludf.DUMMYFUNCTION("""COMPUTED_VALUE"""),"PCB-183")</f>
        <v>PCB-183</v>
      </c>
      <c r="B4552" t="str">
        <f ca="1">IFERROR(__xludf.DUMMYFUNCTION("""COMPUTED_VALUE"""),"RF-00000215-ORG")</f>
        <v>RF-00000215-ORG</v>
      </c>
    </row>
    <row r="4553" spans="1:2" ht="12.5" x14ac:dyDescent="0.25">
      <c r="A4553" t="str">
        <f ca="1">IFERROR(__xludf.DUMMYFUNCTION("""COMPUTED_VALUE"""),"PCB-184")</f>
        <v>PCB-184</v>
      </c>
      <c r="B4553" t="str">
        <f ca="1">IFERROR(__xludf.DUMMYFUNCTION("""COMPUTED_VALUE"""),"RF-00000216-ORG")</f>
        <v>RF-00000216-ORG</v>
      </c>
    </row>
    <row r="4554" spans="1:2" ht="12.5" x14ac:dyDescent="0.25">
      <c r="A4554" t="str">
        <f ca="1">IFERROR(__xludf.DUMMYFUNCTION("""COMPUTED_VALUE"""),"PCB-185")</f>
        <v>PCB-185</v>
      </c>
      <c r="B4554" t="str">
        <f ca="1">IFERROR(__xludf.DUMMYFUNCTION("""COMPUTED_VALUE"""),"RF-00000217-ORG")</f>
        <v>RF-00000217-ORG</v>
      </c>
    </row>
    <row r="4555" spans="1:2" ht="12.5" x14ac:dyDescent="0.25">
      <c r="A4555" t="str">
        <f ca="1">IFERROR(__xludf.DUMMYFUNCTION("""COMPUTED_VALUE"""),"PCB-186")</f>
        <v>PCB-186</v>
      </c>
      <c r="B4555" t="str">
        <f ca="1">IFERROR(__xludf.DUMMYFUNCTION("""COMPUTED_VALUE"""),"RF-00000218-ORG")</f>
        <v>RF-00000218-ORG</v>
      </c>
    </row>
    <row r="4556" spans="1:2" ht="12.5" x14ac:dyDescent="0.25">
      <c r="A4556" t="str">
        <f ca="1">IFERROR(__xludf.DUMMYFUNCTION("""COMPUTED_VALUE"""),"PCB-187")</f>
        <v>PCB-187</v>
      </c>
      <c r="B4556" t="str">
        <f ca="1">IFERROR(__xludf.DUMMYFUNCTION("""COMPUTED_VALUE"""),"RF-00000219-ORG")</f>
        <v>RF-00000219-ORG</v>
      </c>
    </row>
    <row r="4557" spans="1:2" ht="12.5" x14ac:dyDescent="0.25">
      <c r="A4557" t="str">
        <f ca="1">IFERROR(__xludf.DUMMYFUNCTION("""COMPUTED_VALUE"""),"PCB-188")</f>
        <v>PCB-188</v>
      </c>
      <c r="B4557" t="str">
        <f ca="1">IFERROR(__xludf.DUMMYFUNCTION("""COMPUTED_VALUE"""),"RF-00000220-ORG")</f>
        <v>RF-00000220-ORG</v>
      </c>
    </row>
    <row r="4558" spans="1:2" ht="12.5" x14ac:dyDescent="0.25">
      <c r="A4558" t="str">
        <f ca="1">IFERROR(__xludf.DUMMYFUNCTION("""COMPUTED_VALUE"""),"PCB-189")</f>
        <v>PCB-189</v>
      </c>
      <c r="B4558" t="str">
        <f ca="1">IFERROR(__xludf.DUMMYFUNCTION("""COMPUTED_VALUE"""),"RF-00000124-ORG")</f>
        <v>RF-00000124-ORG</v>
      </c>
    </row>
    <row r="4559" spans="1:2" ht="12.5" x14ac:dyDescent="0.25">
      <c r="A4559" t="str">
        <f ca="1">IFERROR(__xludf.DUMMYFUNCTION("""COMPUTED_VALUE"""),"PCB-19")</f>
        <v>PCB-19</v>
      </c>
      <c r="B4559" t="str">
        <f ca="1">IFERROR(__xludf.DUMMYFUNCTION("""COMPUTED_VALUE"""),"RF-00000221-ORG")</f>
        <v>RF-00000221-ORG</v>
      </c>
    </row>
    <row r="4560" spans="1:2" ht="12.5" x14ac:dyDescent="0.25">
      <c r="A4560" t="str">
        <f ca="1">IFERROR(__xludf.DUMMYFUNCTION("""COMPUTED_VALUE"""),"PCB-190")</f>
        <v>PCB-190</v>
      </c>
      <c r="B4560" t="str">
        <f ca="1">IFERROR(__xludf.DUMMYFUNCTION("""COMPUTED_VALUE"""),"RF-00000222-ORG")</f>
        <v>RF-00000222-ORG</v>
      </c>
    </row>
    <row r="4561" spans="1:2" ht="12.5" x14ac:dyDescent="0.25">
      <c r="A4561" t="str">
        <f ca="1">IFERROR(__xludf.DUMMYFUNCTION("""COMPUTED_VALUE"""),"PCB-191")</f>
        <v>PCB-191</v>
      </c>
      <c r="B4561" t="str">
        <f ca="1">IFERROR(__xludf.DUMMYFUNCTION("""COMPUTED_VALUE"""),"RF-00000223-ORG")</f>
        <v>RF-00000223-ORG</v>
      </c>
    </row>
    <row r="4562" spans="1:2" ht="12.5" x14ac:dyDescent="0.25">
      <c r="A4562" t="str">
        <f ca="1">IFERROR(__xludf.DUMMYFUNCTION("""COMPUTED_VALUE"""),"PCB-192")</f>
        <v>PCB-192</v>
      </c>
      <c r="B4562" t="str">
        <f ca="1">IFERROR(__xludf.DUMMYFUNCTION("""COMPUTED_VALUE"""),"RF-00000224-ORG")</f>
        <v>RF-00000224-ORG</v>
      </c>
    </row>
    <row r="4563" spans="1:2" ht="12.5" x14ac:dyDescent="0.25">
      <c r="A4563" t="str">
        <f ca="1">IFERROR(__xludf.DUMMYFUNCTION("""COMPUTED_VALUE"""),"PCB-193")</f>
        <v>PCB-193</v>
      </c>
      <c r="B4563" t="str">
        <f ca="1">IFERROR(__xludf.DUMMYFUNCTION("""COMPUTED_VALUE"""),"RF-00000225-ORG")</f>
        <v>RF-00000225-ORG</v>
      </c>
    </row>
    <row r="4564" spans="1:2" ht="12.5" x14ac:dyDescent="0.25">
      <c r="A4564" t="str">
        <f ca="1">IFERROR(__xludf.DUMMYFUNCTION("""COMPUTED_VALUE"""),"PCB-194")</f>
        <v>PCB-194</v>
      </c>
      <c r="B4564" t="str">
        <f ca="1">IFERROR(__xludf.DUMMYFUNCTION("""COMPUTED_VALUE"""),"RF-00000226-ORG")</f>
        <v>RF-00000226-ORG</v>
      </c>
    </row>
    <row r="4565" spans="1:2" ht="12.5" x14ac:dyDescent="0.25">
      <c r="A4565" t="str">
        <f ca="1">IFERROR(__xludf.DUMMYFUNCTION("""COMPUTED_VALUE"""),"PCB-195")</f>
        <v>PCB-195</v>
      </c>
      <c r="B4565" t="str">
        <f ca="1">IFERROR(__xludf.DUMMYFUNCTION("""COMPUTED_VALUE"""),"RF-00000227-ORG")</f>
        <v>RF-00000227-ORG</v>
      </c>
    </row>
    <row r="4566" spans="1:2" ht="12.5" x14ac:dyDescent="0.25">
      <c r="A4566" t="str">
        <f ca="1">IFERROR(__xludf.DUMMYFUNCTION("""COMPUTED_VALUE"""),"PCB-196")</f>
        <v>PCB-196</v>
      </c>
      <c r="B4566" t="str">
        <f ca="1">IFERROR(__xludf.DUMMYFUNCTION("""COMPUTED_VALUE"""),"RF-00000228-ORG")</f>
        <v>RF-00000228-ORG</v>
      </c>
    </row>
    <row r="4567" spans="1:2" ht="12.5" x14ac:dyDescent="0.25">
      <c r="A4567" t="str">
        <f ca="1">IFERROR(__xludf.DUMMYFUNCTION("""COMPUTED_VALUE"""),"PCB-197")</f>
        <v>PCB-197</v>
      </c>
      <c r="B4567" t="str">
        <f ca="1">IFERROR(__xludf.DUMMYFUNCTION("""COMPUTED_VALUE"""),"RF-00000229-ORG")</f>
        <v>RF-00000229-ORG</v>
      </c>
    </row>
    <row r="4568" spans="1:2" ht="12.5" x14ac:dyDescent="0.25">
      <c r="A4568" t="str">
        <f ca="1">IFERROR(__xludf.DUMMYFUNCTION("""COMPUTED_VALUE"""),"PCB-198")</f>
        <v>PCB-198</v>
      </c>
      <c r="B4568" t="str">
        <f ca="1">IFERROR(__xludf.DUMMYFUNCTION("""COMPUTED_VALUE"""),"RF-00000230-ORG")</f>
        <v>RF-00000230-ORG</v>
      </c>
    </row>
    <row r="4569" spans="1:2" ht="12.5" x14ac:dyDescent="0.25">
      <c r="A4569" t="str">
        <f ca="1">IFERROR(__xludf.DUMMYFUNCTION("""COMPUTED_VALUE"""),"PCB-199")</f>
        <v>PCB-199</v>
      </c>
      <c r="B4569" t="str">
        <f ca="1">IFERROR(__xludf.DUMMYFUNCTION("""COMPUTED_VALUE"""),"RF-00000231-ORG")</f>
        <v>RF-00000231-ORG</v>
      </c>
    </row>
    <row r="4570" spans="1:2" ht="12.5" x14ac:dyDescent="0.25">
      <c r="A4570" t="str">
        <f ca="1">IFERROR(__xludf.DUMMYFUNCTION("""COMPUTED_VALUE"""),"PCB-2")</f>
        <v>PCB-2</v>
      </c>
      <c r="B4570" t="str">
        <f ca="1">IFERROR(__xludf.DUMMYFUNCTION("""COMPUTED_VALUE"""),"RF-00000232-ORG")</f>
        <v>RF-00000232-ORG</v>
      </c>
    </row>
    <row r="4571" spans="1:2" ht="12.5" x14ac:dyDescent="0.25">
      <c r="A4571" t="str">
        <f ca="1">IFERROR(__xludf.DUMMYFUNCTION("""COMPUTED_VALUE"""),"PCB-20")</f>
        <v>PCB-20</v>
      </c>
      <c r="B4571" t="str">
        <f ca="1">IFERROR(__xludf.DUMMYFUNCTION("""COMPUTED_VALUE"""),"RF-00000233-ORG")</f>
        <v>RF-00000233-ORG</v>
      </c>
    </row>
    <row r="4572" spans="1:2" ht="12.5" x14ac:dyDescent="0.25">
      <c r="A4572" t="str">
        <f ca="1">IFERROR(__xludf.DUMMYFUNCTION("""COMPUTED_VALUE"""),"PCB-200")</f>
        <v>PCB-200</v>
      </c>
      <c r="B4572" t="str">
        <f ca="1">IFERROR(__xludf.DUMMYFUNCTION("""COMPUTED_VALUE"""),"RF-00000234-ORG")</f>
        <v>RF-00000234-ORG</v>
      </c>
    </row>
    <row r="4573" spans="1:2" ht="12.5" x14ac:dyDescent="0.25">
      <c r="A4573" t="str">
        <f ca="1">IFERROR(__xludf.DUMMYFUNCTION("""COMPUTED_VALUE"""),"PCB-201")</f>
        <v>PCB-201</v>
      </c>
      <c r="B4573" t="str">
        <f ca="1">IFERROR(__xludf.DUMMYFUNCTION("""COMPUTED_VALUE"""),"RF-00000235-ORG")</f>
        <v>RF-00000235-ORG</v>
      </c>
    </row>
    <row r="4574" spans="1:2" ht="12.5" x14ac:dyDescent="0.25">
      <c r="A4574" t="str">
        <f ca="1">IFERROR(__xludf.DUMMYFUNCTION("""COMPUTED_VALUE"""),"PCB-202")</f>
        <v>PCB-202</v>
      </c>
      <c r="B4574" t="str">
        <f ca="1">IFERROR(__xludf.DUMMYFUNCTION("""COMPUTED_VALUE"""),"RF-00000236-ORG")</f>
        <v>RF-00000236-ORG</v>
      </c>
    </row>
    <row r="4575" spans="1:2" ht="12.5" x14ac:dyDescent="0.25">
      <c r="A4575" t="str">
        <f ca="1">IFERROR(__xludf.DUMMYFUNCTION("""COMPUTED_VALUE"""),"PCB-203")</f>
        <v>PCB-203</v>
      </c>
      <c r="B4575" t="str">
        <f ca="1">IFERROR(__xludf.DUMMYFUNCTION("""COMPUTED_VALUE"""),"RF-00000237-ORG")</f>
        <v>RF-00000237-ORG</v>
      </c>
    </row>
    <row r="4576" spans="1:2" ht="12.5" x14ac:dyDescent="0.25">
      <c r="A4576" t="str">
        <f ca="1">IFERROR(__xludf.DUMMYFUNCTION("""COMPUTED_VALUE"""),"PCB-204")</f>
        <v>PCB-204</v>
      </c>
      <c r="B4576" t="str">
        <f ca="1">IFERROR(__xludf.DUMMYFUNCTION("""COMPUTED_VALUE"""),"RF-00000238-ORG")</f>
        <v>RF-00000238-ORG</v>
      </c>
    </row>
    <row r="4577" spans="1:2" ht="12.5" x14ac:dyDescent="0.25">
      <c r="A4577" t="str">
        <f ca="1">IFERROR(__xludf.DUMMYFUNCTION("""COMPUTED_VALUE"""),"PCB-205")</f>
        <v>PCB-205</v>
      </c>
      <c r="B4577" t="str">
        <f ca="1">IFERROR(__xludf.DUMMYFUNCTION("""COMPUTED_VALUE"""),"RF-00000239-ORG")</f>
        <v>RF-00000239-ORG</v>
      </c>
    </row>
    <row r="4578" spans="1:2" ht="12.5" x14ac:dyDescent="0.25">
      <c r="A4578" t="str">
        <f ca="1">IFERROR(__xludf.DUMMYFUNCTION("""COMPUTED_VALUE"""),"PCB-206")</f>
        <v>PCB-206</v>
      </c>
      <c r="B4578" t="str">
        <f ca="1">IFERROR(__xludf.DUMMYFUNCTION("""COMPUTED_VALUE"""),"RF-00000240-ORG")</f>
        <v>RF-00000240-ORG</v>
      </c>
    </row>
    <row r="4579" spans="1:2" ht="12.5" x14ac:dyDescent="0.25">
      <c r="A4579" t="str">
        <f ca="1">IFERROR(__xludf.DUMMYFUNCTION("""COMPUTED_VALUE"""),"PCB-207")</f>
        <v>PCB-207</v>
      </c>
      <c r="B4579" t="str">
        <f ca="1">IFERROR(__xludf.DUMMYFUNCTION("""COMPUTED_VALUE"""),"RF-00000241-ORG")</f>
        <v>RF-00000241-ORG</v>
      </c>
    </row>
    <row r="4580" spans="1:2" ht="12.5" x14ac:dyDescent="0.25">
      <c r="A4580" t="str">
        <f ca="1">IFERROR(__xludf.DUMMYFUNCTION("""COMPUTED_VALUE"""),"PCB-208")</f>
        <v>PCB-208</v>
      </c>
      <c r="B4580" t="str">
        <f ca="1">IFERROR(__xludf.DUMMYFUNCTION("""COMPUTED_VALUE"""),"RF-00000242-ORG")</f>
        <v>RF-00000242-ORG</v>
      </c>
    </row>
    <row r="4581" spans="1:2" ht="12.5" x14ac:dyDescent="0.25">
      <c r="A4581" t="str">
        <f ca="1">IFERROR(__xludf.DUMMYFUNCTION("""COMPUTED_VALUE"""),"PCB-209")</f>
        <v>PCB-209</v>
      </c>
      <c r="B4581" t="str">
        <f ca="1">IFERROR(__xludf.DUMMYFUNCTION("""COMPUTED_VALUE"""),"RF-00000243-ORG")</f>
        <v>RF-00000243-ORG</v>
      </c>
    </row>
    <row r="4582" spans="1:2" ht="12.5" x14ac:dyDescent="0.25">
      <c r="A4582" t="str">
        <f ca="1">IFERROR(__xludf.DUMMYFUNCTION("""COMPUTED_VALUE"""),"PCB-21")</f>
        <v>PCB-21</v>
      </c>
      <c r="B4582" t="str">
        <f ca="1">IFERROR(__xludf.DUMMYFUNCTION("""COMPUTED_VALUE"""),"RF-00000244-ORG")</f>
        <v>RF-00000244-ORG</v>
      </c>
    </row>
    <row r="4583" spans="1:2" ht="12.5" x14ac:dyDescent="0.25">
      <c r="A4583" t="str">
        <f ca="1">IFERROR(__xludf.DUMMYFUNCTION("""COMPUTED_VALUE"""),"PCB-22")</f>
        <v>PCB-22</v>
      </c>
      <c r="B4583" t="str">
        <f ca="1">IFERROR(__xludf.DUMMYFUNCTION("""COMPUTED_VALUE"""),"RF-00000245-ORG")</f>
        <v>RF-00000245-ORG</v>
      </c>
    </row>
    <row r="4584" spans="1:2" ht="12.5" x14ac:dyDescent="0.25">
      <c r="A4584" t="str">
        <f ca="1">IFERROR(__xludf.DUMMYFUNCTION("""COMPUTED_VALUE"""),"PCB-23")</f>
        <v>PCB-23</v>
      </c>
      <c r="B4584" t="str">
        <f ca="1">IFERROR(__xludf.DUMMYFUNCTION("""COMPUTED_VALUE"""),"RF-00000246-ORG")</f>
        <v>RF-00000246-ORG</v>
      </c>
    </row>
    <row r="4585" spans="1:2" ht="12.5" x14ac:dyDescent="0.25">
      <c r="A4585" t="str">
        <f ca="1">IFERROR(__xludf.DUMMYFUNCTION("""COMPUTED_VALUE"""),"PCB-24")</f>
        <v>PCB-24</v>
      </c>
      <c r="B4585" t="str">
        <f ca="1">IFERROR(__xludf.DUMMYFUNCTION("""COMPUTED_VALUE"""),"RF-00000247-ORG")</f>
        <v>RF-00000247-ORG</v>
      </c>
    </row>
    <row r="4586" spans="1:2" ht="12.5" x14ac:dyDescent="0.25">
      <c r="A4586" t="str">
        <f ca="1">IFERROR(__xludf.DUMMYFUNCTION("""COMPUTED_VALUE"""),"PCB-25")</f>
        <v>PCB-25</v>
      </c>
      <c r="B4586" t="str">
        <f ca="1">IFERROR(__xludf.DUMMYFUNCTION("""COMPUTED_VALUE"""),"RF-00000248-ORG")</f>
        <v>RF-00000248-ORG</v>
      </c>
    </row>
    <row r="4587" spans="1:2" ht="12.5" x14ac:dyDescent="0.25">
      <c r="A4587" t="str">
        <f ca="1">IFERROR(__xludf.DUMMYFUNCTION("""COMPUTED_VALUE"""),"PCB-26")</f>
        <v>PCB-26</v>
      </c>
      <c r="B4587" t="str">
        <f ca="1">IFERROR(__xludf.DUMMYFUNCTION("""COMPUTED_VALUE"""),"RF-00000249-ORG")</f>
        <v>RF-00000249-ORG</v>
      </c>
    </row>
    <row r="4588" spans="1:2" ht="12.5" x14ac:dyDescent="0.25">
      <c r="A4588" t="str">
        <f ca="1">IFERROR(__xludf.DUMMYFUNCTION("""COMPUTED_VALUE"""),"PCB-27")</f>
        <v>PCB-27</v>
      </c>
      <c r="B4588" t="str">
        <f ca="1">IFERROR(__xludf.DUMMYFUNCTION("""COMPUTED_VALUE"""),"RF-00000250-ORG")</f>
        <v>RF-00000250-ORG</v>
      </c>
    </row>
    <row r="4589" spans="1:2" ht="12.5" x14ac:dyDescent="0.25">
      <c r="A4589" t="str">
        <f ca="1">IFERROR(__xludf.DUMMYFUNCTION("""COMPUTED_VALUE"""),"PCB-28")</f>
        <v>PCB-28</v>
      </c>
      <c r="B4589" t="str">
        <f ca="1">IFERROR(__xludf.DUMMYFUNCTION("""COMPUTED_VALUE"""),"RF-00000251-ORG")</f>
        <v>RF-00000251-ORG</v>
      </c>
    </row>
    <row r="4590" spans="1:2" ht="12.5" x14ac:dyDescent="0.25">
      <c r="A4590" t="str">
        <f ca="1">IFERROR(__xludf.DUMMYFUNCTION("""COMPUTED_VALUE"""),"PCB-29")</f>
        <v>PCB-29</v>
      </c>
      <c r="B4590" t="str">
        <f ca="1">IFERROR(__xludf.DUMMYFUNCTION("""COMPUTED_VALUE"""),"RF-00000252-ORG")</f>
        <v>RF-00000252-ORG</v>
      </c>
    </row>
    <row r="4591" spans="1:2" ht="12.5" x14ac:dyDescent="0.25">
      <c r="A4591" t="str">
        <f ca="1">IFERROR(__xludf.DUMMYFUNCTION("""COMPUTED_VALUE"""),"PCB-3")</f>
        <v>PCB-3</v>
      </c>
      <c r="B4591" t="str">
        <f ca="1">IFERROR(__xludf.DUMMYFUNCTION("""COMPUTED_VALUE"""),"RF-00000253-ORG")</f>
        <v>RF-00000253-ORG</v>
      </c>
    </row>
    <row r="4592" spans="1:2" ht="12.5" x14ac:dyDescent="0.25">
      <c r="A4592" t="str">
        <f ca="1">IFERROR(__xludf.DUMMYFUNCTION("""COMPUTED_VALUE"""),"PCB-30")</f>
        <v>PCB-30</v>
      </c>
      <c r="B4592" t="str">
        <f ca="1">IFERROR(__xludf.DUMMYFUNCTION("""COMPUTED_VALUE"""),"RF-00000254-ORG")</f>
        <v>RF-00000254-ORG</v>
      </c>
    </row>
    <row r="4593" spans="1:2" ht="12.5" x14ac:dyDescent="0.25">
      <c r="A4593" t="str">
        <f ca="1">IFERROR(__xludf.DUMMYFUNCTION("""COMPUTED_VALUE"""),"PCB-31")</f>
        <v>PCB-31</v>
      </c>
      <c r="B4593" t="str">
        <f ca="1">IFERROR(__xludf.DUMMYFUNCTION("""COMPUTED_VALUE"""),"RF-00000255-ORG")</f>
        <v>RF-00000255-ORG</v>
      </c>
    </row>
    <row r="4594" spans="1:2" ht="12.5" x14ac:dyDescent="0.25">
      <c r="A4594" t="str">
        <f ca="1">IFERROR(__xludf.DUMMYFUNCTION("""COMPUTED_VALUE"""),"PCB-32")</f>
        <v>PCB-32</v>
      </c>
      <c r="B4594" t="str">
        <f ca="1">IFERROR(__xludf.DUMMYFUNCTION("""COMPUTED_VALUE"""),"RF-00000256-ORG")</f>
        <v>RF-00000256-ORG</v>
      </c>
    </row>
    <row r="4595" spans="1:2" ht="12.5" x14ac:dyDescent="0.25">
      <c r="A4595" t="str">
        <f ca="1">IFERROR(__xludf.DUMMYFUNCTION("""COMPUTED_VALUE"""),"PCB-33")</f>
        <v>PCB-33</v>
      </c>
      <c r="B4595" t="str">
        <f ca="1">IFERROR(__xludf.DUMMYFUNCTION("""COMPUTED_VALUE"""),"RF-00000257-ORG")</f>
        <v>RF-00000257-ORG</v>
      </c>
    </row>
    <row r="4596" spans="1:2" ht="12.5" x14ac:dyDescent="0.25">
      <c r="A4596" t="str">
        <f ca="1">IFERROR(__xludf.DUMMYFUNCTION("""COMPUTED_VALUE"""),"PCB-34")</f>
        <v>PCB-34</v>
      </c>
      <c r="B4596" t="str">
        <f ca="1">IFERROR(__xludf.DUMMYFUNCTION("""COMPUTED_VALUE"""),"RF-00000258-ORG")</f>
        <v>RF-00000258-ORG</v>
      </c>
    </row>
    <row r="4597" spans="1:2" ht="12.5" x14ac:dyDescent="0.25">
      <c r="A4597" t="str">
        <f ca="1">IFERROR(__xludf.DUMMYFUNCTION("""COMPUTED_VALUE"""),"PCB-35")</f>
        <v>PCB-35</v>
      </c>
      <c r="B4597" t="str">
        <f ca="1">IFERROR(__xludf.DUMMYFUNCTION("""COMPUTED_VALUE"""),"RF-00000259-ORG")</f>
        <v>RF-00000259-ORG</v>
      </c>
    </row>
    <row r="4598" spans="1:2" ht="12.5" x14ac:dyDescent="0.25">
      <c r="A4598" t="str">
        <f ca="1">IFERROR(__xludf.DUMMYFUNCTION("""COMPUTED_VALUE"""),"PCB-36")</f>
        <v>PCB-36</v>
      </c>
      <c r="B4598" t="str">
        <f ca="1">IFERROR(__xludf.DUMMYFUNCTION("""COMPUTED_VALUE"""),"RF-00000260-ORG")</f>
        <v>RF-00000260-ORG</v>
      </c>
    </row>
    <row r="4599" spans="1:2" ht="12.5" x14ac:dyDescent="0.25">
      <c r="A4599" t="str">
        <f ca="1">IFERROR(__xludf.DUMMYFUNCTION("""COMPUTED_VALUE"""),"PCB-37")</f>
        <v>PCB-37</v>
      </c>
      <c r="B4599" t="str">
        <f ca="1">IFERROR(__xludf.DUMMYFUNCTION("""COMPUTED_VALUE"""),"RF-00000261-ORG")</f>
        <v>RF-00000261-ORG</v>
      </c>
    </row>
    <row r="4600" spans="1:2" ht="12.5" x14ac:dyDescent="0.25">
      <c r="A4600" t="str">
        <f ca="1">IFERROR(__xludf.DUMMYFUNCTION("""COMPUTED_VALUE"""),"PCB-38")</f>
        <v>PCB-38</v>
      </c>
      <c r="B4600" t="str">
        <f ca="1">IFERROR(__xludf.DUMMYFUNCTION("""COMPUTED_VALUE"""),"RF-00000262-ORG")</f>
        <v>RF-00000262-ORG</v>
      </c>
    </row>
    <row r="4601" spans="1:2" ht="12.5" x14ac:dyDescent="0.25">
      <c r="A4601" t="str">
        <f ca="1">IFERROR(__xludf.DUMMYFUNCTION("""COMPUTED_VALUE"""),"PCB-39")</f>
        <v>PCB-39</v>
      </c>
      <c r="B4601" t="str">
        <f ca="1">IFERROR(__xludf.DUMMYFUNCTION("""COMPUTED_VALUE"""),"RF-00000263-ORG")</f>
        <v>RF-00000263-ORG</v>
      </c>
    </row>
    <row r="4602" spans="1:2" ht="12.5" x14ac:dyDescent="0.25">
      <c r="A4602" t="str">
        <f ca="1">IFERROR(__xludf.DUMMYFUNCTION("""COMPUTED_VALUE"""),"PCB-4")</f>
        <v>PCB-4</v>
      </c>
      <c r="B4602" t="str">
        <f ca="1">IFERROR(__xludf.DUMMYFUNCTION("""COMPUTED_VALUE"""),"RF-00000264-ORG")</f>
        <v>RF-00000264-ORG</v>
      </c>
    </row>
    <row r="4603" spans="1:2" ht="12.5" x14ac:dyDescent="0.25">
      <c r="A4603" t="str">
        <f ca="1">IFERROR(__xludf.DUMMYFUNCTION("""COMPUTED_VALUE"""),"PCB-40")</f>
        <v>PCB-40</v>
      </c>
      <c r="B4603" t="str">
        <f ca="1">IFERROR(__xludf.DUMMYFUNCTION("""COMPUTED_VALUE"""),"RF-00000265-ORG")</f>
        <v>RF-00000265-ORG</v>
      </c>
    </row>
    <row r="4604" spans="1:2" ht="12.5" x14ac:dyDescent="0.25">
      <c r="A4604" t="str">
        <f ca="1">IFERROR(__xludf.DUMMYFUNCTION("""COMPUTED_VALUE"""),"PCB-41")</f>
        <v>PCB-41</v>
      </c>
      <c r="B4604" t="str">
        <f ca="1">IFERROR(__xludf.DUMMYFUNCTION("""COMPUTED_VALUE"""),"RF-00000266-ORG")</f>
        <v>RF-00000266-ORG</v>
      </c>
    </row>
    <row r="4605" spans="1:2" ht="12.5" x14ac:dyDescent="0.25">
      <c r="A4605" t="str">
        <f ca="1">IFERROR(__xludf.DUMMYFUNCTION("""COMPUTED_VALUE"""),"PCB-42")</f>
        <v>PCB-42</v>
      </c>
      <c r="B4605" t="str">
        <f ca="1">IFERROR(__xludf.DUMMYFUNCTION("""COMPUTED_VALUE"""),"RF-00000267-ORG")</f>
        <v>RF-00000267-ORG</v>
      </c>
    </row>
    <row r="4606" spans="1:2" ht="12.5" x14ac:dyDescent="0.25">
      <c r="A4606" t="str">
        <f ca="1">IFERROR(__xludf.DUMMYFUNCTION("""COMPUTED_VALUE"""),"PCB-43")</f>
        <v>PCB-43</v>
      </c>
      <c r="B4606" t="str">
        <f ca="1">IFERROR(__xludf.DUMMYFUNCTION("""COMPUTED_VALUE"""),"RF-00000268-ORG")</f>
        <v>RF-00000268-ORG</v>
      </c>
    </row>
    <row r="4607" spans="1:2" ht="12.5" x14ac:dyDescent="0.25">
      <c r="A4607" t="str">
        <f ca="1">IFERROR(__xludf.DUMMYFUNCTION("""COMPUTED_VALUE"""),"PCB-44")</f>
        <v>PCB-44</v>
      </c>
      <c r="B4607" t="str">
        <f ca="1">IFERROR(__xludf.DUMMYFUNCTION("""COMPUTED_VALUE"""),"RF-00000269-ORG")</f>
        <v>RF-00000269-ORG</v>
      </c>
    </row>
    <row r="4608" spans="1:2" ht="12.5" x14ac:dyDescent="0.25">
      <c r="A4608" t="str">
        <f ca="1">IFERROR(__xludf.DUMMYFUNCTION("""COMPUTED_VALUE"""),"PCB-45")</f>
        <v>PCB-45</v>
      </c>
      <c r="B4608" t="str">
        <f ca="1">IFERROR(__xludf.DUMMYFUNCTION("""COMPUTED_VALUE"""),"RF-00000270-ORG")</f>
        <v>RF-00000270-ORG</v>
      </c>
    </row>
    <row r="4609" spans="1:2" ht="12.5" x14ac:dyDescent="0.25">
      <c r="A4609" t="str">
        <f ca="1">IFERROR(__xludf.DUMMYFUNCTION("""COMPUTED_VALUE"""),"PCB-46")</f>
        <v>PCB-46</v>
      </c>
      <c r="B4609" t="str">
        <f ca="1">IFERROR(__xludf.DUMMYFUNCTION("""COMPUTED_VALUE"""),"RF-00000271-ORG")</f>
        <v>RF-00000271-ORG</v>
      </c>
    </row>
    <row r="4610" spans="1:2" ht="12.5" x14ac:dyDescent="0.25">
      <c r="A4610" t="str">
        <f ca="1">IFERROR(__xludf.DUMMYFUNCTION("""COMPUTED_VALUE"""),"PCB-47")</f>
        <v>PCB-47</v>
      </c>
      <c r="B4610" t="str">
        <f ca="1">IFERROR(__xludf.DUMMYFUNCTION("""COMPUTED_VALUE"""),"RF-00000272-ORG")</f>
        <v>RF-00000272-ORG</v>
      </c>
    </row>
    <row r="4611" spans="1:2" ht="12.5" x14ac:dyDescent="0.25">
      <c r="A4611" t="str">
        <f ca="1">IFERROR(__xludf.DUMMYFUNCTION("""COMPUTED_VALUE"""),"PCB-48")</f>
        <v>PCB-48</v>
      </c>
      <c r="B4611" t="str">
        <f ca="1">IFERROR(__xludf.DUMMYFUNCTION("""COMPUTED_VALUE"""),"RF-00000273-ORG")</f>
        <v>RF-00000273-ORG</v>
      </c>
    </row>
    <row r="4612" spans="1:2" ht="12.5" x14ac:dyDescent="0.25">
      <c r="A4612" t="str">
        <f ca="1">IFERROR(__xludf.DUMMYFUNCTION("""COMPUTED_VALUE"""),"PCB-49")</f>
        <v>PCB-49</v>
      </c>
      <c r="B4612" t="str">
        <f ca="1">IFERROR(__xludf.DUMMYFUNCTION("""COMPUTED_VALUE"""),"RF-00000274-ORG")</f>
        <v>RF-00000274-ORG</v>
      </c>
    </row>
    <row r="4613" spans="1:2" ht="12.5" x14ac:dyDescent="0.25">
      <c r="A4613" t="str">
        <f ca="1">IFERROR(__xludf.DUMMYFUNCTION("""COMPUTED_VALUE"""),"PCB-5")</f>
        <v>PCB-5</v>
      </c>
      <c r="B4613" t="str">
        <f ca="1">IFERROR(__xludf.DUMMYFUNCTION("""COMPUTED_VALUE"""),"RF-00000275-ORG")</f>
        <v>RF-00000275-ORG</v>
      </c>
    </row>
    <row r="4614" spans="1:2" ht="12.5" x14ac:dyDescent="0.25">
      <c r="A4614" t="str">
        <f ca="1">IFERROR(__xludf.DUMMYFUNCTION("""COMPUTED_VALUE"""),"PCB-50")</f>
        <v>PCB-50</v>
      </c>
      <c r="B4614" t="str">
        <f ca="1">IFERROR(__xludf.DUMMYFUNCTION("""COMPUTED_VALUE"""),"RF-00000276-ORG")</f>
        <v>RF-00000276-ORG</v>
      </c>
    </row>
    <row r="4615" spans="1:2" ht="12.5" x14ac:dyDescent="0.25">
      <c r="A4615" t="str">
        <f ca="1">IFERROR(__xludf.DUMMYFUNCTION("""COMPUTED_VALUE"""),"PCB-51")</f>
        <v>PCB-51</v>
      </c>
      <c r="B4615" t="str">
        <f ca="1">IFERROR(__xludf.DUMMYFUNCTION("""COMPUTED_VALUE"""),"RF-00000277-ORG")</f>
        <v>RF-00000277-ORG</v>
      </c>
    </row>
    <row r="4616" spans="1:2" ht="12.5" x14ac:dyDescent="0.25">
      <c r="A4616" t="str">
        <f ca="1">IFERROR(__xludf.DUMMYFUNCTION("""COMPUTED_VALUE"""),"PCB-52")</f>
        <v>PCB-52</v>
      </c>
      <c r="B4616" t="str">
        <f ca="1">IFERROR(__xludf.DUMMYFUNCTION("""COMPUTED_VALUE"""),"RF-00000278-ORG")</f>
        <v>RF-00000278-ORG</v>
      </c>
    </row>
    <row r="4617" spans="1:2" ht="12.5" x14ac:dyDescent="0.25">
      <c r="A4617" t="str">
        <f ca="1">IFERROR(__xludf.DUMMYFUNCTION("""COMPUTED_VALUE"""),"PCB-53")</f>
        <v>PCB-53</v>
      </c>
      <c r="B4617" t="str">
        <f ca="1">IFERROR(__xludf.DUMMYFUNCTION("""COMPUTED_VALUE"""),"RF-00000279-ORG")</f>
        <v>RF-00000279-ORG</v>
      </c>
    </row>
    <row r="4618" spans="1:2" ht="12.5" x14ac:dyDescent="0.25">
      <c r="A4618" t="str">
        <f ca="1">IFERROR(__xludf.DUMMYFUNCTION("""COMPUTED_VALUE"""),"PCB-54")</f>
        <v>PCB-54</v>
      </c>
      <c r="B4618" t="str">
        <f ca="1">IFERROR(__xludf.DUMMYFUNCTION("""COMPUTED_VALUE"""),"RF-00000280-ORG")</f>
        <v>RF-00000280-ORG</v>
      </c>
    </row>
    <row r="4619" spans="1:2" ht="12.5" x14ac:dyDescent="0.25">
      <c r="A4619" t="str">
        <f ca="1">IFERROR(__xludf.DUMMYFUNCTION("""COMPUTED_VALUE"""),"PCB-55")</f>
        <v>PCB-55</v>
      </c>
      <c r="B4619" t="str">
        <f ca="1">IFERROR(__xludf.DUMMYFUNCTION("""COMPUTED_VALUE"""),"RF-00000281-ORG")</f>
        <v>RF-00000281-ORG</v>
      </c>
    </row>
    <row r="4620" spans="1:2" ht="12.5" x14ac:dyDescent="0.25">
      <c r="A4620" t="str">
        <f ca="1">IFERROR(__xludf.DUMMYFUNCTION("""COMPUTED_VALUE"""),"PCB-56")</f>
        <v>PCB-56</v>
      </c>
      <c r="B4620" t="str">
        <f ca="1">IFERROR(__xludf.DUMMYFUNCTION("""COMPUTED_VALUE"""),"RF-00000282-ORG")</f>
        <v>RF-00000282-ORG</v>
      </c>
    </row>
    <row r="4621" spans="1:2" ht="12.5" x14ac:dyDescent="0.25">
      <c r="A4621" t="str">
        <f ca="1">IFERROR(__xludf.DUMMYFUNCTION("""COMPUTED_VALUE"""),"PCB-57")</f>
        <v>PCB-57</v>
      </c>
      <c r="B4621" t="str">
        <f ca="1">IFERROR(__xludf.DUMMYFUNCTION("""COMPUTED_VALUE"""),"RF-00000283-ORG")</f>
        <v>RF-00000283-ORG</v>
      </c>
    </row>
    <row r="4622" spans="1:2" ht="12.5" x14ac:dyDescent="0.25">
      <c r="A4622" t="str">
        <f ca="1">IFERROR(__xludf.DUMMYFUNCTION("""COMPUTED_VALUE"""),"PCB-58")</f>
        <v>PCB-58</v>
      </c>
      <c r="B4622" t="str">
        <f ca="1">IFERROR(__xludf.DUMMYFUNCTION("""COMPUTED_VALUE"""),"RF-00000284-ORG")</f>
        <v>RF-00000284-ORG</v>
      </c>
    </row>
    <row r="4623" spans="1:2" ht="12.5" x14ac:dyDescent="0.25">
      <c r="A4623" t="str">
        <f ca="1">IFERROR(__xludf.DUMMYFUNCTION("""COMPUTED_VALUE"""),"PCB-59")</f>
        <v>PCB-59</v>
      </c>
      <c r="B4623" t="str">
        <f ca="1">IFERROR(__xludf.DUMMYFUNCTION("""COMPUTED_VALUE"""),"RF-00000285-ORG")</f>
        <v>RF-00000285-ORG</v>
      </c>
    </row>
    <row r="4624" spans="1:2" ht="12.5" x14ac:dyDescent="0.25">
      <c r="A4624" t="str">
        <f ca="1">IFERROR(__xludf.DUMMYFUNCTION("""COMPUTED_VALUE"""),"PCB-6")</f>
        <v>PCB-6</v>
      </c>
      <c r="B4624" t="str">
        <f ca="1">IFERROR(__xludf.DUMMYFUNCTION("""COMPUTED_VALUE"""),"RF-00000286-ORG")</f>
        <v>RF-00000286-ORG</v>
      </c>
    </row>
    <row r="4625" spans="1:2" ht="12.5" x14ac:dyDescent="0.25">
      <c r="A4625" t="str">
        <f ca="1">IFERROR(__xludf.DUMMYFUNCTION("""COMPUTED_VALUE"""),"PCB-60")</f>
        <v>PCB-60</v>
      </c>
      <c r="B4625" t="str">
        <f ca="1">IFERROR(__xludf.DUMMYFUNCTION("""COMPUTED_VALUE"""),"RF-00000287-ORG")</f>
        <v>RF-00000287-ORG</v>
      </c>
    </row>
    <row r="4626" spans="1:2" ht="12.5" x14ac:dyDescent="0.25">
      <c r="A4626" t="str">
        <f ca="1">IFERROR(__xludf.DUMMYFUNCTION("""COMPUTED_VALUE"""),"PCB-61")</f>
        <v>PCB-61</v>
      </c>
      <c r="B4626" t="str">
        <f ca="1">IFERROR(__xludf.DUMMYFUNCTION("""COMPUTED_VALUE"""),"RF-00000288-ORG")</f>
        <v>RF-00000288-ORG</v>
      </c>
    </row>
    <row r="4627" spans="1:2" ht="12.5" x14ac:dyDescent="0.25">
      <c r="A4627" t="str">
        <f ca="1">IFERROR(__xludf.DUMMYFUNCTION("""COMPUTED_VALUE"""),"PCB-62")</f>
        <v>PCB-62</v>
      </c>
      <c r="B4627" t="str">
        <f ca="1">IFERROR(__xludf.DUMMYFUNCTION("""COMPUTED_VALUE"""),"RF-00000289-ORG")</f>
        <v>RF-00000289-ORG</v>
      </c>
    </row>
    <row r="4628" spans="1:2" ht="12.5" x14ac:dyDescent="0.25">
      <c r="A4628" t="str">
        <f ca="1">IFERROR(__xludf.DUMMYFUNCTION("""COMPUTED_VALUE"""),"PCB-63")</f>
        <v>PCB-63</v>
      </c>
      <c r="B4628" t="str">
        <f ca="1">IFERROR(__xludf.DUMMYFUNCTION("""COMPUTED_VALUE"""),"RF-00000290-ORG")</f>
        <v>RF-00000290-ORG</v>
      </c>
    </row>
    <row r="4629" spans="1:2" ht="12.5" x14ac:dyDescent="0.25">
      <c r="A4629" t="str">
        <f ca="1">IFERROR(__xludf.DUMMYFUNCTION("""COMPUTED_VALUE"""),"PCB-64")</f>
        <v>PCB-64</v>
      </c>
      <c r="B4629" t="str">
        <f ca="1">IFERROR(__xludf.DUMMYFUNCTION("""COMPUTED_VALUE"""),"RF-00000291-ORG")</f>
        <v>RF-00000291-ORG</v>
      </c>
    </row>
    <row r="4630" spans="1:2" ht="12.5" x14ac:dyDescent="0.25">
      <c r="A4630" t="str">
        <f ca="1">IFERROR(__xludf.DUMMYFUNCTION("""COMPUTED_VALUE"""),"PCB-65")</f>
        <v>PCB-65</v>
      </c>
      <c r="B4630" t="str">
        <f ca="1">IFERROR(__xludf.DUMMYFUNCTION("""COMPUTED_VALUE"""),"RF-00000292-ORG")</f>
        <v>RF-00000292-ORG</v>
      </c>
    </row>
    <row r="4631" spans="1:2" ht="12.5" x14ac:dyDescent="0.25">
      <c r="A4631" t="str">
        <f ca="1">IFERROR(__xludf.DUMMYFUNCTION("""COMPUTED_VALUE"""),"PCB-66")</f>
        <v>PCB-66</v>
      </c>
      <c r="B4631" t="str">
        <f ca="1">IFERROR(__xludf.DUMMYFUNCTION("""COMPUTED_VALUE"""),"RF-00000293-ORG")</f>
        <v>RF-00000293-ORG</v>
      </c>
    </row>
    <row r="4632" spans="1:2" ht="12.5" x14ac:dyDescent="0.25">
      <c r="A4632" t="str">
        <f ca="1">IFERROR(__xludf.DUMMYFUNCTION("""COMPUTED_VALUE"""),"PCB-67")</f>
        <v>PCB-67</v>
      </c>
      <c r="B4632" t="str">
        <f ca="1">IFERROR(__xludf.DUMMYFUNCTION("""COMPUTED_VALUE"""),"RF-00000294-ORG")</f>
        <v>RF-00000294-ORG</v>
      </c>
    </row>
    <row r="4633" spans="1:2" ht="12.5" x14ac:dyDescent="0.25">
      <c r="A4633" t="str">
        <f ca="1">IFERROR(__xludf.DUMMYFUNCTION("""COMPUTED_VALUE"""),"PCB-68")</f>
        <v>PCB-68</v>
      </c>
      <c r="B4633" t="str">
        <f ca="1">IFERROR(__xludf.DUMMYFUNCTION("""COMPUTED_VALUE"""),"RF-00000295-ORG")</f>
        <v>RF-00000295-ORG</v>
      </c>
    </row>
    <row r="4634" spans="1:2" ht="12.5" x14ac:dyDescent="0.25">
      <c r="A4634" t="str">
        <f ca="1">IFERROR(__xludf.DUMMYFUNCTION("""COMPUTED_VALUE"""),"PCB-69")</f>
        <v>PCB-69</v>
      </c>
      <c r="B4634" t="str">
        <f ca="1">IFERROR(__xludf.DUMMYFUNCTION("""COMPUTED_VALUE"""),"RF-00000296-ORG")</f>
        <v>RF-00000296-ORG</v>
      </c>
    </row>
    <row r="4635" spans="1:2" ht="12.5" x14ac:dyDescent="0.25">
      <c r="A4635" t="str">
        <f ca="1">IFERROR(__xludf.DUMMYFUNCTION("""COMPUTED_VALUE"""),"PCB-7")</f>
        <v>PCB-7</v>
      </c>
      <c r="B4635" t="str">
        <f ca="1">IFERROR(__xludf.DUMMYFUNCTION("""COMPUTED_VALUE"""),"RF-00000297-ORG")</f>
        <v>RF-00000297-ORG</v>
      </c>
    </row>
    <row r="4636" spans="1:2" ht="12.5" x14ac:dyDescent="0.25">
      <c r="A4636" t="str">
        <f ca="1">IFERROR(__xludf.DUMMYFUNCTION("""COMPUTED_VALUE"""),"PCB-70")</f>
        <v>PCB-70</v>
      </c>
      <c r="B4636" t="str">
        <f ca="1">IFERROR(__xludf.DUMMYFUNCTION("""COMPUTED_VALUE"""),"RF-00000298-ORG")</f>
        <v>RF-00000298-ORG</v>
      </c>
    </row>
    <row r="4637" spans="1:2" ht="12.5" x14ac:dyDescent="0.25">
      <c r="A4637" t="str">
        <f ca="1">IFERROR(__xludf.DUMMYFUNCTION("""COMPUTED_VALUE"""),"PCB-71")</f>
        <v>PCB-71</v>
      </c>
      <c r="B4637" t="str">
        <f ca="1">IFERROR(__xludf.DUMMYFUNCTION("""COMPUTED_VALUE"""),"RF-00000299-ORG")</f>
        <v>RF-00000299-ORG</v>
      </c>
    </row>
    <row r="4638" spans="1:2" ht="12.5" x14ac:dyDescent="0.25">
      <c r="A4638" t="str">
        <f ca="1">IFERROR(__xludf.DUMMYFUNCTION("""COMPUTED_VALUE"""),"PCB-72")</f>
        <v>PCB-72</v>
      </c>
      <c r="B4638" t="str">
        <f ca="1">IFERROR(__xludf.DUMMYFUNCTION("""COMPUTED_VALUE"""),"RF-00000300-ORG")</f>
        <v>RF-00000300-ORG</v>
      </c>
    </row>
    <row r="4639" spans="1:2" ht="12.5" x14ac:dyDescent="0.25">
      <c r="A4639" t="str">
        <f ca="1">IFERROR(__xludf.DUMMYFUNCTION("""COMPUTED_VALUE"""),"PCB-73")</f>
        <v>PCB-73</v>
      </c>
      <c r="B4639" t="str">
        <f ca="1">IFERROR(__xludf.DUMMYFUNCTION("""COMPUTED_VALUE"""),"RF-00000301-ORG")</f>
        <v>RF-00000301-ORG</v>
      </c>
    </row>
    <row r="4640" spans="1:2" ht="12.5" x14ac:dyDescent="0.25">
      <c r="A4640" t="str">
        <f ca="1">IFERROR(__xludf.DUMMYFUNCTION("""COMPUTED_VALUE"""),"PCB-74")</f>
        <v>PCB-74</v>
      </c>
      <c r="B4640" t="str">
        <f ca="1">IFERROR(__xludf.DUMMYFUNCTION("""COMPUTED_VALUE"""),"RF-00000302-ORG")</f>
        <v>RF-00000302-ORG</v>
      </c>
    </row>
    <row r="4641" spans="1:2" ht="12.5" x14ac:dyDescent="0.25">
      <c r="A4641" t="str">
        <f ca="1">IFERROR(__xludf.DUMMYFUNCTION("""COMPUTED_VALUE"""),"PCB-75")</f>
        <v>PCB-75</v>
      </c>
      <c r="B4641" t="str">
        <f ca="1">IFERROR(__xludf.DUMMYFUNCTION("""COMPUTED_VALUE"""),"RF-00000303-ORG")</f>
        <v>RF-00000303-ORG</v>
      </c>
    </row>
    <row r="4642" spans="1:2" ht="12.5" x14ac:dyDescent="0.25">
      <c r="A4642" t="str">
        <f ca="1">IFERROR(__xludf.DUMMYFUNCTION("""COMPUTED_VALUE"""),"PCB-76")</f>
        <v>PCB-76</v>
      </c>
      <c r="B4642" t="str">
        <f ca="1">IFERROR(__xludf.DUMMYFUNCTION("""COMPUTED_VALUE"""),"RF-00000304-ORG")</f>
        <v>RF-00000304-ORG</v>
      </c>
    </row>
    <row r="4643" spans="1:2" ht="12.5" x14ac:dyDescent="0.25">
      <c r="A4643" t="str">
        <f ca="1">IFERROR(__xludf.DUMMYFUNCTION("""COMPUTED_VALUE"""),"PCB-77")</f>
        <v>PCB-77</v>
      </c>
      <c r="B4643" t="str">
        <f ca="1">IFERROR(__xludf.DUMMYFUNCTION("""COMPUTED_VALUE"""),"RF-00000128-ORG")</f>
        <v>RF-00000128-ORG</v>
      </c>
    </row>
    <row r="4644" spans="1:2" ht="12.5" x14ac:dyDescent="0.25">
      <c r="A4644" t="str">
        <f ca="1">IFERROR(__xludf.DUMMYFUNCTION("""COMPUTED_VALUE"""),"PCB-78")</f>
        <v>PCB-78</v>
      </c>
      <c r="B4644" t="str">
        <f ca="1">IFERROR(__xludf.DUMMYFUNCTION("""COMPUTED_VALUE"""),"RF-00000305-ORG")</f>
        <v>RF-00000305-ORG</v>
      </c>
    </row>
    <row r="4645" spans="1:2" ht="12.5" x14ac:dyDescent="0.25">
      <c r="A4645" t="str">
        <f ca="1">IFERROR(__xludf.DUMMYFUNCTION("""COMPUTED_VALUE"""),"PCB-79")</f>
        <v>PCB-79</v>
      </c>
      <c r="B4645" t="str">
        <f ca="1">IFERROR(__xludf.DUMMYFUNCTION("""COMPUTED_VALUE"""),"RF-00000306-ORG")</f>
        <v>RF-00000306-ORG</v>
      </c>
    </row>
    <row r="4646" spans="1:2" ht="12.5" x14ac:dyDescent="0.25">
      <c r="A4646" t="str">
        <f ca="1">IFERROR(__xludf.DUMMYFUNCTION("""COMPUTED_VALUE"""),"PCB-8")</f>
        <v>PCB-8</v>
      </c>
      <c r="B4646" t="str">
        <f ca="1">IFERROR(__xludf.DUMMYFUNCTION("""COMPUTED_VALUE"""),"RF-00000307-ORG")</f>
        <v>RF-00000307-ORG</v>
      </c>
    </row>
    <row r="4647" spans="1:2" ht="12.5" x14ac:dyDescent="0.25">
      <c r="A4647" t="str">
        <f ca="1">IFERROR(__xludf.DUMMYFUNCTION("""COMPUTED_VALUE"""),"PCB-80")</f>
        <v>PCB-80</v>
      </c>
      <c r="B4647" t="str">
        <f ca="1">IFERROR(__xludf.DUMMYFUNCTION("""COMPUTED_VALUE"""),"RF-00000308-ORG")</f>
        <v>RF-00000308-ORG</v>
      </c>
    </row>
    <row r="4648" spans="1:2" ht="12.5" x14ac:dyDescent="0.25">
      <c r="A4648" t="str">
        <f ca="1">IFERROR(__xludf.DUMMYFUNCTION("""COMPUTED_VALUE"""),"PCB-81")</f>
        <v>PCB-81</v>
      </c>
      <c r="B4648" t="str">
        <f ca="1">IFERROR(__xludf.DUMMYFUNCTION("""COMPUTED_VALUE"""),"RF-00000129-ORG")</f>
        <v>RF-00000129-ORG</v>
      </c>
    </row>
    <row r="4649" spans="1:2" ht="12.5" x14ac:dyDescent="0.25">
      <c r="A4649" t="str">
        <f ca="1">IFERROR(__xludf.DUMMYFUNCTION("""COMPUTED_VALUE"""),"PCB-82")</f>
        <v>PCB-82</v>
      </c>
      <c r="B4649" t="str">
        <f ca="1">IFERROR(__xludf.DUMMYFUNCTION("""COMPUTED_VALUE"""),"RF-00000309-ORG")</f>
        <v>RF-00000309-ORG</v>
      </c>
    </row>
    <row r="4650" spans="1:2" ht="12.5" x14ac:dyDescent="0.25">
      <c r="A4650" t="str">
        <f ca="1">IFERROR(__xludf.DUMMYFUNCTION("""COMPUTED_VALUE"""),"PCB-83")</f>
        <v>PCB-83</v>
      </c>
      <c r="B4650" t="str">
        <f ca="1">IFERROR(__xludf.DUMMYFUNCTION("""COMPUTED_VALUE"""),"RF-00000310-ORG")</f>
        <v>RF-00000310-ORG</v>
      </c>
    </row>
    <row r="4651" spans="1:2" ht="12.5" x14ac:dyDescent="0.25">
      <c r="A4651" t="str">
        <f ca="1">IFERROR(__xludf.DUMMYFUNCTION("""COMPUTED_VALUE"""),"PCB-84")</f>
        <v>PCB-84</v>
      </c>
      <c r="B4651" t="str">
        <f ca="1">IFERROR(__xludf.DUMMYFUNCTION("""COMPUTED_VALUE"""),"RF-00000311-ORG")</f>
        <v>RF-00000311-ORG</v>
      </c>
    </row>
    <row r="4652" spans="1:2" ht="12.5" x14ac:dyDescent="0.25">
      <c r="A4652" t="str">
        <f ca="1">IFERROR(__xludf.DUMMYFUNCTION("""COMPUTED_VALUE"""),"PCB-85")</f>
        <v>PCB-85</v>
      </c>
      <c r="B4652" t="str">
        <f ca="1">IFERROR(__xludf.DUMMYFUNCTION("""COMPUTED_VALUE"""),"RF-00000312-ORG")</f>
        <v>RF-00000312-ORG</v>
      </c>
    </row>
    <row r="4653" spans="1:2" ht="12.5" x14ac:dyDescent="0.25">
      <c r="A4653" t="str">
        <f ca="1">IFERROR(__xludf.DUMMYFUNCTION("""COMPUTED_VALUE"""),"PCB-86")</f>
        <v>PCB-86</v>
      </c>
      <c r="B4653" t="str">
        <f ca="1">IFERROR(__xludf.DUMMYFUNCTION("""COMPUTED_VALUE"""),"RF-00000313-ORG")</f>
        <v>RF-00000313-ORG</v>
      </c>
    </row>
    <row r="4654" spans="1:2" ht="12.5" x14ac:dyDescent="0.25">
      <c r="A4654" t="str">
        <f ca="1">IFERROR(__xludf.DUMMYFUNCTION("""COMPUTED_VALUE"""),"PCB-87")</f>
        <v>PCB-87</v>
      </c>
      <c r="B4654" t="str">
        <f ca="1">IFERROR(__xludf.DUMMYFUNCTION("""COMPUTED_VALUE"""),"RF-00000314-ORG")</f>
        <v>RF-00000314-ORG</v>
      </c>
    </row>
    <row r="4655" spans="1:2" ht="12.5" x14ac:dyDescent="0.25">
      <c r="A4655" t="str">
        <f ca="1">IFERROR(__xludf.DUMMYFUNCTION("""COMPUTED_VALUE"""),"PCB-88")</f>
        <v>PCB-88</v>
      </c>
      <c r="B4655" t="str">
        <f ca="1">IFERROR(__xludf.DUMMYFUNCTION("""COMPUTED_VALUE"""),"RF-00000315-ORG")</f>
        <v>RF-00000315-ORG</v>
      </c>
    </row>
    <row r="4656" spans="1:2" ht="12.5" x14ac:dyDescent="0.25">
      <c r="A4656" t="str">
        <f ca="1">IFERROR(__xludf.DUMMYFUNCTION("""COMPUTED_VALUE"""),"PCB-89")</f>
        <v>PCB-89</v>
      </c>
      <c r="B4656" t="str">
        <f ca="1">IFERROR(__xludf.DUMMYFUNCTION("""COMPUTED_VALUE"""),"RF-00000316-ORG")</f>
        <v>RF-00000316-ORG</v>
      </c>
    </row>
    <row r="4657" spans="1:2" ht="12.5" x14ac:dyDescent="0.25">
      <c r="A4657" t="str">
        <f ca="1">IFERROR(__xludf.DUMMYFUNCTION("""COMPUTED_VALUE"""),"PCB-9")</f>
        <v>PCB-9</v>
      </c>
      <c r="B4657" t="str">
        <f ca="1">IFERROR(__xludf.DUMMYFUNCTION("""COMPUTED_VALUE"""),"RF-00000317-ORG")</f>
        <v>RF-00000317-ORG</v>
      </c>
    </row>
    <row r="4658" spans="1:2" ht="12.5" x14ac:dyDescent="0.25">
      <c r="A4658" t="str">
        <f ca="1">IFERROR(__xludf.DUMMYFUNCTION("""COMPUTED_VALUE"""),"PCB-90")</f>
        <v>PCB-90</v>
      </c>
      <c r="B4658" t="str">
        <f ca="1">IFERROR(__xludf.DUMMYFUNCTION("""COMPUTED_VALUE"""),"RF-00000318-ORG")</f>
        <v>RF-00000318-ORG</v>
      </c>
    </row>
    <row r="4659" spans="1:2" ht="12.5" x14ac:dyDescent="0.25">
      <c r="A4659" t="str">
        <f ca="1">IFERROR(__xludf.DUMMYFUNCTION("""COMPUTED_VALUE"""),"PCB-91")</f>
        <v>PCB-91</v>
      </c>
      <c r="B4659" t="str">
        <f ca="1">IFERROR(__xludf.DUMMYFUNCTION("""COMPUTED_VALUE"""),"RF-00000319-ORG")</f>
        <v>RF-00000319-ORG</v>
      </c>
    </row>
    <row r="4660" spans="1:2" ht="12.5" x14ac:dyDescent="0.25">
      <c r="A4660" t="str">
        <f ca="1">IFERROR(__xludf.DUMMYFUNCTION("""COMPUTED_VALUE"""),"PCB-92")</f>
        <v>PCB-92</v>
      </c>
      <c r="B4660" t="str">
        <f ca="1">IFERROR(__xludf.DUMMYFUNCTION("""COMPUTED_VALUE"""),"RF-00000320-ORG")</f>
        <v>RF-00000320-ORG</v>
      </c>
    </row>
    <row r="4661" spans="1:2" ht="12.5" x14ac:dyDescent="0.25">
      <c r="A4661" t="str">
        <f ca="1">IFERROR(__xludf.DUMMYFUNCTION("""COMPUTED_VALUE"""),"PCB-93")</f>
        <v>PCB-93</v>
      </c>
      <c r="B4661" t="str">
        <f ca="1">IFERROR(__xludf.DUMMYFUNCTION("""COMPUTED_VALUE"""),"RF-00000321-ORG")</f>
        <v>RF-00000321-ORG</v>
      </c>
    </row>
    <row r="4662" spans="1:2" ht="12.5" x14ac:dyDescent="0.25">
      <c r="A4662" t="str">
        <f ca="1">IFERROR(__xludf.DUMMYFUNCTION("""COMPUTED_VALUE"""),"PCB-94")</f>
        <v>PCB-94</v>
      </c>
      <c r="B4662" t="str">
        <f ca="1">IFERROR(__xludf.DUMMYFUNCTION("""COMPUTED_VALUE"""),"RF-00000322-ORG")</f>
        <v>RF-00000322-ORG</v>
      </c>
    </row>
    <row r="4663" spans="1:2" ht="12.5" x14ac:dyDescent="0.25">
      <c r="A4663" t="str">
        <f ca="1">IFERROR(__xludf.DUMMYFUNCTION("""COMPUTED_VALUE"""),"PCB-95")</f>
        <v>PCB-95</v>
      </c>
      <c r="B4663" t="str">
        <f ca="1">IFERROR(__xludf.DUMMYFUNCTION("""COMPUTED_VALUE"""),"RF-00000323-ORG")</f>
        <v>RF-00000323-ORG</v>
      </c>
    </row>
    <row r="4664" spans="1:2" ht="12.5" x14ac:dyDescent="0.25">
      <c r="A4664" t="str">
        <f ca="1">IFERROR(__xludf.DUMMYFUNCTION("""COMPUTED_VALUE"""),"PCB-96")</f>
        <v>PCB-96</v>
      </c>
      <c r="B4664" t="str">
        <f ca="1">IFERROR(__xludf.DUMMYFUNCTION("""COMPUTED_VALUE"""),"RF-00000324-ORG")</f>
        <v>RF-00000324-ORG</v>
      </c>
    </row>
    <row r="4665" spans="1:2" ht="12.5" x14ac:dyDescent="0.25">
      <c r="A4665" t="str">
        <f ca="1">IFERROR(__xludf.DUMMYFUNCTION("""COMPUTED_VALUE"""),"PCB-97")</f>
        <v>PCB-97</v>
      </c>
      <c r="B4665" t="str">
        <f ca="1">IFERROR(__xludf.DUMMYFUNCTION("""COMPUTED_VALUE"""),"RF-00000325-ORG")</f>
        <v>RF-00000325-ORG</v>
      </c>
    </row>
    <row r="4666" spans="1:2" ht="12.5" x14ac:dyDescent="0.25">
      <c r="A4666" t="str">
        <f ca="1">IFERROR(__xludf.DUMMYFUNCTION("""COMPUTED_VALUE"""),"PCB-98")</f>
        <v>PCB-98</v>
      </c>
      <c r="B4666" t="str">
        <f ca="1">IFERROR(__xludf.DUMMYFUNCTION("""COMPUTED_VALUE"""),"RF-00000326-ORG")</f>
        <v>RF-00000326-ORG</v>
      </c>
    </row>
    <row r="4667" spans="1:2" ht="12.5" x14ac:dyDescent="0.25">
      <c r="A4667" t="str">
        <f ca="1">IFERROR(__xludf.DUMMYFUNCTION("""COMPUTED_VALUE"""),"PCB-99")</f>
        <v>PCB-99</v>
      </c>
      <c r="B4667" t="str">
        <f ca="1">IFERROR(__xludf.DUMMYFUNCTION("""COMPUTED_VALUE"""),"RF-00000327-ORG")</f>
        <v>RF-00000327-ORG</v>
      </c>
    </row>
    <row r="4668" spans="1:2" ht="12.5" x14ac:dyDescent="0.25">
      <c r="A4668" t="str">
        <f ca="1">IFERROR(__xludf.DUMMYFUNCTION("""COMPUTED_VALUE"""),"Pebulate")</f>
        <v>Pebulate</v>
      </c>
      <c r="B4668" t="str">
        <f ca="1">IFERROR(__xludf.DUMMYFUNCTION("""COMPUTED_VALUE"""),"RF-0835-001-PPP")</f>
        <v>RF-0835-001-PPP</v>
      </c>
    </row>
    <row r="4669" spans="1:2" ht="12.5" x14ac:dyDescent="0.25">
      <c r="A4669" t="str">
        <f ca="1">IFERROR(__xludf.DUMMYFUNCTION("""COMPUTED_VALUE"""),"Pectenotoxin group toxins")</f>
        <v>Pectenotoxin group toxins</v>
      </c>
      <c r="B4669" t="str">
        <f ca="1">IFERROR(__xludf.DUMMYFUNCTION("""COMPUTED_VALUE"""),"RF-00000080-TOX")</f>
        <v>RF-00000080-TOX</v>
      </c>
    </row>
    <row r="4670" spans="1:2" ht="12.5" x14ac:dyDescent="0.25">
      <c r="A4670" t="str">
        <f ca="1">IFERROR(__xludf.DUMMYFUNCTION("""COMPUTED_VALUE"""),"pectin")</f>
        <v>pectin</v>
      </c>
      <c r="B4670" t="str">
        <f ca="1">IFERROR(__xludf.DUMMYFUNCTION("""COMPUTED_VALUE"""),"RF-00000358-NTR")</f>
        <v>RF-00000358-NTR</v>
      </c>
    </row>
    <row r="4671" spans="1:2" ht="12.5" x14ac:dyDescent="0.25">
      <c r="A4671" t="str">
        <f ca="1">IFERROR(__xludf.DUMMYFUNCTION("""COMPUTED_VALUE"""),"Pefloxacin")</f>
        <v>Pefloxacin</v>
      </c>
      <c r="B4671" t="str">
        <f ca="1">IFERROR(__xludf.DUMMYFUNCTION("""COMPUTED_VALUE"""),"RF-00000552-VET")</f>
        <v>RF-00000552-VET</v>
      </c>
    </row>
    <row r="4672" spans="1:2" ht="12.5" x14ac:dyDescent="0.25">
      <c r="A4672" t="str">
        <f ca="1">IFERROR(__xludf.DUMMYFUNCTION("""COMPUTED_VALUE"""),"Penconazole")</f>
        <v>Penconazole</v>
      </c>
      <c r="B4672" t="str">
        <f ca="1">IFERROR(__xludf.DUMMYFUNCTION("""COMPUTED_VALUE"""),"RF-0329-001-PPP")</f>
        <v>RF-0329-001-PPP</v>
      </c>
    </row>
    <row r="4673" spans="1:2" ht="12.5" x14ac:dyDescent="0.25">
      <c r="A4673" t="str">
        <f ca="1">IFERROR(__xludf.DUMMYFUNCTION("""COMPUTED_VALUE"""),"Pencycuron")</f>
        <v>Pencycuron</v>
      </c>
      <c r="B4673" t="str">
        <f ca="1">IFERROR(__xludf.DUMMYFUNCTION("""COMPUTED_VALUE"""),"RF-0330-001-PPP")</f>
        <v>RF-0330-001-PPP</v>
      </c>
    </row>
    <row r="4674" spans="1:2" ht="12.5" x14ac:dyDescent="0.25">
      <c r="A4674" t="str">
        <f ca="1">IFERROR(__xludf.DUMMYFUNCTION("""COMPUTED_VALUE"""),"Pendimethalin")</f>
        <v>Pendimethalin</v>
      </c>
      <c r="B4674" t="str">
        <f ca="1">IFERROR(__xludf.DUMMYFUNCTION("""COMPUTED_VALUE"""),"RF-0331-001-PPP")</f>
        <v>RF-0331-001-PPP</v>
      </c>
    </row>
    <row r="4675" spans="1:2" ht="12.5" x14ac:dyDescent="0.25">
      <c r="A4675" t="str">
        <f ca="1">IFERROR(__xludf.DUMMYFUNCTION("""COMPUTED_VALUE"""),"Penethacillin (Penethamate)")</f>
        <v>Penethacillin (Penethamate)</v>
      </c>
      <c r="B4675" t="str">
        <f ca="1">IFERROR(__xludf.DUMMYFUNCTION("""COMPUTED_VALUE"""),"RF-00000549-VET")</f>
        <v>RF-00000549-VET</v>
      </c>
    </row>
    <row r="4676" spans="1:2" ht="12.5" x14ac:dyDescent="0.25">
      <c r="A4676" t="str">
        <f ca="1">IFERROR(__xludf.DUMMYFUNCTION("""COMPUTED_VALUE"""),"Penfluron")</f>
        <v>Penfluron</v>
      </c>
      <c r="B4676" t="str">
        <f ca="1">IFERROR(__xludf.DUMMYFUNCTION("""COMPUTED_VALUE"""),"RF-0836-001-PPP")</f>
        <v>RF-0836-001-PPP</v>
      </c>
    </row>
    <row r="4677" spans="1:2" ht="12.5" x14ac:dyDescent="0.25">
      <c r="A4677" t="str">
        <f ca="1">IFERROR(__xludf.DUMMYFUNCTION("""COMPUTED_VALUE"""),"Penicillin")</f>
        <v>Penicillin</v>
      </c>
      <c r="B4677" t="str">
        <f ca="1">IFERROR(__xludf.DUMMYFUNCTION("""COMPUTED_VALUE"""),"RF-00000556-VET")</f>
        <v>RF-00000556-VET</v>
      </c>
    </row>
    <row r="4678" spans="1:2" ht="12.5" x14ac:dyDescent="0.25">
      <c r="A4678" t="str">
        <f ca="1">IFERROR(__xludf.DUMMYFUNCTION("""COMPUTED_VALUE"""),"Penicillin combinations")</f>
        <v>Penicillin combinations</v>
      </c>
      <c r="B4678" t="str">
        <f ca="1">IFERROR(__xludf.DUMMYFUNCTION("""COMPUTED_VALUE"""),"RF-00000804-VET")</f>
        <v>RF-00000804-VET</v>
      </c>
    </row>
    <row r="4679" spans="1:2" ht="12.5" x14ac:dyDescent="0.25">
      <c r="A4679" t="str">
        <f ca="1">IFERROR(__xludf.DUMMYFUNCTION("""COMPUTED_VALUE"""),"Penicillin V (Phenoxymethylpenicillin)")</f>
        <v>Penicillin V (Phenoxymethylpenicillin)</v>
      </c>
      <c r="B4679" t="str">
        <f ca="1">IFERROR(__xludf.DUMMYFUNCTION("""COMPUTED_VALUE"""),"RF-00000544-VET")</f>
        <v>RF-00000544-VET</v>
      </c>
    </row>
    <row r="4680" spans="1:2" ht="12.5" x14ac:dyDescent="0.25">
      <c r="A4680" t="str">
        <f ca="1">IFERROR(__xludf.DUMMYFUNCTION("""COMPUTED_VALUE"""),"Penicillins (group)")</f>
        <v>Penicillins (group)</v>
      </c>
      <c r="B4680" t="str">
        <f ca="1">IFERROR(__xludf.DUMMYFUNCTION("""COMPUTED_VALUE"""),"RF-00000553-VET")</f>
        <v>RF-00000553-VET</v>
      </c>
    </row>
    <row r="4681" spans="1:2" ht="12.5" x14ac:dyDescent="0.25">
      <c r="A4681" t="str">
        <f ca="1">IFERROR(__xludf.DUMMYFUNCTION("""COMPUTED_VALUE"""),"Penoxsulam")</f>
        <v>Penoxsulam</v>
      </c>
      <c r="B4681" t="str">
        <f ca="1">IFERROR(__xludf.DUMMYFUNCTION("""COMPUTED_VALUE"""),"RF-0332-001-PPP")</f>
        <v>RF-0332-001-PPP</v>
      </c>
    </row>
    <row r="4682" spans="1:2" ht="12.5" x14ac:dyDescent="0.25">
      <c r="A4682" t="str">
        <f ca="1">IFERROR(__xludf.DUMMYFUNCTION("""COMPUTED_VALUE"""),"Pentachloorphenol")</f>
        <v>Pentachloorphenol</v>
      </c>
      <c r="B4682" t="str">
        <f ca="1">IFERROR(__xludf.DUMMYFUNCTION("""COMPUTED_VALUE"""),"RF-00000030-ORG")</f>
        <v>RF-00000030-ORG</v>
      </c>
    </row>
    <row r="4683" spans="1:2" ht="12.5" x14ac:dyDescent="0.25">
      <c r="A4683" t="str">
        <f ca="1">IFERROR(__xludf.DUMMYFUNCTION("""COMPUTED_VALUE"""),"Pentachloroaniline")</f>
        <v>Pentachloroaniline</v>
      </c>
      <c r="B4683" t="str">
        <f ca="1">IFERROR(__xludf.DUMMYFUNCTION("""COMPUTED_VALUE"""),"RF-0383-003-PPP")</f>
        <v>RF-0383-003-PPP</v>
      </c>
    </row>
    <row r="4684" spans="1:2" ht="12.5" x14ac:dyDescent="0.25">
      <c r="A4684" t="str">
        <f ca="1">IFERROR(__xludf.DUMMYFUNCTION("""COMPUTED_VALUE"""),"Pentachloroanisole")</f>
        <v>Pentachloroanisole</v>
      </c>
      <c r="B4684" t="str">
        <f ca="1">IFERROR(__xludf.DUMMYFUNCTION("""COMPUTED_VALUE"""),"RF-0837-001-PPP")</f>
        <v>RF-0837-001-PPP</v>
      </c>
    </row>
    <row r="4685" spans="1:2" ht="12.5" x14ac:dyDescent="0.25">
      <c r="A4685" t="str">
        <f ca="1">IFERROR(__xludf.DUMMYFUNCTION("""COMPUTED_VALUE"""),"Pentachlorobenzene")</f>
        <v>Pentachlorobenzene</v>
      </c>
      <c r="B4685" t="str">
        <f ca="1">IFERROR(__xludf.DUMMYFUNCTION("""COMPUTED_VALUE"""),"RF-0838-001-PPP")</f>
        <v>RF-0838-001-PPP</v>
      </c>
    </row>
    <row r="4686" spans="1:2" ht="12.5" x14ac:dyDescent="0.25">
      <c r="A4686" t="str">
        <f ca="1">IFERROR(__xludf.DUMMYFUNCTION("""COMPUTED_VALUE"""),"Pentachloromethylthiobenzene")</f>
        <v>Pentachloromethylthiobenzene</v>
      </c>
      <c r="B4686" t="str">
        <f ca="1">IFERROR(__xludf.DUMMYFUNCTION("""COMPUTED_VALUE"""),"RF-1038-001-PPP")</f>
        <v>RF-1038-001-PPP</v>
      </c>
    </row>
    <row r="4687" spans="1:2" ht="12.5" x14ac:dyDescent="0.25">
      <c r="A4687" t="str">
        <f ca="1">IFERROR(__xludf.DUMMYFUNCTION("""COMPUTED_VALUE"""),"Pentachlorophenol")</f>
        <v>Pentachlorophenol</v>
      </c>
      <c r="B4687" t="str">
        <f ca="1">IFERROR(__xludf.DUMMYFUNCTION("""COMPUTED_VALUE"""),"RF-0839-001-PPP")</f>
        <v>RF-0839-001-PPP</v>
      </c>
    </row>
    <row r="4688" spans="1:2" ht="12.5" x14ac:dyDescent="0.25">
      <c r="A4688" t="str">
        <f ca="1">IFERROR(__xludf.DUMMYFUNCTION("""COMPUTED_VALUE"""),"Pentagestrone")</f>
        <v>Pentagestrone</v>
      </c>
      <c r="B4688" t="str">
        <f ca="1">IFERROR(__xludf.DUMMYFUNCTION("""COMPUTED_VALUE"""),"RF-00000408-VET")</f>
        <v>RF-00000408-VET</v>
      </c>
    </row>
    <row r="4689" spans="1:2" ht="12.5" x14ac:dyDescent="0.25">
      <c r="A4689" t="str">
        <f ca="1">IFERROR(__xludf.DUMMYFUNCTION("""COMPUTED_VALUE"""),"Pentanochlor")</f>
        <v>Pentanochlor</v>
      </c>
      <c r="B4689" t="str">
        <f ca="1">IFERROR(__xludf.DUMMYFUNCTION("""COMPUTED_VALUE"""),"RF-0840-001-PPP")</f>
        <v>RF-0840-001-PPP</v>
      </c>
    </row>
    <row r="4690" spans="1:2" ht="12.5" x14ac:dyDescent="0.25">
      <c r="A4690" t="str">
        <f ca="1">IFERROR(__xludf.DUMMYFUNCTION("""COMPUTED_VALUE"""),"pentoses in dietary fibre")</f>
        <v>pentoses in dietary fibre</v>
      </c>
      <c r="B4690" t="str">
        <f ca="1">IFERROR(__xludf.DUMMYFUNCTION("""COMPUTED_VALUE"""),"RF-00000359-NTR")</f>
        <v>RF-00000359-NTR</v>
      </c>
    </row>
    <row r="4691" spans="1:2" ht="12.5" x14ac:dyDescent="0.25">
      <c r="A4691" t="str">
        <f ca="1">IFERROR(__xludf.DUMMYFUNCTION("""COMPUTED_VALUE"""),"PER")</f>
        <v>PER</v>
      </c>
      <c r="B4691" t="str">
        <f ca="1">IFERROR(__xludf.DUMMYFUNCTION("""COMPUTED_VALUE"""),"RF-00000159-PAR")</f>
        <v>RF-00000159-PAR</v>
      </c>
    </row>
    <row r="4692" spans="1:2" ht="12.5" x14ac:dyDescent="0.25">
      <c r="A4692" t="str">
        <f ca="1">IFERROR(__xludf.DUMMYFUNCTION("""COMPUTED_VALUE"""),"PER-1")</f>
        <v>PER-1</v>
      </c>
      <c r="B4692" t="str">
        <f ca="1">IFERROR(__xludf.DUMMYFUNCTION("""COMPUTED_VALUE"""),"RF-00000160-PAR")</f>
        <v>RF-00000160-PAR</v>
      </c>
    </row>
    <row r="4693" spans="1:2" ht="12.5" x14ac:dyDescent="0.25">
      <c r="A4693" t="str">
        <f ca="1">IFERROR(__xludf.DUMMYFUNCTION("""COMPUTED_VALUE"""),"PER-2")</f>
        <v>PER-2</v>
      </c>
      <c r="B4693" t="str">
        <f ca="1">IFERROR(__xludf.DUMMYFUNCTION("""COMPUTED_VALUE"""),"RF-00000161-PAR")</f>
        <v>RF-00000161-PAR</v>
      </c>
    </row>
    <row r="4694" spans="1:2" ht="12.5" x14ac:dyDescent="0.25">
      <c r="A4694" t="str">
        <f ca="1">IFERROR(__xludf.DUMMYFUNCTION("""COMPUTED_VALUE"""),"PER-3")</f>
        <v>PER-3</v>
      </c>
      <c r="B4694" t="str">
        <f ca="1">IFERROR(__xludf.DUMMYFUNCTION("""COMPUTED_VALUE"""),"RF-00000162-PAR")</f>
        <v>RF-00000162-PAR</v>
      </c>
    </row>
    <row r="4695" spans="1:2" ht="12.5" x14ac:dyDescent="0.25">
      <c r="A4695" t="str">
        <f ca="1">IFERROR(__xludf.DUMMYFUNCTION("""COMPUTED_VALUE"""),"PER-4")</f>
        <v>PER-4</v>
      </c>
      <c r="B4695" t="str">
        <f ca="1">IFERROR(__xludf.DUMMYFUNCTION("""COMPUTED_VALUE"""),"RF-00000163-PAR")</f>
        <v>RF-00000163-PAR</v>
      </c>
    </row>
    <row r="4696" spans="1:2" ht="12.5" x14ac:dyDescent="0.25">
      <c r="A4696" t="str">
        <f ca="1">IFERROR(__xludf.DUMMYFUNCTION("""COMPUTED_VALUE"""),"PER-5")</f>
        <v>PER-5</v>
      </c>
      <c r="B4696" t="str">
        <f ca="1">IFERROR(__xludf.DUMMYFUNCTION("""COMPUTED_VALUE"""),"RF-00000164-PAR")</f>
        <v>RF-00000164-PAR</v>
      </c>
    </row>
    <row r="4697" spans="1:2" ht="12.5" x14ac:dyDescent="0.25">
      <c r="A4697" t="str">
        <f ca="1">IFERROR(__xludf.DUMMYFUNCTION("""COMPUTED_VALUE"""),"PER-6")</f>
        <v>PER-6</v>
      </c>
      <c r="B4697" t="str">
        <f ca="1">IFERROR(__xludf.DUMMYFUNCTION("""COMPUTED_VALUE"""),"RF-00000165-PAR")</f>
        <v>RF-00000165-PAR</v>
      </c>
    </row>
    <row r="4698" spans="1:2" ht="12.5" x14ac:dyDescent="0.25">
      <c r="A4698" t="str">
        <f ca="1">IFERROR(__xludf.DUMMYFUNCTION("""COMPUTED_VALUE"""),"PER-7")</f>
        <v>PER-7</v>
      </c>
      <c r="B4698" t="str">
        <f ca="1">IFERROR(__xludf.DUMMYFUNCTION("""COMPUTED_VALUE"""),"RF-00000166-PAR")</f>
        <v>RF-00000166-PAR</v>
      </c>
    </row>
    <row r="4699" spans="1:2" ht="12.5" x14ac:dyDescent="0.25">
      <c r="A4699" t="str">
        <f ca="1">IFERROR(__xludf.DUMMYFUNCTION("""COMPUTED_VALUE"""),"Perfluidone")</f>
        <v>Perfluidone</v>
      </c>
      <c r="B4699" t="str">
        <f ca="1">IFERROR(__xludf.DUMMYFUNCTION("""COMPUTED_VALUE"""),"RF-0841-001-PPP")</f>
        <v>RF-0841-001-PPP</v>
      </c>
    </row>
    <row r="4700" spans="1:2" ht="12.5" x14ac:dyDescent="0.25">
      <c r="A4700" t="str">
        <f ca="1">IFERROR(__xludf.DUMMYFUNCTION("""COMPUTED_VALUE"""),"Perfluorinated acid compounds")</f>
        <v>Perfluorinated acid compounds</v>
      </c>
      <c r="B4700" t="str">
        <f ca="1">IFERROR(__xludf.DUMMYFUNCTION("""COMPUTED_VALUE"""),"RF-00000356-ORG")</f>
        <v>RF-00000356-ORG</v>
      </c>
    </row>
    <row r="4701" spans="1:2" ht="12.5" x14ac:dyDescent="0.25">
      <c r="A4701" t="str">
        <f ca="1">IFERROR(__xludf.DUMMYFUNCTION("""COMPUTED_VALUE"""),"Perfluorinated amide compounds")</f>
        <v>Perfluorinated amide compounds</v>
      </c>
      <c r="B4701" t="str">
        <f ca="1">IFERROR(__xludf.DUMMYFUNCTION("""COMPUTED_VALUE"""),"RF-00000349-ORG")</f>
        <v>RF-00000349-ORG</v>
      </c>
    </row>
    <row r="4702" spans="1:2" ht="12.5" x14ac:dyDescent="0.25">
      <c r="A4702" t="str">
        <f ca="1">IFERROR(__xludf.DUMMYFUNCTION("""COMPUTED_VALUE"""),"Perfluorinated compounds")</f>
        <v>Perfluorinated compounds</v>
      </c>
      <c r="B4702" t="str">
        <f ca="1">IFERROR(__xludf.DUMMYFUNCTION("""COMPUTED_VALUE"""),"RF-00000348-ORG")</f>
        <v>RF-00000348-ORG</v>
      </c>
    </row>
    <row r="4703" spans="1:2" ht="12.5" x14ac:dyDescent="0.25">
      <c r="A4703" t="str">
        <f ca="1">IFERROR(__xludf.DUMMYFUNCTION("""COMPUTED_VALUE"""),"Perfluorinated sulfonate compounds")</f>
        <v>Perfluorinated sulfonate compounds</v>
      </c>
      <c r="B4703" t="str">
        <f ca="1">IFERROR(__xludf.DUMMYFUNCTION("""COMPUTED_VALUE"""),"RF-00000351-ORG")</f>
        <v>RF-00000351-ORG</v>
      </c>
    </row>
    <row r="4704" spans="1:2" ht="12.5" x14ac:dyDescent="0.25">
      <c r="A4704" t="str">
        <f ca="1">IFERROR(__xludf.DUMMYFUNCTION("""COMPUTED_VALUE"""),"Perfluoroalkyl phosphate")</f>
        <v>Perfluoroalkyl phosphate</v>
      </c>
      <c r="B4704" t="str">
        <f ca="1">IFERROR(__xludf.DUMMYFUNCTION("""COMPUTED_VALUE"""),"RF-00000369-ORG")</f>
        <v>RF-00000369-ORG</v>
      </c>
    </row>
    <row r="4705" spans="1:2" ht="12.5" x14ac:dyDescent="0.25">
      <c r="A4705" t="str">
        <f ca="1">IFERROR(__xludf.DUMMYFUNCTION("""COMPUTED_VALUE"""),"Perfluorobutane sulfonate")</f>
        <v>Perfluorobutane sulfonate</v>
      </c>
      <c r="B4705" t="str">
        <f ca="1">IFERROR(__xludf.DUMMYFUNCTION("""COMPUTED_VALUE"""),"RF-00000352-ORG")</f>
        <v>RF-00000352-ORG</v>
      </c>
    </row>
    <row r="4706" spans="1:2" ht="12.5" x14ac:dyDescent="0.25">
      <c r="A4706" t="str">
        <f ca="1">IFERROR(__xludf.DUMMYFUNCTION("""COMPUTED_VALUE"""),"Perfluorobutanoic acid")</f>
        <v>Perfluorobutanoic acid</v>
      </c>
      <c r="B4706" t="str">
        <f ca="1">IFERROR(__xludf.DUMMYFUNCTION("""COMPUTED_VALUE"""),"RF-00000400-ORG")</f>
        <v>RF-00000400-ORG</v>
      </c>
    </row>
    <row r="4707" spans="1:2" ht="12.5" x14ac:dyDescent="0.25">
      <c r="A4707" t="str">
        <f ca="1">IFERROR(__xludf.DUMMYFUNCTION("""COMPUTED_VALUE"""),"Perfluorodecane sulfonate")</f>
        <v>Perfluorodecane sulfonate</v>
      </c>
      <c r="B4707" t="str">
        <f ca="1">IFERROR(__xludf.DUMMYFUNCTION("""COMPUTED_VALUE"""),"RF-00000355-ORG")</f>
        <v>RF-00000355-ORG</v>
      </c>
    </row>
    <row r="4708" spans="1:2" ht="12.5" x14ac:dyDescent="0.25">
      <c r="A4708" t="str">
        <f ca="1">IFERROR(__xludf.DUMMYFUNCTION("""COMPUTED_VALUE"""),"Perfluorodecanoic acid")</f>
        <v>Perfluorodecanoic acid</v>
      </c>
      <c r="B4708" t="str">
        <f ca="1">IFERROR(__xludf.DUMMYFUNCTION("""COMPUTED_VALUE"""),"RF-00000361-ORG")</f>
        <v>RF-00000361-ORG</v>
      </c>
    </row>
    <row r="4709" spans="1:2" ht="12.5" x14ac:dyDescent="0.25">
      <c r="A4709" t="str">
        <f ca="1">IFERROR(__xludf.DUMMYFUNCTION("""COMPUTED_VALUE"""),"Perfluorododecanoic acid")</f>
        <v>Perfluorododecanoic acid</v>
      </c>
      <c r="B4709" t="str">
        <f ca="1">IFERROR(__xludf.DUMMYFUNCTION("""COMPUTED_VALUE"""),"RF-00000363-ORG")</f>
        <v>RF-00000363-ORG</v>
      </c>
    </row>
    <row r="4710" spans="1:2" ht="12.5" x14ac:dyDescent="0.25">
      <c r="A4710" t="str">
        <f ca="1">IFERROR(__xludf.DUMMYFUNCTION("""COMPUTED_VALUE"""),"Perfluoroheptane sulfonate")</f>
        <v>Perfluoroheptane sulfonate</v>
      </c>
      <c r="B4710" t="str">
        <f ca="1">IFERROR(__xludf.DUMMYFUNCTION("""COMPUTED_VALUE"""),"RF-00000399-ORG")</f>
        <v>RF-00000399-ORG</v>
      </c>
    </row>
    <row r="4711" spans="1:2" ht="12.5" x14ac:dyDescent="0.25">
      <c r="A4711" t="str">
        <f ca="1">IFERROR(__xludf.DUMMYFUNCTION("""COMPUTED_VALUE"""),"Perfluoroheptanoic acid")</f>
        <v>Perfluoroheptanoic acid</v>
      </c>
      <c r="B4711" t="str">
        <f ca="1">IFERROR(__xludf.DUMMYFUNCTION("""COMPUTED_VALUE"""),"RF-00000358-ORG")</f>
        <v>RF-00000358-ORG</v>
      </c>
    </row>
    <row r="4712" spans="1:2" ht="12.5" x14ac:dyDescent="0.25">
      <c r="A4712" t="str">
        <f ca="1">IFERROR(__xludf.DUMMYFUNCTION("""COMPUTED_VALUE"""),"Perfluorohexadecanoic acid")</f>
        <v>Perfluorohexadecanoic acid</v>
      </c>
      <c r="B4712" t="str">
        <f ca="1">IFERROR(__xludf.DUMMYFUNCTION("""COMPUTED_VALUE"""),"RF-00000441-ORG")</f>
        <v>RF-00000441-ORG</v>
      </c>
    </row>
    <row r="4713" spans="1:2" ht="12.5" x14ac:dyDescent="0.25">
      <c r="A4713" t="str">
        <f ca="1">IFERROR(__xludf.DUMMYFUNCTION("""COMPUTED_VALUE"""),"Perfluorohexane sulfonate")</f>
        <v>Perfluorohexane sulfonate</v>
      </c>
      <c r="B4713" t="str">
        <f ca="1">IFERROR(__xludf.DUMMYFUNCTION("""COMPUTED_VALUE"""),"RF-00000353-ORG")</f>
        <v>RF-00000353-ORG</v>
      </c>
    </row>
    <row r="4714" spans="1:2" ht="12.5" x14ac:dyDescent="0.25">
      <c r="A4714" t="str">
        <f ca="1">IFERROR(__xludf.DUMMYFUNCTION("""COMPUTED_VALUE"""),"Perfluorohexanoic acid")</f>
        <v>Perfluorohexanoic acid</v>
      </c>
      <c r="B4714" t="str">
        <f ca="1">IFERROR(__xludf.DUMMYFUNCTION("""COMPUTED_VALUE"""),"RF-00000357-ORG")</f>
        <v>RF-00000357-ORG</v>
      </c>
    </row>
    <row r="4715" spans="1:2" ht="12.5" x14ac:dyDescent="0.25">
      <c r="A4715" t="str">
        <f ca="1">IFERROR(__xludf.DUMMYFUNCTION("""COMPUTED_VALUE"""),"Perfluorononanoic acid")</f>
        <v>Perfluorononanoic acid</v>
      </c>
      <c r="B4715" t="str">
        <f ca="1">IFERROR(__xludf.DUMMYFUNCTION("""COMPUTED_VALUE"""),"RF-00000360-ORG")</f>
        <v>RF-00000360-ORG</v>
      </c>
    </row>
    <row r="4716" spans="1:2" ht="12.5" x14ac:dyDescent="0.25">
      <c r="A4716" t="str">
        <f ca="1">IFERROR(__xludf.DUMMYFUNCTION("""COMPUTED_VALUE"""),"Perfluorooctadecanoic acid")</f>
        <v>Perfluorooctadecanoic acid</v>
      </c>
      <c r="B4716" t="str">
        <f ca="1">IFERROR(__xludf.DUMMYFUNCTION("""COMPUTED_VALUE"""),"RF-00000442-ORG")</f>
        <v>RF-00000442-ORG</v>
      </c>
    </row>
    <row r="4717" spans="1:2" ht="12.5" x14ac:dyDescent="0.25">
      <c r="A4717" t="str">
        <f ca="1">IFERROR(__xludf.DUMMYFUNCTION("""COMPUTED_VALUE"""),"Perfluorooctane sulfinic acid")</f>
        <v>Perfluorooctane sulfinic acid</v>
      </c>
      <c r="B4717" t="str">
        <f ca="1">IFERROR(__xludf.DUMMYFUNCTION("""COMPUTED_VALUE"""),"RF-00000481-ORG")</f>
        <v>RF-00000481-ORG</v>
      </c>
    </row>
    <row r="4718" spans="1:2" ht="12.5" x14ac:dyDescent="0.25">
      <c r="A4718" t="str">
        <f ca="1">IFERROR(__xludf.DUMMYFUNCTION("""COMPUTED_VALUE"""),"Perfluorooctane sulfonate")</f>
        <v>Perfluorooctane sulfonate</v>
      </c>
      <c r="B4718" t="str">
        <f ca="1">IFERROR(__xludf.DUMMYFUNCTION("""COMPUTED_VALUE"""),"RF-00000354-ORG")</f>
        <v>RF-00000354-ORG</v>
      </c>
    </row>
    <row r="4719" spans="1:2" ht="12.5" x14ac:dyDescent="0.25">
      <c r="A4719" t="str">
        <f ca="1">IFERROR(__xludf.DUMMYFUNCTION("""COMPUTED_VALUE"""),"Perfluorooctane sulfonate (PFOS) - branched")</f>
        <v>Perfluorooctane sulfonate (PFOS) - branched</v>
      </c>
      <c r="B4719" t="str">
        <f ca="1">IFERROR(__xludf.DUMMYFUNCTION("""COMPUTED_VALUE"""),"RF-00000445-ORG")</f>
        <v>RF-00000445-ORG</v>
      </c>
    </row>
    <row r="4720" spans="1:2" ht="12.5" x14ac:dyDescent="0.25">
      <c r="A4720" t="str">
        <f ca="1">IFERROR(__xludf.DUMMYFUNCTION("""COMPUTED_VALUE"""),"Perfluorooctane sulfonate (PFOS) - linear")</f>
        <v>Perfluorooctane sulfonate (PFOS) - linear</v>
      </c>
      <c r="B4720" t="str">
        <f ca="1">IFERROR(__xludf.DUMMYFUNCTION("""COMPUTED_VALUE"""),"RF-00000444-ORG")</f>
        <v>RF-00000444-ORG</v>
      </c>
    </row>
    <row r="4721" spans="1:2" ht="12.5" x14ac:dyDescent="0.25">
      <c r="A4721" t="str">
        <f ca="1">IFERROR(__xludf.DUMMYFUNCTION("""COMPUTED_VALUE"""),"Perfluorooctane sulfonylamide")</f>
        <v>Perfluorooctane sulfonylamide</v>
      </c>
      <c r="B4721" t="str">
        <f ca="1">IFERROR(__xludf.DUMMYFUNCTION("""COMPUTED_VALUE"""),"RF-00000350-ORG")</f>
        <v>RF-00000350-ORG</v>
      </c>
    </row>
    <row r="4722" spans="1:2" ht="12.5" x14ac:dyDescent="0.25">
      <c r="A4722" t="str">
        <f ca="1">IFERROR(__xludf.DUMMYFUNCTION("""COMPUTED_VALUE"""),"Perfluorooctanesulfonamide")</f>
        <v>Perfluorooctanesulfonamide</v>
      </c>
      <c r="B4722" t="str">
        <f ca="1">IFERROR(__xludf.DUMMYFUNCTION("""COMPUTED_VALUE"""),"RF-00000461-ORG")</f>
        <v>RF-00000461-ORG</v>
      </c>
    </row>
    <row r="4723" spans="1:2" ht="12.5" x14ac:dyDescent="0.25">
      <c r="A4723" t="str">
        <f ca="1">IFERROR(__xludf.DUMMYFUNCTION("""COMPUTED_VALUE"""),"Perfluorooctanoic acid")</f>
        <v>Perfluorooctanoic acid</v>
      </c>
      <c r="B4723" t="str">
        <f ca="1">IFERROR(__xludf.DUMMYFUNCTION("""COMPUTED_VALUE"""),"RF-00000359-ORG")</f>
        <v>RF-00000359-ORG</v>
      </c>
    </row>
    <row r="4724" spans="1:2" ht="12.5" x14ac:dyDescent="0.25">
      <c r="A4724" t="str">
        <f ca="1">IFERROR(__xludf.DUMMYFUNCTION("""COMPUTED_VALUE"""),"Perfluoropentadecanoic acid")</f>
        <v>Perfluoropentadecanoic acid</v>
      </c>
      <c r="B4724" t="str">
        <f ca="1">IFERROR(__xludf.DUMMYFUNCTION("""COMPUTED_VALUE"""),"RF-00000365-ORG")</f>
        <v>RF-00000365-ORG</v>
      </c>
    </row>
    <row r="4725" spans="1:2" ht="12.5" x14ac:dyDescent="0.25">
      <c r="A4725" t="str">
        <f ca="1">IFERROR(__xludf.DUMMYFUNCTION("""COMPUTED_VALUE"""),"Perfluoropentanoic acid")</f>
        <v>Perfluoropentanoic acid</v>
      </c>
      <c r="B4725" t="str">
        <f ca="1">IFERROR(__xludf.DUMMYFUNCTION("""COMPUTED_VALUE"""),"RF-00000401-ORG")</f>
        <v>RF-00000401-ORG</v>
      </c>
    </row>
    <row r="4726" spans="1:2" ht="12.5" x14ac:dyDescent="0.25">
      <c r="A4726" t="str">
        <f ca="1">IFERROR(__xludf.DUMMYFUNCTION("""COMPUTED_VALUE"""),"Perfluorotetradecanoic acid")</f>
        <v>Perfluorotetradecanoic acid</v>
      </c>
      <c r="B4726" t="str">
        <f ca="1">IFERROR(__xludf.DUMMYFUNCTION("""COMPUTED_VALUE"""),"RF-00000402-ORG")</f>
        <v>RF-00000402-ORG</v>
      </c>
    </row>
    <row r="4727" spans="1:2" ht="12.5" x14ac:dyDescent="0.25">
      <c r="A4727" t="str">
        <f ca="1">IFERROR(__xludf.DUMMYFUNCTION("""COMPUTED_VALUE"""),"Perfluorotridecanoic acid")</f>
        <v>Perfluorotridecanoic acid</v>
      </c>
      <c r="B4727" t="str">
        <f ca="1">IFERROR(__xludf.DUMMYFUNCTION("""COMPUTED_VALUE"""),"RF-00000364-ORG")</f>
        <v>RF-00000364-ORG</v>
      </c>
    </row>
    <row r="4728" spans="1:2" ht="12.5" x14ac:dyDescent="0.25">
      <c r="A4728" t="str">
        <f ca="1">IFERROR(__xludf.DUMMYFUNCTION("""COMPUTED_VALUE"""),"Perfluoroundecanoic acid")</f>
        <v>Perfluoroundecanoic acid</v>
      </c>
      <c r="B4728" t="str">
        <f ca="1">IFERROR(__xludf.DUMMYFUNCTION("""COMPUTED_VALUE"""),"RF-00000362-ORG")</f>
        <v>RF-00000362-ORG</v>
      </c>
    </row>
    <row r="4729" spans="1:2" ht="12.5" x14ac:dyDescent="0.25">
      <c r="A4729" t="str">
        <f ca="1">IFERROR(__xludf.DUMMYFUNCTION("""COMPUTED_VALUE"""),"Permethrin")</f>
        <v>Permethrin</v>
      </c>
      <c r="B4729" t="str">
        <f ca="1">IFERROR(__xludf.DUMMYFUNCTION("""COMPUTED_VALUE"""),"RF-00000112-VET")</f>
        <v>RF-00000112-VET</v>
      </c>
    </row>
    <row r="4730" spans="1:2" ht="12.5" x14ac:dyDescent="0.25">
      <c r="A4730" t="str">
        <f ca="1">IFERROR(__xludf.DUMMYFUNCTION("""COMPUTED_VALUE"""),"Permethrin (sum of isomers)")</f>
        <v>Permethrin (sum of isomers)</v>
      </c>
      <c r="B4730" t="str">
        <f ca="1">IFERROR(__xludf.DUMMYFUNCTION("""COMPUTED_VALUE"""),"RF-0842-001-PPP")</f>
        <v>RF-0842-001-PPP</v>
      </c>
    </row>
    <row r="4731" spans="1:2" ht="12.5" x14ac:dyDescent="0.25">
      <c r="A4731" t="str">
        <f ca="1">IFERROR(__xludf.DUMMYFUNCTION("""COMPUTED_VALUE"""),"Perylene")</f>
        <v>Perylene</v>
      </c>
      <c r="B4731" t="str">
        <f ca="1">IFERROR(__xludf.DUMMYFUNCTION("""COMPUTED_VALUE"""),"RF-00000069-ORG")</f>
        <v>RF-00000069-ORG</v>
      </c>
    </row>
    <row r="4732" spans="1:2" ht="12.5" x14ac:dyDescent="0.25">
      <c r="A4732" t="str">
        <f ca="1">IFERROR(__xludf.DUMMYFUNCTION("""COMPUTED_VALUE"""),"Pesticides")</f>
        <v>Pesticides</v>
      </c>
      <c r="B4732" t="str">
        <f ca="1">IFERROR(__xludf.DUMMYFUNCTION("""COMPUTED_VALUE"""),"RF-00000001-PPP")</f>
        <v>RF-00000001-PPP</v>
      </c>
    </row>
    <row r="4733" spans="1:2" ht="12.5" x14ac:dyDescent="0.25">
      <c r="A4733" t="str">
        <f ca="1">IFERROR(__xludf.DUMMYFUNCTION("""COMPUTED_VALUE"""),"Petasitenine")</f>
        <v>Petasitenine</v>
      </c>
      <c r="B4733" t="str">
        <f ca="1">IFERROR(__xludf.DUMMYFUNCTION("""COMPUTED_VALUE"""),"RF-00000293-TOX")</f>
        <v>RF-00000293-TOX</v>
      </c>
    </row>
    <row r="4734" spans="1:2" ht="12.5" x14ac:dyDescent="0.25">
      <c r="A4734" t="str">
        <f ca="1">IFERROR(__xludf.DUMMYFUNCTION("""COMPUTED_VALUE"""),"Pethoxamid")</f>
        <v>Pethoxamid</v>
      </c>
      <c r="B4734" t="str">
        <f ca="1">IFERROR(__xludf.DUMMYFUNCTION("""COMPUTED_VALUE"""),"RF-0333-001-PPP")</f>
        <v>RF-0333-001-PPP</v>
      </c>
    </row>
    <row r="4735" spans="1:2" ht="12.5" x14ac:dyDescent="0.25">
      <c r="A4735" t="str">
        <f ca="1">IFERROR(__xludf.DUMMYFUNCTION("""COMPUTED_VALUE"""),"PFAS-like (C4-C15)")</f>
        <v>PFAS-like (C4-C15)</v>
      </c>
      <c r="B4735" t="str">
        <f ca="1">IFERROR(__xludf.DUMMYFUNCTION("""COMPUTED_VALUE"""),"RF-00000370-ORG")</f>
        <v>RF-00000370-ORG</v>
      </c>
    </row>
    <row r="4736" spans="1:2" ht="12.5" x14ac:dyDescent="0.25">
      <c r="A4736" t="str">
        <f ca="1">IFERROR(__xludf.DUMMYFUNCTION("""COMPUTED_VALUE"""),"Phenanthrene")</f>
        <v>Phenanthrene</v>
      </c>
      <c r="B4736" t="str">
        <f ca="1">IFERROR(__xludf.DUMMYFUNCTION("""COMPUTED_VALUE"""),"RF-00000063-ORG")</f>
        <v>RF-00000063-ORG</v>
      </c>
    </row>
    <row r="4737" spans="1:2" ht="12.5" x14ac:dyDescent="0.25">
      <c r="A4737" t="str">
        <f ca="1">IFERROR(__xludf.DUMMYFUNCTION("""COMPUTED_VALUE"""),"Phenazone")</f>
        <v>Phenazone</v>
      </c>
      <c r="B4737" t="str">
        <f ca="1">IFERROR(__xludf.DUMMYFUNCTION("""COMPUTED_VALUE"""),"RF-00000195-VET")</f>
        <v>RF-00000195-VET</v>
      </c>
    </row>
    <row r="4738" spans="1:2" ht="12.5" x14ac:dyDescent="0.25">
      <c r="A4738" t="str">
        <f ca="1">IFERROR(__xludf.DUMMYFUNCTION("""COMPUTED_VALUE"""),"Phenkapton")</f>
        <v>Phenkapton</v>
      </c>
      <c r="B4738" t="str">
        <f ca="1">IFERROR(__xludf.DUMMYFUNCTION("""COMPUTED_VALUE"""),"RF-0844-001-PPP")</f>
        <v>RF-0844-001-PPP</v>
      </c>
    </row>
    <row r="4739" spans="1:2" ht="12.5" x14ac:dyDescent="0.25">
      <c r="A4739" t="str">
        <f ca="1">IFERROR(__xludf.DUMMYFUNCTION("""COMPUTED_VALUE"""),"Phenmedipham")</f>
        <v>Phenmedipham</v>
      </c>
      <c r="B4739" t="str">
        <f ca="1">IFERROR(__xludf.DUMMYFUNCTION("""COMPUTED_VALUE"""),"RF-00000101-VET")</f>
        <v>RF-00000101-VET</v>
      </c>
    </row>
    <row r="4740" spans="1:2" ht="12.5" x14ac:dyDescent="0.25">
      <c r="A4740" t="str">
        <f ca="1">IFERROR(__xludf.DUMMYFUNCTION("""COMPUTED_VALUE"""),"Phenmedipham")</f>
        <v>Phenmedipham</v>
      </c>
      <c r="B4740" t="str">
        <f ca="1">IFERROR(__xludf.DUMMYFUNCTION("""COMPUTED_VALUE"""),"RF-0334-001-PPP")</f>
        <v>RF-0334-001-PPP</v>
      </c>
    </row>
    <row r="4741" spans="1:2" ht="12.5" x14ac:dyDescent="0.25">
      <c r="A4741" t="str">
        <f ca="1">IFERROR(__xludf.DUMMYFUNCTION("""COMPUTED_VALUE"""),"Phenmedipham (Methyl-N-(3-hydroxyphenyl) carbamate (MHPC) expressed as phenmedipham")</f>
        <v>Phenmedipham (Methyl-N-(3-hydroxyphenyl) carbamate (MHPC) expressed as phenmedipham</v>
      </c>
      <c r="B4741" t="str">
        <f ca="1">IFERROR(__xludf.DUMMYFUNCTION("""COMPUTED_VALUE"""),"RF-0334-002-PPP")</f>
        <v>RF-0334-002-PPP</v>
      </c>
    </row>
    <row r="4742" spans="1:2" ht="12.5" x14ac:dyDescent="0.25">
      <c r="A4742" t="str">
        <f ca="1">IFERROR(__xludf.DUMMYFUNCTION("""COMPUTED_VALUE"""),"Phenol")</f>
        <v>Phenol</v>
      </c>
      <c r="B4742" t="str">
        <f ca="1">IFERROR(__xludf.DUMMYFUNCTION("""COMPUTED_VALUE"""),"RF-00000031-ORG")</f>
        <v>RF-00000031-ORG</v>
      </c>
    </row>
    <row r="4743" spans="1:2" ht="12.5" x14ac:dyDescent="0.25">
      <c r="A4743" t="str">
        <f ca="1">IFERROR(__xludf.DUMMYFUNCTION("""COMPUTED_VALUE"""),"Phenol")</f>
        <v>Phenol</v>
      </c>
      <c r="B4743" t="str">
        <f ca="1">IFERROR(__xludf.DUMMYFUNCTION("""COMPUTED_VALUE"""),"RF-0845-001-PPP")</f>
        <v>RF-0845-001-PPP</v>
      </c>
    </row>
    <row r="4744" spans="1:2" ht="12.5" x14ac:dyDescent="0.25">
      <c r="A4744" t="str">
        <f ca="1">IFERROR(__xludf.DUMMYFUNCTION("""COMPUTED_VALUE"""),"Phenolic compounds")</f>
        <v>Phenolic compounds</v>
      </c>
      <c r="B4744" t="str">
        <f ca="1">IFERROR(__xludf.DUMMYFUNCTION("""COMPUTED_VALUE"""),"RF-00000010-ORG")</f>
        <v>RF-00000010-ORG</v>
      </c>
    </row>
    <row r="4745" spans="1:2" ht="12.5" x14ac:dyDescent="0.25">
      <c r="A4745" t="str">
        <f ca="1">IFERROR(__xludf.DUMMYFUNCTION("""COMPUTED_VALUE"""),"Phenothrin")</f>
        <v>Phenothrin</v>
      </c>
      <c r="B4745" t="str">
        <f ca="1">IFERROR(__xludf.DUMMYFUNCTION("""COMPUTED_VALUE"""),"RF-00000107-VET")</f>
        <v>RF-00000107-VET</v>
      </c>
    </row>
    <row r="4746" spans="1:2" ht="12.5" x14ac:dyDescent="0.25">
      <c r="A4746" t="str">
        <f ca="1">IFERROR(__xludf.DUMMYFUNCTION("""COMPUTED_VALUE"""),"Phenothrin")</f>
        <v>Phenothrin</v>
      </c>
      <c r="B4746" t="str">
        <f ca="1">IFERROR(__xludf.DUMMYFUNCTION("""COMPUTED_VALUE"""),"RF-0335-001-PPP")</f>
        <v>RF-0335-001-PPP</v>
      </c>
    </row>
    <row r="4747" spans="1:2" ht="12.5" x14ac:dyDescent="0.25">
      <c r="A4747" t="str">
        <f ca="1">IFERROR(__xludf.DUMMYFUNCTION("""COMPUTED_VALUE"""),"Phenthoate")</f>
        <v>Phenthoate</v>
      </c>
      <c r="B4747" t="str">
        <f ca="1">IFERROR(__xludf.DUMMYFUNCTION("""COMPUTED_VALUE"""),"RF-0846-001-PPP")</f>
        <v>RF-0846-001-PPP</v>
      </c>
    </row>
    <row r="4748" spans="1:2" ht="12.5" x14ac:dyDescent="0.25">
      <c r="A4748" t="str">
        <f ca="1">IFERROR(__xludf.DUMMYFUNCTION("""COMPUTED_VALUE"""),"phenylalanine")</f>
        <v>phenylalanine</v>
      </c>
      <c r="B4748" t="str">
        <f ca="1">IFERROR(__xludf.DUMMYFUNCTION("""COMPUTED_VALUE"""),"RF-00000360-NTR")</f>
        <v>RF-00000360-NTR</v>
      </c>
    </row>
    <row r="4749" spans="1:2" ht="12.5" x14ac:dyDescent="0.25">
      <c r="A4749" t="str">
        <f ca="1">IFERROR(__xludf.DUMMYFUNCTION("""COMPUTED_VALUE"""),"Phenylbutazone")</f>
        <v>Phenylbutazone</v>
      </c>
      <c r="B4749" t="str">
        <f ca="1">IFERROR(__xludf.DUMMYFUNCTION("""COMPUTED_VALUE"""),"RF-00000216-VET")</f>
        <v>RF-00000216-VET</v>
      </c>
    </row>
    <row r="4750" spans="1:2" ht="12.5" x14ac:dyDescent="0.25">
      <c r="A4750" t="str">
        <f ca="1">IFERROR(__xludf.DUMMYFUNCTION("""COMPUTED_VALUE"""),"Phenylethylamine")</f>
        <v>Phenylethylamine</v>
      </c>
      <c r="B4750" t="str">
        <f ca="1">IFERROR(__xludf.DUMMYFUNCTION("""COMPUTED_VALUE"""),"RF-00000008-BGA")</f>
        <v>RF-00000008-BGA</v>
      </c>
    </row>
    <row r="4751" spans="1:2" ht="12.5" x14ac:dyDescent="0.25">
      <c r="A4751" t="str">
        <f ca="1">IFERROR(__xludf.DUMMYFUNCTION("""COMPUTED_VALUE"""),"Phenylthiouracil")</f>
        <v>Phenylthiouracil</v>
      </c>
      <c r="B4751" t="str">
        <f ca="1">IFERROR(__xludf.DUMMYFUNCTION("""COMPUTED_VALUE"""),"RF-00000295-VET")</f>
        <v>RF-00000295-VET</v>
      </c>
    </row>
    <row r="4752" spans="1:2" ht="12.5" x14ac:dyDescent="0.25">
      <c r="A4752" t="str">
        <f ca="1">IFERROR(__xludf.DUMMYFUNCTION("""COMPUTED_VALUE"""),"Phlebovirus")</f>
        <v>Phlebovirus</v>
      </c>
      <c r="B4752" t="str">
        <f ca="1">IFERROR(__xludf.DUMMYFUNCTION("""COMPUTED_VALUE"""),"RF-00002612-MCG")</f>
        <v>RF-00002612-MCG</v>
      </c>
    </row>
    <row r="4753" spans="1:2" ht="12.5" x14ac:dyDescent="0.25">
      <c r="A4753" t="str">
        <f ca="1">IFERROR(__xludf.DUMMYFUNCTION("""COMPUTED_VALUE"""),"Phlebovirus Bujaru virus")</f>
        <v>Phlebovirus Bujaru virus</v>
      </c>
      <c r="B4753" t="str">
        <f ca="1">IFERROR(__xludf.DUMMYFUNCTION("""COMPUTED_VALUE"""),"RF-00002617-MCG")</f>
        <v>RF-00002617-MCG</v>
      </c>
    </row>
    <row r="4754" spans="1:2" ht="12.5" x14ac:dyDescent="0.25">
      <c r="A4754" t="str">
        <f ca="1">IFERROR(__xludf.DUMMYFUNCTION("""COMPUTED_VALUE"""),"Phlebovirus Chandiru virus")</f>
        <v>Phlebovirus Chandiru virus</v>
      </c>
      <c r="B4754" t="str">
        <f ca="1">IFERROR(__xludf.DUMMYFUNCTION("""COMPUTED_VALUE"""),"RF-00002618-MCG")</f>
        <v>RF-00002618-MCG</v>
      </c>
    </row>
    <row r="4755" spans="1:2" ht="12.5" x14ac:dyDescent="0.25">
      <c r="A4755" t="str">
        <f ca="1">IFERROR(__xludf.DUMMYFUNCTION("""COMPUTED_VALUE"""),"Phlebovirus Chilibre virus")</f>
        <v>Phlebovirus Chilibre virus</v>
      </c>
      <c r="B4755" t="str">
        <f ca="1">IFERROR(__xludf.DUMMYFUNCTION("""COMPUTED_VALUE"""),"RF-00002619-MCG")</f>
        <v>RF-00002619-MCG</v>
      </c>
    </row>
    <row r="4756" spans="1:2" ht="12.5" x14ac:dyDescent="0.25">
      <c r="A4756" t="str">
        <f ca="1">IFERROR(__xludf.DUMMYFUNCTION("""COMPUTED_VALUE"""),"Phlebovirus Frijoles virus")</f>
        <v>Phlebovirus Frijoles virus</v>
      </c>
      <c r="B4756" t="str">
        <f ca="1">IFERROR(__xludf.DUMMYFUNCTION("""COMPUTED_VALUE"""),"RF-00002620-MCG")</f>
        <v>RF-00002620-MCG</v>
      </c>
    </row>
    <row r="4757" spans="1:2" ht="12.5" x14ac:dyDescent="0.25">
      <c r="A4757" t="str">
        <f ca="1">IFERROR(__xludf.DUMMYFUNCTION("""COMPUTED_VALUE"""),"Phlebovirus Massilia virus")</f>
        <v>Phlebovirus Massilia virus</v>
      </c>
      <c r="B4757" t="str">
        <f ca="1">IFERROR(__xludf.DUMMYFUNCTION("""COMPUTED_VALUE"""),"RF-00002626-MCG")</f>
        <v>RF-00002626-MCG</v>
      </c>
    </row>
    <row r="4758" spans="1:2" ht="12.5" x14ac:dyDescent="0.25">
      <c r="A4758" t="str">
        <f ca="1">IFERROR(__xludf.DUMMYFUNCTION("""COMPUTED_VALUE"""),"Phlebovirus Punta Toro virus")</f>
        <v>Phlebovirus Punta Toro virus</v>
      </c>
      <c r="B4758" t="str">
        <f ca="1">IFERROR(__xludf.DUMMYFUNCTION("""COMPUTED_VALUE"""),"RF-00002621-MCG")</f>
        <v>RF-00002621-MCG</v>
      </c>
    </row>
    <row r="4759" spans="1:2" ht="12.5" x14ac:dyDescent="0.25">
      <c r="A4759" t="str">
        <f ca="1">IFERROR(__xludf.DUMMYFUNCTION("""COMPUTED_VALUE"""),"Phlebovirus Rift Valley fever virus")</f>
        <v>Phlebovirus Rift Valley fever virus</v>
      </c>
      <c r="B4759" t="str">
        <f ca="1">IFERROR(__xludf.DUMMYFUNCTION("""COMPUTED_VALUE"""),"RF-00002622-MCG")</f>
        <v>RF-00002622-MCG</v>
      </c>
    </row>
    <row r="4760" spans="1:2" ht="12.5" x14ac:dyDescent="0.25">
      <c r="A4760" t="str">
        <f ca="1">IFERROR(__xludf.DUMMYFUNCTION("""COMPUTED_VALUE"""),"Phlebovirus Salehebad virus")</f>
        <v>Phlebovirus Salehebad virus</v>
      </c>
      <c r="B4760" t="str">
        <f ca="1">IFERROR(__xludf.DUMMYFUNCTION("""COMPUTED_VALUE"""),"RF-00002623-MCG")</f>
        <v>RF-00002623-MCG</v>
      </c>
    </row>
    <row r="4761" spans="1:2" ht="12.5" x14ac:dyDescent="0.25">
      <c r="A4761" t="str">
        <f ca="1">IFERROR(__xludf.DUMMYFUNCTION("""COMPUTED_VALUE"""),"Phlebovirus Sandfly fever Gabek Forest virus")</f>
        <v>Phlebovirus Sandfly fever Gabek Forest virus</v>
      </c>
      <c r="B4761" t="str">
        <f ca="1">IFERROR(__xludf.DUMMYFUNCTION("""COMPUTED_VALUE"""),"RF-00002625-MCG")</f>
        <v>RF-00002625-MCG</v>
      </c>
    </row>
    <row r="4762" spans="1:2" ht="12.5" x14ac:dyDescent="0.25">
      <c r="A4762" t="str">
        <f ca="1">IFERROR(__xludf.DUMMYFUNCTION("""COMPUTED_VALUE"""),"Phlebovirus Sandfly fever Naples virus")</f>
        <v>Phlebovirus Sandfly fever Naples virus</v>
      </c>
      <c r="B4762" t="str">
        <f ca="1">IFERROR(__xludf.DUMMYFUNCTION("""COMPUTED_VALUE"""),"RF-00002614-MCG")</f>
        <v>RF-00002614-MCG</v>
      </c>
    </row>
    <row r="4763" spans="1:2" ht="12.5" x14ac:dyDescent="0.25">
      <c r="A4763" t="str">
        <f ca="1">IFERROR(__xludf.DUMMYFUNCTION("""COMPUTED_VALUE"""),"Phlebovirus Sandfly fever Naples, Toscana virus")</f>
        <v>Phlebovirus Sandfly fever Naples, Toscana virus</v>
      </c>
      <c r="B4763" t="str">
        <f ca="1">IFERROR(__xludf.DUMMYFUNCTION("""COMPUTED_VALUE"""),"RF-00002615-MCG")</f>
        <v>RF-00002615-MCG</v>
      </c>
    </row>
    <row r="4764" spans="1:2" ht="12.5" x14ac:dyDescent="0.25">
      <c r="A4764" t="str">
        <f ca="1">IFERROR(__xludf.DUMMYFUNCTION("""COMPUTED_VALUE"""),"Phlebovirus Sandfly fever Sicilian virus")</f>
        <v>Phlebovirus Sandfly fever Sicilian virus</v>
      </c>
      <c r="B4764" t="str">
        <f ca="1">IFERROR(__xludf.DUMMYFUNCTION("""COMPUTED_VALUE"""),"RF-00002616-MCG")</f>
        <v>RF-00002616-MCG</v>
      </c>
    </row>
    <row r="4765" spans="1:2" ht="12.5" x14ac:dyDescent="0.25">
      <c r="A4765" t="str">
        <f ca="1">IFERROR(__xludf.DUMMYFUNCTION("""COMPUTED_VALUE"""),"Phlebovirus spp. Unidentified")</f>
        <v>Phlebovirus spp. Unidentified</v>
      </c>
      <c r="B4765" t="str">
        <f ca="1">IFERROR(__xludf.DUMMYFUNCTION("""COMPUTED_VALUE"""),"RF-00002613-MCG")</f>
        <v>RF-00002613-MCG</v>
      </c>
    </row>
    <row r="4766" spans="1:2" ht="12.5" x14ac:dyDescent="0.25">
      <c r="A4766" t="str">
        <f ca="1">IFERROR(__xludf.DUMMYFUNCTION("""COMPUTED_VALUE"""),"Phlebovirus Uukuniemi virus")</f>
        <v>Phlebovirus Uukuniemi virus</v>
      </c>
      <c r="B4766" t="str">
        <f ca="1">IFERROR(__xludf.DUMMYFUNCTION("""COMPUTED_VALUE"""),"RF-00002624-MCG")</f>
        <v>RF-00002624-MCG</v>
      </c>
    </row>
    <row r="4767" spans="1:2" ht="12.5" x14ac:dyDescent="0.25">
      <c r="A4767" t="str">
        <f ca="1">IFERROR(__xludf.DUMMYFUNCTION("""COMPUTED_VALUE"""),"Phomopsin A")</f>
        <v>Phomopsin A</v>
      </c>
      <c r="B4767" t="str">
        <f ca="1">IFERROR(__xludf.DUMMYFUNCTION("""COMPUTED_VALUE"""),"RF-00000219-TOX")</f>
        <v>RF-00000219-TOX</v>
      </c>
    </row>
    <row r="4768" spans="1:2" ht="12.5" x14ac:dyDescent="0.25">
      <c r="A4768" t="str">
        <f ca="1">IFERROR(__xludf.DUMMYFUNCTION("""COMPUTED_VALUE"""),"Phomopsin B")</f>
        <v>Phomopsin B</v>
      </c>
      <c r="B4768" t="str">
        <f ca="1">IFERROR(__xludf.DUMMYFUNCTION("""COMPUTED_VALUE"""),"RF-00000220-TOX")</f>
        <v>RF-00000220-TOX</v>
      </c>
    </row>
    <row r="4769" spans="1:2" ht="12.5" x14ac:dyDescent="0.25">
      <c r="A4769" t="str">
        <f ca="1">IFERROR(__xludf.DUMMYFUNCTION("""COMPUTED_VALUE"""),"Phomopsin C")</f>
        <v>Phomopsin C</v>
      </c>
      <c r="B4769" t="str">
        <f ca="1">IFERROR(__xludf.DUMMYFUNCTION("""COMPUTED_VALUE"""),"RF-00000221-TOX")</f>
        <v>RF-00000221-TOX</v>
      </c>
    </row>
    <row r="4770" spans="1:2" ht="12.5" x14ac:dyDescent="0.25">
      <c r="A4770" t="str">
        <f ca="1">IFERROR(__xludf.DUMMYFUNCTION("""COMPUTED_VALUE"""),"Phomopsin D")</f>
        <v>Phomopsin D</v>
      </c>
      <c r="B4770" t="str">
        <f ca="1">IFERROR(__xludf.DUMMYFUNCTION("""COMPUTED_VALUE"""),"RF-00000222-TOX")</f>
        <v>RF-00000222-TOX</v>
      </c>
    </row>
    <row r="4771" spans="1:2" ht="12.5" x14ac:dyDescent="0.25">
      <c r="A4771" t="str">
        <f ca="1">IFERROR(__xludf.DUMMYFUNCTION("""COMPUTED_VALUE"""),"Phomopsins")</f>
        <v>Phomopsins</v>
      </c>
      <c r="B4771" t="str">
        <f ca="1">IFERROR(__xludf.DUMMYFUNCTION("""COMPUTED_VALUE"""),"RF-00000210-TOX")</f>
        <v>RF-00000210-TOX</v>
      </c>
    </row>
    <row r="4772" spans="1:2" ht="12.5" x14ac:dyDescent="0.25">
      <c r="A4772" t="str">
        <f ca="1">IFERROR(__xludf.DUMMYFUNCTION("""COMPUTED_VALUE"""),"Phorate")</f>
        <v>Phorate</v>
      </c>
      <c r="B4772" t="str">
        <f ca="1">IFERROR(__xludf.DUMMYFUNCTION("""COMPUTED_VALUE"""),"RF-0336-003-PPP")</f>
        <v>RF-0336-003-PPP</v>
      </c>
    </row>
    <row r="4773" spans="1:2" ht="12.5" x14ac:dyDescent="0.25">
      <c r="A4773" t="str">
        <f ca="1">IFERROR(__xludf.DUMMYFUNCTION("""COMPUTED_VALUE"""),"Phorate (sum of phorate, its oxygen analogue and their sulfones expressed as phorate)")</f>
        <v>Phorate (sum of phorate, its oxygen analogue and their sulfones expressed as phorate)</v>
      </c>
      <c r="B4773" t="str">
        <f ca="1">IFERROR(__xludf.DUMMYFUNCTION("""COMPUTED_VALUE"""),"RF-0336-001-PPP")</f>
        <v>RF-0336-001-PPP</v>
      </c>
    </row>
    <row r="4774" spans="1:2" ht="12.5" x14ac:dyDescent="0.25">
      <c r="A4774" t="str">
        <f ca="1">IFERROR(__xludf.DUMMYFUNCTION("""COMPUTED_VALUE"""),"Phorate-O-analogue")</f>
        <v>Phorate-O-analogue</v>
      </c>
      <c r="B4774" t="str">
        <f ca="1">IFERROR(__xludf.DUMMYFUNCTION("""COMPUTED_VALUE"""),"RF-0336-005-PPP")</f>
        <v>RF-0336-005-PPP</v>
      </c>
    </row>
    <row r="4775" spans="1:2" ht="12.5" x14ac:dyDescent="0.25">
      <c r="A4775" t="str">
        <f ca="1">IFERROR(__xludf.DUMMYFUNCTION("""COMPUTED_VALUE"""),"Phorate-oxonsulfone")</f>
        <v>Phorate-oxonsulfone</v>
      </c>
      <c r="B4775" t="str">
        <f ca="1">IFERROR(__xludf.DUMMYFUNCTION("""COMPUTED_VALUE"""),"RF-0336-006-PPP")</f>
        <v>RF-0336-006-PPP</v>
      </c>
    </row>
    <row r="4776" spans="1:2" ht="12.5" x14ac:dyDescent="0.25">
      <c r="A4776" t="str">
        <f ca="1">IFERROR(__xludf.DUMMYFUNCTION("""COMPUTED_VALUE"""),"Phorate-oxonsulfoxid")</f>
        <v>Phorate-oxonsulfoxid</v>
      </c>
      <c r="B4776" t="str">
        <f ca="1">IFERROR(__xludf.DUMMYFUNCTION("""COMPUTED_VALUE"""),"RF-0336-007-PPP")</f>
        <v>RF-0336-007-PPP</v>
      </c>
    </row>
    <row r="4777" spans="1:2" ht="12.5" x14ac:dyDescent="0.25">
      <c r="A4777" t="str">
        <f ca="1">IFERROR(__xludf.DUMMYFUNCTION("""COMPUTED_VALUE"""),"Phorate-Sulfon")</f>
        <v>Phorate-Sulfon</v>
      </c>
      <c r="B4777" t="str">
        <f ca="1">IFERROR(__xludf.DUMMYFUNCTION("""COMPUTED_VALUE"""),"RF-0336-002-PPP")</f>
        <v>RF-0336-002-PPP</v>
      </c>
    </row>
    <row r="4778" spans="1:2" ht="12.5" x14ac:dyDescent="0.25">
      <c r="A4778" t="str">
        <f ca="1">IFERROR(__xludf.DUMMYFUNCTION("""COMPUTED_VALUE"""),"Phorate-Sulfoxid")</f>
        <v>Phorate-Sulfoxid</v>
      </c>
      <c r="B4778" t="str">
        <f ca="1">IFERROR(__xludf.DUMMYFUNCTION("""COMPUTED_VALUE"""),"RF-0336-004-PPP")</f>
        <v>RF-0336-004-PPP</v>
      </c>
    </row>
    <row r="4779" spans="1:2" ht="12.5" x14ac:dyDescent="0.25">
      <c r="A4779" t="str">
        <f ca="1">IFERROR(__xludf.DUMMYFUNCTION("""COMPUTED_VALUE"""),"Phosalone")</f>
        <v>Phosalone</v>
      </c>
      <c r="B4779" t="str">
        <f ca="1">IFERROR(__xludf.DUMMYFUNCTION("""COMPUTED_VALUE"""),"RF-0337-001-PPP")</f>
        <v>RF-0337-001-PPP</v>
      </c>
    </row>
    <row r="4780" spans="1:2" ht="12.5" x14ac:dyDescent="0.25">
      <c r="A4780" t="str">
        <f ca="1">IFERROR(__xludf.DUMMYFUNCTION("""COMPUTED_VALUE"""),"Phosfolan")</f>
        <v>Phosfolan</v>
      </c>
      <c r="B4780" t="str">
        <f ca="1">IFERROR(__xludf.DUMMYFUNCTION("""COMPUTED_VALUE"""),"RF-1017-001-PPP")</f>
        <v>RF-1017-001-PPP</v>
      </c>
    </row>
    <row r="4781" spans="1:2" ht="12.5" x14ac:dyDescent="0.25">
      <c r="A4781" t="str">
        <f ca="1">IFERROR(__xludf.DUMMYFUNCTION("""COMPUTED_VALUE"""),"Phosmet")</f>
        <v>Phosmet</v>
      </c>
      <c r="B4781" t="str">
        <f ca="1">IFERROR(__xludf.DUMMYFUNCTION("""COMPUTED_VALUE"""),"RF-0338-002-PPP")</f>
        <v>RF-0338-002-PPP</v>
      </c>
    </row>
    <row r="4782" spans="1:2" ht="12.5" x14ac:dyDescent="0.25">
      <c r="A4782" t="str">
        <f ca="1">IFERROR(__xludf.DUMMYFUNCTION("""COMPUTED_VALUE"""),"Phosmet (phosmet and phosmet oxon expressed as phosmet)")</f>
        <v>Phosmet (phosmet and phosmet oxon expressed as phosmet)</v>
      </c>
      <c r="B4782" t="str">
        <f ca="1">IFERROR(__xludf.DUMMYFUNCTION("""COMPUTED_VALUE"""),"RF-0338-001-PPP")</f>
        <v>RF-0338-001-PPP</v>
      </c>
    </row>
    <row r="4783" spans="1:2" ht="12.5" x14ac:dyDescent="0.25">
      <c r="A4783" t="str">
        <f ca="1">IFERROR(__xludf.DUMMYFUNCTION("""COMPUTED_VALUE"""),"Phosmet oxon")</f>
        <v>Phosmet oxon</v>
      </c>
      <c r="B4783" t="str">
        <f ca="1">IFERROR(__xludf.DUMMYFUNCTION("""COMPUTED_VALUE"""),"RF-0338-003-PPP")</f>
        <v>RF-0338-003-PPP</v>
      </c>
    </row>
    <row r="4784" spans="1:2" ht="12.5" x14ac:dyDescent="0.25">
      <c r="A4784" t="str">
        <f ca="1">IFERROR(__xludf.DUMMYFUNCTION("""COMPUTED_VALUE"""),"Phosphamidon")</f>
        <v>Phosphamidon</v>
      </c>
      <c r="B4784" t="str">
        <f ca="1">IFERROR(__xludf.DUMMYFUNCTION("""COMPUTED_VALUE"""),"RF-0339-001-PPP")</f>
        <v>RF-0339-001-PPP</v>
      </c>
    </row>
    <row r="4785" spans="1:2" ht="12.5" x14ac:dyDescent="0.25">
      <c r="A4785" t="str">
        <f ca="1">IFERROR(__xludf.DUMMYFUNCTION("""COMPUTED_VALUE"""),"Phosphated distarch phosphate")</f>
        <v>Phosphated distarch phosphate</v>
      </c>
      <c r="B4785" t="str">
        <f ca="1">IFERROR(__xludf.DUMMYFUNCTION("""COMPUTED_VALUE"""),"RF-00000211-ADD")</f>
        <v>RF-00000211-ADD</v>
      </c>
    </row>
    <row r="4786" spans="1:2" ht="12.5" x14ac:dyDescent="0.25">
      <c r="A4786" t="str">
        <f ca="1">IFERROR(__xludf.DUMMYFUNCTION("""COMPUTED_VALUE"""),"phosphates")</f>
        <v>phosphates</v>
      </c>
      <c r="B4786" t="str">
        <f ca="1">IFERROR(__xludf.DUMMYFUNCTION("""COMPUTED_VALUE"""),"RF-00000030-CHE")</f>
        <v>RF-00000030-CHE</v>
      </c>
    </row>
    <row r="4787" spans="1:2" ht="12.5" x14ac:dyDescent="0.25">
      <c r="A4787" t="str">
        <f ca="1">IFERROR(__xludf.DUMMYFUNCTION("""COMPUTED_VALUE"""),"phosphatidyl choline (lecithin)")</f>
        <v>phosphatidyl choline (lecithin)</v>
      </c>
      <c r="B4787" t="str">
        <f ca="1">IFERROR(__xludf.DUMMYFUNCTION("""COMPUTED_VALUE"""),"RF-00000361-NTR")</f>
        <v>RF-00000361-NTR</v>
      </c>
    </row>
    <row r="4788" spans="1:2" ht="12.5" x14ac:dyDescent="0.25">
      <c r="A4788" t="str">
        <f ca="1">IFERROR(__xludf.DUMMYFUNCTION("""COMPUTED_VALUE"""),"Phosphines and phosphides:sum of aluminium phosphide, aluminium phosphine, magnesium phosphide, magnesium phosphine, zinc phosphide and zinc phosphine")</f>
        <v>Phosphines and phosphides:sum of aluminium phosphide, aluminium phosphine, magnesium phosphide, magnesium phosphine, zinc phosphide and zinc phosphine</v>
      </c>
      <c r="B4788" t="str">
        <f ca="1">IFERROR(__xludf.DUMMYFUNCTION("""COMPUTED_VALUE"""),"RF-0340-001-PPP")</f>
        <v>RF-0340-001-PPP</v>
      </c>
    </row>
    <row r="4789" spans="1:2" ht="12.5" x14ac:dyDescent="0.25">
      <c r="A4789" t="str">
        <f ca="1">IFERROR(__xludf.DUMMYFUNCTION("""COMPUTED_VALUE"""),"phospholipids, total")</f>
        <v>phospholipids, total</v>
      </c>
      <c r="B4789" t="str">
        <f ca="1">IFERROR(__xludf.DUMMYFUNCTION("""COMPUTED_VALUE"""),"RF-00000362-NTR")</f>
        <v>RF-00000362-NTR</v>
      </c>
    </row>
    <row r="4790" spans="1:2" ht="12.5" x14ac:dyDescent="0.25">
      <c r="A4790" t="str">
        <f ca="1">IFERROR(__xludf.DUMMYFUNCTION("""COMPUTED_VALUE"""),"Phosphoric acid")</f>
        <v>Phosphoric acid</v>
      </c>
      <c r="B4790" t="str">
        <f ca="1">IFERROR(__xludf.DUMMYFUNCTION("""COMPUTED_VALUE"""),"RF-00000212-ADD")</f>
        <v>RF-00000212-ADD</v>
      </c>
    </row>
    <row r="4791" spans="1:2" ht="12.5" x14ac:dyDescent="0.25">
      <c r="A4791" t="str">
        <f ca="1">IFERROR(__xludf.DUMMYFUNCTION("""COMPUTED_VALUE"""),"Phosphorothioic acid O-(3-bromo-4-methyl-2-oxo-2H-1-benzopyran-7-yl)-O,O-diethyl ester")</f>
        <v>Phosphorothioic acid O-(3-bromo-4-methyl-2-oxo-2H-1-benzopyran-7-yl)-O,O-diethyl ester</v>
      </c>
      <c r="B4791" t="str">
        <f ca="1">IFERROR(__xludf.DUMMYFUNCTION("""COMPUTED_VALUE"""),"RF-0978-001-PPP")</f>
        <v>RF-0978-001-PPP</v>
      </c>
    </row>
    <row r="4792" spans="1:2" ht="12.5" x14ac:dyDescent="0.25">
      <c r="A4792" t="str">
        <f ca="1">IFERROR(__xludf.DUMMYFUNCTION("""COMPUTED_VALUE"""),"Phosphorus (P)")</f>
        <v>Phosphorus (P)</v>
      </c>
      <c r="B4792" t="str">
        <f ca="1">IFERROR(__xludf.DUMMYFUNCTION("""COMPUTED_VALUE"""),"RF-00000031-CHE")</f>
        <v>RF-00000031-CHE</v>
      </c>
    </row>
    <row r="4793" spans="1:2" ht="12.5" x14ac:dyDescent="0.25">
      <c r="A4793" t="str">
        <f ca="1">IFERROR(__xludf.DUMMYFUNCTION("""COMPUTED_VALUE"""),"Phosphorus (P2O5)")</f>
        <v>Phosphorus (P2O5)</v>
      </c>
      <c r="B4793" t="str">
        <f ca="1">IFERROR(__xludf.DUMMYFUNCTION("""COMPUTED_VALUE"""),"RF-00000033-CHE")</f>
        <v>RF-00000033-CHE</v>
      </c>
    </row>
    <row r="4794" spans="1:2" ht="12.5" x14ac:dyDescent="0.25">
      <c r="A4794" t="str">
        <f ca="1">IFERROR(__xludf.DUMMYFUNCTION("""COMPUTED_VALUE"""),"Phosphorus and derivatives")</f>
        <v>Phosphorus and derivatives</v>
      </c>
      <c r="B4794" t="str">
        <f ca="1">IFERROR(__xludf.DUMMYFUNCTION("""COMPUTED_VALUE"""),"RF-00000029-CHE")</f>
        <v>RF-00000029-CHE</v>
      </c>
    </row>
    <row r="4795" spans="1:2" ht="12.5" x14ac:dyDescent="0.25">
      <c r="A4795" t="str">
        <f ca="1">IFERROR(__xludf.DUMMYFUNCTION("""COMPUTED_VALUE"""),"Phosphorus soil. Acid citr. 2% and ammonium citrate alc. (Petermann)")</f>
        <v>Phosphorus soil. Acid citr. 2% and ammonium citrate alc. (Petermann)</v>
      </c>
      <c r="B4795" t="str">
        <f ca="1">IFERROR(__xludf.DUMMYFUNCTION("""COMPUTED_VALUE"""),"RF-00000034-CHE")</f>
        <v>RF-00000034-CHE</v>
      </c>
    </row>
    <row r="4796" spans="1:2" ht="12.5" x14ac:dyDescent="0.25">
      <c r="A4796" t="str">
        <f ca="1">IFERROR(__xludf.DUMMYFUNCTION("""COMPUTED_VALUE"""),"Phosphorus soluble in 2% citric acid")</f>
        <v>Phosphorus soluble in 2% citric acid</v>
      </c>
      <c r="B4796" t="str">
        <f ca="1">IFERROR(__xludf.DUMMYFUNCTION("""COMPUTED_VALUE"""),"RF-00000035-CHE")</f>
        <v>RF-00000035-CHE</v>
      </c>
    </row>
    <row r="4797" spans="1:2" ht="12.5" x14ac:dyDescent="0.25">
      <c r="A4797" t="str">
        <f ca="1">IFERROR(__xludf.DUMMYFUNCTION("""COMPUTED_VALUE"""),"Phosphorus soluble in alkaline ammonium citrate (JOULE)")</f>
        <v>Phosphorus soluble in alkaline ammonium citrate (JOULE)</v>
      </c>
      <c r="B4797" t="str">
        <f ca="1">IFERROR(__xludf.DUMMYFUNCTION("""COMPUTED_VALUE"""),"RF-00000037-CHE")</f>
        <v>RF-00000037-CHE</v>
      </c>
    </row>
    <row r="4798" spans="1:2" ht="12.5" x14ac:dyDescent="0.25">
      <c r="A4798" t="str">
        <f ca="1">IFERROR(__xludf.DUMMYFUNCTION("""COMPUTED_VALUE"""),"Phosphorus soluble in alkaline ammonium citrate (Petermann) at 65 ° C")</f>
        <v>Phosphorus soluble in alkaline ammonium citrate (Petermann) at 65 ° C</v>
      </c>
      <c r="B4798" t="str">
        <f ca="1">IFERROR(__xludf.DUMMYFUNCTION("""COMPUTED_VALUE"""),"RF-00000038-CHE")</f>
        <v>RF-00000038-CHE</v>
      </c>
    </row>
    <row r="4799" spans="1:2" ht="12.5" x14ac:dyDescent="0.25">
      <c r="A4799" t="str">
        <f ca="1">IFERROR(__xludf.DUMMYFUNCTION("""COMPUTED_VALUE"""),"Phosphorus soluble in alkaline ammonium citrate (Petermann) at room temperature")</f>
        <v>Phosphorus soluble in alkaline ammonium citrate (Petermann) at room temperature</v>
      </c>
      <c r="B4799" t="str">
        <f ca="1">IFERROR(__xludf.DUMMYFUNCTION("""COMPUTED_VALUE"""),"RF-00000039-CHE")</f>
        <v>RF-00000039-CHE</v>
      </c>
    </row>
    <row r="4800" spans="1:2" ht="12.5" x14ac:dyDescent="0.25">
      <c r="A4800" t="str">
        <f ca="1">IFERROR(__xludf.DUMMYFUNCTION("""COMPUTED_VALUE"""),"Phosphorus soluble in formic acid 2%")</f>
        <v>Phosphorus soluble in formic acid 2%</v>
      </c>
      <c r="B4800" t="str">
        <f ca="1">IFERROR(__xludf.DUMMYFUNCTION("""COMPUTED_VALUE"""),"RF-00000036-CHE")</f>
        <v>RF-00000036-CHE</v>
      </c>
    </row>
    <row r="4801" spans="1:2" ht="12.5" x14ac:dyDescent="0.25">
      <c r="A4801" t="str">
        <f ca="1">IFERROR(__xludf.DUMMYFUNCTION("""COMPUTED_VALUE"""),"Phosphorus soluble in mineral acids")</f>
        <v>Phosphorus soluble in mineral acids</v>
      </c>
      <c r="B4801" t="str">
        <f ca="1">IFERROR(__xludf.DUMMYFUNCTION("""COMPUTED_VALUE"""),"RF-00000043-CHE")</f>
        <v>RF-00000043-CHE</v>
      </c>
    </row>
    <row r="4802" spans="1:2" ht="12.5" x14ac:dyDescent="0.25">
      <c r="A4802" t="str">
        <f ca="1">IFERROR(__xludf.DUMMYFUNCTION("""COMPUTED_VALUE"""),"Phosphorus soluble in neutral ammonium citrate")</f>
        <v>Phosphorus soluble in neutral ammonium citrate</v>
      </c>
      <c r="B4802" t="str">
        <f ca="1">IFERROR(__xludf.DUMMYFUNCTION("""COMPUTED_VALUE"""),"RF-00000040-CHE")</f>
        <v>RF-00000040-CHE</v>
      </c>
    </row>
    <row r="4803" spans="1:2" ht="12.5" x14ac:dyDescent="0.25">
      <c r="A4803" t="str">
        <f ca="1">IFERROR(__xludf.DUMMYFUNCTION("""COMPUTED_VALUE"""),"Phosphorus soluble in water")</f>
        <v>Phosphorus soluble in water</v>
      </c>
      <c r="B4803" t="str">
        <f ca="1">IFERROR(__xludf.DUMMYFUNCTION("""COMPUTED_VALUE"""),"RF-00000042-CHE")</f>
        <v>RF-00000042-CHE</v>
      </c>
    </row>
    <row r="4804" spans="1:2" ht="12.5" x14ac:dyDescent="0.25">
      <c r="A4804" t="str">
        <f ca="1">IFERROR(__xludf.DUMMYFUNCTION("""COMPUTED_VALUE"""),"Phosphorus soluble in water and neutral ammonium citrate")</f>
        <v>Phosphorus soluble in water and neutral ammonium citrate</v>
      </c>
      <c r="B4804" t="str">
        <f ca="1">IFERROR(__xludf.DUMMYFUNCTION("""COMPUTED_VALUE"""),"RF-00000041-CHE")</f>
        <v>RF-00000041-CHE</v>
      </c>
    </row>
    <row r="4805" spans="1:2" ht="12.5" x14ac:dyDescent="0.25">
      <c r="A4805" t="str">
        <f ca="1">IFERROR(__xludf.DUMMYFUNCTION("""COMPUTED_VALUE"""),"Phoxim")</f>
        <v>Phoxim</v>
      </c>
      <c r="B4805" t="str">
        <f ca="1">IFERROR(__xludf.DUMMYFUNCTION("""COMPUTED_VALUE"""),"RF-0342-001-PPP")</f>
        <v>RF-0342-001-PPP</v>
      </c>
    </row>
    <row r="4806" spans="1:2" ht="12.5" x14ac:dyDescent="0.25">
      <c r="A4806" t="str">
        <f ca="1">IFERROR(__xludf.DUMMYFUNCTION("""COMPUTED_VALUE"""),"Phthalimide")</f>
        <v>Phthalimide</v>
      </c>
      <c r="B4806" t="str">
        <f ca="1">IFERROR(__xludf.DUMMYFUNCTION("""COMPUTED_VALUE"""),"RF-0991-001-PPP")</f>
        <v>RF-0991-001-PPP</v>
      </c>
    </row>
    <row r="4807" spans="1:2" ht="12.5" x14ac:dyDescent="0.25">
      <c r="A4807" t="str">
        <f ca="1">IFERROR(__xludf.DUMMYFUNCTION("""COMPUTED_VALUE"""),"Phthalylsulfathiazol")</f>
        <v>Phthalylsulfathiazol</v>
      </c>
      <c r="B4807" t="str">
        <f ca="1">IFERROR(__xludf.DUMMYFUNCTION("""COMPUTED_VALUE"""),"RF-00000578-VET")</f>
        <v>RF-00000578-VET</v>
      </c>
    </row>
    <row r="4808" spans="1:2" ht="12.5" x14ac:dyDescent="0.25">
      <c r="A4808" t="str">
        <f ca="1">IFERROR(__xludf.DUMMYFUNCTION("""COMPUTED_VALUE"""),"Phyrimethamine")</f>
        <v>Phyrimethamine</v>
      </c>
      <c r="B4808" t="str">
        <f ca="1">IFERROR(__xludf.DUMMYFUNCTION("""COMPUTED_VALUE"""),"RF-00000076-VET")</f>
        <v>RF-00000076-VET</v>
      </c>
    </row>
    <row r="4809" spans="1:2" ht="12.5" x14ac:dyDescent="0.25">
      <c r="A4809" t="str">
        <f ca="1">IFERROR(__xludf.DUMMYFUNCTION("""COMPUTED_VALUE"""),"phytic acid")</f>
        <v>phytic acid</v>
      </c>
      <c r="B4809" t="str">
        <f ca="1">IFERROR(__xludf.DUMMYFUNCTION("""COMPUTED_VALUE"""),"RF-00000363-NTR")</f>
        <v>RF-00000363-NTR</v>
      </c>
    </row>
    <row r="4810" spans="1:2" ht="12.5" x14ac:dyDescent="0.25">
      <c r="A4810" t="str">
        <f ca="1">IFERROR(__xludf.DUMMYFUNCTION("""COMPUTED_VALUE"""),"phytosterols, total (total plant sterols)")</f>
        <v>phytosterols, total (total plant sterols)</v>
      </c>
      <c r="B4810" t="str">
        <f ca="1">IFERROR(__xludf.DUMMYFUNCTION("""COMPUTED_VALUE"""),"RF-00000364-NTR")</f>
        <v>RF-00000364-NTR</v>
      </c>
    </row>
    <row r="4811" spans="1:2" ht="12.5" x14ac:dyDescent="0.25">
      <c r="A4811" t="str">
        <f ca="1">IFERROR(__xludf.DUMMYFUNCTION("""COMPUTED_VALUE"""),"Phytotoxins")</f>
        <v>Phytotoxins</v>
      </c>
      <c r="B4811" t="str">
        <f ca="1">IFERROR(__xludf.DUMMYFUNCTION("""COMPUTED_VALUE"""),"RF-00000223-TOX")</f>
        <v>RF-00000223-TOX</v>
      </c>
    </row>
    <row r="4812" spans="1:2" ht="12.5" x14ac:dyDescent="0.25">
      <c r="A4812" t="str">
        <f ca="1">IFERROR(__xludf.DUMMYFUNCTION("""COMPUTED_VALUE"""),"Picloram")</f>
        <v>Picloram</v>
      </c>
      <c r="B4812" t="str">
        <f ca="1">IFERROR(__xludf.DUMMYFUNCTION("""COMPUTED_VALUE"""),"RF-0343-001-PPP")</f>
        <v>RF-0343-001-PPP</v>
      </c>
    </row>
    <row r="4813" spans="1:2" ht="12.5" x14ac:dyDescent="0.25">
      <c r="A4813" t="str">
        <f ca="1">IFERROR(__xludf.DUMMYFUNCTION("""COMPUTED_VALUE"""),"Picolinafen")</f>
        <v>Picolinafen</v>
      </c>
      <c r="B4813" t="str">
        <f ca="1">IFERROR(__xludf.DUMMYFUNCTION("""COMPUTED_VALUE"""),"RF-0344-001-PPP")</f>
        <v>RF-0344-001-PPP</v>
      </c>
    </row>
    <row r="4814" spans="1:2" ht="12.5" x14ac:dyDescent="0.25">
      <c r="A4814" t="str">
        <f ca="1">IFERROR(__xludf.DUMMYFUNCTION("""COMPUTED_VALUE"""),"Picoxystrobin")</f>
        <v>Picoxystrobin</v>
      </c>
      <c r="B4814" t="str">
        <f ca="1">IFERROR(__xludf.DUMMYFUNCTION("""COMPUTED_VALUE"""),"RF-0345-001-PPP")</f>
        <v>RF-0345-001-PPP</v>
      </c>
    </row>
    <row r="4815" spans="1:2" ht="12.5" x14ac:dyDescent="0.25">
      <c r="A4815" t="str">
        <f ca="1">IFERROR(__xludf.DUMMYFUNCTION("""COMPUTED_VALUE"""),"Pinoxaden")</f>
        <v>Pinoxaden</v>
      </c>
      <c r="B4815" t="str">
        <f ca="1">IFERROR(__xludf.DUMMYFUNCTION("""COMPUTED_VALUE"""),"RF-0346-001-PPP")</f>
        <v>RF-0346-001-PPP</v>
      </c>
    </row>
    <row r="4816" spans="1:2" ht="12.5" x14ac:dyDescent="0.25">
      <c r="A4816" t="str">
        <f ca="1">IFERROR(__xludf.DUMMYFUNCTION("""COMPUTED_VALUE"""),"Pipedemic acid")</f>
        <v>Pipedemic acid</v>
      </c>
      <c r="B4816" t="str">
        <f ca="1">IFERROR(__xludf.DUMMYFUNCTION("""COMPUTED_VALUE"""),"RF-00000620-VET")</f>
        <v>RF-00000620-VET</v>
      </c>
    </row>
    <row r="4817" spans="1:2" ht="12.5" x14ac:dyDescent="0.25">
      <c r="A4817" t="str">
        <f ca="1">IFERROR(__xludf.DUMMYFUNCTION("""COMPUTED_VALUE"""),"Piperacillin")</f>
        <v>Piperacillin</v>
      </c>
      <c r="B4817" t="str">
        <f ca="1">IFERROR(__xludf.DUMMYFUNCTION("""COMPUTED_VALUE"""),"RF-00000762-VET")</f>
        <v>RF-00000762-VET</v>
      </c>
    </row>
    <row r="4818" spans="1:2" ht="12.5" x14ac:dyDescent="0.25">
      <c r="A4818" t="str">
        <f ca="1">IFERROR(__xludf.DUMMYFUNCTION("""COMPUTED_VALUE"""),"Piperalin")</f>
        <v>Piperalin</v>
      </c>
      <c r="B4818" t="str">
        <f ca="1">IFERROR(__xludf.DUMMYFUNCTION("""COMPUTED_VALUE"""),"RF-0847-001-PPP")</f>
        <v>RF-0847-001-PPP</v>
      </c>
    </row>
    <row r="4819" spans="1:2" ht="12.5" x14ac:dyDescent="0.25">
      <c r="A4819" t="str">
        <f ca="1">IFERROR(__xludf.DUMMYFUNCTION("""COMPUTED_VALUE"""),"Piperazine")</f>
        <v>Piperazine</v>
      </c>
      <c r="B4819" t="str">
        <f ca="1">IFERROR(__xludf.DUMMYFUNCTION("""COMPUTED_VALUE"""),"RF-00000018-VET")</f>
        <v>RF-00000018-VET</v>
      </c>
    </row>
    <row r="4820" spans="1:2" ht="12.5" x14ac:dyDescent="0.25">
      <c r="A4820" t="str">
        <f ca="1">IFERROR(__xludf.DUMMYFUNCTION("""COMPUTED_VALUE"""),"piperine")</f>
        <v>piperine</v>
      </c>
      <c r="B4820" t="str">
        <f ca="1">IFERROR(__xludf.DUMMYFUNCTION("""COMPUTED_VALUE"""),"RF-00000365-NTR")</f>
        <v>RF-00000365-NTR</v>
      </c>
    </row>
    <row r="4821" spans="1:2" ht="12.5" x14ac:dyDescent="0.25">
      <c r="A4821" t="str">
        <f ca="1">IFERROR(__xludf.DUMMYFUNCTION("""COMPUTED_VALUE"""),"Piperonyl Butoxide")</f>
        <v>Piperonyl Butoxide</v>
      </c>
      <c r="B4821" t="str">
        <f ca="1">IFERROR(__xludf.DUMMYFUNCTION("""COMPUTED_VALUE"""),"RF-0848-001-PPP")</f>
        <v>RF-0848-001-PPP</v>
      </c>
    </row>
    <row r="4822" spans="1:2" ht="12.5" x14ac:dyDescent="0.25">
      <c r="A4822" t="str">
        <f ca="1">IFERROR(__xludf.DUMMYFUNCTION("""COMPUTED_VALUE"""),"Piperophos")</f>
        <v>Piperophos</v>
      </c>
      <c r="B4822" t="str">
        <f ca="1">IFERROR(__xludf.DUMMYFUNCTION("""COMPUTED_VALUE"""),"RF-0849-001-PPP")</f>
        <v>RF-0849-001-PPP</v>
      </c>
    </row>
    <row r="4823" spans="1:2" ht="12.5" x14ac:dyDescent="0.25">
      <c r="A4823" t="str">
        <f ca="1">IFERROR(__xludf.DUMMYFUNCTION("""COMPUTED_VALUE"""),"Pirbuterol")</f>
        <v>Pirbuterol</v>
      </c>
      <c r="B4823" t="str">
        <f ca="1">IFERROR(__xludf.DUMMYFUNCTION("""COMPUTED_VALUE"""),"RF-00000494-VET")</f>
        <v>RF-00000494-VET</v>
      </c>
    </row>
    <row r="4824" spans="1:2" ht="12.5" x14ac:dyDescent="0.25">
      <c r="A4824" t="str">
        <f ca="1">IFERROR(__xludf.DUMMYFUNCTION("""COMPUTED_VALUE"""),"Pirimicarb")</f>
        <v>Pirimicarb</v>
      </c>
      <c r="B4824" t="str">
        <f ca="1">IFERROR(__xludf.DUMMYFUNCTION("""COMPUTED_VALUE"""),"RF-0347-002-PPP")</f>
        <v>RF-0347-002-PPP</v>
      </c>
    </row>
    <row r="4825" spans="1:2" ht="12.5" x14ac:dyDescent="0.25">
      <c r="A4825" t="str">
        <f ca="1">IFERROR(__xludf.DUMMYFUNCTION("""COMPUTED_VALUE"""),"Pirimicarb (sum of Pirimicarb and Desmethyl pirimicarb expressed as Pirimicarb)")</f>
        <v>Pirimicarb (sum of Pirimicarb and Desmethyl pirimicarb expressed as Pirimicarb)</v>
      </c>
      <c r="B4825" t="str">
        <f ca="1">IFERROR(__xludf.DUMMYFUNCTION("""COMPUTED_VALUE"""),"RF-0347-001-PPP")</f>
        <v>RF-0347-001-PPP</v>
      </c>
    </row>
    <row r="4826" spans="1:2" ht="12.5" x14ac:dyDescent="0.25">
      <c r="A4826" t="str">
        <f ca="1">IFERROR(__xludf.DUMMYFUNCTION("""COMPUTED_VALUE"""),"Pirimicarb, Desmethylformamido-")</f>
        <v>Pirimicarb, Desmethylformamido-</v>
      </c>
      <c r="B4826" t="str">
        <f ca="1">IFERROR(__xludf.DUMMYFUNCTION("""COMPUTED_VALUE"""),"RF-0850-001-PPP")</f>
        <v>RF-0850-001-PPP</v>
      </c>
    </row>
    <row r="4827" spans="1:2" ht="12.5" x14ac:dyDescent="0.25">
      <c r="A4827" t="str">
        <f ca="1">IFERROR(__xludf.DUMMYFUNCTION("""COMPUTED_VALUE"""),"Pirimiphos-Ethyl")</f>
        <v>Pirimiphos-Ethyl</v>
      </c>
      <c r="B4827" t="str">
        <f ca="1">IFERROR(__xludf.DUMMYFUNCTION("""COMPUTED_VALUE"""),"RF-0851-001-PPP")</f>
        <v>RF-0851-001-PPP</v>
      </c>
    </row>
    <row r="4828" spans="1:2" ht="12.5" x14ac:dyDescent="0.25">
      <c r="A4828" t="str">
        <f ca="1">IFERROR(__xludf.DUMMYFUNCTION("""COMPUTED_VALUE"""),"Pirimiphos-methyl")</f>
        <v>Pirimiphos-methyl</v>
      </c>
      <c r="B4828" t="str">
        <f ca="1">IFERROR(__xludf.DUMMYFUNCTION("""COMPUTED_VALUE"""),"RF-0348-001-PPP")</f>
        <v>RF-0348-001-PPP</v>
      </c>
    </row>
    <row r="4829" spans="1:2" ht="12.5" x14ac:dyDescent="0.25">
      <c r="A4829" t="str">
        <f ca="1">IFERROR(__xludf.DUMMYFUNCTION("""COMPUTED_VALUE"""),"Pirlimycin")</f>
        <v>Pirlimycin</v>
      </c>
      <c r="B4829" t="str">
        <f ca="1">IFERROR(__xludf.DUMMYFUNCTION("""COMPUTED_VALUE"""),"RF-00000666-VET")</f>
        <v>RF-00000666-VET</v>
      </c>
    </row>
    <row r="4830" spans="1:2" ht="12.5" x14ac:dyDescent="0.25">
      <c r="A4830" t="str">
        <f ca="1">IFERROR(__xludf.DUMMYFUNCTION("""COMPUTED_VALUE"""),"Piromidinacid")</f>
        <v>Piromidinacid</v>
      </c>
      <c r="B4830" t="str">
        <f ca="1">IFERROR(__xludf.DUMMYFUNCTION("""COMPUTED_VALUE"""),"RF-00000651-VET")</f>
        <v>RF-00000651-VET</v>
      </c>
    </row>
    <row r="4831" spans="1:2" ht="12.5" x14ac:dyDescent="0.25">
      <c r="A4831" t="str">
        <f ca="1">IFERROR(__xludf.DUMMYFUNCTION("""COMPUTED_VALUE"""),"Plain caramel")</f>
        <v>Plain caramel</v>
      </c>
      <c r="B4831" t="str">
        <f ca="1">IFERROR(__xludf.DUMMYFUNCTION("""COMPUTED_VALUE"""),"RF-00000213-ADD")</f>
        <v>RF-00000213-ADD</v>
      </c>
    </row>
    <row r="4832" spans="1:2" ht="12.5" x14ac:dyDescent="0.25">
      <c r="A4832" t="str">
        <f ca="1">IFERROR(__xludf.DUMMYFUNCTION("""COMPUTED_VALUE"""),"Platyphylline")</f>
        <v>Platyphylline</v>
      </c>
      <c r="B4832" t="str">
        <f ca="1">IFERROR(__xludf.DUMMYFUNCTION("""COMPUTED_VALUE"""),"RF-00000243-TOX")</f>
        <v>RF-00000243-TOX</v>
      </c>
    </row>
    <row r="4833" spans="1:2" ht="12.5" x14ac:dyDescent="0.25">
      <c r="A4833" t="str">
        <f ca="1">IFERROR(__xludf.DUMMYFUNCTION("""COMPUTED_VALUE"""),"Plesiomonas")</f>
        <v>Plesiomonas</v>
      </c>
      <c r="B4833" t="str">
        <f ca="1">IFERROR(__xludf.DUMMYFUNCTION("""COMPUTED_VALUE"""),"RF-00000291-MCG")</f>
        <v>RF-00000291-MCG</v>
      </c>
    </row>
    <row r="4834" spans="1:2" ht="12.5" x14ac:dyDescent="0.25">
      <c r="A4834" t="str">
        <f ca="1">IFERROR(__xludf.DUMMYFUNCTION("""COMPUTED_VALUE"""),"Plesiomonas shigelloides")</f>
        <v>Plesiomonas shigelloides</v>
      </c>
      <c r="B4834" t="str">
        <f ca="1">IFERROR(__xludf.DUMMYFUNCTION("""COMPUTED_VALUE"""),"RF-00000292-MCG")</f>
        <v>RF-00000292-MCG</v>
      </c>
    </row>
    <row r="4835" spans="1:2" ht="12.5" x14ac:dyDescent="0.25">
      <c r="A4835" t="str">
        <f ca="1">IFERROR(__xludf.DUMMYFUNCTION("""COMPUTED_VALUE"""),"Plesiomonas spp., unspecified")</f>
        <v>Plesiomonas spp., unspecified</v>
      </c>
      <c r="B4835" t="str">
        <f ca="1">IFERROR(__xludf.DUMMYFUNCTION("""COMPUTED_VALUE"""),"RF-00000293-MCG")</f>
        <v>RF-00000293-MCG</v>
      </c>
    </row>
    <row r="4836" spans="1:2" ht="12.5" x14ac:dyDescent="0.25">
      <c r="A4836" t="str">
        <f ca="1">IFERROR(__xludf.DUMMYFUNCTION("""COMPUTED_VALUE"""),"Pleuromutilins")</f>
        <v>Pleuromutilins</v>
      </c>
      <c r="B4836" t="str">
        <f ca="1">IFERROR(__xludf.DUMMYFUNCTION("""COMPUTED_VALUE"""),"RF-00000763-VET")</f>
        <v>RF-00000763-VET</v>
      </c>
    </row>
    <row r="4837" spans="1:2" ht="12.5" x14ac:dyDescent="0.25">
      <c r="A4837" t="str">
        <f ca="1">IFERROR(__xludf.DUMMYFUNCTION("""COMPUTED_VALUE"""),"Plifenate")</f>
        <v>Plifenate</v>
      </c>
      <c r="B4837" t="str">
        <f ca="1">IFERROR(__xludf.DUMMYFUNCTION("""COMPUTED_VALUE"""),"RF-1018-001-PPP")</f>
        <v>RF-1018-001-PPP</v>
      </c>
    </row>
    <row r="4838" spans="1:2" ht="12.5" x14ac:dyDescent="0.25">
      <c r="A4838" t="str">
        <f ca="1">IFERROR(__xludf.DUMMYFUNCTION("""COMPUTED_VALUE"""),"Polybrominated biphenyl")</f>
        <v>Polybrominated biphenyl</v>
      </c>
      <c r="B4838" t="str">
        <f ca="1">IFERROR(__xludf.DUMMYFUNCTION("""COMPUTED_VALUE"""),"RF-00000085-ORG")</f>
        <v>RF-00000085-ORG</v>
      </c>
    </row>
    <row r="4839" spans="1:2" ht="12.5" x14ac:dyDescent="0.25">
      <c r="A4839" t="str">
        <f ca="1">IFERROR(__xludf.DUMMYFUNCTION("""COMPUTED_VALUE"""),"Polybrominated diphenyl ether")</f>
        <v>Polybrominated diphenyl ether</v>
      </c>
      <c r="B4839" t="str">
        <f ca="1">IFERROR(__xludf.DUMMYFUNCTION("""COMPUTED_VALUE"""),"RF-00000096-ORG")</f>
        <v>RF-00000096-ORG</v>
      </c>
    </row>
    <row r="4840" spans="1:2" ht="12.5" x14ac:dyDescent="0.25">
      <c r="A4840" t="str">
        <f ca="1">IFERROR(__xludf.DUMMYFUNCTION("""COMPUTED_VALUE"""),"Polychlorinated Biphenyls")</f>
        <v>Polychlorinated Biphenyls</v>
      </c>
      <c r="B4840" t="str">
        <f ca="1">IFERROR(__xludf.DUMMYFUNCTION("""COMPUTED_VALUE"""),"RF-00000115-ORG")</f>
        <v>RF-00000115-ORG</v>
      </c>
    </row>
    <row r="4841" spans="1:2" ht="12.5" x14ac:dyDescent="0.25">
      <c r="A4841" t="str">
        <f ca="1">IFERROR(__xludf.DUMMYFUNCTION("""COMPUTED_VALUE"""),"Polychloroterpenes")</f>
        <v>Polychloroterpenes</v>
      </c>
      <c r="B4841" t="str">
        <f ca="1">IFERROR(__xludf.DUMMYFUNCTION("""COMPUTED_VALUE"""),"RF-0977-001-PPP")</f>
        <v>RF-0977-001-PPP</v>
      </c>
    </row>
    <row r="4842" spans="1:2" ht="12.5" x14ac:dyDescent="0.25">
      <c r="A4842" t="str">
        <f ca="1">IFERROR(__xludf.DUMMYFUNCTION("""COMPUTED_VALUE"""),"Polycyclic aromatic hydrocarbons")</f>
        <v>Polycyclic aromatic hydrocarbons</v>
      </c>
      <c r="B4842" t="str">
        <f ca="1">IFERROR(__xludf.DUMMYFUNCTION("""COMPUTED_VALUE"""),"RF-00000040-ORG")</f>
        <v>RF-00000040-ORG</v>
      </c>
    </row>
    <row r="4843" spans="1:2" ht="12.5" x14ac:dyDescent="0.25">
      <c r="A4843" t="str">
        <f ca="1">IFERROR(__xludf.DUMMYFUNCTION("""COMPUTED_VALUE"""),"Polydextrose")</f>
        <v>Polydextrose</v>
      </c>
      <c r="B4843" t="str">
        <f ca="1">IFERROR(__xludf.DUMMYFUNCTION("""COMPUTED_VALUE"""),"RF-00000214-ADD")</f>
        <v>RF-00000214-ADD</v>
      </c>
    </row>
    <row r="4844" spans="1:2" ht="12.5" x14ac:dyDescent="0.25">
      <c r="A4844" t="str">
        <f ca="1">IFERROR(__xludf.DUMMYFUNCTION("""COMPUTED_VALUE"""),"Polyestradiolphosphate")</f>
        <v>Polyestradiolphosphate</v>
      </c>
      <c r="B4844" t="str">
        <f ca="1">IFERROR(__xludf.DUMMYFUNCTION("""COMPUTED_VALUE"""),"RF-00000422-VET")</f>
        <v>RF-00000422-VET</v>
      </c>
    </row>
    <row r="4845" spans="1:2" ht="12.5" x14ac:dyDescent="0.25">
      <c r="A4845" t="str">
        <f ca="1">IFERROR(__xludf.DUMMYFUNCTION("""COMPUTED_VALUE"""),"Polyethylene glycol")</f>
        <v>Polyethylene glycol</v>
      </c>
      <c r="B4845" t="str">
        <f ca="1">IFERROR(__xludf.DUMMYFUNCTION("""COMPUTED_VALUE"""),"RF-00000215-ADD")</f>
        <v>RF-00000215-ADD</v>
      </c>
    </row>
    <row r="4846" spans="1:2" ht="12.5" x14ac:dyDescent="0.25">
      <c r="A4846" t="str">
        <f ca="1">IFERROR(__xludf.DUMMYFUNCTION("""COMPUTED_VALUE"""),"Polyfluoroalkyl phosphate surfactants")</f>
        <v>Polyfluoroalkyl phosphate surfactants</v>
      </c>
      <c r="B4846" t="str">
        <f ca="1">IFERROR(__xludf.DUMMYFUNCTION("""COMPUTED_VALUE"""),"RF-00000366-ORG")</f>
        <v>RF-00000366-ORG</v>
      </c>
    </row>
    <row r="4847" spans="1:2" ht="12.5" x14ac:dyDescent="0.25">
      <c r="A4847" t="str">
        <f ca="1">IFERROR(__xludf.DUMMYFUNCTION("""COMPUTED_VALUE"""),"Polyglycerol esters of fatty acids")</f>
        <v>Polyglycerol esters of fatty acids</v>
      </c>
      <c r="B4847" t="str">
        <f ca="1">IFERROR(__xludf.DUMMYFUNCTION("""COMPUTED_VALUE"""),"RF-00000216-ADD")</f>
        <v>RF-00000216-ADD</v>
      </c>
    </row>
    <row r="4848" spans="1:2" ht="12.5" x14ac:dyDescent="0.25">
      <c r="A4848" t="str">
        <f ca="1">IFERROR(__xludf.DUMMYFUNCTION("""COMPUTED_VALUE"""),"Polyglycerol polyricinoleate")</f>
        <v>Polyglycerol polyricinoleate</v>
      </c>
      <c r="B4848" t="str">
        <f ca="1">IFERROR(__xludf.DUMMYFUNCTION("""COMPUTED_VALUE"""),"RF-00000217-ADD")</f>
        <v>RF-00000217-ADD</v>
      </c>
    </row>
    <row r="4849" spans="1:2" ht="12.5" x14ac:dyDescent="0.25">
      <c r="A4849" t="str">
        <f ca="1">IFERROR(__xludf.DUMMYFUNCTION("""COMPUTED_VALUE"""),"Polymyxin B")</f>
        <v>Polymyxin B</v>
      </c>
      <c r="B4849" t="str">
        <f ca="1">IFERROR(__xludf.DUMMYFUNCTION("""COMPUTED_VALUE"""),"RF-00000664-VET")</f>
        <v>RF-00000664-VET</v>
      </c>
    </row>
    <row r="4850" spans="1:2" ht="12.5" x14ac:dyDescent="0.25">
      <c r="A4850" t="str">
        <f ca="1">IFERROR(__xludf.DUMMYFUNCTION("""COMPUTED_VALUE"""),"Polymyxins")</f>
        <v>Polymyxins</v>
      </c>
      <c r="B4850" t="str">
        <f ca="1">IFERROR(__xludf.DUMMYFUNCTION("""COMPUTED_VALUE"""),"RF-00000764-VET")</f>
        <v>RF-00000764-VET</v>
      </c>
    </row>
    <row r="4851" spans="1:2" ht="12.5" x14ac:dyDescent="0.25">
      <c r="A4851" t="str">
        <f ca="1">IFERROR(__xludf.DUMMYFUNCTION("""COMPUTED_VALUE"""),"polyols, total")</f>
        <v>polyols, total</v>
      </c>
      <c r="B4851" t="str">
        <f ca="1">IFERROR(__xludf.DUMMYFUNCTION("""COMPUTED_VALUE"""),"RF-00000366-NTR")</f>
        <v>RF-00000366-NTR</v>
      </c>
    </row>
    <row r="4852" spans="1:2" ht="12.5" x14ac:dyDescent="0.25">
      <c r="A4852" t="str">
        <f ca="1">IFERROR(__xludf.DUMMYFUNCTION("""COMPUTED_VALUE"""),"Polyoxin B")</f>
        <v>Polyoxin B</v>
      </c>
      <c r="B4852" t="str">
        <f ca="1">IFERROR(__xludf.DUMMYFUNCTION("""COMPUTED_VALUE"""),"RF-0852-001-PPP")</f>
        <v>RF-0852-001-PPP</v>
      </c>
    </row>
    <row r="4853" spans="1:2" ht="12.5" x14ac:dyDescent="0.25">
      <c r="A4853" t="str">
        <f ca="1">IFERROR(__xludf.DUMMYFUNCTION("""COMPUTED_VALUE"""),"Polyoxyethylene (40) stearate")</f>
        <v>Polyoxyethylene (40) stearate</v>
      </c>
      <c r="B4853" t="str">
        <f ca="1">IFERROR(__xludf.DUMMYFUNCTION("""COMPUTED_VALUE"""),"RF-00000218-ADD")</f>
        <v>RF-00000218-ADD</v>
      </c>
    </row>
    <row r="4854" spans="1:2" ht="12.5" x14ac:dyDescent="0.25">
      <c r="A4854" t="str">
        <f ca="1">IFERROR(__xludf.DUMMYFUNCTION("""COMPUTED_VALUE"""),"Polyoxyethylene sorbitan monolaurate (polysorbate 20)")</f>
        <v>Polyoxyethylene sorbitan monolaurate (polysorbate 20)</v>
      </c>
      <c r="B4854" t="str">
        <f ca="1">IFERROR(__xludf.DUMMYFUNCTION("""COMPUTED_VALUE"""),"RF-00000219-ADD")</f>
        <v>RF-00000219-ADD</v>
      </c>
    </row>
    <row r="4855" spans="1:2" ht="12.5" x14ac:dyDescent="0.25">
      <c r="A4855" t="str">
        <f ca="1">IFERROR(__xludf.DUMMYFUNCTION("""COMPUTED_VALUE"""),"Polyoxyethylene sorbitan monooleate (polysorbate 80)")</f>
        <v>Polyoxyethylene sorbitan monooleate (polysorbate 80)</v>
      </c>
      <c r="B4855" t="str">
        <f ca="1">IFERROR(__xludf.DUMMYFUNCTION("""COMPUTED_VALUE"""),"RF-00000220-ADD")</f>
        <v>RF-00000220-ADD</v>
      </c>
    </row>
    <row r="4856" spans="1:2" ht="12.5" x14ac:dyDescent="0.25">
      <c r="A4856" t="str">
        <f ca="1">IFERROR(__xludf.DUMMYFUNCTION("""COMPUTED_VALUE"""),"Polyoxyethylene sorbitan monopalmitate (polysorbate 40)")</f>
        <v>Polyoxyethylene sorbitan monopalmitate (polysorbate 40)</v>
      </c>
      <c r="B4856" t="str">
        <f ca="1">IFERROR(__xludf.DUMMYFUNCTION("""COMPUTED_VALUE"""),"RF-00000221-ADD")</f>
        <v>RF-00000221-ADD</v>
      </c>
    </row>
    <row r="4857" spans="1:2" ht="12.5" x14ac:dyDescent="0.25">
      <c r="A4857" t="str">
        <f ca="1">IFERROR(__xludf.DUMMYFUNCTION("""COMPUTED_VALUE"""),"Polyoxyethylene sorbitan monostearate (polysorbate 60)")</f>
        <v>Polyoxyethylene sorbitan monostearate (polysorbate 60)</v>
      </c>
      <c r="B4857" t="str">
        <f ca="1">IFERROR(__xludf.DUMMYFUNCTION("""COMPUTED_VALUE"""),"RF-00000222-ADD")</f>
        <v>RF-00000222-ADD</v>
      </c>
    </row>
    <row r="4858" spans="1:2" ht="12.5" x14ac:dyDescent="0.25">
      <c r="A4858" t="str">
        <f ca="1">IFERROR(__xludf.DUMMYFUNCTION("""COMPUTED_VALUE"""),"Polyoxyethylene sorbitan tristearate (polysorbate 65)")</f>
        <v>Polyoxyethylene sorbitan tristearate (polysorbate 65)</v>
      </c>
      <c r="B4858" t="str">
        <f ca="1">IFERROR(__xludf.DUMMYFUNCTION("""COMPUTED_VALUE"""),"RF-00000223-ADD")</f>
        <v>RF-00000223-ADD</v>
      </c>
    </row>
    <row r="4859" spans="1:2" ht="12.5" x14ac:dyDescent="0.25">
      <c r="A4859" t="str">
        <f ca="1">IFERROR(__xludf.DUMMYFUNCTION("""COMPUTED_VALUE"""),"Polyphosphates")</f>
        <v>Polyphosphates</v>
      </c>
      <c r="B4859" t="str">
        <f ca="1">IFERROR(__xludf.DUMMYFUNCTION("""COMPUTED_VALUE"""),"RF-00000224-ADD")</f>
        <v>RF-00000224-ADD</v>
      </c>
    </row>
    <row r="4860" spans="1:2" ht="12.5" x14ac:dyDescent="0.25">
      <c r="A4860" t="str">
        <f ca="1">IFERROR(__xludf.DUMMYFUNCTION("""COMPUTED_VALUE"""),"polysaccharides, non-cellulosic")</f>
        <v>polysaccharides, non-cellulosic</v>
      </c>
      <c r="B4860" t="str">
        <f ca="1">IFERROR(__xludf.DUMMYFUNCTION("""COMPUTED_VALUE"""),"RF-00000367-NTR")</f>
        <v>RF-00000367-NTR</v>
      </c>
    </row>
    <row r="4861" spans="1:2" ht="12.5" x14ac:dyDescent="0.25">
      <c r="A4861" t="str">
        <f ca="1">IFERROR(__xludf.DUMMYFUNCTION("""COMPUTED_VALUE"""),"polysaccharides, non-cellulosic, water-insoluble")</f>
        <v>polysaccharides, non-cellulosic, water-insoluble</v>
      </c>
      <c r="B4861" t="str">
        <f ca="1">IFERROR(__xludf.DUMMYFUNCTION("""COMPUTED_VALUE"""),"RF-00000368-NTR")</f>
        <v>RF-00000368-NTR</v>
      </c>
    </row>
    <row r="4862" spans="1:2" ht="12.5" x14ac:dyDescent="0.25">
      <c r="A4862" t="str">
        <f ca="1">IFERROR(__xludf.DUMMYFUNCTION("""COMPUTED_VALUE"""),"polysaccharides, non-cellulosic, water-soluble")</f>
        <v>polysaccharides, non-cellulosic, water-soluble</v>
      </c>
      <c r="B4862" t="str">
        <f ca="1">IFERROR(__xludf.DUMMYFUNCTION("""COMPUTED_VALUE"""),"RF-00000369-NTR")</f>
        <v>RF-00000369-NTR</v>
      </c>
    </row>
    <row r="4863" spans="1:2" ht="12.5" x14ac:dyDescent="0.25">
      <c r="A4863" t="str">
        <f ca="1">IFERROR(__xludf.DUMMYFUNCTION("""COMPUTED_VALUE"""),"polyuronic acids")</f>
        <v>polyuronic acids</v>
      </c>
      <c r="B4863" t="str">
        <f ca="1">IFERROR(__xludf.DUMMYFUNCTION("""COMPUTED_VALUE"""),"RF-00000370-NTR")</f>
        <v>RF-00000370-NTR</v>
      </c>
    </row>
    <row r="4864" spans="1:2" ht="12.5" x14ac:dyDescent="0.25">
      <c r="A4864" t="str">
        <f ca="1">IFERROR(__xludf.DUMMYFUNCTION("""COMPUTED_VALUE"""),"Polyvinyl alcohol (PVA)")</f>
        <v>Polyvinyl alcohol (PVA)</v>
      </c>
      <c r="B4864" t="str">
        <f ca="1">IFERROR(__xludf.DUMMYFUNCTION("""COMPUTED_VALUE"""),"RF-00000225-ADD")</f>
        <v>RF-00000225-ADD</v>
      </c>
    </row>
    <row r="4865" spans="1:2" ht="12.5" x14ac:dyDescent="0.25">
      <c r="A4865" t="str">
        <f ca="1">IFERROR(__xludf.DUMMYFUNCTION("""COMPUTED_VALUE"""),"Polyvinylpolypyrrolidone")</f>
        <v>Polyvinylpolypyrrolidone</v>
      </c>
      <c r="B4865" t="str">
        <f ca="1">IFERROR(__xludf.DUMMYFUNCTION("""COMPUTED_VALUE"""),"RF-00000226-ADD")</f>
        <v>RF-00000226-ADD</v>
      </c>
    </row>
    <row r="4866" spans="1:2" ht="12.5" x14ac:dyDescent="0.25">
      <c r="A4866" t="str">
        <f ca="1">IFERROR(__xludf.DUMMYFUNCTION("""COMPUTED_VALUE"""),"Polyvinylpyrrolidone")</f>
        <v>Polyvinylpyrrolidone</v>
      </c>
      <c r="B4866" t="str">
        <f ca="1">IFERROR(__xludf.DUMMYFUNCTION("""COMPUTED_VALUE"""),"RF-00000227-ADD")</f>
        <v>RF-00000227-ADD</v>
      </c>
    </row>
    <row r="4867" spans="1:2" ht="12.5" x14ac:dyDescent="0.25">
      <c r="A4867" t="str">
        <f ca="1">IFERROR(__xludf.DUMMYFUNCTION("""COMPUTED_VALUE"""),"Ponceau 4R, Cochineal Red A")</f>
        <v>Ponceau 4R, Cochineal Red A</v>
      </c>
      <c r="B4867" t="str">
        <f ca="1">IFERROR(__xludf.DUMMYFUNCTION("""COMPUTED_VALUE"""),"RF-00000228-ADD")</f>
        <v>RF-00000228-ADD</v>
      </c>
    </row>
    <row r="4868" spans="1:2" ht="12.5" x14ac:dyDescent="0.25">
      <c r="A4868" t="str">
        <f ca="1">IFERROR(__xludf.DUMMYFUNCTION("""COMPUTED_VALUE"""),"Potassium (K)")</f>
        <v>Potassium (K)</v>
      </c>
      <c r="B4868" t="str">
        <f ca="1">IFERROR(__xludf.DUMMYFUNCTION("""COMPUTED_VALUE"""),"RF-00000053-CHE")</f>
        <v>RF-00000053-CHE</v>
      </c>
    </row>
    <row r="4869" spans="1:2" ht="12.5" x14ac:dyDescent="0.25">
      <c r="A4869" t="str">
        <f ca="1">IFERROR(__xludf.DUMMYFUNCTION("""COMPUTED_VALUE"""),"Potassium 40")</f>
        <v>Potassium 40</v>
      </c>
      <c r="B4869" t="str">
        <f ca="1">IFERROR(__xludf.DUMMYFUNCTION("""COMPUTED_VALUE"""),"RF-00000008-RAD")</f>
        <v>RF-00000008-RAD</v>
      </c>
    </row>
    <row r="4870" spans="1:2" ht="12.5" x14ac:dyDescent="0.25">
      <c r="A4870" t="str">
        <f ca="1">IFERROR(__xludf.DUMMYFUNCTION("""COMPUTED_VALUE"""),"Potassium acetate")</f>
        <v>Potassium acetate</v>
      </c>
      <c r="B4870" t="str">
        <f ca="1">IFERROR(__xludf.DUMMYFUNCTION("""COMPUTED_VALUE"""),"RF-00000229-ADD")</f>
        <v>RF-00000229-ADD</v>
      </c>
    </row>
    <row r="4871" spans="1:2" ht="12.5" x14ac:dyDescent="0.25">
      <c r="A4871" t="str">
        <f ca="1">IFERROR(__xludf.DUMMYFUNCTION("""COMPUTED_VALUE"""),"Potassium adipate")</f>
        <v>Potassium adipate</v>
      </c>
      <c r="B4871" t="str">
        <f ca="1">IFERROR(__xludf.DUMMYFUNCTION("""COMPUTED_VALUE"""),"RF-00000230-ADD")</f>
        <v>RF-00000230-ADD</v>
      </c>
    </row>
    <row r="4872" spans="1:2" ht="12.5" x14ac:dyDescent="0.25">
      <c r="A4872" t="str">
        <f ca="1">IFERROR(__xludf.DUMMYFUNCTION("""COMPUTED_VALUE"""),"Potassium alginate")</f>
        <v>Potassium alginate</v>
      </c>
      <c r="B4872" t="str">
        <f ca="1">IFERROR(__xludf.DUMMYFUNCTION("""COMPUTED_VALUE"""),"RF-00000231-ADD")</f>
        <v>RF-00000231-ADD</v>
      </c>
    </row>
    <row r="4873" spans="1:2" ht="12.5" x14ac:dyDescent="0.25">
      <c r="A4873" t="str">
        <f ca="1">IFERROR(__xludf.DUMMYFUNCTION("""COMPUTED_VALUE"""),"Potassium aluminium silicate")</f>
        <v>Potassium aluminium silicate</v>
      </c>
      <c r="B4873" t="str">
        <f ca="1">IFERROR(__xludf.DUMMYFUNCTION("""COMPUTED_VALUE"""),"RF-00000232-ADD")</f>
        <v>RF-00000232-ADD</v>
      </c>
    </row>
    <row r="4874" spans="1:2" ht="12.5" x14ac:dyDescent="0.25">
      <c r="A4874" t="str">
        <f ca="1">IFERROR(__xludf.DUMMYFUNCTION("""COMPUTED_VALUE"""),"Potassium and derivatives")</f>
        <v>Potassium and derivatives</v>
      </c>
      <c r="B4874" t="str">
        <f ca="1">IFERROR(__xludf.DUMMYFUNCTION("""COMPUTED_VALUE"""),"RF-00000052-CHE")</f>
        <v>RF-00000052-CHE</v>
      </c>
    </row>
    <row r="4875" spans="1:2" ht="12.5" x14ac:dyDescent="0.25">
      <c r="A4875" t="str">
        <f ca="1">IFERROR(__xludf.DUMMYFUNCTION("""COMPUTED_VALUE"""),"Potassium benzoate")</f>
        <v>Potassium benzoate</v>
      </c>
      <c r="B4875" t="str">
        <f ca="1">IFERROR(__xludf.DUMMYFUNCTION("""COMPUTED_VALUE"""),"RF-00000233-ADD")</f>
        <v>RF-00000233-ADD</v>
      </c>
    </row>
    <row r="4876" spans="1:2" ht="12.5" x14ac:dyDescent="0.25">
      <c r="A4876" t="str">
        <f ca="1">IFERROR(__xludf.DUMMYFUNCTION("""COMPUTED_VALUE"""),"Potassium bisulphite")</f>
        <v>Potassium bisulphite</v>
      </c>
      <c r="B4876" t="str">
        <f ca="1">IFERROR(__xludf.DUMMYFUNCTION("""COMPUTED_VALUE"""),"RF-00001297-PAR")</f>
        <v>RF-00001297-PAR</v>
      </c>
    </row>
    <row r="4877" spans="1:2" ht="12.5" x14ac:dyDescent="0.25">
      <c r="A4877" t="str">
        <f ca="1">IFERROR(__xludf.DUMMYFUNCTION("""COMPUTED_VALUE"""),"Potassium carbonates")</f>
        <v>Potassium carbonates</v>
      </c>
      <c r="B4877" t="str">
        <f ca="1">IFERROR(__xludf.DUMMYFUNCTION("""COMPUTED_VALUE"""),"RF-00000234-ADD")</f>
        <v>RF-00000234-ADD</v>
      </c>
    </row>
    <row r="4878" spans="1:2" ht="12.5" x14ac:dyDescent="0.25">
      <c r="A4878" t="str">
        <f ca="1">IFERROR(__xludf.DUMMYFUNCTION("""COMPUTED_VALUE"""),"Potassium chloride")</f>
        <v>Potassium chloride</v>
      </c>
      <c r="B4878" t="str">
        <f ca="1">IFERROR(__xludf.DUMMYFUNCTION("""COMPUTED_VALUE"""),"RF-00000235-ADD")</f>
        <v>RF-00000235-ADD</v>
      </c>
    </row>
    <row r="4879" spans="1:2" ht="12.5" x14ac:dyDescent="0.25">
      <c r="A4879" t="str">
        <f ca="1">IFERROR(__xludf.DUMMYFUNCTION("""COMPUTED_VALUE"""),"Potassium citrates")</f>
        <v>Potassium citrates</v>
      </c>
      <c r="B4879" t="str">
        <f ca="1">IFERROR(__xludf.DUMMYFUNCTION("""COMPUTED_VALUE"""),"RF-00000236-ADD")</f>
        <v>RF-00000236-ADD</v>
      </c>
    </row>
    <row r="4880" spans="1:2" ht="12.5" x14ac:dyDescent="0.25">
      <c r="A4880" t="str">
        <f ca="1">IFERROR(__xludf.DUMMYFUNCTION("""COMPUTED_VALUE"""),"Potassium ferrocyanide")</f>
        <v>Potassium ferrocyanide</v>
      </c>
      <c r="B4880" t="str">
        <f ca="1">IFERROR(__xludf.DUMMYFUNCTION("""COMPUTED_VALUE"""),"RF-00000237-ADD")</f>
        <v>RF-00000237-ADD</v>
      </c>
    </row>
    <row r="4881" spans="1:2" ht="12.5" x14ac:dyDescent="0.25">
      <c r="A4881" t="str">
        <f ca="1">IFERROR(__xludf.DUMMYFUNCTION("""COMPUTED_VALUE"""),"Potassium gluconate")</f>
        <v>Potassium gluconate</v>
      </c>
      <c r="B4881" t="str">
        <f ca="1">IFERROR(__xludf.DUMMYFUNCTION("""COMPUTED_VALUE"""),"RF-00000238-ADD")</f>
        <v>RF-00000238-ADD</v>
      </c>
    </row>
    <row r="4882" spans="1:2" ht="12.5" x14ac:dyDescent="0.25">
      <c r="A4882" t="str">
        <f ca="1">IFERROR(__xludf.DUMMYFUNCTION("""COMPUTED_VALUE"""),"Potassium hydrogen sulphite")</f>
        <v>Potassium hydrogen sulphite</v>
      </c>
      <c r="B4882" t="str">
        <f ca="1">IFERROR(__xludf.DUMMYFUNCTION("""COMPUTED_VALUE"""),"RF-00000239-ADD")</f>
        <v>RF-00000239-ADD</v>
      </c>
    </row>
    <row r="4883" spans="1:2" ht="12.5" x14ac:dyDescent="0.25">
      <c r="A4883" t="str">
        <f ca="1">IFERROR(__xludf.DUMMYFUNCTION("""COMPUTED_VALUE"""),"Potassium hydroxide")</f>
        <v>Potassium hydroxide</v>
      </c>
      <c r="B4883" t="str">
        <f ca="1">IFERROR(__xludf.DUMMYFUNCTION("""COMPUTED_VALUE"""),"RF-00000240-ADD")</f>
        <v>RF-00000240-ADD</v>
      </c>
    </row>
    <row r="4884" spans="1:2" ht="12.5" x14ac:dyDescent="0.25">
      <c r="A4884" t="str">
        <f ca="1">IFERROR(__xludf.DUMMYFUNCTION("""COMPUTED_VALUE"""),"Potassium lactate")</f>
        <v>Potassium lactate</v>
      </c>
      <c r="B4884" t="str">
        <f ca="1">IFERROR(__xludf.DUMMYFUNCTION("""COMPUTED_VALUE"""),"RF-00000241-ADD")</f>
        <v>RF-00000241-ADD</v>
      </c>
    </row>
    <row r="4885" spans="1:2" ht="12.5" x14ac:dyDescent="0.25">
      <c r="A4885" t="str">
        <f ca="1">IFERROR(__xludf.DUMMYFUNCTION("""COMPUTED_VALUE"""),"Potassium malate")</f>
        <v>Potassium malate</v>
      </c>
      <c r="B4885" t="str">
        <f ca="1">IFERROR(__xludf.DUMMYFUNCTION("""COMPUTED_VALUE"""),"RF-00000242-ADD")</f>
        <v>RF-00000242-ADD</v>
      </c>
    </row>
    <row r="4886" spans="1:2" ht="12.5" x14ac:dyDescent="0.25">
      <c r="A4886" t="str">
        <f ca="1">IFERROR(__xludf.DUMMYFUNCTION("""COMPUTED_VALUE"""),"Potassium metabisulphite")</f>
        <v>Potassium metabisulphite</v>
      </c>
      <c r="B4886" t="str">
        <f ca="1">IFERROR(__xludf.DUMMYFUNCTION("""COMPUTED_VALUE"""),"RF-00000243-ADD")</f>
        <v>RF-00000243-ADD</v>
      </c>
    </row>
    <row r="4887" spans="1:2" ht="12.5" x14ac:dyDescent="0.25">
      <c r="A4887" t="str">
        <f ca="1">IFERROR(__xludf.DUMMYFUNCTION("""COMPUTED_VALUE"""),"Potassium nitrate")</f>
        <v>Potassium nitrate</v>
      </c>
      <c r="B4887" t="str">
        <f ca="1">IFERROR(__xludf.DUMMYFUNCTION("""COMPUTED_VALUE"""),"RF-00000244-ADD")</f>
        <v>RF-00000244-ADD</v>
      </c>
    </row>
    <row r="4888" spans="1:2" ht="12.5" x14ac:dyDescent="0.25">
      <c r="A4888" t="str">
        <f ca="1">IFERROR(__xludf.DUMMYFUNCTION("""COMPUTED_VALUE"""),"Potassium nitrite")</f>
        <v>Potassium nitrite</v>
      </c>
      <c r="B4888" t="str">
        <f ca="1">IFERROR(__xludf.DUMMYFUNCTION("""COMPUTED_VALUE"""),"RF-00000245-ADD")</f>
        <v>RF-00000245-ADD</v>
      </c>
    </row>
    <row r="4889" spans="1:2" ht="12.5" x14ac:dyDescent="0.25">
      <c r="A4889" t="str">
        <f ca="1">IFERROR(__xludf.DUMMYFUNCTION("""COMPUTED_VALUE"""),"Potassium oxide")</f>
        <v>Potassium oxide</v>
      </c>
      <c r="B4889" t="str">
        <f ca="1">IFERROR(__xludf.DUMMYFUNCTION("""COMPUTED_VALUE"""),"RF-00000056-CHE")</f>
        <v>RF-00000056-CHE</v>
      </c>
    </row>
    <row r="4890" spans="1:2" ht="12.5" x14ac:dyDescent="0.25">
      <c r="A4890" t="str">
        <f ca="1">IFERROR(__xludf.DUMMYFUNCTION("""COMPUTED_VALUE"""),"Potassium phosphates")</f>
        <v>Potassium phosphates</v>
      </c>
      <c r="B4890" t="str">
        <f ca="1">IFERROR(__xludf.DUMMYFUNCTION("""COMPUTED_VALUE"""),"RF-00000246-ADD")</f>
        <v>RF-00000246-ADD</v>
      </c>
    </row>
    <row r="4891" spans="1:2" ht="12.5" x14ac:dyDescent="0.25">
      <c r="A4891" t="str">
        <f ca="1">IFERROR(__xludf.DUMMYFUNCTION("""COMPUTED_VALUE"""),"Potassium propionate")</f>
        <v>Potassium propionate</v>
      </c>
      <c r="B4891" t="str">
        <f ca="1">IFERROR(__xludf.DUMMYFUNCTION("""COMPUTED_VALUE"""),"RF-00000247-ADD")</f>
        <v>RF-00000247-ADD</v>
      </c>
    </row>
    <row r="4892" spans="1:2" ht="12.5" x14ac:dyDescent="0.25">
      <c r="A4892" t="str">
        <f ca="1">IFERROR(__xludf.DUMMYFUNCTION("""COMPUTED_VALUE"""),"Potassium soluble in 2% citric acid")</f>
        <v>Potassium soluble in 2% citric acid</v>
      </c>
      <c r="B4892" t="str">
        <f ca="1">IFERROR(__xludf.DUMMYFUNCTION("""COMPUTED_VALUE"""),"RF-00000054-CHE")</f>
        <v>RF-00000054-CHE</v>
      </c>
    </row>
    <row r="4893" spans="1:2" ht="12.5" x14ac:dyDescent="0.25">
      <c r="A4893" t="str">
        <f ca="1">IFERROR(__xludf.DUMMYFUNCTION("""COMPUTED_VALUE"""),"Potassium soluble in water")</f>
        <v>Potassium soluble in water</v>
      </c>
      <c r="B4893" t="str">
        <f ca="1">IFERROR(__xludf.DUMMYFUNCTION("""COMPUTED_VALUE"""),"RF-00000055-CHE")</f>
        <v>RF-00000055-CHE</v>
      </c>
    </row>
    <row r="4894" spans="1:2" ht="12.5" x14ac:dyDescent="0.25">
      <c r="A4894" t="str">
        <f ca="1">IFERROR(__xludf.DUMMYFUNCTION("""COMPUTED_VALUE"""),"Potassium sorbate")</f>
        <v>Potassium sorbate</v>
      </c>
      <c r="B4894" t="str">
        <f ca="1">IFERROR(__xludf.DUMMYFUNCTION("""COMPUTED_VALUE"""),"RF-00000248-ADD")</f>
        <v>RF-00000248-ADD</v>
      </c>
    </row>
    <row r="4895" spans="1:2" ht="12.5" x14ac:dyDescent="0.25">
      <c r="A4895" t="str">
        <f ca="1">IFERROR(__xludf.DUMMYFUNCTION("""COMPUTED_VALUE"""),"Potassium stannate trihydrate")</f>
        <v>Potassium stannate trihydrate</v>
      </c>
      <c r="B4895" t="str">
        <f ca="1">IFERROR(__xludf.DUMMYFUNCTION("""COMPUTED_VALUE"""),"RF-00000261-CHE")</f>
        <v>RF-00000261-CHE</v>
      </c>
    </row>
    <row r="4896" spans="1:2" ht="12.5" x14ac:dyDescent="0.25">
      <c r="A4896" t="str">
        <f ca="1">IFERROR(__xludf.DUMMYFUNCTION("""COMPUTED_VALUE"""),"Potassium sulphates")</f>
        <v>Potassium sulphates</v>
      </c>
      <c r="B4896" t="str">
        <f ca="1">IFERROR(__xludf.DUMMYFUNCTION("""COMPUTED_VALUE"""),"RF-00000249-ADD")</f>
        <v>RF-00000249-ADD</v>
      </c>
    </row>
    <row r="4897" spans="1:2" ht="12.5" x14ac:dyDescent="0.25">
      <c r="A4897" t="str">
        <f ca="1">IFERROR(__xludf.DUMMYFUNCTION("""COMPUTED_VALUE"""),"Potassium tartrates")</f>
        <v>Potassium tartrates</v>
      </c>
      <c r="B4897" t="str">
        <f ca="1">IFERROR(__xludf.DUMMYFUNCTION("""COMPUTED_VALUE"""),"RF-00000250-ADD")</f>
        <v>RF-00000250-ADD</v>
      </c>
    </row>
    <row r="4898" spans="1:2" ht="12.5" x14ac:dyDescent="0.25">
      <c r="A4898" t="str">
        <f ca="1">IFERROR(__xludf.DUMMYFUNCTION("""COMPUTED_VALUE"""),"Potassium, extractable (compost)")</f>
        <v>Potassium, extractable (compost)</v>
      </c>
      <c r="B4898" t="str">
        <f ca="1">IFERROR(__xludf.DUMMYFUNCTION("""COMPUTED_VALUE"""),"RF-00000058-CHE")</f>
        <v>RF-00000058-CHE</v>
      </c>
    </row>
    <row r="4899" spans="1:2" ht="12.5" x14ac:dyDescent="0.25">
      <c r="A4899" t="str">
        <f ca="1">IFERROR(__xludf.DUMMYFUNCTION("""COMPUTED_VALUE"""),"Prallethrin")</f>
        <v>Prallethrin</v>
      </c>
      <c r="B4899" t="str">
        <f ca="1">IFERROR(__xludf.DUMMYFUNCTION("""COMPUTED_VALUE"""),"RF-0853-001-PPP")</f>
        <v>RF-0853-001-PPP</v>
      </c>
    </row>
    <row r="4900" spans="1:2" ht="12.5" x14ac:dyDescent="0.25">
      <c r="A4900" t="str">
        <f ca="1">IFERROR(__xludf.DUMMYFUNCTION("""COMPUTED_VALUE"""),"Praziquantel")</f>
        <v>Praziquantel</v>
      </c>
      <c r="B4900" t="str">
        <f ca="1">IFERROR(__xludf.DUMMYFUNCTION("""COMPUTED_VALUE"""),"RF-00000021-VET")</f>
        <v>RF-00000021-VET</v>
      </c>
    </row>
    <row r="4901" spans="1:2" ht="12.5" x14ac:dyDescent="0.25">
      <c r="A4901" t="str">
        <f ca="1">IFERROR(__xludf.DUMMYFUNCTION("""COMPUTED_VALUE"""),"Prednisolone")</f>
        <v>Prednisolone</v>
      </c>
      <c r="B4901" t="str">
        <f ca="1">IFERROR(__xludf.DUMMYFUNCTION("""COMPUTED_VALUE"""),"RF-00000426-VET")</f>
        <v>RF-00000426-VET</v>
      </c>
    </row>
    <row r="4902" spans="1:2" ht="12.5" x14ac:dyDescent="0.25">
      <c r="A4902" t="str">
        <f ca="1">IFERROR(__xludf.DUMMYFUNCTION("""COMPUTED_VALUE"""),"Prednisone")</f>
        <v>Prednisone</v>
      </c>
      <c r="B4902" t="str">
        <f ca="1">IFERROR(__xludf.DUMMYFUNCTION("""COMPUTED_VALUE"""),"RF-00000370-VET")</f>
        <v>RF-00000370-VET</v>
      </c>
    </row>
    <row r="4903" spans="1:2" ht="12.5" x14ac:dyDescent="0.25">
      <c r="A4903" t="str">
        <f ca="1">IFERROR(__xludf.DUMMYFUNCTION("""COMPUTED_VALUE"""),"Pretilachlor")</f>
        <v>Pretilachlor</v>
      </c>
      <c r="B4903" t="str">
        <f ca="1">IFERROR(__xludf.DUMMYFUNCTION("""COMPUTED_VALUE"""),"RF-0854-001-PPP")</f>
        <v>RF-0854-001-PPP</v>
      </c>
    </row>
    <row r="4904" spans="1:2" ht="12.5" x14ac:dyDescent="0.25">
      <c r="A4904" t="str">
        <f ca="1">IFERROR(__xludf.DUMMYFUNCTION("""COMPUTED_VALUE"""),"Primisulfuron")</f>
        <v>Primisulfuron</v>
      </c>
      <c r="B4904" t="str">
        <f ca="1">IFERROR(__xludf.DUMMYFUNCTION("""COMPUTED_VALUE"""),"RF-0855-001-PPP")</f>
        <v>RF-0855-001-PPP</v>
      </c>
    </row>
    <row r="4905" spans="1:2" ht="12.5" x14ac:dyDescent="0.25">
      <c r="A4905" t="str">
        <f ca="1">IFERROR(__xludf.DUMMYFUNCTION("""COMPUTED_VALUE"""),"Primisulfuron-Methyl")</f>
        <v>Primisulfuron-Methyl</v>
      </c>
      <c r="B4905" t="str">
        <f ca="1">IFERROR(__xludf.DUMMYFUNCTION("""COMPUTED_VALUE"""),"RF-0856-001-PPP")</f>
        <v>RF-0856-001-PPP</v>
      </c>
    </row>
    <row r="4906" spans="1:2" ht="12.5" x14ac:dyDescent="0.25">
      <c r="A4906" t="str">
        <f ca="1">IFERROR(__xludf.DUMMYFUNCTION("""COMPUTED_VALUE"""),"Pristinamycin")</f>
        <v>Pristinamycin</v>
      </c>
      <c r="B4906" t="str">
        <f ca="1">IFERROR(__xludf.DUMMYFUNCTION("""COMPUTED_VALUE"""),"RF-00000775-VET")</f>
        <v>RF-00000775-VET</v>
      </c>
    </row>
    <row r="4907" spans="1:2" ht="12.5" x14ac:dyDescent="0.25">
      <c r="A4907" t="str">
        <f ca="1">IFERROR(__xludf.DUMMYFUNCTION("""COMPUTED_VALUE"""),"Probenazole")</f>
        <v>Probenazole</v>
      </c>
      <c r="B4907" t="str">
        <f ca="1">IFERROR(__xludf.DUMMYFUNCTION("""COMPUTED_VALUE"""),"RF-0857-001-PPP")</f>
        <v>RF-0857-001-PPP</v>
      </c>
    </row>
    <row r="4908" spans="1:2" ht="12.5" x14ac:dyDescent="0.25">
      <c r="A4908" t="str">
        <f ca="1">IFERROR(__xludf.DUMMYFUNCTION("""COMPUTED_VALUE"""),"Procain-Benzylpenicillin")</f>
        <v>Procain-Benzylpenicillin</v>
      </c>
      <c r="B4908" t="str">
        <f ca="1">IFERROR(__xludf.DUMMYFUNCTION("""COMPUTED_VALUE"""),"RF-00000677-VET")</f>
        <v>RF-00000677-VET</v>
      </c>
    </row>
    <row r="4909" spans="1:2" ht="12.5" x14ac:dyDescent="0.25">
      <c r="A4909" t="str">
        <f ca="1">IFERROR(__xludf.DUMMYFUNCTION("""COMPUTED_VALUE"""),"Procain-Penicillin")</f>
        <v>Procain-Penicillin</v>
      </c>
      <c r="B4909" t="str">
        <f ca="1">IFERROR(__xludf.DUMMYFUNCTION("""COMPUTED_VALUE"""),"RF-00000662-VET")</f>
        <v>RF-00000662-VET</v>
      </c>
    </row>
    <row r="4910" spans="1:2" ht="12.5" x14ac:dyDescent="0.25">
      <c r="A4910" t="str">
        <f ca="1">IFERROR(__xludf.DUMMYFUNCTION("""COMPUTED_VALUE"""),"Procaterol")</f>
        <v>Procaterol</v>
      </c>
      <c r="B4910" t="str">
        <f ca="1">IFERROR(__xludf.DUMMYFUNCTION("""COMPUTED_VALUE"""),"RF-00000480-VET")</f>
        <v>RF-00000480-VET</v>
      </c>
    </row>
    <row r="4911" spans="1:2" ht="12.5" x14ac:dyDescent="0.25">
      <c r="A4911" t="str">
        <f ca="1">IFERROR(__xludf.DUMMYFUNCTION("""COMPUTED_VALUE"""),"Processed euchema seaweed")</f>
        <v>Processed euchema seaweed</v>
      </c>
      <c r="B4911" t="str">
        <f ca="1">IFERROR(__xludf.DUMMYFUNCTION("""COMPUTED_VALUE"""),"RF-00000251-ADD")</f>
        <v>RF-00000251-ADD</v>
      </c>
    </row>
    <row r="4912" spans="1:2" ht="12.5" x14ac:dyDescent="0.25">
      <c r="A4912" t="str">
        <f ca="1">IFERROR(__xludf.DUMMYFUNCTION("""COMPUTED_VALUE"""),"Prochloraz")</f>
        <v>Prochloraz</v>
      </c>
      <c r="B4912" t="str">
        <f ca="1">IFERROR(__xludf.DUMMYFUNCTION("""COMPUTED_VALUE"""),"RF-0349-002-PPP")</f>
        <v>RF-0349-002-PPP</v>
      </c>
    </row>
    <row r="4913" spans="1:2" ht="12.5" x14ac:dyDescent="0.25">
      <c r="A4913" t="str">
        <f ca="1">IFERROR(__xludf.DUMMYFUNCTION("""COMPUTED_VALUE"""),"Prochloraz (sum of prochloraz and its metabolites containing the 2,4,6-Trichlorophenol moiety expressed as prochloraz)")</f>
        <v>Prochloraz (sum of prochloraz and its metabolites containing the 2,4,6-Trichlorophenol moiety expressed as prochloraz)</v>
      </c>
      <c r="B4913" t="str">
        <f ca="1">IFERROR(__xludf.DUMMYFUNCTION("""COMPUTED_VALUE"""),"RF-0349-001-PPP")</f>
        <v>RF-0349-001-PPP</v>
      </c>
    </row>
    <row r="4914" spans="1:2" ht="12.5" x14ac:dyDescent="0.25">
      <c r="A4914" t="str">
        <f ca="1">IFERROR(__xludf.DUMMYFUNCTION("""COMPUTED_VALUE"""),"Procymidone")</f>
        <v>Procymidone</v>
      </c>
      <c r="B4914" t="str">
        <f ca="1">IFERROR(__xludf.DUMMYFUNCTION("""COMPUTED_VALUE"""),"RF-0350-001-PPP")</f>
        <v>RF-0350-001-PPP</v>
      </c>
    </row>
    <row r="4915" spans="1:2" ht="12.5" x14ac:dyDescent="0.25">
      <c r="A4915" t="str">
        <f ca="1">IFERROR(__xludf.DUMMYFUNCTION("""COMPUTED_VALUE"""),"Profenofos")</f>
        <v>Profenofos</v>
      </c>
      <c r="B4915" t="str">
        <f ca="1">IFERROR(__xludf.DUMMYFUNCTION("""COMPUTED_VALUE"""),"RF-0351-001-PPP")</f>
        <v>RF-0351-001-PPP</v>
      </c>
    </row>
    <row r="4916" spans="1:2" ht="12.5" x14ac:dyDescent="0.25">
      <c r="A4916" t="str">
        <f ca="1">IFERROR(__xludf.DUMMYFUNCTION("""COMPUTED_VALUE"""),"Profluralin")</f>
        <v>Profluralin</v>
      </c>
      <c r="B4916" t="str">
        <f ca="1">IFERROR(__xludf.DUMMYFUNCTION("""COMPUTED_VALUE"""),"RF-0858-001-PPP")</f>
        <v>RF-0858-001-PPP</v>
      </c>
    </row>
    <row r="4917" spans="1:2" ht="12.5" x14ac:dyDescent="0.25">
      <c r="A4917" t="str">
        <f ca="1">IFERROR(__xludf.DUMMYFUNCTION("""COMPUTED_VALUE"""),"Profoxydim")</f>
        <v>Profoxydim</v>
      </c>
      <c r="B4917" t="str">
        <f ca="1">IFERROR(__xludf.DUMMYFUNCTION("""COMPUTED_VALUE"""),"RF-0859-001-PPP")</f>
        <v>RF-0859-001-PPP</v>
      </c>
    </row>
    <row r="4918" spans="1:2" ht="12.5" x14ac:dyDescent="0.25">
      <c r="A4918" t="str">
        <f ca="1">IFERROR(__xludf.DUMMYFUNCTION("""COMPUTED_VALUE"""),"Progesteroncaproat-17-Alpha-Hydroxy")</f>
        <v>Progesteroncaproat-17-Alpha-Hydroxy</v>
      </c>
      <c r="B4918" t="str">
        <f ca="1">IFERROR(__xludf.DUMMYFUNCTION("""COMPUTED_VALUE"""),"RF-00000320-VET")</f>
        <v>RF-00000320-VET</v>
      </c>
    </row>
    <row r="4919" spans="1:2" ht="12.5" x14ac:dyDescent="0.25">
      <c r="A4919" t="str">
        <f ca="1">IFERROR(__xludf.DUMMYFUNCTION("""COMPUTED_VALUE"""),"Progesterone")</f>
        <v>Progesterone</v>
      </c>
      <c r="B4919" t="str">
        <f ca="1">IFERROR(__xludf.DUMMYFUNCTION("""COMPUTED_VALUE"""),"RF-00000323-VET")</f>
        <v>RF-00000323-VET</v>
      </c>
    </row>
    <row r="4920" spans="1:2" ht="12.5" x14ac:dyDescent="0.25">
      <c r="A4920" t="str">
        <f ca="1">IFERROR(__xludf.DUMMYFUNCTION("""COMPUTED_VALUE"""),"Progesterone-17-Alpha-Hydroxy")</f>
        <v>Progesterone-17-Alpha-Hydroxy</v>
      </c>
      <c r="B4920" t="str">
        <f ca="1">IFERROR(__xludf.DUMMYFUNCTION("""COMPUTED_VALUE"""),"RF-00000325-VET")</f>
        <v>RF-00000325-VET</v>
      </c>
    </row>
    <row r="4921" spans="1:2" ht="12.5" x14ac:dyDescent="0.25">
      <c r="A4921" t="str">
        <f ca="1">IFERROR(__xludf.DUMMYFUNCTION("""COMPUTED_VALUE"""),"Progesterone-Acetoxy")</f>
        <v>Progesterone-Acetoxy</v>
      </c>
      <c r="B4921" t="str">
        <f ca="1">IFERROR(__xludf.DUMMYFUNCTION("""COMPUTED_VALUE"""),"RF-00000315-VET")</f>
        <v>RF-00000315-VET</v>
      </c>
    </row>
    <row r="4922" spans="1:2" ht="12.5" x14ac:dyDescent="0.25">
      <c r="A4922" t="str">
        <f ca="1">IFERROR(__xludf.DUMMYFUNCTION("""COMPUTED_VALUE"""),"Progesterone-Caproxy")</f>
        <v>Progesterone-Caproxy</v>
      </c>
      <c r="B4922" t="str">
        <f ca="1">IFERROR(__xludf.DUMMYFUNCTION("""COMPUTED_VALUE"""),"RF-00000324-VET")</f>
        <v>RF-00000324-VET</v>
      </c>
    </row>
    <row r="4923" spans="1:2" ht="12.5" x14ac:dyDescent="0.25">
      <c r="A4923" t="str">
        <f ca="1">IFERROR(__xludf.DUMMYFUNCTION("""COMPUTED_VALUE"""),"Progesterone-Dihydroxy-Acetophenide")</f>
        <v>Progesterone-Dihydroxy-Acetophenide</v>
      </c>
      <c r="B4923" t="str">
        <f ca="1">IFERROR(__xludf.DUMMYFUNCTION("""COMPUTED_VALUE"""),"RF-00000322-VET")</f>
        <v>RF-00000322-VET</v>
      </c>
    </row>
    <row r="4924" spans="1:2" ht="12.5" x14ac:dyDescent="0.25">
      <c r="A4924" t="str">
        <f ca="1">IFERROR(__xludf.DUMMYFUNCTION("""COMPUTED_VALUE"""),"Prohexadione")</f>
        <v>Prohexadione</v>
      </c>
      <c r="B4924" t="str">
        <f ca="1">IFERROR(__xludf.DUMMYFUNCTION("""COMPUTED_VALUE"""),"RF-0352-002-PPP")</f>
        <v>RF-0352-002-PPP</v>
      </c>
    </row>
    <row r="4925" spans="1:2" ht="12.5" x14ac:dyDescent="0.25">
      <c r="A4925" t="str">
        <f ca="1">IFERROR(__xludf.DUMMYFUNCTION("""COMPUTED_VALUE"""),"proline")</f>
        <v>proline</v>
      </c>
      <c r="B4925" t="str">
        <f ca="1">IFERROR(__xludf.DUMMYFUNCTION("""COMPUTED_VALUE"""),"RF-00000371-NTR")</f>
        <v>RF-00000371-NTR</v>
      </c>
    </row>
    <row r="4926" spans="1:2" ht="12.5" x14ac:dyDescent="0.25">
      <c r="A4926" t="str">
        <f ca="1">IFERROR(__xludf.DUMMYFUNCTION("""COMPUTED_VALUE"""),"Promazine")</f>
        <v>Promazine</v>
      </c>
      <c r="B4926" t="str">
        <f ca="1">IFERROR(__xludf.DUMMYFUNCTION("""COMPUTED_VALUE"""),"RF-00000187-VET")</f>
        <v>RF-00000187-VET</v>
      </c>
    </row>
    <row r="4927" spans="1:2" ht="12.5" x14ac:dyDescent="0.25">
      <c r="A4927" t="str">
        <f ca="1">IFERROR(__xludf.DUMMYFUNCTION("""COMPUTED_VALUE"""),"Promecarb")</f>
        <v>Promecarb</v>
      </c>
      <c r="B4927" t="str">
        <f ca="1">IFERROR(__xludf.DUMMYFUNCTION("""COMPUTED_VALUE"""),"RF-00000142-VET")</f>
        <v>RF-00000142-VET</v>
      </c>
    </row>
    <row r="4928" spans="1:2" ht="12.5" x14ac:dyDescent="0.25">
      <c r="A4928" t="str">
        <f ca="1">IFERROR(__xludf.DUMMYFUNCTION("""COMPUTED_VALUE"""),"Promecarb")</f>
        <v>Promecarb</v>
      </c>
      <c r="B4928" t="str">
        <f ca="1">IFERROR(__xludf.DUMMYFUNCTION("""COMPUTED_VALUE"""),"RF-0860-001-PPP")</f>
        <v>RF-0860-001-PPP</v>
      </c>
    </row>
    <row r="4929" spans="1:2" ht="12.5" x14ac:dyDescent="0.25">
      <c r="A4929" t="str">
        <f ca="1">IFERROR(__xludf.DUMMYFUNCTION("""COMPUTED_VALUE"""),"Promethazine")</f>
        <v>Promethazine</v>
      </c>
      <c r="B4929" t="str">
        <f ca="1">IFERROR(__xludf.DUMMYFUNCTION("""COMPUTED_VALUE"""),"RF-00000193-VET")</f>
        <v>RF-00000193-VET</v>
      </c>
    </row>
    <row r="4930" spans="1:2" ht="12.5" x14ac:dyDescent="0.25">
      <c r="A4930" t="str">
        <f ca="1">IFERROR(__xludf.DUMMYFUNCTION("""COMPUTED_VALUE"""),"Prometon")</f>
        <v>Prometon</v>
      </c>
      <c r="B4930" t="str">
        <f ca="1">IFERROR(__xludf.DUMMYFUNCTION("""COMPUTED_VALUE"""),"RF-0861-001-PPP")</f>
        <v>RF-0861-001-PPP</v>
      </c>
    </row>
    <row r="4931" spans="1:2" ht="12.5" x14ac:dyDescent="0.25">
      <c r="A4931" t="str">
        <f ca="1">IFERROR(__xludf.DUMMYFUNCTION("""COMPUTED_VALUE"""),"Prometryn")</f>
        <v>Prometryn</v>
      </c>
      <c r="B4931" t="str">
        <f ca="1">IFERROR(__xludf.DUMMYFUNCTION("""COMPUTED_VALUE"""),"RF-0862-001-PPP")</f>
        <v>RF-0862-001-PPP</v>
      </c>
    </row>
    <row r="4932" spans="1:2" ht="12.5" x14ac:dyDescent="0.25">
      <c r="A4932" t="str">
        <f ca="1">IFERROR(__xludf.DUMMYFUNCTION("""COMPUTED_VALUE"""),"Propachlor")</f>
        <v>Propachlor</v>
      </c>
      <c r="B4932" t="str">
        <f ca="1">IFERROR(__xludf.DUMMYFUNCTION("""COMPUTED_VALUE"""),"RF-0353-002-PPP")</f>
        <v>RF-0353-002-PPP</v>
      </c>
    </row>
    <row r="4933" spans="1:2" ht="12.5" x14ac:dyDescent="0.25">
      <c r="A4933" t="str">
        <f ca="1">IFERROR(__xludf.DUMMYFUNCTION("""COMPUTED_VALUE"""),"Propachlor: oxalinic derivate of propachlor, expressed as propachlor")</f>
        <v>Propachlor: oxalinic derivate of propachlor, expressed as propachlor</v>
      </c>
      <c r="B4933" t="str">
        <f ca="1">IFERROR(__xludf.DUMMYFUNCTION("""COMPUTED_VALUE"""),"RF-0353-001-PPP")</f>
        <v>RF-0353-001-PPP</v>
      </c>
    </row>
    <row r="4934" spans="1:2" ht="12.5" x14ac:dyDescent="0.25">
      <c r="A4934" t="str">
        <f ca="1">IFERROR(__xludf.DUMMYFUNCTION("""COMPUTED_VALUE"""),"Propamocarb")</f>
        <v>Propamocarb</v>
      </c>
      <c r="B4934" t="str">
        <f ca="1">IFERROR(__xludf.DUMMYFUNCTION("""COMPUTED_VALUE"""),"RF-00000144-VET")</f>
        <v>RF-00000144-VET</v>
      </c>
    </row>
    <row r="4935" spans="1:2" ht="12.5" x14ac:dyDescent="0.25">
      <c r="A4935" t="str">
        <f ca="1">IFERROR(__xludf.DUMMYFUNCTION("""COMPUTED_VALUE"""),"Propamocarb")</f>
        <v>Propamocarb</v>
      </c>
      <c r="B4935" t="str">
        <f ca="1">IFERROR(__xludf.DUMMYFUNCTION("""COMPUTED_VALUE"""),"RF-0354-002-PPP")</f>
        <v>RF-0354-002-PPP</v>
      </c>
    </row>
    <row r="4936" spans="1:2" ht="12.5" x14ac:dyDescent="0.25">
      <c r="A4936" t="str">
        <f ca="1">IFERROR(__xludf.DUMMYFUNCTION("""COMPUTED_VALUE"""),"Propamocarb (Sum of propamocarb and its salt expressed as propamocarb)")</f>
        <v>Propamocarb (Sum of propamocarb and its salt expressed as propamocarb)</v>
      </c>
      <c r="B4936" t="str">
        <f ca="1">IFERROR(__xludf.DUMMYFUNCTION("""COMPUTED_VALUE"""),"RF-0354-001-PPP")</f>
        <v>RF-0354-001-PPP</v>
      </c>
    </row>
    <row r="4937" spans="1:2" ht="12.5" x14ac:dyDescent="0.25">
      <c r="A4937" t="str">
        <f ca="1">IFERROR(__xludf.DUMMYFUNCTION("""COMPUTED_VALUE"""),"Propamocarb hydrochloride")</f>
        <v>Propamocarb hydrochloride</v>
      </c>
      <c r="B4937" t="str">
        <f ca="1">IFERROR(__xludf.DUMMYFUNCTION("""COMPUTED_VALUE"""),"RF-0354-003-PPP")</f>
        <v>RF-0354-003-PPP</v>
      </c>
    </row>
    <row r="4938" spans="1:2" ht="12.5" x14ac:dyDescent="0.25">
      <c r="A4938" t="str">
        <f ca="1">IFERROR(__xludf.DUMMYFUNCTION("""COMPUTED_VALUE"""),"Propane")</f>
        <v>Propane</v>
      </c>
      <c r="B4938" t="str">
        <f ca="1">IFERROR(__xludf.DUMMYFUNCTION("""COMPUTED_VALUE"""),"RF-00000252-ADD")</f>
        <v>RF-00000252-ADD</v>
      </c>
    </row>
    <row r="4939" spans="1:2" ht="12.5" x14ac:dyDescent="0.25">
      <c r="A4939" t="str">
        <f ca="1">IFERROR(__xludf.DUMMYFUNCTION("""COMPUTED_VALUE"""),"Propane-1, 2-diol (propylene glycol)")</f>
        <v>Propane-1, 2-diol (propylene glycol)</v>
      </c>
      <c r="B4939" t="str">
        <f ca="1">IFERROR(__xludf.DUMMYFUNCTION("""COMPUTED_VALUE"""),"RF-00000253-ADD")</f>
        <v>RF-00000253-ADD</v>
      </c>
    </row>
    <row r="4940" spans="1:2" ht="12.5" x14ac:dyDescent="0.25">
      <c r="A4940" t="str">
        <f ca="1">IFERROR(__xludf.DUMMYFUNCTION("""COMPUTED_VALUE"""),"Propane-1, 2-diol alginate")</f>
        <v>Propane-1, 2-diol alginate</v>
      </c>
      <c r="B4940" t="str">
        <f ca="1">IFERROR(__xludf.DUMMYFUNCTION("""COMPUTED_VALUE"""),"RF-00000254-ADD")</f>
        <v>RF-00000254-ADD</v>
      </c>
    </row>
    <row r="4941" spans="1:2" ht="12.5" x14ac:dyDescent="0.25">
      <c r="A4941" t="str">
        <f ca="1">IFERROR(__xludf.DUMMYFUNCTION("""COMPUTED_VALUE"""),"Propane-1,2-diol esters of fatty acids")</f>
        <v>Propane-1,2-diol esters of fatty acids</v>
      </c>
      <c r="B4941" t="str">
        <f ca="1">IFERROR(__xludf.DUMMYFUNCTION("""COMPUTED_VALUE"""),"RF-00000255-ADD")</f>
        <v>RF-00000255-ADD</v>
      </c>
    </row>
    <row r="4942" spans="1:2" ht="12.5" x14ac:dyDescent="0.25">
      <c r="A4942" t="str">
        <f ca="1">IFERROR(__xludf.DUMMYFUNCTION("""COMPUTED_VALUE"""),"Propanil")</f>
        <v>Propanil</v>
      </c>
      <c r="B4942" t="str">
        <f ca="1">IFERROR(__xludf.DUMMYFUNCTION("""COMPUTED_VALUE"""),"RF-0355-001-PPP")</f>
        <v>RF-0355-001-PPP</v>
      </c>
    </row>
    <row r="4943" spans="1:2" ht="12.5" x14ac:dyDescent="0.25">
      <c r="A4943" t="str">
        <f ca="1">IFERROR(__xludf.DUMMYFUNCTION("""COMPUTED_VALUE"""),"Propanolol")</f>
        <v>Propanolol</v>
      </c>
      <c r="B4943" t="str">
        <f ca="1">IFERROR(__xludf.DUMMYFUNCTION("""COMPUTED_VALUE"""),"RF-00000483-VET")</f>
        <v>RF-00000483-VET</v>
      </c>
    </row>
    <row r="4944" spans="1:2" ht="12.5" x14ac:dyDescent="0.25">
      <c r="A4944" t="str">
        <f ca="1">IFERROR(__xludf.DUMMYFUNCTION("""COMPUTED_VALUE"""),"Propaphos")</f>
        <v>Propaphos</v>
      </c>
      <c r="B4944" t="str">
        <f ca="1">IFERROR(__xludf.DUMMYFUNCTION("""COMPUTED_VALUE"""),"RF-0863-001-PPP")</f>
        <v>RF-0863-001-PPP</v>
      </c>
    </row>
    <row r="4945" spans="1:2" ht="12.5" x14ac:dyDescent="0.25">
      <c r="A4945" t="str">
        <f ca="1">IFERROR(__xludf.DUMMYFUNCTION("""COMPUTED_VALUE"""),"Propaquizafop")</f>
        <v>Propaquizafop</v>
      </c>
      <c r="B4945" t="str">
        <f ca="1">IFERROR(__xludf.DUMMYFUNCTION("""COMPUTED_VALUE"""),"RF-0356-001-PPP")</f>
        <v>RF-0356-001-PPP</v>
      </c>
    </row>
    <row r="4946" spans="1:2" ht="12.5" x14ac:dyDescent="0.25">
      <c r="A4946" t="str">
        <f ca="1">IFERROR(__xludf.DUMMYFUNCTION("""COMPUTED_VALUE"""),"Propargite")</f>
        <v>Propargite</v>
      </c>
      <c r="B4946" t="str">
        <f ca="1">IFERROR(__xludf.DUMMYFUNCTION("""COMPUTED_VALUE"""),"RF-0357-001-PPP")</f>
        <v>RF-0357-001-PPP</v>
      </c>
    </row>
    <row r="4947" spans="1:2" ht="12.5" x14ac:dyDescent="0.25">
      <c r="A4947" t="str">
        <f ca="1">IFERROR(__xludf.DUMMYFUNCTION("""COMPUTED_VALUE"""),"Propazine")</f>
        <v>Propazine</v>
      </c>
      <c r="B4947" t="str">
        <f ca="1">IFERROR(__xludf.DUMMYFUNCTION("""COMPUTED_VALUE"""),"RF-0864-001-PPP")</f>
        <v>RF-0864-001-PPP</v>
      </c>
    </row>
    <row r="4948" spans="1:2" ht="12.5" x14ac:dyDescent="0.25">
      <c r="A4948" t="str">
        <f ca="1">IFERROR(__xludf.DUMMYFUNCTION("""COMPUTED_VALUE"""),"Propazine, 2-Hydroxy-")</f>
        <v>Propazine, 2-Hydroxy-</v>
      </c>
      <c r="B4948" t="str">
        <f ca="1">IFERROR(__xludf.DUMMYFUNCTION("""COMPUTED_VALUE"""),"RF-0865-001-PPP")</f>
        <v>RF-0865-001-PPP</v>
      </c>
    </row>
    <row r="4949" spans="1:2" ht="12.5" x14ac:dyDescent="0.25">
      <c r="A4949" t="str">
        <f ca="1">IFERROR(__xludf.DUMMYFUNCTION("""COMPUTED_VALUE"""),"Propetamphos")</f>
        <v>Propetamphos</v>
      </c>
      <c r="B4949" t="str">
        <f ca="1">IFERROR(__xludf.DUMMYFUNCTION("""COMPUTED_VALUE"""),"RF-0866-001-PPP")</f>
        <v>RF-0866-001-PPP</v>
      </c>
    </row>
    <row r="4950" spans="1:2" ht="12.5" x14ac:dyDescent="0.25">
      <c r="A4950" t="str">
        <f ca="1">IFERROR(__xludf.DUMMYFUNCTION("""COMPUTED_VALUE"""),"Propham")</f>
        <v>Propham</v>
      </c>
      <c r="B4950" t="str">
        <f ca="1">IFERROR(__xludf.DUMMYFUNCTION("""COMPUTED_VALUE"""),"RF-0867-001-PPP")</f>
        <v>RF-0867-001-PPP</v>
      </c>
    </row>
    <row r="4951" spans="1:2" ht="12.5" x14ac:dyDescent="0.25">
      <c r="A4951" t="str">
        <f ca="1">IFERROR(__xludf.DUMMYFUNCTION("""COMPUTED_VALUE"""),"Propham IPC")</f>
        <v>Propham IPC</v>
      </c>
      <c r="B4951" t="str">
        <f ca="1">IFERROR(__xludf.DUMMYFUNCTION("""COMPUTED_VALUE"""),"RF-00000141-VET")</f>
        <v>RF-00000141-VET</v>
      </c>
    </row>
    <row r="4952" spans="1:2" ht="12.5" x14ac:dyDescent="0.25">
      <c r="A4952" t="str">
        <f ca="1">IFERROR(__xludf.DUMMYFUNCTION("""COMPUTED_VALUE"""),"Propicillin")</f>
        <v>Propicillin</v>
      </c>
      <c r="B4952" t="str">
        <f ca="1">IFERROR(__xludf.DUMMYFUNCTION("""COMPUTED_VALUE"""),"RF-00000657-VET")</f>
        <v>RF-00000657-VET</v>
      </c>
    </row>
    <row r="4953" spans="1:2" ht="12.5" x14ac:dyDescent="0.25">
      <c r="A4953" t="str">
        <f ca="1">IFERROR(__xludf.DUMMYFUNCTION("""COMPUTED_VALUE"""),"Propiconazole")</f>
        <v>Propiconazole</v>
      </c>
      <c r="B4953" t="str">
        <f ca="1">IFERROR(__xludf.DUMMYFUNCTION("""COMPUTED_VALUE"""),"RF-0358-001-PPP")</f>
        <v>RF-0358-001-PPP</v>
      </c>
    </row>
    <row r="4954" spans="1:2" ht="12.5" x14ac:dyDescent="0.25">
      <c r="A4954" t="str">
        <f ca="1">IFERROR(__xludf.DUMMYFUNCTION("""COMPUTED_VALUE"""),"Propineb")</f>
        <v>Propineb</v>
      </c>
      <c r="B4954" t="str">
        <f ca="1">IFERROR(__xludf.DUMMYFUNCTION("""COMPUTED_VALUE"""),"RF-0359-002-PPP")</f>
        <v>RF-0359-002-PPP</v>
      </c>
    </row>
    <row r="4955" spans="1:2" ht="12.5" x14ac:dyDescent="0.25">
      <c r="A4955" t="str">
        <f ca="1">IFERROR(__xludf.DUMMYFUNCTION("""COMPUTED_VALUE"""),"Propineb (expressed as propilendiamine)")</f>
        <v>Propineb (expressed as propilendiamine)</v>
      </c>
      <c r="B4955" t="str">
        <f ca="1">IFERROR(__xludf.DUMMYFUNCTION("""COMPUTED_VALUE"""),"RF-0359-001-PPP")</f>
        <v>RF-0359-001-PPP</v>
      </c>
    </row>
    <row r="4956" spans="1:2" ht="12.5" x14ac:dyDescent="0.25">
      <c r="A4956" t="str">
        <f ca="1">IFERROR(__xludf.DUMMYFUNCTION("""COMPUTED_VALUE"""),"Propineb-propylenethiourea (sum of propineb and propylenethiourea)")</f>
        <v>Propineb-propylenethiourea (sum of propineb and propylenethiourea)</v>
      </c>
      <c r="B4956" t="str">
        <f ca="1">IFERROR(__xludf.DUMMYFUNCTION("""COMPUTED_VALUE"""),"RF-1010-001-PPP")</f>
        <v>RF-1010-001-PPP</v>
      </c>
    </row>
    <row r="4957" spans="1:2" ht="12.5" x14ac:dyDescent="0.25">
      <c r="A4957" t="str">
        <f ca="1">IFERROR(__xludf.DUMMYFUNCTION("""COMPUTED_VALUE"""),"Propiomazine")</f>
        <v>Propiomazine</v>
      </c>
      <c r="B4957" t="str">
        <f ca="1">IFERROR(__xludf.DUMMYFUNCTION("""COMPUTED_VALUE"""),"RF-00000165-VET")</f>
        <v>RF-00000165-VET</v>
      </c>
    </row>
    <row r="4958" spans="1:2" ht="12.5" x14ac:dyDescent="0.25">
      <c r="A4958" t="str">
        <f ca="1">IFERROR(__xludf.DUMMYFUNCTION("""COMPUTED_VALUE"""),"Propionic acid")</f>
        <v>Propionic acid</v>
      </c>
      <c r="B4958" t="str">
        <f ca="1">IFERROR(__xludf.DUMMYFUNCTION("""COMPUTED_VALUE"""),"RF-00000256-ADD")</f>
        <v>RF-00000256-ADD</v>
      </c>
    </row>
    <row r="4959" spans="1:2" ht="12.5" x14ac:dyDescent="0.25">
      <c r="A4959" t="str">
        <f ca="1">IFERROR(__xludf.DUMMYFUNCTION("""COMPUTED_VALUE"""),"Propionylpromazine")</f>
        <v>Propionylpromazine</v>
      </c>
      <c r="B4959" t="str">
        <f ca="1">IFERROR(__xludf.DUMMYFUNCTION("""COMPUTED_VALUE"""),"RF-00000176-VET")</f>
        <v>RF-00000176-VET</v>
      </c>
    </row>
    <row r="4960" spans="1:2" ht="12.5" x14ac:dyDescent="0.25">
      <c r="A4960" t="str">
        <f ca="1">IFERROR(__xludf.DUMMYFUNCTION("""COMPUTED_VALUE"""),"Propisochlor")</f>
        <v>Propisochlor</v>
      </c>
      <c r="B4960" t="str">
        <f ca="1">IFERROR(__xludf.DUMMYFUNCTION("""COMPUTED_VALUE"""),"RF-0360-001-PPP")</f>
        <v>RF-0360-001-PPP</v>
      </c>
    </row>
    <row r="4961" spans="1:2" ht="12.5" x14ac:dyDescent="0.25">
      <c r="A4961" t="str">
        <f ca="1">IFERROR(__xludf.DUMMYFUNCTION("""COMPUTED_VALUE"""),"Propoxur")</f>
        <v>Propoxur</v>
      </c>
      <c r="B4961" t="str">
        <f ca="1">IFERROR(__xludf.DUMMYFUNCTION("""COMPUTED_VALUE"""),"RF-00000146-VET")</f>
        <v>RF-00000146-VET</v>
      </c>
    </row>
    <row r="4962" spans="1:2" ht="12.5" x14ac:dyDescent="0.25">
      <c r="A4962" t="str">
        <f ca="1">IFERROR(__xludf.DUMMYFUNCTION("""COMPUTED_VALUE"""),"Propoxur")</f>
        <v>Propoxur</v>
      </c>
      <c r="B4962" t="str">
        <f ca="1">IFERROR(__xludf.DUMMYFUNCTION("""COMPUTED_VALUE"""),"RF-0361-001-PPP")</f>
        <v>RF-0361-001-PPP</v>
      </c>
    </row>
    <row r="4963" spans="1:2" ht="12.5" x14ac:dyDescent="0.25">
      <c r="A4963" t="str">
        <f ca="1">IFERROR(__xludf.DUMMYFUNCTION("""COMPUTED_VALUE"""),"Propoxycarbazone (propoxycarbazone, its salts and 2-hydroxy-propoxy-propoxycarbazone, calculated as propoxycarbazone)")</f>
        <v>Propoxycarbazone (propoxycarbazone, its salts and 2-hydroxy-propoxy-propoxycarbazone, calculated as propoxycarbazone)</v>
      </c>
      <c r="B4963" t="str">
        <f ca="1">IFERROR(__xludf.DUMMYFUNCTION("""COMPUTED_VALUE"""),"RF-0362-001-PPP")</f>
        <v>RF-0362-001-PPP</v>
      </c>
    </row>
    <row r="4964" spans="1:2" ht="12.5" x14ac:dyDescent="0.25">
      <c r="A4964" t="str">
        <f ca="1">IFERROR(__xludf.DUMMYFUNCTION("""COMPUTED_VALUE"""),"Propoxycarbazone sodium")</f>
        <v>Propoxycarbazone sodium</v>
      </c>
      <c r="B4964" t="str">
        <f ca="1">IFERROR(__xludf.DUMMYFUNCTION("""COMPUTED_VALUE"""),"RF-0362-002-PPP")</f>
        <v>RF-0362-002-PPP</v>
      </c>
    </row>
    <row r="4965" spans="1:2" ht="12.5" x14ac:dyDescent="0.25">
      <c r="A4965" t="str">
        <f ca="1">IFERROR(__xludf.DUMMYFUNCTION("""COMPUTED_VALUE"""),"Propyl gallate")</f>
        <v>Propyl gallate</v>
      </c>
      <c r="B4965" t="str">
        <f ca="1">IFERROR(__xludf.DUMMYFUNCTION("""COMPUTED_VALUE"""),"RF-00000257-ADD")</f>
        <v>RF-00000257-ADD</v>
      </c>
    </row>
    <row r="4966" spans="1:2" ht="12.5" x14ac:dyDescent="0.25">
      <c r="A4966" t="str">
        <f ca="1">IFERROR(__xludf.DUMMYFUNCTION("""COMPUTED_VALUE"""),"Propyl-3-t-butylphenoxyacetate")</f>
        <v>Propyl-3-t-butylphenoxyacetate</v>
      </c>
      <c r="B4966" t="str">
        <f ca="1">IFERROR(__xludf.DUMMYFUNCTION("""COMPUTED_VALUE"""),"RF-0363-001-PPP")</f>
        <v>RF-0363-001-PPP</v>
      </c>
    </row>
    <row r="4967" spans="1:2" ht="12.5" x14ac:dyDescent="0.25">
      <c r="A4967" t="str">
        <f ca="1">IFERROR(__xludf.DUMMYFUNCTION("""COMPUTED_VALUE"""),"Propylethiourea")</f>
        <v>Propylethiourea</v>
      </c>
      <c r="B4967" t="str">
        <f ca="1">IFERROR(__xludf.DUMMYFUNCTION("""COMPUTED_VALUE"""),"RF-1054-001-PPP")</f>
        <v>RF-1054-001-PPP</v>
      </c>
    </row>
    <row r="4968" spans="1:2" ht="12.5" x14ac:dyDescent="0.25">
      <c r="A4968" t="str">
        <f ca="1">IFERROR(__xludf.DUMMYFUNCTION("""COMPUTED_VALUE"""),"Propyphenazone")</f>
        <v>Propyphenazone</v>
      </c>
      <c r="B4968" t="str">
        <f ca="1">IFERROR(__xludf.DUMMYFUNCTION("""COMPUTED_VALUE"""),"RF-00000196-VET")</f>
        <v>RF-00000196-VET</v>
      </c>
    </row>
    <row r="4969" spans="1:2" ht="12.5" x14ac:dyDescent="0.25">
      <c r="A4969" t="str">
        <f ca="1">IFERROR(__xludf.DUMMYFUNCTION("""COMPUTED_VALUE"""),"Propyzamide")</f>
        <v>Propyzamide</v>
      </c>
      <c r="B4969" t="str">
        <f ca="1">IFERROR(__xludf.DUMMYFUNCTION("""COMPUTED_VALUE"""),"RF-0364-001-PPP")</f>
        <v>RF-0364-001-PPP</v>
      </c>
    </row>
    <row r="4970" spans="1:2" ht="12.5" x14ac:dyDescent="0.25">
      <c r="A4970" t="str">
        <f ca="1">IFERROR(__xludf.DUMMYFUNCTION("""COMPUTED_VALUE"""),"Propyzamide (sum of propyzamide and all metabolites containing the 3,5-dichlorobenzoic acid fraction expressed as propyzamide)")</f>
        <v>Propyzamide (sum of propyzamide and all metabolites containing the 3,5-dichlorobenzoic acid fraction expressed as propyzamide)</v>
      </c>
      <c r="B4970" t="str">
        <f ca="1">IFERROR(__xludf.DUMMYFUNCTION("""COMPUTED_VALUE"""),"RF-0364-002-PPP")</f>
        <v>RF-0364-002-PPP</v>
      </c>
    </row>
    <row r="4971" spans="1:2" ht="12.5" x14ac:dyDescent="0.25">
      <c r="A4971" t="str">
        <f ca="1">IFERROR(__xludf.DUMMYFUNCTION("""COMPUTED_VALUE"""),"Proquinazid")</f>
        <v>Proquinazid</v>
      </c>
      <c r="B4971" t="str">
        <f ca="1">IFERROR(__xludf.DUMMYFUNCTION("""COMPUTED_VALUE"""),"RF-0365-001-PPP")</f>
        <v>RF-0365-001-PPP</v>
      </c>
    </row>
    <row r="4972" spans="1:2" ht="12.5" x14ac:dyDescent="0.25">
      <c r="A4972" t="str">
        <f ca="1">IFERROR(__xludf.DUMMYFUNCTION("""COMPUTED_VALUE"""),"Prosulfocarb")</f>
        <v>Prosulfocarb</v>
      </c>
      <c r="B4972" t="str">
        <f ca="1">IFERROR(__xludf.DUMMYFUNCTION("""COMPUTED_VALUE"""),"RF-00000129-VET")</f>
        <v>RF-00000129-VET</v>
      </c>
    </row>
    <row r="4973" spans="1:2" ht="12.5" x14ac:dyDescent="0.25">
      <c r="A4973" t="str">
        <f ca="1">IFERROR(__xludf.DUMMYFUNCTION("""COMPUTED_VALUE"""),"Prosulfocarb")</f>
        <v>Prosulfocarb</v>
      </c>
      <c r="B4973" t="str">
        <f ca="1">IFERROR(__xludf.DUMMYFUNCTION("""COMPUTED_VALUE"""),"RF-0366-001-PPP")</f>
        <v>RF-0366-001-PPP</v>
      </c>
    </row>
    <row r="4974" spans="1:2" ht="12.5" x14ac:dyDescent="0.25">
      <c r="A4974" t="str">
        <f ca="1">IFERROR(__xludf.DUMMYFUNCTION("""COMPUTED_VALUE"""),"Prosulfuron")</f>
        <v>Prosulfuron</v>
      </c>
      <c r="B4974" t="str">
        <f ca="1">IFERROR(__xludf.DUMMYFUNCTION("""COMPUTED_VALUE"""),"RF-0367-001-PPP")</f>
        <v>RF-0367-001-PPP</v>
      </c>
    </row>
    <row r="4975" spans="1:2" ht="12.5" x14ac:dyDescent="0.25">
      <c r="A4975" t="str">
        <f ca="1">IFERROR(__xludf.DUMMYFUNCTION("""COMPUTED_VALUE"""),"protein, animal")</f>
        <v>protein, animal</v>
      </c>
      <c r="B4975" t="str">
        <f ca="1">IFERROR(__xludf.DUMMYFUNCTION("""COMPUTED_VALUE"""),"RF-00000372-NTR")</f>
        <v>RF-00000372-NTR</v>
      </c>
    </row>
    <row r="4976" spans="1:2" ht="12.5" x14ac:dyDescent="0.25">
      <c r="A4976" t="str">
        <f ca="1">IFERROR(__xludf.DUMMYFUNCTION("""COMPUTED_VALUE"""),"protein, plant")</f>
        <v>protein, plant</v>
      </c>
      <c r="B4976" t="str">
        <f ca="1">IFERROR(__xludf.DUMMYFUNCTION("""COMPUTED_VALUE"""),"RF-00000373-NTR")</f>
        <v>RF-00000373-NTR</v>
      </c>
    </row>
    <row r="4977" spans="1:2" ht="12.5" x14ac:dyDescent="0.25">
      <c r="A4977" t="str">
        <f ca="1">IFERROR(__xludf.DUMMYFUNCTION("""COMPUTED_VALUE"""),"protein, total")</f>
        <v>protein, total</v>
      </c>
      <c r="B4977" t="str">
        <f ca="1">IFERROR(__xludf.DUMMYFUNCTION("""COMPUTED_VALUE"""),"RF-00000374-NTR")</f>
        <v>RF-00000374-NTR</v>
      </c>
    </row>
    <row r="4978" spans="1:2" ht="12.5" x14ac:dyDescent="0.25">
      <c r="A4978" t="str">
        <f ca="1">IFERROR(__xludf.DUMMYFUNCTION("""COMPUTED_VALUE"""),"protein, unknown origin")</f>
        <v>protein, unknown origin</v>
      </c>
      <c r="B4978" t="str">
        <f ca="1">IFERROR(__xludf.DUMMYFUNCTION("""COMPUTED_VALUE"""),"RF-00000375-NTR")</f>
        <v>RF-00000375-NTR</v>
      </c>
    </row>
    <row r="4979" spans="1:2" ht="12.5" x14ac:dyDescent="0.25">
      <c r="A4979" t="str">
        <f ca="1">IFERROR(__xludf.DUMMYFUNCTION("""COMPUTED_VALUE"""),"Proteus")</f>
        <v>Proteus</v>
      </c>
      <c r="B4979" t="str">
        <f ca="1">IFERROR(__xludf.DUMMYFUNCTION("""COMPUTED_VALUE"""),"RF-00000294-MCG")</f>
        <v>RF-00000294-MCG</v>
      </c>
    </row>
    <row r="4980" spans="1:2" ht="12.5" x14ac:dyDescent="0.25">
      <c r="A4980" t="str">
        <f ca="1">IFERROR(__xludf.DUMMYFUNCTION("""COMPUTED_VALUE"""),"Proteus vulgaris")</f>
        <v>Proteus vulgaris</v>
      </c>
      <c r="B4980" t="str">
        <f ca="1">IFERROR(__xludf.DUMMYFUNCTION("""COMPUTED_VALUE"""),"RF-00000295-MCG")</f>
        <v>RF-00000295-MCG</v>
      </c>
    </row>
    <row r="4981" spans="1:2" ht="12.5" x14ac:dyDescent="0.25">
      <c r="A4981" t="str">
        <f ca="1">IFERROR(__xludf.DUMMYFUNCTION("""COMPUTED_VALUE"""),"Prothioconazole")</f>
        <v>Prothioconazole</v>
      </c>
      <c r="B4981" t="str">
        <f ca="1">IFERROR(__xludf.DUMMYFUNCTION("""COMPUTED_VALUE"""),"RF-0368-001-PPP")</f>
        <v>RF-0368-001-PPP</v>
      </c>
    </row>
    <row r="4982" spans="1:2" ht="12.5" x14ac:dyDescent="0.25">
      <c r="A4982" t="str">
        <f ca="1">IFERROR(__xludf.DUMMYFUNCTION("""COMPUTED_VALUE"""),"Prothioconazole (prothioconazole-Desthio)")</f>
        <v>Prothioconazole (prothioconazole-Desthio)</v>
      </c>
      <c r="B4982" t="str">
        <f ca="1">IFERROR(__xludf.DUMMYFUNCTION("""COMPUTED_VALUE"""),"RF-0868-001-PPP")</f>
        <v>RF-0868-001-PPP</v>
      </c>
    </row>
    <row r="4983" spans="1:2" ht="12.5" x14ac:dyDescent="0.25">
      <c r="A4983" t="str">
        <f ca="1">IFERROR(__xludf.DUMMYFUNCTION("""COMPUTED_VALUE"""),"Prothioconazole (sum of prothioconazole-desthio and its glucuronide conjugate, expressed as prothioconazoledesthio)")</f>
        <v>Prothioconazole (sum of prothioconazole-desthio and its glucuronide conjugate, expressed as prothioconazoledesthio)</v>
      </c>
      <c r="B4983" t="str">
        <f ca="1">IFERROR(__xludf.DUMMYFUNCTION("""COMPUTED_VALUE"""),"RF-1074-001-PPP")</f>
        <v>RF-1074-001-PPP</v>
      </c>
    </row>
    <row r="4984" spans="1:2" ht="12.5" x14ac:dyDescent="0.25">
      <c r="A4984" t="str">
        <f ca="1">IFERROR(__xludf.DUMMYFUNCTION("""COMPUTED_VALUE"""),"Prothioconazole-desthio")</f>
        <v>Prothioconazole-desthio</v>
      </c>
      <c r="B4984" t="str">
        <f ca="1">IFERROR(__xludf.DUMMYFUNCTION("""COMPUTED_VALUE"""),"RF-00000029-PAR")</f>
        <v>RF-00000029-PAR</v>
      </c>
    </row>
    <row r="4985" spans="1:2" ht="12.5" x14ac:dyDescent="0.25">
      <c r="A4985" t="str">
        <f ca="1">IFERROR(__xludf.DUMMYFUNCTION("""COMPUTED_VALUE"""),"Prothiofos")</f>
        <v>Prothiofos</v>
      </c>
      <c r="B4985" t="str">
        <f ca="1">IFERROR(__xludf.DUMMYFUNCTION("""COMPUTED_VALUE"""),"RF-0869-001-PPP")</f>
        <v>RF-0869-001-PPP</v>
      </c>
    </row>
    <row r="4986" spans="1:2" ht="12.5" x14ac:dyDescent="0.25">
      <c r="A4986" t="str">
        <f ca="1">IFERROR(__xludf.DUMMYFUNCTION("""COMPUTED_VALUE"""),"Prothipendyl")</f>
        <v>Prothipendyl</v>
      </c>
      <c r="B4986" t="str">
        <f ca="1">IFERROR(__xludf.DUMMYFUNCTION("""COMPUTED_VALUE"""),"RF-00000183-VET")</f>
        <v>RF-00000183-VET</v>
      </c>
    </row>
    <row r="4987" spans="1:2" ht="12.5" x14ac:dyDescent="0.25">
      <c r="A4987" t="str">
        <f ca="1">IFERROR(__xludf.DUMMYFUNCTION("""COMPUTED_VALUE"""),"Prothoate")</f>
        <v>Prothoate</v>
      </c>
      <c r="B4987" t="str">
        <f ca="1">IFERROR(__xludf.DUMMYFUNCTION("""COMPUTED_VALUE"""),"RF-0870-001-PPP")</f>
        <v>RF-0870-001-PPP</v>
      </c>
    </row>
    <row r="4988" spans="1:2" ht="12.5" x14ac:dyDescent="0.25">
      <c r="A4988" t="str">
        <f ca="1">IFERROR(__xludf.DUMMYFUNCTION("""COMPUTED_VALUE"""),"Protozoa")</f>
        <v>Protozoa</v>
      </c>
      <c r="B4988" t="str">
        <f ca="1">IFERROR(__xludf.DUMMYFUNCTION("""COMPUTED_VALUE"""),"RF-00002794-MCG")</f>
        <v>RF-00002794-MCG</v>
      </c>
    </row>
    <row r="4989" spans="1:2" ht="12.5" x14ac:dyDescent="0.25">
      <c r="A4989" t="str">
        <f ca="1">IFERROR(__xludf.DUMMYFUNCTION("""COMPUTED_VALUE"""),"PTU")</f>
        <v>PTU</v>
      </c>
      <c r="B4989" t="str">
        <f ca="1">IFERROR(__xludf.DUMMYFUNCTION("""COMPUTED_VALUE"""),"RF-0871-001-PPP")</f>
        <v>RF-0871-001-PPP</v>
      </c>
    </row>
    <row r="4990" spans="1:2" ht="12.5" x14ac:dyDescent="0.25">
      <c r="A4990" t="str">
        <f ca="1">IFERROR(__xludf.DUMMYFUNCTION("""COMPUTED_VALUE"""),"PTX1")</f>
        <v>PTX1</v>
      </c>
      <c r="B4990" t="str">
        <f ca="1">IFERROR(__xludf.DUMMYFUNCTION("""COMPUTED_VALUE"""),"RF-00000081-TOX")</f>
        <v>RF-00000081-TOX</v>
      </c>
    </row>
    <row r="4991" spans="1:2" ht="12.5" x14ac:dyDescent="0.25">
      <c r="A4991" t="str">
        <f ca="1">IFERROR(__xludf.DUMMYFUNCTION("""COMPUTED_VALUE"""),"PTX11")</f>
        <v>PTX11</v>
      </c>
      <c r="B4991" t="str">
        <f ca="1">IFERROR(__xludf.DUMMYFUNCTION("""COMPUTED_VALUE"""),"RF-00000087-TOX")</f>
        <v>RF-00000087-TOX</v>
      </c>
    </row>
    <row r="4992" spans="1:2" ht="12.5" x14ac:dyDescent="0.25">
      <c r="A4992" t="str">
        <f ca="1">IFERROR(__xludf.DUMMYFUNCTION("""COMPUTED_VALUE"""),"PTX2")</f>
        <v>PTX2</v>
      </c>
      <c r="B4992" t="str">
        <f ca="1">IFERROR(__xludf.DUMMYFUNCTION("""COMPUTED_VALUE"""),"RF-00000082-TOX")</f>
        <v>RF-00000082-TOX</v>
      </c>
    </row>
    <row r="4993" spans="1:2" ht="12.5" x14ac:dyDescent="0.25">
      <c r="A4993" t="str">
        <f ca="1">IFERROR(__xludf.DUMMYFUNCTION("""COMPUTED_VALUE"""),"PTX2 seco acid")</f>
        <v>PTX2 seco acid</v>
      </c>
      <c r="B4993" t="str">
        <f ca="1">IFERROR(__xludf.DUMMYFUNCTION("""COMPUTED_VALUE"""),"RF-00000088-TOX")</f>
        <v>RF-00000088-TOX</v>
      </c>
    </row>
    <row r="4994" spans="1:2" ht="12.5" x14ac:dyDescent="0.25">
      <c r="A4994" t="str">
        <f ca="1">IFERROR(__xludf.DUMMYFUNCTION("""COMPUTED_VALUE"""),"PTX3")</f>
        <v>PTX3</v>
      </c>
      <c r="B4994" t="str">
        <f ca="1">IFERROR(__xludf.DUMMYFUNCTION("""COMPUTED_VALUE"""),"RF-00000083-TOX")</f>
        <v>RF-00000083-TOX</v>
      </c>
    </row>
    <row r="4995" spans="1:2" ht="12.5" x14ac:dyDescent="0.25">
      <c r="A4995" t="str">
        <f ca="1">IFERROR(__xludf.DUMMYFUNCTION("""COMPUTED_VALUE"""),"PTX4")</f>
        <v>PTX4</v>
      </c>
      <c r="B4995" t="str">
        <f ca="1">IFERROR(__xludf.DUMMYFUNCTION("""COMPUTED_VALUE"""),"RF-00000084-TOX")</f>
        <v>RF-00000084-TOX</v>
      </c>
    </row>
    <row r="4996" spans="1:2" ht="12.5" x14ac:dyDescent="0.25">
      <c r="A4996" t="str">
        <f ca="1">IFERROR(__xludf.DUMMYFUNCTION("""COMPUTED_VALUE"""),"PTX6")</f>
        <v>PTX6</v>
      </c>
      <c r="B4996" t="str">
        <f ca="1">IFERROR(__xludf.DUMMYFUNCTION("""COMPUTED_VALUE"""),"RF-00000085-TOX")</f>
        <v>RF-00000085-TOX</v>
      </c>
    </row>
    <row r="4997" spans="1:2" ht="12.5" x14ac:dyDescent="0.25">
      <c r="A4997" t="str">
        <f ca="1">IFERROR(__xludf.DUMMYFUNCTION("""COMPUTED_VALUE"""),"PTX7")</f>
        <v>PTX7</v>
      </c>
      <c r="B4997" t="str">
        <f ca="1">IFERROR(__xludf.DUMMYFUNCTION("""COMPUTED_VALUE"""),"RF-00000086-TOX")</f>
        <v>RF-00000086-TOX</v>
      </c>
    </row>
    <row r="4998" spans="1:2" ht="12.5" x14ac:dyDescent="0.25">
      <c r="A4998" t="str">
        <f ca="1">IFERROR(__xludf.DUMMYFUNCTION("""COMPUTED_VALUE"""),"Pullulan")</f>
        <v>Pullulan</v>
      </c>
      <c r="B4998" t="str">
        <f ca="1">IFERROR(__xludf.DUMMYFUNCTION("""COMPUTED_VALUE"""),"RF-00000258-ADD")</f>
        <v>RF-00000258-ADD</v>
      </c>
    </row>
    <row r="4999" spans="1:2" ht="12.5" x14ac:dyDescent="0.25">
      <c r="A4999" t="str">
        <f ca="1">IFERROR(__xludf.DUMMYFUNCTION("""COMPUTED_VALUE"""),"purines")</f>
        <v>purines</v>
      </c>
      <c r="B4999" t="str">
        <f ca="1">IFERROR(__xludf.DUMMYFUNCTION("""COMPUTED_VALUE"""),"RF-00000376-NTR")</f>
        <v>RF-00000376-NTR</v>
      </c>
    </row>
    <row r="5000" spans="1:2" ht="12.5" x14ac:dyDescent="0.25">
      <c r="A5000" t="str">
        <f ca="1">IFERROR(__xludf.DUMMYFUNCTION("""COMPUTED_VALUE"""),"Putrescine")</f>
        <v>Putrescine</v>
      </c>
      <c r="B5000" t="str">
        <f ca="1">IFERROR(__xludf.DUMMYFUNCTION("""COMPUTED_VALUE"""),"RF-00000004-BGA")</f>
        <v>RF-00000004-BGA</v>
      </c>
    </row>
    <row r="5001" spans="1:2" ht="12.5" x14ac:dyDescent="0.25">
      <c r="A5001" t="str">
        <f ca="1">IFERROR(__xludf.DUMMYFUNCTION("""COMPUTED_VALUE"""),"Pymetrozine")</f>
        <v>Pymetrozine</v>
      </c>
      <c r="B5001" t="str">
        <f ca="1">IFERROR(__xludf.DUMMYFUNCTION("""COMPUTED_VALUE"""),"RF-0369-001-PPP")</f>
        <v>RF-0369-001-PPP</v>
      </c>
    </row>
    <row r="5002" spans="1:2" ht="12.5" x14ac:dyDescent="0.25">
      <c r="A5002" t="str">
        <f ca="1">IFERROR(__xludf.DUMMYFUNCTION("""COMPUTED_VALUE"""),"Pyracarbolid")</f>
        <v>Pyracarbolid</v>
      </c>
      <c r="B5002" t="str">
        <f ca="1">IFERROR(__xludf.DUMMYFUNCTION("""COMPUTED_VALUE"""),"RF-1019-001-PPP")</f>
        <v>RF-1019-001-PPP</v>
      </c>
    </row>
    <row r="5003" spans="1:2" ht="12.5" x14ac:dyDescent="0.25">
      <c r="A5003" t="str">
        <f ca="1">IFERROR(__xludf.DUMMYFUNCTION("""COMPUTED_VALUE"""),"Pyraclofos")</f>
        <v>Pyraclofos</v>
      </c>
      <c r="B5003" t="str">
        <f ca="1">IFERROR(__xludf.DUMMYFUNCTION("""COMPUTED_VALUE"""),"RF-0872-001-PPP")</f>
        <v>RF-0872-001-PPP</v>
      </c>
    </row>
    <row r="5004" spans="1:2" ht="12.5" x14ac:dyDescent="0.25">
      <c r="A5004" t="str">
        <f ca="1">IFERROR(__xludf.DUMMYFUNCTION("""COMPUTED_VALUE"""),"Pyraclostrobin")</f>
        <v>Pyraclostrobin</v>
      </c>
      <c r="B5004" t="str">
        <f ca="1">IFERROR(__xludf.DUMMYFUNCTION("""COMPUTED_VALUE"""),"RF-0370-001-PPP")</f>
        <v>RF-0370-001-PPP</v>
      </c>
    </row>
    <row r="5005" spans="1:2" ht="12.5" x14ac:dyDescent="0.25">
      <c r="A5005" t="str">
        <f ca="1">IFERROR(__xludf.DUMMYFUNCTION("""COMPUTED_VALUE"""),"Pyraflufen-ethyl")</f>
        <v>Pyraflufen-ethyl</v>
      </c>
      <c r="B5005" t="str">
        <f ca="1">IFERROR(__xludf.DUMMYFUNCTION("""COMPUTED_VALUE"""),"RF-0371-001-PPP")</f>
        <v>RF-0371-001-PPP</v>
      </c>
    </row>
    <row r="5006" spans="1:2" ht="12.5" x14ac:dyDescent="0.25">
      <c r="A5006" t="str">
        <f ca="1">IFERROR(__xludf.DUMMYFUNCTION("""COMPUTED_VALUE"""),"Pyrantel")</f>
        <v>Pyrantel</v>
      </c>
      <c r="B5006" t="str">
        <f ca="1">IFERROR(__xludf.DUMMYFUNCTION("""COMPUTED_VALUE"""),"RF-00000053-VET")</f>
        <v>RF-00000053-VET</v>
      </c>
    </row>
    <row r="5007" spans="1:2" ht="12.5" x14ac:dyDescent="0.25">
      <c r="A5007" t="str">
        <f ca="1">IFERROR(__xludf.DUMMYFUNCTION("""COMPUTED_VALUE"""),"Pyrasulfotole")</f>
        <v>Pyrasulfotole</v>
      </c>
      <c r="B5007" t="str">
        <f ca="1">IFERROR(__xludf.DUMMYFUNCTION("""COMPUTED_VALUE"""),"RF-0372-001-PPP")</f>
        <v>RF-0372-001-PPP</v>
      </c>
    </row>
    <row r="5008" spans="1:2" ht="12.5" x14ac:dyDescent="0.25">
      <c r="A5008" t="str">
        <f ca="1">IFERROR(__xludf.DUMMYFUNCTION("""COMPUTED_VALUE"""),"Pyrazinamide")</f>
        <v>Pyrazinamide</v>
      </c>
      <c r="B5008" t="str">
        <f ca="1">IFERROR(__xludf.DUMMYFUNCTION("""COMPUTED_VALUE"""),"RF-00000708-VET")</f>
        <v>RF-00000708-VET</v>
      </c>
    </row>
    <row r="5009" spans="1:2" ht="12.5" x14ac:dyDescent="0.25">
      <c r="A5009" t="str">
        <f ca="1">IFERROR(__xludf.DUMMYFUNCTION("""COMPUTED_VALUE"""),"Pyrazophos")</f>
        <v>Pyrazophos</v>
      </c>
      <c r="B5009" t="str">
        <f ca="1">IFERROR(__xludf.DUMMYFUNCTION("""COMPUTED_VALUE"""),"RF-0373-001-PPP")</f>
        <v>RF-0373-001-PPP</v>
      </c>
    </row>
    <row r="5010" spans="1:2" ht="12.5" x14ac:dyDescent="0.25">
      <c r="A5010" t="str">
        <f ca="1">IFERROR(__xludf.DUMMYFUNCTION("""COMPUTED_VALUE"""),"Pyrazoxyfen")</f>
        <v>Pyrazoxyfen</v>
      </c>
      <c r="B5010" t="str">
        <f ca="1">IFERROR(__xludf.DUMMYFUNCTION("""COMPUTED_VALUE"""),"RF-0873-001-PPP")</f>
        <v>RF-0873-001-PPP</v>
      </c>
    </row>
    <row r="5011" spans="1:2" ht="12.5" x14ac:dyDescent="0.25">
      <c r="A5011" t="str">
        <f ca="1">IFERROR(__xludf.DUMMYFUNCTION("""COMPUTED_VALUE"""),"Pyrene")</f>
        <v>Pyrene</v>
      </c>
      <c r="B5011" t="str">
        <f ca="1">IFERROR(__xludf.DUMMYFUNCTION("""COMPUTED_VALUE"""),"RF-00000064-ORG")</f>
        <v>RF-00000064-ORG</v>
      </c>
    </row>
    <row r="5012" spans="1:2" ht="12.5" x14ac:dyDescent="0.25">
      <c r="A5012" t="str">
        <f ca="1">IFERROR(__xludf.DUMMYFUNCTION("""COMPUTED_VALUE"""),"Pyrethrin I")</f>
        <v>Pyrethrin I</v>
      </c>
      <c r="B5012" t="str">
        <f ca="1">IFERROR(__xludf.DUMMYFUNCTION("""COMPUTED_VALUE"""),"RF-0374-002-PPP")</f>
        <v>RF-0374-002-PPP</v>
      </c>
    </row>
    <row r="5013" spans="1:2" ht="12.5" x14ac:dyDescent="0.25">
      <c r="A5013" t="str">
        <f ca="1">IFERROR(__xludf.DUMMYFUNCTION("""COMPUTED_VALUE"""),"Pyrethrin II")</f>
        <v>Pyrethrin II</v>
      </c>
      <c r="B5013" t="str">
        <f ca="1">IFERROR(__xludf.DUMMYFUNCTION("""COMPUTED_VALUE"""),"RF-0374-003-PPP")</f>
        <v>RF-0374-003-PPP</v>
      </c>
    </row>
    <row r="5014" spans="1:2" ht="12.5" x14ac:dyDescent="0.25">
      <c r="A5014" t="str">
        <f ca="1">IFERROR(__xludf.DUMMYFUNCTION("""COMPUTED_VALUE"""),"Pyrethrins")</f>
        <v>Pyrethrins</v>
      </c>
      <c r="B5014" t="str">
        <f ca="1">IFERROR(__xludf.DUMMYFUNCTION("""COMPUTED_VALUE"""),"RF-00000128-VET")</f>
        <v>RF-00000128-VET</v>
      </c>
    </row>
    <row r="5015" spans="1:2" ht="12.5" x14ac:dyDescent="0.25">
      <c r="A5015" t="str">
        <f ca="1">IFERROR(__xludf.DUMMYFUNCTION("""COMPUTED_VALUE"""),"Pyrethrins")</f>
        <v>Pyrethrins</v>
      </c>
      <c r="B5015" t="str">
        <f ca="1">IFERROR(__xludf.DUMMYFUNCTION("""COMPUTED_VALUE"""),"RF-0374-001-PPP")</f>
        <v>RF-0374-001-PPP</v>
      </c>
    </row>
    <row r="5016" spans="1:2" ht="12.5" x14ac:dyDescent="0.25">
      <c r="A5016" t="str">
        <f ca="1">IFERROR(__xludf.DUMMYFUNCTION("""COMPUTED_VALUE"""),"Pyributicarb")</f>
        <v>Pyributicarb</v>
      </c>
      <c r="B5016" t="str">
        <f ca="1">IFERROR(__xludf.DUMMYFUNCTION("""COMPUTED_VALUE"""),"RF-0874-001-PPP")</f>
        <v>RF-0874-001-PPP</v>
      </c>
    </row>
    <row r="5017" spans="1:2" ht="12.5" x14ac:dyDescent="0.25">
      <c r="A5017" t="str">
        <f ca="1">IFERROR(__xludf.DUMMYFUNCTION("""COMPUTED_VALUE"""),"Pyridaben")</f>
        <v>Pyridaben</v>
      </c>
      <c r="B5017" t="str">
        <f ca="1">IFERROR(__xludf.DUMMYFUNCTION("""COMPUTED_VALUE"""),"RF-0375-001-PPP")</f>
        <v>RF-0375-001-PPP</v>
      </c>
    </row>
    <row r="5018" spans="1:2" ht="12.5" x14ac:dyDescent="0.25">
      <c r="A5018" t="str">
        <f ca="1">IFERROR(__xludf.DUMMYFUNCTION("""COMPUTED_VALUE"""),"Pyridafol")</f>
        <v>Pyridafol</v>
      </c>
      <c r="B5018" t="str">
        <f ca="1">IFERROR(__xludf.DUMMYFUNCTION("""COMPUTED_VALUE"""),"RF-0875-001-PPP")</f>
        <v>RF-0875-001-PPP</v>
      </c>
    </row>
    <row r="5019" spans="1:2" ht="12.5" x14ac:dyDescent="0.25">
      <c r="A5019" t="str">
        <f ca="1">IFERROR(__xludf.DUMMYFUNCTION("""COMPUTED_VALUE"""),"Pyridalyl")</f>
        <v>Pyridalyl</v>
      </c>
      <c r="B5019" t="str">
        <f ca="1">IFERROR(__xludf.DUMMYFUNCTION("""COMPUTED_VALUE"""),"RF-0876-001-PPP")</f>
        <v>RF-0876-001-PPP</v>
      </c>
    </row>
    <row r="5020" spans="1:2" ht="12.5" x14ac:dyDescent="0.25">
      <c r="A5020" t="str">
        <f ca="1">IFERROR(__xludf.DUMMYFUNCTION("""COMPUTED_VALUE"""),"Pyridaphenthion")</f>
        <v>Pyridaphenthion</v>
      </c>
      <c r="B5020" t="str">
        <f ca="1">IFERROR(__xludf.DUMMYFUNCTION("""COMPUTED_VALUE"""),"RF-0877-001-PPP")</f>
        <v>RF-0877-001-PPP</v>
      </c>
    </row>
    <row r="5021" spans="1:2" ht="12.5" x14ac:dyDescent="0.25">
      <c r="A5021" t="str">
        <f ca="1">IFERROR(__xludf.DUMMYFUNCTION("""COMPUTED_VALUE"""),"Pyridate")</f>
        <v>Pyridate</v>
      </c>
      <c r="B5021" t="str">
        <f ca="1">IFERROR(__xludf.DUMMYFUNCTION("""COMPUTED_VALUE"""),"RF-0376-002-PPP")</f>
        <v>RF-0376-002-PPP</v>
      </c>
    </row>
    <row r="5022" spans="1:2" ht="12.5" x14ac:dyDescent="0.25">
      <c r="A5022" t="str">
        <f ca="1">IFERROR(__xludf.DUMMYFUNCTION("""COMPUTED_VALUE"""),"Pyridate (sum of pyridate, its hydrolysis product CL 9673 (6-chloro-4-hydroxy-3-phenylpyridazin) and hydrolysable conjugates of CL 9673 expressed as pyridate)")</f>
        <v>Pyridate (sum of pyridate, its hydrolysis product CL 9673 (6-chloro-4-hydroxy-3-phenylpyridazin) and hydrolysable conjugates of CL 9673 expressed as pyridate)</v>
      </c>
      <c r="B5022" t="str">
        <f ca="1">IFERROR(__xludf.DUMMYFUNCTION("""COMPUTED_VALUE"""),"RF-0376-001-PPP")</f>
        <v>RF-0376-001-PPP</v>
      </c>
    </row>
    <row r="5023" spans="1:2" ht="12.5" x14ac:dyDescent="0.25">
      <c r="A5023" t="str">
        <f ca="1">IFERROR(__xludf.DUMMYFUNCTION("""COMPUTED_VALUE"""),"Pyridinitril")</f>
        <v>Pyridinitril</v>
      </c>
      <c r="B5023" t="str">
        <f ca="1">IFERROR(__xludf.DUMMYFUNCTION("""COMPUTED_VALUE"""),"RF-1039-001-PPP")</f>
        <v>RF-1039-001-PPP</v>
      </c>
    </row>
    <row r="5024" spans="1:2" ht="12.5" x14ac:dyDescent="0.25">
      <c r="A5024" t="str">
        <f ca="1">IFERROR(__xludf.DUMMYFUNCTION("""COMPUTED_VALUE"""),"pyridoxal")</f>
        <v>pyridoxal</v>
      </c>
      <c r="B5024" t="str">
        <f ca="1">IFERROR(__xludf.DUMMYFUNCTION("""COMPUTED_VALUE"""),"RF-00000377-NTR")</f>
        <v>RF-00000377-NTR</v>
      </c>
    </row>
    <row r="5025" spans="1:2" ht="12.5" x14ac:dyDescent="0.25">
      <c r="A5025" t="str">
        <f ca="1">IFERROR(__xludf.DUMMYFUNCTION("""COMPUTED_VALUE"""),"pyridoxamin")</f>
        <v>pyridoxamin</v>
      </c>
      <c r="B5025" t="str">
        <f ca="1">IFERROR(__xludf.DUMMYFUNCTION("""COMPUTED_VALUE"""),"RF-00000378-NTR")</f>
        <v>RF-00000378-NTR</v>
      </c>
    </row>
    <row r="5026" spans="1:2" ht="12.5" x14ac:dyDescent="0.25">
      <c r="A5026" t="str">
        <f ca="1">IFERROR(__xludf.DUMMYFUNCTION("""COMPUTED_VALUE"""),"pyridoxine")</f>
        <v>pyridoxine</v>
      </c>
      <c r="B5026" t="str">
        <f ca="1">IFERROR(__xludf.DUMMYFUNCTION("""COMPUTED_VALUE"""),"RF-00000379-NTR")</f>
        <v>RF-00000379-NTR</v>
      </c>
    </row>
    <row r="5027" spans="1:2" ht="12.5" x14ac:dyDescent="0.25">
      <c r="A5027" t="str">
        <f ca="1">IFERROR(__xludf.DUMMYFUNCTION("""COMPUTED_VALUE"""),"Pyrifenox")</f>
        <v>Pyrifenox</v>
      </c>
      <c r="B5027" t="str">
        <f ca="1">IFERROR(__xludf.DUMMYFUNCTION("""COMPUTED_VALUE"""),"RF-0878-001-PPP")</f>
        <v>RF-0878-001-PPP</v>
      </c>
    </row>
    <row r="5028" spans="1:2" ht="12.5" x14ac:dyDescent="0.25">
      <c r="A5028" t="str">
        <f ca="1">IFERROR(__xludf.DUMMYFUNCTION("""COMPUTED_VALUE"""),"Pyriftalid")</f>
        <v>Pyriftalid</v>
      </c>
      <c r="B5028" t="str">
        <f ca="1">IFERROR(__xludf.DUMMYFUNCTION("""COMPUTED_VALUE"""),"RF-0879-001-PPP")</f>
        <v>RF-0879-001-PPP</v>
      </c>
    </row>
    <row r="5029" spans="1:2" ht="12.5" x14ac:dyDescent="0.25">
      <c r="A5029" t="str">
        <f ca="1">IFERROR(__xludf.DUMMYFUNCTION("""COMPUTED_VALUE"""),"Pyrimethanil")</f>
        <v>Pyrimethanil</v>
      </c>
      <c r="B5029" t="str">
        <f ca="1">IFERROR(__xludf.DUMMYFUNCTION("""COMPUTED_VALUE"""),"RF-0377-001-PPP")</f>
        <v>RF-0377-001-PPP</v>
      </c>
    </row>
    <row r="5030" spans="1:2" ht="12.5" x14ac:dyDescent="0.25">
      <c r="A5030" t="str">
        <f ca="1">IFERROR(__xludf.DUMMYFUNCTION("""COMPUTED_VALUE"""),"Pyrimidifen")</f>
        <v>Pyrimidifen</v>
      </c>
      <c r="B5030" t="str">
        <f ca="1">IFERROR(__xludf.DUMMYFUNCTION("""COMPUTED_VALUE"""),"RF-0880-001-PPP")</f>
        <v>RF-0880-001-PPP</v>
      </c>
    </row>
    <row r="5031" spans="1:2" ht="12.5" x14ac:dyDescent="0.25">
      <c r="A5031" t="str">
        <f ca="1">IFERROR(__xludf.DUMMYFUNCTION("""COMPUTED_VALUE"""),"Pyriminobac-Methyl")</f>
        <v>Pyriminobac-Methyl</v>
      </c>
      <c r="B5031" t="str">
        <f ca="1">IFERROR(__xludf.DUMMYFUNCTION("""COMPUTED_VALUE"""),"RF-0881-001-PPP")</f>
        <v>RF-0881-001-PPP</v>
      </c>
    </row>
    <row r="5032" spans="1:2" ht="12.5" x14ac:dyDescent="0.25">
      <c r="A5032" t="str">
        <f ca="1">IFERROR(__xludf.DUMMYFUNCTION("""COMPUTED_VALUE"""),"Pyriproxyfen")</f>
        <v>Pyriproxyfen</v>
      </c>
      <c r="B5032" t="str">
        <f ca="1">IFERROR(__xludf.DUMMYFUNCTION("""COMPUTED_VALUE"""),"RF-0378-001-PPP")</f>
        <v>RF-0378-001-PPP</v>
      </c>
    </row>
    <row r="5033" spans="1:2" ht="12.5" x14ac:dyDescent="0.25">
      <c r="A5033" t="str">
        <f ca="1">IFERROR(__xludf.DUMMYFUNCTION("""COMPUTED_VALUE"""),"Pyrithiobac")</f>
        <v>Pyrithiobac</v>
      </c>
      <c r="B5033" t="str">
        <f ca="1">IFERROR(__xludf.DUMMYFUNCTION("""COMPUTED_VALUE"""),"RF-0882-001-PPP")</f>
        <v>RF-0882-001-PPP</v>
      </c>
    </row>
    <row r="5034" spans="1:2" ht="12.5" x14ac:dyDescent="0.25">
      <c r="A5034" t="str">
        <f ca="1">IFERROR(__xludf.DUMMYFUNCTION("""COMPUTED_VALUE"""),"Pyroquilon")</f>
        <v>Pyroquilon</v>
      </c>
      <c r="B5034" t="str">
        <f ca="1">IFERROR(__xludf.DUMMYFUNCTION("""COMPUTED_VALUE"""),"RF-0379-001-PPP")</f>
        <v>RF-0379-001-PPP</v>
      </c>
    </row>
    <row r="5035" spans="1:2" ht="12.5" x14ac:dyDescent="0.25">
      <c r="A5035" t="str">
        <f ca="1">IFERROR(__xludf.DUMMYFUNCTION("""COMPUTED_VALUE"""),"Pyroxsulam")</f>
        <v>Pyroxsulam</v>
      </c>
      <c r="B5035" t="str">
        <f ca="1">IFERROR(__xludf.DUMMYFUNCTION("""COMPUTED_VALUE"""),"RF-0883-001-PPP")</f>
        <v>RF-0883-001-PPP</v>
      </c>
    </row>
    <row r="5036" spans="1:2" ht="12.5" x14ac:dyDescent="0.25">
      <c r="A5036" t="str">
        <f ca="1">IFERROR(__xludf.DUMMYFUNCTION("""COMPUTED_VALUE"""),"Pyroxycam")</f>
        <v>Pyroxycam</v>
      </c>
      <c r="B5036" t="str">
        <f ca="1">IFERROR(__xludf.DUMMYFUNCTION("""COMPUTED_VALUE"""),"RF-00000218-VET")</f>
        <v>RF-00000218-VET</v>
      </c>
    </row>
    <row r="5037" spans="1:2" ht="12.5" x14ac:dyDescent="0.25">
      <c r="A5037" t="str">
        <f ca="1">IFERROR(__xludf.DUMMYFUNCTION("""COMPUTED_VALUE"""),"Pyrrolizidine alkaloids")</f>
        <v>Pyrrolizidine alkaloids</v>
      </c>
      <c r="B5037" t="str">
        <f ca="1">IFERROR(__xludf.DUMMYFUNCTION("""COMPUTED_VALUE"""),"RF-00000230-TOX")</f>
        <v>RF-00000230-TOX</v>
      </c>
    </row>
    <row r="5038" spans="1:2" ht="12.5" x14ac:dyDescent="0.25">
      <c r="A5038" t="str">
        <f ca="1">IFERROR(__xludf.DUMMYFUNCTION("""COMPUTED_VALUE"""),"Quassin")</f>
        <v>Quassin</v>
      </c>
      <c r="B5038" t="str">
        <f ca="1">IFERROR(__xludf.DUMMYFUNCTION("""COMPUTED_VALUE"""),"RF-0884-001-PPP")</f>
        <v>RF-0884-001-PPP</v>
      </c>
    </row>
    <row r="5039" spans="1:2" ht="12.5" x14ac:dyDescent="0.25">
      <c r="A5039" t="str">
        <f ca="1">IFERROR(__xludf.DUMMYFUNCTION("""COMPUTED_VALUE"""),"Quaternary Ammonium Compounds (QACs)")</f>
        <v>Quaternary Ammonium Compounds (QACs)</v>
      </c>
      <c r="B5039" t="str">
        <f ca="1">IFERROR(__xludf.DUMMYFUNCTION("""COMPUTED_VALUE"""),"RF-1078-001-PPP")</f>
        <v>RF-1078-001-PPP</v>
      </c>
    </row>
    <row r="5040" spans="1:2" ht="12.5" x14ac:dyDescent="0.25">
      <c r="A5040" t="str">
        <f ca="1">IFERROR(__xludf.DUMMYFUNCTION("""COMPUTED_VALUE"""),"quercetin")</f>
        <v>quercetin</v>
      </c>
      <c r="B5040" t="str">
        <f ca="1">IFERROR(__xludf.DUMMYFUNCTION("""COMPUTED_VALUE"""),"RF-00000380-NTR")</f>
        <v>RF-00000380-NTR</v>
      </c>
    </row>
    <row r="5041" spans="1:2" ht="12.5" x14ac:dyDescent="0.25">
      <c r="A5041" t="str">
        <f ca="1">IFERROR(__xludf.DUMMYFUNCTION("""COMPUTED_VALUE"""),"Quillaia extract")</f>
        <v>Quillaia extract</v>
      </c>
      <c r="B5041" t="str">
        <f ca="1">IFERROR(__xludf.DUMMYFUNCTION("""COMPUTED_VALUE"""),"RF-00000259-ADD")</f>
        <v>RF-00000259-ADD</v>
      </c>
    </row>
    <row r="5042" spans="1:2" ht="12.5" x14ac:dyDescent="0.25">
      <c r="A5042" t="str">
        <f ca="1">IFERROR(__xludf.DUMMYFUNCTION("""COMPUTED_VALUE"""),"Quimbolone")</f>
        <v>Quimbolone</v>
      </c>
      <c r="B5042" t="str">
        <f ca="1">IFERROR(__xludf.DUMMYFUNCTION("""COMPUTED_VALUE"""),"RF-00000357-VET")</f>
        <v>RF-00000357-VET</v>
      </c>
    </row>
    <row r="5043" spans="1:2" ht="12.5" x14ac:dyDescent="0.25">
      <c r="A5043" t="str">
        <f ca="1">IFERROR(__xludf.DUMMYFUNCTION("""COMPUTED_VALUE"""),"Quinalphos")</f>
        <v>Quinalphos</v>
      </c>
      <c r="B5043" t="str">
        <f ca="1">IFERROR(__xludf.DUMMYFUNCTION("""COMPUTED_VALUE"""),"RF-0380-001-PPP")</f>
        <v>RF-0380-001-PPP</v>
      </c>
    </row>
    <row r="5044" spans="1:2" ht="12.5" x14ac:dyDescent="0.25">
      <c r="A5044" t="str">
        <f ca="1">IFERROR(__xludf.DUMMYFUNCTION("""COMPUTED_VALUE"""),"Quinclorac")</f>
        <v>Quinclorac</v>
      </c>
      <c r="B5044" t="str">
        <f ca="1">IFERROR(__xludf.DUMMYFUNCTION("""COMPUTED_VALUE"""),"RF-0885-001-PPP")</f>
        <v>RF-0885-001-PPP</v>
      </c>
    </row>
    <row r="5045" spans="1:2" ht="12.5" x14ac:dyDescent="0.25">
      <c r="A5045" t="str">
        <f ca="1">IFERROR(__xludf.DUMMYFUNCTION("""COMPUTED_VALUE"""),"Quinestrol")</f>
        <v>Quinestrol</v>
      </c>
      <c r="B5045" t="str">
        <f ca="1">IFERROR(__xludf.DUMMYFUNCTION("""COMPUTED_VALUE"""),"RF-00000352-VET")</f>
        <v>RF-00000352-VET</v>
      </c>
    </row>
    <row r="5046" spans="1:2" ht="12.5" x14ac:dyDescent="0.25">
      <c r="A5046" t="str">
        <f ca="1">IFERROR(__xludf.DUMMYFUNCTION("""COMPUTED_VALUE"""),"quinic acid")</f>
        <v>quinic acid</v>
      </c>
      <c r="B5046" t="str">
        <f ca="1">IFERROR(__xludf.DUMMYFUNCTION("""COMPUTED_VALUE"""),"RF-00000381-NTR")</f>
        <v>RF-00000381-NTR</v>
      </c>
    </row>
    <row r="5047" spans="1:2" ht="12.5" x14ac:dyDescent="0.25">
      <c r="A5047" t="str">
        <f ca="1">IFERROR(__xludf.DUMMYFUNCTION("""COMPUTED_VALUE"""),"Quinmerac")</f>
        <v>Quinmerac</v>
      </c>
      <c r="B5047" t="str">
        <f ca="1">IFERROR(__xludf.DUMMYFUNCTION("""COMPUTED_VALUE"""),"RF-0381-001-PPP")</f>
        <v>RF-0381-001-PPP</v>
      </c>
    </row>
    <row r="5048" spans="1:2" ht="12.5" x14ac:dyDescent="0.25">
      <c r="A5048" t="str">
        <f ca="1">IFERROR(__xludf.DUMMYFUNCTION("""COMPUTED_VALUE"""),"Quinoclamine")</f>
        <v>Quinoclamine</v>
      </c>
      <c r="B5048" t="str">
        <f ca="1">IFERROR(__xludf.DUMMYFUNCTION("""COMPUTED_VALUE"""),"RF-0886-001-PPP")</f>
        <v>RF-0886-001-PPP</v>
      </c>
    </row>
    <row r="5049" spans="1:2" ht="12.5" x14ac:dyDescent="0.25">
      <c r="A5049" t="str">
        <f ca="1">IFERROR(__xludf.DUMMYFUNCTION("""COMPUTED_VALUE"""),"Quinoline Yellow")</f>
        <v>Quinoline Yellow</v>
      </c>
      <c r="B5049" t="str">
        <f ca="1">IFERROR(__xludf.DUMMYFUNCTION("""COMPUTED_VALUE"""),"RF-00000260-ADD")</f>
        <v>RF-00000260-ADD</v>
      </c>
    </row>
    <row r="5050" spans="1:2" ht="12.5" x14ac:dyDescent="0.25">
      <c r="A5050" t="str">
        <f ca="1">IFERROR(__xludf.DUMMYFUNCTION("""COMPUTED_VALUE"""),"Quinolones")</f>
        <v>Quinolones</v>
      </c>
      <c r="B5050" t="str">
        <f ca="1">IFERROR(__xludf.DUMMYFUNCTION("""COMPUTED_VALUE"""),"RF-00000560-VET")</f>
        <v>RF-00000560-VET</v>
      </c>
    </row>
    <row r="5051" spans="1:2" ht="12.5" x14ac:dyDescent="0.25">
      <c r="A5051" t="str">
        <f ca="1">IFERROR(__xludf.DUMMYFUNCTION("""COMPUTED_VALUE"""),"Quinoxalines")</f>
        <v>Quinoxalines</v>
      </c>
      <c r="B5051" t="str">
        <f ca="1">IFERROR(__xludf.DUMMYFUNCTION("""COMPUTED_VALUE"""),"RF-00000767-VET")</f>
        <v>RF-00000767-VET</v>
      </c>
    </row>
    <row r="5052" spans="1:2" ht="12.5" x14ac:dyDescent="0.25">
      <c r="A5052" t="str">
        <f ca="1">IFERROR(__xludf.DUMMYFUNCTION("""COMPUTED_VALUE"""),"Quinoxyfen")</f>
        <v>Quinoxyfen</v>
      </c>
      <c r="B5052" t="str">
        <f ca="1">IFERROR(__xludf.DUMMYFUNCTION("""COMPUTED_VALUE"""),"RF-0382-001-PPP")</f>
        <v>RF-0382-001-PPP</v>
      </c>
    </row>
    <row r="5053" spans="1:2" ht="12.5" x14ac:dyDescent="0.25">
      <c r="A5053" t="str">
        <f ca="1">IFERROR(__xludf.DUMMYFUNCTION("""COMPUTED_VALUE"""),"Quintozene")</f>
        <v>Quintozene</v>
      </c>
      <c r="B5053" t="str">
        <f ca="1">IFERROR(__xludf.DUMMYFUNCTION("""COMPUTED_VALUE"""),"RF-0383-002-PPP")</f>
        <v>RF-0383-002-PPP</v>
      </c>
    </row>
    <row r="5054" spans="1:2" ht="12.5" x14ac:dyDescent="0.25">
      <c r="A5054" t="str">
        <f ca="1">IFERROR(__xludf.DUMMYFUNCTION("""COMPUTED_VALUE"""),"Quintozene (sum of quintozene and pentachloro-aniline expressed as quintozene)")</f>
        <v>Quintozene (sum of quintozene and pentachloro-aniline expressed as quintozene)</v>
      </c>
      <c r="B5054" t="str">
        <f ca="1">IFERROR(__xludf.DUMMYFUNCTION("""COMPUTED_VALUE"""),"RF-0383-001-PPP")</f>
        <v>RF-0383-001-PPP</v>
      </c>
    </row>
    <row r="5055" spans="1:2" ht="12.5" x14ac:dyDescent="0.25">
      <c r="A5055" t="str">
        <f ca="1">IFERROR(__xludf.DUMMYFUNCTION("""COMPUTED_VALUE"""),"Quinupristin")</f>
        <v>Quinupristin</v>
      </c>
      <c r="B5055" t="str">
        <f ca="1">IFERROR(__xludf.DUMMYFUNCTION("""COMPUTED_VALUE"""),"RF-00000776-VET")</f>
        <v>RF-00000776-VET</v>
      </c>
    </row>
    <row r="5056" spans="1:2" ht="12.5" x14ac:dyDescent="0.25">
      <c r="A5056" t="str">
        <f ca="1">IFERROR(__xludf.DUMMYFUNCTION("""COMPUTED_VALUE"""),"Quinupristin-Dalfopristin")</f>
        <v>Quinupristin-Dalfopristin</v>
      </c>
      <c r="B5056" t="str">
        <f ca="1">IFERROR(__xludf.DUMMYFUNCTION("""COMPUTED_VALUE"""),"RF-00000777-VET")</f>
        <v>RF-00000777-VET</v>
      </c>
    </row>
    <row r="5057" spans="1:2" ht="12.5" x14ac:dyDescent="0.25">
      <c r="A5057" t="str">
        <f ca="1">IFERROR(__xludf.DUMMYFUNCTION("""COMPUTED_VALUE"""),"Quizalofop")</f>
        <v>Quizalofop</v>
      </c>
      <c r="B5057" t="str">
        <f ca="1">IFERROR(__xludf.DUMMYFUNCTION("""COMPUTED_VALUE"""),"RF-0384-004-PPP")</f>
        <v>RF-0384-004-PPP</v>
      </c>
    </row>
    <row r="5058" spans="1:2" ht="12.5" x14ac:dyDescent="0.25">
      <c r="A5058" t="str">
        <f ca="1">IFERROR(__xludf.DUMMYFUNCTION("""COMPUTED_VALUE"""),"Quizalofop (including Quizalfop-P)")</f>
        <v>Quizalofop (including Quizalfop-P)</v>
      </c>
      <c r="B5058" t="str">
        <f ca="1">IFERROR(__xludf.DUMMYFUNCTION("""COMPUTED_VALUE"""),"RF-0384-003-PPP")</f>
        <v>RF-0384-003-PPP</v>
      </c>
    </row>
    <row r="5059" spans="1:2" ht="12.5" x14ac:dyDescent="0.25">
      <c r="A5059" t="str">
        <f ca="1">IFERROR(__xludf.DUMMYFUNCTION("""COMPUTED_VALUE"""),"Quizalofop-Ethyl")</f>
        <v>Quizalofop-Ethyl</v>
      </c>
      <c r="B5059" t="str">
        <f ca="1">IFERROR(__xludf.DUMMYFUNCTION("""COMPUTED_VALUE"""),"RF-0887-001-PPP")</f>
        <v>RF-0887-001-PPP</v>
      </c>
    </row>
    <row r="5060" spans="1:2" ht="12.5" x14ac:dyDescent="0.25">
      <c r="A5060" t="str">
        <f ca="1">IFERROR(__xludf.DUMMYFUNCTION("""COMPUTED_VALUE"""),"Quizalofop-P")</f>
        <v>Quizalofop-P</v>
      </c>
      <c r="B5060" t="str">
        <f ca="1">IFERROR(__xludf.DUMMYFUNCTION("""COMPUTED_VALUE"""),"RF-0384-002-PPP")</f>
        <v>RF-0384-002-PPP</v>
      </c>
    </row>
    <row r="5061" spans="1:2" ht="12.5" x14ac:dyDescent="0.25">
      <c r="A5061" t="str">
        <f ca="1">IFERROR(__xludf.DUMMYFUNCTION("""COMPUTED_VALUE"""),"Quizalofop-P-ethyl")</f>
        <v>Quizalofop-P-ethyl</v>
      </c>
      <c r="B5061" t="str">
        <f ca="1">IFERROR(__xludf.DUMMYFUNCTION("""COMPUTED_VALUE"""),"RF-0887-002-PPP")</f>
        <v>RF-0887-002-PPP</v>
      </c>
    </row>
    <row r="5062" spans="1:2" ht="12.5" x14ac:dyDescent="0.25">
      <c r="A5062" t="str">
        <f ca="1">IFERROR(__xludf.DUMMYFUNCTION("""COMPUTED_VALUE"""),"Rabenzazole")</f>
        <v>Rabenzazole</v>
      </c>
      <c r="B5062" t="str">
        <f ca="1">IFERROR(__xludf.DUMMYFUNCTION("""COMPUTED_VALUE"""),"RF-0888-001-PPP")</f>
        <v>RF-0888-001-PPP</v>
      </c>
    </row>
    <row r="5063" spans="1:2" ht="12.5" x14ac:dyDescent="0.25">
      <c r="A5063" t="str">
        <f ca="1">IFERROR(__xludf.DUMMYFUNCTION("""COMPUTED_VALUE"""),"Ractopamine")</f>
        <v>Ractopamine</v>
      </c>
      <c r="B5063" t="str">
        <f ca="1">IFERROR(__xludf.DUMMYFUNCTION("""COMPUTED_VALUE"""),"RF-00000468-VET")</f>
        <v>RF-00000468-VET</v>
      </c>
    </row>
    <row r="5064" spans="1:2" ht="12.5" x14ac:dyDescent="0.25">
      <c r="A5064" t="str">
        <f ca="1">IFERROR(__xludf.DUMMYFUNCTION("""COMPUTED_VALUE"""),"Ractopamine hydrochloride")</f>
        <v>Ractopamine hydrochloride</v>
      </c>
      <c r="B5064" t="str">
        <f ca="1">IFERROR(__xludf.DUMMYFUNCTION("""COMPUTED_VALUE"""),"RF-00000467-VET")</f>
        <v>RF-00000467-VET</v>
      </c>
    </row>
    <row r="5065" spans="1:2" ht="12.5" x14ac:dyDescent="0.25">
      <c r="A5065" t="str">
        <f ca="1">IFERROR(__xludf.DUMMYFUNCTION("""COMPUTED_VALUE"""),"Radioactivity and isotopes")</f>
        <v>Radioactivity and isotopes</v>
      </c>
      <c r="B5065" t="str">
        <f ca="1">IFERROR(__xludf.DUMMYFUNCTION("""COMPUTED_VALUE"""),"RF-00000001-RAD")</f>
        <v>RF-00000001-RAD</v>
      </c>
    </row>
    <row r="5066" spans="1:2" ht="12.5" x14ac:dyDescent="0.25">
      <c r="A5066" t="str">
        <f ca="1">IFERROR(__xludf.DUMMYFUNCTION("""COMPUTED_VALUE"""),"Radium 226")</f>
        <v>Radium 226</v>
      </c>
      <c r="B5066" t="str">
        <f ca="1">IFERROR(__xludf.DUMMYFUNCTION("""COMPUTED_VALUE"""),"RF-00000009-RAD")</f>
        <v>RF-00000009-RAD</v>
      </c>
    </row>
    <row r="5067" spans="1:2" ht="12.5" x14ac:dyDescent="0.25">
      <c r="A5067" t="str">
        <f ca="1">IFERROR(__xludf.DUMMYFUNCTION("""COMPUTED_VALUE"""),"raffinose")</f>
        <v>raffinose</v>
      </c>
      <c r="B5067" t="str">
        <f ca="1">IFERROR(__xludf.DUMMYFUNCTION("""COMPUTED_VALUE"""),"RF-00000382-NTR")</f>
        <v>RF-00000382-NTR</v>
      </c>
    </row>
    <row r="5068" spans="1:2" ht="12.5" x14ac:dyDescent="0.25">
      <c r="A5068" t="str">
        <f ca="1">IFERROR(__xludf.DUMMYFUNCTION("""COMPUTED_VALUE"""),"Rafoxanide")</f>
        <v>Rafoxanide</v>
      </c>
      <c r="B5068" t="str">
        <f ca="1">IFERROR(__xludf.DUMMYFUNCTION("""COMPUTED_VALUE"""),"RF-00000010-VET")</f>
        <v>RF-00000010-VET</v>
      </c>
    </row>
    <row r="5069" spans="1:2" ht="12.5" x14ac:dyDescent="0.25">
      <c r="A5069" t="str">
        <f ca="1">IFERROR(__xludf.DUMMYFUNCTION("""COMPUTED_VALUE"""),"Rebaudioside A")</f>
        <v>Rebaudioside A</v>
      </c>
      <c r="B5069" t="str">
        <f ca="1">IFERROR(__xludf.DUMMYFUNCTION("""COMPUTED_VALUE"""),"RF-00000006-ADD")</f>
        <v>RF-00000006-ADD</v>
      </c>
    </row>
    <row r="5070" spans="1:2" ht="12.5" x14ac:dyDescent="0.25">
      <c r="A5070" t="str">
        <f ca="1">IFERROR(__xludf.DUMMYFUNCTION("""COMPUTED_VALUE"""),"Rebaudioside B")</f>
        <v>Rebaudioside B</v>
      </c>
      <c r="B5070" t="str">
        <f ca="1">IFERROR(__xludf.DUMMYFUNCTION("""COMPUTED_VALUE"""),"RF-00000007-ADD")</f>
        <v>RF-00000007-ADD</v>
      </c>
    </row>
    <row r="5071" spans="1:2" ht="12.5" x14ac:dyDescent="0.25">
      <c r="A5071" t="str">
        <f ca="1">IFERROR(__xludf.DUMMYFUNCTION("""COMPUTED_VALUE"""),"Rebaudioside C")</f>
        <v>Rebaudioside C</v>
      </c>
      <c r="B5071" t="str">
        <f ca="1">IFERROR(__xludf.DUMMYFUNCTION("""COMPUTED_VALUE"""),"RF-00000008-ADD")</f>
        <v>RF-00000008-ADD</v>
      </c>
    </row>
    <row r="5072" spans="1:2" ht="12.5" x14ac:dyDescent="0.25">
      <c r="A5072" t="str">
        <f ca="1">IFERROR(__xludf.DUMMYFUNCTION("""COMPUTED_VALUE"""),"Rebaudioside D")</f>
        <v>Rebaudioside D</v>
      </c>
      <c r="B5072" t="str">
        <f ca="1">IFERROR(__xludf.DUMMYFUNCTION("""COMPUTED_VALUE"""),"RF-00000009-ADD")</f>
        <v>RF-00000009-ADD</v>
      </c>
    </row>
    <row r="5073" spans="1:2" ht="12.5" x14ac:dyDescent="0.25">
      <c r="A5073" t="str">
        <f ca="1">IFERROR(__xludf.DUMMYFUNCTION("""COMPUTED_VALUE"""),"Rebaudioside E")</f>
        <v>Rebaudioside E</v>
      </c>
      <c r="B5073" t="str">
        <f ca="1">IFERROR(__xludf.DUMMYFUNCTION("""COMPUTED_VALUE"""),"RF-00000010-ADD")</f>
        <v>RF-00000010-ADD</v>
      </c>
    </row>
    <row r="5074" spans="1:2" ht="12.5" x14ac:dyDescent="0.25">
      <c r="A5074" t="str">
        <f ca="1">IFERROR(__xludf.DUMMYFUNCTION("""COMPUTED_VALUE"""),"Rebaudioside F")</f>
        <v>Rebaudioside F</v>
      </c>
      <c r="B5074" t="str">
        <f ca="1">IFERROR(__xludf.DUMMYFUNCTION("""COMPUTED_VALUE"""),"RF-00000011-ADD")</f>
        <v>RF-00000011-ADD</v>
      </c>
    </row>
    <row r="5075" spans="1:2" ht="12.5" x14ac:dyDescent="0.25">
      <c r="A5075" t="str">
        <f ca="1">IFERROR(__xludf.DUMMYFUNCTION("""COMPUTED_VALUE"""),"Resmethrin (resmethrin including other mixtures of consituent isomers (sum of isomers))")</f>
        <v>Resmethrin (resmethrin including other mixtures of consituent isomers (sum of isomers))</v>
      </c>
      <c r="B5075" t="str">
        <f ca="1">IFERROR(__xludf.DUMMYFUNCTION("""COMPUTED_VALUE"""),"RF-0385-001-PPP")</f>
        <v>RF-0385-001-PPP</v>
      </c>
    </row>
    <row r="5076" spans="1:2" ht="12.5" x14ac:dyDescent="0.25">
      <c r="A5076" t="str">
        <f ca="1">IFERROR(__xludf.DUMMYFUNCTION("""COMPUTED_VALUE"""),"Resorcylic acid lactones, including zeranol")</f>
        <v>Resorcylic acid lactones, including zeranol</v>
      </c>
      <c r="B5076" t="str">
        <f ca="1">IFERROR(__xludf.DUMMYFUNCTION("""COMPUTED_VALUE"""),"RF-00000447-VET")</f>
        <v>RF-00000447-VET</v>
      </c>
    </row>
    <row r="5077" spans="1:2" ht="12.5" x14ac:dyDescent="0.25">
      <c r="A5077" t="str">
        <f ca="1">IFERROR(__xludf.DUMMYFUNCTION("""COMPUTED_VALUE"""),"retinaldehyde")</f>
        <v>retinaldehyde</v>
      </c>
      <c r="B5077" t="str">
        <f ca="1">IFERROR(__xludf.DUMMYFUNCTION("""COMPUTED_VALUE"""),"RF-00000383-NTR")</f>
        <v>RF-00000383-NTR</v>
      </c>
    </row>
    <row r="5078" spans="1:2" ht="12.5" x14ac:dyDescent="0.25">
      <c r="A5078" t="str">
        <f ca="1">IFERROR(__xludf.DUMMYFUNCTION("""COMPUTED_VALUE"""),"retinol (preformed vitamin A)")</f>
        <v>retinol (preformed vitamin A)</v>
      </c>
      <c r="B5078" t="str">
        <f ca="1">IFERROR(__xludf.DUMMYFUNCTION("""COMPUTED_VALUE"""),"RF-00000384-NTR")</f>
        <v>RF-00000384-NTR</v>
      </c>
    </row>
    <row r="5079" spans="1:2" ht="12.5" x14ac:dyDescent="0.25">
      <c r="A5079" t="str">
        <f ca="1">IFERROR(__xludf.DUMMYFUNCTION("""COMPUTED_VALUE"""),"Retronecine")</f>
        <v>Retronecine</v>
      </c>
      <c r="B5079" t="str">
        <f ca="1">IFERROR(__xludf.DUMMYFUNCTION("""COMPUTED_VALUE"""),"RF-00000294-TOX")</f>
        <v>RF-00000294-TOX</v>
      </c>
    </row>
    <row r="5080" spans="1:2" ht="12.5" x14ac:dyDescent="0.25">
      <c r="A5080" t="str">
        <f ca="1">IFERROR(__xludf.DUMMYFUNCTION("""COMPUTED_VALUE"""),"Retrorsine")</f>
        <v>Retrorsine</v>
      </c>
      <c r="B5080" t="str">
        <f ca="1">IFERROR(__xludf.DUMMYFUNCTION("""COMPUTED_VALUE"""),"RF-00000239-TOX")</f>
        <v>RF-00000239-TOX</v>
      </c>
    </row>
    <row r="5081" spans="1:2" ht="12.5" x14ac:dyDescent="0.25">
      <c r="A5081" t="str">
        <f ca="1">IFERROR(__xludf.DUMMYFUNCTION("""COMPUTED_VALUE"""),"Retrorsine-N-oxide")</f>
        <v>Retrorsine-N-oxide</v>
      </c>
      <c r="B5081" t="str">
        <f ca="1">IFERROR(__xludf.DUMMYFUNCTION("""COMPUTED_VALUE"""),"RF-00000295-TOX")</f>
        <v>RF-00000295-TOX</v>
      </c>
    </row>
    <row r="5082" spans="1:2" ht="12.5" x14ac:dyDescent="0.25">
      <c r="A5082" t="str">
        <f ca="1">IFERROR(__xludf.DUMMYFUNCTION("""COMPUTED_VALUE"""),"riboflavin")</f>
        <v>riboflavin</v>
      </c>
      <c r="B5082" t="str">
        <f ca="1">IFERROR(__xludf.DUMMYFUNCTION("""COMPUTED_VALUE"""),"RF-00000385-NTR")</f>
        <v>RF-00000385-NTR</v>
      </c>
    </row>
    <row r="5083" spans="1:2" ht="12.5" x14ac:dyDescent="0.25">
      <c r="A5083" t="str">
        <f ca="1">IFERROR(__xludf.DUMMYFUNCTION("""COMPUTED_VALUE"""),"Riboflavins")</f>
        <v>Riboflavins</v>
      </c>
      <c r="B5083" t="str">
        <f ca="1">IFERROR(__xludf.DUMMYFUNCTION("""COMPUTED_VALUE"""),"RF-00000267-ADD")</f>
        <v>RF-00000267-ADD</v>
      </c>
    </row>
    <row r="5084" spans="1:2" ht="12.5" x14ac:dyDescent="0.25">
      <c r="A5084" t="str">
        <f ca="1">IFERROR(__xludf.DUMMYFUNCTION("""COMPUTED_VALUE"""),"ribose")</f>
        <v>ribose</v>
      </c>
      <c r="B5084" t="str">
        <f ca="1">IFERROR(__xludf.DUMMYFUNCTION("""COMPUTED_VALUE"""),"RF-00000386-NTR")</f>
        <v>RF-00000386-NTR</v>
      </c>
    </row>
    <row r="5085" spans="1:2" ht="12.5" x14ac:dyDescent="0.25">
      <c r="A5085" t="str">
        <f ca="1">IFERROR(__xludf.DUMMYFUNCTION("""COMPUTED_VALUE"""),"Ricin")</f>
        <v>Ricin</v>
      </c>
      <c r="B5085" t="str">
        <f ca="1">IFERROR(__xludf.DUMMYFUNCTION("""COMPUTED_VALUE"""),"RF-00000335-TOX")</f>
        <v>RF-00000335-TOX</v>
      </c>
    </row>
    <row r="5086" spans="1:2" ht="12.5" x14ac:dyDescent="0.25">
      <c r="A5086" t="str">
        <f ca="1">IFERROR(__xludf.DUMMYFUNCTION("""COMPUTED_VALUE"""),"Rickettsia")</f>
        <v>Rickettsia</v>
      </c>
      <c r="B5086" t="str">
        <f ca="1">IFERROR(__xludf.DUMMYFUNCTION("""COMPUTED_VALUE"""),"RF-00000296-MCG")</f>
        <v>RF-00000296-MCG</v>
      </c>
    </row>
    <row r="5087" spans="1:2" ht="12.5" x14ac:dyDescent="0.25">
      <c r="A5087" t="str">
        <f ca="1">IFERROR(__xludf.DUMMYFUNCTION("""COMPUTED_VALUE"""),"Rickettsia aeschlimannii")</f>
        <v>Rickettsia aeschlimannii</v>
      </c>
      <c r="B5087" t="str">
        <f ca="1">IFERROR(__xludf.DUMMYFUNCTION("""COMPUTED_VALUE"""),"RF-00002750-MCG")</f>
        <v>RF-00002750-MCG</v>
      </c>
    </row>
    <row r="5088" spans="1:2" ht="12.5" x14ac:dyDescent="0.25">
      <c r="A5088" t="str">
        <f ca="1">IFERROR(__xludf.DUMMYFUNCTION("""COMPUTED_VALUE"""),"Rickettsia africae")</f>
        <v>Rickettsia africae</v>
      </c>
      <c r="B5088" t="str">
        <f ca="1">IFERROR(__xludf.DUMMYFUNCTION("""COMPUTED_VALUE"""),"RF-00002751-MCG")</f>
        <v>RF-00002751-MCG</v>
      </c>
    </row>
    <row r="5089" spans="1:2" ht="12.5" x14ac:dyDescent="0.25">
      <c r="A5089" t="str">
        <f ca="1">IFERROR(__xludf.DUMMYFUNCTION("""COMPUTED_VALUE"""),"Rickettsia akari")</f>
        <v>Rickettsia akari</v>
      </c>
      <c r="B5089" t="str">
        <f ca="1">IFERROR(__xludf.DUMMYFUNCTION("""COMPUTED_VALUE"""),"RF-00002752-MCG")</f>
        <v>RF-00002752-MCG</v>
      </c>
    </row>
    <row r="5090" spans="1:2" ht="12.5" x14ac:dyDescent="0.25">
      <c r="A5090" t="str">
        <f ca="1">IFERROR(__xludf.DUMMYFUNCTION("""COMPUTED_VALUE"""),"Rickettsia asiatica")</f>
        <v>Rickettsia asiatica</v>
      </c>
      <c r="B5090" t="str">
        <f ca="1">IFERROR(__xludf.DUMMYFUNCTION("""COMPUTED_VALUE"""),"RF-00002753-MCG")</f>
        <v>RF-00002753-MCG</v>
      </c>
    </row>
    <row r="5091" spans="1:2" ht="12.5" x14ac:dyDescent="0.25">
      <c r="A5091" t="str">
        <f ca="1">IFERROR(__xludf.DUMMYFUNCTION("""COMPUTED_VALUE"""),"Rickettsia australis")</f>
        <v>Rickettsia australis</v>
      </c>
      <c r="B5091" t="str">
        <f ca="1">IFERROR(__xludf.DUMMYFUNCTION("""COMPUTED_VALUE"""),"RF-00002754-MCG")</f>
        <v>RF-00002754-MCG</v>
      </c>
    </row>
    <row r="5092" spans="1:2" ht="12.5" x14ac:dyDescent="0.25">
      <c r="A5092" t="str">
        <f ca="1">IFERROR(__xludf.DUMMYFUNCTION("""COMPUTED_VALUE"""),"Rickettsia barbariae")</f>
        <v>Rickettsia barbariae</v>
      </c>
      <c r="B5092" t="str">
        <f ca="1">IFERROR(__xludf.DUMMYFUNCTION("""COMPUTED_VALUE"""),"RF-00003919-MCG")</f>
        <v>RF-00003919-MCG</v>
      </c>
    </row>
    <row r="5093" spans="1:2" ht="12.5" x14ac:dyDescent="0.25">
      <c r="A5093" t="str">
        <f ca="1">IFERROR(__xludf.DUMMYFUNCTION("""COMPUTED_VALUE"""),"Rickettsia bellii")</f>
        <v>Rickettsia bellii</v>
      </c>
      <c r="B5093" t="str">
        <f ca="1">IFERROR(__xludf.DUMMYFUNCTION("""COMPUTED_VALUE"""),"RF-00002755-MCG")</f>
        <v>RF-00002755-MCG</v>
      </c>
    </row>
    <row r="5094" spans="1:2" ht="12.5" x14ac:dyDescent="0.25">
      <c r="A5094" t="str">
        <f ca="1">IFERROR(__xludf.DUMMYFUNCTION("""COMPUTED_VALUE"""),"Rickettsia canadensis")</f>
        <v>Rickettsia canadensis</v>
      </c>
      <c r="B5094" t="str">
        <f ca="1">IFERROR(__xludf.DUMMYFUNCTION("""COMPUTED_VALUE"""),"RF-00002756-MCG")</f>
        <v>RF-00002756-MCG</v>
      </c>
    </row>
    <row r="5095" spans="1:2" ht="12.5" x14ac:dyDescent="0.25">
      <c r="A5095" t="str">
        <f ca="1">IFERROR(__xludf.DUMMYFUNCTION("""COMPUTED_VALUE"""),"Rickettsia conorii")</f>
        <v>Rickettsia conorii</v>
      </c>
      <c r="B5095" t="str">
        <f ca="1">IFERROR(__xludf.DUMMYFUNCTION("""COMPUTED_VALUE"""),"RF-00000300-MCG")</f>
        <v>RF-00000300-MCG</v>
      </c>
    </row>
    <row r="5096" spans="1:2" ht="12.5" x14ac:dyDescent="0.25">
      <c r="A5096" t="str">
        <f ca="1">IFERROR(__xludf.DUMMYFUNCTION("""COMPUTED_VALUE"""),"Rickettsia felis")</f>
        <v>Rickettsia felis</v>
      </c>
      <c r="B5096" t="str">
        <f ca="1">IFERROR(__xludf.DUMMYFUNCTION("""COMPUTED_VALUE"""),"RF-00002757-MCG")</f>
        <v>RF-00002757-MCG</v>
      </c>
    </row>
    <row r="5097" spans="1:2" ht="12.5" x14ac:dyDescent="0.25">
      <c r="A5097" t="str">
        <f ca="1">IFERROR(__xludf.DUMMYFUNCTION("""COMPUTED_VALUE"""),"Rickettsia heilongjiangensis")</f>
        <v>Rickettsia heilongjiangensis</v>
      </c>
      <c r="B5097" t="str">
        <f ca="1">IFERROR(__xludf.DUMMYFUNCTION("""COMPUTED_VALUE"""),"RF-00002758-MCG")</f>
        <v>RF-00002758-MCG</v>
      </c>
    </row>
    <row r="5098" spans="1:2" ht="12.5" x14ac:dyDescent="0.25">
      <c r="A5098" t="str">
        <f ca="1">IFERROR(__xludf.DUMMYFUNCTION("""COMPUTED_VALUE"""),"Rickettsia helvetica")</f>
        <v>Rickettsia helvetica</v>
      </c>
      <c r="B5098" t="str">
        <f ca="1">IFERROR(__xludf.DUMMYFUNCTION("""COMPUTED_VALUE"""),"RF-00002759-MCG")</f>
        <v>RF-00002759-MCG</v>
      </c>
    </row>
    <row r="5099" spans="1:2" ht="12.5" x14ac:dyDescent="0.25">
      <c r="A5099" t="str">
        <f ca="1">IFERROR(__xludf.DUMMYFUNCTION("""COMPUTED_VALUE"""),"Rickettsia honei")</f>
        <v>Rickettsia honei</v>
      </c>
      <c r="B5099" t="str">
        <f ca="1">IFERROR(__xludf.DUMMYFUNCTION("""COMPUTED_VALUE"""),"RF-00002760-MCG")</f>
        <v>RF-00002760-MCG</v>
      </c>
    </row>
    <row r="5100" spans="1:2" ht="12.5" x14ac:dyDescent="0.25">
      <c r="A5100" t="str">
        <f ca="1">IFERROR(__xludf.DUMMYFUNCTION("""COMPUTED_VALUE"""),"Rickettsia japonica")</f>
        <v>Rickettsia japonica</v>
      </c>
      <c r="B5100" t="str">
        <f ca="1">IFERROR(__xludf.DUMMYFUNCTION("""COMPUTED_VALUE"""),"RF-00002761-MCG")</f>
        <v>RF-00002761-MCG</v>
      </c>
    </row>
    <row r="5101" spans="1:2" ht="12.5" x14ac:dyDescent="0.25">
      <c r="A5101" t="str">
        <f ca="1">IFERROR(__xludf.DUMMYFUNCTION("""COMPUTED_VALUE"""),"Rickettsia massiliae")</f>
        <v>Rickettsia massiliae</v>
      </c>
      <c r="B5101" t="str">
        <f ca="1">IFERROR(__xludf.DUMMYFUNCTION("""COMPUTED_VALUE"""),"RF-00002762-MCG")</f>
        <v>RF-00002762-MCG</v>
      </c>
    </row>
    <row r="5102" spans="1:2" ht="12.5" x14ac:dyDescent="0.25">
      <c r="A5102" t="str">
        <f ca="1">IFERROR(__xludf.DUMMYFUNCTION("""COMPUTED_VALUE"""),"Rickettsia monacensis")</f>
        <v>Rickettsia monacensis</v>
      </c>
      <c r="B5102" t="str">
        <f ca="1">IFERROR(__xludf.DUMMYFUNCTION("""COMPUTED_VALUE"""),"RF-00003918-MCG")</f>
        <v>RF-00003918-MCG</v>
      </c>
    </row>
    <row r="5103" spans="1:2" ht="12.5" x14ac:dyDescent="0.25">
      <c r="A5103" t="str">
        <f ca="1">IFERROR(__xludf.DUMMYFUNCTION("""COMPUTED_VALUE"""),"Rickettsia montanensis")</f>
        <v>Rickettsia montanensis</v>
      </c>
      <c r="B5103" t="str">
        <f ca="1">IFERROR(__xludf.DUMMYFUNCTION("""COMPUTED_VALUE"""),"RF-00002763-MCG")</f>
        <v>RF-00002763-MCG</v>
      </c>
    </row>
    <row r="5104" spans="1:2" ht="12.5" x14ac:dyDescent="0.25">
      <c r="A5104" t="str">
        <f ca="1">IFERROR(__xludf.DUMMYFUNCTION("""COMPUTED_VALUE"""),"Rickettsia parkeri")</f>
        <v>Rickettsia parkeri</v>
      </c>
      <c r="B5104" t="str">
        <f ca="1">IFERROR(__xludf.DUMMYFUNCTION("""COMPUTED_VALUE"""),"RF-00002764-MCG")</f>
        <v>RF-00002764-MCG</v>
      </c>
    </row>
    <row r="5105" spans="1:2" ht="12.5" x14ac:dyDescent="0.25">
      <c r="A5105" t="str">
        <f ca="1">IFERROR(__xludf.DUMMYFUNCTION("""COMPUTED_VALUE"""),"Rickettsia peacockii")</f>
        <v>Rickettsia peacockii</v>
      </c>
      <c r="B5105" t="str">
        <f ca="1">IFERROR(__xludf.DUMMYFUNCTION("""COMPUTED_VALUE"""),"RF-00002765-MCG")</f>
        <v>RF-00002765-MCG</v>
      </c>
    </row>
    <row r="5106" spans="1:2" ht="12.5" x14ac:dyDescent="0.25">
      <c r="A5106" t="str">
        <f ca="1">IFERROR(__xludf.DUMMYFUNCTION("""COMPUTED_VALUE"""),"Rickettsia prowazekii")</f>
        <v>Rickettsia prowazekii</v>
      </c>
      <c r="B5106" t="str">
        <f ca="1">IFERROR(__xludf.DUMMYFUNCTION("""COMPUTED_VALUE"""),"RF-00000299-MCG")</f>
        <v>RF-00000299-MCG</v>
      </c>
    </row>
    <row r="5107" spans="1:2" ht="12.5" x14ac:dyDescent="0.25">
      <c r="A5107" t="str">
        <f ca="1">IFERROR(__xludf.DUMMYFUNCTION("""COMPUTED_VALUE"""),"Rickettsia raoultii")</f>
        <v>Rickettsia raoultii</v>
      </c>
      <c r="B5107" t="str">
        <f ca="1">IFERROR(__xludf.DUMMYFUNCTION("""COMPUTED_VALUE"""),"RF-00003917-MCG")</f>
        <v>RF-00003917-MCG</v>
      </c>
    </row>
    <row r="5108" spans="1:2" ht="12.5" x14ac:dyDescent="0.25">
      <c r="A5108" t="str">
        <f ca="1">IFERROR(__xludf.DUMMYFUNCTION("""COMPUTED_VALUE"""),"Rickettsia rhipicephali")</f>
        <v>Rickettsia rhipicephali</v>
      </c>
      <c r="B5108" t="str">
        <f ca="1">IFERROR(__xludf.DUMMYFUNCTION("""COMPUTED_VALUE"""),"RF-00002766-MCG")</f>
        <v>RF-00002766-MCG</v>
      </c>
    </row>
    <row r="5109" spans="1:2" ht="12.5" x14ac:dyDescent="0.25">
      <c r="A5109" t="str">
        <f ca="1">IFERROR(__xludf.DUMMYFUNCTION("""COMPUTED_VALUE"""),"Rickettsia rickettsii")</f>
        <v>Rickettsia rickettsii</v>
      </c>
      <c r="B5109" t="str">
        <f ca="1">IFERROR(__xludf.DUMMYFUNCTION("""COMPUTED_VALUE"""),"RF-00000297-MCG")</f>
        <v>RF-00000297-MCG</v>
      </c>
    </row>
    <row r="5110" spans="1:2" ht="12.5" x14ac:dyDescent="0.25">
      <c r="A5110" t="str">
        <f ca="1">IFERROR(__xludf.DUMMYFUNCTION("""COMPUTED_VALUE"""),"Rickettsia sibirica")</f>
        <v>Rickettsia sibirica</v>
      </c>
      <c r="B5110" t="str">
        <f ca="1">IFERROR(__xludf.DUMMYFUNCTION("""COMPUTED_VALUE"""),"RF-00002767-MCG")</f>
        <v>RF-00002767-MCG</v>
      </c>
    </row>
    <row r="5111" spans="1:2" ht="12.5" x14ac:dyDescent="0.25">
      <c r="A5111" t="str">
        <f ca="1">IFERROR(__xludf.DUMMYFUNCTION("""COMPUTED_VALUE"""),"Rickettsia slovaca")</f>
        <v>Rickettsia slovaca</v>
      </c>
      <c r="B5111" t="str">
        <f ca="1">IFERROR(__xludf.DUMMYFUNCTION("""COMPUTED_VALUE"""),"RF-00002768-MCG")</f>
        <v>RF-00002768-MCG</v>
      </c>
    </row>
    <row r="5112" spans="1:2" ht="12.5" x14ac:dyDescent="0.25">
      <c r="A5112" t="str">
        <f ca="1">IFERROR(__xludf.DUMMYFUNCTION("""COMPUTED_VALUE"""),"Rickettsia spp., unspecified")</f>
        <v>Rickettsia spp., unspecified</v>
      </c>
      <c r="B5112" t="str">
        <f ca="1">IFERROR(__xludf.DUMMYFUNCTION("""COMPUTED_VALUE"""),"RF-00000301-MCG")</f>
        <v>RF-00000301-MCG</v>
      </c>
    </row>
    <row r="5113" spans="1:2" ht="12.5" x14ac:dyDescent="0.25">
      <c r="A5113" t="str">
        <f ca="1">IFERROR(__xludf.DUMMYFUNCTION("""COMPUTED_VALUE"""),"Rickettsia tamurae")</f>
        <v>Rickettsia tamurae</v>
      </c>
      <c r="B5113" t="str">
        <f ca="1">IFERROR(__xludf.DUMMYFUNCTION("""COMPUTED_VALUE"""),"RF-00002769-MCG")</f>
        <v>RF-00002769-MCG</v>
      </c>
    </row>
    <row r="5114" spans="1:2" ht="12.5" x14ac:dyDescent="0.25">
      <c r="A5114" t="str">
        <f ca="1">IFERROR(__xludf.DUMMYFUNCTION("""COMPUTED_VALUE"""),"Rickettsia typhi")</f>
        <v>Rickettsia typhi</v>
      </c>
      <c r="B5114" t="str">
        <f ca="1">IFERROR(__xludf.DUMMYFUNCTION("""COMPUTED_VALUE"""),"RF-00000298-MCG")</f>
        <v>RF-00000298-MCG</v>
      </c>
    </row>
    <row r="5115" spans="1:2" ht="12.5" x14ac:dyDescent="0.25">
      <c r="A5115" t="str">
        <f ca="1">IFERROR(__xludf.DUMMYFUNCTION("""COMPUTED_VALUE"""),"Riddelliine")</f>
        <v>Riddelliine</v>
      </c>
      <c r="B5115" t="str">
        <f ca="1">IFERROR(__xludf.DUMMYFUNCTION("""COMPUTED_VALUE"""),"RF-00000237-TOX")</f>
        <v>RF-00000237-TOX</v>
      </c>
    </row>
    <row r="5116" spans="1:2" ht="12.5" x14ac:dyDescent="0.25">
      <c r="A5116" t="str">
        <f ca="1">IFERROR(__xludf.DUMMYFUNCTION("""COMPUTED_VALUE"""),"Riddelline-N-oxide")</f>
        <v>Riddelline-N-oxide</v>
      </c>
      <c r="B5116" t="str">
        <f ca="1">IFERROR(__xludf.DUMMYFUNCTION("""COMPUTED_VALUE"""),"RF-00000413-TOX")</f>
        <v>RF-00000413-TOX</v>
      </c>
    </row>
    <row r="5117" spans="1:2" ht="12.5" x14ac:dyDescent="0.25">
      <c r="A5117" t="str">
        <f ca="1">IFERROR(__xludf.DUMMYFUNCTION("""COMPUTED_VALUE"""),"Rifampicin")</f>
        <v>Rifampicin</v>
      </c>
      <c r="B5117" t="str">
        <f ca="1">IFERROR(__xludf.DUMMYFUNCTION("""COMPUTED_VALUE"""),"RF-00000709-VET")</f>
        <v>RF-00000709-VET</v>
      </c>
    </row>
    <row r="5118" spans="1:2" ht="12.5" x14ac:dyDescent="0.25">
      <c r="A5118" t="str">
        <f ca="1">IFERROR(__xludf.DUMMYFUNCTION("""COMPUTED_VALUE"""),"Rifamycin")</f>
        <v>Rifamycin</v>
      </c>
      <c r="B5118" t="str">
        <f ca="1">IFERROR(__xludf.DUMMYFUNCTION("""COMPUTED_VALUE"""),"RF-00000577-VET")</f>
        <v>RF-00000577-VET</v>
      </c>
    </row>
    <row r="5119" spans="1:2" ht="12.5" x14ac:dyDescent="0.25">
      <c r="A5119" t="str">
        <f ca="1">IFERROR(__xludf.DUMMYFUNCTION("""COMPUTED_VALUE"""),"Rifaximin")</f>
        <v>Rifaximin</v>
      </c>
      <c r="B5119" t="str">
        <f ca="1">IFERROR(__xludf.DUMMYFUNCTION("""COMPUTED_VALUE"""),"RF-00000567-VET")</f>
        <v>RF-00000567-VET</v>
      </c>
    </row>
    <row r="5120" spans="1:2" ht="12.5" x14ac:dyDescent="0.25">
      <c r="A5120" t="str">
        <f ca="1">IFERROR(__xludf.DUMMYFUNCTION("""COMPUTED_VALUE"""),"Rimsulfuron")</f>
        <v>Rimsulfuron</v>
      </c>
      <c r="B5120" t="str">
        <f ca="1">IFERROR(__xludf.DUMMYFUNCTION("""COMPUTED_VALUE"""),"RF-0386-001-PPP")</f>
        <v>RF-0386-001-PPP</v>
      </c>
    </row>
    <row r="5121" spans="1:2" ht="12.5" x14ac:dyDescent="0.25">
      <c r="A5121" t="str">
        <f ca="1">IFERROR(__xludf.DUMMYFUNCTION("""COMPUTED_VALUE"""),"Rinderine")</f>
        <v>Rinderine</v>
      </c>
      <c r="B5121" t="str">
        <f ca="1">IFERROR(__xludf.DUMMYFUNCTION("""COMPUTED_VALUE"""),"RF-00000296-TOX")</f>
        <v>RF-00000296-TOX</v>
      </c>
    </row>
    <row r="5122" spans="1:2" ht="12.5" x14ac:dyDescent="0.25">
      <c r="A5122" t="str">
        <f ca="1">IFERROR(__xludf.DUMMYFUNCTION("""COMPUTED_VALUE"""),"Ritodrin")</f>
        <v>Ritodrin</v>
      </c>
      <c r="B5122" t="str">
        <f ca="1">IFERROR(__xludf.DUMMYFUNCTION("""COMPUTED_VALUE"""),"RF-00000490-VET")</f>
        <v>RF-00000490-VET</v>
      </c>
    </row>
    <row r="5123" spans="1:2" ht="12.5" x14ac:dyDescent="0.25">
      <c r="A5123" t="str">
        <f ca="1">IFERROR(__xludf.DUMMYFUNCTION("""COMPUTED_VALUE"""),"Robenidine")</f>
        <v>Robenidine</v>
      </c>
      <c r="B5123" t="str">
        <f ca="1">IFERROR(__xludf.DUMMYFUNCTION("""COMPUTED_VALUE"""),"RF-00000057-VET")</f>
        <v>RF-00000057-VET</v>
      </c>
    </row>
    <row r="5124" spans="1:2" ht="12.5" x14ac:dyDescent="0.25">
      <c r="A5124" t="str">
        <f ca="1">IFERROR(__xludf.DUMMYFUNCTION("""COMPUTED_VALUE"""),"Rolitetracycline")</f>
        <v>Rolitetracycline</v>
      </c>
      <c r="B5124" t="str">
        <f ca="1">IFERROR(__xludf.DUMMYFUNCTION("""COMPUTED_VALUE"""),"RF-00000570-VET")</f>
        <v>RF-00000570-VET</v>
      </c>
    </row>
    <row r="5125" spans="1:2" ht="12.5" x14ac:dyDescent="0.25">
      <c r="A5125" t="str">
        <f ca="1">IFERROR(__xludf.DUMMYFUNCTION("""COMPUTED_VALUE"""),"Ronidazol")</f>
        <v>Ronidazol</v>
      </c>
      <c r="B5125" t="str">
        <f ca="1">IFERROR(__xludf.DUMMYFUNCTION("""COMPUTED_VALUE"""),"RF-00000501-VET")</f>
        <v>RF-00000501-VET</v>
      </c>
    </row>
    <row r="5126" spans="1:2" ht="12.5" x14ac:dyDescent="0.25">
      <c r="A5126" t="str">
        <f ca="1">IFERROR(__xludf.DUMMYFUNCTION("""COMPUTED_VALUE"""),"Rotavirus")</f>
        <v>Rotavirus</v>
      </c>
      <c r="B5126" t="str">
        <f ca="1">IFERROR(__xludf.DUMMYFUNCTION("""COMPUTED_VALUE"""),"RF-00000302-MCG")</f>
        <v>RF-00000302-MCG</v>
      </c>
    </row>
    <row r="5127" spans="1:2" ht="12.5" x14ac:dyDescent="0.25">
      <c r="A5127" t="str">
        <f ca="1">IFERROR(__xludf.DUMMYFUNCTION("""COMPUTED_VALUE"""),"Rotavirus")</f>
        <v>Rotavirus</v>
      </c>
      <c r="B5127" t="str">
        <f ca="1">IFERROR(__xludf.DUMMYFUNCTION("""COMPUTED_VALUE"""),"RF-00000303-MCG")</f>
        <v>RF-00000303-MCG</v>
      </c>
    </row>
    <row r="5128" spans="1:2" ht="12.5" x14ac:dyDescent="0.25">
      <c r="A5128" t="str">
        <f ca="1">IFERROR(__xludf.DUMMYFUNCTION("""COMPUTED_VALUE"""),"Rotenone")</f>
        <v>Rotenone</v>
      </c>
      <c r="B5128" t="str">
        <f ca="1">IFERROR(__xludf.DUMMYFUNCTION("""COMPUTED_VALUE"""),"RF-0387-001-PPP")</f>
        <v>RF-0387-001-PPP</v>
      </c>
    </row>
    <row r="5129" spans="1:2" ht="12.5" x14ac:dyDescent="0.25">
      <c r="A5129" t="str">
        <f ca="1">IFERROR(__xludf.DUMMYFUNCTION("""COMPUTED_VALUE"""),"Roxithromycin")</f>
        <v>Roxithromycin</v>
      </c>
      <c r="B5129" t="str">
        <f ca="1">IFERROR(__xludf.DUMMYFUNCTION("""COMPUTED_VALUE"""),"RF-00000576-VET")</f>
        <v>RF-00000576-VET</v>
      </c>
    </row>
    <row r="5130" spans="1:2" ht="12.5" x14ac:dyDescent="0.25">
      <c r="A5130" t="str">
        <f ca="1">IFERROR(__xludf.DUMMYFUNCTION("""COMPUTED_VALUE"""),"rubidium")</f>
        <v>rubidium</v>
      </c>
      <c r="B5130" t="str">
        <f ca="1">IFERROR(__xludf.DUMMYFUNCTION("""COMPUTED_VALUE"""),"RF-00000387-NTR")</f>
        <v>RF-00000387-NTR</v>
      </c>
    </row>
    <row r="5131" spans="1:2" ht="12.5" x14ac:dyDescent="0.25">
      <c r="A5131" t="str">
        <f ca="1">IFERROR(__xludf.DUMMYFUNCTION("""COMPUTED_VALUE"""),"Rubusoside")</f>
        <v>Rubusoside</v>
      </c>
      <c r="B5131" t="str">
        <f ca="1">IFERROR(__xludf.DUMMYFUNCTION("""COMPUTED_VALUE"""),"RF-00000012-ADD")</f>
        <v>RF-00000012-ADD</v>
      </c>
    </row>
    <row r="5132" spans="1:2" ht="12.5" x14ac:dyDescent="0.25">
      <c r="A5132" t="str">
        <f ca="1">IFERROR(__xludf.DUMMYFUNCTION("""COMPUTED_VALUE"""),"Rufloxacin")</f>
        <v>Rufloxacin</v>
      </c>
      <c r="B5132" t="str">
        <f ca="1">IFERROR(__xludf.DUMMYFUNCTION("""COMPUTED_VALUE"""),"RF-00000735-VET")</f>
        <v>RF-00000735-VET</v>
      </c>
    </row>
    <row r="5133" spans="1:2" ht="12.5" x14ac:dyDescent="0.25">
      <c r="A5133" t="str">
        <f ca="1">IFERROR(__xludf.DUMMYFUNCTION("""COMPUTED_VALUE"""),"S421")</f>
        <v>S421</v>
      </c>
      <c r="B5133" t="str">
        <f ca="1">IFERROR(__xludf.DUMMYFUNCTION("""COMPUTED_VALUE"""),"RF-0889-001-PPP")</f>
        <v>RF-0889-001-PPP</v>
      </c>
    </row>
    <row r="5134" spans="1:2" ht="12.5" x14ac:dyDescent="0.25">
      <c r="A5134" t="str">
        <f ca="1">IFERROR(__xludf.DUMMYFUNCTION("""COMPUTED_VALUE"""),"Saccharin")</f>
        <v>Saccharin</v>
      </c>
      <c r="B5134" t="str">
        <f ca="1">IFERROR(__xludf.DUMMYFUNCTION("""COMPUTED_VALUE"""),"RF-00000013-ADD")</f>
        <v>RF-00000013-ADD</v>
      </c>
    </row>
    <row r="5135" spans="1:2" ht="12.5" x14ac:dyDescent="0.25">
      <c r="A5135" t="str">
        <f ca="1">IFERROR(__xludf.DUMMYFUNCTION("""COMPUTED_VALUE"""),"Salbutamol (albuterol)")</f>
        <v>Salbutamol (albuterol)</v>
      </c>
      <c r="B5135" t="str">
        <f ca="1">IFERROR(__xludf.DUMMYFUNCTION("""COMPUTED_VALUE"""),"RF-00000459-VET")</f>
        <v>RF-00000459-VET</v>
      </c>
    </row>
    <row r="5136" spans="1:2" ht="12.5" x14ac:dyDescent="0.25">
      <c r="A5136" t="str">
        <f ca="1">IFERROR(__xludf.DUMMYFUNCTION("""COMPUTED_VALUE"""),"Salicylic acid")</f>
        <v>Salicylic acid</v>
      </c>
      <c r="B5136" t="str">
        <f ca="1">IFERROR(__xludf.DUMMYFUNCTION("""COMPUTED_VALUE"""),"RF-00000241-VET")</f>
        <v>RF-00000241-VET</v>
      </c>
    </row>
    <row r="5137" spans="1:2" ht="12.5" x14ac:dyDescent="0.25">
      <c r="A5137" t="str">
        <f ca="1">IFERROR(__xludf.DUMMYFUNCTION("""COMPUTED_VALUE"""),"salicylic acid")</f>
        <v>salicylic acid</v>
      </c>
      <c r="B5137" t="str">
        <f ca="1">IFERROR(__xludf.DUMMYFUNCTION("""COMPUTED_VALUE"""),"RF-00000388-NTR")</f>
        <v>RF-00000388-NTR</v>
      </c>
    </row>
    <row r="5138" spans="1:2" ht="12.5" x14ac:dyDescent="0.25">
      <c r="A5138" t="str">
        <f ca="1">IFERROR(__xludf.DUMMYFUNCTION("""COMPUTED_VALUE"""),"Salinomycin")</f>
        <v>Salinomycin</v>
      </c>
      <c r="B5138" t="str">
        <f ca="1">IFERROR(__xludf.DUMMYFUNCTION("""COMPUTED_VALUE"""),"RF-00000094-VET")</f>
        <v>RF-00000094-VET</v>
      </c>
    </row>
    <row r="5139" spans="1:2" ht="12.5" x14ac:dyDescent="0.25">
      <c r="A5139" t="str">
        <f ca="1">IFERROR(__xludf.DUMMYFUNCTION("""COMPUTED_VALUE"""),"Salinomycin sodium")</f>
        <v>Salinomycin sodium</v>
      </c>
      <c r="B5139" t="str">
        <f ca="1">IFERROR(__xludf.DUMMYFUNCTION("""COMPUTED_VALUE"""),"RF-00000078-VET")</f>
        <v>RF-00000078-VET</v>
      </c>
    </row>
    <row r="5140" spans="1:2" ht="12.5" x14ac:dyDescent="0.25">
      <c r="A5140" t="str">
        <f ca="1">IFERROR(__xludf.DUMMYFUNCTION("""COMPUTED_VALUE"""),"Salmeterol")</f>
        <v>Salmeterol</v>
      </c>
      <c r="B5140" t="str">
        <f ca="1">IFERROR(__xludf.DUMMYFUNCTION("""COMPUTED_VALUE"""),"RF-00000457-VET")</f>
        <v>RF-00000457-VET</v>
      </c>
    </row>
    <row r="5141" spans="1:2" ht="12.5" x14ac:dyDescent="0.25">
      <c r="A5141" t="str">
        <f ca="1">IFERROR(__xludf.DUMMYFUNCTION("""COMPUTED_VALUE"""),"Salmeterol hydroxynapthoate")</f>
        <v>Salmeterol hydroxynapthoate</v>
      </c>
      <c r="B5141" t="str">
        <f ca="1">IFERROR(__xludf.DUMMYFUNCTION("""COMPUTED_VALUE"""),"RF-00000456-VET")</f>
        <v>RF-00000456-VET</v>
      </c>
    </row>
    <row r="5142" spans="1:2" ht="12.5" x14ac:dyDescent="0.25">
      <c r="A5142" t="str">
        <f ca="1">IFERROR(__xludf.DUMMYFUNCTION("""COMPUTED_VALUE"""),"Salmonella")</f>
        <v>Salmonella</v>
      </c>
      <c r="B5142" t="str">
        <f ca="1">IFERROR(__xludf.DUMMYFUNCTION("""COMPUTED_VALUE"""),"RF-00000304-MCG")</f>
        <v>RF-00000304-MCG</v>
      </c>
    </row>
    <row r="5143" spans="1:2" ht="12.5" x14ac:dyDescent="0.25">
      <c r="A5143" t="str">
        <f ca="1">IFERROR(__xludf.DUMMYFUNCTION("""COMPUTED_VALUE"""),"Salmonella - Not typeable")</f>
        <v>Salmonella - Not typeable</v>
      </c>
      <c r="B5143" t="str">
        <f ca="1">IFERROR(__xludf.DUMMYFUNCTION("""COMPUTED_VALUE"""),"RF-00003030-MCG")</f>
        <v>RF-00003030-MCG</v>
      </c>
    </row>
    <row r="5144" spans="1:2" ht="12.5" x14ac:dyDescent="0.25">
      <c r="A5144" t="str">
        <f ca="1">IFERROR(__xludf.DUMMYFUNCTION("""COMPUTED_VALUE"""),"Salmonella - Other serovars")</f>
        <v>Salmonella - Other serovars</v>
      </c>
      <c r="B5144" t="str">
        <f ca="1">IFERROR(__xludf.DUMMYFUNCTION("""COMPUTED_VALUE"""),"RF-00003031-MCG")</f>
        <v>RF-00003031-MCG</v>
      </c>
    </row>
    <row r="5145" spans="1:2" ht="12.5" x14ac:dyDescent="0.25">
      <c r="A5145" t="str">
        <f ca="1">IFERROR(__xludf.DUMMYFUNCTION("""COMPUTED_VALUE"""),"Salmonella - S. 1,3,19:-:l,w")</f>
        <v>Salmonella - S. 1,3,19:-:l,w</v>
      </c>
      <c r="B5145" t="str">
        <f ca="1">IFERROR(__xludf.DUMMYFUNCTION("""COMPUTED_VALUE"""),"RF-00004090-MCG")</f>
        <v>RF-00004090-MCG</v>
      </c>
    </row>
    <row r="5146" spans="1:2" ht="12.5" x14ac:dyDescent="0.25">
      <c r="A5146" t="str">
        <f ca="1">IFERROR(__xludf.DUMMYFUNCTION("""COMPUTED_VALUE"""),"Salmonella - S. 1,4,[5],12:-:-")</f>
        <v>Salmonella - S. 1,4,[5],12:-:-</v>
      </c>
      <c r="B5146" t="str">
        <f ca="1">IFERROR(__xludf.DUMMYFUNCTION("""COMPUTED_VALUE"""),"RF-00003032-MCG")</f>
        <v>RF-00003032-MCG</v>
      </c>
    </row>
    <row r="5147" spans="1:2" ht="12.5" x14ac:dyDescent="0.25">
      <c r="A5147" t="str">
        <f ca="1">IFERROR(__xludf.DUMMYFUNCTION("""COMPUTED_VALUE"""),"Salmonella - S. 1,4,[5],12:-:1,2")</f>
        <v>Salmonella - S. 1,4,[5],12:-:1,2</v>
      </c>
      <c r="B5147" t="str">
        <f ca="1">IFERROR(__xludf.DUMMYFUNCTION("""COMPUTED_VALUE"""),"RF-00004087-MCG")</f>
        <v>RF-00004087-MCG</v>
      </c>
    </row>
    <row r="5148" spans="1:2" ht="12.5" x14ac:dyDescent="0.25">
      <c r="A5148" t="str">
        <f ca="1">IFERROR(__xludf.DUMMYFUNCTION("""COMPUTED_VALUE"""),"Salmonella - S. 1,4,[5],12:i:- - 1")</f>
        <v>Salmonella - S. 1,4,[5],12:i:- - 1</v>
      </c>
      <c r="B5148" t="str">
        <f ca="1">IFERROR(__xludf.DUMMYFUNCTION("""COMPUTED_VALUE"""),"RF-00003056-MCG")</f>
        <v>RF-00003056-MCG</v>
      </c>
    </row>
    <row r="5149" spans="1:2" ht="12.5" x14ac:dyDescent="0.25">
      <c r="A5149" t="str">
        <f ca="1">IFERROR(__xludf.DUMMYFUNCTION("""COMPUTED_VALUE"""),"Salmonella - S. 1,4,[5],12:i:- - 193")</f>
        <v>Salmonella - S. 1,4,[5],12:i:- - 193</v>
      </c>
      <c r="B5149" t="str">
        <f ca="1">IFERROR(__xludf.DUMMYFUNCTION("""COMPUTED_VALUE"""),"RF-00003057-MCG")</f>
        <v>RF-00003057-MCG</v>
      </c>
    </row>
    <row r="5150" spans="1:2" ht="12.5" x14ac:dyDescent="0.25">
      <c r="A5150" t="str">
        <f ca="1">IFERROR(__xludf.DUMMYFUNCTION("""COMPUTED_VALUE"""),"Salmonella - S. 1,4,[5],12:i:- - 1a")</f>
        <v>Salmonella - S. 1,4,[5],12:i:- - 1a</v>
      </c>
      <c r="B5150" t="str">
        <f ca="1">IFERROR(__xludf.DUMMYFUNCTION("""COMPUTED_VALUE"""),"RF-00003058-MCG")</f>
        <v>RF-00003058-MCG</v>
      </c>
    </row>
    <row r="5151" spans="1:2" ht="12.5" x14ac:dyDescent="0.25">
      <c r="A5151" t="str">
        <f ca="1">IFERROR(__xludf.DUMMYFUNCTION("""COMPUTED_VALUE"""),"Salmonella - S. 1,4,[5],12:i:- - 1a var1")</f>
        <v>Salmonella - S. 1,4,[5],12:i:- - 1a var1</v>
      </c>
      <c r="B5151" t="str">
        <f ca="1">IFERROR(__xludf.DUMMYFUNCTION("""COMPUTED_VALUE"""),"RF-00003059-MCG")</f>
        <v>RF-00003059-MCG</v>
      </c>
    </row>
    <row r="5152" spans="1:2" ht="12.5" x14ac:dyDescent="0.25">
      <c r="A5152" t="str">
        <f ca="1">IFERROR(__xludf.DUMMYFUNCTION("""COMPUTED_VALUE"""),"Salmonella - S. 1,4,[5],12:i:- - 1b")</f>
        <v>Salmonella - S. 1,4,[5],12:i:- - 1b</v>
      </c>
      <c r="B5152" t="str">
        <f ca="1">IFERROR(__xludf.DUMMYFUNCTION("""COMPUTED_VALUE"""),"RF-00003060-MCG")</f>
        <v>RF-00003060-MCG</v>
      </c>
    </row>
    <row r="5153" spans="1:2" ht="12.5" x14ac:dyDescent="0.25">
      <c r="A5153" t="str">
        <f ca="1">IFERROR(__xludf.DUMMYFUNCTION("""COMPUTED_VALUE"""),"Salmonella - S. 1,4,[5],12:i:- - 2")</f>
        <v>Salmonella - S. 1,4,[5],12:i:- - 2</v>
      </c>
      <c r="B5153" t="str">
        <f ca="1">IFERROR(__xludf.DUMMYFUNCTION("""COMPUTED_VALUE"""),"RF-00003061-MCG")</f>
        <v>RF-00003061-MCG</v>
      </c>
    </row>
    <row r="5154" spans="1:2" ht="12.5" x14ac:dyDescent="0.25">
      <c r="A5154" t="str">
        <f ca="1">IFERROR(__xludf.DUMMYFUNCTION("""COMPUTED_VALUE"""),"Salmonella - S. 1,4,[5],12:i:- - 2a")</f>
        <v>Salmonella - S. 1,4,[5],12:i:- - 2a</v>
      </c>
      <c r="B5154" t="str">
        <f ca="1">IFERROR(__xludf.DUMMYFUNCTION("""COMPUTED_VALUE"""),"RF-00003062-MCG")</f>
        <v>RF-00003062-MCG</v>
      </c>
    </row>
    <row r="5155" spans="1:2" ht="12.5" x14ac:dyDescent="0.25">
      <c r="A5155" t="str">
        <f ca="1">IFERROR(__xludf.DUMMYFUNCTION("""COMPUTED_VALUE"""),"Salmonella - S. 1,4,[5],12:i:- - 2b")</f>
        <v>Salmonella - S. 1,4,[5],12:i:- - 2b</v>
      </c>
      <c r="B5155" t="str">
        <f ca="1">IFERROR(__xludf.DUMMYFUNCTION("""COMPUTED_VALUE"""),"RF-00003063-MCG")</f>
        <v>RF-00003063-MCG</v>
      </c>
    </row>
    <row r="5156" spans="1:2" ht="12.5" x14ac:dyDescent="0.25">
      <c r="A5156" t="str">
        <f ca="1">IFERROR(__xludf.DUMMYFUNCTION("""COMPUTED_VALUE"""),"Salmonella - S. 1,4,[5],12:i:- - 2c")</f>
        <v>Salmonella - S. 1,4,[5],12:i:- - 2c</v>
      </c>
      <c r="B5156" t="str">
        <f ca="1">IFERROR(__xludf.DUMMYFUNCTION("""COMPUTED_VALUE"""),"RF-00003064-MCG")</f>
        <v>RF-00003064-MCG</v>
      </c>
    </row>
    <row r="5157" spans="1:2" ht="12.5" x14ac:dyDescent="0.25">
      <c r="A5157" t="str">
        <f ca="1">IFERROR(__xludf.DUMMYFUNCTION("""COMPUTED_VALUE"""),"Salmonella - S. 1,4,[5],12:i:- - 2d")</f>
        <v>Salmonella - S. 1,4,[5],12:i:- - 2d</v>
      </c>
      <c r="B5157" t="str">
        <f ca="1">IFERROR(__xludf.DUMMYFUNCTION("""COMPUTED_VALUE"""),"RF-00003065-MCG")</f>
        <v>RF-00003065-MCG</v>
      </c>
    </row>
    <row r="5158" spans="1:2" ht="12.5" x14ac:dyDescent="0.25">
      <c r="A5158" t="str">
        <f ca="1">IFERROR(__xludf.DUMMYFUNCTION("""COMPUTED_VALUE"""),"Salmonella - S. 1,4,[5],12:i:- - 3")</f>
        <v>Salmonella - S. 1,4,[5],12:i:- - 3</v>
      </c>
      <c r="B5158" t="str">
        <f ca="1">IFERROR(__xludf.DUMMYFUNCTION("""COMPUTED_VALUE"""),"RF-00003066-MCG")</f>
        <v>RF-00003066-MCG</v>
      </c>
    </row>
    <row r="5159" spans="1:2" ht="12.5" x14ac:dyDescent="0.25">
      <c r="A5159" t="str">
        <f ca="1">IFERROR(__xludf.DUMMYFUNCTION("""COMPUTED_VALUE"""),"Salmonella - S. 1,4,[5],12:i:- - 35")</f>
        <v>Salmonella - S. 1,4,[5],12:i:- - 35</v>
      </c>
      <c r="B5159" t="str">
        <f ca="1">IFERROR(__xludf.DUMMYFUNCTION("""COMPUTED_VALUE"""),"RF-00003067-MCG")</f>
        <v>RF-00003067-MCG</v>
      </c>
    </row>
    <row r="5160" spans="1:2" ht="12.5" x14ac:dyDescent="0.25">
      <c r="A5160" t="str">
        <f ca="1">IFERROR(__xludf.DUMMYFUNCTION("""COMPUTED_VALUE"""),"Salmonella - S. 1,4,[5],12:i:- - 3a")</f>
        <v>Salmonella - S. 1,4,[5],12:i:- - 3a</v>
      </c>
      <c r="B5160" t="str">
        <f ca="1">IFERROR(__xludf.DUMMYFUNCTION("""COMPUTED_VALUE"""),"RF-00003068-MCG")</f>
        <v>RF-00003068-MCG</v>
      </c>
    </row>
    <row r="5161" spans="1:2" ht="12.5" x14ac:dyDescent="0.25">
      <c r="A5161" t="str">
        <f ca="1">IFERROR(__xludf.DUMMYFUNCTION("""COMPUTED_VALUE"""),"Salmonella - S. 1,4,[5],12:i:- - 4")</f>
        <v>Salmonella - S. 1,4,[5],12:i:- - 4</v>
      </c>
      <c r="B5161" t="str">
        <f ca="1">IFERROR(__xludf.DUMMYFUNCTION("""COMPUTED_VALUE"""),"RF-00003069-MCG")</f>
        <v>RF-00003069-MCG</v>
      </c>
    </row>
    <row r="5162" spans="1:2" ht="12.5" x14ac:dyDescent="0.25">
      <c r="A5162" t="str">
        <f ca="1">IFERROR(__xludf.DUMMYFUNCTION("""COMPUTED_VALUE"""),"Salmonella - S. 1,4,[5],12:i:- - 5")</f>
        <v>Salmonella - S. 1,4,[5],12:i:- - 5</v>
      </c>
      <c r="B5162" t="str">
        <f ca="1">IFERROR(__xludf.DUMMYFUNCTION("""COMPUTED_VALUE"""),"RF-00003070-MCG")</f>
        <v>RF-00003070-MCG</v>
      </c>
    </row>
    <row r="5163" spans="1:2" ht="12.5" x14ac:dyDescent="0.25">
      <c r="A5163" t="str">
        <f ca="1">IFERROR(__xludf.DUMMYFUNCTION("""COMPUTED_VALUE"""),"Salmonella - S. 1,4,[5],12:i:- - 56a")</f>
        <v>Salmonella - S. 1,4,[5],12:i:- - 56a</v>
      </c>
      <c r="B5163" t="str">
        <f ca="1">IFERROR(__xludf.DUMMYFUNCTION("""COMPUTED_VALUE"""),"RF-00003071-MCG")</f>
        <v>RF-00003071-MCG</v>
      </c>
    </row>
    <row r="5164" spans="1:2" ht="12.5" x14ac:dyDescent="0.25">
      <c r="A5164" t="str">
        <f ca="1">IFERROR(__xludf.DUMMYFUNCTION("""COMPUTED_VALUE"""),"Salmonella - S. 1,4,[5],12:i:- - 7 var.")</f>
        <v>Salmonella - S. 1,4,[5],12:i:- - 7 var.</v>
      </c>
      <c r="B5164" t="str">
        <f ca="1">IFERROR(__xludf.DUMMYFUNCTION("""COMPUTED_VALUE"""),"RF-00003072-MCG")</f>
        <v>RF-00003072-MCG</v>
      </c>
    </row>
    <row r="5165" spans="1:2" ht="12.5" x14ac:dyDescent="0.25">
      <c r="A5165" t="str">
        <f ca="1">IFERROR(__xludf.DUMMYFUNCTION("""COMPUTED_VALUE"""),"Salmonella - S. 1,4,[5],12:i:- - DT 1")</f>
        <v>Salmonella - S. 1,4,[5],12:i:- - DT 1</v>
      </c>
      <c r="B5165" t="str">
        <f ca="1">IFERROR(__xludf.DUMMYFUNCTION("""COMPUTED_VALUE"""),"RF-00003073-MCG")</f>
        <v>RF-00003073-MCG</v>
      </c>
    </row>
    <row r="5166" spans="1:2" ht="12.5" x14ac:dyDescent="0.25">
      <c r="A5166" t="str">
        <f ca="1">IFERROR(__xludf.DUMMYFUNCTION("""COMPUTED_VALUE"""),"Salmonella - S. 1,4,[5],12:i:- - DT 10")</f>
        <v>Salmonella - S. 1,4,[5],12:i:- - DT 10</v>
      </c>
      <c r="B5166" t="str">
        <f ca="1">IFERROR(__xludf.DUMMYFUNCTION("""COMPUTED_VALUE"""),"RF-00003074-MCG")</f>
        <v>RF-00003074-MCG</v>
      </c>
    </row>
    <row r="5167" spans="1:2" ht="12.5" x14ac:dyDescent="0.25">
      <c r="A5167" t="str">
        <f ca="1">IFERROR(__xludf.DUMMYFUNCTION("""COMPUTED_VALUE"""),"Salmonella - S. 1,4,[5],12:i:- - DT 103")</f>
        <v>Salmonella - S. 1,4,[5],12:i:- - DT 103</v>
      </c>
      <c r="B5167" t="str">
        <f ca="1">IFERROR(__xludf.DUMMYFUNCTION("""COMPUTED_VALUE"""),"RF-00003075-MCG")</f>
        <v>RF-00003075-MCG</v>
      </c>
    </row>
    <row r="5168" spans="1:2" ht="12.5" x14ac:dyDescent="0.25">
      <c r="A5168" t="str">
        <f ca="1">IFERROR(__xludf.DUMMYFUNCTION("""COMPUTED_VALUE"""),"Salmonella - S. 1,4,[5],12:i:- - DT 104")</f>
        <v>Salmonella - S. 1,4,[5],12:i:- - DT 104</v>
      </c>
      <c r="B5168" t="str">
        <f ca="1">IFERROR(__xludf.DUMMYFUNCTION("""COMPUTED_VALUE"""),"RF-00003076-MCG")</f>
        <v>RF-00003076-MCG</v>
      </c>
    </row>
    <row r="5169" spans="1:2" ht="12.5" x14ac:dyDescent="0.25">
      <c r="A5169" t="str">
        <f ca="1">IFERROR(__xludf.DUMMYFUNCTION("""COMPUTED_VALUE"""),"Salmonella - S. 1,4,[5],12:i:- - DT 104a")</f>
        <v>Salmonella - S. 1,4,[5],12:i:- - DT 104a</v>
      </c>
      <c r="B5169" t="str">
        <f ca="1">IFERROR(__xludf.DUMMYFUNCTION("""COMPUTED_VALUE"""),"RF-00003078-MCG")</f>
        <v>RF-00003078-MCG</v>
      </c>
    </row>
    <row r="5170" spans="1:2" ht="12.5" x14ac:dyDescent="0.25">
      <c r="A5170" t="str">
        <f ca="1">IFERROR(__xludf.DUMMYFUNCTION("""COMPUTED_VALUE"""),"Salmonella - S. 1,4,[5],12:i:- - DT 104b")</f>
        <v>Salmonella - S. 1,4,[5],12:i:- - DT 104b</v>
      </c>
      <c r="B5170" t="str">
        <f ca="1">IFERROR(__xludf.DUMMYFUNCTION("""COMPUTED_VALUE"""),"RF-00003079-MCG")</f>
        <v>RF-00003079-MCG</v>
      </c>
    </row>
    <row r="5171" spans="1:2" ht="12.5" x14ac:dyDescent="0.25">
      <c r="A5171" t="str">
        <f ca="1">IFERROR(__xludf.DUMMYFUNCTION("""COMPUTED_VALUE"""),"Salmonella - S. 1,4,[5],12:i:- - DT 104b low")</f>
        <v>Salmonella - S. 1,4,[5],12:i:- - DT 104b low</v>
      </c>
      <c r="B5171" t="str">
        <f ca="1">IFERROR(__xludf.DUMMYFUNCTION("""COMPUTED_VALUE"""),"RF-00003080-MCG")</f>
        <v>RF-00003080-MCG</v>
      </c>
    </row>
    <row r="5172" spans="1:2" ht="12.5" x14ac:dyDescent="0.25">
      <c r="A5172" t="str">
        <f ca="1">IFERROR(__xludf.DUMMYFUNCTION("""COMPUTED_VALUE"""),"Salmonella - S. 1,4,[5],12:i:- - DT 104c")</f>
        <v>Salmonella - S. 1,4,[5],12:i:- - DT 104c</v>
      </c>
      <c r="B5172" t="str">
        <f ca="1">IFERROR(__xludf.DUMMYFUNCTION("""COMPUTED_VALUE"""),"RF-00003081-MCG")</f>
        <v>RF-00003081-MCG</v>
      </c>
    </row>
    <row r="5173" spans="1:2" ht="12.5" x14ac:dyDescent="0.25">
      <c r="A5173" t="str">
        <f ca="1">IFERROR(__xludf.DUMMYFUNCTION("""COMPUTED_VALUE"""),"Salmonella - S. 1,4,[5],12:i:- - DT 104H")</f>
        <v>Salmonella - S. 1,4,[5],12:i:- - DT 104H</v>
      </c>
      <c r="B5173" t="str">
        <f ca="1">IFERROR(__xludf.DUMMYFUNCTION("""COMPUTED_VALUE"""),"RF-00003077-MCG")</f>
        <v>RF-00003077-MCG</v>
      </c>
    </row>
    <row r="5174" spans="1:2" ht="12.5" x14ac:dyDescent="0.25">
      <c r="A5174" t="str">
        <f ca="1">IFERROR(__xludf.DUMMYFUNCTION("""COMPUTED_VALUE"""),"Salmonella - S. 1,4,[5],12:i:- - DT 104l")</f>
        <v>Salmonella - S. 1,4,[5],12:i:- - DT 104l</v>
      </c>
      <c r="B5174" t="str">
        <f ca="1">IFERROR(__xludf.DUMMYFUNCTION("""COMPUTED_VALUE"""),"RF-00003082-MCG")</f>
        <v>RF-00003082-MCG</v>
      </c>
    </row>
    <row r="5175" spans="1:2" ht="12.5" x14ac:dyDescent="0.25">
      <c r="A5175" t="str">
        <f ca="1">IFERROR(__xludf.DUMMYFUNCTION("""COMPUTED_VALUE"""),"Salmonella - S. 1,4,[5],12:i:- - DT 107")</f>
        <v>Salmonella - S. 1,4,[5],12:i:- - DT 107</v>
      </c>
      <c r="B5175" t="str">
        <f ca="1">IFERROR(__xludf.DUMMYFUNCTION("""COMPUTED_VALUE"""),"RF-00003083-MCG")</f>
        <v>RF-00003083-MCG</v>
      </c>
    </row>
    <row r="5176" spans="1:2" ht="12.5" x14ac:dyDescent="0.25">
      <c r="A5176" t="str">
        <f ca="1">IFERROR(__xludf.DUMMYFUNCTION("""COMPUTED_VALUE"""),"Salmonella - S. 1,4,[5],12:i:- - DT 107b")</f>
        <v>Salmonella - S. 1,4,[5],12:i:- - DT 107b</v>
      </c>
      <c r="B5176" t="str">
        <f ca="1">IFERROR(__xludf.DUMMYFUNCTION("""COMPUTED_VALUE"""),"RF-00003084-MCG")</f>
        <v>RF-00003084-MCG</v>
      </c>
    </row>
    <row r="5177" spans="1:2" ht="12.5" x14ac:dyDescent="0.25">
      <c r="A5177" t="str">
        <f ca="1">IFERROR(__xludf.DUMMYFUNCTION("""COMPUTED_VALUE"""),"Salmonella - S. 1,4,[5],12:i:- - DT 109")</f>
        <v>Salmonella - S. 1,4,[5],12:i:- - DT 109</v>
      </c>
      <c r="B5177" t="str">
        <f ca="1">IFERROR(__xludf.DUMMYFUNCTION("""COMPUTED_VALUE"""),"RF-00003085-MCG")</f>
        <v>RF-00003085-MCG</v>
      </c>
    </row>
    <row r="5178" spans="1:2" ht="12.5" x14ac:dyDescent="0.25">
      <c r="A5178" t="str">
        <f ca="1">IFERROR(__xludf.DUMMYFUNCTION("""COMPUTED_VALUE"""),"Salmonella - S. 1,4,[5],12:i:- - DT 11")</f>
        <v>Salmonella - S. 1,4,[5],12:i:- - DT 11</v>
      </c>
      <c r="B5178" t="str">
        <f ca="1">IFERROR(__xludf.DUMMYFUNCTION("""COMPUTED_VALUE"""),"RF-00003086-MCG")</f>
        <v>RF-00003086-MCG</v>
      </c>
    </row>
    <row r="5179" spans="1:2" ht="12.5" x14ac:dyDescent="0.25">
      <c r="A5179" t="str">
        <f ca="1">IFERROR(__xludf.DUMMYFUNCTION("""COMPUTED_VALUE"""),"Salmonella - S. 1,4,[5],12:i:- - DT 110")</f>
        <v>Salmonella - S. 1,4,[5],12:i:- - DT 110</v>
      </c>
      <c r="B5179" t="str">
        <f ca="1">IFERROR(__xludf.DUMMYFUNCTION("""COMPUTED_VALUE"""),"RF-00003087-MCG")</f>
        <v>RF-00003087-MCG</v>
      </c>
    </row>
    <row r="5180" spans="1:2" ht="12.5" x14ac:dyDescent="0.25">
      <c r="A5180" t="str">
        <f ca="1">IFERROR(__xludf.DUMMYFUNCTION("""COMPUTED_VALUE"""),"Salmonella - S. 1,4,[5],12:i:- - DT 110a")</f>
        <v>Salmonella - S. 1,4,[5],12:i:- - DT 110a</v>
      </c>
      <c r="B5180" t="str">
        <f ca="1">IFERROR(__xludf.DUMMYFUNCTION("""COMPUTED_VALUE"""),"RF-00003088-MCG")</f>
        <v>RF-00003088-MCG</v>
      </c>
    </row>
    <row r="5181" spans="1:2" ht="12.5" x14ac:dyDescent="0.25">
      <c r="A5181" t="str">
        <f ca="1">IFERROR(__xludf.DUMMYFUNCTION("""COMPUTED_VALUE"""),"Salmonella - S. 1,4,[5],12:i:- - DT 110b")</f>
        <v>Salmonella - S. 1,4,[5],12:i:- - DT 110b</v>
      </c>
      <c r="B5181" t="str">
        <f ca="1">IFERROR(__xludf.DUMMYFUNCTION("""COMPUTED_VALUE"""),"RF-00003089-MCG")</f>
        <v>RF-00003089-MCG</v>
      </c>
    </row>
    <row r="5182" spans="1:2" ht="12.5" x14ac:dyDescent="0.25">
      <c r="A5182" t="str">
        <f ca="1">IFERROR(__xludf.DUMMYFUNCTION("""COMPUTED_VALUE"""),"Salmonella - S. 1,4,[5],12:i:- - DT 112")</f>
        <v>Salmonella - S. 1,4,[5],12:i:- - DT 112</v>
      </c>
      <c r="B5182" t="str">
        <f ca="1">IFERROR(__xludf.DUMMYFUNCTION("""COMPUTED_VALUE"""),"RF-00003090-MCG")</f>
        <v>RF-00003090-MCG</v>
      </c>
    </row>
    <row r="5183" spans="1:2" ht="12.5" x14ac:dyDescent="0.25">
      <c r="A5183" t="str">
        <f ca="1">IFERROR(__xludf.DUMMYFUNCTION("""COMPUTED_VALUE"""),"Salmonella - S. 1,4,[5],12:i:- - DT 114")</f>
        <v>Salmonella - S. 1,4,[5],12:i:- - DT 114</v>
      </c>
      <c r="B5183" t="str">
        <f ca="1">IFERROR(__xludf.DUMMYFUNCTION("""COMPUTED_VALUE"""),"RF-00003091-MCG")</f>
        <v>RF-00003091-MCG</v>
      </c>
    </row>
    <row r="5184" spans="1:2" ht="12.5" x14ac:dyDescent="0.25">
      <c r="A5184" t="str">
        <f ca="1">IFERROR(__xludf.DUMMYFUNCTION("""COMPUTED_VALUE"""),"Salmonella - S. 1,4,[5],12:i:- - DT 12")</f>
        <v>Salmonella - S. 1,4,[5],12:i:- - DT 12</v>
      </c>
      <c r="B5184" t="str">
        <f ca="1">IFERROR(__xludf.DUMMYFUNCTION("""COMPUTED_VALUE"""),"RF-00003092-MCG")</f>
        <v>RF-00003092-MCG</v>
      </c>
    </row>
    <row r="5185" spans="1:2" ht="12.5" x14ac:dyDescent="0.25">
      <c r="A5185" t="str">
        <f ca="1">IFERROR(__xludf.DUMMYFUNCTION("""COMPUTED_VALUE"""),"Salmonella - S. 1,4,[5],12:i:- - DT 120")</f>
        <v>Salmonella - S. 1,4,[5],12:i:- - DT 120</v>
      </c>
      <c r="B5185" t="str">
        <f ca="1">IFERROR(__xludf.DUMMYFUNCTION("""COMPUTED_VALUE"""),"RF-00003093-MCG")</f>
        <v>RF-00003093-MCG</v>
      </c>
    </row>
    <row r="5186" spans="1:2" ht="12.5" x14ac:dyDescent="0.25">
      <c r="A5186" t="str">
        <f ca="1">IFERROR(__xludf.DUMMYFUNCTION("""COMPUTED_VALUE"""),"Salmonella - S. 1,4,[5],12:i:- - DT 124")</f>
        <v>Salmonella - S. 1,4,[5],12:i:- - DT 124</v>
      </c>
      <c r="B5186" t="str">
        <f ca="1">IFERROR(__xludf.DUMMYFUNCTION("""COMPUTED_VALUE"""),"RF-00003094-MCG")</f>
        <v>RF-00003094-MCG</v>
      </c>
    </row>
    <row r="5187" spans="1:2" ht="12.5" x14ac:dyDescent="0.25">
      <c r="A5187" t="str">
        <f ca="1">IFERROR(__xludf.DUMMYFUNCTION("""COMPUTED_VALUE"""),"Salmonella - S. 1,4,[5],12:i:- - DT 125")</f>
        <v>Salmonella - S. 1,4,[5],12:i:- - DT 125</v>
      </c>
      <c r="B5187" t="str">
        <f ca="1">IFERROR(__xludf.DUMMYFUNCTION("""COMPUTED_VALUE"""),"RF-00003095-MCG")</f>
        <v>RF-00003095-MCG</v>
      </c>
    </row>
    <row r="5188" spans="1:2" ht="12.5" x14ac:dyDescent="0.25">
      <c r="A5188" t="str">
        <f ca="1">IFERROR(__xludf.DUMMYFUNCTION("""COMPUTED_VALUE"""),"Salmonella - S. 1,4,[5],12:i:- - DT 126")</f>
        <v>Salmonella - S. 1,4,[5],12:i:- - DT 126</v>
      </c>
      <c r="B5188" t="str">
        <f ca="1">IFERROR(__xludf.DUMMYFUNCTION("""COMPUTED_VALUE"""),"RF-00003096-MCG")</f>
        <v>RF-00003096-MCG</v>
      </c>
    </row>
    <row r="5189" spans="1:2" ht="12.5" x14ac:dyDescent="0.25">
      <c r="A5189" t="str">
        <f ca="1">IFERROR(__xludf.DUMMYFUNCTION("""COMPUTED_VALUE"""),"Salmonella - S. 1,4,[5],12:i:- - DT 126a")</f>
        <v>Salmonella - S. 1,4,[5],12:i:- - DT 126a</v>
      </c>
      <c r="B5189" t="str">
        <f ca="1">IFERROR(__xludf.DUMMYFUNCTION("""COMPUTED_VALUE"""),"RF-00003097-MCG")</f>
        <v>RF-00003097-MCG</v>
      </c>
    </row>
    <row r="5190" spans="1:2" ht="12.5" x14ac:dyDescent="0.25">
      <c r="A5190" t="str">
        <f ca="1">IFERROR(__xludf.DUMMYFUNCTION("""COMPUTED_VALUE"""),"Salmonella - S. 1,4,[5],12:i:- - DT 129")</f>
        <v>Salmonella - S. 1,4,[5],12:i:- - DT 129</v>
      </c>
      <c r="B5190" t="str">
        <f ca="1">IFERROR(__xludf.DUMMYFUNCTION("""COMPUTED_VALUE"""),"RF-00003098-MCG")</f>
        <v>RF-00003098-MCG</v>
      </c>
    </row>
    <row r="5191" spans="1:2" ht="12.5" x14ac:dyDescent="0.25">
      <c r="A5191" t="str">
        <f ca="1">IFERROR(__xludf.DUMMYFUNCTION("""COMPUTED_VALUE"""),"Salmonella - S. 1,4,[5],12:i:- - DT 12a")</f>
        <v>Salmonella - S. 1,4,[5],12:i:- - DT 12a</v>
      </c>
      <c r="B5191" t="str">
        <f ca="1">IFERROR(__xludf.DUMMYFUNCTION("""COMPUTED_VALUE"""),"RF-00003099-MCG")</f>
        <v>RF-00003099-MCG</v>
      </c>
    </row>
    <row r="5192" spans="1:2" ht="12.5" x14ac:dyDescent="0.25">
      <c r="A5192" t="str">
        <f ca="1">IFERROR(__xludf.DUMMYFUNCTION("""COMPUTED_VALUE"""),"Salmonella - S. 1,4,[5],12:i:- - DT 13")</f>
        <v>Salmonella - S. 1,4,[5],12:i:- - DT 13</v>
      </c>
      <c r="B5192" t="str">
        <f ca="1">IFERROR(__xludf.DUMMYFUNCTION("""COMPUTED_VALUE"""),"RF-00003100-MCG")</f>
        <v>RF-00003100-MCG</v>
      </c>
    </row>
    <row r="5193" spans="1:2" ht="12.5" x14ac:dyDescent="0.25">
      <c r="A5193" t="str">
        <f ca="1">IFERROR(__xludf.DUMMYFUNCTION("""COMPUTED_VALUE"""),"Salmonella - S. 1,4,[5],12:i:- - DT 130")</f>
        <v>Salmonella - S. 1,4,[5],12:i:- - DT 130</v>
      </c>
      <c r="B5193" t="str">
        <f ca="1">IFERROR(__xludf.DUMMYFUNCTION("""COMPUTED_VALUE"""),"RF-00003101-MCG")</f>
        <v>RF-00003101-MCG</v>
      </c>
    </row>
    <row r="5194" spans="1:2" ht="12.5" x14ac:dyDescent="0.25">
      <c r="A5194" t="str">
        <f ca="1">IFERROR(__xludf.DUMMYFUNCTION("""COMPUTED_VALUE"""),"Salmonella - S. 1,4,[5],12:i:- - DT 131")</f>
        <v>Salmonella - S. 1,4,[5],12:i:- - DT 131</v>
      </c>
      <c r="B5194" t="str">
        <f ca="1">IFERROR(__xludf.DUMMYFUNCTION("""COMPUTED_VALUE"""),"RF-00003102-MCG")</f>
        <v>RF-00003102-MCG</v>
      </c>
    </row>
    <row r="5195" spans="1:2" ht="12.5" x14ac:dyDescent="0.25">
      <c r="A5195" t="str">
        <f ca="1">IFERROR(__xludf.DUMMYFUNCTION("""COMPUTED_VALUE"""),"Salmonella - S. 1,4,[5],12:i:- - DT 132")</f>
        <v>Salmonella - S. 1,4,[5],12:i:- - DT 132</v>
      </c>
      <c r="B5195" t="str">
        <f ca="1">IFERROR(__xludf.DUMMYFUNCTION("""COMPUTED_VALUE"""),"RF-00003103-MCG")</f>
        <v>RF-00003103-MCG</v>
      </c>
    </row>
    <row r="5196" spans="1:2" ht="12.5" x14ac:dyDescent="0.25">
      <c r="A5196" t="str">
        <f ca="1">IFERROR(__xludf.DUMMYFUNCTION("""COMPUTED_VALUE"""),"Salmonella - S. 1,4,[5],12:i:- - DT 135")</f>
        <v>Salmonella - S. 1,4,[5],12:i:- - DT 135</v>
      </c>
      <c r="B5196" t="str">
        <f ca="1">IFERROR(__xludf.DUMMYFUNCTION("""COMPUTED_VALUE"""),"RF-00003104-MCG")</f>
        <v>RF-00003104-MCG</v>
      </c>
    </row>
    <row r="5197" spans="1:2" ht="12.5" x14ac:dyDescent="0.25">
      <c r="A5197" t="str">
        <f ca="1">IFERROR(__xludf.DUMMYFUNCTION("""COMPUTED_VALUE"""),"Salmonella - S. 1,4,[5],12:i:- - DT 136")</f>
        <v>Salmonella - S. 1,4,[5],12:i:- - DT 136</v>
      </c>
      <c r="B5197" t="str">
        <f ca="1">IFERROR(__xludf.DUMMYFUNCTION("""COMPUTED_VALUE"""),"RF-00003105-MCG")</f>
        <v>RF-00003105-MCG</v>
      </c>
    </row>
    <row r="5198" spans="1:2" ht="12.5" x14ac:dyDescent="0.25">
      <c r="A5198" t="str">
        <f ca="1">IFERROR(__xludf.DUMMYFUNCTION("""COMPUTED_VALUE"""),"Salmonella - S. 1,4,[5],12:i:- - DT 137")</f>
        <v>Salmonella - S. 1,4,[5],12:i:- - DT 137</v>
      </c>
      <c r="B5198" t="str">
        <f ca="1">IFERROR(__xludf.DUMMYFUNCTION("""COMPUTED_VALUE"""),"RF-00003106-MCG")</f>
        <v>RF-00003106-MCG</v>
      </c>
    </row>
    <row r="5199" spans="1:2" ht="12.5" x14ac:dyDescent="0.25">
      <c r="A5199" t="str">
        <f ca="1">IFERROR(__xludf.DUMMYFUNCTION("""COMPUTED_VALUE"""),"Salmonella - S. 1,4,[5],12:i:- - DT 138")</f>
        <v>Salmonella - S. 1,4,[5],12:i:- - DT 138</v>
      </c>
      <c r="B5199" t="str">
        <f ca="1">IFERROR(__xludf.DUMMYFUNCTION("""COMPUTED_VALUE"""),"RF-00003107-MCG")</f>
        <v>RF-00003107-MCG</v>
      </c>
    </row>
    <row r="5200" spans="1:2" ht="12.5" x14ac:dyDescent="0.25">
      <c r="A5200" t="str">
        <f ca="1">IFERROR(__xludf.DUMMYFUNCTION("""COMPUTED_VALUE"""),"Salmonella - S. 1,4,[5],12:i:- - DT 14")</f>
        <v>Salmonella - S. 1,4,[5],12:i:- - DT 14</v>
      </c>
      <c r="B5200" t="str">
        <f ca="1">IFERROR(__xludf.DUMMYFUNCTION("""COMPUTED_VALUE"""),"RF-00003108-MCG")</f>
        <v>RF-00003108-MCG</v>
      </c>
    </row>
    <row r="5201" spans="1:2" ht="12.5" x14ac:dyDescent="0.25">
      <c r="A5201" t="str">
        <f ca="1">IFERROR(__xludf.DUMMYFUNCTION("""COMPUTED_VALUE"""),"Salmonella - S. 1,4,[5],12:i:- - DT 140")</f>
        <v>Salmonella - S. 1,4,[5],12:i:- - DT 140</v>
      </c>
      <c r="B5201" t="str">
        <f ca="1">IFERROR(__xludf.DUMMYFUNCTION("""COMPUTED_VALUE"""),"RF-00003109-MCG")</f>
        <v>RF-00003109-MCG</v>
      </c>
    </row>
    <row r="5202" spans="1:2" ht="12.5" x14ac:dyDescent="0.25">
      <c r="A5202" t="str">
        <f ca="1">IFERROR(__xludf.DUMMYFUNCTION("""COMPUTED_VALUE"""),"Salmonella - S. 1,4,[5],12:i:- - DT 141")</f>
        <v>Salmonella - S. 1,4,[5],12:i:- - DT 141</v>
      </c>
      <c r="B5202" t="str">
        <f ca="1">IFERROR(__xludf.DUMMYFUNCTION("""COMPUTED_VALUE"""),"RF-00003110-MCG")</f>
        <v>RF-00003110-MCG</v>
      </c>
    </row>
    <row r="5203" spans="1:2" ht="12.5" x14ac:dyDescent="0.25">
      <c r="A5203" t="str">
        <f ca="1">IFERROR(__xludf.DUMMYFUNCTION("""COMPUTED_VALUE"""),"Salmonella - S. 1,4,[5],12:i:- - DT 143")</f>
        <v>Salmonella - S. 1,4,[5],12:i:- - DT 143</v>
      </c>
      <c r="B5203" t="str">
        <f ca="1">IFERROR(__xludf.DUMMYFUNCTION("""COMPUTED_VALUE"""),"RF-00003111-MCG")</f>
        <v>RF-00003111-MCG</v>
      </c>
    </row>
    <row r="5204" spans="1:2" ht="12.5" x14ac:dyDescent="0.25">
      <c r="A5204" t="str">
        <f ca="1">IFERROR(__xludf.DUMMYFUNCTION("""COMPUTED_VALUE"""),"Salmonella - S. 1,4,[5],12:i:- - DT 144")</f>
        <v>Salmonella - S. 1,4,[5],12:i:- - DT 144</v>
      </c>
      <c r="B5204" t="str">
        <f ca="1">IFERROR(__xludf.DUMMYFUNCTION("""COMPUTED_VALUE"""),"RF-00003112-MCG")</f>
        <v>RF-00003112-MCG</v>
      </c>
    </row>
    <row r="5205" spans="1:2" ht="12.5" x14ac:dyDescent="0.25">
      <c r="A5205" t="str">
        <f ca="1">IFERROR(__xludf.DUMMYFUNCTION("""COMPUTED_VALUE"""),"Salmonella - S. 1,4,[5],12:i:- - DT 14b")</f>
        <v>Salmonella - S. 1,4,[5],12:i:- - DT 14b</v>
      </c>
      <c r="B5205" t="str">
        <f ca="1">IFERROR(__xludf.DUMMYFUNCTION("""COMPUTED_VALUE"""),"RF-00003113-MCG")</f>
        <v>RF-00003113-MCG</v>
      </c>
    </row>
    <row r="5206" spans="1:2" ht="12.5" x14ac:dyDescent="0.25">
      <c r="A5206" t="str">
        <f ca="1">IFERROR(__xludf.DUMMYFUNCTION("""COMPUTED_VALUE"""),"Salmonella - S. 1,4,[5],12:i:- - DT 15")</f>
        <v>Salmonella - S. 1,4,[5],12:i:- - DT 15</v>
      </c>
      <c r="B5206" t="str">
        <f ca="1">IFERROR(__xludf.DUMMYFUNCTION("""COMPUTED_VALUE"""),"RF-00003114-MCG")</f>
        <v>RF-00003114-MCG</v>
      </c>
    </row>
    <row r="5207" spans="1:2" ht="12.5" x14ac:dyDescent="0.25">
      <c r="A5207" t="str">
        <f ca="1">IFERROR(__xludf.DUMMYFUNCTION("""COMPUTED_VALUE"""),"Salmonella - S. 1,4,[5],12:i:- - DT 151")</f>
        <v>Salmonella - S. 1,4,[5],12:i:- - DT 151</v>
      </c>
      <c r="B5207" t="str">
        <f ca="1">IFERROR(__xludf.DUMMYFUNCTION("""COMPUTED_VALUE"""),"RF-00003115-MCG")</f>
        <v>RF-00003115-MCG</v>
      </c>
    </row>
    <row r="5208" spans="1:2" ht="12.5" x14ac:dyDescent="0.25">
      <c r="A5208" t="str">
        <f ca="1">IFERROR(__xludf.DUMMYFUNCTION("""COMPUTED_VALUE"""),"Salmonella - S. 1,4,[5],12:i:- - DT 153")</f>
        <v>Salmonella - S. 1,4,[5],12:i:- - DT 153</v>
      </c>
      <c r="B5208" t="str">
        <f ca="1">IFERROR(__xludf.DUMMYFUNCTION("""COMPUTED_VALUE"""),"RF-00003116-MCG")</f>
        <v>RF-00003116-MCG</v>
      </c>
    </row>
    <row r="5209" spans="1:2" ht="12.5" x14ac:dyDescent="0.25">
      <c r="A5209" t="str">
        <f ca="1">IFERROR(__xludf.DUMMYFUNCTION("""COMPUTED_VALUE"""),"Salmonella - S. 1,4,[5],12:i:- - DT 15a")</f>
        <v>Salmonella - S. 1,4,[5],12:i:- - DT 15a</v>
      </c>
      <c r="B5209" t="str">
        <f ca="1">IFERROR(__xludf.DUMMYFUNCTION("""COMPUTED_VALUE"""),"RF-00003117-MCG")</f>
        <v>RF-00003117-MCG</v>
      </c>
    </row>
    <row r="5210" spans="1:2" ht="12.5" x14ac:dyDescent="0.25">
      <c r="A5210" t="str">
        <f ca="1">IFERROR(__xludf.DUMMYFUNCTION("""COMPUTED_VALUE"""),"Salmonella - S. 1,4,[5],12:i:- - DT 16")</f>
        <v>Salmonella - S. 1,4,[5],12:i:- - DT 16</v>
      </c>
      <c r="B5210" t="str">
        <f ca="1">IFERROR(__xludf.DUMMYFUNCTION("""COMPUTED_VALUE"""),"RF-00003118-MCG")</f>
        <v>RF-00003118-MCG</v>
      </c>
    </row>
    <row r="5211" spans="1:2" ht="12.5" x14ac:dyDescent="0.25">
      <c r="A5211" t="str">
        <f ca="1">IFERROR(__xludf.DUMMYFUNCTION("""COMPUTED_VALUE"""),"Salmonella - S. 1,4,[5],12:i:- - DT 160")</f>
        <v>Salmonella - S. 1,4,[5],12:i:- - DT 160</v>
      </c>
      <c r="B5211" t="str">
        <f ca="1">IFERROR(__xludf.DUMMYFUNCTION("""COMPUTED_VALUE"""),"RF-00003119-MCG")</f>
        <v>RF-00003119-MCG</v>
      </c>
    </row>
    <row r="5212" spans="1:2" ht="12.5" x14ac:dyDescent="0.25">
      <c r="A5212" t="str">
        <f ca="1">IFERROR(__xludf.DUMMYFUNCTION("""COMPUTED_VALUE"""),"Salmonella - S. 1,4,[5],12:i:- - DT 161")</f>
        <v>Salmonella - S. 1,4,[5],12:i:- - DT 161</v>
      </c>
      <c r="B5212" t="str">
        <f ca="1">IFERROR(__xludf.DUMMYFUNCTION("""COMPUTED_VALUE"""),"RF-00003120-MCG")</f>
        <v>RF-00003120-MCG</v>
      </c>
    </row>
    <row r="5213" spans="1:2" ht="12.5" x14ac:dyDescent="0.25">
      <c r="A5213" t="str">
        <f ca="1">IFERROR(__xludf.DUMMYFUNCTION("""COMPUTED_VALUE"""),"Salmonella - S. 1,4,[5],12:i:- - DT 164")</f>
        <v>Salmonella - S. 1,4,[5],12:i:- - DT 164</v>
      </c>
      <c r="B5213" t="str">
        <f ca="1">IFERROR(__xludf.DUMMYFUNCTION("""COMPUTED_VALUE"""),"RF-00003121-MCG")</f>
        <v>RF-00003121-MCG</v>
      </c>
    </row>
    <row r="5214" spans="1:2" ht="12.5" x14ac:dyDescent="0.25">
      <c r="A5214" t="str">
        <f ca="1">IFERROR(__xludf.DUMMYFUNCTION("""COMPUTED_VALUE"""),"Salmonella - S. 1,4,[5],12:i:- - DT 166")</f>
        <v>Salmonella - S. 1,4,[5],12:i:- - DT 166</v>
      </c>
      <c r="B5214" t="str">
        <f ca="1">IFERROR(__xludf.DUMMYFUNCTION("""COMPUTED_VALUE"""),"RF-00003122-MCG")</f>
        <v>RF-00003122-MCG</v>
      </c>
    </row>
    <row r="5215" spans="1:2" ht="12.5" x14ac:dyDescent="0.25">
      <c r="A5215" t="str">
        <f ca="1">IFERROR(__xludf.DUMMYFUNCTION("""COMPUTED_VALUE"""),"Salmonella - S. 1,4,[5],12:i:- - DT 17")</f>
        <v>Salmonella - S. 1,4,[5],12:i:- - DT 17</v>
      </c>
      <c r="B5215" t="str">
        <f ca="1">IFERROR(__xludf.DUMMYFUNCTION("""COMPUTED_VALUE"""),"RF-00003123-MCG")</f>
        <v>RF-00003123-MCG</v>
      </c>
    </row>
    <row r="5216" spans="1:2" ht="12.5" x14ac:dyDescent="0.25">
      <c r="A5216" t="str">
        <f ca="1">IFERROR(__xludf.DUMMYFUNCTION("""COMPUTED_VALUE"""),"Salmonella - S. 1,4,[5],12:i:- - DT 170")</f>
        <v>Salmonella - S. 1,4,[5],12:i:- - DT 170</v>
      </c>
      <c r="B5216" t="str">
        <f ca="1">IFERROR(__xludf.DUMMYFUNCTION("""COMPUTED_VALUE"""),"RF-00003124-MCG")</f>
        <v>RF-00003124-MCG</v>
      </c>
    </row>
    <row r="5217" spans="1:2" ht="12.5" x14ac:dyDescent="0.25">
      <c r="A5217" t="str">
        <f ca="1">IFERROR(__xludf.DUMMYFUNCTION("""COMPUTED_VALUE"""),"Salmonella - S. 1,4,[5],12:i:- - DT 170b")</f>
        <v>Salmonella - S. 1,4,[5],12:i:- - DT 170b</v>
      </c>
      <c r="B5217" t="str">
        <f ca="1">IFERROR(__xludf.DUMMYFUNCTION("""COMPUTED_VALUE"""),"RF-00003125-MCG")</f>
        <v>RF-00003125-MCG</v>
      </c>
    </row>
    <row r="5218" spans="1:2" ht="12.5" x14ac:dyDescent="0.25">
      <c r="A5218" t="str">
        <f ca="1">IFERROR(__xludf.DUMMYFUNCTION("""COMPUTED_VALUE"""),"Salmonella - S. 1,4,[5],12:i:- - DT 177")</f>
        <v>Salmonella - S. 1,4,[5],12:i:- - DT 177</v>
      </c>
      <c r="B5218" t="str">
        <f ca="1">IFERROR(__xludf.DUMMYFUNCTION("""COMPUTED_VALUE"""),"RF-00003126-MCG")</f>
        <v>RF-00003126-MCG</v>
      </c>
    </row>
    <row r="5219" spans="1:2" ht="12.5" x14ac:dyDescent="0.25">
      <c r="A5219" t="str">
        <f ca="1">IFERROR(__xludf.DUMMYFUNCTION("""COMPUTED_VALUE"""),"Salmonella - S. 1,4,[5],12:i:- - DT 178")</f>
        <v>Salmonella - S. 1,4,[5],12:i:- - DT 178</v>
      </c>
      <c r="B5219" t="str">
        <f ca="1">IFERROR(__xludf.DUMMYFUNCTION("""COMPUTED_VALUE"""),"RF-00003127-MCG")</f>
        <v>RF-00003127-MCG</v>
      </c>
    </row>
    <row r="5220" spans="1:2" ht="12.5" x14ac:dyDescent="0.25">
      <c r="A5220" t="str">
        <f ca="1">IFERROR(__xludf.DUMMYFUNCTION("""COMPUTED_VALUE"""),"Salmonella - S. 1,4,[5],12:i:- - DT 18")</f>
        <v>Salmonella - S. 1,4,[5],12:i:- - DT 18</v>
      </c>
      <c r="B5220" t="str">
        <f ca="1">IFERROR(__xludf.DUMMYFUNCTION("""COMPUTED_VALUE"""),"RF-00003128-MCG")</f>
        <v>RF-00003128-MCG</v>
      </c>
    </row>
    <row r="5221" spans="1:2" ht="12.5" x14ac:dyDescent="0.25">
      <c r="A5221" t="str">
        <f ca="1">IFERROR(__xludf.DUMMYFUNCTION("""COMPUTED_VALUE"""),"Salmonella - S. 1,4,[5],12:i:- - DT 185")</f>
        <v>Salmonella - S. 1,4,[5],12:i:- - DT 185</v>
      </c>
      <c r="B5221" t="str">
        <f ca="1">IFERROR(__xludf.DUMMYFUNCTION("""COMPUTED_VALUE"""),"RF-00003129-MCG")</f>
        <v>RF-00003129-MCG</v>
      </c>
    </row>
    <row r="5222" spans="1:2" ht="12.5" x14ac:dyDescent="0.25">
      <c r="A5222" t="str">
        <f ca="1">IFERROR(__xludf.DUMMYFUNCTION("""COMPUTED_VALUE"""),"Salmonella - S. 1,4,[5],12:i:- - DT 186")</f>
        <v>Salmonella - S. 1,4,[5],12:i:- - DT 186</v>
      </c>
      <c r="B5222" t="str">
        <f ca="1">IFERROR(__xludf.DUMMYFUNCTION("""COMPUTED_VALUE"""),"RF-00003130-MCG")</f>
        <v>RF-00003130-MCG</v>
      </c>
    </row>
    <row r="5223" spans="1:2" ht="12.5" x14ac:dyDescent="0.25">
      <c r="A5223" t="str">
        <f ca="1">IFERROR(__xludf.DUMMYFUNCTION("""COMPUTED_VALUE"""),"Salmonella - S. 1,4,[5],12:i:- - DT 19")</f>
        <v>Salmonella - S. 1,4,[5],12:i:- - DT 19</v>
      </c>
      <c r="B5223" t="str">
        <f ca="1">IFERROR(__xludf.DUMMYFUNCTION("""COMPUTED_VALUE"""),"RF-00003131-MCG")</f>
        <v>RF-00003131-MCG</v>
      </c>
    </row>
    <row r="5224" spans="1:2" ht="12.5" x14ac:dyDescent="0.25">
      <c r="A5224" t="str">
        <f ca="1">IFERROR(__xludf.DUMMYFUNCTION("""COMPUTED_VALUE"""),"Salmonella - S. 1,4,[5],12:i:- - DT 191")</f>
        <v>Salmonella - S. 1,4,[5],12:i:- - DT 191</v>
      </c>
      <c r="B5224" t="str">
        <f ca="1">IFERROR(__xludf.DUMMYFUNCTION("""COMPUTED_VALUE"""),"RF-00003132-MCG")</f>
        <v>RF-00003132-MCG</v>
      </c>
    </row>
    <row r="5225" spans="1:2" ht="12.5" x14ac:dyDescent="0.25">
      <c r="A5225" t="str">
        <f ca="1">IFERROR(__xludf.DUMMYFUNCTION("""COMPUTED_VALUE"""),"Salmonella - S. 1,4,[5],12:i:- - DT 192")</f>
        <v>Salmonella - S. 1,4,[5],12:i:- - DT 192</v>
      </c>
      <c r="B5225" t="str">
        <f ca="1">IFERROR(__xludf.DUMMYFUNCTION("""COMPUTED_VALUE"""),"RF-00003133-MCG")</f>
        <v>RF-00003133-MCG</v>
      </c>
    </row>
    <row r="5226" spans="1:2" ht="12.5" x14ac:dyDescent="0.25">
      <c r="A5226" t="str">
        <f ca="1">IFERROR(__xludf.DUMMYFUNCTION("""COMPUTED_VALUE"""),"Salmonella - S. 1,4,[5],12:i:- - DT 193")</f>
        <v>Salmonella - S. 1,4,[5],12:i:- - DT 193</v>
      </c>
      <c r="B5226" t="str">
        <f ca="1">IFERROR(__xludf.DUMMYFUNCTION("""COMPUTED_VALUE"""),"RF-00003134-MCG")</f>
        <v>RF-00003134-MCG</v>
      </c>
    </row>
    <row r="5227" spans="1:2" ht="12.5" x14ac:dyDescent="0.25">
      <c r="A5227" t="str">
        <f ca="1">IFERROR(__xludf.DUMMYFUNCTION("""COMPUTED_VALUE"""),"Salmonella - S. 1,4,[5],12:i:- - DT 193a")</f>
        <v>Salmonella - S. 1,4,[5],12:i:- - DT 193a</v>
      </c>
      <c r="B5227" t="str">
        <f ca="1">IFERROR(__xludf.DUMMYFUNCTION("""COMPUTED_VALUE"""),"RF-00003135-MCG")</f>
        <v>RF-00003135-MCG</v>
      </c>
    </row>
    <row r="5228" spans="1:2" ht="12.5" x14ac:dyDescent="0.25">
      <c r="A5228" t="str">
        <f ca="1">IFERROR(__xludf.DUMMYFUNCTION("""COMPUTED_VALUE"""),"Salmonella - S. 1,4,[5],12:i:- - DT 194")</f>
        <v>Salmonella - S. 1,4,[5],12:i:- - DT 194</v>
      </c>
      <c r="B5228" t="str">
        <f ca="1">IFERROR(__xludf.DUMMYFUNCTION("""COMPUTED_VALUE"""),"RF-00003136-MCG")</f>
        <v>RF-00003136-MCG</v>
      </c>
    </row>
    <row r="5229" spans="1:2" ht="12.5" x14ac:dyDescent="0.25">
      <c r="A5229" t="str">
        <f ca="1">IFERROR(__xludf.DUMMYFUNCTION("""COMPUTED_VALUE"""),"Salmonella - S. 1,4,[5],12:i:- - DT 195")</f>
        <v>Salmonella - S. 1,4,[5],12:i:- - DT 195</v>
      </c>
      <c r="B5229" t="str">
        <f ca="1">IFERROR(__xludf.DUMMYFUNCTION("""COMPUTED_VALUE"""),"RF-00003137-MCG")</f>
        <v>RF-00003137-MCG</v>
      </c>
    </row>
    <row r="5230" spans="1:2" ht="12.5" x14ac:dyDescent="0.25">
      <c r="A5230" t="str">
        <f ca="1">IFERROR(__xludf.DUMMYFUNCTION("""COMPUTED_VALUE"""),"Salmonella - S. 1,4,[5],12:i:- - DT 197")</f>
        <v>Salmonella - S. 1,4,[5],12:i:- - DT 197</v>
      </c>
      <c r="B5230" t="str">
        <f ca="1">IFERROR(__xludf.DUMMYFUNCTION("""COMPUTED_VALUE"""),"RF-00003138-MCG")</f>
        <v>RF-00003138-MCG</v>
      </c>
    </row>
    <row r="5231" spans="1:2" ht="12.5" x14ac:dyDescent="0.25">
      <c r="A5231" t="str">
        <f ca="1">IFERROR(__xludf.DUMMYFUNCTION("""COMPUTED_VALUE"""),"Salmonella - S. 1,4,[5],12:i:- - DT 2")</f>
        <v>Salmonella - S. 1,4,[5],12:i:- - DT 2</v>
      </c>
      <c r="B5231" t="str">
        <f ca="1">IFERROR(__xludf.DUMMYFUNCTION("""COMPUTED_VALUE"""),"RF-00003139-MCG")</f>
        <v>RF-00003139-MCG</v>
      </c>
    </row>
    <row r="5232" spans="1:2" ht="12.5" x14ac:dyDescent="0.25">
      <c r="A5232" t="str">
        <f ca="1">IFERROR(__xludf.DUMMYFUNCTION("""COMPUTED_VALUE"""),"Salmonella - S. 1,4,[5],12:i:- - DT 20")</f>
        <v>Salmonella - S. 1,4,[5],12:i:- - DT 20</v>
      </c>
      <c r="B5232" t="str">
        <f ca="1">IFERROR(__xludf.DUMMYFUNCTION("""COMPUTED_VALUE"""),"RF-00003140-MCG")</f>
        <v>RF-00003140-MCG</v>
      </c>
    </row>
    <row r="5233" spans="1:2" ht="12.5" x14ac:dyDescent="0.25">
      <c r="A5233" t="str">
        <f ca="1">IFERROR(__xludf.DUMMYFUNCTION("""COMPUTED_VALUE"""),"Salmonella - S. 1,4,[5],12:i:- - DT 203")</f>
        <v>Salmonella - S. 1,4,[5],12:i:- - DT 203</v>
      </c>
      <c r="B5233" t="str">
        <f ca="1">IFERROR(__xludf.DUMMYFUNCTION("""COMPUTED_VALUE"""),"RF-00003141-MCG")</f>
        <v>RF-00003141-MCG</v>
      </c>
    </row>
    <row r="5234" spans="1:2" ht="12.5" x14ac:dyDescent="0.25">
      <c r="A5234" t="str">
        <f ca="1">IFERROR(__xludf.DUMMYFUNCTION("""COMPUTED_VALUE"""),"Salmonella - S. 1,4,[5],12:i:- - DT 206")</f>
        <v>Salmonella - S. 1,4,[5],12:i:- - DT 206</v>
      </c>
      <c r="B5234" t="str">
        <f ca="1">IFERROR(__xludf.DUMMYFUNCTION("""COMPUTED_VALUE"""),"RF-00003142-MCG")</f>
        <v>RF-00003142-MCG</v>
      </c>
    </row>
    <row r="5235" spans="1:2" ht="12.5" x14ac:dyDescent="0.25">
      <c r="A5235" t="str">
        <f ca="1">IFERROR(__xludf.DUMMYFUNCTION("""COMPUTED_VALUE"""),"Salmonella - S. 1,4,[5],12:i:- - DT 208")</f>
        <v>Salmonella - S. 1,4,[5],12:i:- - DT 208</v>
      </c>
      <c r="B5235" t="str">
        <f ca="1">IFERROR(__xludf.DUMMYFUNCTION("""COMPUTED_VALUE"""),"RF-00003143-MCG")</f>
        <v>RF-00003143-MCG</v>
      </c>
    </row>
    <row r="5236" spans="1:2" ht="12.5" x14ac:dyDescent="0.25">
      <c r="A5236" t="str">
        <f ca="1">IFERROR(__xludf.DUMMYFUNCTION("""COMPUTED_VALUE"""),"Salmonella - S. 1,4,[5],12:i:- - DT 20a")</f>
        <v>Salmonella - S. 1,4,[5],12:i:- - DT 20a</v>
      </c>
      <c r="B5236" t="str">
        <f ca="1">IFERROR(__xludf.DUMMYFUNCTION("""COMPUTED_VALUE"""),"RF-00003144-MCG")</f>
        <v>RF-00003144-MCG</v>
      </c>
    </row>
    <row r="5237" spans="1:2" ht="12.5" x14ac:dyDescent="0.25">
      <c r="A5237" t="str">
        <f ca="1">IFERROR(__xludf.DUMMYFUNCTION("""COMPUTED_VALUE"""),"Salmonella - S. 1,4,[5],12:i:- - DT 21")</f>
        <v>Salmonella - S. 1,4,[5],12:i:- - DT 21</v>
      </c>
      <c r="B5237" t="str">
        <f ca="1">IFERROR(__xludf.DUMMYFUNCTION("""COMPUTED_VALUE"""),"RF-00003145-MCG")</f>
        <v>RF-00003145-MCG</v>
      </c>
    </row>
    <row r="5238" spans="1:2" ht="12.5" x14ac:dyDescent="0.25">
      <c r="A5238" t="str">
        <f ca="1">IFERROR(__xludf.DUMMYFUNCTION("""COMPUTED_VALUE"""),"Salmonella - S. 1,4,[5],12:i:- - DT 22")</f>
        <v>Salmonella - S. 1,4,[5],12:i:- - DT 22</v>
      </c>
      <c r="B5238" t="str">
        <f ca="1">IFERROR(__xludf.DUMMYFUNCTION("""COMPUTED_VALUE"""),"RF-00003146-MCG")</f>
        <v>RF-00003146-MCG</v>
      </c>
    </row>
    <row r="5239" spans="1:2" ht="12.5" x14ac:dyDescent="0.25">
      <c r="A5239" t="str">
        <f ca="1">IFERROR(__xludf.DUMMYFUNCTION("""COMPUTED_VALUE"""),"Salmonella - S. 1,4,[5],12:i:- - DT 26")</f>
        <v>Salmonella - S. 1,4,[5],12:i:- - DT 26</v>
      </c>
      <c r="B5239" t="str">
        <f ca="1">IFERROR(__xludf.DUMMYFUNCTION("""COMPUTED_VALUE"""),"RF-00003147-MCG")</f>
        <v>RF-00003147-MCG</v>
      </c>
    </row>
    <row r="5240" spans="1:2" ht="12.5" x14ac:dyDescent="0.25">
      <c r="A5240" t="str">
        <f ca="1">IFERROR(__xludf.DUMMYFUNCTION("""COMPUTED_VALUE"""),"Salmonella - S. 1,4,[5],12:i:- - DT 27")</f>
        <v>Salmonella - S. 1,4,[5],12:i:- - DT 27</v>
      </c>
      <c r="B5240" t="str">
        <f ca="1">IFERROR(__xludf.DUMMYFUNCTION("""COMPUTED_VALUE"""),"RF-00003148-MCG")</f>
        <v>RF-00003148-MCG</v>
      </c>
    </row>
    <row r="5241" spans="1:2" ht="12.5" x14ac:dyDescent="0.25">
      <c r="A5241" t="str">
        <f ca="1">IFERROR(__xludf.DUMMYFUNCTION("""COMPUTED_VALUE"""),"Salmonella - S. 1,4,[5],12:i:- - DT 28")</f>
        <v>Salmonella - S. 1,4,[5],12:i:- - DT 28</v>
      </c>
      <c r="B5241" t="str">
        <f ca="1">IFERROR(__xludf.DUMMYFUNCTION("""COMPUTED_VALUE"""),"RF-00003149-MCG")</f>
        <v>RF-00003149-MCG</v>
      </c>
    </row>
    <row r="5242" spans="1:2" ht="12.5" x14ac:dyDescent="0.25">
      <c r="A5242" t="str">
        <f ca="1">IFERROR(__xludf.DUMMYFUNCTION("""COMPUTED_VALUE"""),"Salmonella - S. 1,4,[5],12:i:- - DT 29")</f>
        <v>Salmonella - S. 1,4,[5],12:i:- - DT 29</v>
      </c>
      <c r="B5242" t="str">
        <f ca="1">IFERROR(__xludf.DUMMYFUNCTION("""COMPUTED_VALUE"""),"RF-00003150-MCG")</f>
        <v>RF-00003150-MCG</v>
      </c>
    </row>
    <row r="5243" spans="1:2" ht="12.5" x14ac:dyDescent="0.25">
      <c r="A5243" t="str">
        <f ca="1">IFERROR(__xludf.DUMMYFUNCTION("""COMPUTED_VALUE"""),"Salmonella - S. 1,4,[5],12:i:- - DT 2a")</f>
        <v>Salmonella - S. 1,4,[5],12:i:- - DT 2a</v>
      </c>
      <c r="B5243" t="str">
        <f ca="1">IFERROR(__xludf.DUMMYFUNCTION("""COMPUTED_VALUE"""),"RF-00003151-MCG")</f>
        <v>RF-00003151-MCG</v>
      </c>
    </row>
    <row r="5244" spans="1:2" ht="12.5" x14ac:dyDescent="0.25">
      <c r="A5244" t="str">
        <f ca="1">IFERROR(__xludf.DUMMYFUNCTION("""COMPUTED_VALUE"""),"Salmonella - S. 1,4,[5],12:i:- - DT 3")</f>
        <v>Salmonella - S. 1,4,[5],12:i:- - DT 3</v>
      </c>
      <c r="B5244" t="str">
        <f ca="1">IFERROR(__xludf.DUMMYFUNCTION("""COMPUTED_VALUE"""),"RF-00003152-MCG")</f>
        <v>RF-00003152-MCG</v>
      </c>
    </row>
    <row r="5245" spans="1:2" ht="12.5" x14ac:dyDescent="0.25">
      <c r="A5245" t="str">
        <f ca="1">IFERROR(__xludf.DUMMYFUNCTION("""COMPUTED_VALUE"""),"Salmonella - S. 1,4,[5],12:i:- - DT 30")</f>
        <v>Salmonella - S. 1,4,[5],12:i:- - DT 30</v>
      </c>
      <c r="B5245" t="str">
        <f ca="1">IFERROR(__xludf.DUMMYFUNCTION("""COMPUTED_VALUE"""),"RF-00003153-MCG")</f>
        <v>RF-00003153-MCG</v>
      </c>
    </row>
    <row r="5246" spans="1:2" ht="12.5" x14ac:dyDescent="0.25">
      <c r="A5246" t="str">
        <f ca="1">IFERROR(__xludf.DUMMYFUNCTION("""COMPUTED_VALUE"""),"Salmonella - S. 1,4,[5],12:i:- - DT 32")</f>
        <v>Salmonella - S. 1,4,[5],12:i:- - DT 32</v>
      </c>
      <c r="B5246" t="str">
        <f ca="1">IFERROR(__xludf.DUMMYFUNCTION("""COMPUTED_VALUE"""),"RF-00003154-MCG")</f>
        <v>RF-00003154-MCG</v>
      </c>
    </row>
    <row r="5247" spans="1:2" ht="12.5" x14ac:dyDescent="0.25">
      <c r="A5247" t="str">
        <f ca="1">IFERROR(__xludf.DUMMYFUNCTION("""COMPUTED_VALUE"""),"Salmonella - S. 1,4,[5],12:i:- - DT 35")</f>
        <v>Salmonella - S. 1,4,[5],12:i:- - DT 35</v>
      </c>
      <c r="B5247" t="str">
        <f ca="1">IFERROR(__xludf.DUMMYFUNCTION("""COMPUTED_VALUE"""),"RF-00003155-MCG")</f>
        <v>RF-00003155-MCG</v>
      </c>
    </row>
    <row r="5248" spans="1:2" ht="12.5" x14ac:dyDescent="0.25">
      <c r="A5248" t="str">
        <f ca="1">IFERROR(__xludf.DUMMYFUNCTION("""COMPUTED_VALUE"""),"Salmonella - S. 1,4,[5],12:i:- - DT 36")</f>
        <v>Salmonella - S. 1,4,[5],12:i:- - DT 36</v>
      </c>
      <c r="B5248" t="str">
        <f ca="1">IFERROR(__xludf.DUMMYFUNCTION("""COMPUTED_VALUE"""),"RF-00003156-MCG")</f>
        <v>RF-00003156-MCG</v>
      </c>
    </row>
    <row r="5249" spans="1:2" ht="12.5" x14ac:dyDescent="0.25">
      <c r="A5249" t="str">
        <f ca="1">IFERROR(__xludf.DUMMYFUNCTION("""COMPUTED_VALUE"""),"Salmonella - S. 1,4,[5],12:i:- - DT 38")</f>
        <v>Salmonella - S. 1,4,[5],12:i:- - DT 38</v>
      </c>
      <c r="B5249" t="str">
        <f ca="1">IFERROR(__xludf.DUMMYFUNCTION("""COMPUTED_VALUE"""),"RF-00003157-MCG")</f>
        <v>RF-00003157-MCG</v>
      </c>
    </row>
    <row r="5250" spans="1:2" ht="12.5" x14ac:dyDescent="0.25">
      <c r="A5250" t="str">
        <f ca="1">IFERROR(__xludf.DUMMYFUNCTION("""COMPUTED_VALUE"""),"Salmonella - S. 1,4,[5],12:i:- - DT 4")</f>
        <v>Salmonella - S. 1,4,[5],12:i:- - DT 4</v>
      </c>
      <c r="B5250" t="str">
        <f ca="1">IFERROR(__xludf.DUMMYFUNCTION("""COMPUTED_VALUE"""),"RF-00003158-MCG")</f>
        <v>RF-00003158-MCG</v>
      </c>
    </row>
    <row r="5251" spans="1:2" ht="12.5" x14ac:dyDescent="0.25">
      <c r="A5251" t="str">
        <f ca="1">IFERROR(__xludf.DUMMYFUNCTION("""COMPUTED_VALUE"""),"Salmonella - S. 1,4,[5],12:i:- - DT 40")</f>
        <v>Salmonella - S. 1,4,[5],12:i:- - DT 40</v>
      </c>
      <c r="B5251" t="str">
        <f ca="1">IFERROR(__xludf.DUMMYFUNCTION("""COMPUTED_VALUE"""),"RF-00003159-MCG")</f>
        <v>RF-00003159-MCG</v>
      </c>
    </row>
    <row r="5252" spans="1:2" ht="12.5" x14ac:dyDescent="0.25">
      <c r="A5252" t="str">
        <f ca="1">IFERROR(__xludf.DUMMYFUNCTION("""COMPUTED_VALUE"""),"Salmonella - S. 1,4,[5],12:i:- - DT 41")</f>
        <v>Salmonella - S. 1,4,[5],12:i:- - DT 41</v>
      </c>
      <c r="B5252" t="str">
        <f ca="1">IFERROR(__xludf.DUMMYFUNCTION("""COMPUTED_VALUE"""),"RF-00003160-MCG")</f>
        <v>RF-00003160-MCG</v>
      </c>
    </row>
    <row r="5253" spans="1:2" ht="12.5" x14ac:dyDescent="0.25">
      <c r="A5253" t="str">
        <f ca="1">IFERROR(__xludf.DUMMYFUNCTION("""COMPUTED_VALUE"""),"Salmonella - S. 1,4,[5],12:i:- - DT 41 var.")</f>
        <v>Salmonella - S. 1,4,[5],12:i:- - DT 41 var.</v>
      </c>
      <c r="B5253" t="str">
        <f ca="1">IFERROR(__xludf.DUMMYFUNCTION("""COMPUTED_VALUE"""),"RF-00003161-MCG")</f>
        <v>RF-00003161-MCG</v>
      </c>
    </row>
    <row r="5254" spans="1:2" ht="12.5" x14ac:dyDescent="0.25">
      <c r="A5254" t="str">
        <f ca="1">IFERROR(__xludf.DUMMYFUNCTION("""COMPUTED_VALUE"""),"Salmonella - S. 1,4,[5],12:i:- - DT 41a")</f>
        <v>Salmonella - S. 1,4,[5],12:i:- - DT 41a</v>
      </c>
      <c r="B5254" t="str">
        <f ca="1">IFERROR(__xludf.DUMMYFUNCTION("""COMPUTED_VALUE"""),"RF-00003162-MCG")</f>
        <v>RF-00003162-MCG</v>
      </c>
    </row>
    <row r="5255" spans="1:2" ht="12.5" x14ac:dyDescent="0.25">
      <c r="A5255" t="str">
        <f ca="1">IFERROR(__xludf.DUMMYFUNCTION("""COMPUTED_VALUE"""),"Salmonella - S. 1,4,[5],12:i:- - DT 42")</f>
        <v>Salmonella - S. 1,4,[5],12:i:- - DT 42</v>
      </c>
      <c r="B5255" t="str">
        <f ca="1">IFERROR(__xludf.DUMMYFUNCTION("""COMPUTED_VALUE"""),"RF-00003163-MCG")</f>
        <v>RF-00003163-MCG</v>
      </c>
    </row>
    <row r="5256" spans="1:2" ht="12.5" x14ac:dyDescent="0.25">
      <c r="A5256" t="str">
        <f ca="1">IFERROR(__xludf.DUMMYFUNCTION("""COMPUTED_VALUE"""),"Salmonella - S. 1,4,[5],12:i:- - DT 43")</f>
        <v>Salmonella - S. 1,4,[5],12:i:- - DT 43</v>
      </c>
      <c r="B5256" t="str">
        <f ca="1">IFERROR(__xludf.DUMMYFUNCTION("""COMPUTED_VALUE"""),"RF-00003164-MCG")</f>
        <v>RF-00003164-MCG</v>
      </c>
    </row>
    <row r="5257" spans="1:2" ht="12.5" x14ac:dyDescent="0.25">
      <c r="A5257" t="str">
        <f ca="1">IFERROR(__xludf.DUMMYFUNCTION("""COMPUTED_VALUE"""),"Salmonella - S. 1,4,[5],12:i:- - DT 44")</f>
        <v>Salmonella - S. 1,4,[5],12:i:- - DT 44</v>
      </c>
      <c r="B5257" t="str">
        <f ca="1">IFERROR(__xludf.DUMMYFUNCTION("""COMPUTED_VALUE"""),"RF-00003165-MCG")</f>
        <v>RF-00003165-MCG</v>
      </c>
    </row>
    <row r="5258" spans="1:2" ht="12.5" x14ac:dyDescent="0.25">
      <c r="A5258" t="str">
        <f ca="1">IFERROR(__xludf.DUMMYFUNCTION("""COMPUTED_VALUE"""),"Salmonella - S. 1,4,[5],12:i:- - DT 46")</f>
        <v>Salmonella - S. 1,4,[5],12:i:- - DT 46</v>
      </c>
      <c r="B5258" t="str">
        <f ca="1">IFERROR(__xludf.DUMMYFUNCTION("""COMPUTED_VALUE"""),"RF-00003166-MCG")</f>
        <v>RF-00003166-MCG</v>
      </c>
    </row>
    <row r="5259" spans="1:2" ht="12.5" x14ac:dyDescent="0.25">
      <c r="A5259" t="str">
        <f ca="1">IFERROR(__xludf.DUMMYFUNCTION("""COMPUTED_VALUE"""),"Salmonella - S. 1,4,[5],12:i:- - DT 46a")</f>
        <v>Salmonella - S. 1,4,[5],12:i:- - DT 46a</v>
      </c>
      <c r="B5259" t="str">
        <f ca="1">IFERROR(__xludf.DUMMYFUNCTION("""COMPUTED_VALUE"""),"RF-00003167-MCG")</f>
        <v>RF-00003167-MCG</v>
      </c>
    </row>
    <row r="5260" spans="1:2" ht="12.5" x14ac:dyDescent="0.25">
      <c r="A5260" t="str">
        <f ca="1">IFERROR(__xludf.DUMMYFUNCTION("""COMPUTED_VALUE"""),"Salmonella - S. 1,4,[5],12:i:- - DT 49")</f>
        <v>Salmonella - S. 1,4,[5],12:i:- - DT 49</v>
      </c>
      <c r="B5260" t="str">
        <f ca="1">IFERROR(__xludf.DUMMYFUNCTION("""COMPUTED_VALUE"""),"RF-00003168-MCG")</f>
        <v>RF-00003168-MCG</v>
      </c>
    </row>
    <row r="5261" spans="1:2" ht="12.5" x14ac:dyDescent="0.25">
      <c r="A5261" t="str">
        <f ca="1">IFERROR(__xludf.DUMMYFUNCTION("""COMPUTED_VALUE"""),"Salmonella - S. 1,4,[5],12:i:- - DT 49a")</f>
        <v>Salmonella - S. 1,4,[5],12:i:- - DT 49a</v>
      </c>
      <c r="B5261" t="str">
        <f ca="1">IFERROR(__xludf.DUMMYFUNCTION("""COMPUTED_VALUE"""),"RF-00003169-MCG")</f>
        <v>RF-00003169-MCG</v>
      </c>
    </row>
    <row r="5262" spans="1:2" ht="12.5" x14ac:dyDescent="0.25">
      <c r="A5262" t="str">
        <f ca="1">IFERROR(__xludf.DUMMYFUNCTION("""COMPUTED_VALUE"""),"Salmonella - S. 1,4,[5],12:i:- - DT 52")</f>
        <v>Salmonella - S. 1,4,[5],12:i:- - DT 52</v>
      </c>
      <c r="B5262" t="str">
        <f ca="1">IFERROR(__xludf.DUMMYFUNCTION("""COMPUTED_VALUE"""),"RF-00003170-MCG")</f>
        <v>RF-00003170-MCG</v>
      </c>
    </row>
    <row r="5263" spans="1:2" ht="12.5" x14ac:dyDescent="0.25">
      <c r="A5263" t="str">
        <f ca="1">IFERROR(__xludf.DUMMYFUNCTION("""COMPUTED_VALUE"""),"Salmonella - S. 1,4,[5],12:i:- - DT 54")</f>
        <v>Salmonella - S. 1,4,[5],12:i:- - DT 54</v>
      </c>
      <c r="B5263" t="str">
        <f ca="1">IFERROR(__xludf.DUMMYFUNCTION("""COMPUTED_VALUE"""),"RF-00003171-MCG")</f>
        <v>RF-00003171-MCG</v>
      </c>
    </row>
    <row r="5264" spans="1:2" ht="12.5" x14ac:dyDescent="0.25">
      <c r="A5264" t="str">
        <f ca="1">IFERROR(__xludf.DUMMYFUNCTION("""COMPUTED_VALUE"""),"Salmonella - S. 1,4,[5],12:i:- - DT 55")</f>
        <v>Salmonella - S. 1,4,[5],12:i:- - DT 55</v>
      </c>
      <c r="B5264" t="str">
        <f ca="1">IFERROR(__xludf.DUMMYFUNCTION("""COMPUTED_VALUE"""),"RF-00003172-MCG")</f>
        <v>RF-00003172-MCG</v>
      </c>
    </row>
    <row r="5265" spans="1:2" ht="12.5" x14ac:dyDescent="0.25">
      <c r="A5265" t="str">
        <f ca="1">IFERROR(__xludf.DUMMYFUNCTION("""COMPUTED_VALUE"""),"Salmonella - S. 1,4,[5],12:i:- - DT 56")</f>
        <v>Salmonella - S. 1,4,[5],12:i:- - DT 56</v>
      </c>
      <c r="B5265" t="str">
        <f ca="1">IFERROR(__xludf.DUMMYFUNCTION("""COMPUTED_VALUE"""),"RF-00003173-MCG")</f>
        <v>RF-00003173-MCG</v>
      </c>
    </row>
    <row r="5266" spans="1:2" ht="12.5" x14ac:dyDescent="0.25">
      <c r="A5266" t="str">
        <f ca="1">IFERROR(__xludf.DUMMYFUNCTION("""COMPUTED_VALUE"""),"Salmonella - S. 1,4,[5],12:i:- - DT 56 var.")</f>
        <v>Salmonella - S. 1,4,[5],12:i:- - DT 56 var.</v>
      </c>
      <c r="B5266" t="str">
        <f ca="1">IFERROR(__xludf.DUMMYFUNCTION("""COMPUTED_VALUE"""),"RF-00003174-MCG")</f>
        <v>RF-00003174-MCG</v>
      </c>
    </row>
    <row r="5267" spans="1:2" ht="12.5" x14ac:dyDescent="0.25">
      <c r="A5267" t="str">
        <f ca="1">IFERROR(__xludf.DUMMYFUNCTION("""COMPUTED_VALUE"""),"Salmonella - S. 1,4,[5],12:i:- - DT 58")</f>
        <v>Salmonella - S. 1,4,[5],12:i:- - DT 58</v>
      </c>
      <c r="B5267" t="str">
        <f ca="1">IFERROR(__xludf.DUMMYFUNCTION("""COMPUTED_VALUE"""),"RF-00003175-MCG")</f>
        <v>RF-00003175-MCG</v>
      </c>
    </row>
    <row r="5268" spans="1:2" ht="12.5" x14ac:dyDescent="0.25">
      <c r="A5268" t="str">
        <f ca="1">IFERROR(__xludf.DUMMYFUNCTION("""COMPUTED_VALUE"""),"Salmonella - S. 1,4,[5],12:i:- - DT 59")</f>
        <v>Salmonella - S. 1,4,[5],12:i:- - DT 59</v>
      </c>
      <c r="B5268" t="str">
        <f ca="1">IFERROR(__xludf.DUMMYFUNCTION("""COMPUTED_VALUE"""),"RF-00003176-MCG")</f>
        <v>RF-00003176-MCG</v>
      </c>
    </row>
    <row r="5269" spans="1:2" ht="12.5" x14ac:dyDescent="0.25">
      <c r="A5269" t="str">
        <f ca="1">IFERROR(__xludf.DUMMYFUNCTION("""COMPUTED_VALUE"""),"Salmonella - S. 1,4,[5],12:i:- - DT 6")</f>
        <v>Salmonella - S. 1,4,[5],12:i:- - DT 6</v>
      </c>
      <c r="B5269" t="str">
        <f ca="1">IFERROR(__xludf.DUMMYFUNCTION("""COMPUTED_VALUE"""),"RF-00003177-MCG")</f>
        <v>RF-00003177-MCG</v>
      </c>
    </row>
    <row r="5270" spans="1:2" ht="12.5" x14ac:dyDescent="0.25">
      <c r="A5270" t="str">
        <f ca="1">IFERROR(__xludf.DUMMYFUNCTION("""COMPUTED_VALUE"""),"Salmonella - S. 1,4,[5],12:i:- - DT 63")</f>
        <v>Salmonella - S. 1,4,[5],12:i:- - DT 63</v>
      </c>
      <c r="B5270" t="str">
        <f ca="1">IFERROR(__xludf.DUMMYFUNCTION("""COMPUTED_VALUE"""),"RF-00003178-MCG")</f>
        <v>RF-00003178-MCG</v>
      </c>
    </row>
    <row r="5271" spans="1:2" ht="12.5" x14ac:dyDescent="0.25">
      <c r="A5271" t="str">
        <f ca="1">IFERROR(__xludf.DUMMYFUNCTION("""COMPUTED_VALUE"""),"Salmonella - S. 1,4,[5],12:i:- - DT 64")</f>
        <v>Salmonella - S. 1,4,[5],12:i:- - DT 64</v>
      </c>
      <c r="B5271" t="str">
        <f ca="1">IFERROR(__xludf.DUMMYFUNCTION("""COMPUTED_VALUE"""),"RF-00003179-MCG")</f>
        <v>RF-00003179-MCG</v>
      </c>
    </row>
    <row r="5272" spans="1:2" ht="12.5" x14ac:dyDescent="0.25">
      <c r="A5272" t="str">
        <f ca="1">IFERROR(__xludf.DUMMYFUNCTION("""COMPUTED_VALUE"""),"Salmonella - S. 1,4,[5],12:i:- - DT 66")</f>
        <v>Salmonella - S. 1,4,[5],12:i:- - DT 66</v>
      </c>
      <c r="B5272" t="str">
        <f ca="1">IFERROR(__xludf.DUMMYFUNCTION("""COMPUTED_VALUE"""),"RF-00003180-MCG")</f>
        <v>RF-00003180-MCG</v>
      </c>
    </row>
    <row r="5273" spans="1:2" ht="12.5" x14ac:dyDescent="0.25">
      <c r="A5273" t="str">
        <f ca="1">IFERROR(__xludf.DUMMYFUNCTION("""COMPUTED_VALUE"""),"Salmonella - S. 1,4,[5],12:i:- - DT 66a")</f>
        <v>Salmonella - S. 1,4,[5],12:i:- - DT 66a</v>
      </c>
      <c r="B5273" t="str">
        <f ca="1">IFERROR(__xludf.DUMMYFUNCTION("""COMPUTED_VALUE"""),"RF-00003181-MCG")</f>
        <v>RF-00003181-MCG</v>
      </c>
    </row>
    <row r="5274" spans="1:2" ht="12.5" x14ac:dyDescent="0.25">
      <c r="A5274" t="str">
        <f ca="1">IFERROR(__xludf.DUMMYFUNCTION("""COMPUTED_VALUE"""),"Salmonella - S. 1,4,[5],12:i:- - DT 67")</f>
        <v>Salmonella - S. 1,4,[5],12:i:- - DT 67</v>
      </c>
      <c r="B5274" t="str">
        <f ca="1">IFERROR(__xludf.DUMMYFUNCTION("""COMPUTED_VALUE"""),"RF-00003182-MCG")</f>
        <v>RF-00003182-MCG</v>
      </c>
    </row>
    <row r="5275" spans="1:2" ht="12.5" x14ac:dyDescent="0.25">
      <c r="A5275" t="str">
        <f ca="1">IFERROR(__xludf.DUMMYFUNCTION("""COMPUTED_VALUE"""),"Salmonella - S. 1,4,[5],12:i:- - DT 68")</f>
        <v>Salmonella - S. 1,4,[5],12:i:- - DT 68</v>
      </c>
      <c r="B5275" t="str">
        <f ca="1">IFERROR(__xludf.DUMMYFUNCTION("""COMPUTED_VALUE"""),"RF-00003183-MCG")</f>
        <v>RF-00003183-MCG</v>
      </c>
    </row>
    <row r="5276" spans="1:2" ht="12.5" x14ac:dyDescent="0.25">
      <c r="A5276" t="str">
        <f ca="1">IFERROR(__xludf.DUMMYFUNCTION("""COMPUTED_VALUE"""),"Salmonella - S. 1,4,[5],12:i:- - DT 7")</f>
        <v>Salmonella - S. 1,4,[5],12:i:- - DT 7</v>
      </c>
      <c r="B5276" t="str">
        <f ca="1">IFERROR(__xludf.DUMMYFUNCTION("""COMPUTED_VALUE"""),"RF-00003184-MCG")</f>
        <v>RF-00003184-MCG</v>
      </c>
    </row>
    <row r="5277" spans="1:2" ht="12.5" x14ac:dyDescent="0.25">
      <c r="A5277" t="str">
        <f ca="1">IFERROR(__xludf.DUMMYFUNCTION("""COMPUTED_VALUE"""),"Salmonella - S. 1,4,[5],12:i:- - DT 73")</f>
        <v>Salmonella - S. 1,4,[5],12:i:- - DT 73</v>
      </c>
      <c r="B5277" t="str">
        <f ca="1">IFERROR(__xludf.DUMMYFUNCTION("""COMPUTED_VALUE"""),"RF-00003185-MCG")</f>
        <v>RF-00003185-MCG</v>
      </c>
    </row>
    <row r="5278" spans="1:2" ht="12.5" x14ac:dyDescent="0.25">
      <c r="A5278" t="str">
        <f ca="1">IFERROR(__xludf.DUMMYFUNCTION("""COMPUTED_VALUE"""),"Salmonella - S. 1,4,[5],12:i:- - DT 74")</f>
        <v>Salmonella - S. 1,4,[5],12:i:- - DT 74</v>
      </c>
      <c r="B5278" t="str">
        <f ca="1">IFERROR(__xludf.DUMMYFUNCTION("""COMPUTED_VALUE"""),"RF-00003186-MCG")</f>
        <v>RF-00003186-MCG</v>
      </c>
    </row>
    <row r="5279" spans="1:2" ht="12.5" x14ac:dyDescent="0.25">
      <c r="A5279" t="str">
        <f ca="1">IFERROR(__xludf.DUMMYFUNCTION("""COMPUTED_VALUE"""),"Salmonella - S. 1,4,[5],12:i:- - DT 8")</f>
        <v>Salmonella - S. 1,4,[5],12:i:- - DT 8</v>
      </c>
      <c r="B5279" t="str">
        <f ca="1">IFERROR(__xludf.DUMMYFUNCTION("""COMPUTED_VALUE"""),"RF-00003187-MCG")</f>
        <v>RF-00003187-MCG</v>
      </c>
    </row>
    <row r="5280" spans="1:2" ht="12.5" x14ac:dyDescent="0.25">
      <c r="A5280" t="str">
        <f ca="1">IFERROR(__xludf.DUMMYFUNCTION("""COMPUTED_VALUE"""),"Salmonella - S. 1,4,[5],12:i:- - DT 80")</f>
        <v>Salmonella - S. 1,4,[5],12:i:- - DT 80</v>
      </c>
      <c r="B5280" t="str">
        <f ca="1">IFERROR(__xludf.DUMMYFUNCTION("""COMPUTED_VALUE"""),"RF-00003188-MCG")</f>
        <v>RF-00003188-MCG</v>
      </c>
    </row>
    <row r="5281" spans="1:2" ht="12.5" x14ac:dyDescent="0.25">
      <c r="A5281" t="str">
        <f ca="1">IFERROR(__xludf.DUMMYFUNCTION("""COMPUTED_VALUE"""),"Salmonella - S. 1,4,[5],12:i:- - DT 82")</f>
        <v>Salmonella - S. 1,4,[5],12:i:- - DT 82</v>
      </c>
      <c r="B5281" t="str">
        <f ca="1">IFERROR(__xludf.DUMMYFUNCTION("""COMPUTED_VALUE"""),"RF-00003189-MCG")</f>
        <v>RF-00003189-MCG</v>
      </c>
    </row>
    <row r="5282" spans="1:2" ht="12.5" x14ac:dyDescent="0.25">
      <c r="A5282" t="str">
        <f ca="1">IFERROR(__xludf.DUMMYFUNCTION("""COMPUTED_VALUE"""),"Salmonella - S. 1,4,[5],12:i:- - DT 83")</f>
        <v>Salmonella - S. 1,4,[5],12:i:- - DT 83</v>
      </c>
      <c r="B5282" t="str">
        <f ca="1">IFERROR(__xludf.DUMMYFUNCTION("""COMPUTED_VALUE"""),"RF-00003190-MCG")</f>
        <v>RF-00003190-MCG</v>
      </c>
    </row>
    <row r="5283" spans="1:2" ht="12.5" x14ac:dyDescent="0.25">
      <c r="A5283" t="str">
        <f ca="1">IFERROR(__xludf.DUMMYFUNCTION("""COMPUTED_VALUE"""),"Salmonella - S. 1,4,[5],12:i:- - DT 85")</f>
        <v>Salmonella - S. 1,4,[5],12:i:- - DT 85</v>
      </c>
      <c r="B5283" t="str">
        <f ca="1">IFERROR(__xludf.DUMMYFUNCTION("""COMPUTED_VALUE"""),"RF-00003191-MCG")</f>
        <v>RF-00003191-MCG</v>
      </c>
    </row>
    <row r="5284" spans="1:2" ht="12.5" x14ac:dyDescent="0.25">
      <c r="A5284" t="str">
        <f ca="1">IFERROR(__xludf.DUMMYFUNCTION("""COMPUTED_VALUE"""),"Salmonella - S. 1,4,[5],12:i:- - DT 86")</f>
        <v>Salmonella - S. 1,4,[5],12:i:- - DT 86</v>
      </c>
      <c r="B5284" t="str">
        <f ca="1">IFERROR(__xludf.DUMMYFUNCTION("""COMPUTED_VALUE"""),"RF-00003192-MCG")</f>
        <v>RF-00003192-MCG</v>
      </c>
    </row>
    <row r="5285" spans="1:2" ht="12.5" x14ac:dyDescent="0.25">
      <c r="A5285" t="str">
        <f ca="1">IFERROR(__xludf.DUMMYFUNCTION("""COMPUTED_VALUE"""),"Salmonella - S. 1,4,[5],12:i:- - DT 87")</f>
        <v>Salmonella - S. 1,4,[5],12:i:- - DT 87</v>
      </c>
      <c r="B5285" t="str">
        <f ca="1">IFERROR(__xludf.DUMMYFUNCTION("""COMPUTED_VALUE"""),"RF-00003193-MCG")</f>
        <v>RF-00003193-MCG</v>
      </c>
    </row>
    <row r="5286" spans="1:2" ht="12.5" x14ac:dyDescent="0.25">
      <c r="A5286" t="str">
        <f ca="1">IFERROR(__xludf.DUMMYFUNCTION("""COMPUTED_VALUE"""),"Salmonella - S. 1,4,[5],12:i:- - DT 89")</f>
        <v>Salmonella - S. 1,4,[5],12:i:- - DT 89</v>
      </c>
      <c r="B5286" t="str">
        <f ca="1">IFERROR(__xludf.DUMMYFUNCTION("""COMPUTED_VALUE"""),"RF-00003194-MCG")</f>
        <v>RF-00003194-MCG</v>
      </c>
    </row>
    <row r="5287" spans="1:2" ht="12.5" x14ac:dyDescent="0.25">
      <c r="A5287" t="str">
        <f ca="1">IFERROR(__xludf.DUMMYFUNCTION("""COMPUTED_VALUE"""),"Salmonella - S. 1,4,[5],12:i:- - DT 9")</f>
        <v>Salmonella - S. 1,4,[5],12:i:- - DT 9</v>
      </c>
      <c r="B5287" t="str">
        <f ca="1">IFERROR(__xludf.DUMMYFUNCTION("""COMPUTED_VALUE"""),"RF-00003195-MCG")</f>
        <v>RF-00003195-MCG</v>
      </c>
    </row>
    <row r="5288" spans="1:2" ht="12.5" x14ac:dyDescent="0.25">
      <c r="A5288" t="str">
        <f ca="1">IFERROR(__xludf.DUMMYFUNCTION("""COMPUTED_VALUE"""),"Salmonella - S. 1,4,[5],12:i:- - DT 9 var.")</f>
        <v>Salmonella - S. 1,4,[5],12:i:- - DT 9 var.</v>
      </c>
      <c r="B5288" t="str">
        <f ca="1">IFERROR(__xludf.DUMMYFUNCTION("""COMPUTED_VALUE"""),"RF-00003196-MCG")</f>
        <v>RF-00003196-MCG</v>
      </c>
    </row>
    <row r="5289" spans="1:2" ht="12.5" x14ac:dyDescent="0.25">
      <c r="A5289" t="str">
        <f ca="1">IFERROR(__xludf.DUMMYFUNCTION("""COMPUTED_VALUE"""),"Salmonella - S. 1,4,[5],12:i:- - DT 92")</f>
        <v>Salmonella - S. 1,4,[5],12:i:- - DT 92</v>
      </c>
      <c r="B5289" t="str">
        <f ca="1">IFERROR(__xludf.DUMMYFUNCTION("""COMPUTED_VALUE"""),"RF-00003197-MCG")</f>
        <v>RF-00003197-MCG</v>
      </c>
    </row>
    <row r="5290" spans="1:2" ht="12.5" x14ac:dyDescent="0.25">
      <c r="A5290" t="str">
        <f ca="1">IFERROR(__xludf.DUMMYFUNCTION("""COMPUTED_VALUE"""),"Salmonella - S. 1,4,[5],12:i:- - DT 93")</f>
        <v>Salmonella - S. 1,4,[5],12:i:- - DT 93</v>
      </c>
      <c r="B5290" t="str">
        <f ca="1">IFERROR(__xludf.DUMMYFUNCTION("""COMPUTED_VALUE"""),"RF-00003198-MCG")</f>
        <v>RF-00003198-MCG</v>
      </c>
    </row>
    <row r="5291" spans="1:2" ht="12.5" x14ac:dyDescent="0.25">
      <c r="A5291" t="str">
        <f ca="1">IFERROR(__xludf.DUMMYFUNCTION("""COMPUTED_VALUE"""),"Salmonella - S. 1,4,[5],12:i:- - DT 94")</f>
        <v>Salmonella - S. 1,4,[5],12:i:- - DT 94</v>
      </c>
      <c r="B5291" t="str">
        <f ca="1">IFERROR(__xludf.DUMMYFUNCTION("""COMPUTED_VALUE"""),"RF-00003199-MCG")</f>
        <v>RF-00003199-MCG</v>
      </c>
    </row>
    <row r="5292" spans="1:2" ht="12.5" x14ac:dyDescent="0.25">
      <c r="A5292" t="str">
        <f ca="1">IFERROR(__xludf.DUMMYFUNCTION("""COMPUTED_VALUE"""),"Salmonella - S. 1,4,[5],12:i:- - DT 96")</f>
        <v>Salmonella - S. 1,4,[5],12:i:- - DT 96</v>
      </c>
      <c r="B5292" t="str">
        <f ca="1">IFERROR(__xludf.DUMMYFUNCTION("""COMPUTED_VALUE"""),"RF-00003200-MCG")</f>
        <v>RF-00003200-MCG</v>
      </c>
    </row>
    <row r="5293" spans="1:2" ht="12.5" x14ac:dyDescent="0.25">
      <c r="A5293" t="str">
        <f ca="1">IFERROR(__xludf.DUMMYFUNCTION("""COMPUTED_VALUE"""),"Salmonella - S. 1,4,[5],12:i:- - DT 97")</f>
        <v>Salmonella - S. 1,4,[5],12:i:- - DT 97</v>
      </c>
      <c r="B5293" t="str">
        <f ca="1">IFERROR(__xludf.DUMMYFUNCTION("""COMPUTED_VALUE"""),"RF-00003201-MCG")</f>
        <v>RF-00003201-MCG</v>
      </c>
    </row>
    <row r="5294" spans="1:2" ht="12.5" x14ac:dyDescent="0.25">
      <c r="A5294" t="str">
        <f ca="1">IFERROR(__xludf.DUMMYFUNCTION("""COMPUTED_VALUE"""),"Salmonella - S. 1,4,[5],12:i:- - DT 99")</f>
        <v>Salmonella - S. 1,4,[5],12:i:- - DT 99</v>
      </c>
      <c r="B5294" t="str">
        <f ca="1">IFERROR(__xludf.DUMMYFUNCTION("""COMPUTED_VALUE"""),"RF-00003202-MCG")</f>
        <v>RF-00003202-MCG</v>
      </c>
    </row>
    <row r="5295" spans="1:2" ht="12.5" x14ac:dyDescent="0.25">
      <c r="A5295" t="str">
        <f ca="1">IFERROR(__xludf.DUMMYFUNCTION("""COMPUTED_VALUE"""),"Salmonella - S. 1,4,[5],12:i:- - DT RDNC")</f>
        <v>Salmonella - S. 1,4,[5],12:i:- - DT RDNC</v>
      </c>
      <c r="B5295" t="str">
        <f ca="1">IFERROR(__xludf.DUMMYFUNCTION("""COMPUTED_VALUE"""),"RF-00003203-MCG")</f>
        <v>RF-00003203-MCG</v>
      </c>
    </row>
    <row r="5296" spans="1:2" ht="12.5" x14ac:dyDescent="0.25">
      <c r="A5296" t="str">
        <f ca="1">IFERROR(__xludf.DUMMYFUNCTION("""COMPUTED_VALUE"""),"Salmonella - S. 1,4,[5],12:i:- - DT U")</f>
        <v>Salmonella - S. 1,4,[5],12:i:- - DT U</v>
      </c>
      <c r="B5296" t="str">
        <f ca="1">IFERROR(__xludf.DUMMYFUNCTION("""COMPUTED_VALUE"""),"RF-00003204-MCG")</f>
        <v>RF-00003204-MCG</v>
      </c>
    </row>
    <row r="5297" spans="1:2" ht="12.5" x14ac:dyDescent="0.25">
      <c r="A5297" t="str">
        <f ca="1">IFERROR(__xludf.DUMMYFUNCTION("""COMPUTED_VALUE"""),"Salmonella - S. 1,4,[5],12:i:- - DT U291")</f>
        <v>Salmonella - S. 1,4,[5],12:i:- - DT U291</v>
      </c>
      <c r="B5297" t="str">
        <f ca="1">IFERROR(__xludf.DUMMYFUNCTION("""COMPUTED_VALUE"""),"RF-00003205-MCG")</f>
        <v>RF-00003205-MCG</v>
      </c>
    </row>
    <row r="5298" spans="1:2" ht="12.5" x14ac:dyDescent="0.25">
      <c r="A5298" t="str">
        <f ca="1">IFERROR(__xludf.DUMMYFUNCTION("""COMPUTED_VALUE"""),"Salmonella - S. 1,4,[5],12:i:- - DT U302")</f>
        <v>Salmonella - S. 1,4,[5],12:i:- - DT U302</v>
      </c>
      <c r="B5298" t="str">
        <f ca="1">IFERROR(__xludf.DUMMYFUNCTION("""COMPUTED_VALUE"""),"RF-00003206-MCG")</f>
        <v>RF-00003206-MCG</v>
      </c>
    </row>
    <row r="5299" spans="1:2" ht="12.5" x14ac:dyDescent="0.25">
      <c r="A5299" t="str">
        <f ca="1">IFERROR(__xludf.DUMMYFUNCTION("""COMPUTED_VALUE"""),"Salmonella - S. 1,4,[5],12:i:- - FT 104")</f>
        <v>Salmonella - S. 1,4,[5],12:i:- - FT 104</v>
      </c>
      <c r="B5299" t="str">
        <f ca="1">IFERROR(__xludf.DUMMYFUNCTION("""COMPUTED_VALUE"""),"RF-00003207-MCG")</f>
        <v>RF-00003207-MCG</v>
      </c>
    </row>
    <row r="5300" spans="1:2" ht="12.5" x14ac:dyDescent="0.25">
      <c r="A5300" t="str">
        <f ca="1">IFERROR(__xludf.DUMMYFUNCTION("""COMPUTED_VALUE"""),"Salmonella - S. 1,4,[5],12:i:- - FT 110")</f>
        <v>Salmonella - S. 1,4,[5],12:i:- - FT 110</v>
      </c>
      <c r="B5300" t="str">
        <f ca="1">IFERROR(__xludf.DUMMYFUNCTION("""COMPUTED_VALUE"""),"RF-00003208-MCG")</f>
        <v>RF-00003208-MCG</v>
      </c>
    </row>
    <row r="5301" spans="1:2" ht="12.5" x14ac:dyDescent="0.25">
      <c r="A5301" t="str">
        <f ca="1">IFERROR(__xludf.DUMMYFUNCTION("""COMPUTED_VALUE"""),"Salmonella - S. 1,4,[5],12:i:- - FT 13 var.")</f>
        <v>Salmonella - S. 1,4,[5],12:i:- - FT 13 var.</v>
      </c>
      <c r="B5301" t="str">
        <f ca="1">IFERROR(__xludf.DUMMYFUNCTION("""COMPUTED_VALUE"""),"RF-00003209-MCG")</f>
        <v>RF-00003209-MCG</v>
      </c>
    </row>
    <row r="5302" spans="1:2" ht="12.5" x14ac:dyDescent="0.25">
      <c r="A5302" t="str">
        <f ca="1">IFERROR(__xludf.DUMMYFUNCTION("""COMPUTED_VALUE"""),"Salmonella - S. 1,4,[5],12:i:- - FT 150")</f>
        <v>Salmonella - S. 1,4,[5],12:i:- - FT 150</v>
      </c>
      <c r="B5302" t="str">
        <f ca="1">IFERROR(__xludf.DUMMYFUNCTION("""COMPUTED_VALUE"""),"RF-00003210-MCG")</f>
        <v>RF-00003210-MCG</v>
      </c>
    </row>
    <row r="5303" spans="1:2" ht="12.5" x14ac:dyDescent="0.25">
      <c r="A5303" t="str">
        <f ca="1">IFERROR(__xludf.DUMMYFUNCTION("""COMPUTED_VALUE"""),"Salmonella - S. 1,4,[5],12:i:- - FT 2")</f>
        <v>Salmonella - S. 1,4,[5],12:i:- - FT 2</v>
      </c>
      <c r="B5303" t="str">
        <f ca="1">IFERROR(__xludf.DUMMYFUNCTION("""COMPUTED_VALUE"""),"RF-00003211-MCG")</f>
        <v>RF-00003211-MCG</v>
      </c>
    </row>
    <row r="5304" spans="1:2" ht="12.5" x14ac:dyDescent="0.25">
      <c r="A5304" t="str">
        <f ca="1">IFERROR(__xludf.DUMMYFUNCTION("""COMPUTED_VALUE"""),"Salmonella - S. 1,4,[5],12:i:- - FT 20")</f>
        <v>Salmonella - S. 1,4,[5],12:i:- - FT 20</v>
      </c>
      <c r="B5304" t="str">
        <f ca="1">IFERROR(__xludf.DUMMYFUNCTION("""COMPUTED_VALUE"""),"RF-00003212-MCG")</f>
        <v>RF-00003212-MCG</v>
      </c>
    </row>
    <row r="5305" spans="1:2" ht="12.5" x14ac:dyDescent="0.25">
      <c r="A5305" t="str">
        <f ca="1">IFERROR(__xludf.DUMMYFUNCTION("""COMPUTED_VALUE"""),"Salmonella - S. 1,4,[5],12:i:- - FT 204")</f>
        <v>Salmonella - S. 1,4,[5],12:i:- - FT 204</v>
      </c>
      <c r="B5305" t="str">
        <f ca="1">IFERROR(__xludf.DUMMYFUNCTION("""COMPUTED_VALUE"""),"RF-00003213-MCG")</f>
        <v>RF-00003213-MCG</v>
      </c>
    </row>
    <row r="5306" spans="1:2" ht="12.5" x14ac:dyDescent="0.25">
      <c r="A5306" t="str">
        <f ca="1">IFERROR(__xludf.DUMMYFUNCTION("""COMPUTED_VALUE"""),"Salmonella - S. 1,4,[5],12:i:- - FT 207")</f>
        <v>Salmonella - S. 1,4,[5],12:i:- - FT 207</v>
      </c>
      <c r="B5306" t="str">
        <f ca="1">IFERROR(__xludf.DUMMYFUNCTION("""COMPUTED_VALUE"""),"RF-00003214-MCG")</f>
        <v>RF-00003214-MCG</v>
      </c>
    </row>
    <row r="5307" spans="1:2" ht="12.5" x14ac:dyDescent="0.25">
      <c r="A5307" t="str">
        <f ca="1">IFERROR(__xludf.DUMMYFUNCTION("""COMPUTED_VALUE"""),"Salmonella - S. 1,4,[5],12:i:- - FT 281")</f>
        <v>Salmonella - S. 1,4,[5],12:i:- - FT 281</v>
      </c>
      <c r="B5307" t="str">
        <f ca="1">IFERROR(__xludf.DUMMYFUNCTION("""COMPUTED_VALUE"""),"RF-00003215-MCG")</f>
        <v>RF-00003215-MCG</v>
      </c>
    </row>
    <row r="5308" spans="1:2" ht="12.5" x14ac:dyDescent="0.25">
      <c r="A5308" t="str">
        <f ca="1">IFERROR(__xludf.DUMMYFUNCTION("""COMPUTED_VALUE"""),"Salmonella - S. 1,4,[5],12:i:- - FT 290")</f>
        <v>Salmonella - S. 1,4,[5],12:i:- - FT 290</v>
      </c>
      <c r="B5308" t="str">
        <f ca="1">IFERROR(__xludf.DUMMYFUNCTION("""COMPUTED_VALUE"""),"RF-00003216-MCG")</f>
        <v>RF-00003216-MCG</v>
      </c>
    </row>
    <row r="5309" spans="1:2" ht="12.5" x14ac:dyDescent="0.25">
      <c r="A5309" t="str">
        <f ca="1">IFERROR(__xludf.DUMMYFUNCTION("""COMPUTED_VALUE"""),"Salmonella - S. 1,4,[5],12:i:- - FT 295")</f>
        <v>Salmonella - S. 1,4,[5],12:i:- - FT 295</v>
      </c>
      <c r="B5309" t="str">
        <f ca="1">IFERROR(__xludf.DUMMYFUNCTION("""COMPUTED_VALUE"""),"RF-00003217-MCG")</f>
        <v>RF-00003217-MCG</v>
      </c>
    </row>
    <row r="5310" spans="1:2" ht="12.5" x14ac:dyDescent="0.25">
      <c r="A5310" t="str">
        <f ca="1">IFERROR(__xludf.DUMMYFUNCTION("""COMPUTED_VALUE"""),"Salmonella - S. 1,4,[5],12:i:- - FT 296")</f>
        <v>Salmonella - S. 1,4,[5],12:i:- - FT 296</v>
      </c>
      <c r="B5310" t="str">
        <f ca="1">IFERROR(__xludf.DUMMYFUNCTION("""COMPUTED_VALUE"""),"RF-00003218-MCG")</f>
        <v>RF-00003218-MCG</v>
      </c>
    </row>
    <row r="5311" spans="1:2" ht="12.5" x14ac:dyDescent="0.25">
      <c r="A5311" t="str">
        <f ca="1">IFERROR(__xludf.DUMMYFUNCTION("""COMPUTED_VALUE"""),"Salmonella - S. 1,4,[5],12:i:- - FT 3")</f>
        <v>Salmonella - S. 1,4,[5],12:i:- - FT 3</v>
      </c>
      <c r="B5311" t="str">
        <f ca="1">IFERROR(__xludf.DUMMYFUNCTION("""COMPUTED_VALUE"""),"RF-00003219-MCG")</f>
        <v>RF-00003219-MCG</v>
      </c>
    </row>
    <row r="5312" spans="1:2" ht="12.5" x14ac:dyDescent="0.25">
      <c r="A5312" t="str">
        <f ca="1">IFERROR(__xludf.DUMMYFUNCTION("""COMPUTED_VALUE"""),"Salmonella - S. 1,4,[5],12:i:- - FT 301")</f>
        <v>Salmonella - S. 1,4,[5],12:i:- - FT 301</v>
      </c>
      <c r="B5312" t="str">
        <f ca="1">IFERROR(__xludf.DUMMYFUNCTION("""COMPUTED_VALUE"""),"RF-00003220-MCG")</f>
        <v>RF-00003220-MCG</v>
      </c>
    </row>
    <row r="5313" spans="1:2" ht="12.5" x14ac:dyDescent="0.25">
      <c r="A5313" t="str">
        <f ca="1">IFERROR(__xludf.DUMMYFUNCTION("""COMPUTED_VALUE"""),"Salmonella - S. 1,4,[5],12:i:- - FT 350")</f>
        <v>Salmonella - S. 1,4,[5],12:i:- - FT 350</v>
      </c>
      <c r="B5313" t="str">
        <f ca="1">IFERROR(__xludf.DUMMYFUNCTION("""COMPUTED_VALUE"""),"RF-00003221-MCG")</f>
        <v>RF-00003221-MCG</v>
      </c>
    </row>
    <row r="5314" spans="1:2" ht="12.5" x14ac:dyDescent="0.25">
      <c r="A5314" t="str">
        <f ca="1">IFERROR(__xludf.DUMMYFUNCTION("""COMPUTED_VALUE"""),"Salmonella - S. 1,4,[5],12:i:- - FT 351")</f>
        <v>Salmonella - S. 1,4,[5],12:i:- - FT 351</v>
      </c>
      <c r="B5314" t="str">
        <f ca="1">IFERROR(__xludf.DUMMYFUNCTION("""COMPUTED_VALUE"""),"RF-00003222-MCG")</f>
        <v>RF-00003222-MCG</v>
      </c>
    </row>
    <row r="5315" spans="1:2" ht="12.5" x14ac:dyDescent="0.25">
      <c r="A5315" t="str">
        <f ca="1">IFERROR(__xludf.DUMMYFUNCTION("""COMPUTED_VALUE"""),"Salmonella - S. 1,4,[5],12:i:- - FT 353")</f>
        <v>Salmonella - S. 1,4,[5],12:i:- - FT 353</v>
      </c>
      <c r="B5315" t="str">
        <f ca="1">IFERROR(__xludf.DUMMYFUNCTION("""COMPUTED_VALUE"""),"RF-00003223-MCG")</f>
        <v>RF-00003223-MCG</v>
      </c>
    </row>
    <row r="5316" spans="1:2" ht="12.5" x14ac:dyDescent="0.25">
      <c r="A5316" t="str">
        <f ca="1">IFERROR(__xludf.DUMMYFUNCTION("""COMPUTED_VALUE"""),"Salmonella - S. 1,4,[5],12:i:- - FT 380")</f>
        <v>Salmonella - S. 1,4,[5],12:i:- - FT 380</v>
      </c>
      <c r="B5316" t="str">
        <f ca="1">IFERROR(__xludf.DUMMYFUNCTION("""COMPUTED_VALUE"""),"RF-00003224-MCG")</f>
        <v>RF-00003224-MCG</v>
      </c>
    </row>
    <row r="5317" spans="1:2" ht="12.5" x14ac:dyDescent="0.25">
      <c r="A5317" t="str">
        <f ca="1">IFERROR(__xludf.DUMMYFUNCTION("""COMPUTED_VALUE"""),"Salmonella - S. 1,4,[5],12:i:- - FT 401")</f>
        <v>Salmonella - S. 1,4,[5],12:i:- - FT 401</v>
      </c>
      <c r="B5317" t="str">
        <f ca="1">IFERROR(__xludf.DUMMYFUNCTION("""COMPUTED_VALUE"""),"RF-00003225-MCG")</f>
        <v>RF-00003225-MCG</v>
      </c>
    </row>
    <row r="5318" spans="1:2" ht="12.5" x14ac:dyDescent="0.25">
      <c r="A5318" t="str">
        <f ca="1">IFERROR(__xludf.DUMMYFUNCTION("""COMPUTED_VALUE"""),"Salmonella - S. 1,4,[5],12:i:- - FT 450")</f>
        <v>Salmonella - S. 1,4,[5],12:i:- - FT 450</v>
      </c>
      <c r="B5318" t="str">
        <f ca="1">IFERROR(__xludf.DUMMYFUNCTION("""COMPUTED_VALUE"""),"RF-00003226-MCG")</f>
        <v>RF-00003226-MCG</v>
      </c>
    </row>
    <row r="5319" spans="1:2" ht="12.5" x14ac:dyDescent="0.25">
      <c r="A5319" t="str">
        <f ca="1">IFERROR(__xludf.DUMMYFUNCTION("""COMPUTED_VALUE"""),"Salmonella - S. 1,4,[5],12:i:- - FT 461")</f>
        <v>Salmonella - S. 1,4,[5],12:i:- - FT 461</v>
      </c>
      <c r="B5319" t="str">
        <f ca="1">IFERROR(__xludf.DUMMYFUNCTION("""COMPUTED_VALUE"""),"RF-00003227-MCG")</f>
        <v>RF-00003227-MCG</v>
      </c>
    </row>
    <row r="5320" spans="1:2" ht="12.5" x14ac:dyDescent="0.25">
      <c r="A5320" t="str">
        <f ca="1">IFERROR(__xludf.DUMMYFUNCTION("""COMPUTED_VALUE"""),"Salmonella - S. 1,4,[5],12:i:- - FT 505")</f>
        <v>Salmonella - S. 1,4,[5],12:i:- - FT 505</v>
      </c>
      <c r="B5320" t="str">
        <f ca="1">IFERROR(__xludf.DUMMYFUNCTION("""COMPUTED_VALUE"""),"RF-00003228-MCG")</f>
        <v>RF-00003228-MCG</v>
      </c>
    </row>
    <row r="5321" spans="1:2" ht="12.5" x14ac:dyDescent="0.25">
      <c r="A5321" t="str">
        <f ca="1">IFERROR(__xludf.DUMMYFUNCTION("""COMPUTED_VALUE"""),"Salmonella - S. 1,4,[5],12:i:- - FT 506")</f>
        <v>Salmonella - S. 1,4,[5],12:i:- - FT 506</v>
      </c>
      <c r="B5321" t="str">
        <f ca="1">IFERROR(__xludf.DUMMYFUNCTION("""COMPUTED_VALUE"""),"RF-00003229-MCG")</f>
        <v>RF-00003229-MCG</v>
      </c>
    </row>
    <row r="5322" spans="1:2" ht="12.5" x14ac:dyDescent="0.25">
      <c r="A5322" t="str">
        <f ca="1">IFERROR(__xludf.DUMMYFUNCTION("""COMPUTED_VALUE"""),"Salmonella - S. 1,4,[5],12:i:- - FT 507")</f>
        <v>Salmonella - S. 1,4,[5],12:i:- - FT 507</v>
      </c>
      <c r="B5322" t="str">
        <f ca="1">IFERROR(__xludf.DUMMYFUNCTION("""COMPUTED_VALUE"""),"RF-00003230-MCG")</f>
        <v>RF-00003230-MCG</v>
      </c>
    </row>
    <row r="5323" spans="1:2" ht="12.5" x14ac:dyDescent="0.25">
      <c r="A5323" t="str">
        <f ca="1">IFERROR(__xludf.DUMMYFUNCTION("""COMPUTED_VALUE"""),"Salmonella - S. 1,4,[5],12:i:- - FT 508")</f>
        <v>Salmonella - S. 1,4,[5],12:i:- - FT 508</v>
      </c>
      <c r="B5323" t="str">
        <f ca="1">IFERROR(__xludf.DUMMYFUNCTION("""COMPUTED_VALUE"""),"RF-00003231-MCG")</f>
        <v>RF-00003231-MCG</v>
      </c>
    </row>
    <row r="5324" spans="1:2" ht="12.5" x14ac:dyDescent="0.25">
      <c r="A5324" t="str">
        <f ca="1">IFERROR(__xludf.DUMMYFUNCTION("""COMPUTED_VALUE"""),"Salmonella - S. 1,4,[5],12:i:- - FT 510")</f>
        <v>Salmonella - S. 1,4,[5],12:i:- - FT 510</v>
      </c>
      <c r="B5324" t="str">
        <f ca="1">IFERROR(__xludf.DUMMYFUNCTION("""COMPUTED_VALUE"""),"RF-00003232-MCG")</f>
        <v>RF-00003232-MCG</v>
      </c>
    </row>
    <row r="5325" spans="1:2" ht="12.5" x14ac:dyDescent="0.25">
      <c r="A5325" t="str">
        <f ca="1">IFERROR(__xludf.DUMMYFUNCTION("""COMPUTED_VALUE"""),"Salmonella - S. 1,4,[5],12:i:- - FT 530")</f>
        <v>Salmonella - S. 1,4,[5],12:i:- - FT 530</v>
      </c>
      <c r="B5325" t="str">
        <f ca="1">IFERROR(__xludf.DUMMYFUNCTION("""COMPUTED_VALUE"""),"RF-00003233-MCG")</f>
        <v>RF-00003233-MCG</v>
      </c>
    </row>
    <row r="5326" spans="1:2" ht="12.5" x14ac:dyDescent="0.25">
      <c r="A5326" t="str">
        <f ca="1">IFERROR(__xludf.DUMMYFUNCTION("""COMPUTED_VALUE"""),"Salmonella - S. 1,4,[5],12:i:- - FT 560")</f>
        <v>Salmonella - S. 1,4,[5],12:i:- - FT 560</v>
      </c>
      <c r="B5326" t="str">
        <f ca="1">IFERROR(__xludf.DUMMYFUNCTION("""COMPUTED_VALUE"""),"RF-00003234-MCG")</f>
        <v>RF-00003234-MCG</v>
      </c>
    </row>
    <row r="5327" spans="1:2" ht="12.5" x14ac:dyDescent="0.25">
      <c r="A5327" t="str">
        <f ca="1">IFERROR(__xludf.DUMMYFUNCTION("""COMPUTED_VALUE"""),"Salmonella - S. 1,4,[5],12:i:- - FT 60")</f>
        <v>Salmonella - S. 1,4,[5],12:i:- - FT 60</v>
      </c>
      <c r="B5327" t="str">
        <f ca="1">IFERROR(__xludf.DUMMYFUNCTION("""COMPUTED_VALUE"""),"RF-00003235-MCG")</f>
        <v>RF-00003235-MCG</v>
      </c>
    </row>
    <row r="5328" spans="1:2" ht="12.5" x14ac:dyDescent="0.25">
      <c r="A5328" t="str">
        <f ca="1">IFERROR(__xludf.DUMMYFUNCTION("""COMPUTED_VALUE"""),"Salmonella - S. 1,4,[5],12:i:- - FT 61")</f>
        <v>Salmonella - S. 1,4,[5],12:i:- - FT 61</v>
      </c>
      <c r="B5328" t="str">
        <f ca="1">IFERROR(__xludf.DUMMYFUNCTION("""COMPUTED_VALUE"""),"RF-00003236-MCG")</f>
        <v>RF-00003236-MCG</v>
      </c>
    </row>
    <row r="5329" spans="1:2" ht="12.5" x14ac:dyDescent="0.25">
      <c r="A5329" t="str">
        <f ca="1">IFERROR(__xludf.DUMMYFUNCTION("""COMPUTED_VALUE"""),"Salmonella - S. 1,4,[5],12:i:- - FT 655")</f>
        <v>Salmonella - S. 1,4,[5],12:i:- - FT 655</v>
      </c>
      <c r="B5329" t="str">
        <f ca="1">IFERROR(__xludf.DUMMYFUNCTION("""COMPUTED_VALUE"""),"RF-00003237-MCG")</f>
        <v>RF-00003237-MCG</v>
      </c>
    </row>
    <row r="5330" spans="1:2" ht="12.5" x14ac:dyDescent="0.25">
      <c r="A5330" t="str">
        <f ca="1">IFERROR(__xludf.DUMMYFUNCTION("""COMPUTED_VALUE"""),"Salmonella - S. 1,4,[5],12:i:- - FT 656")</f>
        <v>Salmonella - S. 1,4,[5],12:i:- - FT 656</v>
      </c>
      <c r="B5330" t="str">
        <f ca="1">IFERROR(__xludf.DUMMYFUNCTION("""COMPUTED_VALUE"""),"RF-00003238-MCG")</f>
        <v>RF-00003238-MCG</v>
      </c>
    </row>
    <row r="5331" spans="1:2" ht="12.5" x14ac:dyDescent="0.25">
      <c r="A5331" t="str">
        <f ca="1">IFERROR(__xludf.DUMMYFUNCTION("""COMPUTED_VALUE"""),"Salmonella - S. 1,4,[5],12:i:- - FT 658")</f>
        <v>Salmonella - S. 1,4,[5],12:i:- - FT 658</v>
      </c>
      <c r="B5331" t="str">
        <f ca="1">IFERROR(__xludf.DUMMYFUNCTION("""COMPUTED_VALUE"""),"RF-00003239-MCG")</f>
        <v>RF-00003239-MCG</v>
      </c>
    </row>
    <row r="5332" spans="1:2" ht="12.5" x14ac:dyDescent="0.25">
      <c r="A5332" t="str">
        <f ca="1">IFERROR(__xludf.DUMMYFUNCTION("""COMPUTED_VALUE"""),"Salmonella - S. 1,4,[5],12:i:- - FT 80")</f>
        <v>Salmonella - S. 1,4,[5],12:i:- - FT 80</v>
      </c>
      <c r="B5332" t="str">
        <f ca="1">IFERROR(__xludf.DUMMYFUNCTION("""COMPUTED_VALUE"""),"RF-00003240-MCG")</f>
        <v>RF-00003240-MCG</v>
      </c>
    </row>
    <row r="5333" spans="1:2" ht="12.5" x14ac:dyDescent="0.25">
      <c r="A5333" t="str">
        <f ca="1">IFERROR(__xludf.DUMMYFUNCTION("""COMPUTED_VALUE"""),"Salmonella - S. 1,4,[5],12:i:- - FT 90")</f>
        <v>Salmonella - S. 1,4,[5],12:i:- - FT 90</v>
      </c>
      <c r="B5333" t="str">
        <f ca="1">IFERROR(__xludf.DUMMYFUNCTION("""COMPUTED_VALUE"""),"RF-00003241-MCG")</f>
        <v>RF-00003241-MCG</v>
      </c>
    </row>
    <row r="5334" spans="1:2" ht="12.5" x14ac:dyDescent="0.25">
      <c r="A5334" t="str">
        <f ca="1">IFERROR(__xludf.DUMMYFUNCTION("""COMPUTED_VALUE"""),"Salmonella - S. 1,4,[5],12:i:- - Not typeable")</f>
        <v>Salmonella - S. 1,4,[5],12:i:- - Not typeable</v>
      </c>
      <c r="B5334" t="str">
        <f ca="1">IFERROR(__xludf.DUMMYFUNCTION("""COMPUTED_VALUE"""),"RF-00003242-MCG")</f>
        <v>RF-00003242-MCG</v>
      </c>
    </row>
    <row r="5335" spans="1:2" ht="12.5" x14ac:dyDescent="0.25">
      <c r="A5335" t="str">
        <f ca="1">IFERROR(__xludf.DUMMYFUNCTION("""COMPUTED_VALUE"""),"Salmonella - S. 1,4,[5],12:i:- - Nt-L30")</f>
        <v>Salmonella - S. 1,4,[5],12:i:- - Nt-L30</v>
      </c>
      <c r="B5335" t="str">
        <f ca="1">IFERROR(__xludf.DUMMYFUNCTION("""COMPUTED_VALUE"""),"RF-00003243-MCG")</f>
        <v>RF-00003243-MCG</v>
      </c>
    </row>
    <row r="5336" spans="1:2" ht="12.5" x14ac:dyDescent="0.25">
      <c r="A5336" t="str">
        <f ca="1">IFERROR(__xludf.DUMMYFUNCTION("""COMPUTED_VALUE"""),"Salmonella - S. 1,4,[5],12:i:- - Nt-L30,31")</f>
        <v>Salmonella - S. 1,4,[5],12:i:- - Nt-L30,31</v>
      </c>
      <c r="B5336" t="str">
        <f ca="1">IFERROR(__xludf.DUMMYFUNCTION("""COMPUTED_VALUE"""),"RF-00003244-MCG")</f>
        <v>RF-00003244-MCG</v>
      </c>
    </row>
    <row r="5337" spans="1:2" ht="12.5" x14ac:dyDescent="0.25">
      <c r="A5337" t="str">
        <f ca="1">IFERROR(__xludf.DUMMYFUNCTION("""COMPUTED_VALUE"""),"Salmonella - S. 1,4,[5],12:i:- - Nt-L30,31,37")</f>
        <v>Salmonella - S. 1,4,[5],12:i:- - Nt-L30,31,37</v>
      </c>
      <c r="B5337" t="str">
        <f ca="1">IFERROR(__xludf.DUMMYFUNCTION("""COMPUTED_VALUE"""),"RF-00003245-MCG")</f>
        <v>RF-00003245-MCG</v>
      </c>
    </row>
    <row r="5338" spans="1:2" ht="12.5" x14ac:dyDescent="0.25">
      <c r="A5338" t="str">
        <f ca="1">IFERROR(__xludf.DUMMYFUNCTION("""COMPUTED_VALUE"""),"Salmonella - S. 1,4,[5],12:i:- - Nt-L30,37")</f>
        <v>Salmonella - S. 1,4,[5],12:i:- - Nt-L30,37</v>
      </c>
      <c r="B5338" t="str">
        <f ca="1">IFERROR(__xludf.DUMMYFUNCTION("""COMPUTED_VALUE"""),"RF-00003246-MCG")</f>
        <v>RF-00003246-MCG</v>
      </c>
    </row>
    <row r="5339" spans="1:2" ht="12.5" x14ac:dyDescent="0.25">
      <c r="A5339" t="str">
        <f ca="1">IFERROR(__xludf.DUMMYFUNCTION("""COMPUTED_VALUE"""),"Salmonella - S. 1,4,[5],12:i:- - Nt-L31")</f>
        <v>Salmonella - S. 1,4,[5],12:i:- - Nt-L31</v>
      </c>
      <c r="B5339" t="str">
        <f ca="1">IFERROR(__xludf.DUMMYFUNCTION("""COMPUTED_VALUE"""),"RF-00003247-MCG")</f>
        <v>RF-00003247-MCG</v>
      </c>
    </row>
    <row r="5340" spans="1:2" ht="12.5" x14ac:dyDescent="0.25">
      <c r="A5340" t="str">
        <f ca="1">IFERROR(__xludf.DUMMYFUNCTION("""COMPUTED_VALUE"""),"Salmonella - S. 1,4,[5],12:i:- - Nt-L31,37")</f>
        <v>Salmonella - S. 1,4,[5],12:i:- - Nt-L31,37</v>
      </c>
      <c r="B5340" t="str">
        <f ca="1">IFERROR(__xludf.DUMMYFUNCTION("""COMPUTED_VALUE"""),"RF-00003248-MCG")</f>
        <v>RF-00003248-MCG</v>
      </c>
    </row>
    <row r="5341" spans="1:2" ht="12.5" x14ac:dyDescent="0.25">
      <c r="A5341" t="str">
        <f ca="1">IFERROR(__xludf.DUMMYFUNCTION("""COMPUTED_VALUE"""),"Salmonella - S. 1,4,[5],12:i:- - Nt-L37")</f>
        <v>Salmonella - S. 1,4,[5],12:i:- - Nt-L37</v>
      </c>
      <c r="B5341" t="str">
        <f ca="1">IFERROR(__xludf.DUMMYFUNCTION("""COMPUTED_VALUE"""),"RF-00003249-MCG")</f>
        <v>RF-00003249-MCG</v>
      </c>
    </row>
    <row r="5342" spans="1:2" ht="12.5" x14ac:dyDescent="0.25">
      <c r="A5342" t="str">
        <f ca="1">IFERROR(__xludf.DUMMYFUNCTION("""COMPUTED_VALUE"""),"Salmonella - S. 1,4,[5],12:i:- - Other")</f>
        <v>Salmonella - S. 1,4,[5],12:i:- - Other</v>
      </c>
      <c r="B5342" t="str">
        <f ca="1">IFERROR(__xludf.DUMMYFUNCTION("""COMPUTED_VALUE"""),"RF-00003250-MCG")</f>
        <v>RF-00003250-MCG</v>
      </c>
    </row>
    <row r="5343" spans="1:2" ht="12.5" x14ac:dyDescent="0.25">
      <c r="A5343" t="str">
        <f ca="1">IFERROR(__xludf.DUMMYFUNCTION("""COMPUTED_VALUE"""),"Salmonella - S. 1,4,[5],12:i:- - Pr (phage-resistant phagetype)")</f>
        <v>Salmonella - S. 1,4,[5],12:i:- - Pr (phage-resistant phagetype)</v>
      </c>
      <c r="B5343" t="str">
        <f ca="1">IFERROR(__xludf.DUMMYFUNCTION("""COMPUTED_VALUE"""),"RF-00003252-MCG")</f>
        <v>RF-00003252-MCG</v>
      </c>
    </row>
    <row r="5344" spans="1:2" ht="12.5" x14ac:dyDescent="0.25">
      <c r="A5344" t="str">
        <f ca="1">IFERROR(__xludf.DUMMYFUNCTION("""COMPUTED_VALUE"""),"Salmonella - S. 1,4,[5],12:i:- - PT 193")</f>
        <v>Salmonella - S. 1,4,[5],12:i:- - PT 193</v>
      </c>
      <c r="B5344" t="str">
        <f ca="1">IFERROR(__xludf.DUMMYFUNCTION("""COMPUTED_VALUE"""),"RF-00003251-MCG")</f>
        <v>RF-00003251-MCG</v>
      </c>
    </row>
    <row r="5345" spans="1:2" ht="12.5" x14ac:dyDescent="0.25">
      <c r="A5345" t="str">
        <f ca="1">IFERROR(__xludf.DUMMYFUNCTION("""COMPUTED_VALUE"""),"Salmonella - S. 1,4,[5],12:i:- - RDNC")</f>
        <v>Salmonella - S. 1,4,[5],12:i:- - RDNC</v>
      </c>
      <c r="B5345" t="str">
        <f ca="1">IFERROR(__xludf.DUMMYFUNCTION("""COMPUTED_VALUE"""),"RF-00003253-MCG")</f>
        <v>RF-00003253-MCG</v>
      </c>
    </row>
    <row r="5346" spans="1:2" ht="12.5" x14ac:dyDescent="0.25">
      <c r="A5346" t="str">
        <f ca="1">IFERROR(__xludf.DUMMYFUNCTION("""COMPUTED_VALUE"""),"Salmonella - S. 1,4,[5],12:i:- - U")</f>
        <v>Salmonella - S. 1,4,[5],12:i:- - U</v>
      </c>
      <c r="B5346" t="str">
        <f ca="1">IFERROR(__xludf.DUMMYFUNCTION("""COMPUTED_VALUE"""),"RF-00003254-MCG")</f>
        <v>RF-00003254-MCG</v>
      </c>
    </row>
    <row r="5347" spans="1:2" ht="12.5" x14ac:dyDescent="0.25">
      <c r="A5347" t="str">
        <f ca="1">IFERROR(__xludf.DUMMYFUNCTION("""COMPUTED_VALUE"""),"Salmonella - S. 1,4,[5],12:i:- - U 276")</f>
        <v>Salmonella - S. 1,4,[5],12:i:- - U 276</v>
      </c>
      <c r="B5347" t="str">
        <f ca="1">IFERROR(__xludf.DUMMYFUNCTION("""COMPUTED_VALUE"""),"RF-00003255-MCG")</f>
        <v>RF-00003255-MCG</v>
      </c>
    </row>
    <row r="5348" spans="1:2" ht="12.5" x14ac:dyDescent="0.25">
      <c r="A5348" t="str">
        <f ca="1">IFERROR(__xludf.DUMMYFUNCTION("""COMPUTED_VALUE"""),"Salmonella - S. 1,4,[5],12:i:- - U 277")</f>
        <v>Salmonella - S. 1,4,[5],12:i:- - U 277</v>
      </c>
      <c r="B5348" t="str">
        <f ca="1">IFERROR(__xludf.DUMMYFUNCTION("""COMPUTED_VALUE"""),"RF-00003256-MCG")</f>
        <v>RF-00003256-MCG</v>
      </c>
    </row>
    <row r="5349" spans="1:2" ht="12.5" x14ac:dyDescent="0.25">
      <c r="A5349" t="str">
        <f ca="1">IFERROR(__xludf.DUMMYFUNCTION("""COMPUTED_VALUE"""),"Salmonella - S. 1,4,[5],12:i:- - U 278")</f>
        <v>Salmonella - S. 1,4,[5],12:i:- - U 278</v>
      </c>
      <c r="B5349" t="str">
        <f ca="1">IFERROR(__xludf.DUMMYFUNCTION("""COMPUTED_VALUE"""),"RF-00003257-MCG")</f>
        <v>RF-00003257-MCG</v>
      </c>
    </row>
    <row r="5350" spans="1:2" ht="12.5" x14ac:dyDescent="0.25">
      <c r="A5350" t="str">
        <f ca="1">IFERROR(__xludf.DUMMYFUNCTION("""COMPUTED_VALUE"""),"Salmonella - S. 1,4,[5],12:i:- - U 288")</f>
        <v>Salmonella - S. 1,4,[5],12:i:- - U 288</v>
      </c>
      <c r="B5350" t="str">
        <f ca="1">IFERROR(__xludf.DUMMYFUNCTION("""COMPUTED_VALUE"""),"RF-00003258-MCG")</f>
        <v>RF-00003258-MCG</v>
      </c>
    </row>
    <row r="5351" spans="1:2" ht="12.5" x14ac:dyDescent="0.25">
      <c r="A5351" t="str">
        <f ca="1">IFERROR(__xludf.DUMMYFUNCTION("""COMPUTED_VALUE"""),"Salmonella - S. 1,4,[5],12:i:- - U 289")</f>
        <v>Salmonella - S. 1,4,[5],12:i:- - U 289</v>
      </c>
      <c r="B5351" t="str">
        <f ca="1">IFERROR(__xludf.DUMMYFUNCTION("""COMPUTED_VALUE"""),"RF-00003259-MCG")</f>
        <v>RF-00003259-MCG</v>
      </c>
    </row>
    <row r="5352" spans="1:2" ht="12.5" x14ac:dyDescent="0.25">
      <c r="A5352" t="str">
        <f ca="1">IFERROR(__xludf.DUMMYFUNCTION("""COMPUTED_VALUE"""),"Salmonella - S. 1,4,[5],12:i:- - U 291")</f>
        <v>Salmonella - S. 1,4,[5],12:i:- - U 291</v>
      </c>
      <c r="B5352" t="str">
        <f ca="1">IFERROR(__xludf.DUMMYFUNCTION("""COMPUTED_VALUE"""),"RF-00003260-MCG")</f>
        <v>RF-00003260-MCG</v>
      </c>
    </row>
    <row r="5353" spans="1:2" ht="12.5" x14ac:dyDescent="0.25">
      <c r="A5353" t="str">
        <f ca="1">IFERROR(__xludf.DUMMYFUNCTION("""COMPUTED_VALUE"""),"Salmonella - S. 1,4,[5],12:i:- - U 292")</f>
        <v>Salmonella - S. 1,4,[5],12:i:- - U 292</v>
      </c>
      <c r="B5353" t="str">
        <f ca="1">IFERROR(__xludf.DUMMYFUNCTION("""COMPUTED_VALUE"""),"RF-00003261-MCG")</f>
        <v>RF-00003261-MCG</v>
      </c>
    </row>
    <row r="5354" spans="1:2" ht="12.5" x14ac:dyDescent="0.25">
      <c r="A5354" t="str">
        <f ca="1">IFERROR(__xludf.DUMMYFUNCTION("""COMPUTED_VALUE"""),"Salmonella - S. 1,4,[5],12:i:- - U 302")</f>
        <v>Salmonella - S. 1,4,[5],12:i:- - U 302</v>
      </c>
      <c r="B5354" t="str">
        <f ca="1">IFERROR(__xludf.DUMMYFUNCTION("""COMPUTED_VALUE"""),"RF-00003262-MCG")</f>
        <v>RF-00003262-MCG</v>
      </c>
    </row>
    <row r="5355" spans="1:2" ht="12.5" x14ac:dyDescent="0.25">
      <c r="A5355" t="str">
        <f ca="1">IFERROR(__xludf.DUMMYFUNCTION("""COMPUTED_VALUE"""),"Salmonella - S. 1,4,[5],12:i:- - U 307")</f>
        <v>Salmonella - S. 1,4,[5],12:i:- - U 307</v>
      </c>
      <c r="B5355" t="str">
        <f ca="1">IFERROR(__xludf.DUMMYFUNCTION("""COMPUTED_VALUE"""),"RF-00003263-MCG")</f>
        <v>RF-00003263-MCG</v>
      </c>
    </row>
    <row r="5356" spans="1:2" ht="12.5" x14ac:dyDescent="0.25">
      <c r="A5356" t="str">
        <f ca="1">IFERROR(__xludf.DUMMYFUNCTION("""COMPUTED_VALUE"""),"Salmonella - S. 1,4,[5],12:i:- - U 308")</f>
        <v>Salmonella - S. 1,4,[5],12:i:- - U 308</v>
      </c>
      <c r="B5356" t="str">
        <f ca="1">IFERROR(__xludf.DUMMYFUNCTION("""COMPUTED_VALUE"""),"RF-00003264-MCG")</f>
        <v>RF-00003264-MCG</v>
      </c>
    </row>
    <row r="5357" spans="1:2" ht="12.5" x14ac:dyDescent="0.25">
      <c r="A5357" t="str">
        <f ca="1">IFERROR(__xludf.DUMMYFUNCTION("""COMPUTED_VALUE"""),"Salmonella - S. 1,4,[5],12:i:- - U 308b")</f>
        <v>Salmonella - S. 1,4,[5],12:i:- - U 308b</v>
      </c>
      <c r="B5357" t="str">
        <f ca="1">IFERROR(__xludf.DUMMYFUNCTION("""COMPUTED_VALUE"""),"RF-00003265-MCG")</f>
        <v>RF-00003265-MCG</v>
      </c>
    </row>
    <row r="5358" spans="1:2" ht="12.5" x14ac:dyDescent="0.25">
      <c r="A5358" t="str">
        <f ca="1">IFERROR(__xludf.DUMMYFUNCTION("""COMPUTED_VALUE"""),"Salmonella - S. 1,4,[5],12:i:- - U 309")</f>
        <v>Salmonella - S. 1,4,[5],12:i:- - U 309</v>
      </c>
      <c r="B5358" t="str">
        <f ca="1">IFERROR(__xludf.DUMMYFUNCTION("""COMPUTED_VALUE"""),"RF-00003266-MCG")</f>
        <v>RF-00003266-MCG</v>
      </c>
    </row>
    <row r="5359" spans="1:2" ht="12.5" x14ac:dyDescent="0.25">
      <c r="A5359" t="str">
        <f ca="1">IFERROR(__xludf.DUMMYFUNCTION("""COMPUTED_VALUE"""),"Salmonella - S. 1,4,[5],12:i:- - U 310")</f>
        <v>Salmonella - S. 1,4,[5],12:i:- - U 310</v>
      </c>
      <c r="B5359" t="str">
        <f ca="1">IFERROR(__xludf.DUMMYFUNCTION("""COMPUTED_VALUE"""),"RF-00003267-MCG")</f>
        <v>RF-00003267-MCG</v>
      </c>
    </row>
    <row r="5360" spans="1:2" ht="12.5" x14ac:dyDescent="0.25">
      <c r="A5360" t="str">
        <f ca="1">IFERROR(__xludf.DUMMYFUNCTION("""COMPUTED_VALUE"""),"Salmonella - S. 1,4,[5],12:i:- - U 311")</f>
        <v>Salmonella - S. 1,4,[5],12:i:- - U 311</v>
      </c>
      <c r="B5360" t="str">
        <f ca="1">IFERROR(__xludf.DUMMYFUNCTION("""COMPUTED_VALUE"""),"RF-00003268-MCG")</f>
        <v>RF-00003268-MCG</v>
      </c>
    </row>
    <row r="5361" spans="1:2" ht="12.5" x14ac:dyDescent="0.25">
      <c r="A5361" t="str">
        <f ca="1">IFERROR(__xludf.DUMMYFUNCTION("""COMPUTED_VALUE"""),"Salmonella - S. 1,4,[5],12:i:- - U 312")</f>
        <v>Salmonella - S. 1,4,[5],12:i:- - U 312</v>
      </c>
      <c r="B5361" t="str">
        <f ca="1">IFERROR(__xludf.DUMMYFUNCTION("""COMPUTED_VALUE"""),"RF-00003269-MCG")</f>
        <v>RF-00003269-MCG</v>
      </c>
    </row>
    <row r="5362" spans="1:2" ht="12.5" x14ac:dyDescent="0.25">
      <c r="A5362" t="str">
        <f ca="1">IFERROR(__xludf.DUMMYFUNCTION("""COMPUTED_VALUE"""),"Salmonella - S. 1,4,[5],12:i:- - U 313")</f>
        <v>Salmonella - S. 1,4,[5],12:i:- - U 313</v>
      </c>
      <c r="B5362" t="str">
        <f ca="1">IFERROR(__xludf.DUMMYFUNCTION("""COMPUTED_VALUE"""),"RF-00003270-MCG")</f>
        <v>RF-00003270-MCG</v>
      </c>
    </row>
    <row r="5363" spans="1:2" ht="12.5" x14ac:dyDescent="0.25">
      <c r="A5363" t="str">
        <f ca="1">IFERROR(__xludf.DUMMYFUNCTION("""COMPUTED_VALUE"""),"Salmonella - S. 1,4,[5],12:i:- - U 314")</f>
        <v>Salmonella - S. 1,4,[5],12:i:- - U 314</v>
      </c>
      <c r="B5363" t="str">
        <f ca="1">IFERROR(__xludf.DUMMYFUNCTION("""COMPUTED_VALUE"""),"RF-00003271-MCG")</f>
        <v>RF-00003271-MCG</v>
      </c>
    </row>
    <row r="5364" spans="1:2" ht="12.5" x14ac:dyDescent="0.25">
      <c r="A5364" t="str">
        <f ca="1">IFERROR(__xludf.DUMMYFUNCTION("""COMPUTED_VALUE"""),"Salmonella - S. 1,4,[5],12:i:- - U 322")</f>
        <v>Salmonella - S. 1,4,[5],12:i:- - U 322</v>
      </c>
      <c r="B5364" t="str">
        <f ca="1">IFERROR(__xludf.DUMMYFUNCTION("""COMPUTED_VALUE"""),"RF-00003272-MCG")</f>
        <v>RF-00003272-MCG</v>
      </c>
    </row>
    <row r="5365" spans="1:2" ht="12.5" x14ac:dyDescent="0.25">
      <c r="A5365" t="str">
        <f ca="1">IFERROR(__xludf.DUMMYFUNCTION("""COMPUTED_VALUE"""),"Salmonella - S. 1,4,[5],12:i:- - U 323")</f>
        <v>Salmonella - S. 1,4,[5],12:i:- - U 323</v>
      </c>
      <c r="B5365" t="str">
        <f ca="1">IFERROR(__xludf.DUMMYFUNCTION("""COMPUTED_VALUE"""),"RF-00003273-MCG")</f>
        <v>RF-00003273-MCG</v>
      </c>
    </row>
    <row r="5366" spans="1:2" ht="12.5" x14ac:dyDescent="0.25">
      <c r="A5366" t="str">
        <f ca="1">IFERROR(__xludf.DUMMYFUNCTION("""COMPUTED_VALUE"""),"Salmonella - S. 1,4,12:i:-")</f>
        <v>Salmonella - S. 1,4,12:i:-</v>
      </c>
      <c r="B5366" t="str">
        <f ca="1">IFERROR(__xludf.DUMMYFUNCTION("""COMPUTED_VALUE"""),"RF-00004093-MCG")</f>
        <v>RF-00004093-MCG</v>
      </c>
    </row>
    <row r="5367" spans="1:2" ht="12.5" x14ac:dyDescent="0.25">
      <c r="A5367" t="str">
        <f ca="1">IFERROR(__xludf.DUMMYFUNCTION("""COMPUTED_VALUE"""),"Salmonella - S. 1,4,5,12:-:1,2")</f>
        <v>Salmonella - S. 1,4,5,12:-:1,2</v>
      </c>
      <c r="B5367" t="str">
        <f ca="1">IFERROR(__xludf.DUMMYFUNCTION("""COMPUTED_VALUE"""),"RF-00000503-MCG")</f>
        <v>RF-00000503-MCG</v>
      </c>
    </row>
    <row r="5368" spans="1:2" ht="12.5" x14ac:dyDescent="0.25">
      <c r="A5368" t="str">
        <f ca="1">IFERROR(__xludf.DUMMYFUNCTION("""COMPUTED_VALUE"""),"Salmonella - S. 1,4,5,12:i:-")</f>
        <v>Salmonella - S. 1,4,5,12:i:-</v>
      </c>
      <c r="B5368" t="str">
        <f ca="1">IFERROR(__xludf.DUMMYFUNCTION("""COMPUTED_VALUE"""),"RF-00004094.MCG")</f>
        <v>RF-00004094.MCG</v>
      </c>
    </row>
    <row r="5369" spans="1:2" ht="12.5" x14ac:dyDescent="0.25">
      <c r="A5369" t="str">
        <f ca="1">IFERROR(__xludf.DUMMYFUNCTION("""COMPUTED_VALUE"""),"Salmonella - S. 4,5,12:i:- - U 323")</f>
        <v>Salmonella - S. 4,5,12:i:- - U 323</v>
      </c>
      <c r="B5369" t="str">
        <f ca="1">IFERROR(__xludf.DUMMYFUNCTION("""COMPUTED_VALUE"""),"RF-00003274-MCG")</f>
        <v>RF-00003274-MCG</v>
      </c>
    </row>
    <row r="5370" spans="1:2" ht="12.5" x14ac:dyDescent="0.25">
      <c r="A5370" t="str">
        <f ca="1">IFERROR(__xludf.DUMMYFUNCTION("""COMPUTED_VALUE"""),"Salmonella - S. 4,5:-:1,5")</f>
        <v>Salmonella - S. 4,5:-:1,5</v>
      </c>
      <c r="B5370" t="str">
        <f ca="1">IFERROR(__xludf.DUMMYFUNCTION("""COMPUTED_VALUE"""),"RF-00004085-MCG")</f>
        <v>RF-00004085-MCG</v>
      </c>
    </row>
    <row r="5371" spans="1:2" ht="12.5" x14ac:dyDescent="0.25">
      <c r="A5371" t="str">
        <f ca="1">IFERROR(__xludf.DUMMYFUNCTION("""COMPUTED_VALUE"""),"Salmonella - S. 4,5:b")</f>
        <v>Salmonella - S. 4,5:b</v>
      </c>
      <c r="B5371" t="str">
        <f ca="1">IFERROR(__xludf.DUMMYFUNCTION("""COMPUTED_VALUE"""),"RF-00003033-MCG")</f>
        <v>RF-00003033-MCG</v>
      </c>
    </row>
    <row r="5372" spans="1:2" ht="12.5" x14ac:dyDescent="0.25">
      <c r="A5372" t="str">
        <f ca="1">IFERROR(__xludf.DUMMYFUNCTION("""COMPUTED_VALUE"""),"Salmonella - S. 4:i:-")</f>
        <v>Salmonella - S. 4:i:-</v>
      </c>
      <c r="B5372" t="str">
        <f ca="1">IFERROR(__xludf.DUMMYFUNCTION("""COMPUTED_VALUE"""),"RF-00004086-MCG")</f>
        <v>RF-00004086-MCG</v>
      </c>
    </row>
    <row r="5373" spans="1:2" ht="12.5" x14ac:dyDescent="0.25">
      <c r="A5373" t="str">
        <f ca="1">IFERROR(__xludf.DUMMYFUNCTION("""COMPUTED_VALUE"""),"Salmonella - S. 6,7:e,h:-")</f>
        <v>Salmonella - S. 6,7:e,h:-</v>
      </c>
      <c r="B5373" t="str">
        <f ca="1">IFERROR(__xludf.DUMMYFUNCTION("""COMPUTED_VALUE"""),"RF-00003034-MCG")</f>
        <v>RF-00003034-MCG</v>
      </c>
    </row>
    <row r="5374" spans="1:2" ht="12.5" x14ac:dyDescent="0.25">
      <c r="A5374" t="str">
        <f ca="1">IFERROR(__xludf.DUMMYFUNCTION("""COMPUTED_VALUE"""),"Salmonella - S. 6,7:z29")</f>
        <v>Salmonella - S. 6,7:z29</v>
      </c>
      <c r="B5374" t="str">
        <f ca="1">IFERROR(__xludf.DUMMYFUNCTION("""COMPUTED_VALUE"""),"RF-00004092-MCG")</f>
        <v>RF-00004092-MCG</v>
      </c>
    </row>
    <row r="5375" spans="1:2" ht="12.5" x14ac:dyDescent="0.25">
      <c r="A5375" t="str">
        <f ca="1">IFERROR(__xludf.DUMMYFUNCTION("""COMPUTED_VALUE"""),"Salmonella - S. 61:-:1,5")</f>
        <v>Salmonella - S. 61:-:1,5</v>
      </c>
      <c r="B5375" t="str">
        <f ca="1">IFERROR(__xludf.DUMMYFUNCTION("""COMPUTED_VALUE"""),"RF-00004091-MCG")</f>
        <v>RF-00004091-MCG</v>
      </c>
    </row>
    <row r="5376" spans="1:2" ht="12.5" x14ac:dyDescent="0.25">
      <c r="A5376" t="str">
        <f ca="1">IFERROR(__xludf.DUMMYFUNCTION("""COMPUTED_VALUE"""),"Salmonella - S. 61:z55:1,5,7")</f>
        <v>Salmonella - S. 61:z55:1,5,7</v>
      </c>
      <c r="B5376" t="str">
        <f ca="1">IFERROR(__xludf.DUMMYFUNCTION("""COMPUTED_VALUE"""),"RF-00003035-MCG")</f>
        <v>RF-00003035-MCG</v>
      </c>
    </row>
    <row r="5377" spans="1:2" ht="12.5" x14ac:dyDescent="0.25">
      <c r="A5377" t="str">
        <f ca="1">IFERROR(__xludf.DUMMYFUNCTION("""COMPUTED_VALUE"""),"Salmonella - S. 9,46:b:-")</f>
        <v>Salmonella - S. 9,46:b:-</v>
      </c>
      <c r="B5377" t="str">
        <f ca="1">IFERROR(__xludf.DUMMYFUNCTION("""COMPUTED_VALUE"""),"RF-00003036-MCG")</f>
        <v>RF-00003036-MCG</v>
      </c>
    </row>
    <row r="5378" spans="1:2" ht="12.5" x14ac:dyDescent="0.25">
      <c r="A5378" t="str">
        <f ca="1">IFERROR(__xludf.DUMMYFUNCTION("""COMPUTED_VALUE"""),"Salmonella - S. Chennai")</f>
        <v>Salmonella - S. Chennai</v>
      </c>
      <c r="B5378" t="str">
        <f ca="1">IFERROR(__xludf.DUMMYFUNCTION("""COMPUTED_VALUE"""),"RF-00003037-MCG")</f>
        <v>RF-00003037-MCG</v>
      </c>
    </row>
    <row r="5379" spans="1:2" ht="12.5" x14ac:dyDescent="0.25">
      <c r="A5379" t="str">
        <f ca="1">IFERROR(__xludf.DUMMYFUNCTION("""COMPUTED_VALUE"""),"Salmonella - S. Cochise")</f>
        <v>Salmonella - S. Cochise</v>
      </c>
      <c r="B5379" t="str">
        <f ca="1">IFERROR(__xludf.DUMMYFUNCTION("""COMPUTED_VALUE"""),"RF-00003038-MCG")</f>
        <v>RF-00003038-MCG</v>
      </c>
    </row>
    <row r="5380" spans="1:2" ht="12.5" x14ac:dyDescent="0.25">
      <c r="A5380" t="str">
        <f ca="1">IFERROR(__xludf.DUMMYFUNCTION("""COMPUTED_VALUE"""),"Salmonella - S. enterica subsp. enterica")</f>
        <v>Salmonella - S. enterica subsp. enterica</v>
      </c>
      <c r="B5380" t="str">
        <f ca="1">IFERROR(__xludf.DUMMYFUNCTION("""COMPUTED_VALUE"""),"RF-00003052-MCG")</f>
        <v>RF-00003052-MCG</v>
      </c>
    </row>
    <row r="5381" spans="1:2" ht="12.5" x14ac:dyDescent="0.25">
      <c r="A5381" t="str">
        <f ca="1">IFERROR(__xludf.DUMMYFUNCTION("""COMPUTED_VALUE"""),"Salmonella - S. enterica subsp. enterica - rough")</f>
        <v>Salmonella - S. enterica subsp. enterica - rough</v>
      </c>
      <c r="B5381" t="str">
        <f ca="1">IFERROR(__xludf.DUMMYFUNCTION("""COMPUTED_VALUE"""),"RF-00003518-MCG")</f>
        <v>RF-00003518-MCG</v>
      </c>
    </row>
    <row r="5382" spans="1:2" ht="12.5" x14ac:dyDescent="0.25">
      <c r="A5382" t="str">
        <f ca="1">IFERROR(__xludf.DUMMYFUNCTION("""COMPUTED_VALUE"""),"Salmonella - S. enterica subsp. indica")</f>
        <v>Salmonella - S. enterica subsp. indica</v>
      </c>
      <c r="B5382" t="str">
        <f ca="1">IFERROR(__xludf.DUMMYFUNCTION("""COMPUTED_VALUE"""),"RF-00003053-MCG")</f>
        <v>RF-00003053-MCG</v>
      </c>
    </row>
    <row r="5383" spans="1:2" ht="12.5" x14ac:dyDescent="0.25">
      <c r="A5383" t="str">
        <f ca="1">IFERROR(__xludf.DUMMYFUNCTION("""COMPUTED_VALUE"""),"Salmonella - S. Enteritidis - PT 11b")</f>
        <v>Salmonella - S. Enteritidis - PT 11b</v>
      </c>
      <c r="B5383" t="str">
        <f ca="1">IFERROR(__xludf.DUMMYFUNCTION("""COMPUTED_VALUE"""),"RF-00003275-MCG")</f>
        <v>RF-00003275-MCG</v>
      </c>
    </row>
    <row r="5384" spans="1:2" ht="12.5" x14ac:dyDescent="0.25">
      <c r="A5384" t="str">
        <f ca="1">IFERROR(__xludf.DUMMYFUNCTION("""COMPUTED_VALUE"""),"Salmonella - S. Enteritidis - PT 14c")</f>
        <v>Salmonella - S. Enteritidis - PT 14c</v>
      </c>
      <c r="B5384" t="str">
        <f ca="1">IFERROR(__xludf.DUMMYFUNCTION("""COMPUTED_VALUE"""),"RF-00003276-MCG")</f>
        <v>RF-00003276-MCG</v>
      </c>
    </row>
    <row r="5385" spans="1:2" ht="12.5" x14ac:dyDescent="0.25">
      <c r="A5385" t="str">
        <f ca="1">IFERROR(__xludf.DUMMYFUNCTION("""COMPUTED_VALUE"""),"Salmonella - S. Enteritidis - PT 15a")</f>
        <v>Salmonella - S. Enteritidis - PT 15a</v>
      </c>
      <c r="B5385" t="str">
        <f ca="1">IFERROR(__xludf.DUMMYFUNCTION("""COMPUTED_VALUE"""),"RF-00003277-MCG")</f>
        <v>RF-00003277-MCG</v>
      </c>
    </row>
    <row r="5386" spans="1:2" ht="12.5" x14ac:dyDescent="0.25">
      <c r="A5386" t="str">
        <f ca="1">IFERROR(__xludf.DUMMYFUNCTION("""COMPUTED_VALUE"""),"Salmonella - S. Enteritidis - PT 51")</f>
        <v>Salmonella - S. Enteritidis - PT 51</v>
      </c>
      <c r="B5386" t="str">
        <f ca="1">IFERROR(__xludf.DUMMYFUNCTION("""COMPUTED_VALUE"""),"RF-00003278-MCG")</f>
        <v>RF-00003278-MCG</v>
      </c>
    </row>
    <row r="5387" spans="1:2" ht="12.5" x14ac:dyDescent="0.25">
      <c r="A5387" t="str">
        <f ca="1">IFERROR(__xludf.DUMMYFUNCTION("""COMPUTED_VALUE"""),"Salmonella - S. Enteritidis - PT 5b")</f>
        <v>Salmonella - S. Enteritidis - PT 5b</v>
      </c>
      <c r="B5387" t="str">
        <f ca="1">IFERROR(__xludf.DUMMYFUNCTION("""COMPUTED_VALUE"""),"RF-00002204-MCG")</f>
        <v>RF-00002204-MCG</v>
      </c>
    </row>
    <row r="5388" spans="1:2" ht="12.5" x14ac:dyDescent="0.25">
      <c r="A5388" t="str">
        <f ca="1">IFERROR(__xludf.DUMMYFUNCTION("""COMPUTED_VALUE"""),"Salmonella - S. Enteritidis - PT 6b")</f>
        <v>Salmonella - S. Enteritidis - PT 6b</v>
      </c>
      <c r="B5388" t="str">
        <f ca="1">IFERROR(__xludf.DUMMYFUNCTION("""COMPUTED_VALUE"""),"RF-00004083-MCG")</f>
        <v>RF-00004083-MCG</v>
      </c>
    </row>
    <row r="5389" spans="1:2" ht="12.5" x14ac:dyDescent="0.25">
      <c r="A5389" t="str">
        <f ca="1">IFERROR(__xludf.DUMMYFUNCTION("""COMPUTED_VALUE"""),"Salmonella - S. group C")</f>
        <v>Salmonella - S. group C</v>
      </c>
      <c r="B5389" t="str">
        <f ca="1">IFERROR(__xludf.DUMMYFUNCTION("""COMPUTED_VALUE"""),"RF-00003054-MCG")</f>
        <v>RF-00003054-MCG</v>
      </c>
    </row>
    <row r="5390" spans="1:2" ht="12.5" x14ac:dyDescent="0.25">
      <c r="A5390" t="str">
        <f ca="1">IFERROR(__xludf.DUMMYFUNCTION("""COMPUTED_VALUE"""),"Salmonella - S. group C - S. group C1")</f>
        <v>Salmonella - S. group C - S. group C1</v>
      </c>
      <c r="B5390" t="str">
        <f ca="1">IFERROR(__xludf.DUMMYFUNCTION("""COMPUTED_VALUE"""),"RF-00001457-MCG")</f>
        <v>RF-00001457-MCG</v>
      </c>
    </row>
    <row r="5391" spans="1:2" ht="12.5" x14ac:dyDescent="0.25">
      <c r="A5391" t="str">
        <f ca="1">IFERROR(__xludf.DUMMYFUNCTION("""COMPUTED_VALUE"""),"Salmonella - S. group C - S. group C2")</f>
        <v>Salmonella - S. group C - S. group C2</v>
      </c>
      <c r="B5391" t="str">
        <f ca="1">IFERROR(__xludf.DUMMYFUNCTION("""COMPUTED_VALUE"""),"RF-00001806-MCG")</f>
        <v>RF-00001806-MCG</v>
      </c>
    </row>
    <row r="5392" spans="1:2" ht="12.5" x14ac:dyDescent="0.25">
      <c r="A5392" t="str">
        <f ca="1">IFERROR(__xludf.DUMMYFUNCTION("""COMPUTED_VALUE"""),"Salmonella - S. group D")</f>
        <v>Salmonella - S. group D</v>
      </c>
      <c r="B5392" t="str">
        <f ca="1">IFERROR(__xludf.DUMMYFUNCTION("""COMPUTED_VALUE"""),"RF-00003055-MCG")</f>
        <v>RF-00003055-MCG</v>
      </c>
    </row>
    <row r="5393" spans="1:2" ht="12.5" x14ac:dyDescent="0.25">
      <c r="A5393" t="str">
        <f ca="1">IFERROR(__xludf.DUMMYFUNCTION("""COMPUTED_VALUE"""),"Salmonella - S. group D - S. group D1")</f>
        <v>Salmonella - S. group D - S. group D1</v>
      </c>
      <c r="B5393" t="str">
        <f ca="1">IFERROR(__xludf.DUMMYFUNCTION("""COMPUTED_VALUE"""),"RF-00001803-MCG")</f>
        <v>RF-00001803-MCG</v>
      </c>
    </row>
    <row r="5394" spans="1:2" ht="12.5" x14ac:dyDescent="0.25">
      <c r="A5394" t="str">
        <f ca="1">IFERROR(__xludf.DUMMYFUNCTION("""COMPUTED_VALUE"""),"Salmonella - S. I 1,3,19:z27:-")</f>
        <v>Salmonella - S. I 1,3,19:z27:-</v>
      </c>
      <c r="B5394" t="str">
        <f ca="1">IFERROR(__xludf.DUMMYFUNCTION("""COMPUTED_VALUE"""),"RF-00001934-MCG")</f>
        <v>RF-00001934-MCG</v>
      </c>
    </row>
    <row r="5395" spans="1:2" ht="12.5" x14ac:dyDescent="0.25">
      <c r="A5395" t="str">
        <f ca="1">IFERROR(__xludf.DUMMYFUNCTION("""COMPUTED_VALUE"""),"Salmonella - S. I 4,5,12:d:2ef nat")</f>
        <v>Salmonella - S. I 4,5,12:d:2ef nat</v>
      </c>
      <c r="B5395" t="str">
        <f ca="1">IFERROR(__xludf.DUMMYFUNCTION("""COMPUTED_VALUE"""),"RF-00003039-MCG")</f>
        <v>RF-00003039-MCG</v>
      </c>
    </row>
    <row r="5396" spans="1:2" ht="12.5" x14ac:dyDescent="0.25">
      <c r="A5396" t="str">
        <f ca="1">IFERROR(__xludf.DUMMYFUNCTION("""COMPUTED_VALUE"""),"Salmonella - S. II 1,13,22:g,t:1,5")</f>
        <v>Salmonella - S. II 1,13,22:g,t:1,5</v>
      </c>
      <c r="B5396" t="str">
        <f ca="1">IFERROR(__xludf.DUMMYFUNCTION("""COMPUTED_VALUE"""),"RF-00001938-MCG")</f>
        <v>RF-00001938-MCG</v>
      </c>
    </row>
    <row r="5397" spans="1:2" ht="12.5" x14ac:dyDescent="0.25">
      <c r="A5397" t="str">
        <f ca="1">IFERROR(__xludf.DUMMYFUNCTION("""COMPUTED_VALUE"""),"Salmonella - S. II 1,13,23:a:z42")</f>
        <v>Salmonella - S. II 1,13,23:a:z42</v>
      </c>
      <c r="B5397" t="str">
        <f ca="1">IFERROR(__xludf.DUMMYFUNCTION("""COMPUTED_VALUE"""),"RF-00001982-MCG")</f>
        <v>RF-00001982-MCG</v>
      </c>
    </row>
    <row r="5398" spans="1:2" ht="12.5" x14ac:dyDescent="0.25">
      <c r="A5398" t="str">
        <f ca="1">IFERROR(__xludf.DUMMYFUNCTION("""COMPUTED_VALUE"""),"Salmonella - S. II 1,13,23:g,t:1,5")</f>
        <v>Salmonella - S. II 1,13,23:g,t:1,5</v>
      </c>
      <c r="B5398" t="str">
        <f ca="1">IFERROR(__xludf.DUMMYFUNCTION("""COMPUTED_VALUE"""),"RF-00002026-MCG")</f>
        <v>RF-00002026-MCG</v>
      </c>
    </row>
    <row r="5399" spans="1:2" ht="12.5" x14ac:dyDescent="0.25">
      <c r="A5399" t="str">
        <f ca="1">IFERROR(__xludf.DUMMYFUNCTION("""COMPUTED_VALUE"""),"Salmonella - S. II 1,13,23:l,z28:z42")</f>
        <v>Salmonella - S. II 1,13,23:l,z28:z42</v>
      </c>
      <c r="B5399" t="str">
        <f ca="1">IFERROR(__xludf.DUMMYFUNCTION("""COMPUTED_VALUE"""),"RF-00001955-MCG")</f>
        <v>RF-00001955-MCG</v>
      </c>
    </row>
    <row r="5400" spans="1:2" ht="12.5" x14ac:dyDescent="0.25">
      <c r="A5400" t="str">
        <f ca="1">IFERROR(__xludf.DUMMYFUNCTION("""COMPUTED_VALUE"""),"Salmonella - S. II 1,13,23:m,t:1,5")</f>
        <v>Salmonella - S. II 1,13,23:m,t:1,5</v>
      </c>
      <c r="B5400" t="str">
        <f ca="1">IFERROR(__xludf.DUMMYFUNCTION("""COMPUTED_VALUE"""),"RF-00002000-MCG")</f>
        <v>RF-00002000-MCG</v>
      </c>
    </row>
    <row r="5401" spans="1:2" ht="12.5" x14ac:dyDescent="0.25">
      <c r="A5401" t="str">
        <f ca="1">IFERROR(__xludf.DUMMYFUNCTION("""COMPUTED_VALUE"""),"Salmonella - S. II 1,13,23:m,t:e,n,x")</f>
        <v>Salmonella - S. II 1,13,23:m,t:e,n,x</v>
      </c>
      <c r="B5401" t="str">
        <f ca="1">IFERROR(__xludf.DUMMYFUNCTION("""COMPUTED_VALUE"""),"RF-00002001-MCG")</f>
        <v>RF-00002001-MCG</v>
      </c>
    </row>
    <row r="5402" spans="1:2" ht="12.5" x14ac:dyDescent="0.25">
      <c r="A5402" t="str">
        <f ca="1">IFERROR(__xludf.DUMMYFUNCTION("""COMPUTED_VALUE"""),"Salmonella - S. II 1,13,23:m,t:z42")</f>
        <v>Salmonella - S. II 1,13,23:m,t:z42</v>
      </c>
      <c r="B5402" t="str">
        <f ca="1">IFERROR(__xludf.DUMMYFUNCTION("""COMPUTED_VALUE"""),"RF-00002002-MCG")</f>
        <v>RF-00002002-MCG</v>
      </c>
    </row>
    <row r="5403" spans="1:2" ht="12.5" x14ac:dyDescent="0.25">
      <c r="A5403" t="str">
        <f ca="1">IFERROR(__xludf.DUMMYFUNCTION("""COMPUTED_VALUE"""),"Salmonella - S. II 1,13,23:z:1,5")</f>
        <v>Salmonella - S. II 1,13,23:z:1,5</v>
      </c>
      <c r="B5403" t="str">
        <f ca="1">IFERROR(__xludf.DUMMYFUNCTION("""COMPUTED_VALUE"""),"RF-00002003-MCG")</f>
        <v>RF-00002003-MCG</v>
      </c>
    </row>
    <row r="5404" spans="1:2" ht="12.5" x14ac:dyDescent="0.25">
      <c r="A5404" t="str">
        <f ca="1">IFERROR(__xludf.DUMMYFUNCTION("""COMPUTED_VALUE"""),"Salmonella - S. II 1,4,12,27:z:e,n,x")</f>
        <v>Salmonella - S. II 1,4,12,27:z:e,n,x</v>
      </c>
      <c r="B5404" t="str">
        <f ca="1">IFERROR(__xludf.DUMMYFUNCTION("""COMPUTED_VALUE"""),"RF-00002004-MCG")</f>
        <v>RF-00002004-MCG</v>
      </c>
    </row>
    <row r="5405" spans="1:2" ht="12.5" x14ac:dyDescent="0.25">
      <c r="A5405" t="str">
        <f ca="1">IFERROR(__xludf.DUMMYFUNCTION("""COMPUTED_VALUE"""),"Salmonella - S. II 1,40:c:e,n,x,z15")</f>
        <v>Salmonella - S. II 1,40:c:e,n,x,z15</v>
      </c>
      <c r="B5405" t="str">
        <f ca="1">IFERROR(__xludf.DUMMYFUNCTION("""COMPUTED_VALUE"""),"RF-00002005-MCG")</f>
        <v>RF-00002005-MCG</v>
      </c>
    </row>
    <row r="5406" spans="1:2" ht="12.5" x14ac:dyDescent="0.25">
      <c r="A5406" t="str">
        <f ca="1">IFERROR(__xludf.DUMMYFUNCTION("""COMPUTED_VALUE"""),"Salmonella - S. II 1,40:k:e,n,x,z15")</f>
        <v>Salmonella - S. II 1,40:k:e,n,x,z15</v>
      </c>
      <c r="B5406" t="str">
        <f ca="1">IFERROR(__xludf.DUMMYFUNCTION("""COMPUTED_VALUE"""),"RF-00002006-MCG")</f>
        <v>RF-00002006-MCG</v>
      </c>
    </row>
    <row r="5407" spans="1:2" ht="12.5" x14ac:dyDescent="0.25">
      <c r="A5407" t="str">
        <f ca="1">IFERROR(__xludf.DUMMYFUNCTION("""COMPUTED_VALUE"""),"Salmonella - S. II 1,40:z:1,5")</f>
        <v>Salmonella - S. II 1,40:z:1,5</v>
      </c>
      <c r="B5407" t="str">
        <f ca="1">IFERROR(__xludf.DUMMYFUNCTION("""COMPUTED_VALUE"""),"RF-00002007-MCG")</f>
        <v>RF-00002007-MCG</v>
      </c>
    </row>
    <row r="5408" spans="1:2" ht="12.5" x14ac:dyDescent="0.25">
      <c r="A5408" t="str">
        <f ca="1">IFERROR(__xludf.DUMMYFUNCTION("""COMPUTED_VALUE"""),"Salmonella - S. II 1,40:z35:e,n,x,z15")</f>
        <v>Salmonella - S. II 1,40:z35:e,n,x,z15</v>
      </c>
      <c r="B5408" t="str">
        <f ca="1">IFERROR(__xludf.DUMMYFUNCTION("""COMPUTED_VALUE"""),"RF-00002008-MCG")</f>
        <v>RF-00002008-MCG</v>
      </c>
    </row>
    <row r="5409" spans="1:2" ht="12.5" x14ac:dyDescent="0.25">
      <c r="A5409" t="str">
        <f ca="1">IFERROR(__xludf.DUMMYFUNCTION("""COMPUTED_VALUE"""),"Salmonella - S. II 1,40:z39:1,6")</f>
        <v>Salmonella - S. II 1,40:z39:1,6</v>
      </c>
      <c r="B5409" t="str">
        <f ca="1">IFERROR(__xludf.DUMMYFUNCTION("""COMPUTED_VALUE"""),"RF-00002009-MCG")</f>
        <v>RF-00002009-MCG</v>
      </c>
    </row>
    <row r="5410" spans="1:2" ht="12.5" x14ac:dyDescent="0.25">
      <c r="A5410" t="str">
        <f ca="1">IFERROR(__xludf.DUMMYFUNCTION("""COMPUTED_VALUE"""),"Salmonella - S. II 1,44:z39:e,n,x,z15")</f>
        <v>Salmonella - S. II 1,44:z39:e,n,x,z15</v>
      </c>
      <c r="B5410" t="str">
        <f ca="1">IFERROR(__xludf.DUMMYFUNCTION("""COMPUTED_VALUE"""),"RF-00002010-MCG")</f>
        <v>RF-00002010-MCG</v>
      </c>
    </row>
    <row r="5411" spans="1:2" ht="12.5" x14ac:dyDescent="0.25">
      <c r="A5411" t="str">
        <f ca="1">IFERROR(__xludf.DUMMYFUNCTION("""COMPUTED_VALUE"""),"Salmonella - S. II 1,9,12:b:e,n,x")</f>
        <v>Salmonella - S. II 1,9,12:b:e,n,x</v>
      </c>
      <c r="B5411" t="str">
        <f ca="1">IFERROR(__xludf.DUMMYFUNCTION("""COMPUTED_VALUE"""),"RF-00002027-MCG")</f>
        <v>RF-00002027-MCG</v>
      </c>
    </row>
    <row r="5412" spans="1:2" ht="12.5" x14ac:dyDescent="0.25">
      <c r="A5412" t="str">
        <f ca="1">IFERROR(__xludf.DUMMYFUNCTION("""COMPUTED_VALUE"""),"Salmonella - S. II 1,9,12:b:z39")</f>
        <v>Salmonella - S. II 1,9,12:b:z39</v>
      </c>
      <c r="B5412" t="str">
        <f ca="1">IFERROR(__xludf.DUMMYFUNCTION("""COMPUTED_VALUE"""),"RF-00002012-MCG")</f>
        <v>RF-00002012-MCG</v>
      </c>
    </row>
    <row r="5413" spans="1:2" ht="12.5" x14ac:dyDescent="0.25">
      <c r="A5413" t="str">
        <f ca="1">IFERROR(__xludf.DUMMYFUNCTION("""COMPUTED_VALUE"""),"Salmonella - S. II 1,9,12:b:z6")</f>
        <v>Salmonella - S. II 1,9,12:b:z6</v>
      </c>
      <c r="B5413" t="str">
        <f ca="1">IFERROR(__xludf.DUMMYFUNCTION("""COMPUTED_VALUE"""),"RF-00001998-MCG")</f>
        <v>RF-00001998-MCG</v>
      </c>
    </row>
    <row r="5414" spans="1:2" ht="12.5" x14ac:dyDescent="0.25">
      <c r="A5414" t="str">
        <f ca="1">IFERROR(__xludf.DUMMYFUNCTION("""COMPUTED_VALUE"""),"Salmonella - S. II 1,9,12:d:e,n,x")</f>
        <v>Salmonella - S. II 1,9,12:d:e,n,x</v>
      </c>
      <c r="B5414" t="str">
        <f ca="1">IFERROR(__xludf.DUMMYFUNCTION("""COMPUTED_VALUE"""),"RF-00002014-MCG")</f>
        <v>RF-00002014-MCG</v>
      </c>
    </row>
    <row r="5415" spans="1:2" ht="12.5" x14ac:dyDescent="0.25">
      <c r="A5415" t="str">
        <f ca="1">IFERROR(__xludf.DUMMYFUNCTION("""COMPUTED_VALUE"""),"Salmonella - S. II 1,9,12:g,m,s,t:e,n,x")</f>
        <v>Salmonella - S. II 1,9,12:g,m,s,t:e,n,x</v>
      </c>
      <c r="B5415" t="str">
        <f ca="1">IFERROR(__xludf.DUMMYFUNCTION("""COMPUTED_VALUE"""),"RF-00002015-MCG")</f>
        <v>RF-00002015-MCG</v>
      </c>
    </row>
    <row r="5416" spans="1:2" ht="12.5" x14ac:dyDescent="0.25">
      <c r="A5416" t="str">
        <f ca="1">IFERROR(__xludf.DUMMYFUNCTION("""COMPUTED_VALUE"""),"Salmonella - S. II 1,9,12:l,w:e,n,x")</f>
        <v>Salmonella - S. II 1,9,12:l,w:e,n,x</v>
      </c>
      <c r="B5416" t="str">
        <f ca="1">IFERROR(__xludf.DUMMYFUNCTION("""COMPUTED_VALUE"""),"RF-00002016-MCG")</f>
        <v>RF-00002016-MCG</v>
      </c>
    </row>
    <row r="5417" spans="1:2" ht="12.5" x14ac:dyDescent="0.25">
      <c r="A5417" t="str">
        <f ca="1">IFERROR(__xludf.DUMMYFUNCTION("""COMPUTED_VALUE"""),"Salmonella - S. II 1,9,12:z:1,7")</f>
        <v>Salmonella - S. II 1,9,12:z:1,7</v>
      </c>
      <c r="B5417" t="str">
        <f ca="1">IFERROR(__xludf.DUMMYFUNCTION("""COMPUTED_VALUE"""),"RF-00002017-MCG")</f>
        <v>RF-00002017-MCG</v>
      </c>
    </row>
    <row r="5418" spans="1:2" ht="12.5" x14ac:dyDescent="0.25">
      <c r="A5418" t="str">
        <f ca="1">IFERROR(__xludf.DUMMYFUNCTION("""COMPUTED_VALUE"""),"Salmonella - S. II 1,9,12:z:z6")</f>
        <v>Salmonella - S. II 1,9,12:z:z6</v>
      </c>
      <c r="B5418" t="str">
        <f ca="1">IFERROR(__xludf.DUMMYFUNCTION("""COMPUTED_VALUE"""),"RF-00002018-MCG")</f>
        <v>RF-00002018-MCG</v>
      </c>
    </row>
    <row r="5419" spans="1:2" ht="12.5" x14ac:dyDescent="0.25">
      <c r="A5419" t="str">
        <f ca="1">IFERROR(__xludf.DUMMYFUNCTION("""COMPUTED_VALUE"""),"Salmonella - S. II 1,9,12:z39:1,7")</f>
        <v>Salmonella - S. II 1,9,12:z39:1,7</v>
      </c>
      <c r="B5419" t="str">
        <f ca="1">IFERROR(__xludf.DUMMYFUNCTION("""COMPUTED_VALUE"""),"RF-00002019-MCG")</f>
        <v>RF-00002019-MCG</v>
      </c>
    </row>
    <row r="5420" spans="1:2" ht="12.5" x14ac:dyDescent="0.25">
      <c r="A5420" t="str">
        <f ca="1">IFERROR(__xludf.DUMMYFUNCTION("""COMPUTED_VALUE"""),"Salmonella - S. III")</f>
        <v>Salmonella - S. III</v>
      </c>
      <c r="B5420" t="str">
        <f ca="1">IFERROR(__xludf.DUMMYFUNCTION("""COMPUTED_VALUE"""),"RF-00003040-MCG")</f>
        <v>RF-00003040-MCG</v>
      </c>
    </row>
    <row r="5421" spans="1:2" ht="12.5" x14ac:dyDescent="0.25">
      <c r="A5421" t="str">
        <f ca="1">IFERROR(__xludf.DUMMYFUNCTION("""COMPUTED_VALUE"""),"Salmonella - S. IIIa 41:z4z23z32")</f>
        <v>Salmonella - S. IIIa 41:z4z23z32</v>
      </c>
      <c r="B5421" t="str">
        <f ca="1">IFERROR(__xludf.DUMMYFUNCTION("""COMPUTED_VALUE"""),"RF-00002105-MCG")</f>
        <v>RF-00002105-MCG</v>
      </c>
    </row>
    <row r="5422" spans="1:2" ht="12.5" x14ac:dyDescent="0.25">
      <c r="A5422" t="str">
        <f ca="1">IFERROR(__xludf.DUMMYFUNCTION("""COMPUTED_VALUE"""),"Salmonella - S. IIIa 48:z4z32:-")</f>
        <v>Salmonella - S. IIIa 48:z4z32:-</v>
      </c>
      <c r="B5422" t="str">
        <f ca="1">IFERROR(__xludf.DUMMYFUNCTION("""COMPUTED_VALUE"""),"RF-00002058-MCG")</f>
        <v>RF-00002058-MCG</v>
      </c>
    </row>
    <row r="5423" spans="1:2" ht="12.5" x14ac:dyDescent="0.25">
      <c r="A5423" t="str">
        <f ca="1">IFERROR(__xludf.DUMMYFUNCTION("""COMPUTED_VALUE"""),"Salmonella - S. IIIa 6,7:z4,z23:-")</f>
        <v>Salmonella - S. IIIa 6,7:z4,z23:-</v>
      </c>
      <c r="B5423" t="str">
        <f ca="1">IFERROR(__xludf.DUMMYFUNCTION("""COMPUTED_VALUE"""),"RF-00003041-MCG")</f>
        <v>RF-00003041-MCG</v>
      </c>
    </row>
    <row r="5424" spans="1:2" ht="12.5" x14ac:dyDescent="0.25">
      <c r="A5424" t="str">
        <f ca="1">IFERROR(__xludf.DUMMYFUNCTION("""COMPUTED_VALUE"""),"Salmonella - S. IIIb 38:r:z")</f>
        <v>Salmonella - S. IIIb 38:r:z</v>
      </c>
      <c r="B5424" t="str">
        <f ca="1">IFERROR(__xludf.DUMMYFUNCTION("""COMPUTED_VALUE"""),"RF-00003042-MCG")</f>
        <v>RF-00003042-MCG</v>
      </c>
    </row>
    <row r="5425" spans="1:2" ht="12.5" x14ac:dyDescent="0.25">
      <c r="A5425" t="str">
        <f ca="1">IFERROR(__xludf.DUMMYFUNCTION("""COMPUTED_VALUE"""),"Salmonella - S. IIIb 47:k")</f>
        <v>Salmonella - S. IIIb 47:k</v>
      </c>
      <c r="B5425" t="str">
        <f ca="1">IFERROR(__xludf.DUMMYFUNCTION("""COMPUTED_VALUE"""),"RF-00003043-MCG")</f>
        <v>RF-00003043-MCG</v>
      </c>
    </row>
    <row r="5426" spans="1:2" ht="12.5" x14ac:dyDescent="0.25">
      <c r="A5426" t="str">
        <f ca="1">IFERROR(__xludf.DUMMYFUNCTION("""COMPUTED_VALUE"""),"Salmonella - S. IIIb 48:i:z35")</f>
        <v>Salmonella - S. IIIb 48:i:z35</v>
      </c>
      <c r="B5426" t="str">
        <f ca="1">IFERROR(__xludf.DUMMYFUNCTION("""COMPUTED_VALUE"""),"RF-00001862-MCG")</f>
        <v>RF-00001862-MCG</v>
      </c>
    </row>
    <row r="5427" spans="1:2" ht="12.5" x14ac:dyDescent="0.25">
      <c r="A5427" t="str">
        <f ca="1">IFERROR(__xludf.DUMMYFUNCTION("""COMPUTED_VALUE"""),"Salmonella - S. IIIb 48:k:1,5")</f>
        <v>Salmonella - S. IIIb 48:k:1,5</v>
      </c>
      <c r="B5427" t="str">
        <f ca="1">IFERROR(__xludf.DUMMYFUNCTION("""COMPUTED_VALUE"""),"RF-00003044-MCG")</f>
        <v>RF-00003044-MCG</v>
      </c>
    </row>
    <row r="5428" spans="1:2" ht="12.5" x14ac:dyDescent="0.25">
      <c r="A5428" t="str">
        <f ca="1">IFERROR(__xludf.DUMMYFUNCTION("""COMPUTED_VALUE"""),"Salmonella - S. IIIb 50:k:z")</f>
        <v>Salmonella - S. IIIb 50:k:z</v>
      </c>
      <c r="B5428" t="str">
        <f ca="1">IFERROR(__xludf.DUMMYFUNCTION("""COMPUTED_VALUE"""),"RF-00003045-MCG")</f>
        <v>RF-00003045-MCG</v>
      </c>
    </row>
    <row r="5429" spans="1:2" ht="12.5" x14ac:dyDescent="0.25">
      <c r="A5429" t="str">
        <f ca="1">IFERROR(__xludf.DUMMYFUNCTION("""COMPUTED_VALUE"""),"Salmonella - S. IIIb 50:z52:1,5")</f>
        <v>Salmonella - S. IIIb 50:z52:1,5</v>
      </c>
      <c r="B5429" t="str">
        <f ca="1">IFERROR(__xludf.DUMMYFUNCTION("""COMPUTED_VALUE"""),"RF-00001999-MCG")</f>
        <v>RF-00001999-MCG</v>
      </c>
    </row>
    <row r="5430" spans="1:2" ht="12.5" x14ac:dyDescent="0.25">
      <c r="A5430" t="str">
        <f ca="1">IFERROR(__xludf.DUMMYFUNCTION("""COMPUTED_VALUE"""),"Salmonella - S. IIIb 53:z10:z")</f>
        <v>Salmonella - S. IIIb 53:z10:z</v>
      </c>
      <c r="B5430" t="str">
        <f ca="1">IFERROR(__xludf.DUMMYFUNCTION("""COMPUTED_VALUE"""),"RF-00003046-MCG")</f>
        <v>RF-00003046-MCG</v>
      </c>
    </row>
    <row r="5431" spans="1:2" ht="12.5" x14ac:dyDescent="0.25">
      <c r="A5431" t="str">
        <f ca="1">IFERROR(__xludf.DUMMYFUNCTION("""COMPUTED_VALUE"""),"Salmonella - S. IIIb 61:-:1,5")</f>
        <v>Salmonella - S. IIIb 61:-:1,5</v>
      </c>
      <c r="B5431" t="str">
        <f ca="1">IFERROR(__xludf.DUMMYFUNCTION("""COMPUTED_VALUE"""),"RF-00004089-MCG")</f>
        <v>RF-00004089-MCG</v>
      </c>
    </row>
    <row r="5432" spans="1:2" ht="12.5" x14ac:dyDescent="0.25">
      <c r="A5432" t="str">
        <f ca="1">IFERROR(__xludf.DUMMYFUNCTION("""COMPUTED_VALUE"""),"Salmonella - S. IIIb 61:c:1,5,(7)")</f>
        <v>Salmonella - S. IIIb 61:c:1,5,(7)</v>
      </c>
      <c r="B5432" t="str">
        <f ca="1">IFERROR(__xludf.DUMMYFUNCTION("""COMPUTED_VALUE"""),"RF-00003047-MCG")</f>
        <v>RF-00003047-MCG</v>
      </c>
    </row>
    <row r="5433" spans="1:2" ht="12.5" x14ac:dyDescent="0.25">
      <c r="A5433" t="str">
        <f ca="1">IFERROR(__xludf.DUMMYFUNCTION("""COMPUTED_VALUE"""),"Salmonella - S. IIIb 61:i:z53")</f>
        <v>Salmonella - S. IIIb 61:i:z53</v>
      </c>
      <c r="B5433" t="str">
        <f ca="1">IFERROR(__xludf.DUMMYFUNCTION("""COMPUTED_VALUE"""),"RF-00004095-MCG")</f>
        <v>RF-00004095-MCG</v>
      </c>
    </row>
    <row r="5434" spans="1:2" ht="12.5" x14ac:dyDescent="0.25">
      <c r="A5434" t="str">
        <f ca="1">IFERROR(__xludf.DUMMYFUNCTION("""COMPUTED_VALUE"""),"Salmonella - S. IIIb 61:k:1,5,(7)")</f>
        <v>Salmonella - S. IIIb 61:k:1,5,(7)</v>
      </c>
      <c r="B5434" t="str">
        <f ca="1">IFERROR(__xludf.DUMMYFUNCTION("""COMPUTED_VALUE"""),"RF-00003048-MCG")</f>
        <v>RF-00003048-MCG</v>
      </c>
    </row>
    <row r="5435" spans="1:2" ht="12.5" x14ac:dyDescent="0.25">
      <c r="A5435" t="str">
        <f ca="1">IFERROR(__xludf.DUMMYFUNCTION("""COMPUTED_VALUE"""),"Salmonella - S. IIIb 61:k:1,5,7")</f>
        <v>Salmonella - S. IIIb 61:k:1,5,7</v>
      </c>
      <c r="B5435" t="str">
        <f ca="1">IFERROR(__xludf.DUMMYFUNCTION("""COMPUTED_VALUE"""),"RF-00001861-MCG")</f>
        <v>RF-00001861-MCG</v>
      </c>
    </row>
    <row r="5436" spans="1:2" ht="12.5" x14ac:dyDescent="0.25">
      <c r="A5436" t="str">
        <f ca="1">IFERROR(__xludf.DUMMYFUNCTION("""COMPUTED_VALUE"""),"Salmonella - S. IIIb 61:r:z")</f>
        <v>Salmonella - S. IIIb 61:r:z</v>
      </c>
      <c r="B5436" t="str">
        <f ca="1">IFERROR(__xludf.DUMMYFUNCTION("""COMPUTED_VALUE"""),"RF-00002057-MCG")</f>
        <v>RF-00002057-MCG</v>
      </c>
    </row>
    <row r="5437" spans="1:2" ht="12.5" x14ac:dyDescent="0.25">
      <c r="A5437" t="str">
        <f ca="1">IFERROR(__xludf.DUMMYFUNCTION("""COMPUTED_VALUE"""),"Salmonella - S. IV 1,40:g,z51:-")</f>
        <v>Salmonella - S. IV 1,40:g,z51:-</v>
      </c>
      <c r="B5437" t="str">
        <f ca="1">IFERROR(__xludf.DUMMYFUNCTION("""COMPUTED_VALUE"""),"RF-00001890-MCG")</f>
        <v>RF-00001890-MCG</v>
      </c>
    </row>
    <row r="5438" spans="1:2" ht="12.5" x14ac:dyDescent="0.25">
      <c r="A5438" t="str">
        <f ca="1">IFERROR(__xludf.DUMMYFUNCTION("""COMPUTED_VALUE"""),"Salmonella - S. IV 1,40:z4,z23:-")</f>
        <v>Salmonella - S. IV 1,40:z4,z23:-</v>
      </c>
      <c r="B5438" t="str">
        <f ca="1">IFERROR(__xludf.DUMMYFUNCTION("""COMPUTED_VALUE"""),"RF-00001888-MCG")</f>
        <v>RF-00001888-MCG</v>
      </c>
    </row>
    <row r="5439" spans="1:2" ht="12.5" x14ac:dyDescent="0.25">
      <c r="A5439" t="str">
        <f ca="1">IFERROR(__xludf.DUMMYFUNCTION("""COMPUTED_VALUE"""),"Salmonella - S. IV 1,44:z4,z32:-")</f>
        <v>Salmonella - S. IV 1,44:z4,z32:-</v>
      </c>
      <c r="B5439" t="str">
        <f ca="1">IFERROR(__xludf.DUMMYFUNCTION("""COMPUTED_VALUE"""),"RF-00001887-MCG")</f>
        <v>RF-00001887-MCG</v>
      </c>
    </row>
    <row r="5440" spans="1:2" ht="12.5" x14ac:dyDescent="0.25">
      <c r="A5440" t="str">
        <f ca="1">IFERROR(__xludf.DUMMYFUNCTION("""COMPUTED_VALUE"""),"Salmonella - S. IV 16:z4z32:-")</f>
        <v>Salmonella - S. IV 16:z4z32:-</v>
      </c>
      <c r="B5440" t="str">
        <f ca="1">IFERROR(__xludf.DUMMYFUNCTION("""COMPUTED_VALUE"""),"RF-00000904-MCG")</f>
        <v>RF-00000904-MCG</v>
      </c>
    </row>
    <row r="5441" spans="1:2" ht="12.5" x14ac:dyDescent="0.25">
      <c r="A5441" t="str">
        <f ca="1">IFERROR(__xludf.DUMMYFUNCTION("""COMPUTED_VALUE"""),"Salmonella - S. IV 43:z4,z23:-")</f>
        <v>Salmonella - S. IV 43:z4,z23:-</v>
      </c>
      <c r="B5441" t="str">
        <f ca="1">IFERROR(__xludf.DUMMYFUNCTION("""COMPUTED_VALUE"""),"RF-00000889-MCG")</f>
        <v>RF-00000889-MCG</v>
      </c>
    </row>
    <row r="5442" spans="1:2" ht="12.5" x14ac:dyDescent="0.25">
      <c r="A5442" t="str">
        <f ca="1">IFERROR(__xludf.DUMMYFUNCTION("""COMPUTED_VALUE"""),"Salmonella - S. Peregrinus")</f>
        <v>Salmonella - S. Peregrinus</v>
      </c>
      <c r="B5442" t="str">
        <f ca="1">IFERROR(__xludf.DUMMYFUNCTION("""COMPUTED_VALUE"""),"RF-00003049-MCG")</f>
        <v>RF-00003049-MCG</v>
      </c>
    </row>
    <row r="5443" spans="1:2" ht="12.5" x14ac:dyDescent="0.25">
      <c r="A5443" t="str">
        <f ca="1">IFERROR(__xludf.DUMMYFUNCTION("""COMPUTED_VALUE"""),"Salmonella - S. Saintpaul var. O:5 neg")</f>
        <v>Salmonella - S. Saintpaul var. O:5 neg</v>
      </c>
      <c r="B5443" t="str">
        <f ca="1">IFERROR(__xludf.DUMMYFUNCTION("""COMPUTED_VALUE"""),"RF-00003050-MCG")</f>
        <v>RF-00003050-MCG</v>
      </c>
    </row>
    <row r="5444" spans="1:2" ht="12.5" x14ac:dyDescent="0.25">
      <c r="A5444" t="str">
        <f ca="1">IFERROR(__xludf.DUMMYFUNCTION("""COMPUTED_VALUE"""),"Salmonella - S. Typhimurium - DT 101")</f>
        <v>Salmonella - S. Typhimurium - DT 101</v>
      </c>
      <c r="B5444" t="str">
        <f ca="1">IFERROR(__xludf.DUMMYFUNCTION("""COMPUTED_VALUE"""),"RF-00003279-MCG")</f>
        <v>RF-00003279-MCG</v>
      </c>
    </row>
    <row r="5445" spans="1:2" ht="12.5" x14ac:dyDescent="0.25">
      <c r="A5445" t="str">
        <f ca="1">IFERROR(__xludf.DUMMYFUNCTION("""COMPUTED_VALUE"""),"Salmonella - S. Typhimurium - DT 111")</f>
        <v>Salmonella - S. Typhimurium - DT 111</v>
      </c>
      <c r="B5445" t="str">
        <f ca="1">IFERROR(__xludf.DUMMYFUNCTION("""COMPUTED_VALUE"""),"RF-00003280-MCG")</f>
        <v>RF-00003280-MCG</v>
      </c>
    </row>
    <row r="5446" spans="1:2" ht="12.5" x14ac:dyDescent="0.25">
      <c r="A5446" t="str">
        <f ca="1">IFERROR(__xludf.DUMMYFUNCTION("""COMPUTED_VALUE"""),"Salmonella - S. Typhimurium - DT 116")</f>
        <v>Salmonella - S. Typhimurium - DT 116</v>
      </c>
      <c r="B5446" t="str">
        <f ca="1">IFERROR(__xludf.DUMMYFUNCTION("""COMPUTED_VALUE"""),"RF-00003281-MCG")</f>
        <v>RF-00003281-MCG</v>
      </c>
    </row>
    <row r="5447" spans="1:2" ht="12.5" x14ac:dyDescent="0.25">
      <c r="A5447" t="str">
        <f ca="1">IFERROR(__xludf.DUMMYFUNCTION("""COMPUTED_VALUE"""),"Salmonella - S. Typhimurium - DT 120 low")</f>
        <v>Salmonella - S. Typhimurium - DT 120 low</v>
      </c>
      <c r="B5447" t="str">
        <f ca="1">IFERROR(__xludf.DUMMYFUNCTION("""COMPUTED_VALUE"""),"RF-00003282-MCG")</f>
        <v>RF-00003282-MCG</v>
      </c>
    </row>
    <row r="5448" spans="1:2" ht="12.5" x14ac:dyDescent="0.25">
      <c r="A5448" t="str">
        <f ca="1">IFERROR(__xludf.DUMMYFUNCTION("""COMPUTED_VALUE"""),"Salmonella - S. Typhimurium - DT 130")</f>
        <v>Salmonella - S. Typhimurium - DT 130</v>
      </c>
      <c r="B5448" t="str">
        <f ca="1">IFERROR(__xludf.DUMMYFUNCTION("""COMPUTED_VALUE"""),"RF-00003283-MCG")</f>
        <v>RF-00003283-MCG</v>
      </c>
    </row>
    <row r="5449" spans="1:2" ht="12.5" x14ac:dyDescent="0.25">
      <c r="A5449" t="str">
        <f ca="1">IFERROR(__xludf.DUMMYFUNCTION("""COMPUTED_VALUE"""),"Salmonella - S. Typhimurium - DT 146")</f>
        <v>Salmonella - S. Typhimurium - DT 146</v>
      </c>
      <c r="B5449" t="str">
        <f ca="1">IFERROR(__xludf.DUMMYFUNCTION("""COMPUTED_VALUE"""),"RF-00003284-MCG")</f>
        <v>RF-00003284-MCG</v>
      </c>
    </row>
    <row r="5450" spans="1:2" ht="12.5" x14ac:dyDescent="0.25">
      <c r="A5450" t="str">
        <f ca="1">IFERROR(__xludf.DUMMYFUNCTION("""COMPUTED_VALUE"""),"Salmonella - S. Typhimurium - DT 16")</f>
        <v>Salmonella - S. Typhimurium - DT 16</v>
      </c>
      <c r="B5450" t="str">
        <f ca="1">IFERROR(__xludf.DUMMYFUNCTION("""COMPUTED_VALUE"""),"RF-00003285-MCG")</f>
        <v>RF-00003285-MCG</v>
      </c>
    </row>
    <row r="5451" spans="1:2" ht="12.5" x14ac:dyDescent="0.25">
      <c r="A5451" t="str">
        <f ca="1">IFERROR(__xludf.DUMMYFUNCTION("""COMPUTED_VALUE"""),"Salmonella - S. Typhimurium - DT 169")</f>
        <v>Salmonella - S. Typhimurium - DT 169</v>
      </c>
      <c r="B5451" t="str">
        <f ca="1">IFERROR(__xludf.DUMMYFUNCTION("""COMPUTED_VALUE"""),"RF-00003286-MCG")</f>
        <v>RF-00003286-MCG</v>
      </c>
    </row>
    <row r="5452" spans="1:2" ht="12.5" x14ac:dyDescent="0.25">
      <c r="A5452" t="str">
        <f ca="1">IFERROR(__xludf.DUMMYFUNCTION("""COMPUTED_VALUE"""),"Salmonella - S. Typhimurium - DT 17")</f>
        <v>Salmonella - S. Typhimurium - DT 17</v>
      </c>
      <c r="B5452" t="str">
        <f ca="1">IFERROR(__xludf.DUMMYFUNCTION("""COMPUTED_VALUE"""),"RF-00002339-MCG")</f>
        <v>RF-00002339-MCG</v>
      </c>
    </row>
    <row r="5453" spans="1:2" ht="12.5" x14ac:dyDescent="0.25">
      <c r="A5453" t="str">
        <f ca="1">IFERROR(__xludf.DUMMYFUNCTION("""COMPUTED_VALUE"""),"Salmonella - S. Typhimurium - DT 170")</f>
        <v>Salmonella - S. Typhimurium - DT 170</v>
      </c>
      <c r="B5453" t="str">
        <f ca="1">IFERROR(__xludf.DUMMYFUNCTION("""COMPUTED_VALUE"""),"RF-00004084-MCG")</f>
        <v>RF-00004084-MCG</v>
      </c>
    </row>
    <row r="5454" spans="1:2" ht="12.5" x14ac:dyDescent="0.25">
      <c r="A5454" t="str">
        <f ca="1">IFERROR(__xludf.DUMMYFUNCTION("""COMPUTED_VALUE"""),"Salmonella - S. Typhimurium - DT 191a")</f>
        <v>Salmonella - S. Typhimurium - DT 191a</v>
      </c>
      <c r="B5454" t="str">
        <f ca="1">IFERROR(__xludf.DUMMYFUNCTION("""COMPUTED_VALUE"""),"RF-00003287-MCG")</f>
        <v>RF-00003287-MCG</v>
      </c>
    </row>
    <row r="5455" spans="1:2" ht="12.5" x14ac:dyDescent="0.25">
      <c r="A5455" t="str">
        <f ca="1">IFERROR(__xludf.DUMMYFUNCTION("""COMPUTED_VALUE"""),"Salmonella - S. Typhimurium - DT 21")</f>
        <v>Salmonella - S. Typhimurium - DT 21</v>
      </c>
      <c r="B5455" t="str">
        <f ca="1">IFERROR(__xludf.DUMMYFUNCTION("""COMPUTED_VALUE"""),"RF-00003288-MCG")</f>
        <v>RF-00003288-MCG</v>
      </c>
    </row>
    <row r="5456" spans="1:2" ht="12.5" x14ac:dyDescent="0.25">
      <c r="A5456" t="str">
        <f ca="1">IFERROR(__xludf.DUMMYFUNCTION("""COMPUTED_VALUE"""),"Salmonella - S. Typhimurium - DT 24")</f>
        <v>Salmonella - S. Typhimurium - DT 24</v>
      </c>
      <c r="B5456" t="str">
        <f ca="1">IFERROR(__xludf.DUMMYFUNCTION("""COMPUTED_VALUE"""),"RF-00003289-MCG")</f>
        <v>RF-00003289-MCG</v>
      </c>
    </row>
    <row r="5457" spans="1:2" ht="12.5" x14ac:dyDescent="0.25">
      <c r="A5457" t="str">
        <f ca="1">IFERROR(__xludf.DUMMYFUNCTION("""COMPUTED_VALUE"""),"Salmonella - S. Typhimurium - DT 39")</f>
        <v>Salmonella - S. Typhimurium - DT 39</v>
      </c>
      <c r="B5457" t="str">
        <f ca="1">IFERROR(__xludf.DUMMYFUNCTION("""COMPUTED_VALUE"""),"RF-00003290-MCG")</f>
        <v>RF-00003290-MCG</v>
      </c>
    </row>
    <row r="5458" spans="1:2" ht="12.5" x14ac:dyDescent="0.25">
      <c r="A5458" t="str">
        <f ca="1">IFERROR(__xludf.DUMMYFUNCTION("""COMPUTED_VALUE"""),"Salmonella - S. Typhimurium - DT 41b")</f>
        <v>Salmonella - S. Typhimurium - DT 41b</v>
      </c>
      <c r="B5458" t="str">
        <f ca="1">IFERROR(__xludf.DUMMYFUNCTION("""COMPUTED_VALUE"""),"RF-00003291-MCG")</f>
        <v>RF-00003291-MCG</v>
      </c>
    </row>
    <row r="5459" spans="1:2" ht="12.5" x14ac:dyDescent="0.25">
      <c r="A5459" t="str">
        <f ca="1">IFERROR(__xludf.DUMMYFUNCTION("""COMPUTED_VALUE"""),"Salmonella - S. Typhimurium - DT 43")</f>
        <v>Salmonella - S. Typhimurium - DT 43</v>
      </c>
      <c r="B5459" t="str">
        <f ca="1">IFERROR(__xludf.DUMMYFUNCTION("""COMPUTED_VALUE"""),"RF-00003292-MCG")</f>
        <v>RF-00003292-MCG</v>
      </c>
    </row>
    <row r="5460" spans="1:2" ht="12.5" x14ac:dyDescent="0.25">
      <c r="A5460" t="str">
        <f ca="1">IFERROR(__xludf.DUMMYFUNCTION("""COMPUTED_VALUE"""),"Salmonella - S. Typhimurium - DT 75")</f>
        <v>Salmonella - S. Typhimurium - DT 75</v>
      </c>
      <c r="B5460" t="str">
        <f ca="1">IFERROR(__xludf.DUMMYFUNCTION("""COMPUTED_VALUE"""),"RF-00004088-MCG")</f>
        <v>RF-00004088-MCG</v>
      </c>
    </row>
    <row r="5461" spans="1:2" ht="12.5" x14ac:dyDescent="0.25">
      <c r="A5461" t="str">
        <f ca="1">IFERROR(__xludf.DUMMYFUNCTION("""COMPUTED_VALUE"""),"Salmonella - S. Typhimurium - DT 92")</f>
        <v>Salmonella - S. Typhimurium - DT 92</v>
      </c>
      <c r="B5461" t="str">
        <f ca="1">IFERROR(__xludf.DUMMYFUNCTION("""COMPUTED_VALUE"""),"RF-00003293-MCG")</f>
        <v>RF-00003293-MCG</v>
      </c>
    </row>
    <row r="5462" spans="1:2" ht="12.5" x14ac:dyDescent="0.25">
      <c r="A5462" t="str">
        <f ca="1">IFERROR(__xludf.DUMMYFUNCTION("""COMPUTED_VALUE"""),"Salmonella - S. Typhimurium - FT 111")</f>
        <v>Salmonella - S. Typhimurium - FT 111</v>
      </c>
      <c r="B5462" t="str">
        <f ca="1">IFERROR(__xludf.DUMMYFUNCTION("""COMPUTED_VALUE"""),"RF-00003294-MCG")</f>
        <v>RF-00003294-MCG</v>
      </c>
    </row>
    <row r="5463" spans="1:2" ht="12.5" x14ac:dyDescent="0.25">
      <c r="A5463" t="str">
        <f ca="1">IFERROR(__xludf.DUMMYFUNCTION("""COMPUTED_VALUE"""),"Salmonella - S. Typhimurium - FT 290")</f>
        <v>Salmonella - S. Typhimurium - FT 290</v>
      </c>
      <c r="B5463" t="str">
        <f ca="1">IFERROR(__xludf.DUMMYFUNCTION("""COMPUTED_VALUE"""),"RF-00003295-MCG")</f>
        <v>RF-00003295-MCG</v>
      </c>
    </row>
    <row r="5464" spans="1:2" ht="12.5" x14ac:dyDescent="0.25">
      <c r="A5464" t="str">
        <f ca="1">IFERROR(__xludf.DUMMYFUNCTION("""COMPUTED_VALUE"""),"Salmonella - S. Typhimurium - FT 300")</f>
        <v>Salmonella - S. Typhimurium - FT 300</v>
      </c>
      <c r="B5464" t="str">
        <f ca="1">IFERROR(__xludf.DUMMYFUNCTION("""COMPUTED_VALUE"""),"RF-00003296-MCG")</f>
        <v>RF-00003296-MCG</v>
      </c>
    </row>
    <row r="5465" spans="1:2" ht="12.5" x14ac:dyDescent="0.25">
      <c r="A5465" t="str">
        <f ca="1">IFERROR(__xludf.DUMMYFUNCTION("""COMPUTED_VALUE"""),"Salmonella - S. Typhimurium - FT 658")</f>
        <v>Salmonella - S. Typhimurium - FT 658</v>
      </c>
      <c r="B5465" t="str">
        <f ca="1">IFERROR(__xludf.DUMMYFUNCTION("""COMPUTED_VALUE"""),"RF-00003297-MCG")</f>
        <v>RF-00003297-MCG</v>
      </c>
    </row>
    <row r="5466" spans="1:2" ht="12.5" x14ac:dyDescent="0.25">
      <c r="A5466" t="str">
        <f ca="1">IFERROR(__xludf.DUMMYFUNCTION("""COMPUTED_VALUE"""),"Salmonella - S. Typhimurium - U 287")</f>
        <v>Salmonella - S. Typhimurium - U 287</v>
      </c>
      <c r="B5466" t="str">
        <f ca="1">IFERROR(__xludf.DUMMYFUNCTION("""COMPUTED_VALUE"""),"RF-00003298-MCG")</f>
        <v>RF-00003298-MCG</v>
      </c>
    </row>
    <row r="5467" spans="1:2" ht="12.5" x14ac:dyDescent="0.25">
      <c r="A5467" t="str">
        <f ca="1">IFERROR(__xludf.DUMMYFUNCTION("""COMPUTED_VALUE"""),"Salmonella - S. Typhimurium - U 322")</f>
        <v>Salmonella - S. Typhimurium - U 322</v>
      </c>
      <c r="B5467" t="str">
        <f ca="1">IFERROR(__xludf.DUMMYFUNCTION("""COMPUTED_VALUE"""),"RF-00003299-MCG")</f>
        <v>RF-00003299-MCG</v>
      </c>
    </row>
    <row r="5468" spans="1:2" ht="12.5" x14ac:dyDescent="0.25">
      <c r="A5468" t="str">
        <f ca="1">IFERROR(__xludf.DUMMYFUNCTION("""COMPUTED_VALUE"""),"Salmonella - S. Typhimurium - U 323")</f>
        <v>Salmonella - S. Typhimurium - U 323</v>
      </c>
      <c r="B5468" t="str">
        <f ca="1">IFERROR(__xludf.DUMMYFUNCTION("""COMPUTED_VALUE"""),"RF-00003300-MCG")</f>
        <v>RF-00003300-MCG</v>
      </c>
    </row>
    <row r="5469" spans="1:2" ht="12.5" x14ac:dyDescent="0.25">
      <c r="A5469" t="str">
        <f ca="1">IFERROR(__xludf.DUMMYFUNCTION("""COMPUTED_VALUE"""),"Salmonella - S. Typhimurium, monophasic")</f>
        <v>Salmonella - S. Typhimurium, monophasic</v>
      </c>
      <c r="B5469" t="str">
        <f ca="1">IFERROR(__xludf.DUMMYFUNCTION("""COMPUTED_VALUE"""),"RF-00003051-MCG")</f>
        <v>RF-00003051-MCG</v>
      </c>
    </row>
    <row r="5470" spans="1:2" ht="12.5" x14ac:dyDescent="0.25">
      <c r="A5470" t="str">
        <f ca="1">IFERROR(__xludf.DUMMYFUNCTION("""COMPUTED_VALUE"""),"Salmonella - S. Typhimurium, monophasic - 1")</f>
        <v>Salmonella - S. Typhimurium, monophasic - 1</v>
      </c>
      <c r="B5470" t="str">
        <f ca="1">IFERROR(__xludf.DUMMYFUNCTION("""COMPUTED_VALUE"""),"RF-00003301-MCG")</f>
        <v>RF-00003301-MCG</v>
      </c>
    </row>
    <row r="5471" spans="1:2" ht="12.5" x14ac:dyDescent="0.25">
      <c r="A5471" t="str">
        <f ca="1">IFERROR(__xludf.DUMMYFUNCTION("""COMPUTED_VALUE"""),"Salmonella - S. Typhimurium, monophasic - 193")</f>
        <v>Salmonella - S. Typhimurium, monophasic - 193</v>
      </c>
      <c r="B5471" t="str">
        <f ca="1">IFERROR(__xludf.DUMMYFUNCTION("""COMPUTED_VALUE"""),"RF-00003302-MCG")</f>
        <v>RF-00003302-MCG</v>
      </c>
    </row>
    <row r="5472" spans="1:2" ht="12.5" x14ac:dyDescent="0.25">
      <c r="A5472" t="str">
        <f ca="1">IFERROR(__xludf.DUMMYFUNCTION("""COMPUTED_VALUE"""),"Salmonella - S. Typhimurium, monophasic - 1a")</f>
        <v>Salmonella - S. Typhimurium, monophasic - 1a</v>
      </c>
      <c r="B5472" t="str">
        <f ca="1">IFERROR(__xludf.DUMMYFUNCTION("""COMPUTED_VALUE"""),"RF-00003303-MCG")</f>
        <v>RF-00003303-MCG</v>
      </c>
    </row>
    <row r="5473" spans="1:2" ht="12.5" x14ac:dyDescent="0.25">
      <c r="A5473" t="str">
        <f ca="1">IFERROR(__xludf.DUMMYFUNCTION("""COMPUTED_VALUE"""),"Salmonella - S. Typhimurium, monophasic - 1a var1")</f>
        <v>Salmonella - S. Typhimurium, monophasic - 1a var1</v>
      </c>
      <c r="B5473" t="str">
        <f ca="1">IFERROR(__xludf.DUMMYFUNCTION("""COMPUTED_VALUE"""),"RF-00003304-MCG")</f>
        <v>RF-00003304-MCG</v>
      </c>
    </row>
    <row r="5474" spans="1:2" ht="12.5" x14ac:dyDescent="0.25">
      <c r="A5474" t="str">
        <f ca="1">IFERROR(__xludf.DUMMYFUNCTION("""COMPUTED_VALUE"""),"Salmonella - S. Typhimurium, monophasic - 1b")</f>
        <v>Salmonella - S. Typhimurium, monophasic - 1b</v>
      </c>
      <c r="B5474" t="str">
        <f ca="1">IFERROR(__xludf.DUMMYFUNCTION("""COMPUTED_VALUE"""),"RF-00003305-MCG")</f>
        <v>RF-00003305-MCG</v>
      </c>
    </row>
    <row r="5475" spans="1:2" ht="12.5" x14ac:dyDescent="0.25">
      <c r="A5475" t="str">
        <f ca="1">IFERROR(__xludf.DUMMYFUNCTION("""COMPUTED_VALUE"""),"Salmonella - S. Typhimurium, monophasic - 2")</f>
        <v>Salmonella - S. Typhimurium, monophasic - 2</v>
      </c>
      <c r="B5475" t="str">
        <f ca="1">IFERROR(__xludf.DUMMYFUNCTION("""COMPUTED_VALUE"""),"RF-00003306-MCG")</f>
        <v>RF-00003306-MCG</v>
      </c>
    </row>
    <row r="5476" spans="1:2" ht="12.5" x14ac:dyDescent="0.25">
      <c r="A5476" t="str">
        <f ca="1">IFERROR(__xludf.DUMMYFUNCTION("""COMPUTED_VALUE"""),"Salmonella - S. Typhimurium, monophasic - 2a")</f>
        <v>Salmonella - S. Typhimurium, monophasic - 2a</v>
      </c>
      <c r="B5476" t="str">
        <f ca="1">IFERROR(__xludf.DUMMYFUNCTION("""COMPUTED_VALUE"""),"RF-00003307-MCG")</f>
        <v>RF-00003307-MCG</v>
      </c>
    </row>
    <row r="5477" spans="1:2" ht="12.5" x14ac:dyDescent="0.25">
      <c r="A5477" t="str">
        <f ca="1">IFERROR(__xludf.DUMMYFUNCTION("""COMPUTED_VALUE"""),"Salmonella - S. Typhimurium, monophasic - 2b")</f>
        <v>Salmonella - S. Typhimurium, monophasic - 2b</v>
      </c>
      <c r="B5477" t="str">
        <f ca="1">IFERROR(__xludf.DUMMYFUNCTION("""COMPUTED_VALUE"""),"RF-00003308-MCG")</f>
        <v>RF-00003308-MCG</v>
      </c>
    </row>
    <row r="5478" spans="1:2" ht="12.5" x14ac:dyDescent="0.25">
      <c r="A5478" t="str">
        <f ca="1">IFERROR(__xludf.DUMMYFUNCTION("""COMPUTED_VALUE"""),"Salmonella - S. Typhimurium, monophasic - 2c")</f>
        <v>Salmonella - S. Typhimurium, monophasic - 2c</v>
      </c>
      <c r="B5478" t="str">
        <f ca="1">IFERROR(__xludf.DUMMYFUNCTION("""COMPUTED_VALUE"""),"RF-00003309-MCG")</f>
        <v>RF-00003309-MCG</v>
      </c>
    </row>
    <row r="5479" spans="1:2" ht="12.5" x14ac:dyDescent="0.25">
      <c r="A5479" t="str">
        <f ca="1">IFERROR(__xludf.DUMMYFUNCTION("""COMPUTED_VALUE"""),"Salmonella - S. Typhimurium, monophasic - 2d")</f>
        <v>Salmonella - S. Typhimurium, monophasic - 2d</v>
      </c>
      <c r="B5479" t="str">
        <f ca="1">IFERROR(__xludf.DUMMYFUNCTION("""COMPUTED_VALUE"""),"RF-00003310-MCG")</f>
        <v>RF-00003310-MCG</v>
      </c>
    </row>
    <row r="5480" spans="1:2" ht="12.5" x14ac:dyDescent="0.25">
      <c r="A5480" t="str">
        <f ca="1">IFERROR(__xludf.DUMMYFUNCTION("""COMPUTED_VALUE"""),"Salmonella - S. Typhimurium, monophasic - 3")</f>
        <v>Salmonella - S. Typhimurium, monophasic - 3</v>
      </c>
      <c r="B5480" t="str">
        <f ca="1">IFERROR(__xludf.DUMMYFUNCTION("""COMPUTED_VALUE"""),"RF-00003311-MCG")</f>
        <v>RF-00003311-MCG</v>
      </c>
    </row>
    <row r="5481" spans="1:2" ht="12.5" x14ac:dyDescent="0.25">
      <c r="A5481" t="str">
        <f ca="1">IFERROR(__xludf.DUMMYFUNCTION("""COMPUTED_VALUE"""),"Salmonella - S. Typhimurium, monophasic - 35")</f>
        <v>Salmonella - S. Typhimurium, monophasic - 35</v>
      </c>
      <c r="B5481" t="str">
        <f ca="1">IFERROR(__xludf.DUMMYFUNCTION("""COMPUTED_VALUE"""),"RF-00003312-MCG")</f>
        <v>RF-00003312-MCG</v>
      </c>
    </row>
    <row r="5482" spans="1:2" ht="12.5" x14ac:dyDescent="0.25">
      <c r="A5482" t="str">
        <f ca="1">IFERROR(__xludf.DUMMYFUNCTION("""COMPUTED_VALUE"""),"Salmonella - S. Typhimurium, monophasic - 3a")</f>
        <v>Salmonella - S. Typhimurium, monophasic - 3a</v>
      </c>
      <c r="B5482" t="str">
        <f ca="1">IFERROR(__xludf.DUMMYFUNCTION("""COMPUTED_VALUE"""),"RF-00003313-MCG")</f>
        <v>RF-00003313-MCG</v>
      </c>
    </row>
    <row r="5483" spans="1:2" ht="12.5" x14ac:dyDescent="0.25">
      <c r="A5483" t="str">
        <f ca="1">IFERROR(__xludf.DUMMYFUNCTION("""COMPUTED_VALUE"""),"Salmonella - S. Typhimurium, monophasic - 4")</f>
        <v>Salmonella - S. Typhimurium, monophasic - 4</v>
      </c>
      <c r="B5483" t="str">
        <f ca="1">IFERROR(__xludf.DUMMYFUNCTION("""COMPUTED_VALUE"""),"RF-00003314-MCG")</f>
        <v>RF-00003314-MCG</v>
      </c>
    </row>
    <row r="5484" spans="1:2" ht="12.5" x14ac:dyDescent="0.25">
      <c r="A5484" t="str">
        <f ca="1">IFERROR(__xludf.DUMMYFUNCTION("""COMPUTED_VALUE"""),"Salmonella - S. Typhimurium, monophasic - 5")</f>
        <v>Salmonella - S. Typhimurium, monophasic - 5</v>
      </c>
      <c r="B5484" t="str">
        <f ca="1">IFERROR(__xludf.DUMMYFUNCTION("""COMPUTED_VALUE"""),"RF-00003315-MCG")</f>
        <v>RF-00003315-MCG</v>
      </c>
    </row>
    <row r="5485" spans="1:2" ht="12.5" x14ac:dyDescent="0.25">
      <c r="A5485" t="str">
        <f ca="1">IFERROR(__xludf.DUMMYFUNCTION("""COMPUTED_VALUE"""),"Salmonella - S. Typhimurium, monophasic - 56a")</f>
        <v>Salmonella - S. Typhimurium, monophasic - 56a</v>
      </c>
      <c r="B5485" t="str">
        <f ca="1">IFERROR(__xludf.DUMMYFUNCTION("""COMPUTED_VALUE"""),"RF-00003316-MCG")</f>
        <v>RF-00003316-MCG</v>
      </c>
    </row>
    <row r="5486" spans="1:2" ht="12.5" x14ac:dyDescent="0.25">
      <c r="A5486" t="str">
        <f ca="1">IFERROR(__xludf.DUMMYFUNCTION("""COMPUTED_VALUE"""),"Salmonella - S. Typhimurium, monophasic - 7 var.")</f>
        <v>Salmonella - S. Typhimurium, monophasic - 7 var.</v>
      </c>
      <c r="B5486" t="str">
        <f ca="1">IFERROR(__xludf.DUMMYFUNCTION("""COMPUTED_VALUE"""),"RF-00003317-MCG")</f>
        <v>RF-00003317-MCG</v>
      </c>
    </row>
    <row r="5487" spans="1:2" ht="12.5" x14ac:dyDescent="0.25">
      <c r="A5487" t="str">
        <f ca="1">IFERROR(__xludf.DUMMYFUNCTION("""COMPUTED_VALUE"""),"Salmonella - S. Typhimurium, monophasic - DT 1")</f>
        <v>Salmonella - S. Typhimurium, monophasic - DT 1</v>
      </c>
      <c r="B5487" t="str">
        <f ca="1">IFERROR(__xludf.DUMMYFUNCTION("""COMPUTED_VALUE"""),"RF-00003318-MCG")</f>
        <v>RF-00003318-MCG</v>
      </c>
    </row>
    <row r="5488" spans="1:2" ht="12.5" x14ac:dyDescent="0.25">
      <c r="A5488" t="str">
        <f ca="1">IFERROR(__xludf.DUMMYFUNCTION("""COMPUTED_VALUE"""),"Salmonella - S. Typhimurium, monophasic - DT 10")</f>
        <v>Salmonella - S. Typhimurium, monophasic - DT 10</v>
      </c>
      <c r="B5488" t="str">
        <f ca="1">IFERROR(__xludf.DUMMYFUNCTION("""COMPUTED_VALUE"""),"RF-00003319-MCG")</f>
        <v>RF-00003319-MCG</v>
      </c>
    </row>
    <row r="5489" spans="1:2" ht="12.5" x14ac:dyDescent="0.25">
      <c r="A5489" t="str">
        <f ca="1">IFERROR(__xludf.DUMMYFUNCTION("""COMPUTED_VALUE"""),"Salmonella - S. Typhimurium, monophasic - DT 103")</f>
        <v>Salmonella - S. Typhimurium, monophasic - DT 103</v>
      </c>
      <c r="B5489" t="str">
        <f ca="1">IFERROR(__xludf.DUMMYFUNCTION("""COMPUTED_VALUE"""),"RF-00003320-MCG")</f>
        <v>RF-00003320-MCG</v>
      </c>
    </row>
    <row r="5490" spans="1:2" ht="12.5" x14ac:dyDescent="0.25">
      <c r="A5490" t="str">
        <f ca="1">IFERROR(__xludf.DUMMYFUNCTION("""COMPUTED_VALUE"""),"Salmonella - S. Typhimurium, monophasic - DT 104")</f>
        <v>Salmonella - S. Typhimurium, monophasic - DT 104</v>
      </c>
      <c r="B5490" t="str">
        <f ca="1">IFERROR(__xludf.DUMMYFUNCTION("""COMPUTED_VALUE"""),"RF-00003321-MCG")</f>
        <v>RF-00003321-MCG</v>
      </c>
    </row>
    <row r="5491" spans="1:2" ht="12.5" x14ac:dyDescent="0.25">
      <c r="A5491" t="str">
        <f ca="1">IFERROR(__xludf.DUMMYFUNCTION("""COMPUTED_VALUE"""),"Salmonella - S. Typhimurium, monophasic - DT 104a")</f>
        <v>Salmonella - S. Typhimurium, monophasic - DT 104a</v>
      </c>
      <c r="B5491" t="str">
        <f ca="1">IFERROR(__xludf.DUMMYFUNCTION("""COMPUTED_VALUE"""),"RF-00003323-MCG")</f>
        <v>RF-00003323-MCG</v>
      </c>
    </row>
    <row r="5492" spans="1:2" ht="12.5" x14ac:dyDescent="0.25">
      <c r="A5492" t="str">
        <f ca="1">IFERROR(__xludf.DUMMYFUNCTION("""COMPUTED_VALUE"""),"Salmonella - S. Typhimurium, monophasic - DT 104b")</f>
        <v>Salmonella - S. Typhimurium, monophasic - DT 104b</v>
      </c>
      <c r="B5492" t="str">
        <f ca="1">IFERROR(__xludf.DUMMYFUNCTION("""COMPUTED_VALUE"""),"RF-00003324-MCG")</f>
        <v>RF-00003324-MCG</v>
      </c>
    </row>
    <row r="5493" spans="1:2" ht="12.5" x14ac:dyDescent="0.25">
      <c r="A5493" t="str">
        <f ca="1">IFERROR(__xludf.DUMMYFUNCTION("""COMPUTED_VALUE"""),"Salmonella - S. Typhimurium, monophasic - DT 104b low")</f>
        <v>Salmonella - S. Typhimurium, monophasic - DT 104b low</v>
      </c>
      <c r="B5493" t="str">
        <f ca="1">IFERROR(__xludf.DUMMYFUNCTION("""COMPUTED_VALUE"""),"RF-00003325-MCG")</f>
        <v>RF-00003325-MCG</v>
      </c>
    </row>
    <row r="5494" spans="1:2" ht="12.5" x14ac:dyDescent="0.25">
      <c r="A5494" t="str">
        <f ca="1">IFERROR(__xludf.DUMMYFUNCTION("""COMPUTED_VALUE"""),"Salmonella - S. Typhimurium, monophasic - DT 104c")</f>
        <v>Salmonella - S. Typhimurium, monophasic - DT 104c</v>
      </c>
      <c r="B5494" t="str">
        <f ca="1">IFERROR(__xludf.DUMMYFUNCTION("""COMPUTED_VALUE"""),"RF-00003326-MCG")</f>
        <v>RF-00003326-MCG</v>
      </c>
    </row>
    <row r="5495" spans="1:2" ht="12.5" x14ac:dyDescent="0.25">
      <c r="A5495" t="str">
        <f ca="1">IFERROR(__xludf.DUMMYFUNCTION("""COMPUTED_VALUE"""),"Salmonella - S. Typhimurium, monophasic - DT 104H")</f>
        <v>Salmonella - S. Typhimurium, monophasic - DT 104H</v>
      </c>
      <c r="B5495" t="str">
        <f ca="1">IFERROR(__xludf.DUMMYFUNCTION("""COMPUTED_VALUE"""),"RF-00003322-MCG")</f>
        <v>RF-00003322-MCG</v>
      </c>
    </row>
    <row r="5496" spans="1:2" ht="12.5" x14ac:dyDescent="0.25">
      <c r="A5496" t="str">
        <f ca="1">IFERROR(__xludf.DUMMYFUNCTION("""COMPUTED_VALUE"""),"Salmonella - S. Typhimurium, monophasic - DT 104l")</f>
        <v>Salmonella - S. Typhimurium, monophasic - DT 104l</v>
      </c>
      <c r="B5496" t="str">
        <f ca="1">IFERROR(__xludf.DUMMYFUNCTION("""COMPUTED_VALUE"""),"RF-00003327-MCG")</f>
        <v>RF-00003327-MCG</v>
      </c>
    </row>
    <row r="5497" spans="1:2" ht="12.5" x14ac:dyDescent="0.25">
      <c r="A5497" t="str">
        <f ca="1">IFERROR(__xludf.DUMMYFUNCTION("""COMPUTED_VALUE"""),"Salmonella - S. Typhimurium, monophasic - DT 107")</f>
        <v>Salmonella - S. Typhimurium, monophasic - DT 107</v>
      </c>
      <c r="B5497" t="str">
        <f ca="1">IFERROR(__xludf.DUMMYFUNCTION("""COMPUTED_VALUE"""),"RF-00003328-MCG")</f>
        <v>RF-00003328-MCG</v>
      </c>
    </row>
    <row r="5498" spans="1:2" ht="12.5" x14ac:dyDescent="0.25">
      <c r="A5498" t="str">
        <f ca="1">IFERROR(__xludf.DUMMYFUNCTION("""COMPUTED_VALUE"""),"Salmonella - S. Typhimurium, monophasic - DT 107b")</f>
        <v>Salmonella - S. Typhimurium, monophasic - DT 107b</v>
      </c>
      <c r="B5498" t="str">
        <f ca="1">IFERROR(__xludf.DUMMYFUNCTION("""COMPUTED_VALUE"""),"RF-00003329-MCG")</f>
        <v>RF-00003329-MCG</v>
      </c>
    </row>
    <row r="5499" spans="1:2" ht="12.5" x14ac:dyDescent="0.25">
      <c r="A5499" t="str">
        <f ca="1">IFERROR(__xludf.DUMMYFUNCTION("""COMPUTED_VALUE"""),"Salmonella - S. Typhimurium, monophasic - DT 109")</f>
        <v>Salmonella - S. Typhimurium, monophasic - DT 109</v>
      </c>
      <c r="B5499" t="str">
        <f ca="1">IFERROR(__xludf.DUMMYFUNCTION("""COMPUTED_VALUE"""),"RF-00003330-MCG")</f>
        <v>RF-00003330-MCG</v>
      </c>
    </row>
    <row r="5500" spans="1:2" ht="12.5" x14ac:dyDescent="0.25">
      <c r="A5500" t="str">
        <f ca="1">IFERROR(__xludf.DUMMYFUNCTION("""COMPUTED_VALUE"""),"Salmonella - S. Typhimurium, monophasic - DT 11")</f>
        <v>Salmonella - S. Typhimurium, monophasic - DT 11</v>
      </c>
      <c r="B5500" t="str">
        <f ca="1">IFERROR(__xludf.DUMMYFUNCTION("""COMPUTED_VALUE"""),"RF-00003331-MCG")</f>
        <v>RF-00003331-MCG</v>
      </c>
    </row>
    <row r="5501" spans="1:2" ht="12.5" x14ac:dyDescent="0.25">
      <c r="A5501" t="str">
        <f ca="1">IFERROR(__xludf.DUMMYFUNCTION("""COMPUTED_VALUE"""),"Salmonella - S. Typhimurium, monophasic - DT 110")</f>
        <v>Salmonella - S. Typhimurium, monophasic - DT 110</v>
      </c>
      <c r="B5501" t="str">
        <f ca="1">IFERROR(__xludf.DUMMYFUNCTION("""COMPUTED_VALUE"""),"RF-00003332-MCG")</f>
        <v>RF-00003332-MCG</v>
      </c>
    </row>
    <row r="5502" spans="1:2" ht="12.5" x14ac:dyDescent="0.25">
      <c r="A5502" t="str">
        <f ca="1">IFERROR(__xludf.DUMMYFUNCTION("""COMPUTED_VALUE"""),"Salmonella - S. Typhimurium, monophasic - DT 110a")</f>
        <v>Salmonella - S. Typhimurium, monophasic - DT 110a</v>
      </c>
      <c r="B5502" t="str">
        <f ca="1">IFERROR(__xludf.DUMMYFUNCTION("""COMPUTED_VALUE"""),"RF-00003333-MCG")</f>
        <v>RF-00003333-MCG</v>
      </c>
    </row>
    <row r="5503" spans="1:2" ht="12.5" x14ac:dyDescent="0.25">
      <c r="A5503" t="str">
        <f ca="1">IFERROR(__xludf.DUMMYFUNCTION("""COMPUTED_VALUE"""),"Salmonella - S. Typhimurium, monophasic - DT 110b")</f>
        <v>Salmonella - S. Typhimurium, monophasic - DT 110b</v>
      </c>
      <c r="B5503" t="str">
        <f ca="1">IFERROR(__xludf.DUMMYFUNCTION("""COMPUTED_VALUE"""),"RF-00003334-MCG")</f>
        <v>RF-00003334-MCG</v>
      </c>
    </row>
    <row r="5504" spans="1:2" ht="12.5" x14ac:dyDescent="0.25">
      <c r="A5504" t="str">
        <f ca="1">IFERROR(__xludf.DUMMYFUNCTION("""COMPUTED_VALUE"""),"Salmonella - S. Typhimurium, monophasic - DT 112")</f>
        <v>Salmonella - S. Typhimurium, monophasic - DT 112</v>
      </c>
      <c r="B5504" t="str">
        <f ca="1">IFERROR(__xludf.DUMMYFUNCTION("""COMPUTED_VALUE"""),"RF-00003335-MCG")</f>
        <v>RF-00003335-MCG</v>
      </c>
    </row>
    <row r="5505" spans="1:2" ht="12.5" x14ac:dyDescent="0.25">
      <c r="A5505" t="str">
        <f ca="1">IFERROR(__xludf.DUMMYFUNCTION("""COMPUTED_VALUE"""),"Salmonella - S. Typhimurium, monophasic - DT 114")</f>
        <v>Salmonella - S. Typhimurium, monophasic - DT 114</v>
      </c>
      <c r="B5505" t="str">
        <f ca="1">IFERROR(__xludf.DUMMYFUNCTION("""COMPUTED_VALUE"""),"RF-00003336-MCG")</f>
        <v>RF-00003336-MCG</v>
      </c>
    </row>
    <row r="5506" spans="1:2" ht="12.5" x14ac:dyDescent="0.25">
      <c r="A5506" t="str">
        <f ca="1">IFERROR(__xludf.DUMMYFUNCTION("""COMPUTED_VALUE"""),"Salmonella - S. Typhimurium, monophasic - DT 12")</f>
        <v>Salmonella - S. Typhimurium, monophasic - DT 12</v>
      </c>
      <c r="B5506" t="str">
        <f ca="1">IFERROR(__xludf.DUMMYFUNCTION("""COMPUTED_VALUE"""),"RF-00003337-MCG")</f>
        <v>RF-00003337-MCG</v>
      </c>
    </row>
    <row r="5507" spans="1:2" ht="12.5" x14ac:dyDescent="0.25">
      <c r="A5507" t="str">
        <f ca="1">IFERROR(__xludf.DUMMYFUNCTION("""COMPUTED_VALUE"""),"Salmonella - S. Typhimurium, monophasic - DT 120")</f>
        <v>Salmonella - S. Typhimurium, monophasic - DT 120</v>
      </c>
      <c r="B5507" t="str">
        <f ca="1">IFERROR(__xludf.DUMMYFUNCTION("""COMPUTED_VALUE"""),"RF-00003338-MCG")</f>
        <v>RF-00003338-MCG</v>
      </c>
    </row>
    <row r="5508" spans="1:2" ht="12.5" x14ac:dyDescent="0.25">
      <c r="A5508" t="str">
        <f ca="1">IFERROR(__xludf.DUMMYFUNCTION("""COMPUTED_VALUE"""),"Salmonella - S. Typhimurium, monophasic - DT 124")</f>
        <v>Salmonella - S. Typhimurium, monophasic - DT 124</v>
      </c>
      <c r="B5508" t="str">
        <f ca="1">IFERROR(__xludf.DUMMYFUNCTION("""COMPUTED_VALUE"""),"RF-00003339-MCG")</f>
        <v>RF-00003339-MCG</v>
      </c>
    </row>
    <row r="5509" spans="1:2" ht="12.5" x14ac:dyDescent="0.25">
      <c r="A5509" t="str">
        <f ca="1">IFERROR(__xludf.DUMMYFUNCTION("""COMPUTED_VALUE"""),"Salmonella - S. Typhimurium, monophasic - DT 125")</f>
        <v>Salmonella - S. Typhimurium, monophasic - DT 125</v>
      </c>
      <c r="B5509" t="str">
        <f ca="1">IFERROR(__xludf.DUMMYFUNCTION("""COMPUTED_VALUE"""),"RF-00003340-MCG")</f>
        <v>RF-00003340-MCG</v>
      </c>
    </row>
    <row r="5510" spans="1:2" ht="12.5" x14ac:dyDescent="0.25">
      <c r="A5510" t="str">
        <f ca="1">IFERROR(__xludf.DUMMYFUNCTION("""COMPUTED_VALUE"""),"Salmonella - S. Typhimurium, monophasic - DT 126")</f>
        <v>Salmonella - S. Typhimurium, monophasic - DT 126</v>
      </c>
      <c r="B5510" t="str">
        <f ca="1">IFERROR(__xludf.DUMMYFUNCTION("""COMPUTED_VALUE"""),"RF-00003341-MCG")</f>
        <v>RF-00003341-MCG</v>
      </c>
    </row>
    <row r="5511" spans="1:2" ht="12.5" x14ac:dyDescent="0.25">
      <c r="A5511" t="str">
        <f ca="1">IFERROR(__xludf.DUMMYFUNCTION("""COMPUTED_VALUE"""),"Salmonella - S. Typhimurium, monophasic - DT 126a")</f>
        <v>Salmonella - S. Typhimurium, monophasic - DT 126a</v>
      </c>
      <c r="B5511" t="str">
        <f ca="1">IFERROR(__xludf.DUMMYFUNCTION("""COMPUTED_VALUE"""),"RF-00003342-MCG")</f>
        <v>RF-00003342-MCG</v>
      </c>
    </row>
    <row r="5512" spans="1:2" ht="12.5" x14ac:dyDescent="0.25">
      <c r="A5512" t="str">
        <f ca="1">IFERROR(__xludf.DUMMYFUNCTION("""COMPUTED_VALUE"""),"Salmonella - S. Typhimurium, monophasic - DT 129")</f>
        <v>Salmonella - S. Typhimurium, monophasic - DT 129</v>
      </c>
      <c r="B5512" t="str">
        <f ca="1">IFERROR(__xludf.DUMMYFUNCTION("""COMPUTED_VALUE"""),"RF-00003343-MCG")</f>
        <v>RF-00003343-MCG</v>
      </c>
    </row>
    <row r="5513" spans="1:2" ht="12.5" x14ac:dyDescent="0.25">
      <c r="A5513" t="str">
        <f ca="1">IFERROR(__xludf.DUMMYFUNCTION("""COMPUTED_VALUE"""),"Salmonella - S. Typhimurium, monophasic - DT 12a")</f>
        <v>Salmonella - S. Typhimurium, monophasic - DT 12a</v>
      </c>
      <c r="B5513" t="str">
        <f ca="1">IFERROR(__xludf.DUMMYFUNCTION("""COMPUTED_VALUE"""),"RF-00003344-MCG")</f>
        <v>RF-00003344-MCG</v>
      </c>
    </row>
    <row r="5514" spans="1:2" ht="12.5" x14ac:dyDescent="0.25">
      <c r="A5514" t="str">
        <f ca="1">IFERROR(__xludf.DUMMYFUNCTION("""COMPUTED_VALUE"""),"Salmonella - S. Typhimurium, monophasic - DT 13")</f>
        <v>Salmonella - S. Typhimurium, monophasic - DT 13</v>
      </c>
      <c r="B5514" t="str">
        <f ca="1">IFERROR(__xludf.DUMMYFUNCTION("""COMPUTED_VALUE"""),"RF-00003345-MCG")</f>
        <v>RF-00003345-MCG</v>
      </c>
    </row>
    <row r="5515" spans="1:2" ht="12.5" x14ac:dyDescent="0.25">
      <c r="A5515" t="str">
        <f ca="1">IFERROR(__xludf.DUMMYFUNCTION("""COMPUTED_VALUE"""),"Salmonella - S. Typhimurium, monophasic - DT 130")</f>
        <v>Salmonella - S. Typhimurium, monophasic - DT 130</v>
      </c>
      <c r="B5515" t="str">
        <f ca="1">IFERROR(__xludf.DUMMYFUNCTION("""COMPUTED_VALUE"""),"RF-00003346-MCG")</f>
        <v>RF-00003346-MCG</v>
      </c>
    </row>
    <row r="5516" spans="1:2" ht="12.5" x14ac:dyDescent="0.25">
      <c r="A5516" t="str">
        <f ca="1">IFERROR(__xludf.DUMMYFUNCTION("""COMPUTED_VALUE"""),"Salmonella - S. Typhimurium, monophasic - DT 131")</f>
        <v>Salmonella - S. Typhimurium, monophasic - DT 131</v>
      </c>
      <c r="B5516" t="str">
        <f ca="1">IFERROR(__xludf.DUMMYFUNCTION("""COMPUTED_VALUE"""),"RF-00003347-MCG")</f>
        <v>RF-00003347-MCG</v>
      </c>
    </row>
    <row r="5517" spans="1:2" ht="12.5" x14ac:dyDescent="0.25">
      <c r="A5517" t="str">
        <f ca="1">IFERROR(__xludf.DUMMYFUNCTION("""COMPUTED_VALUE"""),"Salmonella - S. Typhimurium, monophasic - DT 132")</f>
        <v>Salmonella - S. Typhimurium, monophasic - DT 132</v>
      </c>
      <c r="B5517" t="str">
        <f ca="1">IFERROR(__xludf.DUMMYFUNCTION("""COMPUTED_VALUE"""),"RF-00003348-MCG")</f>
        <v>RF-00003348-MCG</v>
      </c>
    </row>
    <row r="5518" spans="1:2" ht="12.5" x14ac:dyDescent="0.25">
      <c r="A5518" t="str">
        <f ca="1">IFERROR(__xludf.DUMMYFUNCTION("""COMPUTED_VALUE"""),"Salmonella - S. Typhimurium, monophasic - DT 135")</f>
        <v>Salmonella - S. Typhimurium, monophasic - DT 135</v>
      </c>
      <c r="B5518" t="str">
        <f ca="1">IFERROR(__xludf.DUMMYFUNCTION("""COMPUTED_VALUE"""),"RF-00003349-MCG")</f>
        <v>RF-00003349-MCG</v>
      </c>
    </row>
    <row r="5519" spans="1:2" ht="12.5" x14ac:dyDescent="0.25">
      <c r="A5519" t="str">
        <f ca="1">IFERROR(__xludf.DUMMYFUNCTION("""COMPUTED_VALUE"""),"Salmonella - S. Typhimurium, monophasic - DT 136")</f>
        <v>Salmonella - S. Typhimurium, monophasic - DT 136</v>
      </c>
      <c r="B5519" t="str">
        <f ca="1">IFERROR(__xludf.DUMMYFUNCTION("""COMPUTED_VALUE"""),"RF-00003350-MCG")</f>
        <v>RF-00003350-MCG</v>
      </c>
    </row>
    <row r="5520" spans="1:2" ht="12.5" x14ac:dyDescent="0.25">
      <c r="A5520" t="str">
        <f ca="1">IFERROR(__xludf.DUMMYFUNCTION("""COMPUTED_VALUE"""),"Salmonella - S. Typhimurium, monophasic - DT 137")</f>
        <v>Salmonella - S. Typhimurium, monophasic - DT 137</v>
      </c>
      <c r="B5520" t="str">
        <f ca="1">IFERROR(__xludf.DUMMYFUNCTION("""COMPUTED_VALUE"""),"RF-00003351-MCG")</f>
        <v>RF-00003351-MCG</v>
      </c>
    </row>
    <row r="5521" spans="1:2" ht="12.5" x14ac:dyDescent="0.25">
      <c r="A5521" t="str">
        <f ca="1">IFERROR(__xludf.DUMMYFUNCTION("""COMPUTED_VALUE"""),"Salmonella - S. Typhimurium, monophasic - DT 138")</f>
        <v>Salmonella - S. Typhimurium, monophasic - DT 138</v>
      </c>
      <c r="B5521" t="str">
        <f ca="1">IFERROR(__xludf.DUMMYFUNCTION("""COMPUTED_VALUE"""),"RF-00003352-MCG")</f>
        <v>RF-00003352-MCG</v>
      </c>
    </row>
    <row r="5522" spans="1:2" ht="12.5" x14ac:dyDescent="0.25">
      <c r="A5522" t="str">
        <f ca="1">IFERROR(__xludf.DUMMYFUNCTION("""COMPUTED_VALUE"""),"Salmonella - S. Typhimurium, monophasic - DT 14")</f>
        <v>Salmonella - S. Typhimurium, monophasic - DT 14</v>
      </c>
      <c r="B5522" t="str">
        <f ca="1">IFERROR(__xludf.DUMMYFUNCTION("""COMPUTED_VALUE"""),"RF-00003353-MCG")</f>
        <v>RF-00003353-MCG</v>
      </c>
    </row>
    <row r="5523" spans="1:2" ht="12.5" x14ac:dyDescent="0.25">
      <c r="A5523" t="str">
        <f ca="1">IFERROR(__xludf.DUMMYFUNCTION("""COMPUTED_VALUE"""),"Salmonella - S. Typhimurium, monophasic - DT 140")</f>
        <v>Salmonella - S. Typhimurium, monophasic - DT 140</v>
      </c>
      <c r="B5523" t="str">
        <f ca="1">IFERROR(__xludf.DUMMYFUNCTION("""COMPUTED_VALUE"""),"RF-00003354-MCG")</f>
        <v>RF-00003354-MCG</v>
      </c>
    </row>
    <row r="5524" spans="1:2" ht="12.5" x14ac:dyDescent="0.25">
      <c r="A5524" t="str">
        <f ca="1">IFERROR(__xludf.DUMMYFUNCTION("""COMPUTED_VALUE"""),"Salmonella - S. Typhimurium, monophasic - DT 141")</f>
        <v>Salmonella - S. Typhimurium, monophasic - DT 141</v>
      </c>
      <c r="B5524" t="str">
        <f ca="1">IFERROR(__xludf.DUMMYFUNCTION("""COMPUTED_VALUE"""),"RF-00003355-MCG")</f>
        <v>RF-00003355-MCG</v>
      </c>
    </row>
    <row r="5525" spans="1:2" ht="12.5" x14ac:dyDescent="0.25">
      <c r="A5525" t="str">
        <f ca="1">IFERROR(__xludf.DUMMYFUNCTION("""COMPUTED_VALUE"""),"Salmonella - S. Typhimurium, monophasic - DT 143")</f>
        <v>Salmonella - S. Typhimurium, monophasic - DT 143</v>
      </c>
      <c r="B5525" t="str">
        <f ca="1">IFERROR(__xludf.DUMMYFUNCTION("""COMPUTED_VALUE"""),"RF-00003356-MCG")</f>
        <v>RF-00003356-MCG</v>
      </c>
    </row>
    <row r="5526" spans="1:2" ht="12.5" x14ac:dyDescent="0.25">
      <c r="A5526" t="str">
        <f ca="1">IFERROR(__xludf.DUMMYFUNCTION("""COMPUTED_VALUE"""),"Salmonella - S. Typhimurium, monophasic - DT 144")</f>
        <v>Salmonella - S. Typhimurium, monophasic - DT 144</v>
      </c>
      <c r="B5526" t="str">
        <f ca="1">IFERROR(__xludf.DUMMYFUNCTION("""COMPUTED_VALUE"""),"RF-00003357-MCG")</f>
        <v>RF-00003357-MCG</v>
      </c>
    </row>
    <row r="5527" spans="1:2" ht="12.5" x14ac:dyDescent="0.25">
      <c r="A5527" t="str">
        <f ca="1">IFERROR(__xludf.DUMMYFUNCTION("""COMPUTED_VALUE"""),"Salmonella - S. Typhimurium, monophasic - DT 14b")</f>
        <v>Salmonella - S. Typhimurium, monophasic - DT 14b</v>
      </c>
      <c r="B5527" t="str">
        <f ca="1">IFERROR(__xludf.DUMMYFUNCTION("""COMPUTED_VALUE"""),"RF-00003358-MCG")</f>
        <v>RF-00003358-MCG</v>
      </c>
    </row>
    <row r="5528" spans="1:2" ht="12.5" x14ac:dyDescent="0.25">
      <c r="A5528" t="str">
        <f ca="1">IFERROR(__xludf.DUMMYFUNCTION("""COMPUTED_VALUE"""),"Salmonella - S. Typhimurium, monophasic - DT 15")</f>
        <v>Salmonella - S. Typhimurium, monophasic - DT 15</v>
      </c>
      <c r="B5528" t="str">
        <f ca="1">IFERROR(__xludf.DUMMYFUNCTION("""COMPUTED_VALUE"""),"RF-00003359-MCG")</f>
        <v>RF-00003359-MCG</v>
      </c>
    </row>
    <row r="5529" spans="1:2" ht="12.5" x14ac:dyDescent="0.25">
      <c r="A5529" t="str">
        <f ca="1">IFERROR(__xludf.DUMMYFUNCTION("""COMPUTED_VALUE"""),"Salmonella - S. Typhimurium, monophasic - DT 151")</f>
        <v>Salmonella - S. Typhimurium, monophasic - DT 151</v>
      </c>
      <c r="B5529" t="str">
        <f ca="1">IFERROR(__xludf.DUMMYFUNCTION("""COMPUTED_VALUE"""),"RF-00003360-MCG")</f>
        <v>RF-00003360-MCG</v>
      </c>
    </row>
    <row r="5530" spans="1:2" ht="12.5" x14ac:dyDescent="0.25">
      <c r="A5530" t="str">
        <f ca="1">IFERROR(__xludf.DUMMYFUNCTION("""COMPUTED_VALUE"""),"Salmonella - S. Typhimurium, monophasic - DT 153")</f>
        <v>Salmonella - S. Typhimurium, monophasic - DT 153</v>
      </c>
      <c r="B5530" t="str">
        <f ca="1">IFERROR(__xludf.DUMMYFUNCTION("""COMPUTED_VALUE"""),"RF-00003361-MCG")</f>
        <v>RF-00003361-MCG</v>
      </c>
    </row>
    <row r="5531" spans="1:2" ht="12.5" x14ac:dyDescent="0.25">
      <c r="A5531" t="str">
        <f ca="1">IFERROR(__xludf.DUMMYFUNCTION("""COMPUTED_VALUE"""),"Salmonella - S. Typhimurium, monophasic - DT 15a")</f>
        <v>Salmonella - S. Typhimurium, monophasic - DT 15a</v>
      </c>
      <c r="B5531" t="str">
        <f ca="1">IFERROR(__xludf.DUMMYFUNCTION("""COMPUTED_VALUE"""),"RF-00003362-MCG")</f>
        <v>RF-00003362-MCG</v>
      </c>
    </row>
    <row r="5532" spans="1:2" ht="12.5" x14ac:dyDescent="0.25">
      <c r="A5532" t="str">
        <f ca="1">IFERROR(__xludf.DUMMYFUNCTION("""COMPUTED_VALUE"""),"Salmonella - S. Typhimurium, monophasic - DT 16")</f>
        <v>Salmonella - S. Typhimurium, monophasic - DT 16</v>
      </c>
      <c r="B5532" t="str">
        <f ca="1">IFERROR(__xludf.DUMMYFUNCTION("""COMPUTED_VALUE"""),"RF-00003363-MCG")</f>
        <v>RF-00003363-MCG</v>
      </c>
    </row>
    <row r="5533" spans="1:2" ht="12.5" x14ac:dyDescent="0.25">
      <c r="A5533" t="str">
        <f ca="1">IFERROR(__xludf.DUMMYFUNCTION("""COMPUTED_VALUE"""),"Salmonella - S. Typhimurium, monophasic - DT 160")</f>
        <v>Salmonella - S. Typhimurium, monophasic - DT 160</v>
      </c>
      <c r="B5533" t="str">
        <f ca="1">IFERROR(__xludf.DUMMYFUNCTION("""COMPUTED_VALUE"""),"RF-00003364-MCG")</f>
        <v>RF-00003364-MCG</v>
      </c>
    </row>
    <row r="5534" spans="1:2" ht="12.5" x14ac:dyDescent="0.25">
      <c r="A5534" t="str">
        <f ca="1">IFERROR(__xludf.DUMMYFUNCTION("""COMPUTED_VALUE"""),"Salmonella - S. Typhimurium, monophasic - DT 161")</f>
        <v>Salmonella - S. Typhimurium, monophasic - DT 161</v>
      </c>
      <c r="B5534" t="str">
        <f ca="1">IFERROR(__xludf.DUMMYFUNCTION("""COMPUTED_VALUE"""),"RF-00003365-MCG")</f>
        <v>RF-00003365-MCG</v>
      </c>
    </row>
    <row r="5535" spans="1:2" ht="12.5" x14ac:dyDescent="0.25">
      <c r="A5535" t="str">
        <f ca="1">IFERROR(__xludf.DUMMYFUNCTION("""COMPUTED_VALUE"""),"Salmonella - S. Typhimurium, monophasic - DT 164")</f>
        <v>Salmonella - S. Typhimurium, monophasic - DT 164</v>
      </c>
      <c r="B5535" t="str">
        <f ca="1">IFERROR(__xludf.DUMMYFUNCTION("""COMPUTED_VALUE"""),"RF-00003366-MCG")</f>
        <v>RF-00003366-MCG</v>
      </c>
    </row>
    <row r="5536" spans="1:2" ht="12.5" x14ac:dyDescent="0.25">
      <c r="A5536" t="str">
        <f ca="1">IFERROR(__xludf.DUMMYFUNCTION("""COMPUTED_VALUE"""),"Salmonella - S. Typhimurium, monophasic - DT 166")</f>
        <v>Salmonella - S. Typhimurium, monophasic - DT 166</v>
      </c>
      <c r="B5536" t="str">
        <f ca="1">IFERROR(__xludf.DUMMYFUNCTION("""COMPUTED_VALUE"""),"RF-00003367-MCG")</f>
        <v>RF-00003367-MCG</v>
      </c>
    </row>
    <row r="5537" spans="1:2" ht="12.5" x14ac:dyDescent="0.25">
      <c r="A5537" t="str">
        <f ca="1">IFERROR(__xludf.DUMMYFUNCTION("""COMPUTED_VALUE"""),"Salmonella - S. Typhimurium, monophasic - DT 17")</f>
        <v>Salmonella - S. Typhimurium, monophasic - DT 17</v>
      </c>
      <c r="B5537" t="str">
        <f ca="1">IFERROR(__xludf.DUMMYFUNCTION("""COMPUTED_VALUE"""),"RF-00003368-MCG")</f>
        <v>RF-00003368-MCG</v>
      </c>
    </row>
    <row r="5538" spans="1:2" ht="12.5" x14ac:dyDescent="0.25">
      <c r="A5538" t="str">
        <f ca="1">IFERROR(__xludf.DUMMYFUNCTION("""COMPUTED_VALUE"""),"Salmonella - S. Typhimurium, monophasic - DT 170")</f>
        <v>Salmonella - S. Typhimurium, monophasic - DT 170</v>
      </c>
      <c r="B5538" t="str">
        <f ca="1">IFERROR(__xludf.DUMMYFUNCTION("""COMPUTED_VALUE"""),"RF-00003369-MCG")</f>
        <v>RF-00003369-MCG</v>
      </c>
    </row>
    <row r="5539" spans="1:2" ht="12.5" x14ac:dyDescent="0.25">
      <c r="A5539" t="str">
        <f ca="1">IFERROR(__xludf.DUMMYFUNCTION("""COMPUTED_VALUE"""),"Salmonella - S. Typhimurium, monophasic - DT 170b")</f>
        <v>Salmonella - S. Typhimurium, monophasic - DT 170b</v>
      </c>
      <c r="B5539" t="str">
        <f ca="1">IFERROR(__xludf.DUMMYFUNCTION("""COMPUTED_VALUE"""),"RF-00003370-MCG")</f>
        <v>RF-00003370-MCG</v>
      </c>
    </row>
    <row r="5540" spans="1:2" ht="12.5" x14ac:dyDescent="0.25">
      <c r="A5540" t="str">
        <f ca="1">IFERROR(__xludf.DUMMYFUNCTION("""COMPUTED_VALUE"""),"Salmonella - S. Typhimurium, monophasic - DT 177")</f>
        <v>Salmonella - S. Typhimurium, monophasic - DT 177</v>
      </c>
      <c r="B5540" t="str">
        <f ca="1">IFERROR(__xludf.DUMMYFUNCTION("""COMPUTED_VALUE"""),"RF-00003371-MCG")</f>
        <v>RF-00003371-MCG</v>
      </c>
    </row>
    <row r="5541" spans="1:2" ht="12.5" x14ac:dyDescent="0.25">
      <c r="A5541" t="str">
        <f ca="1">IFERROR(__xludf.DUMMYFUNCTION("""COMPUTED_VALUE"""),"Salmonella - S. Typhimurium, monophasic - DT 178")</f>
        <v>Salmonella - S. Typhimurium, monophasic - DT 178</v>
      </c>
      <c r="B5541" t="str">
        <f ca="1">IFERROR(__xludf.DUMMYFUNCTION("""COMPUTED_VALUE"""),"RF-00003372-MCG")</f>
        <v>RF-00003372-MCG</v>
      </c>
    </row>
    <row r="5542" spans="1:2" ht="12.5" x14ac:dyDescent="0.25">
      <c r="A5542" t="str">
        <f ca="1">IFERROR(__xludf.DUMMYFUNCTION("""COMPUTED_VALUE"""),"Salmonella - S. Typhimurium, monophasic - DT 18")</f>
        <v>Salmonella - S. Typhimurium, monophasic - DT 18</v>
      </c>
      <c r="B5542" t="str">
        <f ca="1">IFERROR(__xludf.DUMMYFUNCTION("""COMPUTED_VALUE"""),"RF-00003373-MCG")</f>
        <v>RF-00003373-MCG</v>
      </c>
    </row>
    <row r="5543" spans="1:2" ht="12.5" x14ac:dyDescent="0.25">
      <c r="A5543" t="str">
        <f ca="1">IFERROR(__xludf.DUMMYFUNCTION("""COMPUTED_VALUE"""),"Salmonella - S. Typhimurium, monophasic - DT 185")</f>
        <v>Salmonella - S. Typhimurium, monophasic - DT 185</v>
      </c>
      <c r="B5543" t="str">
        <f ca="1">IFERROR(__xludf.DUMMYFUNCTION("""COMPUTED_VALUE"""),"RF-00003374-MCG")</f>
        <v>RF-00003374-MCG</v>
      </c>
    </row>
    <row r="5544" spans="1:2" ht="12.5" x14ac:dyDescent="0.25">
      <c r="A5544" t="str">
        <f ca="1">IFERROR(__xludf.DUMMYFUNCTION("""COMPUTED_VALUE"""),"Salmonella - S. Typhimurium, monophasic - DT 186")</f>
        <v>Salmonella - S. Typhimurium, monophasic - DT 186</v>
      </c>
      <c r="B5544" t="str">
        <f ca="1">IFERROR(__xludf.DUMMYFUNCTION("""COMPUTED_VALUE"""),"RF-00003375-MCG")</f>
        <v>RF-00003375-MCG</v>
      </c>
    </row>
    <row r="5545" spans="1:2" ht="12.5" x14ac:dyDescent="0.25">
      <c r="A5545" t="str">
        <f ca="1">IFERROR(__xludf.DUMMYFUNCTION("""COMPUTED_VALUE"""),"Salmonella - S. Typhimurium, monophasic - DT 19")</f>
        <v>Salmonella - S. Typhimurium, monophasic - DT 19</v>
      </c>
      <c r="B5545" t="str">
        <f ca="1">IFERROR(__xludf.DUMMYFUNCTION("""COMPUTED_VALUE"""),"RF-00003376-MCG")</f>
        <v>RF-00003376-MCG</v>
      </c>
    </row>
    <row r="5546" spans="1:2" ht="12.5" x14ac:dyDescent="0.25">
      <c r="A5546" t="str">
        <f ca="1">IFERROR(__xludf.DUMMYFUNCTION("""COMPUTED_VALUE"""),"Salmonella - S. Typhimurium, monophasic - DT 191")</f>
        <v>Salmonella - S. Typhimurium, monophasic - DT 191</v>
      </c>
      <c r="B5546" t="str">
        <f ca="1">IFERROR(__xludf.DUMMYFUNCTION("""COMPUTED_VALUE"""),"RF-00003377-MCG")</f>
        <v>RF-00003377-MCG</v>
      </c>
    </row>
    <row r="5547" spans="1:2" ht="12.5" x14ac:dyDescent="0.25">
      <c r="A5547" t="str">
        <f ca="1">IFERROR(__xludf.DUMMYFUNCTION("""COMPUTED_VALUE"""),"Salmonella - S. Typhimurium, monophasic - DT 192")</f>
        <v>Salmonella - S. Typhimurium, monophasic - DT 192</v>
      </c>
      <c r="B5547" t="str">
        <f ca="1">IFERROR(__xludf.DUMMYFUNCTION("""COMPUTED_VALUE"""),"RF-00003378-MCG")</f>
        <v>RF-00003378-MCG</v>
      </c>
    </row>
    <row r="5548" spans="1:2" ht="12.5" x14ac:dyDescent="0.25">
      <c r="A5548" t="str">
        <f ca="1">IFERROR(__xludf.DUMMYFUNCTION("""COMPUTED_VALUE"""),"Salmonella - S. Typhimurium, monophasic - DT 193")</f>
        <v>Salmonella - S. Typhimurium, monophasic - DT 193</v>
      </c>
      <c r="B5548" t="str">
        <f ca="1">IFERROR(__xludf.DUMMYFUNCTION("""COMPUTED_VALUE"""),"RF-00003379-MCG")</f>
        <v>RF-00003379-MCG</v>
      </c>
    </row>
    <row r="5549" spans="1:2" ht="12.5" x14ac:dyDescent="0.25">
      <c r="A5549" t="str">
        <f ca="1">IFERROR(__xludf.DUMMYFUNCTION("""COMPUTED_VALUE"""),"Salmonella - S. Typhimurium, monophasic - DT 193a")</f>
        <v>Salmonella - S. Typhimurium, monophasic - DT 193a</v>
      </c>
      <c r="B5549" t="str">
        <f ca="1">IFERROR(__xludf.DUMMYFUNCTION("""COMPUTED_VALUE"""),"RF-00003380-MCG")</f>
        <v>RF-00003380-MCG</v>
      </c>
    </row>
    <row r="5550" spans="1:2" ht="12.5" x14ac:dyDescent="0.25">
      <c r="A5550" t="str">
        <f ca="1">IFERROR(__xludf.DUMMYFUNCTION("""COMPUTED_VALUE"""),"Salmonella - S. Typhimurium, monophasic - DT 194")</f>
        <v>Salmonella - S. Typhimurium, monophasic - DT 194</v>
      </c>
      <c r="B5550" t="str">
        <f ca="1">IFERROR(__xludf.DUMMYFUNCTION("""COMPUTED_VALUE"""),"RF-00003381-MCG")</f>
        <v>RF-00003381-MCG</v>
      </c>
    </row>
    <row r="5551" spans="1:2" ht="12.5" x14ac:dyDescent="0.25">
      <c r="A5551" t="str">
        <f ca="1">IFERROR(__xludf.DUMMYFUNCTION("""COMPUTED_VALUE"""),"Salmonella - S. Typhimurium, monophasic - DT 195")</f>
        <v>Salmonella - S. Typhimurium, monophasic - DT 195</v>
      </c>
      <c r="B5551" t="str">
        <f ca="1">IFERROR(__xludf.DUMMYFUNCTION("""COMPUTED_VALUE"""),"RF-00003382-MCG")</f>
        <v>RF-00003382-MCG</v>
      </c>
    </row>
    <row r="5552" spans="1:2" ht="12.5" x14ac:dyDescent="0.25">
      <c r="A5552" t="str">
        <f ca="1">IFERROR(__xludf.DUMMYFUNCTION("""COMPUTED_VALUE"""),"Salmonella - S. Typhimurium, monophasic - DT 197")</f>
        <v>Salmonella - S. Typhimurium, monophasic - DT 197</v>
      </c>
      <c r="B5552" t="str">
        <f ca="1">IFERROR(__xludf.DUMMYFUNCTION("""COMPUTED_VALUE"""),"RF-00003383-MCG")</f>
        <v>RF-00003383-MCG</v>
      </c>
    </row>
    <row r="5553" spans="1:2" ht="12.5" x14ac:dyDescent="0.25">
      <c r="A5553" t="str">
        <f ca="1">IFERROR(__xludf.DUMMYFUNCTION("""COMPUTED_VALUE"""),"Salmonella - S. Typhimurium, monophasic - DT 2")</f>
        <v>Salmonella - S. Typhimurium, monophasic - DT 2</v>
      </c>
      <c r="B5553" t="str">
        <f ca="1">IFERROR(__xludf.DUMMYFUNCTION("""COMPUTED_VALUE"""),"RF-00003384-MCG")</f>
        <v>RF-00003384-MCG</v>
      </c>
    </row>
    <row r="5554" spans="1:2" ht="12.5" x14ac:dyDescent="0.25">
      <c r="A5554" t="str">
        <f ca="1">IFERROR(__xludf.DUMMYFUNCTION("""COMPUTED_VALUE"""),"Salmonella - S. Typhimurium, monophasic - DT 20")</f>
        <v>Salmonella - S. Typhimurium, monophasic - DT 20</v>
      </c>
      <c r="B5554" t="str">
        <f ca="1">IFERROR(__xludf.DUMMYFUNCTION("""COMPUTED_VALUE"""),"RF-00003385-MCG")</f>
        <v>RF-00003385-MCG</v>
      </c>
    </row>
    <row r="5555" spans="1:2" ht="12.5" x14ac:dyDescent="0.25">
      <c r="A5555" t="str">
        <f ca="1">IFERROR(__xludf.DUMMYFUNCTION("""COMPUTED_VALUE"""),"Salmonella - S. Typhimurium, monophasic - DT 203")</f>
        <v>Salmonella - S. Typhimurium, monophasic - DT 203</v>
      </c>
      <c r="B5555" t="str">
        <f ca="1">IFERROR(__xludf.DUMMYFUNCTION("""COMPUTED_VALUE"""),"RF-00003386-MCG")</f>
        <v>RF-00003386-MCG</v>
      </c>
    </row>
    <row r="5556" spans="1:2" ht="12.5" x14ac:dyDescent="0.25">
      <c r="A5556" t="str">
        <f ca="1">IFERROR(__xludf.DUMMYFUNCTION("""COMPUTED_VALUE"""),"Salmonella - S. Typhimurium, monophasic - DT 206")</f>
        <v>Salmonella - S. Typhimurium, monophasic - DT 206</v>
      </c>
      <c r="B5556" t="str">
        <f ca="1">IFERROR(__xludf.DUMMYFUNCTION("""COMPUTED_VALUE"""),"RF-00003387-MCG")</f>
        <v>RF-00003387-MCG</v>
      </c>
    </row>
    <row r="5557" spans="1:2" ht="12.5" x14ac:dyDescent="0.25">
      <c r="A5557" t="str">
        <f ca="1">IFERROR(__xludf.DUMMYFUNCTION("""COMPUTED_VALUE"""),"Salmonella - S. Typhimurium, monophasic - DT 208")</f>
        <v>Salmonella - S. Typhimurium, monophasic - DT 208</v>
      </c>
      <c r="B5557" t="str">
        <f ca="1">IFERROR(__xludf.DUMMYFUNCTION("""COMPUTED_VALUE"""),"RF-00003388-MCG")</f>
        <v>RF-00003388-MCG</v>
      </c>
    </row>
    <row r="5558" spans="1:2" ht="12.5" x14ac:dyDescent="0.25">
      <c r="A5558" t="str">
        <f ca="1">IFERROR(__xludf.DUMMYFUNCTION("""COMPUTED_VALUE"""),"Salmonella - S. Typhimurium, monophasic - DT 20a")</f>
        <v>Salmonella - S. Typhimurium, monophasic - DT 20a</v>
      </c>
      <c r="B5558" t="str">
        <f ca="1">IFERROR(__xludf.DUMMYFUNCTION("""COMPUTED_VALUE"""),"RF-00003389-MCG")</f>
        <v>RF-00003389-MCG</v>
      </c>
    </row>
    <row r="5559" spans="1:2" ht="12.5" x14ac:dyDescent="0.25">
      <c r="A5559" t="str">
        <f ca="1">IFERROR(__xludf.DUMMYFUNCTION("""COMPUTED_VALUE"""),"Salmonella - S. Typhimurium, monophasic - DT 22")</f>
        <v>Salmonella - S. Typhimurium, monophasic - DT 22</v>
      </c>
      <c r="B5559" t="str">
        <f ca="1">IFERROR(__xludf.DUMMYFUNCTION("""COMPUTED_VALUE"""),"RF-00003390-MCG")</f>
        <v>RF-00003390-MCG</v>
      </c>
    </row>
    <row r="5560" spans="1:2" ht="12.5" x14ac:dyDescent="0.25">
      <c r="A5560" t="str">
        <f ca="1">IFERROR(__xludf.DUMMYFUNCTION("""COMPUTED_VALUE"""),"Salmonella - S. Typhimurium, monophasic - DT 26")</f>
        <v>Salmonella - S. Typhimurium, monophasic - DT 26</v>
      </c>
      <c r="B5560" t="str">
        <f ca="1">IFERROR(__xludf.DUMMYFUNCTION("""COMPUTED_VALUE"""),"RF-00003391-MCG")</f>
        <v>RF-00003391-MCG</v>
      </c>
    </row>
    <row r="5561" spans="1:2" ht="12.5" x14ac:dyDescent="0.25">
      <c r="A5561" t="str">
        <f ca="1">IFERROR(__xludf.DUMMYFUNCTION("""COMPUTED_VALUE"""),"Salmonella - S. Typhimurium, monophasic - DT 27")</f>
        <v>Salmonella - S. Typhimurium, monophasic - DT 27</v>
      </c>
      <c r="B5561" t="str">
        <f ca="1">IFERROR(__xludf.DUMMYFUNCTION("""COMPUTED_VALUE"""),"RF-00003392-MCG")</f>
        <v>RF-00003392-MCG</v>
      </c>
    </row>
    <row r="5562" spans="1:2" ht="12.5" x14ac:dyDescent="0.25">
      <c r="A5562" t="str">
        <f ca="1">IFERROR(__xludf.DUMMYFUNCTION("""COMPUTED_VALUE"""),"Salmonella - S. Typhimurium, monophasic - DT 28")</f>
        <v>Salmonella - S. Typhimurium, monophasic - DT 28</v>
      </c>
      <c r="B5562" t="str">
        <f ca="1">IFERROR(__xludf.DUMMYFUNCTION("""COMPUTED_VALUE"""),"RF-00003393-MCG")</f>
        <v>RF-00003393-MCG</v>
      </c>
    </row>
    <row r="5563" spans="1:2" ht="12.5" x14ac:dyDescent="0.25">
      <c r="A5563" t="str">
        <f ca="1">IFERROR(__xludf.DUMMYFUNCTION("""COMPUTED_VALUE"""),"Salmonella - S. Typhimurium, monophasic - DT 29")</f>
        <v>Salmonella - S. Typhimurium, monophasic - DT 29</v>
      </c>
      <c r="B5563" t="str">
        <f ca="1">IFERROR(__xludf.DUMMYFUNCTION("""COMPUTED_VALUE"""),"RF-00003394-MCG")</f>
        <v>RF-00003394-MCG</v>
      </c>
    </row>
    <row r="5564" spans="1:2" ht="12.5" x14ac:dyDescent="0.25">
      <c r="A5564" t="str">
        <f ca="1">IFERROR(__xludf.DUMMYFUNCTION("""COMPUTED_VALUE"""),"Salmonella - S. Typhimurium, monophasic - DT 2a")</f>
        <v>Salmonella - S. Typhimurium, monophasic - DT 2a</v>
      </c>
      <c r="B5564" t="str">
        <f ca="1">IFERROR(__xludf.DUMMYFUNCTION("""COMPUTED_VALUE"""),"RF-00003395-MCG")</f>
        <v>RF-00003395-MCG</v>
      </c>
    </row>
    <row r="5565" spans="1:2" ht="12.5" x14ac:dyDescent="0.25">
      <c r="A5565" t="str">
        <f ca="1">IFERROR(__xludf.DUMMYFUNCTION("""COMPUTED_VALUE"""),"Salmonella - S. Typhimurium, monophasic - DT 3")</f>
        <v>Salmonella - S. Typhimurium, monophasic - DT 3</v>
      </c>
      <c r="B5565" t="str">
        <f ca="1">IFERROR(__xludf.DUMMYFUNCTION("""COMPUTED_VALUE"""),"RF-00003396-MCG")</f>
        <v>RF-00003396-MCG</v>
      </c>
    </row>
    <row r="5566" spans="1:2" ht="12.5" x14ac:dyDescent="0.25">
      <c r="A5566" t="str">
        <f ca="1">IFERROR(__xludf.DUMMYFUNCTION("""COMPUTED_VALUE"""),"Salmonella - S. Typhimurium, monophasic - DT 30")</f>
        <v>Salmonella - S. Typhimurium, monophasic - DT 30</v>
      </c>
      <c r="B5566" t="str">
        <f ca="1">IFERROR(__xludf.DUMMYFUNCTION("""COMPUTED_VALUE"""),"RF-00003397-MCG")</f>
        <v>RF-00003397-MCG</v>
      </c>
    </row>
    <row r="5567" spans="1:2" ht="12.5" x14ac:dyDescent="0.25">
      <c r="A5567" t="str">
        <f ca="1">IFERROR(__xludf.DUMMYFUNCTION("""COMPUTED_VALUE"""),"Salmonella - S. Typhimurium, monophasic - DT 32")</f>
        <v>Salmonella - S. Typhimurium, monophasic - DT 32</v>
      </c>
      <c r="B5567" t="str">
        <f ca="1">IFERROR(__xludf.DUMMYFUNCTION("""COMPUTED_VALUE"""),"RF-00003398-MCG")</f>
        <v>RF-00003398-MCG</v>
      </c>
    </row>
    <row r="5568" spans="1:2" ht="12.5" x14ac:dyDescent="0.25">
      <c r="A5568" t="str">
        <f ca="1">IFERROR(__xludf.DUMMYFUNCTION("""COMPUTED_VALUE"""),"Salmonella - S. Typhimurium, monophasic - DT 35")</f>
        <v>Salmonella - S. Typhimurium, monophasic - DT 35</v>
      </c>
      <c r="B5568" t="str">
        <f ca="1">IFERROR(__xludf.DUMMYFUNCTION("""COMPUTED_VALUE"""),"RF-00003399-MCG")</f>
        <v>RF-00003399-MCG</v>
      </c>
    </row>
    <row r="5569" spans="1:2" ht="12.5" x14ac:dyDescent="0.25">
      <c r="A5569" t="str">
        <f ca="1">IFERROR(__xludf.DUMMYFUNCTION("""COMPUTED_VALUE"""),"Salmonella - S. Typhimurium, monophasic - DT 36")</f>
        <v>Salmonella - S. Typhimurium, monophasic - DT 36</v>
      </c>
      <c r="B5569" t="str">
        <f ca="1">IFERROR(__xludf.DUMMYFUNCTION("""COMPUTED_VALUE"""),"RF-00003400-MCG")</f>
        <v>RF-00003400-MCG</v>
      </c>
    </row>
    <row r="5570" spans="1:2" ht="12.5" x14ac:dyDescent="0.25">
      <c r="A5570" t="str">
        <f ca="1">IFERROR(__xludf.DUMMYFUNCTION("""COMPUTED_VALUE"""),"Salmonella - S. Typhimurium, monophasic - DT 38")</f>
        <v>Salmonella - S. Typhimurium, monophasic - DT 38</v>
      </c>
      <c r="B5570" t="str">
        <f ca="1">IFERROR(__xludf.DUMMYFUNCTION("""COMPUTED_VALUE"""),"RF-00003401-MCG")</f>
        <v>RF-00003401-MCG</v>
      </c>
    </row>
    <row r="5571" spans="1:2" ht="12.5" x14ac:dyDescent="0.25">
      <c r="A5571" t="str">
        <f ca="1">IFERROR(__xludf.DUMMYFUNCTION("""COMPUTED_VALUE"""),"Salmonella - S. Typhimurium, monophasic - DT 4")</f>
        <v>Salmonella - S. Typhimurium, monophasic - DT 4</v>
      </c>
      <c r="B5571" t="str">
        <f ca="1">IFERROR(__xludf.DUMMYFUNCTION("""COMPUTED_VALUE"""),"RF-00003402-MCG")</f>
        <v>RF-00003402-MCG</v>
      </c>
    </row>
    <row r="5572" spans="1:2" ht="12.5" x14ac:dyDescent="0.25">
      <c r="A5572" t="str">
        <f ca="1">IFERROR(__xludf.DUMMYFUNCTION("""COMPUTED_VALUE"""),"Salmonella - S. Typhimurium, monophasic - DT 40")</f>
        <v>Salmonella - S. Typhimurium, monophasic - DT 40</v>
      </c>
      <c r="B5572" t="str">
        <f ca="1">IFERROR(__xludf.DUMMYFUNCTION("""COMPUTED_VALUE"""),"RF-00003403-MCG")</f>
        <v>RF-00003403-MCG</v>
      </c>
    </row>
    <row r="5573" spans="1:2" ht="12.5" x14ac:dyDescent="0.25">
      <c r="A5573" t="str">
        <f ca="1">IFERROR(__xludf.DUMMYFUNCTION("""COMPUTED_VALUE"""),"Salmonella - S. Typhimurium, monophasic - DT 41")</f>
        <v>Salmonella - S. Typhimurium, monophasic - DT 41</v>
      </c>
      <c r="B5573" t="str">
        <f ca="1">IFERROR(__xludf.DUMMYFUNCTION("""COMPUTED_VALUE"""),"RF-00003404-MCG")</f>
        <v>RF-00003404-MCG</v>
      </c>
    </row>
    <row r="5574" spans="1:2" ht="12.5" x14ac:dyDescent="0.25">
      <c r="A5574" t="str">
        <f ca="1">IFERROR(__xludf.DUMMYFUNCTION("""COMPUTED_VALUE"""),"Salmonella - S. Typhimurium, monophasic - DT 41 var.")</f>
        <v>Salmonella - S. Typhimurium, monophasic - DT 41 var.</v>
      </c>
      <c r="B5574" t="str">
        <f ca="1">IFERROR(__xludf.DUMMYFUNCTION("""COMPUTED_VALUE"""),"RF-00003405-MCG")</f>
        <v>RF-00003405-MCG</v>
      </c>
    </row>
    <row r="5575" spans="1:2" ht="12.5" x14ac:dyDescent="0.25">
      <c r="A5575" t="str">
        <f ca="1">IFERROR(__xludf.DUMMYFUNCTION("""COMPUTED_VALUE"""),"Salmonella - S. Typhimurium, monophasic - DT 41a")</f>
        <v>Salmonella - S. Typhimurium, monophasic - DT 41a</v>
      </c>
      <c r="B5575" t="str">
        <f ca="1">IFERROR(__xludf.DUMMYFUNCTION("""COMPUTED_VALUE"""),"RF-00003406-MCG")</f>
        <v>RF-00003406-MCG</v>
      </c>
    </row>
    <row r="5576" spans="1:2" ht="12.5" x14ac:dyDescent="0.25">
      <c r="A5576" t="str">
        <f ca="1">IFERROR(__xludf.DUMMYFUNCTION("""COMPUTED_VALUE"""),"Salmonella - S. Typhimurium, monophasic - DT 42")</f>
        <v>Salmonella - S. Typhimurium, monophasic - DT 42</v>
      </c>
      <c r="B5576" t="str">
        <f ca="1">IFERROR(__xludf.DUMMYFUNCTION("""COMPUTED_VALUE"""),"RF-00003407-MCG")</f>
        <v>RF-00003407-MCG</v>
      </c>
    </row>
    <row r="5577" spans="1:2" ht="12.5" x14ac:dyDescent="0.25">
      <c r="A5577" t="str">
        <f ca="1">IFERROR(__xludf.DUMMYFUNCTION("""COMPUTED_VALUE"""),"Salmonella - S. Typhimurium, monophasic - DT 43")</f>
        <v>Salmonella - S. Typhimurium, monophasic - DT 43</v>
      </c>
      <c r="B5577" t="str">
        <f ca="1">IFERROR(__xludf.DUMMYFUNCTION("""COMPUTED_VALUE"""),"RF-00003408-MCG")</f>
        <v>RF-00003408-MCG</v>
      </c>
    </row>
    <row r="5578" spans="1:2" ht="12.5" x14ac:dyDescent="0.25">
      <c r="A5578" t="str">
        <f ca="1">IFERROR(__xludf.DUMMYFUNCTION("""COMPUTED_VALUE"""),"Salmonella - S. Typhimurium, monophasic - DT 44")</f>
        <v>Salmonella - S. Typhimurium, monophasic - DT 44</v>
      </c>
      <c r="B5578" t="str">
        <f ca="1">IFERROR(__xludf.DUMMYFUNCTION("""COMPUTED_VALUE"""),"RF-00003409-MCG")</f>
        <v>RF-00003409-MCG</v>
      </c>
    </row>
    <row r="5579" spans="1:2" ht="12.5" x14ac:dyDescent="0.25">
      <c r="A5579" t="str">
        <f ca="1">IFERROR(__xludf.DUMMYFUNCTION("""COMPUTED_VALUE"""),"Salmonella - S. Typhimurium, monophasic - DT 46")</f>
        <v>Salmonella - S. Typhimurium, monophasic - DT 46</v>
      </c>
      <c r="B5579" t="str">
        <f ca="1">IFERROR(__xludf.DUMMYFUNCTION("""COMPUTED_VALUE"""),"RF-00003410-MCG")</f>
        <v>RF-00003410-MCG</v>
      </c>
    </row>
    <row r="5580" spans="1:2" ht="12.5" x14ac:dyDescent="0.25">
      <c r="A5580" t="str">
        <f ca="1">IFERROR(__xludf.DUMMYFUNCTION("""COMPUTED_VALUE"""),"Salmonella - S. Typhimurium, monophasic - DT 46a")</f>
        <v>Salmonella - S. Typhimurium, monophasic - DT 46a</v>
      </c>
      <c r="B5580" t="str">
        <f ca="1">IFERROR(__xludf.DUMMYFUNCTION("""COMPUTED_VALUE"""),"RF-00003411-MCG")</f>
        <v>RF-00003411-MCG</v>
      </c>
    </row>
    <row r="5581" spans="1:2" ht="12.5" x14ac:dyDescent="0.25">
      <c r="A5581" t="str">
        <f ca="1">IFERROR(__xludf.DUMMYFUNCTION("""COMPUTED_VALUE"""),"Salmonella - S. Typhimurium, monophasic - DT 49")</f>
        <v>Salmonella - S. Typhimurium, monophasic - DT 49</v>
      </c>
      <c r="B5581" t="str">
        <f ca="1">IFERROR(__xludf.DUMMYFUNCTION("""COMPUTED_VALUE"""),"RF-00003412-MCG")</f>
        <v>RF-00003412-MCG</v>
      </c>
    </row>
    <row r="5582" spans="1:2" ht="12.5" x14ac:dyDescent="0.25">
      <c r="A5582" t="str">
        <f ca="1">IFERROR(__xludf.DUMMYFUNCTION("""COMPUTED_VALUE"""),"Salmonella - S. Typhimurium, monophasic - DT 49a")</f>
        <v>Salmonella - S. Typhimurium, monophasic - DT 49a</v>
      </c>
      <c r="B5582" t="str">
        <f ca="1">IFERROR(__xludf.DUMMYFUNCTION("""COMPUTED_VALUE"""),"RF-00003413-MCG")</f>
        <v>RF-00003413-MCG</v>
      </c>
    </row>
    <row r="5583" spans="1:2" ht="12.5" x14ac:dyDescent="0.25">
      <c r="A5583" t="str">
        <f ca="1">IFERROR(__xludf.DUMMYFUNCTION("""COMPUTED_VALUE"""),"Salmonella - S. Typhimurium, monophasic - DT 52")</f>
        <v>Salmonella - S. Typhimurium, monophasic - DT 52</v>
      </c>
      <c r="B5583" t="str">
        <f ca="1">IFERROR(__xludf.DUMMYFUNCTION("""COMPUTED_VALUE"""),"RF-00003414-MCG")</f>
        <v>RF-00003414-MCG</v>
      </c>
    </row>
    <row r="5584" spans="1:2" ht="12.5" x14ac:dyDescent="0.25">
      <c r="A5584" t="str">
        <f ca="1">IFERROR(__xludf.DUMMYFUNCTION("""COMPUTED_VALUE"""),"Salmonella - S. Typhimurium, monophasic - DT 54")</f>
        <v>Salmonella - S. Typhimurium, monophasic - DT 54</v>
      </c>
      <c r="B5584" t="str">
        <f ca="1">IFERROR(__xludf.DUMMYFUNCTION("""COMPUTED_VALUE"""),"RF-00003415-MCG")</f>
        <v>RF-00003415-MCG</v>
      </c>
    </row>
    <row r="5585" spans="1:2" ht="12.5" x14ac:dyDescent="0.25">
      <c r="A5585" t="str">
        <f ca="1">IFERROR(__xludf.DUMMYFUNCTION("""COMPUTED_VALUE"""),"Salmonella - S. Typhimurium, monophasic - DT 55")</f>
        <v>Salmonella - S. Typhimurium, monophasic - DT 55</v>
      </c>
      <c r="B5585" t="str">
        <f ca="1">IFERROR(__xludf.DUMMYFUNCTION("""COMPUTED_VALUE"""),"RF-00003416-MCG")</f>
        <v>RF-00003416-MCG</v>
      </c>
    </row>
    <row r="5586" spans="1:2" ht="12.5" x14ac:dyDescent="0.25">
      <c r="A5586" t="str">
        <f ca="1">IFERROR(__xludf.DUMMYFUNCTION("""COMPUTED_VALUE"""),"Salmonella - S. Typhimurium, monophasic - DT 56")</f>
        <v>Salmonella - S. Typhimurium, monophasic - DT 56</v>
      </c>
      <c r="B5586" t="str">
        <f ca="1">IFERROR(__xludf.DUMMYFUNCTION("""COMPUTED_VALUE"""),"RF-00003417-MCG")</f>
        <v>RF-00003417-MCG</v>
      </c>
    </row>
    <row r="5587" spans="1:2" ht="12.5" x14ac:dyDescent="0.25">
      <c r="A5587" t="str">
        <f ca="1">IFERROR(__xludf.DUMMYFUNCTION("""COMPUTED_VALUE"""),"Salmonella - S. Typhimurium, monophasic - DT 56 var.")</f>
        <v>Salmonella - S. Typhimurium, monophasic - DT 56 var.</v>
      </c>
      <c r="B5587" t="str">
        <f ca="1">IFERROR(__xludf.DUMMYFUNCTION("""COMPUTED_VALUE"""),"RF-00003418-MCG")</f>
        <v>RF-00003418-MCG</v>
      </c>
    </row>
    <row r="5588" spans="1:2" ht="12.5" x14ac:dyDescent="0.25">
      <c r="A5588" t="str">
        <f ca="1">IFERROR(__xludf.DUMMYFUNCTION("""COMPUTED_VALUE"""),"Salmonella - S. Typhimurium, monophasic - DT 58")</f>
        <v>Salmonella - S. Typhimurium, monophasic - DT 58</v>
      </c>
      <c r="B5588" t="str">
        <f ca="1">IFERROR(__xludf.DUMMYFUNCTION("""COMPUTED_VALUE"""),"RF-00003419-MCG")</f>
        <v>RF-00003419-MCG</v>
      </c>
    </row>
    <row r="5589" spans="1:2" ht="12.5" x14ac:dyDescent="0.25">
      <c r="A5589" t="str">
        <f ca="1">IFERROR(__xludf.DUMMYFUNCTION("""COMPUTED_VALUE"""),"Salmonella - S. Typhimurium, monophasic - DT 59")</f>
        <v>Salmonella - S. Typhimurium, monophasic - DT 59</v>
      </c>
      <c r="B5589" t="str">
        <f ca="1">IFERROR(__xludf.DUMMYFUNCTION("""COMPUTED_VALUE"""),"RF-00003420-MCG")</f>
        <v>RF-00003420-MCG</v>
      </c>
    </row>
    <row r="5590" spans="1:2" ht="12.5" x14ac:dyDescent="0.25">
      <c r="A5590" t="str">
        <f ca="1">IFERROR(__xludf.DUMMYFUNCTION("""COMPUTED_VALUE"""),"Salmonella - S. Typhimurium, monophasic - DT 6")</f>
        <v>Salmonella - S. Typhimurium, monophasic - DT 6</v>
      </c>
      <c r="B5590" t="str">
        <f ca="1">IFERROR(__xludf.DUMMYFUNCTION("""COMPUTED_VALUE"""),"RF-00003421-MCG")</f>
        <v>RF-00003421-MCG</v>
      </c>
    </row>
    <row r="5591" spans="1:2" ht="12.5" x14ac:dyDescent="0.25">
      <c r="A5591" t="str">
        <f ca="1">IFERROR(__xludf.DUMMYFUNCTION("""COMPUTED_VALUE"""),"Salmonella - S. Typhimurium, monophasic - DT 63")</f>
        <v>Salmonella - S. Typhimurium, monophasic - DT 63</v>
      </c>
      <c r="B5591" t="str">
        <f ca="1">IFERROR(__xludf.DUMMYFUNCTION("""COMPUTED_VALUE"""),"RF-00003422-MCG")</f>
        <v>RF-00003422-MCG</v>
      </c>
    </row>
    <row r="5592" spans="1:2" ht="12.5" x14ac:dyDescent="0.25">
      <c r="A5592" t="str">
        <f ca="1">IFERROR(__xludf.DUMMYFUNCTION("""COMPUTED_VALUE"""),"Salmonella - S. Typhimurium, monophasic - DT 64")</f>
        <v>Salmonella - S. Typhimurium, monophasic - DT 64</v>
      </c>
      <c r="B5592" t="str">
        <f ca="1">IFERROR(__xludf.DUMMYFUNCTION("""COMPUTED_VALUE"""),"RF-00003423-MCG")</f>
        <v>RF-00003423-MCG</v>
      </c>
    </row>
    <row r="5593" spans="1:2" ht="12.5" x14ac:dyDescent="0.25">
      <c r="A5593" t="str">
        <f ca="1">IFERROR(__xludf.DUMMYFUNCTION("""COMPUTED_VALUE"""),"Salmonella - S. Typhimurium, monophasic - DT 66")</f>
        <v>Salmonella - S. Typhimurium, monophasic - DT 66</v>
      </c>
      <c r="B5593" t="str">
        <f ca="1">IFERROR(__xludf.DUMMYFUNCTION("""COMPUTED_VALUE"""),"RF-00003424-MCG")</f>
        <v>RF-00003424-MCG</v>
      </c>
    </row>
    <row r="5594" spans="1:2" ht="12.5" x14ac:dyDescent="0.25">
      <c r="A5594" t="str">
        <f ca="1">IFERROR(__xludf.DUMMYFUNCTION("""COMPUTED_VALUE"""),"Salmonella - S. Typhimurium, monophasic - DT 66a")</f>
        <v>Salmonella - S. Typhimurium, monophasic - DT 66a</v>
      </c>
      <c r="B5594" t="str">
        <f ca="1">IFERROR(__xludf.DUMMYFUNCTION("""COMPUTED_VALUE"""),"RF-00003425-MCG")</f>
        <v>RF-00003425-MCG</v>
      </c>
    </row>
    <row r="5595" spans="1:2" ht="12.5" x14ac:dyDescent="0.25">
      <c r="A5595" t="str">
        <f ca="1">IFERROR(__xludf.DUMMYFUNCTION("""COMPUTED_VALUE"""),"Salmonella - S. Typhimurium, monophasic - DT 67")</f>
        <v>Salmonella - S. Typhimurium, monophasic - DT 67</v>
      </c>
      <c r="B5595" t="str">
        <f ca="1">IFERROR(__xludf.DUMMYFUNCTION("""COMPUTED_VALUE"""),"RF-00003426-MCG")</f>
        <v>RF-00003426-MCG</v>
      </c>
    </row>
    <row r="5596" spans="1:2" ht="12.5" x14ac:dyDescent="0.25">
      <c r="A5596" t="str">
        <f ca="1">IFERROR(__xludf.DUMMYFUNCTION("""COMPUTED_VALUE"""),"Salmonella - S. Typhimurium, monophasic - DT 68")</f>
        <v>Salmonella - S. Typhimurium, monophasic - DT 68</v>
      </c>
      <c r="B5596" t="str">
        <f ca="1">IFERROR(__xludf.DUMMYFUNCTION("""COMPUTED_VALUE"""),"RF-00003427-MCG")</f>
        <v>RF-00003427-MCG</v>
      </c>
    </row>
    <row r="5597" spans="1:2" ht="12.5" x14ac:dyDescent="0.25">
      <c r="A5597" t="str">
        <f ca="1">IFERROR(__xludf.DUMMYFUNCTION("""COMPUTED_VALUE"""),"Salmonella - S. Typhimurium, monophasic - DT 7")</f>
        <v>Salmonella - S. Typhimurium, monophasic - DT 7</v>
      </c>
      <c r="B5597" t="str">
        <f ca="1">IFERROR(__xludf.DUMMYFUNCTION("""COMPUTED_VALUE"""),"RF-00003428-MCG")</f>
        <v>RF-00003428-MCG</v>
      </c>
    </row>
    <row r="5598" spans="1:2" ht="12.5" x14ac:dyDescent="0.25">
      <c r="A5598" t="str">
        <f ca="1">IFERROR(__xludf.DUMMYFUNCTION("""COMPUTED_VALUE"""),"Salmonella - S. Typhimurium, monophasic - DT 73")</f>
        <v>Salmonella - S. Typhimurium, monophasic - DT 73</v>
      </c>
      <c r="B5598" t="str">
        <f ca="1">IFERROR(__xludf.DUMMYFUNCTION("""COMPUTED_VALUE"""),"RF-00003429-MCG")</f>
        <v>RF-00003429-MCG</v>
      </c>
    </row>
    <row r="5599" spans="1:2" ht="12.5" x14ac:dyDescent="0.25">
      <c r="A5599" t="str">
        <f ca="1">IFERROR(__xludf.DUMMYFUNCTION("""COMPUTED_VALUE"""),"Salmonella - S. Typhimurium, monophasic - DT 74")</f>
        <v>Salmonella - S. Typhimurium, monophasic - DT 74</v>
      </c>
      <c r="B5599" t="str">
        <f ca="1">IFERROR(__xludf.DUMMYFUNCTION("""COMPUTED_VALUE"""),"RF-00003430-MCG")</f>
        <v>RF-00003430-MCG</v>
      </c>
    </row>
    <row r="5600" spans="1:2" ht="12.5" x14ac:dyDescent="0.25">
      <c r="A5600" t="str">
        <f ca="1">IFERROR(__xludf.DUMMYFUNCTION("""COMPUTED_VALUE"""),"Salmonella - S. Typhimurium, monophasic - DT 8")</f>
        <v>Salmonella - S. Typhimurium, monophasic - DT 8</v>
      </c>
      <c r="B5600" t="str">
        <f ca="1">IFERROR(__xludf.DUMMYFUNCTION("""COMPUTED_VALUE"""),"RF-00003431-MCG")</f>
        <v>RF-00003431-MCG</v>
      </c>
    </row>
    <row r="5601" spans="1:2" ht="12.5" x14ac:dyDescent="0.25">
      <c r="A5601" t="str">
        <f ca="1">IFERROR(__xludf.DUMMYFUNCTION("""COMPUTED_VALUE"""),"Salmonella - S. Typhimurium, monophasic - DT 80")</f>
        <v>Salmonella - S. Typhimurium, monophasic - DT 80</v>
      </c>
      <c r="B5601" t="str">
        <f ca="1">IFERROR(__xludf.DUMMYFUNCTION("""COMPUTED_VALUE"""),"RF-00003432-MCG")</f>
        <v>RF-00003432-MCG</v>
      </c>
    </row>
    <row r="5602" spans="1:2" ht="12.5" x14ac:dyDescent="0.25">
      <c r="A5602" t="str">
        <f ca="1">IFERROR(__xludf.DUMMYFUNCTION("""COMPUTED_VALUE"""),"Salmonella - S. Typhimurium, monophasic - DT 82")</f>
        <v>Salmonella - S. Typhimurium, monophasic - DT 82</v>
      </c>
      <c r="B5602" t="str">
        <f ca="1">IFERROR(__xludf.DUMMYFUNCTION("""COMPUTED_VALUE"""),"RF-00003433-MCG")</f>
        <v>RF-00003433-MCG</v>
      </c>
    </row>
    <row r="5603" spans="1:2" ht="12.5" x14ac:dyDescent="0.25">
      <c r="A5603" t="str">
        <f ca="1">IFERROR(__xludf.DUMMYFUNCTION("""COMPUTED_VALUE"""),"Salmonella - S. Typhimurium, monophasic - DT 83")</f>
        <v>Salmonella - S. Typhimurium, monophasic - DT 83</v>
      </c>
      <c r="B5603" t="str">
        <f ca="1">IFERROR(__xludf.DUMMYFUNCTION("""COMPUTED_VALUE"""),"RF-00003434-MCG")</f>
        <v>RF-00003434-MCG</v>
      </c>
    </row>
    <row r="5604" spans="1:2" ht="12.5" x14ac:dyDescent="0.25">
      <c r="A5604" t="str">
        <f ca="1">IFERROR(__xludf.DUMMYFUNCTION("""COMPUTED_VALUE"""),"Salmonella - S. Typhimurium, monophasic - DT 85")</f>
        <v>Salmonella - S. Typhimurium, monophasic - DT 85</v>
      </c>
      <c r="B5604" t="str">
        <f ca="1">IFERROR(__xludf.DUMMYFUNCTION("""COMPUTED_VALUE"""),"RF-00003435-MCG")</f>
        <v>RF-00003435-MCG</v>
      </c>
    </row>
    <row r="5605" spans="1:2" ht="12.5" x14ac:dyDescent="0.25">
      <c r="A5605" t="str">
        <f ca="1">IFERROR(__xludf.DUMMYFUNCTION("""COMPUTED_VALUE"""),"Salmonella - S. Typhimurium, monophasic - DT 86")</f>
        <v>Salmonella - S. Typhimurium, monophasic - DT 86</v>
      </c>
      <c r="B5605" t="str">
        <f ca="1">IFERROR(__xludf.DUMMYFUNCTION("""COMPUTED_VALUE"""),"RF-00003436-MCG")</f>
        <v>RF-00003436-MCG</v>
      </c>
    </row>
    <row r="5606" spans="1:2" ht="12.5" x14ac:dyDescent="0.25">
      <c r="A5606" t="str">
        <f ca="1">IFERROR(__xludf.DUMMYFUNCTION("""COMPUTED_VALUE"""),"Salmonella - S. Typhimurium, monophasic - DT 87")</f>
        <v>Salmonella - S. Typhimurium, monophasic - DT 87</v>
      </c>
      <c r="B5606" t="str">
        <f ca="1">IFERROR(__xludf.DUMMYFUNCTION("""COMPUTED_VALUE"""),"RF-00003437-MCG")</f>
        <v>RF-00003437-MCG</v>
      </c>
    </row>
    <row r="5607" spans="1:2" ht="12.5" x14ac:dyDescent="0.25">
      <c r="A5607" t="str">
        <f ca="1">IFERROR(__xludf.DUMMYFUNCTION("""COMPUTED_VALUE"""),"Salmonella - S. Typhimurium, monophasic - DT 89")</f>
        <v>Salmonella - S. Typhimurium, monophasic - DT 89</v>
      </c>
      <c r="B5607" t="str">
        <f ca="1">IFERROR(__xludf.DUMMYFUNCTION("""COMPUTED_VALUE"""),"RF-00003438-MCG")</f>
        <v>RF-00003438-MCG</v>
      </c>
    </row>
    <row r="5608" spans="1:2" ht="12.5" x14ac:dyDescent="0.25">
      <c r="A5608" t="str">
        <f ca="1">IFERROR(__xludf.DUMMYFUNCTION("""COMPUTED_VALUE"""),"Salmonella - S. Typhimurium, monophasic - DT 9")</f>
        <v>Salmonella - S. Typhimurium, monophasic - DT 9</v>
      </c>
      <c r="B5608" t="str">
        <f ca="1">IFERROR(__xludf.DUMMYFUNCTION("""COMPUTED_VALUE"""),"RF-00003439-MCG")</f>
        <v>RF-00003439-MCG</v>
      </c>
    </row>
    <row r="5609" spans="1:2" ht="12.5" x14ac:dyDescent="0.25">
      <c r="A5609" t="str">
        <f ca="1">IFERROR(__xludf.DUMMYFUNCTION("""COMPUTED_VALUE"""),"Salmonella - S. Typhimurium, monophasic - DT 9 var.")</f>
        <v>Salmonella - S. Typhimurium, monophasic - DT 9 var.</v>
      </c>
      <c r="B5609" t="str">
        <f ca="1">IFERROR(__xludf.DUMMYFUNCTION("""COMPUTED_VALUE"""),"RF-00003440-MCG")</f>
        <v>RF-00003440-MCG</v>
      </c>
    </row>
    <row r="5610" spans="1:2" ht="12.5" x14ac:dyDescent="0.25">
      <c r="A5610" t="str">
        <f ca="1">IFERROR(__xludf.DUMMYFUNCTION("""COMPUTED_VALUE"""),"Salmonella - S. Typhimurium, monophasic - DT 92")</f>
        <v>Salmonella - S. Typhimurium, monophasic - DT 92</v>
      </c>
      <c r="B5610" t="str">
        <f ca="1">IFERROR(__xludf.DUMMYFUNCTION("""COMPUTED_VALUE"""),"RF-00003441-MCG")</f>
        <v>RF-00003441-MCG</v>
      </c>
    </row>
    <row r="5611" spans="1:2" ht="12.5" x14ac:dyDescent="0.25">
      <c r="A5611" t="str">
        <f ca="1">IFERROR(__xludf.DUMMYFUNCTION("""COMPUTED_VALUE"""),"Salmonella - S. Typhimurium, monophasic - DT 93")</f>
        <v>Salmonella - S. Typhimurium, monophasic - DT 93</v>
      </c>
      <c r="B5611" t="str">
        <f ca="1">IFERROR(__xludf.DUMMYFUNCTION("""COMPUTED_VALUE"""),"RF-00003442-MCG")</f>
        <v>RF-00003442-MCG</v>
      </c>
    </row>
    <row r="5612" spans="1:2" ht="12.5" x14ac:dyDescent="0.25">
      <c r="A5612" t="str">
        <f ca="1">IFERROR(__xludf.DUMMYFUNCTION("""COMPUTED_VALUE"""),"Salmonella - S. Typhimurium, monophasic - DT 94")</f>
        <v>Salmonella - S. Typhimurium, monophasic - DT 94</v>
      </c>
      <c r="B5612" t="str">
        <f ca="1">IFERROR(__xludf.DUMMYFUNCTION("""COMPUTED_VALUE"""),"RF-00003443-MCG")</f>
        <v>RF-00003443-MCG</v>
      </c>
    </row>
    <row r="5613" spans="1:2" ht="12.5" x14ac:dyDescent="0.25">
      <c r="A5613" t="str">
        <f ca="1">IFERROR(__xludf.DUMMYFUNCTION("""COMPUTED_VALUE"""),"Salmonella - S. Typhimurium, monophasic - DT 96")</f>
        <v>Salmonella - S. Typhimurium, monophasic - DT 96</v>
      </c>
      <c r="B5613" t="str">
        <f ca="1">IFERROR(__xludf.DUMMYFUNCTION("""COMPUTED_VALUE"""),"RF-00003444-MCG")</f>
        <v>RF-00003444-MCG</v>
      </c>
    </row>
    <row r="5614" spans="1:2" ht="12.5" x14ac:dyDescent="0.25">
      <c r="A5614" t="str">
        <f ca="1">IFERROR(__xludf.DUMMYFUNCTION("""COMPUTED_VALUE"""),"Salmonella - S. Typhimurium, monophasic - DT 97")</f>
        <v>Salmonella - S. Typhimurium, monophasic - DT 97</v>
      </c>
      <c r="B5614" t="str">
        <f ca="1">IFERROR(__xludf.DUMMYFUNCTION("""COMPUTED_VALUE"""),"RF-00003445-MCG")</f>
        <v>RF-00003445-MCG</v>
      </c>
    </row>
    <row r="5615" spans="1:2" ht="12.5" x14ac:dyDescent="0.25">
      <c r="A5615" t="str">
        <f ca="1">IFERROR(__xludf.DUMMYFUNCTION("""COMPUTED_VALUE"""),"Salmonella - S. Typhimurium, monophasic - DT 99")</f>
        <v>Salmonella - S. Typhimurium, monophasic - DT 99</v>
      </c>
      <c r="B5615" t="str">
        <f ca="1">IFERROR(__xludf.DUMMYFUNCTION("""COMPUTED_VALUE"""),"RF-00003446-MCG")</f>
        <v>RF-00003446-MCG</v>
      </c>
    </row>
    <row r="5616" spans="1:2" ht="12.5" x14ac:dyDescent="0.25">
      <c r="A5616" t="str">
        <f ca="1">IFERROR(__xludf.DUMMYFUNCTION("""COMPUTED_VALUE"""),"Salmonella - S. Typhimurium, monophasic - DT RDNC")</f>
        <v>Salmonella - S. Typhimurium, monophasic - DT RDNC</v>
      </c>
      <c r="B5616" t="str">
        <f ca="1">IFERROR(__xludf.DUMMYFUNCTION("""COMPUTED_VALUE"""),"RF-00003447-MCG")</f>
        <v>RF-00003447-MCG</v>
      </c>
    </row>
    <row r="5617" spans="1:2" ht="12.5" x14ac:dyDescent="0.25">
      <c r="A5617" t="str">
        <f ca="1">IFERROR(__xludf.DUMMYFUNCTION("""COMPUTED_VALUE"""),"Salmonella - S. Typhimurium, monophasic - DT U")</f>
        <v>Salmonella - S. Typhimurium, monophasic - DT U</v>
      </c>
      <c r="B5617" t="str">
        <f ca="1">IFERROR(__xludf.DUMMYFUNCTION("""COMPUTED_VALUE"""),"RF-00003448-MCG")</f>
        <v>RF-00003448-MCG</v>
      </c>
    </row>
    <row r="5618" spans="1:2" ht="12.5" x14ac:dyDescent="0.25">
      <c r="A5618" t="str">
        <f ca="1">IFERROR(__xludf.DUMMYFUNCTION("""COMPUTED_VALUE"""),"Salmonella - S. Typhimurium, monophasic - DT U291")</f>
        <v>Salmonella - S. Typhimurium, monophasic - DT U291</v>
      </c>
      <c r="B5618" t="str">
        <f ca="1">IFERROR(__xludf.DUMMYFUNCTION("""COMPUTED_VALUE"""),"RF-00003449-MCG")</f>
        <v>RF-00003449-MCG</v>
      </c>
    </row>
    <row r="5619" spans="1:2" ht="12.5" x14ac:dyDescent="0.25">
      <c r="A5619" t="str">
        <f ca="1">IFERROR(__xludf.DUMMYFUNCTION("""COMPUTED_VALUE"""),"Salmonella - S. Typhimurium, monophasic - DT U302")</f>
        <v>Salmonella - S. Typhimurium, monophasic - DT U302</v>
      </c>
      <c r="B5619" t="str">
        <f ca="1">IFERROR(__xludf.DUMMYFUNCTION("""COMPUTED_VALUE"""),"RF-00003450-MCG")</f>
        <v>RF-00003450-MCG</v>
      </c>
    </row>
    <row r="5620" spans="1:2" ht="12.5" x14ac:dyDescent="0.25">
      <c r="A5620" t="str">
        <f ca="1">IFERROR(__xludf.DUMMYFUNCTION("""COMPUTED_VALUE"""),"Salmonella - S. Typhimurium, monophasic - FT 104")</f>
        <v>Salmonella - S. Typhimurium, monophasic - FT 104</v>
      </c>
      <c r="B5620" t="str">
        <f ca="1">IFERROR(__xludf.DUMMYFUNCTION("""COMPUTED_VALUE"""),"RF-00003451-MCG")</f>
        <v>RF-00003451-MCG</v>
      </c>
    </row>
    <row r="5621" spans="1:2" ht="12.5" x14ac:dyDescent="0.25">
      <c r="A5621" t="str">
        <f ca="1">IFERROR(__xludf.DUMMYFUNCTION("""COMPUTED_VALUE"""),"Salmonella - S. Typhimurium, monophasic - FT 110")</f>
        <v>Salmonella - S. Typhimurium, monophasic - FT 110</v>
      </c>
      <c r="B5621" t="str">
        <f ca="1">IFERROR(__xludf.DUMMYFUNCTION("""COMPUTED_VALUE"""),"RF-00003452-MCG")</f>
        <v>RF-00003452-MCG</v>
      </c>
    </row>
    <row r="5622" spans="1:2" ht="12.5" x14ac:dyDescent="0.25">
      <c r="A5622" t="str">
        <f ca="1">IFERROR(__xludf.DUMMYFUNCTION("""COMPUTED_VALUE"""),"Salmonella - S. Typhimurium, monophasic - FT 13 var.")</f>
        <v>Salmonella - S. Typhimurium, monophasic - FT 13 var.</v>
      </c>
      <c r="B5622" t="str">
        <f ca="1">IFERROR(__xludf.DUMMYFUNCTION("""COMPUTED_VALUE"""),"RF-00003453-MCG")</f>
        <v>RF-00003453-MCG</v>
      </c>
    </row>
    <row r="5623" spans="1:2" ht="12.5" x14ac:dyDescent="0.25">
      <c r="A5623" t="str">
        <f ca="1">IFERROR(__xludf.DUMMYFUNCTION("""COMPUTED_VALUE"""),"Salmonella - S. Typhimurium, monophasic - FT 150")</f>
        <v>Salmonella - S. Typhimurium, monophasic - FT 150</v>
      </c>
      <c r="B5623" t="str">
        <f ca="1">IFERROR(__xludf.DUMMYFUNCTION("""COMPUTED_VALUE"""),"RF-00003454-MCG")</f>
        <v>RF-00003454-MCG</v>
      </c>
    </row>
    <row r="5624" spans="1:2" ht="12.5" x14ac:dyDescent="0.25">
      <c r="A5624" t="str">
        <f ca="1">IFERROR(__xludf.DUMMYFUNCTION("""COMPUTED_VALUE"""),"Salmonella - S. Typhimurium, monophasic - FT 2")</f>
        <v>Salmonella - S. Typhimurium, monophasic - FT 2</v>
      </c>
      <c r="B5624" t="str">
        <f ca="1">IFERROR(__xludf.DUMMYFUNCTION("""COMPUTED_VALUE"""),"RF-00003455-MCG")</f>
        <v>RF-00003455-MCG</v>
      </c>
    </row>
    <row r="5625" spans="1:2" ht="12.5" x14ac:dyDescent="0.25">
      <c r="A5625" t="str">
        <f ca="1">IFERROR(__xludf.DUMMYFUNCTION("""COMPUTED_VALUE"""),"Salmonella - S. Typhimurium, monophasic - FT 20")</f>
        <v>Salmonella - S. Typhimurium, monophasic - FT 20</v>
      </c>
      <c r="B5625" t="str">
        <f ca="1">IFERROR(__xludf.DUMMYFUNCTION("""COMPUTED_VALUE"""),"RF-00003456-MCG")</f>
        <v>RF-00003456-MCG</v>
      </c>
    </row>
    <row r="5626" spans="1:2" ht="12.5" x14ac:dyDescent="0.25">
      <c r="A5626" t="str">
        <f ca="1">IFERROR(__xludf.DUMMYFUNCTION("""COMPUTED_VALUE"""),"Salmonella - S. Typhimurium, monophasic - FT 204")</f>
        <v>Salmonella - S. Typhimurium, monophasic - FT 204</v>
      </c>
      <c r="B5626" t="str">
        <f ca="1">IFERROR(__xludf.DUMMYFUNCTION("""COMPUTED_VALUE"""),"RF-00003457-MCG")</f>
        <v>RF-00003457-MCG</v>
      </c>
    </row>
    <row r="5627" spans="1:2" ht="12.5" x14ac:dyDescent="0.25">
      <c r="A5627" t="str">
        <f ca="1">IFERROR(__xludf.DUMMYFUNCTION("""COMPUTED_VALUE"""),"Salmonella - S. Typhimurium, monophasic - FT 207")</f>
        <v>Salmonella - S. Typhimurium, monophasic - FT 207</v>
      </c>
      <c r="B5627" t="str">
        <f ca="1">IFERROR(__xludf.DUMMYFUNCTION("""COMPUTED_VALUE"""),"RF-00003458-MCG")</f>
        <v>RF-00003458-MCG</v>
      </c>
    </row>
    <row r="5628" spans="1:2" ht="12.5" x14ac:dyDescent="0.25">
      <c r="A5628" t="str">
        <f ca="1">IFERROR(__xludf.DUMMYFUNCTION("""COMPUTED_VALUE"""),"Salmonella - S. Typhimurium, monophasic - FT 281")</f>
        <v>Salmonella - S. Typhimurium, monophasic - FT 281</v>
      </c>
      <c r="B5628" t="str">
        <f ca="1">IFERROR(__xludf.DUMMYFUNCTION("""COMPUTED_VALUE"""),"RF-00003459-MCG")</f>
        <v>RF-00003459-MCG</v>
      </c>
    </row>
    <row r="5629" spans="1:2" ht="12.5" x14ac:dyDescent="0.25">
      <c r="A5629" t="str">
        <f ca="1">IFERROR(__xludf.DUMMYFUNCTION("""COMPUTED_VALUE"""),"Salmonella - S. Typhimurium, monophasic - FT 290")</f>
        <v>Salmonella - S. Typhimurium, monophasic - FT 290</v>
      </c>
      <c r="B5629" t="str">
        <f ca="1">IFERROR(__xludf.DUMMYFUNCTION("""COMPUTED_VALUE"""),"RF-00003460-MCG")</f>
        <v>RF-00003460-MCG</v>
      </c>
    </row>
    <row r="5630" spans="1:2" ht="12.5" x14ac:dyDescent="0.25">
      <c r="A5630" t="str">
        <f ca="1">IFERROR(__xludf.DUMMYFUNCTION("""COMPUTED_VALUE"""),"Salmonella - S. Typhimurium, monophasic - FT 295")</f>
        <v>Salmonella - S. Typhimurium, monophasic - FT 295</v>
      </c>
      <c r="B5630" t="str">
        <f ca="1">IFERROR(__xludf.DUMMYFUNCTION("""COMPUTED_VALUE"""),"RF-00003461-MCG")</f>
        <v>RF-00003461-MCG</v>
      </c>
    </row>
    <row r="5631" spans="1:2" ht="12.5" x14ac:dyDescent="0.25">
      <c r="A5631" t="str">
        <f ca="1">IFERROR(__xludf.DUMMYFUNCTION("""COMPUTED_VALUE"""),"Salmonella - S. Typhimurium, monophasic - FT 296")</f>
        <v>Salmonella - S. Typhimurium, monophasic - FT 296</v>
      </c>
      <c r="B5631" t="str">
        <f ca="1">IFERROR(__xludf.DUMMYFUNCTION("""COMPUTED_VALUE"""),"RF-00003462-MCG")</f>
        <v>RF-00003462-MCG</v>
      </c>
    </row>
    <row r="5632" spans="1:2" ht="12.5" x14ac:dyDescent="0.25">
      <c r="A5632" t="str">
        <f ca="1">IFERROR(__xludf.DUMMYFUNCTION("""COMPUTED_VALUE"""),"Salmonella - S. Typhimurium, monophasic - FT 3")</f>
        <v>Salmonella - S. Typhimurium, monophasic - FT 3</v>
      </c>
      <c r="B5632" t="str">
        <f ca="1">IFERROR(__xludf.DUMMYFUNCTION("""COMPUTED_VALUE"""),"RF-00003463-MCG")</f>
        <v>RF-00003463-MCG</v>
      </c>
    </row>
    <row r="5633" spans="1:2" ht="12.5" x14ac:dyDescent="0.25">
      <c r="A5633" t="str">
        <f ca="1">IFERROR(__xludf.DUMMYFUNCTION("""COMPUTED_VALUE"""),"Salmonella - S. Typhimurium, monophasic - FT 301")</f>
        <v>Salmonella - S. Typhimurium, monophasic - FT 301</v>
      </c>
      <c r="B5633" t="str">
        <f ca="1">IFERROR(__xludf.DUMMYFUNCTION("""COMPUTED_VALUE"""),"RF-00003464-MCG")</f>
        <v>RF-00003464-MCG</v>
      </c>
    </row>
    <row r="5634" spans="1:2" ht="12.5" x14ac:dyDescent="0.25">
      <c r="A5634" t="str">
        <f ca="1">IFERROR(__xludf.DUMMYFUNCTION("""COMPUTED_VALUE"""),"Salmonella - S. Typhimurium, monophasic - FT 350")</f>
        <v>Salmonella - S. Typhimurium, monophasic - FT 350</v>
      </c>
      <c r="B5634" t="str">
        <f ca="1">IFERROR(__xludf.DUMMYFUNCTION("""COMPUTED_VALUE"""),"RF-00003465-MCG")</f>
        <v>RF-00003465-MCG</v>
      </c>
    </row>
    <row r="5635" spans="1:2" ht="12.5" x14ac:dyDescent="0.25">
      <c r="A5635" t="str">
        <f ca="1">IFERROR(__xludf.DUMMYFUNCTION("""COMPUTED_VALUE"""),"Salmonella - S. Typhimurium, monophasic - FT 351")</f>
        <v>Salmonella - S. Typhimurium, monophasic - FT 351</v>
      </c>
      <c r="B5635" t="str">
        <f ca="1">IFERROR(__xludf.DUMMYFUNCTION("""COMPUTED_VALUE"""),"RF-00003466-MCG")</f>
        <v>RF-00003466-MCG</v>
      </c>
    </row>
    <row r="5636" spans="1:2" ht="12.5" x14ac:dyDescent="0.25">
      <c r="A5636" t="str">
        <f ca="1">IFERROR(__xludf.DUMMYFUNCTION("""COMPUTED_VALUE"""),"Salmonella - S. Typhimurium, monophasic - FT 353")</f>
        <v>Salmonella - S. Typhimurium, monophasic - FT 353</v>
      </c>
      <c r="B5636" t="str">
        <f ca="1">IFERROR(__xludf.DUMMYFUNCTION("""COMPUTED_VALUE"""),"RF-00003467-MCG")</f>
        <v>RF-00003467-MCG</v>
      </c>
    </row>
    <row r="5637" spans="1:2" ht="12.5" x14ac:dyDescent="0.25">
      <c r="A5637" t="str">
        <f ca="1">IFERROR(__xludf.DUMMYFUNCTION("""COMPUTED_VALUE"""),"Salmonella - S. Typhimurium, monophasic - FT 380")</f>
        <v>Salmonella - S. Typhimurium, monophasic - FT 380</v>
      </c>
      <c r="B5637" t="str">
        <f ca="1">IFERROR(__xludf.DUMMYFUNCTION("""COMPUTED_VALUE"""),"RF-00003468-MCG")</f>
        <v>RF-00003468-MCG</v>
      </c>
    </row>
    <row r="5638" spans="1:2" ht="12.5" x14ac:dyDescent="0.25">
      <c r="A5638" t="str">
        <f ca="1">IFERROR(__xludf.DUMMYFUNCTION("""COMPUTED_VALUE"""),"Salmonella - S. Typhimurium, monophasic - FT 401")</f>
        <v>Salmonella - S. Typhimurium, monophasic - FT 401</v>
      </c>
      <c r="B5638" t="str">
        <f ca="1">IFERROR(__xludf.DUMMYFUNCTION("""COMPUTED_VALUE"""),"RF-00003469-MCG")</f>
        <v>RF-00003469-MCG</v>
      </c>
    </row>
    <row r="5639" spans="1:2" ht="12.5" x14ac:dyDescent="0.25">
      <c r="A5639" t="str">
        <f ca="1">IFERROR(__xludf.DUMMYFUNCTION("""COMPUTED_VALUE"""),"Salmonella - S. Typhimurium, monophasic - FT 450")</f>
        <v>Salmonella - S. Typhimurium, monophasic - FT 450</v>
      </c>
      <c r="B5639" t="str">
        <f ca="1">IFERROR(__xludf.DUMMYFUNCTION("""COMPUTED_VALUE"""),"RF-00003470-MCG")</f>
        <v>RF-00003470-MCG</v>
      </c>
    </row>
    <row r="5640" spans="1:2" ht="12.5" x14ac:dyDescent="0.25">
      <c r="A5640" t="str">
        <f ca="1">IFERROR(__xludf.DUMMYFUNCTION("""COMPUTED_VALUE"""),"Salmonella - S. Typhimurium, monophasic - FT 461")</f>
        <v>Salmonella - S. Typhimurium, monophasic - FT 461</v>
      </c>
      <c r="B5640" t="str">
        <f ca="1">IFERROR(__xludf.DUMMYFUNCTION("""COMPUTED_VALUE"""),"RF-00003471-MCG")</f>
        <v>RF-00003471-MCG</v>
      </c>
    </row>
    <row r="5641" spans="1:2" ht="12.5" x14ac:dyDescent="0.25">
      <c r="A5641" t="str">
        <f ca="1">IFERROR(__xludf.DUMMYFUNCTION("""COMPUTED_VALUE"""),"Salmonella - S. Typhimurium, monophasic - FT 505")</f>
        <v>Salmonella - S. Typhimurium, monophasic - FT 505</v>
      </c>
      <c r="B5641" t="str">
        <f ca="1">IFERROR(__xludf.DUMMYFUNCTION("""COMPUTED_VALUE"""),"RF-00003472-MCG")</f>
        <v>RF-00003472-MCG</v>
      </c>
    </row>
    <row r="5642" spans="1:2" ht="12.5" x14ac:dyDescent="0.25">
      <c r="A5642" t="str">
        <f ca="1">IFERROR(__xludf.DUMMYFUNCTION("""COMPUTED_VALUE"""),"Salmonella - S. Typhimurium, monophasic - FT 506")</f>
        <v>Salmonella - S. Typhimurium, monophasic - FT 506</v>
      </c>
      <c r="B5642" t="str">
        <f ca="1">IFERROR(__xludf.DUMMYFUNCTION("""COMPUTED_VALUE"""),"RF-00003473-MCG")</f>
        <v>RF-00003473-MCG</v>
      </c>
    </row>
    <row r="5643" spans="1:2" ht="12.5" x14ac:dyDescent="0.25">
      <c r="A5643" t="str">
        <f ca="1">IFERROR(__xludf.DUMMYFUNCTION("""COMPUTED_VALUE"""),"Salmonella - S. Typhimurium, monophasic - FT 507")</f>
        <v>Salmonella - S. Typhimurium, monophasic - FT 507</v>
      </c>
      <c r="B5643" t="str">
        <f ca="1">IFERROR(__xludf.DUMMYFUNCTION("""COMPUTED_VALUE"""),"RF-00003474-MCG")</f>
        <v>RF-00003474-MCG</v>
      </c>
    </row>
    <row r="5644" spans="1:2" ht="12.5" x14ac:dyDescent="0.25">
      <c r="A5644" t="str">
        <f ca="1">IFERROR(__xludf.DUMMYFUNCTION("""COMPUTED_VALUE"""),"Salmonella - S. Typhimurium, monophasic - FT 508")</f>
        <v>Salmonella - S. Typhimurium, monophasic - FT 508</v>
      </c>
      <c r="B5644" t="str">
        <f ca="1">IFERROR(__xludf.DUMMYFUNCTION("""COMPUTED_VALUE"""),"RF-00003475-MCG")</f>
        <v>RF-00003475-MCG</v>
      </c>
    </row>
    <row r="5645" spans="1:2" ht="12.5" x14ac:dyDescent="0.25">
      <c r="A5645" t="str">
        <f ca="1">IFERROR(__xludf.DUMMYFUNCTION("""COMPUTED_VALUE"""),"Salmonella - S. Typhimurium, monophasic - FT 510")</f>
        <v>Salmonella - S. Typhimurium, monophasic - FT 510</v>
      </c>
      <c r="B5645" t="str">
        <f ca="1">IFERROR(__xludf.DUMMYFUNCTION("""COMPUTED_VALUE"""),"RF-00003476-MCG")</f>
        <v>RF-00003476-MCG</v>
      </c>
    </row>
    <row r="5646" spans="1:2" ht="12.5" x14ac:dyDescent="0.25">
      <c r="A5646" t="str">
        <f ca="1">IFERROR(__xludf.DUMMYFUNCTION("""COMPUTED_VALUE"""),"Salmonella - S. Typhimurium, monophasic - FT 530")</f>
        <v>Salmonella - S. Typhimurium, monophasic - FT 530</v>
      </c>
      <c r="B5646" t="str">
        <f ca="1">IFERROR(__xludf.DUMMYFUNCTION("""COMPUTED_VALUE"""),"RF-00003477-MCG")</f>
        <v>RF-00003477-MCG</v>
      </c>
    </row>
    <row r="5647" spans="1:2" ht="12.5" x14ac:dyDescent="0.25">
      <c r="A5647" t="str">
        <f ca="1">IFERROR(__xludf.DUMMYFUNCTION("""COMPUTED_VALUE"""),"Salmonella - S. Typhimurium, monophasic - FT 560")</f>
        <v>Salmonella - S. Typhimurium, monophasic - FT 560</v>
      </c>
      <c r="B5647" t="str">
        <f ca="1">IFERROR(__xludf.DUMMYFUNCTION("""COMPUTED_VALUE"""),"RF-00003478-MCG")</f>
        <v>RF-00003478-MCG</v>
      </c>
    </row>
    <row r="5648" spans="1:2" ht="12.5" x14ac:dyDescent="0.25">
      <c r="A5648" t="str">
        <f ca="1">IFERROR(__xludf.DUMMYFUNCTION("""COMPUTED_VALUE"""),"Salmonella - S. Typhimurium, monophasic - FT 60")</f>
        <v>Salmonella - S. Typhimurium, monophasic - FT 60</v>
      </c>
      <c r="B5648" t="str">
        <f ca="1">IFERROR(__xludf.DUMMYFUNCTION("""COMPUTED_VALUE"""),"RF-00003479-MCG")</f>
        <v>RF-00003479-MCG</v>
      </c>
    </row>
    <row r="5649" spans="1:2" ht="12.5" x14ac:dyDescent="0.25">
      <c r="A5649" t="str">
        <f ca="1">IFERROR(__xludf.DUMMYFUNCTION("""COMPUTED_VALUE"""),"Salmonella - S. Typhimurium, monophasic - FT 61")</f>
        <v>Salmonella - S. Typhimurium, monophasic - FT 61</v>
      </c>
      <c r="B5649" t="str">
        <f ca="1">IFERROR(__xludf.DUMMYFUNCTION("""COMPUTED_VALUE"""),"RF-00003480-MCG")</f>
        <v>RF-00003480-MCG</v>
      </c>
    </row>
    <row r="5650" spans="1:2" ht="12.5" x14ac:dyDescent="0.25">
      <c r="A5650" t="str">
        <f ca="1">IFERROR(__xludf.DUMMYFUNCTION("""COMPUTED_VALUE"""),"Salmonella - S. Typhimurium, monophasic - FT 655")</f>
        <v>Salmonella - S. Typhimurium, monophasic - FT 655</v>
      </c>
      <c r="B5650" t="str">
        <f ca="1">IFERROR(__xludf.DUMMYFUNCTION("""COMPUTED_VALUE"""),"RF-00003481-MCG")</f>
        <v>RF-00003481-MCG</v>
      </c>
    </row>
    <row r="5651" spans="1:2" ht="12.5" x14ac:dyDescent="0.25">
      <c r="A5651" t="str">
        <f ca="1">IFERROR(__xludf.DUMMYFUNCTION("""COMPUTED_VALUE"""),"Salmonella - S. Typhimurium, monophasic - FT 656")</f>
        <v>Salmonella - S. Typhimurium, monophasic - FT 656</v>
      </c>
      <c r="B5651" t="str">
        <f ca="1">IFERROR(__xludf.DUMMYFUNCTION("""COMPUTED_VALUE"""),"RF-00003482-MCG")</f>
        <v>RF-00003482-MCG</v>
      </c>
    </row>
    <row r="5652" spans="1:2" ht="12.5" x14ac:dyDescent="0.25">
      <c r="A5652" t="str">
        <f ca="1">IFERROR(__xludf.DUMMYFUNCTION("""COMPUTED_VALUE"""),"Salmonella - S. Typhimurium, monophasic - FT 658")</f>
        <v>Salmonella - S. Typhimurium, monophasic - FT 658</v>
      </c>
      <c r="B5652" t="str">
        <f ca="1">IFERROR(__xludf.DUMMYFUNCTION("""COMPUTED_VALUE"""),"RF-00003483-MCG")</f>
        <v>RF-00003483-MCG</v>
      </c>
    </row>
    <row r="5653" spans="1:2" ht="12.5" x14ac:dyDescent="0.25">
      <c r="A5653" t="str">
        <f ca="1">IFERROR(__xludf.DUMMYFUNCTION("""COMPUTED_VALUE"""),"Salmonella - S. Typhimurium, monophasic - FT 80")</f>
        <v>Salmonella - S. Typhimurium, monophasic - FT 80</v>
      </c>
      <c r="B5653" t="str">
        <f ca="1">IFERROR(__xludf.DUMMYFUNCTION("""COMPUTED_VALUE"""),"RF-00003484-MCG")</f>
        <v>RF-00003484-MCG</v>
      </c>
    </row>
    <row r="5654" spans="1:2" ht="12.5" x14ac:dyDescent="0.25">
      <c r="A5654" t="str">
        <f ca="1">IFERROR(__xludf.DUMMYFUNCTION("""COMPUTED_VALUE"""),"Salmonella - S. Typhimurium, monophasic - FT 90")</f>
        <v>Salmonella - S. Typhimurium, monophasic - FT 90</v>
      </c>
      <c r="B5654" t="str">
        <f ca="1">IFERROR(__xludf.DUMMYFUNCTION("""COMPUTED_VALUE"""),"RF-00003485-MCG")</f>
        <v>RF-00003485-MCG</v>
      </c>
    </row>
    <row r="5655" spans="1:2" ht="12.5" x14ac:dyDescent="0.25">
      <c r="A5655" t="str">
        <f ca="1">IFERROR(__xludf.DUMMYFUNCTION("""COMPUTED_VALUE"""),"Salmonella - S. Typhimurium, monophasic - Not typeable")</f>
        <v>Salmonella - S. Typhimurium, monophasic - Not typeable</v>
      </c>
      <c r="B5655" t="str">
        <f ca="1">IFERROR(__xludf.DUMMYFUNCTION("""COMPUTED_VALUE"""),"RF-00003486-MCG")</f>
        <v>RF-00003486-MCG</v>
      </c>
    </row>
    <row r="5656" spans="1:2" ht="12.5" x14ac:dyDescent="0.25">
      <c r="A5656" t="str">
        <f ca="1">IFERROR(__xludf.DUMMYFUNCTION("""COMPUTED_VALUE"""),"Salmonella - S. Typhimurium, monophasic - Nt-L30")</f>
        <v>Salmonella - S. Typhimurium, monophasic - Nt-L30</v>
      </c>
      <c r="B5656" t="str">
        <f ca="1">IFERROR(__xludf.DUMMYFUNCTION("""COMPUTED_VALUE"""),"RF-00003487-MCG")</f>
        <v>RF-00003487-MCG</v>
      </c>
    </row>
    <row r="5657" spans="1:2" ht="12.5" x14ac:dyDescent="0.25">
      <c r="A5657" t="str">
        <f ca="1">IFERROR(__xludf.DUMMYFUNCTION("""COMPUTED_VALUE"""),"Salmonella - S. Typhimurium, monophasic - Nt-L30,31")</f>
        <v>Salmonella - S. Typhimurium, monophasic - Nt-L30,31</v>
      </c>
      <c r="B5657" t="str">
        <f ca="1">IFERROR(__xludf.DUMMYFUNCTION("""COMPUTED_VALUE"""),"RF-00003488-MCG")</f>
        <v>RF-00003488-MCG</v>
      </c>
    </row>
    <row r="5658" spans="1:2" ht="12.5" x14ac:dyDescent="0.25">
      <c r="A5658" t="str">
        <f ca="1">IFERROR(__xludf.DUMMYFUNCTION("""COMPUTED_VALUE"""),"Salmonella - S. Typhimurium, monophasic - Nt-L30,31,37")</f>
        <v>Salmonella - S. Typhimurium, monophasic - Nt-L30,31,37</v>
      </c>
      <c r="B5658" t="str">
        <f ca="1">IFERROR(__xludf.DUMMYFUNCTION("""COMPUTED_VALUE"""),"RF-00003489-MCG")</f>
        <v>RF-00003489-MCG</v>
      </c>
    </row>
    <row r="5659" spans="1:2" ht="12.5" x14ac:dyDescent="0.25">
      <c r="A5659" t="str">
        <f ca="1">IFERROR(__xludf.DUMMYFUNCTION("""COMPUTED_VALUE"""),"Salmonella - S. Typhimurium, monophasic - Nt-L30,37")</f>
        <v>Salmonella - S. Typhimurium, monophasic - Nt-L30,37</v>
      </c>
      <c r="B5659" t="str">
        <f ca="1">IFERROR(__xludf.DUMMYFUNCTION("""COMPUTED_VALUE"""),"RF-00003490-MCG")</f>
        <v>RF-00003490-MCG</v>
      </c>
    </row>
    <row r="5660" spans="1:2" ht="12.5" x14ac:dyDescent="0.25">
      <c r="A5660" t="str">
        <f ca="1">IFERROR(__xludf.DUMMYFUNCTION("""COMPUTED_VALUE"""),"Salmonella - S. Typhimurium, monophasic - Nt-L31")</f>
        <v>Salmonella - S. Typhimurium, monophasic - Nt-L31</v>
      </c>
      <c r="B5660" t="str">
        <f ca="1">IFERROR(__xludf.DUMMYFUNCTION("""COMPUTED_VALUE"""),"RF-00003491-MCG")</f>
        <v>RF-00003491-MCG</v>
      </c>
    </row>
    <row r="5661" spans="1:2" ht="12.5" x14ac:dyDescent="0.25">
      <c r="A5661" t="str">
        <f ca="1">IFERROR(__xludf.DUMMYFUNCTION("""COMPUTED_VALUE"""),"Salmonella - S. Typhimurium, monophasic - Nt-L31,37")</f>
        <v>Salmonella - S. Typhimurium, monophasic - Nt-L31,37</v>
      </c>
      <c r="B5661" t="str">
        <f ca="1">IFERROR(__xludf.DUMMYFUNCTION("""COMPUTED_VALUE"""),"RF-00003492-MCG")</f>
        <v>RF-00003492-MCG</v>
      </c>
    </row>
    <row r="5662" spans="1:2" ht="12.5" x14ac:dyDescent="0.25">
      <c r="A5662" t="str">
        <f ca="1">IFERROR(__xludf.DUMMYFUNCTION("""COMPUTED_VALUE"""),"Salmonella - S. Typhimurium, monophasic - Nt-L37")</f>
        <v>Salmonella - S. Typhimurium, monophasic - Nt-L37</v>
      </c>
      <c r="B5662" t="str">
        <f ca="1">IFERROR(__xludf.DUMMYFUNCTION("""COMPUTED_VALUE"""),"RF-00003493-MCG")</f>
        <v>RF-00003493-MCG</v>
      </c>
    </row>
    <row r="5663" spans="1:2" ht="12.5" x14ac:dyDescent="0.25">
      <c r="A5663" t="str">
        <f ca="1">IFERROR(__xludf.DUMMYFUNCTION("""COMPUTED_VALUE"""),"Salmonella - S. Typhimurium, monophasic - Other")</f>
        <v>Salmonella - S. Typhimurium, monophasic - Other</v>
      </c>
      <c r="B5663" t="str">
        <f ca="1">IFERROR(__xludf.DUMMYFUNCTION("""COMPUTED_VALUE"""),"RF-00003494-MCG")</f>
        <v>RF-00003494-MCG</v>
      </c>
    </row>
    <row r="5664" spans="1:2" ht="12.5" x14ac:dyDescent="0.25">
      <c r="A5664" t="str">
        <f ca="1">IFERROR(__xludf.DUMMYFUNCTION("""COMPUTED_VALUE"""),"Salmonella - S. Typhimurium, monophasic - Pr (phage-resistant phagetype)")</f>
        <v>Salmonella - S. Typhimurium, monophasic - Pr (phage-resistant phagetype)</v>
      </c>
      <c r="B5664" t="str">
        <f ca="1">IFERROR(__xludf.DUMMYFUNCTION("""COMPUTED_VALUE"""),"RF-00003496-MCG")</f>
        <v>RF-00003496-MCG</v>
      </c>
    </row>
    <row r="5665" spans="1:2" ht="12.5" x14ac:dyDescent="0.25">
      <c r="A5665" t="str">
        <f ca="1">IFERROR(__xludf.DUMMYFUNCTION("""COMPUTED_VALUE"""),"Salmonella - S. Typhimurium, monophasic - PT 193")</f>
        <v>Salmonella - S. Typhimurium, monophasic - PT 193</v>
      </c>
      <c r="B5665" t="str">
        <f ca="1">IFERROR(__xludf.DUMMYFUNCTION("""COMPUTED_VALUE"""),"RF-00003495-MCG")</f>
        <v>RF-00003495-MCG</v>
      </c>
    </row>
    <row r="5666" spans="1:2" ht="12.5" x14ac:dyDescent="0.25">
      <c r="A5666" t="str">
        <f ca="1">IFERROR(__xludf.DUMMYFUNCTION("""COMPUTED_VALUE"""),"Salmonella - S. Typhimurium, monophasic - RDNC")</f>
        <v>Salmonella - S. Typhimurium, monophasic - RDNC</v>
      </c>
      <c r="B5666" t="str">
        <f ca="1">IFERROR(__xludf.DUMMYFUNCTION("""COMPUTED_VALUE"""),"RF-00003497-MCG")</f>
        <v>RF-00003497-MCG</v>
      </c>
    </row>
    <row r="5667" spans="1:2" ht="12.5" x14ac:dyDescent="0.25">
      <c r="A5667" t="str">
        <f ca="1">IFERROR(__xludf.DUMMYFUNCTION("""COMPUTED_VALUE"""),"Salmonella - S. Typhimurium, monophasic - U")</f>
        <v>Salmonella - S. Typhimurium, monophasic - U</v>
      </c>
      <c r="B5667" t="str">
        <f ca="1">IFERROR(__xludf.DUMMYFUNCTION("""COMPUTED_VALUE"""),"RF-00003498-MCG")</f>
        <v>RF-00003498-MCG</v>
      </c>
    </row>
    <row r="5668" spans="1:2" ht="12.5" x14ac:dyDescent="0.25">
      <c r="A5668" t="str">
        <f ca="1">IFERROR(__xludf.DUMMYFUNCTION("""COMPUTED_VALUE"""),"Salmonella - S. Typhimurium, monophasic - U 276")</f>
        <v>Salmonella - S. Typhimurium, monophasic - U 276</v>
      </c>
      <c r="B5668" t="str">
        <f ca="1">IFERROR(__xludf.DUMMYFUNCTION("""COMPUTED_VALUE"""),"RF-00003499-MCG")</f>
        <v>RF-00003499-MCG</v>
      </c>
    </row>
    <row r="5669" spans="1:2" ht="12.5" x14ac:dyDescent="0.25">
      <c r="A5669" t="str">
        <f ca="1">IFERROR(__xludf.DUMMYFUNCTION("""COMPUTED_VALUE"""),"Salmonella - S. Typhimurium, monophasic - U 277")</f>
        <v>Salmonella - S. Typhimurium, monophasic - U 277</v>
      </c>
      <c r="B5669" t="str">
        <f ca="1">IFERROR(__xludf.DUMMYFUNCTION("""COMPUTED_VALUE"""),"RF-00003500-MCG")</f>
        <v>RF-00003500-MCG</v>
      </c>
    </row>
    <row r="5670" spans="1:2" ht="12.5" x14ac:dyDescent="0.25">
      <c r="A5670" t="str">
        <f ca="1">IFERROR(__xludf.DUMMYFUNCTION("""COMPUTED_VALUE"""),"Salmonella - S. Typhimurium, monophasic - U 278")</f>
        <v>Salmonella - S. Typhimurium, monophasic - U 278</v>
      </c>
      <c r="B5670" t="str">
        <f ca="1">IFERROR(__xludf.DUMMYFUNCTION("""COMPUTED_VALUE"""),"RF-00003501-MCG")</f>
        <v>RF-00003501-MCG</v>
      </c>
    </row>
    <row r="5671" spans="1:2" ht="12.5" x14ac:dyDescent="0.25">
      <c r="A5671" t="str">
        <f ca="1">IFERROR(__xludf.DUMMYFUNCTION("""COMPUTED_VALUE"""),"Salmonella - S. Typhimurium, monophasic - U 288")</f>
        <v>Salmonella - S. Typhimurium, monophasic - U 288</v>
      </c>
      <c r="B5671" t="str">
        <f ca="1">IFERROR(__xludf.DUMMYFUNCTION("""COMPUTED_VALUE"""),"RF-00003502-MCG")</f>
        <v>RF-00003502-MCG</v>
      </c>
    </row>
    <row r="5672" spans="1:2" ht="12.5" x14ac:dyDescent="0.25">
      <c r="A5672" t="str">
        <f ca="1">IFERROR(__xludf.DUMMYFUNCTION("""COMPUTED_VALUE"""),"Salmonella - S. Typhimurium, monophasic - U 289")</f>
        <v>Salmonella - S. Typhimurium, monophasic - U 289</v>
      </c>
      <c r="B5672" t="str">
        <f ca="1">IFERROR(__xludf.DUMMYFUNCTION("""COMPUTED_VALUE"""),"RF-00003503-MCG")</f>
        <v>RF-00003503-MCG</v>
      </c>
    </row>
    <row r="5673" spans="1:2" ht="12.5" x14ac:dyDescent="0.25">
      <c r="A5673" t="str">
        <f ca="1">IFERROR(__xludf.DUMMYFUNCTION("""COMPUTED_VALUE"""),"Salmonella - S. Typhimurium, monophasic - U 291")</f>
        <v>Salmonella - S. Typhimurium, monophasic - U 291</v>
      </c>
      <c r="B5673" t="str">
        <f ca="1">IFERROR(__xludf.DUMMYFUNCTION("""COMPUTED_VALUE"""),"RF-00003504-MCG")</f>
        <v>RF-00003504-MCG</v>
      </c>
    </row>
    <row r="5674" spans="1:2" ht="12.5" x14ac:dyDescent="0.25">
      <c r="A5674" t="str">
        <f ca="1">IFERROR(__xludf.DUMMYFUNCTION("""COMPUTED_VALUE"""),"Salmonella - S. Typhimurium, monophasic - U 292")</f>
        <v>Salmonella - S. Typhimurium, monophasic - U 292</v>
      </c>
      <c r="B5674" t="str">
        <f ca="1">IFERROR(__xludf.DUMMYFUNCTION("""COMPUTED_VALUE"""),"RF-00003505-MCG")</f>
        <v>RF-00003505-MCG</v>
      </c>
    </row>
    <row r="5675" spans="1:2" ht="12.5" x14ac:dyDescent="0.25">
      <c r="A5675" t="str">
        <f ca="1">IFERROR(__xludf.DUMMYFUNCTION("""COMPUTED_VALUE"""),"Salmonella - S. Typhimurium, monophasic - U 302")</f>
        <v>Salmonella - S. Typhimurium, monophasic - U 302</v>
      </c>
      <c r="B5675" t="str">
        <f ca="1">IFERROR(__xludf.DUMMYFUNCTION("""COMPUTED_VALUE"""),"RF-00003506-MCG")</f>
        <v>RF-00003506-MCG</v>
      </c>
    </row>
    <row r="5676" spans="1:2" ht="12.5" x14ac:dyDescent="0.25">
      <c r="A5676" t="str">
        <f ca="1">IFERROR(__xludf.DUMMYFUNCTION("""COMPUTED_VALUE"""),"Salmonella - S. Typhimurium, monophasic - U 307")</f>
        <v>Salmonella - S. Typhimurium, monophasic - U 307</v>
      </c>
      <c r="B5676" t="str">
        <f ca="1">IFERROR(__xludf.DUMMYFUNCTION("""COMPUTED_VALUE"""),"RF-00003507-MCG")</f>
        <v>RF-00003507-MCG</v>
      </c>
    </row>
    <row r="5677" spans="1:2" ht="12.5" x14ac:dyDescent="0.25">
      <c r="A5677" t="str">
        <f ca="1">IFERROR(__xludf.DUMMYFUNCTION("""COMPUTED_VALUE"""),"Salmonella - S. Typhimurium, monophasic - U 308")</f>
        <v>Salmonella - S. Typhimurium, monophasic - U 308</v>
      </c>
      <c r="B5677" t="str">
        <f ca="1">IFERROR(__xludf.DUMMYFUNCTION("""COMPUTED_VALUE"""),"RF-00003508-MCG")</f>
        <v>RF-00003508-MCG</v>
      </c>
    </row>
    <row r="5678" spans="1:2" ht="12.5" x14ac:dyDescent="0.25">
      <c r="A5678" t="str">
        <f ca="1">IFERROR(__xludf.DUMMYFUNCTION("""COMPUTED_VALUE"""),"Salmonella - S. Typhimurium, monophasic - U 308b")</f>
        <v>Salmonella - S. Typhimurium, monophasic - U 308b</v>
      </c>
      <c r="B5678" t="str">
        <f ca="1">IFERROR(__xludf.DUMMYFUNCTION("""COMPUTED_VALUE"""),"RF-00003509-MCG")</f>
        <v>RF-00003509-MCG</v>
      </c>
    </row>
    <row r="5679" spans="1:2" ht="12.5" x14ac:dyDescent="0.25">
      <c r="A5679" t="str">
        <f ca="1">IFERROR(__xludf.DUMMYFUNCTION("""COMPUTED_VALUE"""),"Salmonella - S. Typhimurium, monophasic - U 309")</f>
        <v>Salmonella - S. Typhimurium, monophasic - U 309</v>
      </c>
      <c r="B5679" t="str">
        <f ca="1">IFERROR(__xludf.DUMMYFUNCTION("""COMPUTED_VALUE"""),"RF-00003510-MCG")</f>
        <v>RF-00003510-MCG</v>
      </c>
    </row>
    <row r="5680" spans="1:2" ht="12.5" x14ac:dyDescent="0.25">
      <c r="A5680" t="str">
        <f ca="1">IFERROR(__xludf.DUMMYFUNCTION("""COMPUTED_VALUE"""),"Salmonella - S. Typhimurium, monophasic - U 310")</f>
        <v>Salmonella - S. Typhimurium, monophasic - U 310</v>
      </c>
      <c r="B5680" t="str">
        <f ca="1">IFERROR(__xludf.DUMMYFUNCTION("""COMPUTED_VALUE"""),"RF-00003511-MCG")</f>
        <v>RF-00003511-MCG</v>
      </c>
    </row>
    <row r="5681" spans="1:2" ht="12.5" x14ac:dyDescent="0.25">
      <c r="A5681" t="str">
        <f ca="1">IFERROR(__xludf.DUMMYFUNCTION("""COMPUTED_VALUE"""),"Salmonella - S. Typhimurium, monophasic - U 311")</f>
        <v>Salmonella - S. Typhimurium, monophasic - U 311</v>
      </c>
      <c r="B5681" t="str">
        <f ca="1">IFERROR(__xludf.DUMMYFUNCTION("""COMPUTED_VALUE"""),"RF-00003512-MCG")</f>
        <v>RF-00003512-MCG</v>
      </c>
    </row>
    <row r="5682" spans="1:2" ht="12.5" x14ac:dyDescent="0.25">
      <c r="A5682" t="str">
        <f ca="1">IFERROR(__xludf.DUMMYFUNCTION("""COMPUTED_VALUE"""),"Salmonella - S. Typhimurium, monophasic - U 312")</f>
        <v>Salmonella - S. Typhimurium, monophasic - U 312</v>
      </c>
      <c r="B5682" t="str">
        <f ca="1">IFERROR(__xludf.DUMMYFUNCTION("""COMPUTED_VALUE"""),"RF-00003513-MCG")</f>
        <v>RF-00003513-MCG</v>
      </c>
    </row>
    <row r="5683" spans="1:2" ht="12.5" x14ac:dyDescent="0.25">
      <c r="A5683" t="str">
        <f ca="1">IFERROR(__xludf.DUMMYFUNCTION("""COMPUTED_VALUE"""),"Salmonella - S. Typhimurium, monophasic - U 313")</f>
        <v>Salmonella - S. Typhimurium, monophasic - U 313</v>
      </c>
      <c r="B5683" t="str">
        <f ca="1">IFERROR(__xludf.DUMMYFUNCTION("""COMPUTED_VALUE"""),"RF-00003514-MCG")</f>
        <v>RF-00003514-MCG</v>
      </c>
    </row>
    <row r="5684" spans="1:2" ht="12.5" x14ac:dyDescent="0.25">
      <c r="A5684" t="str">
        <f ca="1">IFERROR(__xludf.DUMMYFUNCTION("""COMPUTED_VALUE"""),"Salmonella - S. Typhimurium, monophasic - U 314")</f>
        <v>Salmonella - S. Typhimurium, monophasic - U 314</v>
      </c>
      <c r="B5684" t="str">
        <f ca="1">IFERROR(__xludf.DUMMYFUNCTION("""COMPUTED_VALUE"""),"RF-00003515-MCG")</f>
        <v>RF-00003515-MCG</v>
      </c>
    </row>
    <row r="5685" spans="1:2" ht="12.5" x14ac:dyDescent="0.25">
      <c r="A5685" t="str">
        <f ca="1">IFERROR(__xludf.DUMMYFUNCTION("""COMPUTED_VALUE"""),"Salmonella - S. Typhimurium, monophasic - U 322")</f>
        <v>Salmonella - S. Typhimurium, monophasic - U 322</v>
      </c>
      <c r="B5685" t="str">
        <f ca="1">IFERROR(__xludf.DUMMYFUNCTION("""COMPUTED_VALUE"""),"RF-00003516-MCG")</f>
        <v>RF-00003516-MCG</v>
      </c>
    </row>
    <row r="5686" spans="1:2" ht="12.5" x14ac:dyDescent="0.25">
      <c r="A5686" t="str">
        <f ca="1">IFERROR(__xludf.DUMMYFUNCTION("""COMPUTED_VALUE"""),"Salmonella - S. Virchow - PT 31")</f>
        <v>Salmonella - S. Virchow - PT 31</v>
      </c>
      <c r="B5686" t="str">
        <f ca="1">IFERROR(__xludf.DUMMYFUNCTION("""COMPUTED_VALUE"""),"RF-00003517-MCG")</f>
        <v>RF-00003517-MCG</v>
      </c>
    </row>
    <row r="5687" spans="1:2" ht="12.5" x14ac:dyDescent="0.25">
      <c r="A5687" t="str">
        <f ca="1">IFERROR(__xludf.DUMMYFUNCTION("""COMPUTED_VALUE"""),"Salmonella 1,13,23:-:-")</f>
        <v>Salmonella 1,13,23:-:-</v>
      </c>
      <c r="B5687" t="str">
        <f ca="1">IFERROR(__xludf.DUMMYFUNCTION("""COMPUTED_VALUE"""),"RF-00000506-MCG")</f>
        <v>RF-00000506-MCG</v>
      </c>
    </row>
    <row r="5688" spans="1:2" ht="12.5" x14ac:dyDescent="0.25">
      <c r="A5688" t="str">
        <f ca="1">IFERROR(__xludf.DUMMYFUNCTION("""COMPUTED_VALUE"""),"Salmonella 1,13,23:i:-")</f>
        <v>Salmonella 1,13,23:i:-</v>
      </c>
      <c r="B5688" t="str">
        <f ca="1">IFERROR(__xludf.DUMMYFUNCTION("""COMPUTED_VALUE"""),"RF-00000492-MCG")</f>
        <v>RF-00000492-MCG</v>
      </c>
    </row>
    <row r="5689" spans="1:2" ht="12.5" x14ac:dyDescent="0.25">
      <c r="A5689" t="str">
        <f ca="1">IFERROR(__xludf.DUMMYFUNCTION("""COMPUTED_VALUE"""),"Salmonella 1,13,23:z:-")</f>
        <v>Salmonella 1,13,23:z:-</v>
      </c>
      <c r="B5689" t="str">
        <f ca="1">IFERROR(__xludf.DUMMYFUNCTION("""COMPUTED_VALUE"""),"RF-00000478-MCG")</f>
        <v>RF-00000478-MCG</v>
      </c>
    </row>
    <row r="5690" spans="1:2" ht="12.5" x14ac:dyDescent="0.25">
      <c r="A5690" t="str">
        <f ca="1">IFERROR(__xludf.DUMMYFUNCTION("""COMPUTED_VALUE"""),"Salmonella 1,13,23:z29:z27")</f>
        <v>Salmonella 1,13,23:z29:z27</v>
      </c>
      <c r="B5690" t="str">
        <f ca="1">IFERROR(__xludf.DUMMYFUNCTION("""COMPUTED_VALUE"""),"RF-00000494-MCG")</f>
        <v>RF-00000494-MCG</v>
      </c>
    </row>
    <row r="5691" spans="1:2" ht="12.5" x14ac:dyDescent="0.25">
      <c r="A5691" t="str">
        <f ca="1">IFERROR(__xludf.DUMMYFUNCTION("""COMPUTED_VALUE"""),"Salmonella 1,3,19:-:-")</f>
        <v>Salmonella 1,3,19:-:-</v>
      </c>
      <c r="B5691" t="str">
        <f ca="1">IFERROR(__xludf.DUMMYFUNCTION("""COMPUTED_VALUE"""),"RF-00000495-MCG")</f>
        <v>RF-00000495-MCG</v>
      </c>
    </row>
    <row r="5692" spans="1:2" ht="12.5" x14ac:dyDescent="0.25">
      <c r="A5692" t="str">
        <f ca="1">IFERROR(__xludf.DUMMYFUNCTION("""COMPUTED_VALUE"""),"Salmonella 1,3,19:-:e,n,z15")</f>
        <v>Salmonella 1,3,19:-:e,n,z15</v>
      </c>
      <c r="B5692" t="str">
        <f ca="1">IFERROR(__xludf.DUMMYFUNCTION("""COMPUTED_VALUE"""),"RF-00000496-MCG")</f>
        <v>RF-00000496-MCG</v>
      </c>
    </row>
    <row r="5693" spans="1:2" ht="12.5" x14ac:dyDescent="0.25">
      <c r="A5693" t="str">
        <f ca="1">IFERROR(__xludf.DUMMYFUNCTION("""COMPUTED_VALUE"""),"Salmonella 1,3,19:c:-")</f>
        <v>Salmonella 1,3,19:c:-</v>
      </c>
      <c r="B5693" t="str">
        <f ca="1">IFERROR(__xludf.DUMMYFUNCTION("""COMPUTED_VALUE"""),"RF-00000497-MCG")</f>
        <v>RF-00000497-MCG</v>
      </c>
    </row>
    <row r="5694" spans="1:2" ht="12.5" x14ac:dyDescent="0.25">
      <c r="A5694" t="str">
        <f ca="1">IFERROR(__xludf.DUMMYFUNCTION("""COMPUTED_VALUE"""),"Salmonella 1,3,19:d:-")</f>
        <v>Salmonella 1,3,19:d:-</v>
      </c>
      <c r="B5694" t="str">
        <f ca="1">IFERROR(__xludf.DUMMYFUNCTION("""COMPUTED_VALUE"""),"RF-00000498-MCG")</f>
        <v>RF-00000498-MCG</v>
      </c>
    </row>
    <row r="5695" spans="1:2" ht="12.5" x14ac:dyDescent="0.25">
      <c r="A5695" t="str">
        <f ca="1">IFERROR(__xludf.DUMMYFUNCTION("""COMPUTED_VALUE"""),"Salmonella 1,3,19:i:-")</f>
        <v>Salmonella 1,3,19:i:-</v>
      </c>
      <c r="B5695" t="str">
        <f ca="1">IFERROR(__xludf.DUMMYFUNCTION("""COMPUTED_VALUE"""),"RF-00000499-MCG")</f>
        <v>RF-00000499-MCG</v>
      </c>
    </row>
    <row r="5696" spans="1:2" ht="12.5" x14ac:dyDescent="0.25">
      <c r="A5696" t="str">
        <f ca="1">IFERROR(__xludf.DUMMYFUNCTION("""COMPUTED_VALUE"""),"Salmonella 1,3,19:z:-")</f>
        <v>Salmonella 1,3,19:z:-</v>
      </c>
      <c r="B5696" t="str">
        <f ca="1">IFERROR(__xludf.DUMMYFUNCTION("""COMPUTED_VALUE"""),"RF-00000500-MCG")</f>
        <v>RF-00000500-MCG</v>
      </c>
    </row>
    <row r="5697" spans="1:2" ht="12.5" x14ac:dyDescent="0.25">
      <c r="A5697" t="str">
        <f ca="1">IFERROR(__xludf.DUMMYFUNCTION("""COMPUTED_VALUE"""),"Salmonella 1,4,[5],12:i:-")</f>
        <v>Salmonella 1,4,[5],12:i:-</v>
      </c>
      <c r="B5697" t="str">
        <f ca="1">IFERROR(__xludf.DUMMYFUNCTION("""COMPUTED_VALUE"""),"RF-00000504-MCG")</f>
        <v>RF-00000504-MCG</v>
      </c>
    </row>
    <row r="5698" spans="1:2" ht="12.5" x14ac:dyDescent="0.25">
      <c r="A5698" t="str">
        <f ca="1">IFERROR(__xludf.DUMMYFUNCTION("""COMPUTED_VALUE"""),"Salmonella 1,4,12:-:1,2")</f>
        <v>Salmonella 1,4,12:-:1,2</v>
      </c>
      <c r="B5698" t="str">
        <f ca="1">IFERROR(__xludf.DUMMYFUNCTION("""COMPUTED_VALUE"""),"RF-00000501-MCG")</f>
        <v>RF-00000501-MCG</v>
      </c>
    </row>
    <row r="5699" spans="1:2" ht="12.5" x14ac:dyDescent="0.25">
      <c r="A5699" t="str">
        <f ca="1">IFERROR(__xludf.DUMMYFUNCTION("""COMPUTED_VALUE"""),"Salmonella 1,4,12:d:-")</f>
        <v>Salmonella 1,4,12:d:-</v>
      </c>
      <c r="B5699" t="str">
        <f ca="1">IFERROR(__xludf.DUMMYFUNCTION("""COMPUTED_VALUE"""),"RF-00000502-MCG")</f>
        <v>RF-00000502-MCG</v>
      </c>
    </row>
    <row r="5700" spans="1:2" ht="12.5" x14ac:dyDescent="0.25">
      <c r="A5700" t="str">
        <f ca="1">IFERROR(__xludf.DUMMYFUNCTION("""COMPUTED_VALUE"""),"Salmonella 1,40:z4,z24:-")</f>
        <v>Salmonella 1,40:z4,z24:-</v>
      </c>
      <c r="B5700" t="str">
        <f ca="1">IFERROR(__xludf.DUMMYFUNCTION("""COMPUTED_VALUE"""),"RF-00000505-MCG")</f>
        <v>RF-00000505-MCG</v>
      </c>
    </row>
    <row r="5701" spans="1:2" ht="12.5" x14ac:dyDescent="0.25">
      <c r="A5701" t="str">
        <f ca="1">IFERROR(__xludf.DUMMYFUNCTION("""COMPUTED_VALUE"""),"Salmonella 1,9,12:-:-")</f>
        <v>Salmonella 1,9,12:-:-</v>
      </c>
      <c r="B5701" t="str">
        <f ca="1">IFERROR(__xludf.DUMMYFUNCTION("""COMPUTED_VALUE"""),"RF-00000508-MCG")</f>
        <v>RF-00000508-MCG</v>
      </c>
    </row>
    <row r="5702" spans="1:2" ht="12.5" x14ac:dyDescent="0.25">
      <c r="A5702" t="str">
        <f ca="1">IFERROR(__xludf.DUMMYFUNCTION("""COMPUTED_VALUE"""),"Salmonella 1,9,12:l,v:-")</f>
        <v>Salmonella 1,9,12:l,v:-</v>
      </c>
      <c r="B5702" t="str">
        <f ca="1">IFERROR(__xludf.DUMMYFUNCTION("""COMPUTED_VALUE"""),"RF-00000396-MCG")</f>
        <v>RF-00000396-MCG</v>
      </c>
    </row>
    <row r="5703" spans="1:2" ht="12.5" x14ac:dyDescent="0.25">
      <c r="A5703" t="str">
        <f ca="1">IFERROR(__xludf.DUMMYFUNCTION("""COMPUTED_VALUE"""),"Salmonella 13,22:-:-")</f>
        <v>Salmonella 13,22:-:-</v>
      </c>
      <c r="B5703" t="str">
        <f ca="1">IFERROR(__xludf.DUMMYFUNCTION("""COMPUTED_VALUE"""),"RF-00000343-MCG")</f>
        <v>RF-00000343-MCG</v>
      </c>
    </row>
    <row r="5704" spans="1:2" ht="12.5" x14ac:dyDescent="0.25">
      <c r="A5704" t="str">
        <f ca="1">IFERROR(__xludf.DUMMYFUNCTION("""COMPUTED_VALUE"""),"Salmonella 13,22:-:1,6")</f>
        <v>Salmonella 13,22:-:1,6</v>
      </c>
      <c r="B5704" t="str">
        <f ca="1">IFERROR(__xludf.DUMMYFUNCTION("""COMPUTED_VALUE"""),"RF-00000342-MCG")</f>
        <v>RF-00000342-MCG</v>
      </c>
    </row>
    <row r="5705" spans="1:2" ht="12.5" x14ac:dyDescent="0.25">
      <c r="A5705" t="str">
        <f ca="1">IFERROR(__xludf.DUMMYFUNCTION("""COMPUTED_VALUE"""),"Salmonella 13,22:z29:1,5")</f>
        <v>Salmonella 13,22:z29:1,5</v>
      </c>
      <c r="B5705" t="str">
        <f ca="1">IFERROR(__xludf.DUMMYFUNCTION("""COMPUTED_VALUE"""),"RF-00000341-MCG")</f>
        <v>RF-00000341-MCG</v>
      </c>
    </row>
    <row r="5706" spans="1:2" ht="12.5" x14ac:dyDescent="0.25">
      <c r="A5706" t="str">
        <f ca="1">IFERROR(__xludf.DUMMYFUNCTION("""COMPUTED_VALUE"""),"Salmonella 13,23:-:-")</f>
        <v>Salmonella 13,23:-:-</v>
      </c>
      <c r="B5706" t="str">
        <f ca="1">IFERROR(__xludf.DUMMYFUNCTION("""COMPUTED_VALUE"""),"RF-00000340-MCG")</f>
        <v>RF-00000340-MCG</v>
      </c>
    </row>
    <row r="5707" spans="1:2" ht="12.5" x14ac:dyDescent="0.25">
      <c r="A5707" t="str">
        <f ca="1">IFERROR(__xludf.DUMMYFUNCTION("""COMPUTED_VALUE"""),"Salmonella 13,23:-:l,w:-")</f>
        <v>Salmonella 13,23:-:l,w:-</v>
      </c>
      <c r="B5707" t="str">
        <f ca="1">IFERROR(__xludf.DUMMYFUNCTION("""COMPUTED_VALUE"""),"RF-00000339-MCG")</f>
        <v>RF-00000339-MCG</v>
      </c>
    </row>
    <row r="5708" spans="1:2" ht="12.5" x14ac:dyDescent="0.25">
      <c r="A5708" t="str">
        <f ca="1">IFERROR(__xludf.DUMMYFUNCTION("""COMPUTED_VALUE"""),"Salmonella 13,23:d:-")</f>
        <v>Salmonella 13,23:d:-</v>
      </c>
      <c r="B5708" t="str">
        <f ca="1">IFERROR(__xludf.DUMMYFUNCTION("""COMPUTED_VALUE"""),"RF-00000338-MCG")</f>
        <v>RF-00000338-MCG</v>
      </c>
    </row>
    <row r="5709" spans="1:2" ht="12.5" x14ac:dyDescent="0.25">
      <c r="A5709" t="str">
        <f ca="1">IFERROR(__xludf.DUMMYFUNCTION("""COMPUTED_VALUE"""),"Salmonella 13,23:i:-")</f>
        <v>Salmonella 13,23:i:-</v>
      </c>
      <c r="B5709" t="str">
        <f ca="1">IFERROR(__xludf.DUMMYFUNCTION("""COMPUTED_VALUE"""),"RF-00000337-MCG")</f>
        <v>RF-00000337-MCG</v>
      </c>
    </row>
    <row r="5710" spans="1:2" ht="12.5" x14ac:dyDescent="0.25">
      <c r="A5710" t="str">
        <f ca="1">IFERROR(__xludf.DUMMYFUNCTION("""COMPUTED_VALUE"""),"Salmonella 13,23:z:-")</f>
        <v>Salmonella 13,23:z:-</v>
      </c>
      <c r="B5710" t="str">
        <f ca="1">IFERROR(__xludf.DUMMYFUNCTION("""COMPUTED_VALUE"""),"RF-00000336-MCG")</f>
        <v>RF-00000336-MCG</v>
      </c>
    </row>
    <row r="5711" spans="1:2" ht="12.5" x14ac:dyDescent="0.25">
      <c r="A5711" t="str">
        <f ca="1">IFERROR(__xludf.DUMMYFUNCTION("""COMPUTED_VALUE"""),"Salmonella 13:-:-")</f>
        <v>Salmonella 13:-:-</v>
      </c>
      <c r="B5711" t="str">
        <f ca="1">IFERROR(__xludf.DUMMYFUNCTION("""COMPUTED_VALUE"""),"RF-00000324-MCG")</f>
        <v>RF-00000324-MCG</v>
      </c>
    </row>
    <row r="5712" spans="1:2" ht="12.5" x14ac:dyDescent="0.25">
      <c r="A5712" t="str">
        <f ca="1">IFERROR(__xludf.DUMMYFUNCTION("""COMPUTED_VALUE"""),"Salmonella 16:-:1,5")</f>
        <v>Salmonella 16:-:1,5</v>
      </c>
      <c r="B5712" t="str">
        <f ca="1">IFERROR(__xludf.DUMMYFUNCTION("""COMPUTED_VALUE"""),"RF-00000334-MCG")</f>
        <v>RF-00000334-MCG</v>
      </c>
    </row>
    <row r="5713" spans="1:2" ht="12.5" x14ac:dyDescent="0.25">
      <c r="A5713" t="str">
        <f ca="1">IFERROR(__xludf.DUMMYFUNCTION("""COMPUTED_VALUE"""),"Salmonella 16:d:-")</f>
        <v>Salmonella 16:d:-</v>
      </c>
      <c r="B5713" t="str">
        <f ca="1">IFERROR(__xludf.DUMMYFUNCTION("""COMPUTED_VALUE"""),"RF-00000345-MCG")</f>
        <v>RF-00000345-MCG</v>
      </c>
    </row>
    <row r="5714" spans="1:2" ht="12.5" x14ac:dyDescent="0.25">
      <c r="A5714" t="str">
        <f ca="1">IFERROR(__xludf.DUMMYFUNCTION("""COMPUTED_VALUE"""),"Salmonella 18:-:-")</f>
        <v>Salmonella 18:-:-</v>
      </c>
      <c r="B5714" t="str">
        <f ca="1">IFERROR(__xludf.DUMMYFUNCTION("""COMPUTED_VALUE"""),"RF-00000332-MCG")</f>
        <v>RF-00000332-MCG</v>
      </c>
    </row>
    <row r="5715" spans="1:2" ht="12.5" x14ac:dyDescent="0.25">
      <c r="A5715" t="str">
        <f ca="1">IFERROR(__xludf.DUMMYFUNCTION("""COMPUTED_VALUE"""),"Salmonella 21:-:-")</f>
        <v>Salmonella 21:-:-</v>
      </c>
      <c r="B5715" t="str">
        <f ca="1">IFERROR(__xludf.DUMMYFUNCTION("""COMPUTED_VALUE"""),"RF-00000331-MCG")</f>
        <v>RF-00000331-MCG</v>
      </c>
    </row>
    <row r="5716" spans="1:2" ht="12.5" x14ac:dyDescent="0.25">
      <c r="A5716" t="str">
        <f ca="1">IFERROR(__xludf.DUMMYFUNCTION("""COMPUTED_VALUE"""),"Salmonella 21:l,v:z")</f>
        <v>Salmonella 21:l,v:z</v>
      </c>
      <c r="B5716" t="str">
        <f ca="1">IFERROR(__xludf.DUMMYFUNCTION("""COMPUTED_VALUE"""),"RF-00000330-MCG")</f>
        <v>RF-00000330-MCG</v>
      </c>
    </row>
    <row r="5717" spans="1:2" ht="12.5" x14ac:dyDescent="0.25">
      <c r="A5717" t="str">
        <f ca="1">IFERROR(__xludf.DUMMYFUNCTION("""COMPUTED_VALUE"""),"Salmonella 3,10: y:-")</f>
        <v>Salmonella 3,10: y:-</v>
      </c>
      <c r="B5717" t="str">
        <f ca="1">IFERROR(__xludf.DUMMYFUNCTION("""COMPUTED_VALUE"""),"RF-00000329-MCG")</f>
        <v>RF-00000329-MCG</v>
      </c>
    </row>
    <row r="5718" spans="1:2" ht="12.5" x14ac:dyDescent="0.25">
      <c r="A5718" t="str">
        <f ca="1">IFERROR(__xludf.DUMMYFUNCTION("""COMPUTED_VALUE"""),"Salmonella 3,10:-:-")</f>
        <v>Salmonella 3,10:-:-</v>
      </c>
      <c r="B5718" t="str">
        <f ca="1">IFERROR(__xludf.DUMMYFUNCTION("""COMPUTED_VALUE"""),"RF-00000328-MCG")</f>
        <v>RF-00000328-MCG</v>
      </c>
    </row>
    <row r="5719" spans="1:2" ht="12.5" x14ac:dyDescent="0.25">
      <c r="A5719" t="str">
        <f ca="1">IFERROR(__xludf.DUMMYFUNCTION("""COMPUTED_VALUE"""),"Salmonella 3,10:-:1,5")</f>
        <v>Salmonella 3,10:-:1,5</v>
      </c>
      <c r="B5719" t="str">
        <f ca="1">IFERROR(__xludf.DUMMYFUNCTION("""COMPUTED_VALUE"""),"RF-00000326-MCG")</f>
        <v>RF-00000326-MCG</v>
      </c>
    </row>
    <row r="5720" spans="1:2" ht="12.5" x14ac:dyDescent="0.25">
      <c r="A5720" t="str">
        <f ca="1">IFERROR(__xludf.DUMMYFUNCTION("""COMPUTED_VALUE"""),"Salmonella 3,10:-:1,6")</f>
        <v>Salmonella 3,10:-:1,6</v>
      </c>
      <c r="B5720" t="str">
        <f ca="1">IFERROR(__xludf.DUMMYFUNCTION("""COMPUTED_VALUE"""),"RF-00000344-MCG")</f>
        <v>RF-00000344-MCG</v>
      </c>
    </row>
    <row r="5721" spans="1:2" ht="12.5" x14ac:dyDescent="0.25">
      <c r="A5721" t="str">
        <f ca="1">IFERROR(__xludf.DUMMYFUNCTION("""COMPUTED_VALUE"""),"Salmonella 3,10:-:1,7")</f>
        <v>Salmonella 3,10:-:1,7</v>
      </c>
      <c r="B5721" t="str">
        <f ca="1">IFERROR(__xludf.DUMMYFUNCTION("""COMPUTED_VALUE"""),"RF-00000314-MCG")</f>
        <v>RF-00000314-MCG</v>
      </c>
    </row>
    <row r="5722" spans="1:2" ht="12.5" x14ac:dyDescent="0.25">
      <c r="A5722" t="str">
        <f ca="1">IFERROR(__xludf.DUMMYFUNCTION("""COMPUTED_VALUE"""),"Salmonella 3,10:d:-")</f>
        <v>Salmonella 3,10:d:-</v>
      </c>
      <c r="B5722" t="str">
        <f ca="1">IFERROR(__xludf.DUMMYFUNCTION("""COMPUTED_VALUE"""),"RF-00000335-MCG")</f>
        <v>RF-00000335-MCG</v>
      </c>
    </row>
    <row r="5723" spans="1:2" ht="12.5" x14ac:dyDescent="0.25">
      <c r="A5723" t="str">
        <f ca="1">IFERROR(__xludf.DUMMYFUNCTION("""COMPUTED_VALUE"""),"Salmonella 3,10:i:-")</f>
        <v>Salmonella 3,10:i:-</v>
      </c>
      <c r="B5723" t="str">
        <f ca="1">IFERROR(__xludf.DUMMYFUNCTION("""COMPUTED_VALUE"""),"RF-00000333-MCG")</f>
        <v>RF-00000333-MCG</v>
      </c>
    </row>
    <row r="5724" spans="1:2" ht="12.5" x14ac:dyDescent="0.25">
      <c r="A5724" t="str">
        <f ca="1">IFERROR(__xludf.DUMMYFUNCTION("""COMPUTED_VALUE"""),"Salmonella 3,10:l,v:-")</f>
        <v>Salmonella 3,10:l,v:-</v>
      </c>
      <c r="B5724" t="str">
        <f ca="1">IFERROR(__xludf.DUMMYFUNCTION("""COMPUTED_VALUE"""),"RF-00000306-MCG")</f>
        <v>RF-00000306-MCG</v>
      </c>
    </row>
    <row r="5725" spans="1:2" ht="12.5" x14ac:dyDescent="0.25">
      <c r="A5725" t="str">
        <f ca="1">IFERROR(__xludf.DUMMYFUNCTION("""COMPUTED_VALUE"""),"Salmonella 3,15:-:-")</f>
        <v>Salmonella 3,15:-:-</v>
      </c>
      <c r="B5725" t="str">
        <f ca="1">IFERROR(__xludf.DUMMYFUNCTION("""COMPUTED_VALUE"""),"RF-00000307-MCG")</f>
        <v>RF-00000307-MCG</v>
      </c>
    </row>
    <row r="5726" spans="1:2" ht="12.5" x14ac:dyDescent="0.25">
      <c r="A5726" t="str">
        <f ca="1">IFERROR(__xludf.DUMMYFUNCTION("""COMPUTED_VALUE"""),"Salmonella 3,15:y:-")</f>
        <v>Salmonella 3,15:y:-</v>
      </c>
      <c r="B5726" t="str">
        <f ca="1">IFERROR(__xludf.DUMMYFUNCTION("""COMPUTED_VALUE"""),"RF-00000308-MCG")</f>
        <v>RF-00000308-MCG</v>
      </c>
    </row>
    <row r="5727" spans="1:2" ht="12.5" x14ac:dyDescent="0.25">
      <c r="A5727" t="str">
        <f ca="1">IFERROR(__xludf.DUMMYFUNCTION("""COMPUTED_VALUE"""),"Salmonella 3,19:-:-")</f>
        <v>Salmonella 3,19:-:-</v>
      </c>
      <c r="B5727" t="str">
        <f ca="1">IFERROR(__xludf.DUMMYFUNCTION("""COMPUTED_VALUE"""),"RF-00000309-MCG")</f>
        <v>RF-00000309-MCG</v>
      </c>
    </row>
    <row r="5728" spans="1:2" ht="12.5" x14ac:dyDescent="0.25">
      <c r="A5728" t="str">
        <f ca="1">IFERROR(__xludf.DUMMYFUNCTION("""COMPUTED_VALUE"""),"Salmonella 3.10:r:-")</f>
        <v>Salmonella 3.10:r:-</v>
      </c>
      <c r="B5728" t="str">
        <f ca="1">IFERROR(__xludf.DUMMYFUNCTION("""COMPUTED_VALUE"""),"RF-00000310-MCG")</f>
        <v>RF-00000310-MCG</v>
      </c>
    </row>
    <row r="5729" spans="1:2" ht="12.5" x14ac:dyDescent="0.25">
      <c r="A5729" t="str">
        <f ca="1">IFERROR(__xludf.DUMMYFUNCTION("""COMPUTED_VALUE"""),"Salmonella 38:z4,z23:-")</f>
        <v>Salmonella 38:z4,z23:-</v>
      </c>
      <c r="B5729" t="str">
        <f ca="1">IFERROR(__xludf.DUMMYFUNCTION("""COMPUTED_VALUE"""),"RF-00000311-MCG")</f>
        <v>RF-00000311-MCG</v>
      </c>
    </row>
    <row r="5730" spans="1:2" ht="12.5" x14ac:dyDescent="0.25">
      <c r="A5730" t="str">
        <f ca="1">IFERROR(__xludf.DUMMYFUNCTION("""COMPUTED_VALUE"""),"Salmonella 4,12:-:-")</f>
        <v>Salmonella 4,12:-:-</v>
      </c>
      <c r="B5730" t="str">
        <f ca="1">IFERROR(__xludf.DUMMYFUNCTION("""COMPUTED_VALUE"""),"RF-00000312-MCG")</f>
        <v>RF-00000312-MCG</v>
      </c>
    </row>
    <row r="5731" spans="1:2" ht="12.5" x14ac:dyDescent="0.25">
      <c r="A5731" t="str">
        <f ca="1">IFERROR(__xludf.DUMMYFUNCTION("""COMPUTED_VALUE"""),"Salmonella 4,12:-:1,2")</f>
        <v>Salmonella 4,12:-:1,2</v>
      </c>
      <c r="B5731" t="str">
        <f ca="1">IFERROR(__xludf.DUMMYFUNCTION("""COMPUTED_VALUE"""),"RF-00000323-MCG")</f>
        <v>RF-00000323-MCG</v>
      </c>
    </row>
    <row r="5732" spans="1:2" ht="12.5" x14ac:dyDescent="0.25">
      <c r="A5732" t="str">
        <f ca="1">IFERROR(__xludf.DUMMYFUNCTION("""COMPUTED_VALUE"""),"Salmonella 4,12:-:1,7")</f>
        <v>Salmonella 4,12:-:1,7</v>
      </c>
      <c r="B5732" t="str">
        <f ca="1">IFERROR(__xludf.DUMMYFUNCTION("""COMPUTED_VALUE"""),"RF-00000313-MCG")</f>
        <v>RF-00000313-MCG</v>
      </c>
    </row>
    <row r="5733" spans="1:2" ht="12.5" x14ac:dyDescent="0.25">
      <c r="A5733" t="str">
        <f ca="1">IFERROR(__xludf.DUMMYFUNCTION("""COMPUTED_VALUE"""),"Salmonella 4,12:a:-")</f>
        <v>Salmonella 4,12:a:-</v>
      </c>
      <c r="B5733" t="str">
        <f ca="1">IFERROR(__xludf.DUMMYFUNCTION("""COMPUTED_VALUE"""),"RF-00000305-MCG")</f>
        <v>RF-00000305-MCG</v>
      </c>
    </row>
    <row r="5734" spans="1:2" ht="12.5" x14ac:dyDescent="0.25">
      <c r="A5734" t="str">
        <f ca="1">IFERROR(__xludf.DUMMYFUNCTION("""COMPUTED_VALUE"""),"Salmonella 4,12:b:-")</f>
        <v>Salmonella 4,12:b:-</v>
      </c>
      <c r="B5734" t="str">
        <f ca="1">IFERROR(__xludf.DUMMYFUNCTION("""COMPUTED_VALUE"""),"RF-00000315-MCG")</f>
        <v>RF-00000315-MCG</v>
      </c>
    </row>
    <row r="5735" spans="1:2" ht="12.5" x14ac:dyDescent="0.25">
      <c r="A5735" t="str">
        <f ca="1">IFERROR(__xludf.DUMMYFUNCTION("""COMPUTED_VALUE"""),"Salmonella 4,12:c:-")</f>
        <v>Salmonella 4,12:c:-</v>
      </c>
      <c r="B5735" t="str">
        <f ca="1">IFERROR(__xludf.DUMMYFUNCTION("""COMPUTED_VALUE"""),"RF-00000316-MCG")</f>
        <v>RF-00000316-MCG</v>
      </c>
    </row>
    <row r="5736" spans="1:2" ht="12.5" x14ac:dyDescent="0.25">
      <c r="A5736" t="str">
        <f ca="1">IFERROR(__xludf.DUMMYFUNCTION("""COMPUTED_VALUE"""),"Salmonella 4,12:d:-")</f>
        <v>Salmonella 4,12:d:-</v>
      </c>
      <c r="B5736" t="str">
        <f ca="1">IFERROR(__xludf.DUMMYFUNCTION("""COMPUTED_VALUE"""),"RF-00000317-MCG")</f>
        <v>RF-00000317-MCG</v>
      </c>
    </row>
    <row r="5737" spans="1:2" ht="12.5" x14ac:dyDescent="0.25">
      <c r="A5737" t="str">
        <f ca="1">IFERROR(__xludf.DUMMYFUNCTION("""COMPUTED_VALUE"""),"Salmonella 4,12:e,h:-")</f>
        <v>Salmonella 4,12:e,h:-</v>
      </c>
      <c r="B5737" t="str">
        <f ca="1">IFERROR(__xludf.DUMMYFUNCTION("""COMPUTED_VALUE"""),"RF-00000318-MCG")</f>
        <v>RF-00000318-MCG</v>
      </c>
    </row>
    <row r="5738" spans="1:2" ht="12.5" x14ac:dyDescent="0.25">
      <c r="A5738" t="str">
        <f ca="1">IFERROR(__xludf.DUMMYFUNCTION("""COMPUTED_VALUE"""),"Salmonella 4,12:i:-")</f>
        <v>Salmonella 4,12:i:-</v>
      </c>
      <c r="B5738" t="str">
        <f ca="1">IFERROR(__xludf.DUMMYFUNCTION("""COMPUTED_VALUE"""),"RF-00000319-MCG")</f>
        <v>RF-00000319-MCG</v>
      </c>
    </row>
    <row r="5739" spans="1:2" ht="12.5" x14ac:dyDescent="0.25">
      <c r="A5739" t="str">
        <f ca="1">IFERROR(__xludf.DUMMYFUNCTION("""COMPUTED_VALUE"""),"Salmonella 4,12:l,v:-")</f>
        <v>Salmonella 4,12:l,v:-</v>
      </c>
      <c r="B5739" t="str">
        <f ca="1">IFERROR(__xludf.DUMMYFUNCTION("""COMPUTED_VALUE"""),"RF-00000320-MCG")</f>
        <v>RF-00000320-MCG</v>
      </c>
    </row>
    <row r="5740" spans="1:2" ht="12.5" x14ac:dyDescent="0.25">
      <c r="A5740" t="str">
        <f ca="1">IFERROR(__xludf.DUMMYFUNCTION("""COMPUTED_VALUE"""),"Salmonella 4,12:r:-")</f>
        <v>Salmonella 4,12:r:-</v>
      </c>
      <c r="B5740" t="str">
        <f ca="1">IFERROR(__xludf.DUMMYFUNCTION("""COMPUTED_VALUE"""),"RF-00000321-MCG")</f>
        <v>RF-00000321-MCG</v>
      </c>
    </row>
    <row r="5741" spans="1:2" ht="12.5" x14ac:dyDescent="0.25">
      <c r="A5741" t="str">
        <f ca="1">IFERROR(__xludf.DUMMYFUNCTION("""COMPUTED_VALUE"""),"Salmonella 4,12:z:-")</f>
        <v>Salmonella 4,12:z:-</v>
      </c>
      <c r="B5741" t="str">
        <f ca="1">IFERROR(__xludf.DUMMYFUNCTION("""COMPUTED_VALUE"""),"RF-00000322-MCG")</f>
        <v>RF-00000322-MCG</v>
      </c>
    </row>
    <row r="5742" spans="1:2" ht="12.5" x14ac:dyDescent="0.25">
      <c r="A5742" t="str">
        <f ca="1">IFERROR(__xludf.DUMMYFUNCTION("""COMPUTED_VALUE"""),"Salmonella 4,5,12:-:-")</f>
        <v>Salmonella 4,5,12:-:-</v>
      </c>
      <c r="B5742" t="str">
        <f ca="1">IFERROR(__xludf.DUMMYFUNCTION("""COMPUTED_VALUE"""),"RF-00000327-MCG")</f>
        <v>RF-00000327-MCG</v>
      </c>
    </row>
    <row r="5743" spans="1:2" ht="12.5" x14ac:dyDescent="0.25">
      <c r="A5743" t="str">
        <f ca="1">IFERROR(__xludf.DUMMYFUNCTION("""COMPUTED_VALUE"""),"Salmonella 4,5,12:-:1,2")</f>
        <v>Salmonella 4,5,12:-:1,2</v>
      </c>
      <c r="B5743" t="str">
        <f ca="1">IFERROR(__xludf.DUMMYFUNCTION("""COMPUTED_VALUE"""),"RF-00000418-MCG")</f>
        <v>RF-00000418-MCG</v>
      </c>
    </row>
    <row r="5744" spans="1:2" ht="12.5" x14ac:dyDescent="0.25">
      <c r="A5744" t="str">
        <f ca="1">IFERROR(__xludf.DUMMYFUNCTION("""COMPUTED_VALUE"""),"Salmonella 4,5,12:-:1,5")</f>
        <v>Salmonella 4,5,12:-:1,5</v>
      </c>
      <c r="B5744" t="str">
        <f ca="1">IFERROR(__xludf.DUMMYFUNCTION("""COMPUTED_VALUE"""),"RF-00000399-MCG")</f>
        <v>RF-00000399-MCG</v>
      </c>
    </row>
    <row r="5745" spans="1:2" ht="12.5" x14ac:dyDescent="0.25">
      <c r="A5745" t="str">
        <f ca="1">IFERROR(__xludf.DUMMYFUNCTION("""COMPUTED_VALUE"""),"Salmonella 4,5,12:b:-")</f>
        <v>Salmonella 4,5,12:b:-</v>
      </c>
      <c r="B5745" t="str">
        <f ca="1">IFERROR(__xludf.DUMMYFUNCTION("""COMPUTED_VALUE"""),"RF-00000398-MCG")</f>
        <v>RF-00000398-MCG</v>
      </c>
    </row>
    <row r="5746" spans="1:2" ht="12.5" x14ac:dyDescent="0.25">
      <c r="A5746" t="str">
        <f ca="1">IFERROR(__xludf.DUMMYFUNCTION("""COMPUTED_VALUE"""),"Salmonella 4,5,12:d:-")</f>
        <v>Salmonella 4,5,12:d:-</v>
      </c>
      <c r="B5746" t="str">
        <f ca="1">IFERROR(__xludf.DUMMYFUNCTION("""COMPUTED_VALUE"""),"RF-00000397-MCG")</f>
        <v>RF-00000397-MCG</v>
      </c>
    </row>
    <row r="5747" spans="1:2" ht="12.5" x14ac:dyDescent="0.25">
      <c r="A5747" t="str">
        <f ca="1">IFERROR(__xludf.DUMMYFUNCTION("""COMPUTED_VALUE"""),"Salmonella 4,5,12:e,h:-")</f>
        <v>Salmonella 4,5,12:e,h:-</v>
      </c>
      <c r="B5747" t="str">
        <f ca="1">IFERROR(__xludf.DUMMYFUNCTION("""COMPUTED_VALUE"""),"RF-00000362-MCG")</f>
        <v>RF-00000362-MCG</v>
      </c>
    </row>
    <row r="5748" spans="1:2" ht="12.5" x14ac:dyDescent="0.25">
      <c r="A5748" t="str">
        <f ca="1">IFERROR(__xludf.DUMMYFUNCTION("""COMPUTED_VALUE"""),"Salmonella 4,5,12:i:-")</f>
        <v>Salmonella 4,5,12:i:-</v>
      </c>
      <c r="B5748" t="str">
        <f ca="1">IFERROR(__xludf.DUMMYFUNCTION("""COMPUTED_VALUE"""),"RF-00000395-MCG")</f>
        <v>RF-00000395-MCG</v>
      </c>
    </row>
    <row r="5749" spans="1:2" ht="12.5" x14ac:dyDescent="0.25">
      <c r="A5749" t="str">
        <f ca="1">IFERROR(__xludf.DUMMYFUNCTION("""COMPUTED_VALUE"""),"Salmonella 4,5:i:-")</f>
        <v>Salmonella 4,5:i:-</v>
      </c>
      <c r="B5749" t="str">
        <f ca="1">IFERROR(__xludf.DUMMYFUNCTION("""COMPUTED_VALUE"""),"RF-00000325-MCG")</f>
        <v>RF-00000325-MCG</v>
      </c>
    </row>
    <row r="5750" spans="1:2" ht="12.5" x14ac:dyDescent="0.25">
      <c r="A5750" t="str">
        <f ca="1">IFERROR(__xludf.DUMMYFUNCTION("""COMPUTED_VALUE"""),"Salmonella 4:b:-")</f>
        <v>Salmonella 4:b:-</v>
      </c>
      <c r="B5750" t="str">
        <f ca="1">IFERROR(__xludf.DUMMYFUNCTION("""COMPUTED_VALUE"""),"RF-00001316-PAR")</f>
        <v>RF-00001316-PAR</v>
      </c>
    </row>
    <row r="5751" spans="1:2" ht="12.5" x14ac:dyDescent="0.25">
      <c r="A5751" t="str">
        <f ca="1">IFERROR(__xludf.DUMMYFUNCTION("""COMPUTED_VALUE"""),"Salmonella 40:z4,z24:-")</f>
        <v>Salmonella 40:z4,z24:-</v>
      </c>
      <c r="B5751" t="str">
        <f ca="1">IFERROR(__xludf.DUMMYFUNCTION("""COMPUTED_VALUE"""),"RF-00000394-MCG")</f>
        <v>RF-00000394-MCG</v>
      </c>
    </row>
    <row r="5752" spans="1:2" ht="12.5" x14ac:dyDescent="0.25">
      <c r="A5752" t="str">
        <f ca="1">IFERROR(__xludf.DUMMYFUNCTION("""COMPUTED_VALUE"""),"Salmonella 41:z4,z24:-")</f>
        <v>Salmonella 41:z4,z24:-</v>
      </c>
      <c r="B5752" t="str">
        <f ca="1">IFERROR(__xludf.DUMMYFUNCTION("""COMPUTED_VALUE"""),"RF-00000393-MCG")</f>
        <v>RF-00000393-MCG</v>
      </c>
    </row>
    <row r="5753" spans="1:2" ht="12.5" x14ac:dyDescent="0.25">
      <c r="A5753" t="str">
        <f ca="1">IFERROR(__xludf.DUMMYFUNCTION("""COMPUTED_VALUE"""),"Salmonella 42:-:-")</f>
        <v>Salmonella 42:-:-</v>
      </c>
      <c r="B5753" t="str">
        <f ca="1">IFERROR(__xludf.DUMMYFUNCTION("""COMPUTED_VALUE"""),"RF-00000383-MCG")</f>
        <v>RF-00000383-MCG</v>
      </c>
    </row>
    <row r="5754" spans="1:2" ht="12.5" x14ac:dyDescent="0.25">
      <c r="A5754" t="str">
        <f ca="1">IFERROR(__xludf.DUMMYFUNCTION("""COMPUTED_VALUE"""),"Salmonella 44:d:-")</f>
        <v>Salmonella 44:d:-</v>
      </c>
      <c r="B5754" t="str">
        <f ca="1">IFERROR(__xludf.DUMMYFUNCTION("""COMPUTED_VALUE"""),"RF-00000391-MCG")</f>
        <v>RF-00000391-MCG</v>
      </c>
    </row>
    <row r="5755" spans="1:2" ht="12.5" x14ac:dyDescent="0.25">
      <c r="A5755" t="str">
        <f ca="1">IFERROR(__xludf.DUMMYFUNCTION("""COMPUTED_VALUE"""),"Salmonella 45:z4,z24:-")</f>
        <v>Salmonella 45:z4,z24:-</v>
      </c>
      <c r="B5755" t="str">
        <f ca="1">IFERROR(__xludf.DUMMYFUNCTION("""COMPUTED_VALUE"""),"RF-00000400-MCG")</f>
        <v>RF-00000400-MCG</v>
      </c>
    </row>
    <row r="5756" spans="1:2" ht="12.5" x14ac:dyDescent="0.25">
      <c r="A5756" t="str">
        <f ca="1">IFERROR(__xludf.DUMMYFUNCTION("""COMPUTED_VALUE"""),"Salmonella 47:z4z23:-")</f>
        <v>Salmonella 47:z4z23:-</v>
      </c>
      <c r="B5756" t="str">
        <f ca="1">IFERROR(__xludf.DUMMYFUNCTION("""COMPUTED_VALUE"""),"RF-00000389-MCG")</f>
        <v>RF-00000389-MCG</v>
      </c>
    </row>
    <row r="5757" spans="1:2" ht="12.5" x14ac:dyDescent="0.25">
      <c r="A5757" t="str">
        <f ca="1">IFERROR(__xludf.DUMMYFUNCTION("""COMPUTED_VALUE"""),"Salmonella 48:a:-")</f>
        <v>Salmonella 48:a:-</v>
      </c>
      <c r="B5757" t="str">
        <f ca="1">IFERROR(__xludf.DUMMYFUNCTION("""COMPUTED_VALUE"""),"RF-00000388-MCG")</f>
        <v>RF-00000388-MCG</v>
      </c>
    </row>
    <row r="5758" spans="1:2" ht="12.5" x14ac:dyDescent="0.25">
      <c r="A5758" t="str">
        <f ca="1">IFERROR(__xludf.DUMMYFUNCTION("""COMPUTED_VALUE"""),"Salmonella 48:z4z,24:-")</f>
        <v>Salmonella 48:z4z,24:-</v>
      </c>
      <c r="B5758" t="str">
        <f ca="1">IFERROR(__xludf.DUMMYFUNCTION("""COMPUTED_VALUE"""),"RF-00000387-MCG")</f>
        <v>RF-00000387-MCG</v>
      </c>
    </row>
    <row r="5759" spans="1:2" ht="12.5" x14ac:dyDescent="0.25">
      <c r="A5759" t="str">
        <f ca="1">IFERROR(__xludf.DUMMYFUNCTION("""COMPUTED_VALUE"""),"Salmonella 58:-:-")</f>
        <v>Salmonella 58:-:-</v>
      </c>
      <c r="B5759" t="str">
        <f ca="1">IFERROR(__xludf.DUMMYFUNCTION("""COMPUTED_VALUE"""),"RF-00000386-MCG")</f>
        <v>RF-00000386-MCG</v>
      </c>
    </row>
    <row r="5760" spans="1:2" ht="12.5" x14ac:dyDescent="0.25">
      <c r="A5760" t="str">
        <f ca="1">IFERROR(__xludf.DUMMYFUNCTION("""COMPUTED_VALUE"""),"Salmonella 6,14:l,v:z")</f>
        <v>Salmonella 6,14:l,v:z</v>
      </c>
      <c r="B5760" t="str">
        <f ca="1">IFERROR(__xludf.DUMMYFUNCTION("""COMPUTED_VALUE"""),"RF-00000385-MCG")</f>
        <v>RF-00000385-MCG</v>
      </c>
    </row>
    <row r="5761" spans="1:2" ht="12.5" x14ac:dyDescent="0.25">
      <c r="A5761" t="str">
        <f ca="1">IFERROR(__xludf.DUMMYFUNCTION("""COMPUTED_VALUE"""),"Salmonella 6,7:-:-")</f>
        <v>Salmonella 6,7:-:-</v>
      </c>
      <c r="B5761" t="str">
        <f ca="1">IFERROR(__xludf.DUMMYFUNCTION("""COMPUTED_VALUE"""),"RF-00000384-MCG")</f>
        <v>RF-00000384-MCG</v>
      </c>
    </row>
    <row r="5762" spans="1:2" ht="12.5" x14ac:dyDescent="0.25">
      <c r="A5762" t="str">
        <f ca="1">IFERROR(__xludf.DUMMYFUNCTION("""COMPUTED_VALUE"""),"Salmonella 6,7:-:1,5")</f>
        <v>Salmonella 6,7:-:1,5</v>
      </c>
      <c r="B5762" t="str">
        <f ca="1">IFERROR(__xludf.DUMMYFUNCTION("""COMPUTED_VALUE"""),"RF-00000409-MCG")</f>
        <v>RF-00000409-MCG</v>
      </c>
    </row>
    <row r="5763" spans="1:2" ht="12.5" x14ac:dyDescent="0.25">
      <c r="A5763" t="str">
        <f ca="1">IFERROR(__xludf.DUMMYFUNCTION("""COMPUTED_VALUE"""),"Salmonella 6,7:-:e,n,z15")</f>
        <v>Salmonella 6,7:-:e,n,z15</v>
      </c>
      <c r="B5763" t="str">
        <f ca="1">IFERROR(__xludf.DUMMYFUNCTION("""COMPUTED_VALUE"""),"RF-00000411-MCG")</f>
        <v>RF-00000411-MCG</v>
      </c>
    </row>
    <row r="5764" spans="1:2" ht="12.5" x14ac:dyDescent="0.25">
      <c r="A5764" t="str">
        <f ca="1">IFERROR(__xludf.DUMMYFUNCTION("""COMPUTED_VALUE"""),"Salmonella 6,7:-:l,w")</f>
        <v>Salmonella 6,7:-:l,w</v>
      </c>
      <c r="B5764" t="str">
        <f ca="1">IFERROR(__xludf.DUMMYFUNCTION("""COMPUTED_VALUE"""),"RF-00000392-MCG")</f>
        <v>RF-00000392-MCG</v>
      </c>
    </row>
    <row r="5765" spans="1:2" ht="12.5" x14ac:dyDescent="0.25">
      <c r="A5765" t="str">
        <f ca="1">IFERROR(__xludf.DUMMYFUNCTION("""COMPUTED_VALUE"""),"Salmonella 6,7:b:-")</f>
        <v>Salmonella 6,7:b:-</v>
      </c>
      <c r="B5765" t="str">
        <f ca="1">IFERROR(__xludf.DUMMYFUNCTION("""COMPUTED_VALUE"""),"RF-00000417-MCG")</f>
        <v>RF-00000417-MCG</v>
      </c>
    </row>
    <row r="5766" spans="1:2" ht="12.5" x14ac:dyDescent="0.25">
      <c r="A5766" t="str">
        <f ca="1">IFERROR(__xludf.DUMMYFUNCTION("""COMPUTED_VALUE"""),"Salmonella 6,7:d:-")</f>
        <v>Salmonella 6,7:d:-</v>
      </c>
      <c r="B5766" t="str">
        <f ca="1">IFERROR(__xludf.DUMMYFUNCTION("""COMPUTED_VALUE"""),"RF-00000416-MCG")</f>
        <v>RF-00000416-MCG</v>
      </c>
    </row>
    <row r="5767" spans="1:2" ht="12.5" x14ac:dyDescent="0.25">
      <c r="A5767" t="str">
        <f ca="1">IFERROR(__xludf.DUMMYFUNCTION("""COMPUTED_VALUE"""),"Salmonella 6,7:i:-")</f>
        <v>Salmonella 6,7:i:-</v>
      </c>
      <c r="B5767" t="str">
        <f ca="1">IFERROR(__xludf.DUMMYFUNCTION("""COMPUTED_VALUE"""),"RF-00000415-MCG")</f>
        <v>RF-00000415-MCG</v>
      </c>
    </row>
    <row r="5768" spans="1:2" ht="12.5" x14ac:dyDescent="0.25">
      <c r="A5768" t="str">
        <f ca="1">IFERROR(__xludf.DUMMYFUNCTION("""COMPUTED_VALUE"""),"Salmonella 6,7:r:-")</f>
        <v>Salmonella 6,7:r:-</v>
      </c>
      <c r="B5768" t="str">
        <f ca="1">IFERROR(__xludf.DUMMYFUNCTION("""COMPUTED_VALUE"""),"RF-00000414-MCG")</f>
        <v>RF-00000414-MCG</v>
      </c>
    </row>
    <row r="5769" spans="1:2" ht="12.5" x14ac:dyDescent="0.25">
      <c r="A5769" t="str">
        <f ca="1">IFERROR(__xludf.DUMMYFUNCTION("""COMPUTED_VALUE"""),"Salmonella 6,7:y:-")</f>
        <v>Salmonella 6,7:y:-</v>
      </c>
      <c r="B5769" t="str">
        <f ca="1">IFERROR(__xludf.DUMMYFUNCTION("""COMPUTED_VALUE"""),"RF-00001317-PAR")</f>
        <v>RF-00001317-PAR</v>
      </c>
    </row>
    <row r="5770" spans="1:2" ht="12.5" x14ac:dyDescent="0.25">
      <c r="A5770" t="str">
        <f ca="1">IFERROR(__xludf.DUMMYFUNCTION("""COMPUTED_VALUE"""),"Salmonella 6,7:z10:-")</f>
        <v>Salmonella 6,7:z10:-</v>
      </c>
      <c r="B5770" t="str">
        <f ca="1">IFERROR(__xludf.DUMMYFUNCTION("""COMPUTED_VALUE"""),"RF-00000413-MCG")</f>
        <v>RF-00000413-MCG</v>
      </c>
    </row>
    <row r="5771" spans="1:2" ht="12.5" x14ac:dyDescent="0.25">
      <c r="A5771" t="str">
        <f ca="1">IFERROR(__xludf.DUMMYFUNCTION("""COMPUTED_VALUE"""),"Salmonella 6,7:z24")</f>
        <v>Salmonella 6,7:z24</v>
      </c>
      <c r="B5771" t="str">
        <f ca="1">IFERROR(__xludf.DUMMYFUNCTION("""COMPUTED_VALUE"""),"RF-00000412-MCG")</f>
        <v>RF-00000412-MCG</v>
      </c>
    </row>
    <row r="5772" spans="1:2" ht="12.5" x14ac:dyDescent="0.25">
      <c r="A5772" t="str">
        <f ca="1">IFERROR(__xludf.DUMMYFUNCTION("""COMPUTED_VALUE"""),"Salmonella 6,8,20:r:-")</f>
        <v>Salmonella 6,8,20:r:-</v>
      </c>
      <c r="B5772" t="str">
        <f ca="1">IFERROR(__xludf.DUMMYFUNCTION("""COMPUTED_VALUE"""),"RF-00000401-MCG")</f>
        <v>RF-00000401-MCG</v>
      </c>
    </row>
    <row r="5773" spans="1:2" ht="12.5" x14ac:dyDescent="0.25">
      <c r="A5773" t="str">
        <f ca="1">IFERROR(__xludf.DUMMYFUNCTION("""COMPUTED_VALUE"""),"Salmonella 6,8:-:-")</f>
        <v>Salmonella 6,8:-:-</v>
      </c>
      <c r="B5773" t="str">
        <f ca="1">IFERROR(__xludf.DUMMYFUNCTION("""COMPUTED_VALUE"""),"RF-00000410-MCG")</f>
        <v>RF-00000410-MCG</v>
      </c>
    </row>
    <row r="5774" spans="1:2" ht="12.5" x14ac:dyDescent="0.25">
      <c r="A5774" t="str">
        <f ca="1">IFERROR(__xludf.DUMMYFUNCTION("""COMPUTED_VALUE"""),"Salmonella 6,8:-:1,5")</f>
        <v>Salmonella 6,8:-:1,5</v>
      </c>
      <c r="B5774" t="str">
        <f ca="1">IFERROR(__xludf.DUMMYFUNCTION("""COMPUTED_VALUE"""),"RF-00000419-MCG")</f>
        <v>RF-00000419-MCG</v>
      </c>
    </row>
    <row r="5775" spans="1:2" ht="12.5" x14ac:dyDescent="0.25">
      <c r="A5775" t="str">
        <f ca="1">IFERROR(__xludf.DUMMYFUNCTION("""COMPUTED_VALUE"""),"Salmonella 6,8:d:-")</f>
        <v>Salmonella 6,8:d:-</v>
      </c>
      <c r="B5775" t="str">
        <f ca="1">IFERROR(__xludf.DUMMYFUNCTION("""COMPUTED_VALUE"""),"RF-00000408-MCG")</f>
        <v>RF-00000408-MCG</v>
      </c>
    </row>
    <row r="5776" spans="1:2" ht="12.5" x14ac:dyDescent="0.25">
      <c r="A5776" t="str">
        <f ca="1">IFERROR(__xludf.DUMMYFUNCTION("""COMPUTED_VALUE"""),"Salmonella 6,8:e,h:-")</f>
        <v>Salmonella 6,8:e,h:-</v>
      </c>
      <c r="B5776" t="str">
        <f ca="1">IFERROR(__xludf.DUMMYFUNCTION("""COMPUTED_VALUE"""),"RF-00000407-MCG")</f>
        <v>RF-00000407-MCG</v>
      </c>
    </row>
    <row r="5777" spans="1:2" ht="12.5" x14ac:dyDescent="0.25">
      <c r="A5777" t="str">
        <f ca="1">IFERROR(__xludf.DUMMYFUNCTION("""COMPUTED_VALUE"""),"Salmonella 6,8:z10:-")</f>
        <v>Salmonella 6,8:z10:-</v>
      </c>
      <c r="B5777" t="str">
        <f ca="1">IFERROR(__xludf.DUMMYFUNCTION("""COMPUTED_VALUE"""),"RF-00000406-MCG")</f>
        <v>RF-00000406-MCG</v>
      </c>
    </row>
    <row r="5778" spans="1:2" ht="12.5" x14ac:dyDescent="0.25">
      <c r="A5778" t="str">
        <f ca="1">IFERROR(__xludf.DUMMYFUNCTION("""COMPUTED_VALUE"""),"Salmonella 8,20:-:-")</f>
        <v>Salmonella 8,20:-:-</v>
      </c>
      <c r="B5778" t="str">
        <f ca="1">IFERROR(__xludf.DUMMYFUNCTION("""COMPUTED_VALUE"""),"RF-00000405-MCG")</f>
        <v>RF-00000405-MCG</v>
      </c>
    </row>
    <row r="5779" spans="1:2" ht="12.5" x14ac:dyDescent="0.25">
      <c r="A5779" t="str">
        <f ca="1">IFERROR(__xludf.DUMMYFUNCTION("""COMPUTED_VALUE"""),"Salmonella 8,20:-:z6")</f>
        <v>Salmonella 8,20:-:z6</v>
      </c>
      <c r="B5779" t="str">
        <f ca="1">IFERROR(__xludf.DUMMYFUNCTION("""COMPUTED_VALUE"""),"RF-00000404-MCG")</f>
        <v>RF-00000404-MCG</v>
      </c>
    </row>
    <row r="5780" spans="1:2" ht="12.5" x14ac:dyDescent="0.25">
      <c r="A5780" t="str">
        <f ca="1">IFERROR(__xludf.DUMMYFUNCTION("""COMPUTED_VALUE"""),"Salmonella 8:i:-")</f>
        <v>Salmonella 8:i:-</v>
      </c>
      <c r="B5780" t="str">
        <f ca="1">IFERROR(__xludf.DUMMYFUNCTION("""COMPUTED_VALUE"""),"RF-00000403-MCG")</f>
        <v>RF-00000403-MCG</v>
      </c>
    </row>
    <row r="5781" spans="1:2" ht="12.5" x14ac:dyDescent="0.25">
      <c r="A5781" t="str">
        <f ca="1">IFERROR(__xludf.DUMMYFUNCTION("""COMPUTED_VALUE"""),"Salmonella 9 (DO)")</f>
        <v>Salmonella 9 (DO)</v>
      </c>
      <c r="B5781" t="str">
        <f ca="1">IFERROR(__xludf.DUMMYFUNCTION("""COMPUTED_VALUE"""),"RF-00000402-MCG")</f>
        <v>RF-00000402-MCG</v>
      </c>
    </row>
    <row r="5782" spans="1:2" ht="12.5" x14ac:dyDescent="0.25">
      <c r="A5782" t="str">
        <f ca="1">IFERROR(__xludf.DUMMYFUNCTION("""COMPUTED_VALUE"""),"Salmonella 9,12:-:-")</f>
        <v>Salmonella 9,12:-:-</v>
      </c>
      <c r="B5782" t="str">
        <f ca="1">IFERROR(__xludf.DUMMYFUNCTION("""COMPUTED_VALUE"""),"RF-00000381-MCG")</f>
        <v>RF-00000381-MCG</v>
      </c>
    </row>
    <row r="5783" spans="1:2" ht="12.5" x14ac:dyDescent="0.25">
      <c r="A5783" t="str">
        <f ca="1">IFERROR(__xludf.DUMMYFUNCTION("""COMPUTED_VALUE"""),"Salmonella 9,12:-:1,5")</f>
        <v>Salmonella 9,12:-:1,5</v>
      </c>
      <c r="B5783" t="str">
        <f ca="1">IFERROR(__xludf.DUMMYFUNCTION("""COMPUTED_VALUE"""),"RF-00000353-MCG")</f>
        <v>RF-00000353-MCG</v>
      </c>
    </row>
    <row r="5784" spans="1:2" ht="12.5" x14ac:dyDescent="0.25">
      <c r="A5784" t="str">
        <f ca="1">IFERROR(__xludf.DUMMYFUNCTION("""COMPUTED_VALUE"""),"Salmonella 9,12:lv:-")</f>
        <v>Salmonella 9,12:lv:-</v>
      </c>
      <c r="B5784" t="str">
        <f ca="1">IFERROR(__xludf.DUMMYFUNCTION("""COMPUTED_VALUE"""),"RF-00000390-MCG")</f>
        <v>RF-00000390-MCG</v>
      </c>
    </row>
    <row r="5785" spans="1:2" ht="12.5" x14ac:dyDescent="0.25">
      <c r="A5785" t="str">
        <f ca="1">IFERROR(__xludf.DUMMYFUNCTION("""COMPUTED_VALUE"""),"Salmonella 9,46:-:-")</f>
        <v>Salmonella 9,46:-:-</v>
      </c>
      <c r="B5785" t="str">
        <f ca="1">IFERROR(__xludf.DUMMYFUNCTION("""COMPUTED_VALUE"""),"RF-00000361-MCG")</f>
        <v>RF-00000361-MCG</v>
      </c>
    </row>
    <row r="5786" spans="1:2" ht="12.5" x14ac:dyDescent="0.25">
      <c r="A5786" t="str">
        <f ca="1">IFERROR(__xludf.DUMMYFUNCTION("""COMPUTED_VALUE"""),"Salmonella 9:-:-")</f>
        <v>Salmonella 9:-:-</v>
      </c>
      <c r="B5786" t="str">
        <f ca="1">IFERROR(__xludf.DUMMYFUNCTION("""COMPUTED_VALUE"""),"RF-00000360-MCG")</f>
        <v>RF-00000360-MCG</v>
      </c>
    </row>
    <row r="5787" spans="1:2" ht="12.5" x14ac:dyDescent="0.25">
      <c r="A5787" t="str">
        <f ca="1">IFERROR(__xludf.DUMMYFUNCTION("""COMPUTED_VALUE"""),"Salmonella a 41,z4,z24")</f>
        <v>Salmonella a 41,z4,z24</v>
      </c>
      <c r="B5787" t="str">
        <f ca="1">IFERROR(__xludf.DUMMYFUNCTION("""COMPUTED_VALUE"""),"RF-00000359-MCG")</f>
        <v>RF-00000359-MCG</v>
      </c>
    </row>
    <row r="5788" spans="1:2" ht="12.5" x14ac:dyDescent="0.25">
      <c r="A5788" t="str">
        <f ca="1">IFERROR(__xludf.DUMMYFUNCTION("""COMPUTED_VALUE"""),"Salmonella a 48:z4,z24:-")</f>
        <v>Salmonella a 48:z4,z24:-</v>
      </c>
      <c r="B5788" t="str">
        <f ca="1">IFERROR(__xludf.DUMMYFUNCTION("""COMPUTED_VALUE"""),"RF-00000358-MCG")</f>
        <v>RF-00000358-MCG</v>
      </c>
    </row>
    <row r="5789" spans="1:2" ht="12.5" x14ac:dyDescent="0.25">
      <c r="A5789" t="str">
        <f ca="1">IFERROR(__xludf.DUMMYFUNCTION("""COMPUTED_VALUE"""),"Salmonella Aachen")</f>
        <v>Salmonella Aachen</v>
      </c>
      <c r="B5789" t="str">
        <f ca="1">IFERROR(__xludf.DUMMYFUNCTION("""COMPUTED_VALUE"""),"RF-00000357-MCG")</f>
        <v>RF-00000357-MCG</v>
      </c>
    </row>
    <row r="5790" spans="1:2" ht="12.5" x14ac:dyDescent="0.25">
      <c r="A5790" t="str">
        <f ca="1">IFERROR(__xludf.DUMMYFUNCTION("""COMPUTED_VALUE"""),"Salmonella Aarhus")</f>
        <v>Salmonella Aarhus</v>
      </c>
      <c r="B5790" t="str">
        <f ca="1">IFERROR(__xludf.DUMMYFUNCTION("""COMPUTED_VALUE"""),"RF-00000356-MCG")</f>
        <v>RF-00000356-MCG</v>
      </c>
    </row>
    <row r="5791" spans="1:2" ht="12.5" x14ac:dyDescent="0.25">
      <c r="A5791" t="str">
        <f ca="1">IFERROR(__xludf.DUMMYFUNCTION("""COMPUTED_VALUE"""),"Salmonella Aba")</f>
        <v>Salmonella Aba</v>
      </c>
      <c r="B5791" t="str">
        <f ca="1">IFERROR(__xludf.DUMMYFUNCTION("""COMPUTED_VALUE"""),"RF-00000346-MCG")</f>
        <v>RF-00000346-MCG</v>
      </c>
    </row>
    <row r="5792" spans="1:2" ht="12.5" x14ac:dyDescent="0.25">
      <c r="A5792" t="str">
        <f ca="1">IFERROR(__xludf.DUMMYFUNCTION("""COMPUTED_VALUE"""),"Salmonella Abadina")</f>
        <v>Salmonella Abadina</v>
      </c>
      <c r="B5792" t="str">
        <f ca="1">IFERROR(__xludf.DUMMYFUNCTION("""COMPUTED_VALUE"""),"RF-00000354-MCG")</f>
        <v>RF-00000354-MCG</v>
      </c>
    </row>
    <row r="5793" spans="1:2" ht="12.5" x14ac:dyDescent="0.25">
      <c r="A5793" t="str">
        <f ca="1">IFERROR(__xludf.DUMMYFUNCTION("""COMPUTED_VALUE"""),"Salmonella Abaetetuba")</f>
        <v>Salmonella Abaetetuba</v>
      </c>
      <c r="B5793" t="str">
        <f ca="1">IFERROR(__xludf.DUMMYFUNCTION("""COMPUTED_VALUE"""),"RF-00000363-MCG")</f>
        <v>RF-00000363-MCG</v>
      </c>
    </row>
    <row r="5794" spans="1:2" ht="12.5" x14ac:dyDescent="0.25">
      <c r="A5794" t="str">
        <f ca="1">IFERROR(__xludf.DUMMYFUNCTION("""COMPUTED_VALUE"""),"Salmonella Aberdeen")</f>
        <v>Salmonella Aberdeen</v>
      </c>
      <c r="B5794" t="str">
        <f ca="1">IFERROR(__xludf.DUMMYFUNCTION("""COMPUTED_VALUE"""),"RF-00000352-MCG")</f>
        <v>RF-00000352-MCG</v>
      </c>
    </row>
    <row r="5795" spans="1:2" ht="12.5" x14ac:dyDescent="0.25">
      <c r="A5795" t="str">
        <f ca="1">IFERROR(__xludf.DUMMYFUNCTION("""COMPUTED_VALUE"""),"Salmonella Abidjan")</f>
        <v>Salmonella Abidjan</v>
      </c>
      <c r="B5795" t="str">
        <f ca="1">IFERROR(__xludf.DUMMYFUNCTION("""COMPUTED_VALUE"""),"RF-00000351-MCG")</f>
        <v>RF-00000351-MCG</v>
      </c>
    </row>
    <row r="5796" spans="1:2" ht="12.5" x14ac:dyDescent="0.25">
      <c r="A5796" t="str">
        <f ca="1">IFERROR(__xludf.DUMMYFUNCTION("""COMPUTED_VALUE"""),"Salmonella Ablogame")</f>
        <v>Salmonella Ablogame</v>
      </c>
      <c r="B5796" t="str">
        <f ca="1">IFERROR(__xludf.DUMMYFUNCTION("""COMPUTED_VALUE"""),"RF-00000350-MCG")</f>
        <v>RF-00000350-MCG</v>
      </c>
    </row>
    <row r="5797" spans="1:2" ht="12.5" x14ac:dyDescent="0.25">
      <c r="A5797" t="str">
        <f ca="1">IFERROR(__xludf.DUMMYFUNCTION("""COMPUTED_VALUE"""),"Salmonella Abobo")</f>
        <v>Salmonella Abobo</v>
      </c>
      <c r="B5797" t="str">
        <f ca="1">IFERROR(__xludf.DUMMYFUNCTION("""COMPUTED_VALUE"""),"RF-00000349-MCG")</f>
        <v>RF-00000349-MCG</v>
      </c>
    </row>
    <row r="5798" spans="1:2" ht="12.5" x14ac:dyDescent="0.25">
      <c r="A5798" t="str">
        <f ca="1">IFERROR(__xludf.DUMMYFUNCTION("""COMPUTED_VALUE"""),"Salmonella Abony")</f>
        <v>Salmonella Abony</v>
      </c>
      <c r="B5798" t="str">
        <f ca="1">IFERROR(__xludf.DUMMYFUNCTION("""COMPUTED_VALUE"""),"RF-00000348-MCG")</f>
        <v>RF-00000348-MCG</v>
      </c>
    </row>
    <row r="5799" spans="1:2" ht="12.5" x14ac:dyDescent="0.25">
      <c r="A5799" t="str">
        <f ca="1">IFERROR(__xludf.DUMMYFUNCTION("""COMPUTED_VALUE"""),"Salmonella Abortusequi")</f>
        <v>Salmonella Abortusequi</v>
      </c>
      <c r="B5799" t="str">
        <f ca="1">IFERROR(__xludf.DUMMYFUNCTION("""COMPUTED_VALUE"""),"RF-00000347-MCG")</f>
        <v>RF-00000347-MCG</v>
      </c>
    </row>
    <row r="5800" spans="1:2" ht="12.5" x14ac:dyDescent="0.25">
      <c r="A5800" t="str">
        <f ca="1">IFERROR(__xludf.DUMMYFUNCTION("""COMPUTED_VALUE"""),"Salmonella Abortusovis")</f>
        <v>Salmonella Abortusovis</v>
      </c>
      <c r="B5800" t="str">
        <f ca="1">IFERROR(__xludf.DUMMYFUNCTION("""COMPUTED_VALUE"""),"RF-00000372-MCG")</f>
        <v>RF-00000372-MCG</v>
      </c>
    </row>
    <row r="5801" spans="1:2" ht="12.5" x14ac:dyDescent="0.25">
      <c r="A5801" t="str">
        <f ca="1">IFERROR(__xludf.DUMMYFUNCTION("""COMPUTED_VALUE"""),"Salmonella Abuja")</f>
        <v>Salmonella Abuja</v>
      </c>
      <c r="B5801" t="str">
        <f ca="1">IFERROR(__xludf.DUMMYFUNCTION("""COMPUTED_VALUE"""),"RF-00000374-MCG")</f>
        <v>RF-00000374-MCG</v>
      </c>
    </row>
    <row r="5802" spans="1:2" ht="12.5" x14ac:dyDescent="0.25">
      <c r="A5802" t="str">
        <f ca="1">IFERROR(__xludf.DUMMYFUNCTION("""COMPUTED_VALUE"""),"Salmonella Accra")</f>
        <v>Salmonella Accra</v>
      </c>
      <c r="B5802" t="str">
        <f ca="1">IFERROR(__xludf.DUMMYFUNCTION("""COMPUTED_VALUE"""),"RF-00000355-MCG")</f>
        <v>RF-00000355-MCG</v>
      </c>
    </row>
    <row r="5803" spans="1:2" ht="12.5" x14ac:dyDescent="0.25">
      <c r="A5803" t="str">
        <f ca="1">IFERROR(__xludf.DUMMYFUNCTION("""COMPUTED_VALUE"""),"Salmonella Ackwepe")</f>
        <v>Salmonella Ackwepe</v>
      </c>
      <c r="B5803" t="str">
        <f ca="1">IFERROR(__xludf.DUMMYFUNCTION("""COMPUTED_VALUE"""),"RF-00000380-MCG")</f>
        <v>RF-00000380-MCG</v>
      </c>
    </row>
    <row r="5804" spans="1:2" ht="12.5" x14ac:dyDescent="0.25">
      <c r="A5804" t="str">
        <f ca="1">IFERROR(__xludf.DUMMYFUNCTION("""COMPUTED_VALUE"""),"Salmonella Adabraka")</f>
        <v>Salmonella Adabraka</v>
      </c>
      <c r="B5804" t="str">
        <f ca="1">IFERROR(__xludf.DUMMYFUNCTION("""COMPUTED_VALUE"""),"RF-00000379-MCG")</f>
        <v>RF-00000379-MCG</v>
      </c>
    </row>
    <row r="5805" spans="1:2" ht="12.5" x14ac:dyDescent="0.25">
      <c r="A5805" t="str">
        <f ca="1">IFERROR(__xludf.DUMMYFUNCTION("""COMPUTED_VALUE"""),"Salmonella Adamstown")</f>
        <v>Salmonella Adamstown</v>
      </c>
      <c r="B5805" t="str">
        <f ca="1">IFERROR(__xludf.DUMMYFUNCTION("""COMPUTED_VALUE"""),"RF-00000378-MCG")</f>
        <v>RF-00000378-MCG</v>
      </c>
    </row>
    <row r="5806" spans="1:2" ht="12.5" x14ac:dyDescent="0.25">
      <c r="A5806" t="str">
        <f ca="1">IFERROR(__xludf.DUMMYFUNCTION("""COMPUTED_VALUE"""),"Salmonella Adamstua")</f>
        <v>Salmonella Adamstua</v>
      </c>
      <c r="B5806" t="str">
        <f ca="1">IFERROR(__xludf.DUMMYFUNCTION("""COMPUTED_VALUE"""),"RF-00000377-MCG")</f>
        <v>RF-00000377-MCG</v>
      </c>
    </row>
    <row r="5807" spans="1:2" ht="12.5" x14ac:dyDescent="0.25">
      <c r="A5807" t="str">
        <f ca="1">IFERROR(__xludf.DUMMYFUNCTION("""COMPUTED_VALUE"""),"Salmonella Adana")</f>
        <v>Salmonella Adana</v>
      </c>
      <c r="B5807" t="str">
        <f ca="1">IFERROR(__xludf.DUMMYFUNCTION("""COMPUTED_VALUE"""),"RF-00000376-MCG")</f>
        <v>RF-00000376-MCG</v>
      </c>
    </row>
    <row r="5808" spans="1:2" ht="12.5" x14ac:dyDescent="0.25">
      <c r="A5808" t="str">
        <f ca="1">IFERROR(__xludf.DUMMYFUNCTION("""COMPUTED_VALUE"""),"Salmonella Adelaide")</f>
        <v>Salmonella Adelaide</v>
      </c>
      <c r="B5808" t="str">
        <f ca="1">IFERROR(__xludf.DUMMYFUNCTION("""COMPUTED_VALUE"""),"RF-00000375-MCG")</f>
        <v>RF-00000375-MCG</v>
      </c>
    </row>
    <row r="5809" spans="1:2" ht="12.5" x14ac:dyDescent="0.25">
      <c r="A5809" t="str">
        <f ca="1">IFERROR(__xludf.DUMMYFUNCTION("""COMPUTED_VALUE"""),"Salmonella Adeoyo")</f>
        <v>Salmonella Adeoyo</v>
      </c>
      <c r="B5809" t="str">
        <f ca="1">IFERROR(__xludf.DUMMYFUNCTION("""COMPUTED_VALUE"""),"RF-00000364-MCG")</f>
        <v>RF-00000364-MCG</v>
      </c>
    </row>
    <row r="5810" spans="1:2" ht="12.5" x14ac:dyDescent="0.25">
      <c r="A5810" t="str">
        <f ca="1">IFERROR(__xludf.DUMMYFUNCTION("""COMPUTED_VALUE"""),"Salmonella Aderike")</f>
        <v>Salmonella Aderike</v>
      </c>
      <c r="B5810" t="str">
        <f ca="1">IFERROR(__xludf.DUMMYFUNCTION("""COMPUTED_VALUE"""),"RF-00000373-MCG")</f>
        <v>RF-00000373-MCG</v>
      </c>
    </row>
    <row r="5811" spans="1:2" ht="12.5" x14ac:dyDescent="0.25">
      <c r="A5811" t="str">
        <f ca="1">IFERROR(__xludf.DUMMYFUNCTION("""COMPUTED_VALUE"""),"Salmonella Adime")</f>
        <v>Salmonella Adime</v>
      </c>
      <c r="B5811" t="str">
        <f ca="1">IFERROR(__xludf.DUMMYFUNCTION("""COMPUTED_VALUE"""),"RF-00000382-MCG")</f>
        <v>RF-00000382-MCG</v>
      </c>
    </row>
    <row r="5812" spans="1:2" ht="12.5" x14ac:dyDescent="0.25">
      <c r="A5812" t="str">
        <f ca="1">IFERROR(__xludf.DUMMYFUNCTION("""COMPUTED_VALUE"""),"Salmonella Adjame")</f>
        <v>Salmonella Adjame</v>
      </c>
      <c r="B5812" t="str">
        <f ca="1">IFERROR(__xludf.DUMMYFUNCTION("""COMPUTED_VALUE"""),"RF-00000371-MCG")</f>
        <v>RF-00000371-MCG</v>
      </c>
    </row>
    <row r="5813" spans="1:2" ht="12.5" x14ac:dyDescent="0.25">
      <c r="A5813" t="str">
        <f ca="1">IFERROR(__xludf.DUMMYFUNCTION("""COMPUTED_VALUE"""),"Salmonella Aequatoria")</f>
        <v>Salmonella Aequatoria</v>
      </c>
      <c r="B5813" t="str">
        <f ca="1">IFERROR(__xludf.DUMMYFUNCTION("""COMPUTED_VALUE"""),"RF-00000370-MCG")</f>
        <v>RF-00000370-MCG</v>
      </c>
    </row>
    <row r="5814" spans="1:2" ht="12.5" x14ac:dyDescent="0.25">
      <c r="A5814" t="str">
        <f ca="1">IFERROR(__xludf.DUMMYFUNCTION("""COMPUTED_VALUE"""),"Salmonella Aesch")</f>
        <v>Salmonella Aesch</v>
      </c>
      <c r="B5814" t="str">
        <f ca="1">IFERROR(__xludf.DUMMYFUNCTION("""COMPUTED_VALUE"""),"RF-00000369-MCG")</f>
        <v>RF-00000369-MCG</v>
      </c>
    </row>
    <row r="5815" spans="1:2" ht="12.5" x14ac:dyDescent="0.25">
      <c r="A5815" t="str">
        <f ca="1">IFERROR(__xludf.DUMMYFUNCTION("""COMPUTED_VALUE"""),"Salmonella Aflao")</f>
        <v>Salmonella Aflao</v>
      </c>
      <c r="B5815" t="str">
        <f ca="1">IFERROR(__xludf.DUMMYFUNCTION("""COMPUTED_VALUE"""),"RF-00000368-MCG")</f>
        <v>RF-00000368-MCG</v>
      </c>
    </row>
    <row r="5816" spans="1:2" ht="12.5" x14ac:dyDescent="0.25">
      <c r="A5816" t="str">
        <f ca="1">IFERROR(__xludf.DUMMYFUNCTION("""COMPUTED_VALUE"""),"Salmonella Africana")</f>
        <v>Salmonella Africana</v>
      </c>
      <c r="B5816" t="str">
        <f ca="1">IFERROR(__xludf.DUMMYFUNCTION("""COMPUTED_VALUE"""),"RF-00000367-MCG")</f>
        <v>RF-00000367-MCG</v>
      </c>
    </row>
    <row r="5817" spans="1:2" ht="12.5" x14ac:dyDescent="0.25">
      <c r="A5817" t="str">
        <f ca="1">IFERROR(__xludf.DUMMYFUNCTION("""COMPUTED_VALUE"""),"Salmonella Afula")</f>
        <v>Salmonella Afula</v>
      </c>
      <c r="B5817" t="str">
        <f ca="1">IFERROR(__xludf.DUMMYFUNCTION("""COMPUTED_VALUE"""),"RF-00000366-MCG")</f>
        <v>RF-00000366-MCG</v>
      </c>
    </row>
    <row r="5818" spans="1:2" ht="12.5" x14ac:dyDescent="0.25">
      <c r="A5818" t="str">
        <f ca="1">IFERROR(__xludf.DUMMYFUNCTION("""COMPUTED_VALUE"""),"Salmonella Agama")</f>
        <v>Salmonella Agama</v>
      </c>
      <c r="B5818" t="str">
        <f ca="1">IFERROR(__xludf.DUMMYFUNCTION("""COMPUTED_VALUE"""),"RF-00000365-MCG")</f>
        <v>RF-00000365-MCG</v>
      </c>
    </row>
    <row r="5819" spans="1:2" ht="12.5" x14ac:dyDescent="0.25">
      <c r="A5819" t="str">
        <f ca="1">IFERROR(__xludf.DUMMYFUNCTION("""COMPUTED_VALUE"""),"Salmonella Agbara")</f>
        <v>Salmonella Agbara</v>
      </c>
      <c r="B5819" t="str">
        <f ca="1">IFERROR(__xludf.DUMMYFUNCTION("""COMPUTED_VALUE"""),"RF-00000421-MCG")</f>
        <v>RF-00000421-MCG</v>
      </c>
    </row>
    <row r="5820" spans="1:2" ht="12.5" x14ac:dyDescent="0.25">
      <c r="A5820" t="str">
        <f ca="1">IFERROR(__xludf.DUMMYFUNCTION("""COMPUTED_VALUE"""),"Salmonella Agbeni")</f>
        <v>Salmonella Agbeni</v>
      </c>
      <c r="B5820" t="str">
        <f ca="1">IFERROR(__xludf.DUMMYFUNCTION("""COMPUTED_VALUE"""),"RF-00000921-MCG")</f>
        <v>RF-00000921-MCG</v>
      </c>
    </row>
    <row r="5821" spans="1:2" ht="12.5" x14ac:dyDescent="0.25">
      <c r="A5821" t="str">
        <f ca="1">IFERROR(__xludf.DUMMYFUNCTION("""COMPUTED_VALUE"""),"Salmonella Agege")</f>
        <v>Salmonella Agege</v>
      </c>
      <c r="B5821" t="str">
        <f ca="1">IFERROR(__xludf.DUMMYFUNCTION("""COMPUTED_VALUE"""),"RF-00001670-MCG")</f>
        <v>RF-00001670-MCG</v>
      </c>
    </row>
    <row r="5822" spans="1:2" ht="12.5" x14ac:dyDescent="0.25">
      <c r="A5822" t="str">
        <f ca="1">IFERROR(__xludf.DUMMYFUNCTION("""COMPUTED_VALUE"""),"Salmonella Ago")</f>
        <v>Salmonella Ago</v>
      </c>
      <c r="B5822" t="str">
        <f ca="1">IFERROR(__xludf.DUMMYFUNCTION("""COMPUTED_VALUE"""),"RF-00001669-MCG")</f>
        <v>RF-00001669-MCG</v>
      </c>
    </row>
    <row r="5823" spans="1:2" ht="12.5" x14ac:dyDescent="0.25">
      <c r="A5823" t="str">
        <f ca="1">IFERROR(__xludf.DUMMYFUNCTION("""COMPUTED_VALUE"""),"Salmonella Agodi")</f>
        <v>Salmonella Agodi</v>
      </c>
      <c r="B5823" t="str">
        <f ca="1">IFERROR(__xludf.DUMMYFUNCTION("""COMPUTED_VALUE"""),"RF-00001668-MCG")</f>
        <v>RF-00001668-MCG</v>
      </c>
    </row>
    <row r="5824" spans="1:2" ht="12.5" x14ac:dyDescent="0.25">
      <c r="A5824" t="str">
        <f ca="1">IFERROR(__xludf.DUMMYFUNCTION("""COMPUTED_VALUE"""),"Salmonella Agona")</f>
        <v>Salmonella Agona</v>
      </c>
      <c r="B5824" t="str">
        <f ca="1">IFERROR(__xludf.DUMMYFUNCTION("""COMPUTED_VALUE"""),"RF-00001667-MCG")</f>
        <v>RF-00001667-MCG</v>
      </c>
    </row>
    <row r="5825" spans="1:2" ht="12.5" x14ac:dyDescent="0.25">
      <c r="A5825" t="str">
        <f ca="1">IFERROR(__xludf.DUMMYFUNCTION("""COMPUTED_VALUE"""),"Salmonella Agoueve")</f>
        <v>Salmonella Agoueve</v>
      </c>
      <c r="B5825" t="str">
        <f ca="1">IFERROR(__xludf.DUMMYFUNCTION("""COMPUTED_VALUE"""),"RF-00001666-MCG")</f>
        <v>RF-00001666-MCG</v>
      </c>
    </row>
    <row r="5826" spans="1:2" ht="12.5" x14ac:dyDescent="0.25">
      <c r="A5826" t="str">
        <f ca="1">IFERROR(__xludf.DUMMYFUNCTION("""COMPUTED_VALUE"""),"Salmonella Ahanou")</f>
        <v>Salmonella Ahanou</v>
      </c>
      <c r="B5826" t="str">
        <f ca="1">IFERROR(__xludf.DUMMYFUNCTION("""COMPUTED_VALUE"""),"RF-00001665-MCG")</f>
        <v>RF-00001665-MCG</v>
      </c>
    </row>
    <row r="5827" spans="1:2" ht="12.5" x14ac:dyDescent="0.25">
      <c r="A5827" t="str">
        <f ca="1">IFERROR(__xludf.DUMMYFUNCTION("""COMPUTED_VALUE"""),"Salmonella Ahepe")</f>
        <v>Salmonella Ahepe</v>
      </c>
      <c r="B5827" t="str">
        <f ca="1">IFERROR(__xludf.DUMMYFUNCTION("""COMPUTED_VALUE"""),"RF-00001664-MCG")</f>
        <v>RF-00001664-MCG</v>
      </c>
    </row>
    <row r="5828" spans="1:2" ht="12.5" x14ac:dyDescent="0.25">
      <c r="A5828" t="str">
        <f ca="1">IFERROR(__xludf.DUMMYFUNCTION("""COMPUTED_VALUE"""),"Salmonella Ahmadi")</f>
        <v>Salmonella Ahmadi</v>
      </c>
      <c r="B5828" t="str">
        <f ca="1">IFERROR(__xludf.DUMMYFUNCTION("""COMPUTED_VALUE"""),"RF-00001663-MCG")</f>
        <v>RF-00001663-MCG</v>
      </c>
    </row>
    <row r="5829" spans="1:2" ht="12.5" x14ac:dyDescent="0.25">
      <c r="A5829" t="str">
        <f ca="1">IFERROR(__xludf.DUMMYFUNCTION("""COMPUTED_VALUE"""),"Salmonella Ahoutoue")</f>
        <v>Salmonella Ahoutoue</v>
      </c>
      <c r="B5829" t="str">
        <f ca="1">IFERROR(__xludf.DUMMYFUNCTION("""COMPUTED_VALUE"""),"RF-00001662-MCG")</f>
        <v>RF-00001662-MCG</v>
      </c>
    </row>
    <row r="5830" spans="1:2" ht="12.5" x14ac:dyDescent="0.25">
      <c r="A5830" t="str">
        <f ca="1">IFERROR(__xludf.DUMMYFUNCTION("""COMPUTED_VALUE"""),"Salmonella Ahuza")</f>
        <v>Salmonella Ahuza</v>
      </c>
      <c r="B5830" t="str">
        <f ca="1">IFERROR(__xludf.DUMMYFUNCTION("""COMPUTED_VALUE"""),"RF-00001661-MCG")</f>
        <v>RF-00001661-MCG</v>
      </c>
    </row>
    <row r="5831" spans="1:2" ht="12.5" x14ac:dyDescent="0.25">
      <c r="A5831" t="str">
        <f ca="1">IFERROR(__xludf.DUMMYFUNCTION("""COMPUTED_VALUE"""),"Salmonella Ajiobo")</f>
        <v>Salmonella Ajiobo</v>
      </c>
      <c r="B5831" t="str">
        <f ca="1">IFERROR(__xludf.DUMMYFUNCTION("""COMPUTED_VALUE"""),"RF-00001648-MCG")</f>
        <v>RF-00001648-MCG</v>
      </c>
    </row>
    <row r="5832" spans="1:2" ht="12.5" x14ac:dyDescent="0.25">
      <c r="A5832" t="str">
        <f ca="1">IFERROR(__xludf.DUMMYFUNCTION("""COMPUTED_VALUE"""),"Salmonella Akanji")</f>
        <v>Salmonella Akanji</v>
      </c>
      <c r="B5832" t="str">
        <f ca="1">IFERROR(__xludf.DUMMYFUNCTION("""COMPUTED_VALUE"""),"RF-00001659-MCG")</f>
        <v>RF-00001659-MCG</v>
      </c>
    </row>
    <row r="5833" spans="1:2" ht="12.5" x14ac:dyDescent="0.25">
      <c r="A5833" t="str">
        <f ca="1">IFERROR(__xludf.DUMMYFUNCTION("""COMPUTED_VALUE"""),"Salmonella Akuafo")</f>
        <v>Salmonella Akuafo</v>
      </c>
      <c r="B5833" t="str">
        <f ca="1">IFERROR(__xludf.DUMMYFUNCTION("""COMPUTED_VALUE"""),"RF-00001671-MCG")</f>
        <v>RF-00001671-MCG</v>
      </c>
    </row>
    <row r="5834" spans="1:2" ht="12.5" x14ac:dyDescent="0.25">
      <c r="A5834" t="str">
        <f ca="1">IFERROR(__xludf.DUMMYFUNCTION("""COMPUTED_VALUE"""),"Salmonella Alabama")</f>
        <v>Salmonella Alabama</v>
      </c>
      <c r="B5834" t="str">
        <f ca="1">IFERROR(__xludf.DUMMYFUNCTION("""COMPUTED_VALUE"""),"RF-00001657-MCG")</f>
        <v>RF-00001657-MCG</v>
      </c>
    </row>
    <row r="5835" spans="1:2" ht="12.5" x14ac:dyDescent="0.25">
      <c r="A5835" t="str">
        <f ca="1">IFERROR(__xludf.DUMMYFUNCTION("""COMPUTED_VALUE"""),"Salmonella Alachua")</f>
        <v>Salmonella Alachua</v>
      </c>
      <c r="B5835" t="str">
        <f ca="1">IFERROR(__xludf.DUMMYFUNCTION("""COMPUTED_VALUE"""),"RF-00001656-MCG")</f>
        <v>RF-00001656-MCG</v>
      </c>
    </row>
    <row r="5836" spans="1:2" ht="12.5" x14ac:dyDescent="0.25">
      <c r="A5836" t="str">
        <f ca="1">IFERROR(__xludf.DUMMYFUNCTION("""COMPUTED_VALUE"""),"Salmonella Alagbon")</f>
        <v>Salmonella Alagbon</v>
      </c>
      <c r="B5836" t="str">
        <f ca="1">IFERROR(__xludf.DUMMYFUNCTION("""COMPUTED_VALUE"""),"RF-00001655-MCG")</f>
        <v>RF-00001655-MCG</v>
      </c>
    </row>
    <row r="5837" spans="1:2" ht="12.5" x14ac:dyDescent="0.25">
      <c r="A5837" t="str">
        <f ca="1">IFERROR(__xludf.DUMMYFUNCTION("""COMPUTED_VALUE"""),"Salmonella Alamo")</f>
        <v>Salmonella Alamo</v>
      </c>
      <c r="B5837" t="str">
        <f ca="1">IFERROR(__xludf.DUMMYFUNCTION("""COMPUTED_VALUE"""),"RF-00001654-MCG")</f>
        <v>RF-00001654-MCG</v>
      </c>
    </row>
    <row r="5838" spans="1:2" ht="12.5" x14ac:dyDescent="0.25">
      <c r="A5838" t="str">
        <f ca="1">IFERROR(__xludf.DUMMYFUNCTION("""COMPUTED_VALUE"""),"Salmonella Albany")</f>
        <v>Salmonella Albany</v>
      </c>
      <c r="B5838" t="str">
        <f ca="1">IFERROR(__xludf.DUMMYFUNCTION("""COMPUTED_VALUE"""),"RF-00001653-MCG")</f>
        <v>RF-00001653-MCG</v>
      </c>
    </row>
    <row r="5839" spans="1:2" ht="12.5" x14ac:dyDescent="0.25">
      <c r="A5839" t="str">
        <f ca="1">IFERROR(__xludf.DUMMYFUNCTION("""COMPUTED_VALUE"""),"Salmonella Albert")</f>
        <v>Salmonella Albert</v>
      </c>
      <c r="B5839" t="str">
        <f ca="1">IFERROR(__xludf.DUMMYFUNCTION("""COMPUTED_VALUE"""),"RF-00001652-MCG")</f>
        <v>RF-00001652-MCG</v>
      </c>
    </row>
    <row r="5840" spans="1:2" ht="12.5" x14ac:dyDescent="0.25">
      <c r="A5840" t="str">
        <f ca="1">IFERROR(__xludf.DUMMYFUNCTION("""COMPUTED_VALUE"""),"Salmonella Albertslund")</f>
        <v>Salmonella Albertslund</v>
      </c>
      <c r="B5840" t="str">
        <f ca="1">IFERROR(__xludf.DUMMYFUNCTION("""COMPUTED_VALUE"""),"RF-00001651-MCG")</f>
        <v>RF-00001651-MCG</v>
      </c>
    </row>
    <row r="5841" spans="1:2" ht="12.5" x14ac:dyDescent="0.25">
      <c r="A5841" t="str">
        <f ca="1">IFERROR(__xludf.DUMMYFUNCTION("""COMPUTED_VALUE"""),"Salmonella Albuquerque")</f>
        <v>Salmonella Albuquerque</v>
      </c>
      <c r="B5841" t="str">
        <f ca="1">IFERROR(__xludf.DUMMYFUNCTION("""COMPUTED_VALUE"""),"RF-00001650-MCG")</f>
        <v>RF-00001650-MCG</v>
      </c>
    </row>
    <row r="5842" spans="1:2" ht="12.5" x14ac:dyDescent="0.25">
      <c r="A5842" t="str">
        <f ca="1">IFERROR(__xludf.DUMMYFUNCTION("""COMPUTED_VALUE"""),"Salmonella Alexanderplatz")</f>
        <v>Salmonella Alexanderplatz</v>
      </c>
      <c r="B5842" t="str">
        <f ca="1">IFERROR(__xludf.DUMMYFUNCTION("""COMPUTED_VALUE"""),"RF-00001649-MCG")</f>
        <v>RF-00001649-MCG</v>
      </c>
    </row>
    <row r="5843" spans="1:2" ht="12.5" x14ac:dyDescent="0.25">
      <c r="A5843" t="str">
        <f ca="1">IFERROR(__xludf.DUMMYFUNCTION("""COMPUTED_VALUE"""),"Salmonella Alexanderpolder")</f>
        <v>Salmonella Alexanderpolder</v>
      </c>
      <c r="B5843" t="str">
        <f ca="1">IFERROR(__xludf.DUMMYFUNCTION("""COMPUTED_VALUE"""),"RF-00001683-MCG")</f>
        <v>RF-00001683-MCG</v>
      </c>
    </row>
    <row r="5844" spans="1:2" ht="12.5" x14ac:dyDescent="0.25">
      <c r="A5844" t="str">
        <f ca="1">IFERROR(__xludf.DUMMYFUNCTION("""COMPUTED_VALUE"""),"Salmonella Alfort")</f>
        <v>Salmonella Alfort</v>
      </c>
      <c r="B5844" t="str">
        <f ca="1">IFERROR(__xludf.DUMMYFUNCTION("""COMPUTED_VALUE"""),"RF-00001685-MCG")</f>
        <v>RF-00001685-MCG</v>
      </c>
    </row>
    <row r="5845" spans="1:2" ht="12.5" x14ac:dyDescent="0.25">
      <c r="A5845" t="str">
        <f ca="1">IFERROR(__xludf.DUMMYFUNCTION("""COMPUTED_VALUE"""),"Salmonella Alger")</f>
        <v>Salmonella Alger</v>
      </c>
      <c r="B5845" t="str">
        <f ca="1">IFERROR(__xludf.DUMMYFUNCTION("""COMPUTED_VALUE"""),"RF-00001660-MCG")</f>
        <v>RF-00001660-MCG</v>
      </c>
    </row>
    <row r="5846" spans="1:2" ht="12.5" x14ac:dyDescent="0.25">
      <c r="A5846" t="str">
        <f ca="1">IFERROR(__xludf.DUMMYFUNCTION("""COMPUTED_VALUE"""),"Salmonella Alkmaar")</f>
        <v>Salmonella Alkmaar</v>
      </c>
      <c r="B5846" t="str">
        <f ca="1">IFERROR(__xludf.DUMMYFUNCTION("""COMPUTED_VALUE"""),"RF-00001694-MCG")</f>
        <v>RF-00001694-MCG</v>
      </c>
    </row>
    <row r="5847" spans="1:2" ht="12.5" x14ac:dyDescent="0.25">
      <c r="A5847" t="str">
        <f ca="1">IFERROR(__xludf.DUMMYFUNCTION("""COMPUTED_VALUE"""),"Salmonella Allandale")</f>
        <v>Salmonella Allandale</v>
      </c>
      <c r="B5847" t="str">
        <f ca="1">IFERROR(__xludf.DUMMYFUNCTION("""COMPUTED_VALUE"""),"RF-00001693-MCG")</f>
        <v>RF-00001693-MCG</v>
      </c>
    </row>
    <row r="5848" spans="1:2" ht="12.5" x14ac:dyDescent="0.25">
      <c r="A5848" t="str">
        <f ca="1">IFERROR(__xludf.DUMMYFUNCTION("""COMPUTED_VALUE"""),"Salmonella Allerton")</f>
        <v>Salmonella Allerton</v>
      </c>
      <c r="B5848" t="str">
        <f ca="1">IFERROR(__xludf.DUMMYFUNCTION("""COMPUTED_VALUE"""),"RF-00001692-MCG")</f>
        <v>RF-00001692-MCG</v>
      </c>
    </row>
    <row r="5849" spans="1:2" ht="12.5" x14ac:dyDescent="0.25">
      <c r="A5849" t="str">
        <f ca="1">IFERROR(__xludf.DUMMYFUNCTION("""COMPUTED_VALUE"""),"Salmonella Alma")</f>
        <v>Salmonella Alma</v>
      </c>
      <c r="B5849" t="str">
        <f ca="1">IFERROR(__xludf.DUMMYFUNCTION("""COMPUTED_VALUE"""),"RF-00001691-MCG")</f>
        <v>RF-00001691-MCG</v>
      </c>
    </row>
    <row r="5850" spans="1:2" ht="12.5" x14ac:dyDescent="0.25">
      <c r="A5850" t="str">
        <f ca="1">IFERROR(__xludf.DUMMYFUNCTION("""COMPUTED_VALUE"""),"Salmonella Alminko")</f>
        <v>Salmonella Alminko</v>
      </c>
      <c r="B5850" t="str">
        <f ca="1">IFERROR(__xludf.DUMMYFUNCTION("""COMPUTED_VALUE"""),"RF-00001690-MCG")</f>
        <v>RF-00001690-MCG</v>
      </c>
    </row>
    <row r="5851" spans="1:2" ht="12.5" x14ac:dyDescent="0.25">
      <c r="A5851" t="str">
        <f ca="1">IFERROR(__xludf.DUMMYFUNCTION("""COMPUTED_VALUE"""),"Salmonella Altendorf")</f>
        <v>Salmonella Altendorf</v>
      </c>
      <c r="B5851" t="str">
        <f ca="1">IFERROR(__xludf.DUMMYFUNCTION("""COMPUTED_VALUE"""),"RF-00001689-MCG")</f>
        <v>RF-00001689-MCG</v>
      </c>
    </row>
    <row r="5852" spans="1:2" ht="12.5" x14ac:dyDescent="0.25">
      <c r="A5852" t="str">
        <f ca="1">IFERROR(__xludf.DUMMYFUNCTION("""COMPUTED_VALUE"""),"Salmonella Altona")</f>
        <v>Salmonella Altona</v>
      </c>
      <c r="B5852" t="str">
        <f ca="1">IFERROR(__xludf.DUMMYFUNCTION("""COMPUTED_VALUE"""),"RF-00001688-MCG")</f>
        <v>RF-00001688-MCG</v>
      </c>
    </row>
    <row r="5853" spans="1:2" ht="12.5" x14ac:dyDescent="0.25">
      <c r="A5853" t="str">
        <f ca="1">IFERROR(__xludf.DUMMYFUNCTION("""COMPUTED_VALUE"""),"Salmonella Amager")</f>
        <v>Salmonella Amager</v>
      </c>
      <c r="B5853" t="str">
        <f ca="1">IFERROR(__xludf.DUMMYFUNCTION("""COMPUTED_VALUE"""),"RF-00001687-MCG")</f>
        <v>RF-00001687-MCG</v>
      </c>
    </row>
    <row r="5854" spans="1:2" ht="12.5" x14ac:dyDescent="0.25">
      <c r="A5854" t="str">
        <f ca="1">IFERROR(__xludf.DUMMYFUNCTION("""COMPUTED_VALUE"""),"Salmonella Amager var. 15")</f>
        <v>Salmonella Amager var. 15</v>
      </c>
      <c r="B5854" t="str">
        <f ca="1">IFERROR(__xludf.DUMMYFUNCTION("""COMPUTED_VALUE"""),"RF-00001686-MCG")</f>
        <v>RF-00001686-MCG</v>
      </c>
    </row>
    <row r="5855" spans="1:2" ht="12.5" x14ac:dyDescent="0.25">
      <c r="A5855" t="str">
        <f ca="1">IFERROR(__xludf.DUMMYFUNCTION("""COMPUTED_VALUE"""),"Salmonella Amba")</f>
        <v>Salmonella Amba</v>
      </c>
      <c r="B5855" t="str">
        <f ca="1">IFERROR(__xludf.DUMMYFUNCTION("""COMPUTED_VALUE"""),"RF-00001672-MCG")</f>
        <v>RF-00001672-MCG</v>
      </c>
    </row>
    <row r="5856" spans="1:2" ht="12.5" x14ac:dyDescent="0.25">
      <c r="A5856" t="str">
        <f ca="1">IFERROR(__xludf.DUMMYFUNCTION("""COMPUTED_VALUE"""),"Salmonella Amersfoort")</f>
        <v>Salmonella Amersfoort</v>
      </c>
      <c r="B5856" t="str">
        <f ca="1">IFERROR(__xludf.DUMMYFUNCTION("""COMPUTED_VALUE"""),"RF-00001684-MCG")</f>
        <v>RF-00001684-MCG</v>
      </c>
    </row>
    <row r="5857" spans="1:2" ht="12.5" x14ac:dyDescent="0.25">
      <c r="A5857" t="str">
        <f ca="1">IFERROR(__xludf.DUMMYFUNCTION("""COMPUTED_VALUE"""),"Salmonella Amersfoort var. 14")</f>
        <v>Salmonella Amersfoort var. 14</v>
      </c>
      <c r="B5857" t="str">
        <f ca="1">IFERROR(__xludf.DUMMYFUNCTION("""COMPUTED_VALUE"""),"RF-00001696-MCG")</f>
        <v>RF-00001696-MCG</v>
      </c>
    </row>
    <row r="5858" spans="1:2" ht="12.5" x14ac:dyDescent="0.25">
      <c r="A5858" t="str">
        <f ca="1">IFERROR(__xludf.DUMMYFUNCTION("""COMPUTED_VALUE"""),"Salmonella Amherstiana")</f>
        <v>Salmonella Amherstiana</v>
      </c>
      <c r="B5858" t="str">
        <f ca="1">IFERROR(__xludf.DUMMYFUNCTION("""COMPUTED_VALUE"""),"RF-00001682-MCG")</f>
        <v>RF-00001682-MCG</v>
      </c>
    </row>
    <row r="5859" spans="1:2" ht="12.5" x14ac:dyDescent="0.25">
      <c r="A5859" t="str">
        <f ca="1">IFERROR(__xludf.DUMMYFUNCTION("""COMPUTED_VALUE"""),"Salmonella Amina")</f>
        <v>Salmonella Amina</v>
      </c>
      <c r="B5859" t="str">
        <f ca="1">IFERROR(__xludf.DUMMYFUNCTION("""COMPUTED_VALUE"""),"RF-00001681-MCG")</f>
        <v>RF-00001681-MCG</v>
      </c>
    </row>
    <row r="5860" spans="1:2" ht="12.5" x14ac:dyDescent="0.25">
      <c r="A5860" t="str">
        <f ca="1">IFERROR(__xludf.DUMMYFUNCTION("""COMPUTED_VALUE"""),"Salmonella Aminatu")</f>
        <v>Salmonella Aminatu</v>
      </c>
      <c r="B5860" t="str">
        <f ca="1">IFERROR(__xludf.DUMMYFUNCTION("""COMPUTED_VALUE"""),"RF-00001680-MCG")</f>
        <v>RF-00001680-MCG</v>
      </c>
    </row>
    <row r="5861" spans="1:2" ht="12.5" x14ac:dyDescent="0.25">
      <c r="A5861" t="str">
        <f ca="1">IFERROR(__xludf.DUMMYFUNCTION("""COMPUTED_VALUE"""),"Salmonella Amounderness")</f>
        <v>Salmonella Amounderness</v>
      </c>
      <c r="B5861" t="str">
        <f ca="1">IFERROR(__xludf.DUMMYFUNCTION("""COMPUTED_VALUE"""),"RF-00001679-MCG")</f>
        <v>RF-00001679-MCG</v>
      </c>
    </row>
    <row r="5862" spans="1:2" ht="12.5" x14ac:dyDescent="0.25">
      <c r="A5862" t="str">
        <f ca="1">IFERROR(__xludf.DUMMYFUNCTION("""COMPUTED_VALUE"""),"Salmonella Amoutive")</f>
        <v>Salmonella Amoutive</v>
      </c>
      <c r="B5862" t="str">
        <f ca="1">IFERROR(__xludf.DUMMYFUNCTION("""COMPUTED_VALUE"""),"RF-00001678-MCG")</f>
        <v>RF-00001678-MCG</v>
      </c>
    </row>
    <row r="5863" spans="1:2" ht="12.5" x14ac:dyDescent="0.25">
      <c r="A5863" t="str">
        <f ca="1">IFERROR(__xludf.DUMMYFUNCTION("""COMPUTED_VALUE"""),"Salmonella Amsterdam")</f>
        <v>Salmonella Amsterdam</v>
      </c>
      <c r="B5863" t="str">
        <f ca="1">IFERROR(__xludf.DUMMYFUNCTION("""COMPUTED_VALUE"""),"RF-00001677-MCG")</f>
        <v>RF-00001677-MCG</v>
      </c>
    </row>
    <row r="5864" spans="1:2" ht="12.5" x14ac:dyDescent="0.25">
      <c r="A5864" t="str">
        <f ca="1">IFERROR(__xludf.DUMMYFUNCTION("""COMPUTED_VALUE"""),"Salmonella Amsterdam var. 15")</f>
        <v>Salmonella Amsterdam var. 15</v>
      </c>
      <c r="B5864" t="str">
        <f ca="1">IFERROR(__xludf.DUMMYFUNCTION("""COMPUTED_VALUE"""),"RF-00001676-MCG")</f>
        <v>RF-00001676-MCG</v>
      </c>
    </row>
    <row r="5865" spans="1:2" ht="12.5" x14ac:dyDescent="0.25">
      <c r="A5865" t="str">
        <f ca="1">IFERROR(__xludf.DUMMYFUNCTION("""COMPUTED_VALUE"""),"Salmonella Amunigun")</f>
        <v>Salmonella Amunigun</v>
      </c>
      <c r="B5865" t="str">
        <f ca="1">IFERROR(__xludf.DUMMYFUNCTION("""COMPUTED_VALUE"""),"RF-00001675-MCG")</f>
        <v>RF-00001675-MCG</v>
      </c>
    </row>
    <row r="5866" spans="1:2" ht="12.5" x14ac:dyDescent="0.25">
      <c r="A5866" t="str">
        <f ca="1">IFERROR(__xludf.DUMMYFUNCTION("""COMPUTED_VALUE"""),"Salmonella Anatum")</f>
        <v>Salmonella Anatum</v>
      </c>
      <c r="B5866" t="str">
        <f ca="1">IFERROR(__xludf.DUMMYFUNCTION("""COMPUTED_VALUE"""),"RF-00001674-MCG")</f>
        <v>RF-00001674-MCG</v>
      </c>
    </row>
    <row r="5867" spans="1:2" ht="12.5" x14ac:dyDescent="0.25">
      <c r="A5867" t="str">
        <f ca="1">IFERROR(__xludf.DUMMYFUNCTION("""COMPUTED_VALUE"""),"Salmonella Anatum var. 15")</f>
        <v>Salmonella Anatum var. 15</v>
      </c>
      <c r="B5867" t="str">
        <f ca="1">IFERROR(__xludf.DUMMYFUNCTION("""COMPUTED_VALUE"""),"RF-00001636-MCG")</f>
        <v>RF-00001636-MCG</v>
      </c>
    </row>
    <row r="5868" spans="1:2" ht="12.5" x14ac:dyDescent="0.25">
      <c r="A5868" t="str">
        <f ca="1">IFERROR(__xludf.DUMMYFUNCTION("""COMPUTED_VALUE"""),"Salmonella Anatum var. 15,34")</f>
        <v>Salmonella Anatum var. 15,34</v>
      </c>
      <c r="B5868" t="str">
        <f ca="1">IFERROR(__xludf.DUMMYFUNCTION("""COMPUTED_VALUE"""),"RF-00001695-MCG")</f>
        <v>RF-00001695-MCG</v>
      </c>
    </row>
    <row r="5869" spans="1:2" ht="12.5" x14ac:dyDescent="0.25">
      <c r="A5869" t="str">
        <f ca="1">IFERROR(__xludf.DUMMYFUNCTION("""COMPUTED_VALUE"""),"Salmonella Anderlecht")</f>
        <v>Salmonella Anderlecht</v>
      </c>
      <c r="B5869" t="str">
        <f ca="1">IFERROR(__xludf.DUMMYFUNCTION("""COMPUTED_VALUE"""),"RF-00001658-MCG")</f>
        <v>RF-00001658-MCG</v>
      </c>
    </row>
    <row r="5870" spans="1:2" ht="12.5" x14ac:dyDescent="0.25">
      <c r="A5870" t="str">
        <f ca="1">IFERROR(__xludf.DUMMYFUNCTION("""COMPUTED_VALUE"""),"Salmonella Anecho")</f>
        <v>Salmonella Anecho</v>
      </c>
      <c r="B5870" t="str">
        <f ca="1">IFERROR(__xludf.DUMMYFUNCTION("""COMPUTED_VALUE"""),"RF-00001622-MCG")</f>
        <v>RF-00001622-MCG</v>
      </c>
    </row>
    <row r="5871" spans="1:2" ht="12.5" x14ac:dyDescent="0.25">
      <c r="A5871" t="str">
        <f ca="1">IFERROR(__xludf.DUMMYFUNCTION("""COMPUTED_VALUE"""),"Salmonella Anfo")</f>
        <v>Salmonella Anfo</v>
      </c>
      <c r="B5871" t="str">
        <f ca="1">IFERROR(__xludf.DUMMYFUNCTION("""COMPUTED_VALUE"""),"RF-00001621-MCG")</f>
        <v>RF-00001621-MCG</v>
      </c>
    </row>
    <row r="5872" spans="1:2" ht="12.5" x14ac:dyDescent="0.25">
      <c r="A5872" t="str">
        <f ca="1">IFERROR(__xludf.DUMMYFUNCTION("""COMPUTED_VALUE"""),"Salmonella Angers")</f>
        <v>Salmonella Angers</v>
      </c>
      <c r="B5872" t="str">
        <f ca="1">IFERROR(__xludf.DUMMYFUNCTION("""COMPUTED_VALUE"""),"RF-00001620-MCG")</f>
        <v>RF-00001620-MCG</v>
      </c>
    </row>
    <row r="5873" spans="1:2" ht="12.5" x14ac:dyDescent="0.25">
      <c r="A5873" t="str">
        <f ca="1">IFERROR(__xludf.DUMMYFUNCTION("""COMPUTED_VALUE"""),"Salmonella Angoda")</f>
        <v>Salmonella Angoda</v>
      </c>
      <c r="B5873" t="str">
        <f ca="1">IFERROR(__xludf.DUMMYFUNCTION("""COMPUTED_VALUE"""),"RF-00001619-MCG")</f>
        <v>RF-00001619-MCG</v>
      </c>
    </row>
    <row r="5874" spans="1:2" ht="12.5" x14ac:dyDescent="0.25">
      <c r="A5874" t="str">
        <f ca="1">IFERROR(__xludf.DUMMYFUNCTION("""COMPUTED_VALUE"""),"Salmonella Angouleme")</f>
        <v>Salmonella Angouleme</v>
      </c>
      <c r="B5874" t="str">
        <f ca="1">IFERROR(__xludf.DUMMYFUNCTION("""COMPUTED_VALUE"""),"RF-00001618-MCG")</f>
        <v>RF-00001618-MCG</v>
      </c>
    </row>
    <row r="5875" spans="1:2" ht="12.5" x14ac:dyDescent="0.25">
      <c r="A5875" t="str">
        <f ca="1">IFERROR(__xludf.DUMMYFUNCTION("""COMPUTED_VALUE"""),"Salmonella Ank")</f>
        <v>Salmonella Ank</v>
      </c>
      <c r="B5875" t="str">
        <f ca="1">IFERROR(__xludf.DUMMYFUNCTION("""COMPUTED_VALUE"""),"RF-00001617-MCG")</f>
        <v>RF-00001617-MCG</v>
      </c>
    </row>
    <row r="5876" spans="1:2" ht="12.5" x14ac:dyDescent="0.25">
      <c r="A5876" t="str">
        <f ca="1">IFERROR(__xludf.DUMMYFUNCTION("""COMPUTED_VALUE"""),"Salmonella Anna")</f>
        <v>Salmonella Anna</v>
      </c>
      <c r="B5876" t="str">
        <f ca="1">IFERROR(__xludf.DUMMYFUNCTION("""COMPUTED_VALUE"""),"RF-00001616-MCG")</f>
        <v>RF-00001616-MCG</v>
      </c>
    </row>
    <row r="5877" spans="1:2" ht="12.5" x14ac:dyDescent="0.25">
      <c r="A5877" t="str">
        <f ca="1">IFERROR(__xludf.DUMMYFUNCTION("""COMPUTED_VALUE"""),"Salmonella Annedal")</f>
        <v>Salmonella Annedal</v>
      </c>
      <c r="B5877" t="str">
        <f ca="1">IFERROR(__xludf.DUMMYFUNCTION("""COMPUTED_VALUE"""),"RF-00001615-MCG")</f>
        <v>RF-00001615-MCG</v>
      </c>
    </row>
    <row r="5878" spans="1:2" ht="12.5" x14ac:dyDescent="0.25">
      <c r="A5878" t="str">
        <f ca="1">IFERROR(__xludf.DUMMYFUNCTION("""COMPUTED_VALUE"""),"Salmonella Antarctica")</f>
        <v>Salmonella Antarctica</v>
      </c>
      <c r="B5878" t="str">
        <f ca="1">IFERROR(__xludf.DUMMYFUNCTION("""COMPUTED_VALUE"""),"RF-00001614-MCG")</f>
        <v>RF-00001614-MCG</v>
      </c>
    </row>
    <row r="5879" spans="1:2" ht="12.5" x14ac:dyDescent="0.25">
      <c r="A5879" t="str">
        <f ca="1">IFERROR(__xludf.DUMMYFUNCTION("""COMPUTED_VALUE"""),"Salmonella Antonio")</f>
        <v>Salmonella Antonio</v>
      </c>
      <c r="B5879" t="str">
        <f ca="1">IFERROR(__xludf.DUMMYFUNCTION("""COMPUTED_VALUE"""),"RF-00001613-MCG")</f>
        <v>RF-00001613-MCG</v>
      </c>
    </row>
    <row r="5880" spans="1:2" ht="12.5" x14ac:dyDescent="0.25">
      <c r="A5880" t="str">
        <f ca="1">IFERROR(__xludf.DUMMYFUNCTION("""COMPUTED_VALUE"""),"Salmonella Antsalova")</f>
        <v>Salmonella Antsalova</v>
      </c>
      <c r="B5880" t="str">
        <f ca="1">IFERROR(__xludf.DUMMYFUNCTION("""COMPUTED_VALUE"""),"RF-00001600-MCG")</f>
        <v>RF-00001600-MCG</v>
      </c>
    </row>
    <row r="5881" spans="1:2" ht="12.5" x14ac:dyDescent="0.25">
      <c r="A5881" t="str">
        <f ca="1">IFERROR(__xludf.DUMMYFUNCTION("""COMPUTED_VALUE"""),"Salmonella Antwerpen")</f>
        <v>Salmonella Antwerpen</v>
      </c>
      <c r="B5881" t="str">
        <f ca="1">IFERROR(__xludf.DUMMYFUNCTION("""COMPUTED_VALUE"""),"RF-00001611-MCG")</f>
        <v>RF-00001611-MCG</v>
      </c>
    </row>
    <row r="5882" spans="1:2" ht="12.5" x14ac:dyDescent="0.25">
      <c r="A5882" t="str">
        <f ca="1">IFERROR(__xludf.DUMMYFUNCTION("""COMPUTED_VALUE"""),"Salmonella Apapa")</f>
        <v>Salmonella Apapa</v>
      </c>
      <c r="B5882" t="str">
        <f ca="1">IFERROR(__xludf.DUMMYFUNCTION("""COMPUTED_VALUE"""),"RF-00001623-MCG")</f>
        <v>RF-00001623-MCG</v>
      </c>
    </row>
    <row r="5883" spans="1:2" ht="12.5" x14ac:dyDescent="0.25">
      <c r="A5883" t="str">
        <f ca="1">IFERROR(__xludf.DUMMYFUNCTION("""COMPUTED_VALUE"""),"Salmonella Apeyeme")</f>
        <v>Salmonella Apeyeme</v>
      </c>
      <c r="B5883" t="str">
        <f ca="1">IFERROR(__xludf.DUMMYFUNCTION("""COMPUTED_VALUE"""),"RF-00001609-MCG")</f>
        <v>RF-00001609-MCG</v>
      </c>
    </row>
    <row r="5884" spans="1:2" ht="12.5" x14ac:dyDescent="0.25">
      <c r="A5884" t="str">
        <f ca="1">IFERROR(__xludf.DUMMYFUNCTION("""COMPUTED_VALUE"""),"Salmonella Aprad")</f>
        <v>Salmonella Aprad</v>
      </c>
      <c r="B5884" t="str">
        <f ca="1">IFERROR(__xludf.DUMMYFUNCTION("""COMPUTED_VALUE"""),"RF-00001608-MCG")</f>
        <v>RF-00001608-MCG</v>
      </c>
    </row>
    <row r="5885" spans="1:2" ht="12.5" x14ac:dyDescent="0.25">
      <c r="A5885" t="str">
        <f ca="1">IFERROR(__xludf.DUMMYFUNCTION("""COMPUTED_VALUE"""),"Salmonella Aqua")</f>
        <v>Salmonella Aqua</v>
      </c>
      <c r="B5885" t="str">
        <f ca="1">IFERROR(__xludf.DUMMYFUNCTION("""COMPUTED_VALUE"""),"RF-00001607-MCG")</f>
        <v>RF-00001607-MCG</v>
      </c>
    </row>
    <row r="5886" spans="1:2" ht="12.5" x14ac:dyDescent="0.25">
      <c r="A5886" t="str">
        <f ca="1">IFERROR(__xludf.DUMMYFUNCTION("""COMPUTED_VALUE"""),"Salmonella Aragua")</f>
        <v>Salmonella Aragua</v>
      </c>
      <c r="B5886" t="str">
        <f ca="1">IFERROR(__xludf.DUMMYFUNCTION("""COMPUTED_VALUE"""),"RF-00001606-MCG")</f>
        <v>RF-00001606-MCG</v>
      </c>
    </row>
    <row r="5887" spans="1:2" ht="12.5" x14ac:dyDescent="0.25">
      <c r="A5887" t="str">
        <f ca="1">IFERROR(__xludf.DUMMYFUNCTION("""COMPUTED_VALUE"""),"Salmonella Arapahoe")</f>
        <v>Salmonella Arapahoe</v>
      </c>
      <c r="B5887" t="str">
        <f ca="1">IFERROR(__xludf.DUMMYFUNCTION("""COMPUTED_VALUE"""),"RF-00001605-MCG")</f>
        <v>RF-00001605-MCG</v>
      </c>
    </row>
    <row r="5888" spans="1:2" ht="12.5" x14ac:dyDescent="0.25">
      <c r="A5888" t="str">
        <f ca="1">IFERROR(__xludf.DUMMYFUNCTION("""COMPUTED_VALUE"""),"Salmonella Arechavaleta")</f>
        <v>Salmonella Arechavaleta</v>
      </c>
      <c r="B5888" t="str">
        <f ca="1">IFERROR(__xludf.DUMMYFUNCTION("""COMPUTED_VALUE"""),"RF-00001604-MCG")</f>
        <v>RF-00001604-MCG</v>
      </c>
    </row>
    <row r="5889" spans="1:2" ht="12.5" x14ac:dyDescent="0.25">
      <c r="A5889" t="str">
        <f ca="1">IFERROR(__xludf.DUMMYFUNCTION("""COMPUTED_VALUE"""),"Salmonella Arusha")</f>
        <v>Salmonella Arusha</v>
      </c>
      <c r="B5889" t="str">
        <f ca="1">IFERROR(__xludf.DUMMYFUNCTION("""COMPUTED_VALUE"""),"RF-00001603-MCG")</f>
        <v>RF-00001603-MCG</v>
      </c>
    </row>
    <row r="5890" spans="1:2" ht="12.5" x14ac:dyDescent="0.25">
      <c r="A5890" t="str">
        <f ca="1">IFERROR(__xludf.DUMMYFUNCTION("""COMPUTED_VALUE"""),"Salmonella Aschersleben")</f>
        <v>Salmonella Aschersleben</v>
      </c>
      <c r="B5890" t="str">
        <f ca="1">IFERROR(__xludf.DUMMYFUNCTION("""COMPUTED_VALUE"""),"RF-00001602-MCG")</f>
        <v>RF-00001602-MCG</v>
      </c>
    </row>
    <row r="5891" spans="1:2" ht="12.5" x14ac:dyDescent="0.25">
      <c r="A5891" t="str">
        <f ca="1">IFERROR(__xludf.DUMMYFUNCTION("""COMPUTED_VALUE"""),"Salmonella Ashanti")</f>
        <v>Salmonella Ashanti</v>
      </c>
      <c r="B5891" t="str">
        <f ca="1">IFERROR(__xludf.DUMMYFUNCTION("""COMPUTED_VALUE"""),"RF-00001634-MCG")</f>
        <v>RF-00001634-MCG</v>
      </c>
    </row>
    <row r="5892" spans="1:2" ht="12.5" x14ac:dyDescent="0.25">
      <c r="A5892" t="str">
        <f ca="1">IFERROR(__xludf.DUMMYFUNCTION("""COMPUTED_VALUE"""),"Salmonella Assen")</f>
        <v>Salmonella Assen</v>
      </c>
      <c r="B5892" t="str">
        <f ca="1">IFERROR(__xludf.DUMMYFUNCTION("""COMPUTED_VALUE"""),"RF-00001610-MCG")</f>
        <v>RF-00001610-MCG</v>
      </c>
    </row>
    <row r="5893" spans="1:2" ht="12.5" x14ac:dyDescent="0.25">
      <c r="A5893" t="str">
        <f ca="1">IFERROR(__xludf.DUMMYFUNCTION("""COMPUTED_VALUE"""),"Salmonella Assinie")</f>
        <v>Salmonella Assinie</v>
      </c>
      <c r="B5893" t="str">
        <f ca="1">IFERROR(__xludf.DUMMYFUNCTION("""COMPUTED_VALUE"""),"RF-00001612-MCG")</f>
        <v>RF-00001612-MCG</v>
      </c>
    </row>
    <row r="5894" spans="1:2" ht="12.5" x14ac:dyDescent="0.25">
      <c r="A5894" t="str">
        <f ca="1">IFERROR(__xludf.DUMMYFUNCTION("""COMPUTED_VALUE"""),"Salmonella Asylanta")</f>
        <v>Salmonella Asylanta</v>
      </c>
      <c r="B5894" t="str">
        <f ca="1">IFERROR(__xludf.DUMMYFUNCTION("""COMPUTED_VALUE"""),"RF-00001646-MCG")</f>
        <v>RF-00001646-MCG</v>
      </c>
    </row>
    <row r="5895" spans="1:2" ht="12.5" x14ac:dyDescent="0.25">
      <c r="A5895" t="str">
        <f ca="1">IFERROR(__xludf.DUMMYFUNCTION("""COMPUTED_VALUE"""),"Salmonella Atakpame")</f>
        <v>Salmonella Atakpame</v>
      </c>
      <c r="B5895" t="str">
        <f ca="1">IFERROR(__xludf.DUMMYFUNCTION("""COMPUTED_VALUE"""),"RF-00001645-MCG")</f>
        <v>RF-00001645-MCG</v>
      </c>
    </row>
    <row r="5896" spans="1:2" ht="12.5" x14ac:dyDescent="0.25">
      <c r="A5896" t="str">
        <f ca="1">IFERROR(__xludf.DUMMYFUNCTION("""COMPUTED_VALUE"""),"Salmonella Atento")</f>
        <v>Salmonella Atento</v>
      </c>
      <c r="B5896" t="str">
        <f ca="1">IFERROR(__xludf.DUMMYFUNCTION("""COMPUTED_VALUE"""),"RF-00001644-MCG")</f>
        <v>RF-00001644-MCG</v>
      </c>
    </row>
    <row r="5897" spans="1:2" ht="12.5" x14ac:dyDescent="0.25">
      <c r="A5897" t="str">
        <f ca="1">IFERROR(__xludf.DUMMYFUNCTION("""COMPUTED_VALUE"""),"Salmonella Athinai")</f>
        <v>Salmonella Athinai</v>
      </c>
      <c r="B5897" t="str">
        <f ca="1">IFERROR(__xludf.DUMMYFUNCTION("""COMPUTED_VALUE"""),"RF-00001643-MCG")</f>
        <v>RF-00001643-MCG</v>
      </c>
    </row>
    <row r="5898" spans="1:2" ht="12.5" x14ac:dyDescent="0.25">
      <c r="A5898" t="str">
        <f ca="1">IFERROR(__xludf.DUMMYFUNCTION("""COMPUTED_VALUE"""),"Salmonella Ati")</f>
        <v>Salmonella Ati</v>
      </c>
      <c r="B5898" t="str">
        <f ca="1">IFERROR(__xludf.DUMMYFUNCTION("""COMPUTED_VALUE"""),"RF-00001642-MCG")</f>
        <v>RF-00001642-MCG</v>
      </c>
    </row>
    <row r="5899" spans="1:2" ht="12.5" x14ac:dyDescent="0.25">
      <c r="A5899" t="str">
        <f ca="1">IFERROR(__xludf.DUMMYFUNCTION("""COMPUTED_VALUE"""),"Salmonella Augustenborg")</f>
        <v>Salmonella Augustenborg</v>
      </c>
      <c r="B5899" t="str">
        <f ca="1">IFERROR(__xludf.DUMMYFUNCTION("""COMPUTED_VALUE"""),"RF-00001641-MCG")</f>
        <v>RF-00001641-MCG</v>
      </c>
    </row>
    <row r="5900" spans="1:2" ht="12.5" x14ac:dyDescent="0.25">
      <c r="A5900" t="str">
        <f ca="1">IFERROR(__xludf.DUMMYFUNCTION("""COMPUTED_VALUE"""),"Salmonella Austin")</f>
        <v>Salmonella Austin</v>
      </c>
      <c r="B5900" t="str">
        <f ca="1">IFERROR(__xludf.DUMMYFUNCTION("""COMPUTED_VALUE"""),"RF-00001640-MCG")</f>
        <v>RF-00001640-MCG</v>
      </c>
    </row>
    <row r="5901" spans="1:2" ht="12.5" x14ac:dyDescent="0.25">
      <c r="A5901" t="str">
        <f ca="1">IFERROR(__xludf.DUMMYFUNCTION("""COMPUTED_VALUE"""),"Salmonella Australia")</f>
        <v>Salmonella Australia</v>
      </c>
      <c r="B5901" t="str">
        <f ca="1">IFERROR(__xludf.DUMMYFUNCTION("""COMPUTED_VALUE"""),"RF-00001639-MCG")</f>
        <v>RF-00001639-MCG</v>
      </c>
    </row>
    <row r="5902" spans="1:2" ht="12.5" x14ac:dyDescent="0.25">
      <c r="A5902" t="str">
        <f ca="1">IFERROR(__xludf.DUMMYFUNCTION("""COMPUTED_VALUE"""),"Salmonella Avignon")</f>
        <v>Salmonella Avignon</v>
      </c>
      <c r="B5902" t="str">
        <f ca="1">IFERROR(__xludf.DUMMYFUNCTION("""COMPUTED_VALUE"""),"RF-00001638-MCG")</f>
        <v>RF-00001638-MCG</v>
      </c>
    </row>
    <row r="5903" spans="1:2" ht="12.5" x14ac:dyDescent="0.25">
      <c r="A5903" t="str">
        <f ca="1">IFERROR(__xludf.DUMMYFUNCTION("""COMPUTED_VALUE"""),"Salmonella Avonmouth")</f>
        <v>Salmonella Avonmouth</v>
      </c>
      <c r="B5903" t="str">
        <f ca="1">IFERROR(__xludf.DUMMYFUNCTION("""COMPUTED_VALUE"""),"RF-00001637-MCG")</f>
        <v>RF-00001637-MCG</v>
      </c>
    </row>
    <row r="5904" spans="1:2" ht="12.5" x14ac:dyDescent="0.25">
      <c r="A5904" t="str">
        <f ca="1">IFERROR(__xludf.DUMMYFUNCTION("""COMPUTED_VALUE"""),"Salmonella Ayinde")</f>
        <v>Salmonella Ayinde</v>
      </c>
      <c r="B5904" t="str">
        <f ca="1">IFERROR(__xludf.DUMMYFUNCTION("""COMPUTED_VALUE"""),"RF-00001624-MCG")</f>
        <v>RF-00001624-MCG</v>
      </c>
    </row>
    <row r="5905" spans="1:2" ht="12.5" x14ac:dyDescent="0.25">
      <c r="A5905" t="str">
        <f ca="1">IFERROR(__xludf.DUMMYFUNCTION("""COMPUTED_VALUE"""),"Salmonella Ayton")</f>
        <v>Salmonella Ayton</v>
      </c>
      <c r="B5905" t="str">
        <f ca="1">IFERROR(__xludf.DUMMYFUNCTION("""COMPUTED_VALUE"""),"RF-00001635-MCG")</f>
        <v>RF-00001635-MCG</v>
      </c>
    </row>
    <row r="5906" spans="1:2" ht="12.5" x14ac:dyDescent="0.25">
      <c r="A5906" t="str">
        <f ca="1">IFERROR(__xludf.DUMMYFUNCTION("""COMPUTED_VALUE"""),"Salmonella Azteca")</f>
        <v>Salmonella Azteca</v>
      </c>
      <c r="B5906" t="str">
        <f ca="1">IFERROR(__xludf.DUMMYFUNCTION("""COMPUTED_VALUE"""),"RF-00001647-MCG")</f>
        <v>RF-00001647-MCG</v>
      </c>
    </row>
    <row r="5907" spans="1:2" ht="12.5" x14ac:dyDescent="0.25">
      <c r="A5907" t="str">
        <f ca="1">IFERROR(__xludf.DUMMYFUNCTION("""COMPUTED_VALUE"""),"Salmonella Babelsberg")</f>
        <v>Salmonella Babelsberg</v>
      </c>
      <c r="B5907" t="str">
        <f ca="1">IFERROR(__xludf.DUMMYFUNCTION("""COMPUTED_VALUE"""),"RF-00001633-MCG")</f>
        <v>RF-00001633-MCG</v>
      </c>
    </row>
    <row r="5908" spans="1:2" ht="12.5" x14ac:dyDescent="0.25">
      <c r="A5908" t="str">
        <f ca="1">IFERROR(__xludf.DUMMYFUNCTION("""COMPUTED_VALUE"""),"Salmonella Babili")</f>
        <v>Salmonella Babili</v>
      </c>
      <c r="B5908" t="str">
        <f ca="1">IFERROR(__xludf.DUMMYFUNCTION("""COMPUTED_VALUE"""),"RF-00001632-MCG")</f>
        <v>RF-00001632-MCG</v>
      </c>
    </row>
    <row r="5909" spans="1:2" ht="12.5" x14ac:dyDescent="0.25">
      <c r="A5909" t="str">
        <f ca="1">IFERROR(__xludf.DUMMYFUNCTION("""COMPUTED_VALUE"""),"Salmonella Badagry")</f>
        <v>Salmonella Badagry</v>
      </c>
      <c r="B5909" t="str">
        <f ca="1">IFERROR(__xludf.DUMMYFUNCTION("""COMPUTED_VALUE"""),"RF-00001631-MCG")</f>
        <v>RF-00001631-MCG</v>
      </c>
    </row>
    <row r="5910" spans="1:2" ht="12.5" x14ac:dyDescent="0.25">
      <c r="A5910" t="str">
        <f ca="1">IFERROR(__xludf.DUMMYFUNCTION("""COMPUTED_VALUE"""),"Salmonella Baguida")</f>
        <v>Salmonella Baguida</v>
      </c>
      <c r="B5910" t="str">
        <f ca="1">IFERROR(__xludf.DUMMYFUNCTION("""COMPUTED_VALUE"""),"RF-00001630-MCG")</f>
        <v>RF-00001630-MCG</v>
      </c>
    </row>
    <row r="5911" spans="1:2" ht="12.5" x14ac:dyDescent="0.25">
      <c r="A5911" t="str">
        <f ca="1">IFERROR(__xludf.DUMMYFUNCTION("""COMPUTED_VALUE"""),"Salmonella Baguirmi")</f>
        <v>Salmonella Baguirmi</v>
      </c>
      <c r="B5911" t="str">
        <f ca="1">IFERROR(__xludf.DUMMYFUNCTION("""COMPUTED_VALUE"""),"RF-00001629-MCG")</f>
        <v>RF-00001629-MCG</v>
      </c>
    </row>
    <row r="5912" spans="1:2" ht="12.5" x14ac:dyDescent="0.25">
      <c r="A5912" t="str">
        <f ca="1">IFERROR(__xludf.DUMMYFUNCTION("""COMPUTED_VALUE"""),"Salmonella Bahati")</f>
        <v>Salmonella Bahati</v>
      </c>
      <c r="B5912" t="str">
        <f ca="1">IFERROR(__xludf.DUMMYFUNCTION("""COMPUTED_VALUE"""),"RF-00001628-MCG")</f>
        <v>RF-00001628-MCG</v>
      </c>
    </row>
    <row r="5913" spans="1:2" ht="12.5" x14ac:dyDescent="0.25">
      <c r="A5913" t="str">
        <f ca="1">IFERROR(__xludf.DUMMYFUNCTION("""COMPUTED_VALUE"""),"Salmonella Bahrenfeld")</f>
        <v>Salmonella Bahrenfeld</v>
      </c>
      <c r="B5913" t="str">
        <f ca="1">IFERROR(__xludf.DUMMYFUNCTION("""COMPUTED_VALUE"""),"RF-00001627-MCG")</f>
        <v>RF-00001627-MCG</v>
      </c>
    </row>
    <row r="5914" spans="1:2" ht="12.5" x14ac:dyDescent="0.25">
      <c r="A5914" t="str">
        <f ca="1">IFERROR(__xludf.DUMMYFUNCTION("""COMPUTED_VALUE"""),"Salmonella Baiboukoum")</f>
        <v>Salmonella Baiboukoum</v>
      </c>
      <c r="B5914" t="str">
        <f ca="1">IFERROR(__xludf.DUMMYFUNCTION("""COMPUTED_VALUE"""),"RF-00001626-MCG")</f>
        <v>RF-00001626-MCG</v>
      </c>
    </row>
    <row r="5915" spans="1:2" ht="12.5" x14ac:dyDescent="0.25">
      <c r="A5915" t="str">
        <f ca="1">IFERROR(__xludf.DUMMYFUNCTION("""COMPUTED_VALUE"""),"Salmonella Baildon")</f>
        <v>Salmonella Baildon</v>
      </c>
      <c r="B5915" t="str">
        <f ca="1">IFERROR(__xludf.DUMMYFUNCTION("""COMPUTED_VALUE"""),"RF-00001698-MCG")</f>
        <v>RF-00001698-MCG</v>
      </c>
    </row>
    <row r="5916" spans="1:2" ht="12.5" x14ac:dyDescent="0.25">
      <c r="A5916" t="str">
        <f ca="1">IFERROR(__xludf.DUMMYFUNCTION("""COMPUTED_VALUE"""),"Salmonella Bakau")</f>
        <v>Salmonella Bakau</v>
      </c>
      <c r="B5916" t="str">
        <f ca="1">IFERROR(__xludf.DUMMYFUNCTION("""COMPUTED_VALUE"""),"RF-00001601-MCG")</f>
        <v>RF-00001601-MCG</v>
      </c>
    </row>
    <row r="5917" spans="1:2" ht="12.5" x14ac:dyDescent="0.25">
      <c r="A5917" t="str">
        <f ca="1">IFERROR(__xludf.DUMMYFUNCTION("""COMPUTED_VALUE"""),"Salmonella Balcones")</f>
        <v>Salmonella Balcones</v>
      </c>
      <c r="B5917" t="str">
        <f ca="1">IFERROR(__xludf.DUMMYFUNCTION("""COMPUTED_VALUE"""),"RF-00001673-MCG")</f>
        <v>RF-00001673-MCG</v>
      </c>
    </row>
    <row r="5918" spans="1:2" ht="12.5" x14ac:dyDescent="0.25">
      <c r="A5918" t="str">
        <f ca="1">IFERROR(__xludf.DUMMYFUNCTION("""COMPUTED_VALUE"""),"Salmonella Ball")</f>
        <v>Salmonella Ball</v>
      </c>
      <c r="B5918" t="str">
        <f ca="1">IFERROR(__xludf.DUMMYFUNCTION("""COMPUTED_VALUE"""),"RF-00001767-MCG")</f>
        <v>RF-00001767-MCG</v>
      </c>
    </row>
    <row r="5919" spans="1:2" ht="12.5" x14ac:dyDescent="0.25">
      <c r="A5919" t="str">
        <f ca="1">IFERROR(__xludf.DUMMYFUNCTION("""COMPUTED_VALUE"""),"Salmonella Bama")</f>
        <v>Salmonella Bama</v>
      </c>
      <c r="B5919" t="str">
        <f ca="1">IFERROR(__xludf.DUMMYFUNCTION("""COMPUTED_VALUE"""),"RF-00001766-MCG")</f>
        <v>RF-00001766-MCG</v>
      </c>
    </row>
    <row r="5920" spans="1:2" ht="12.5" x14ac:dyDescent="0.25">
      <c r="A5920" t="str">
        <f ca="1">IFERROR(__xludf.DUMMYFUNCTION("""COMPUTED_VALUE"""),"Salmonella Bamboye")</f>
        <v>Salmonella Bamboye</v>
      </c>
      <c r="B5920" t="str">
        <f ca="1">IFERROR(__xludf.DUMMYFUNCTION("""COMPUTED_VALUE"""),"RF-00001765-MCG")</f>
        <v>RF-00001765-MCG</v>
      </c>
    </row>
    <row r="5921" spans="1:2" ht="12.5" x14ac:dyDescent="0.25">
      <c r="A5921" t="str">
        <f ca="1">IFERROR(__xludf.DUMMYFUNCTION("""COMPUTED_VALUE"""),"Salmonella Bambylor")</f>
        <v>Salmonella Bambylor</v>
      </c>
      <c r="B5921" t="str">
        <f ca="1">IFERROR(__xludf.DUMMYFUNCTION("""COMPUTED_VALUE"""),"RF-00001764-MCG")</f>
        <v>RF-00001764-MCG</v>
      </c>
    </row>
    <row r="5922" spans="1:2" ht="12.5" x14ac:dyDescent="0.25">
      <c r="A5922" t="str">
        <f ca="1">IFERROR(__xludf.DUMMYFUNCTION("""COMPUTED_VALUE"""),"Salmonella Banalia")</f>
        <v>Salmonella Banalia</v>
      </c>
      <c r="B5922" t="str">
        <f ca="1">IFERROR(__xludf.DUMMYFUNCTION("""COMPUTED_VALUE"""),"RF-00001763-MCG")</f>
        <v>RF-00001763-MCG</v>
      </c>
    </row>
    <row r="5923" spans="1:2" ht="12.5" x14ac:dyDescent="0.25">
      <c r="A5923" t="str">
        <f ca="1">IFERROR(__xludf.DUMMYFUNCTION("""COMPUTED_VALUE"""),"Salmonella Banana")</f>
        <v>Salmonella Banana</v>
      </c>
      <c r="B5923" t="str">
        <f ca="1">IFERROR(__xludf.DUMMYFUNCTION("""COMPUTED_VALUE"""),"RF-00001762-MCG")</f>
        <v>RF-00001762-MCG</v>
      </c>
    </row>
    <row r="5924" spans="1:2" ht="12.5" x14ac:dyDescent="0.25">
      <c r="A5924" t="str">
        <f ca="1">IFERROR(__xludf.DUMMYFUNCTION("""COMPUTED_VALUE"""),"Salmonella Banco")</f>
        <v>Salmonella Banco</v>
      </c>
      <c r="B5924" t="str">
        <f ca="1">IFERROR(__xludf.DUMMYFUNCTION("""COMPUTED_VALUE"""),"RF-00001761-MCG")</f>
        <v>RF-00001761-MCG</v>
      </c>
    </row>
    <row r="5925" spans="1:2" ht="12.5" x14ac:dyDescent="0.25">
      <c r="A5925" t="str">
        <f ca="1">IFERROR(__xludf.DUMMYFUNCTION("""COMPUTED_VALUE"""),"Salmonella Bandia")</f>
        <v>Salmonella Bandia</v>
      </c>
      <c r="B5925" t="str">
        <f ca="1">IFERROR(__xludf.DUMMYFUNCTION("""COMPUTED_VALUE"""),"RF-00001760-MCG")</f>
        <v>RF-00001760-MCG</v>
      </c>
    </row>
    <row r="5926" spans="1:2" ht="12.5" x14ac:dyDescent="0.25">
      <c r="A5926" t="str">
        <f ca="1">IFERROR(__xludf.DUMMYFUNCTION("""COMPUTED_VALUE"""),"Salmonella Bangkok")</f>
        <v>Salmonella Bangkok</v>
      </c>
      <c r="B5926" t="str">
        <f ca="1">IFERROR(__xludf.DUMMYFUNCTION("""COMPUTED_VALUE"""),"RF-00001759-MCG")</f>
        <v>RF-00001759-MCG</v>
      </c>
    </row>
    <row r="5927" spans="1:2" ht="12.5" x14ac:dyDescent="0.25">
      <c r="A5927" t="str">
        <f ca="1">IFERROR(__xludf.DUMMYFUNCTION("""COMPUTED_VALUE"""),"Salmonella Bangui")</f>
        <v>Salmonella Bangui</v>
      </c>
      <c r="B5927" t="str">
        <f ca="1">IFERROR(__xludf.DUMMYFUNCTION("""COMPUTED_VALUE"""),"RF-00001758-MCG")</f>
        <v>RF-00001758-MCG</v>
      </c>
    </row>
    <row r="5928" spans="1:2" ht="12.5" x14ac:dyDescent="0.25">
      <c r="A5928" t="str">
        <f ca="1">IFERROR(__xludf.DUMMYFUNCTION("""COMPUTED_VALUE"""),"Salmonella Banjul")</f>
        <v>Salmonella Banjul</v>
      </c>
      <c r="B5928" t="str">
        <f ca="1">IFERROR(__xludf.DUMMYFUNCTION("""COMPUTED_VALUE"""),"RF-00001745-MCG")</f>
        <v>RF-00001745-MCG</v>
      </c>
    </row>
    <row r="5929" spans="1:2" ht="12.5" x14ac:dyDescent="0.25">
      <c r="A5929" t="str">
        <f ca="1">IFERROR(__xludf.DUMMYFUNCTION("""COMPUTED_VALUE"""),"Salmonella Bardo")</f>
        <v>Salmonella Bardo</v>
      </c>
      <c r="B5929" t="str">
        <f ca="1">IFERROR(__xludf.DUMMYFUNCTION("""COMPUTED_VALUE"""),"RF-00001756-MCG")</f>
        <v>RF-00001756-MCG</v>
      </c>
    </row>
    <row r="5930" spans="1:2" ht="12.5" x14ac:dyDescent="0.25">
      <c r="A5930" t="str">
        <f ca="1">IFERROR(__xludf.DUMMYFUNCTION("""COMPUTED_VALUE"""),"Salmonella Bareilly")</f>
        <v>Salmonella Bareilly</v>
      </c>
      <c r="B5930" t="str">
        <f ca="1">IFERROR(__xludf.DUMMYFUNCTION("""COMPUTED_VALUE"""),"RF-00001768-MCG")</f>
        <v>RF-00001768-MCG</v>
      </c>
    </row>
    <row r="5931" spans="1:2" ht="12.5" x14ac:dyDescent="0.25">
      <c r="A5931" t="str">
        <f ca="1">IFERROR(__xludf.DUMMYFUNCTION("""COMPUTED_VALUE"""),"Salmonella Bargny")</f>
        <v>Salmonella Bargny</v>
      </c>
      <c r="B5931" t="str">
        <f ca="1">IFERROR(__xludf.DUMMYFUNCTION("""COMPUTED_VALUE"""),"RF-00001754-MCG")</f>
        <v>RF-00001754-MCG</v>
      </c>
    </row>
    <row r="5932" spans="1:2" ht="12.5" x14ac:dyDescent="0.25">
      <c r="A5932" t="str">
        <f ca="1">IFERROR(__xludf.DUMMYFUNCTION("""COMPUTED_VALUE"""),"Salmonella Barmbek")</f>
        <v>Salmonella Barmbek</v>
      </c>
      <c r="B5932" t="str">
        <f ca="1">IFERROR(__xludf.DUMMYFUNCTION("""COMPUTED_VALUE"""),"RF-00001753-MCG")</f>
        <v>RF-00001753-MCG</v>
      </c>
    </row>
    <row r="5933" spans="1:2" ht="12.5" x14ac:dyDescent="0.25">
      <c r="A5933" t="str">
        <f ca="1">IFERROR(__xludf.DUMMYFUNCTION("""COMPUTED_VALUE"""),"Salmonella Barranquilla")</f>
        <v>Salmonella Barranquilla</v>
      </c>
      <c r="B5933" t="str">
        <f ca="1">IFERROR(__xludf.DUMMYFUNCTION("""COMPUTED_VALUE"""),"RF-00001752-MCG")</f>
        <v>RF-00001752-MCG</v>
      </c>
    </row>
    <row r="5934" spans="1:2" ht="12.5" x14ac:dyDescent="0.25">
      <c r="A5934" t="str">
        <f ca="1">IFERROR(__xludf.DUMMYFUNCTION("""COMPUTED_VALUE"""),"Salmonella Barry")</f>
        <v>Salmonella Barry</v>
      </c>
      <c r="B5934" t="str">
        <f ca="1">IFERROR(__xludf.DUMMYFUNCTION("""COMPUTED_VALUE"""),"RF-00001751-MCG")</f>
        <v>RF-00001751-MCG</v>
      </c>
    </row>
    <row r="5935" spans="1:2" ht="12.5" x14ac:dyDescent="0.25">
      <c r="A5935" t="str">
        <f ca="1">IFERROR(__xludf.DUMMYFUNCTION("""COMPUTED_VALUE"""),"Salmonella Basingstoke")</f>
        <v>Salmonella Basingstoke</v>
      </c>
      <c r="B5935" t="str">
        <f ca="1">IFERROR(__xludf.DUMMYFUNCTION("""COMPUTED_VALUE"""),"RF-00001750-MCG")</f>
        <v>RF-00001750-MCG</v>
      </c>
    </row>
    <row r="5936" spans="1:2" ht="12.5" x14ac:dyDescent="0.25">
      <c r="A5936" t="str">
        <f ca="1">IFERROR(__xludf.DUMMYFUNCTION("""COMPUTED_VALUE"""),"Salmonella Bassa")</f>
        <v>Salmonella Bassa</v>
      </c>
      <c r="B5936" t="str">
        <f ca="1">IFERROR(__xludf.DUMMYFUNCTION("""COMPUTED_VALUE"""),"RF-00001749-MCG")</f>
        <v>RF-00001749-MCG</v>
      </c>
    </row>
    <row r="5937" spans="1:2" ht="12.5" x14ac:dyDescent="0.25">
      <c r="A5937" t="str">
        <f ca="1">IFERROR(__xludf.DUMMYFUNCTION("""COMPUTED_VALUE"""),"Salmonella Bassadji")</f>
        <v>Salmonella Bassadji</v>
      </c>
      <c r="B5937" t="str">
        <f ca="1">IFERROR(__xludf.DUMMYFUNCTION("""COMPUTED_VALUE"""),"RF-00001748-MCG")</f>
        <v>RF-00001748-MCG</v>
      </c>
    </row>
    <row r="5938" spans="1:2" ht="12.5" x14ac:dyDescent="0.25">
      <c r="A5938" t="str">
        <f ca="1">IFERROR(__xludf.DUMMYFUNCTION("""COMPUTED_VALUE"""),"Salmonella Batonrouge")</f>
        <v>Salmonella Batonrouge</v>
      </c>
      <c r="B5938" t="str">
        <f ca="1">IFERROR(__xludf.DUMMYFUNCTION("""COMPUTED_VALUE"""),"RF-00001747-MCG")</f>
        <v>RF-00001747-MCG</v>
      </c>
    </row>
    <row r="5939" spans="1:2" ht="12.5" x14ac:dyDescent="0.25">
      <c r="A5939" t="str">
        <f ca="1">IFERROR(__xludf.DUMMYFUNCTION("""COMPUTED_VALUE"""),"Salmonella Battle")</f>
        <v>Salmonella Battle</v>
      </c>
      <c r="B5939" t="str">
        <f ca="1">IFERROR(__xludf.DUMMYFUNCTION("""COMPUTED_VALUE"""),"RF-00001746-MCG")</f>
        <v>RF-00001746-MCG</v>
      </c>
    </row>
    <row r="5940" spans="1:2" ht="12.5" x14ac:dyDescent="0.25">
      <c r="A5940" t="str">
        <f ca="1">IFERROR(__xludf.DUMMYFUNCTION("""COMPUTED_VALUE"""),"Salmonella Bazenheid")</f>
        <v>Salmonella Bazenheid</v>
      </c>
      <c r="B5940" t="str">
        <f ca="1">IFERROR(__xludf.DUMMYFUNCTION("""COMPUTED_VALUE"""),"RF-00001780-MCG")</f>
        <v>RF-00001780-MCG</v>
      </c>
    </row>
    <row r="5941" spans="1:2" ht="12.5" x14ac:dyDescent="0.25">
      <c r="A5941" t="str">
        <f ca="1">IFERROR(__xludf.DUMMYFUNCTION("""COMPUTED_VALUE"""),"Salmonella Be")</f>
        <v>Salmonella Be</v>
      </c>
      <c r="B5941" t="str">
        <f ca="1">IFERROR(__xludf.DUMMYFUNCTION("""COMPUTED_VALUE"""),"RF-00001782-MCG")</f>
        <v>RF-00001782-MCG</v>
      </c>
    </row>
    <row r="5942" spans="1:2" ht="12.5" x14ac:dyDescent="0.25">
      <c r="A5942" t="str">
        <f ca="1">IFERROR(__xludf.DUMMYFUNCTION("""COMPUTED_VALUE"""),"Salmonella Beaudesert")</f>
        <v>Salmonella Beaudesert</v>
      </c>
      <c r="B5942" t="str">
        <f ca="1">IFERROR(__xludf.DUMMYFUNCTION("""COMPUTED_VALUE"""),"RF-00000450-MCG")</f>
        <v>RF-00000450-MCG</v>
      </c>
    </row>
    <row r="5943" spans="1:2" ht="12.5" x14ac:dyDescent="0.25">
      <c r="A5943" t="str">
        <f ca="1">IFERROR(__xludf.DUMMYFUNCTION("""COMPUTED_VALUE"""),"Salmonella Bedford")</f>
        <v>Salmonella Bedford</v>
      </c>
      <c r="B5943" t="str">
        <f ca="1">IFERROR(__xludf.DUMMYFUNCTION("""COMPUTED_VALUE"""),"RF-00000451-MCG")</f>
        <v>RF-00000451-MCG</v>
      </c>
    </row>
    <row r="5944" spans="1:2" ht="12.5" x14ac:dyDescent="0.25">
      <c r="A5944" t="str">
        <f ca="1">IFERROR(__xludf.DUMMYFUNCTION("""COMPUTED_VALUE"""),"Salmonella Belem")</f>
        <v>Salmonella Belem</v>
      </c>
      <c r="B5944" t="str">
        <f ca="1">IFERROR(__xludf.DUMMYFUNCTION("""COMPUTED_VALUE"""),"RF-00000452-MCG")</f>
        <v>RF-00000452-MCG</v>
      </c>
    </row>
    <row r="5945" spans="1:2" ht="12.5" x14ac:dyDescent="0.25">
      <c r="A5945" t="str">
        <f ca="1">IFERROR(__xludf.DUMMYFUNCTION("""COMPUTED_VALUE"""),"Salmonella Belfast")</f>
        <v>Salmonella Belfast</v>
      </c>
      <c r="B5945" t="str">
        <f ca="1">IFERROR(__xludf.DUMMYFUNCTION("""COMPUTED_VALUE"""),"RF-00000453-MCG")</f>
        <v>RF-00000453-MCG</v>
      </c>
    </row>
    <row r="5946" spans="1:2" ht="12.5" x14ac:dyDescent="0.25">
      <c r="A5946" t="str">
        <f ca="1">IFERROR(__xludf.DUMMYFUNCTION("""COMPUTED_VALUE"""),"Salmonella Bellevue")</f>
        <v>Salmonella Bellevue</v>
      </c>
      <c r="B5946" t="str">
        <f ca="1">IFERROR(__xludf.DUMMYFUNCTION("""COMPUTED_VALUE"""),"RF-00000454-MCG")</f>
        <v>RF-00000454-MCG</v>
      </c>
    </row>
    <row r="5947" spans="1:2" ht="12.5" x14ac:dyDescent="0.25">
      <c r="A5947" t="str">
        <f ca="1">IFERROR(__xludf.DUMMYFUNCTION("""COMPUTED_VALUE"""),"Salmonella Benfica")</f>
        <v>Salmonella Benfica</v>
      </c>
      <c r="B5947" t="str">
        <f ca="1">IFERROR(__xludf.DUMMYFUNCTION("""COMPUTED_VALUE"""),"RF-00000455-MCG")</f>
        <v>RF-00000455-MCG</v>
      </c>
    </row>
    <row r="5948" spans="1:2" ht="12.5" x14ac:dyDescent="0.25">
      <c r="A5948" t="str">
        <f ca="1">IFERROR(__xludf.DUMMYFUNCTION("""COMPUTED_VALUE"""),"Salmonella Benguella")</f>
        <v>Salmonella Benguella</v>
      </c>
      <c r="B5948" t="str">
        <f ca="1">IFERROR(__xludf.DUMMYFUNCTION("""COMPUTED_VALUE"""),"RF-00000456-MCG")</f>
        <v>RF-00000456-MCG</v>
      </c>
    </row>
    <row r="5949" spans="1:2" ht="12.5" x14ac:dyDescent="0.25">
      <c r="A5949" t="str">
        <f ca="1">IFERROR(__xludf.DUMMYFUNCTION("""COMPUTED_VALUE"""),"Salmonella Benin")</f>
        <v>Salmonella Benin</v>
      </c>
      <c r="B5949" t="str">
        <f ca="1">IFERROR(__xludf.DUMMYFUNCTION("""COMPUTED_VALUE"""),"RF-00000457-MCG")</f>
        <v>RF-00000457-MCG</v>
      </c>
    </row>
    <row r="5950" spans="1:2" ht="12.5" x14ac:dyDescent="0.25">
      <c r="A5950" t="str">
        <f ca="1">IFERROR(__xludf.DUMMYFUNCTION("""COMPUTED_VALUE"""),"Salmonella Benue")</f>
        <v>Salmonella Benue</v>
      </c>
      <c r="B5950" t="str">
        <f ca="1">IFERROR(__xludf.DUMMYFUNCTION("""COMPUTED_VALUE"""),"RF-00000458-MCG")</f>
        <v>RF-00000458-MCG</v>
      </c>
    </row>
    <row r="5951" spans="1:2" ht="12.5" x14ac:dyDescent="0.25">
      <c r="A5951" t="str">
        <f ca="1">IFERROR(__xludf.DUMMYFUNCTION("""COMPUTED_VALUE"""),"Salmonella Bere")</f>
        <v>Salmonella Bere</v>
      </c>
      <c r="B5951" t="str">
        <f ca="1">IFERROR(__xludf.DUMMYFUNCTION("""COMPUTED_VALUE"""),"RF-00000459-MCG")</f>
        <v>RF-00000459-MCG</v>
      </c>
    </row>
    <row r="5952" spans="1:2" ht="12.5" x14ac:dyDescent="0.25">
      <c r="A5952" t="str">
        <f ca="1">IFERROR(__xludf.DUMMYFUNCTION("""COMPUTED_VALUE"""),"Salmonella Bergedorf")</f>
        <v>Salmonella Bergedorf</v>
      </c>
      <c r="B5952" t="str">
        <f ca="1">IFERROR(__xludf.DUMMYFUNCTION("""COMPUTED_VALUE"""),"RF-00000460-MCG")</f>
        <v>RF-00000460-MCG</v>
      </c>
    </row>
    <row r="5953" spans="1:2" ht="12.5" x14ac:dyDescent="0.25">
      <c r="A5953" t="str">
        <f ca="1">IFERROR(__xludf.DUMMYFUNCTION("""COMPUTED_VALUE"""),"Salmonella Bergen")</f>
        <v>Salmonella Bergen</v>
      </c>
      <c r="B5953" t="str">
        <f ca="1">IFERROR(__xludf.DUMMYFUNCTION("""COMPUTED_VALUE"""),"RF-00000461-MCG")</f>
        <v>RF-00000461-MCG</v>
      </c>
    </row>
    <row r="5954" spans="1:2" ht="12.5" x14ac:dyDescent="0.25">
      <c r="A5954" t="str">
        <f ca="1">IFERROR(__xludf.DUMMYFUNCTION("""COMPUTED_VALUE"""),"Salmonella Bergues")</f>
        <v>Salmonella Bergues</v>
      </c>
      <c r="B5954" t="str">
        <f ca="1">IFERROR(__xludf.DUMMYFUNCTION("""COMPUTED_VALUE"""),"RF-00000477-MCG")</f>
        <v>RF-00000477-MCG</v>
      </c>
    </row>
    <row r="5955" spans="1:2" ht="12.5" x14ac:dyDescent="0.25">
      <c r="A5955" t="str">
        <f ca="1">IFERROR(__xludf.DUMMYFUNCTION("""COMPUTED_VALUE"""),"Salmonella Berkeley")</f>
        <v>Salmonella Berkeley</v>
      </c>
      <c r="B5955" t="str">
        <f ca="1">IFERROR(__xludf.DUMMYFUNCTION("""COMPUTED_VALUE"""),"RF-00000463-MCG")</f>
        <v>RF-00000463-MCG</v>
      </c>
    </row>
    <row r="5956" spans="1:2" ht="12.5" x14ac:dyDescent="0.25">
      <c r="A5956" t="str">
        <f ca="1">IFERROR(__xludf.DUMMYFUNCTION("""COMPUTED_VALUE"""),"Salmonella Berlin")</f>
        <v>Salmonella Berlin</v>
      </c>
      <c r="B5956" t="str">
        <f ca="1">IFERROR(__xludf.DUMMYFUNCTION("""COMPUTED_VALUE"""),"RF-00000449-MCG")</f>
        <v>RF-00000449-MCG</v>
      </c>
    </row>
    <row r="5957" spans="1:2" ht="12.5" x14ac:dyDescent="0.25">
      <c r="A5957" t="str">
        <f ca="1">IFERROR(__xludf.DUMMYFUNCTION("""COMPUTED_VALUE"""),"Salmonella Berta")</f>
        <v>Salmonella Berta</v>
      </c>
      <c r="B5957" t="str">
        <f ca="1">IFERROR(__xludf.DUMMYFUNCTION("""COMPUTED_VALUE"""),"RF-00000465-MCG")</f>
        <v>RF-00000465-MCG</v>
      </c>
    </row>
    <row r="5958" spans="1:2" ht="12.5" x14ac:dyDescent="0.25">
      <c r="A5958" t="str">
        <f ca="1">IFERROR(__xludf.DUMMYFUNCTION("""COMPUTED_VALUE"""),"Salmonella Bessi")</f>
        <v>Salmonella Bessi</v>
      </c>
      <c r="B5958" t="str">
        <f ca="1">IFERROR(__xludf.DUMMYFUNCTION("""COMPUTED_VALUE"""),"RF-00000466-MCG")</f>
        <v>RF-00000466-MCG</v>
      </c>
    </row>
    <row r="5959" spans="1:2" ht="12.5" x14ac:dyDescent="0.25">
      <c r="A5959" t="str">
        <f ca="1">IFERROR(__xludf.DUMMYFUNCTION("""COMPUTED_VALUE"""),"Salmonella Bethune")</f>
        <v>Salmonella Bethune</v>
      </c>
      <c r="B5959" t="str">
        <f ca="1">IFERROR(__xludf.DUMMYFUNCTION("""COMPUTED_VALUE"""),"RF-00000467-MCG")</f>
        <v>RF-00000467-MCG</v>
      </c>
    </row>
    <row r="5960" spans="1:2" ht="12.5" x14ac:dyDescent="0.25">
      <c r="A5960" t="str">
        <f ca="1">IFERROR(__xludf.DUMMYFUNCTION("""COMPUTED_VALUE"""),"Salmonella Biafra")</f>
        <v>Salmonella Biafra</v>
      </c>
      <c r="B5960" t="str">
        <f ca="1">IFERROR(__xludf.DUMMYFUNCTION("""COMPUTED_VALUE"""),"RF-00000468-MCG")</f>
        <v>RF-00000468-MCG</v>
      </c>
    </row>
    <row r="5961" spans="1:2" ht="12.5" x14ac:dyDescent="0.25">
      <c r="A5961" t="str">
        <f ca="1">IFERROR(__xludf.DUMMYFUNCTION("""COMPUTED_VALUE"""),"Salmonella Bida")</f>
        <v>Salmonella Bida</v>
      </c>
      <c r="B5961" t="str">
        <f ca="1">IFERROR(__xludf.DUMMYFUNCTION("""COMPUTED_VALUE"""),"RF-00000469-MCG")</f>
        <v>RF-00000469-MCG</v>
      </c>
    </row>
    <row r="5962" spans="1:2" ht="12.5" x14ac:dyDescent="0.25">
      <c r="A5962" t="str">
        <f ca="1">IFERROR(__xludf.DUMMYFUNCTION("""COMPUTED_VALUE"""),"Salmonella Bietri")</f>
        <v>Salmonella Bietri</v>
      </c>
      <c r="B5962" t="str">
        <f ca="1">IFERROR(__xludf.DUMMYFUNCTION("""COMPUTED_VALUE"""),"RF-00000470-MCG")</f>
        <v>RF-00000470-MCG</v>
      </c>
    </row>
    <row r="5963" spans="1:2" ht="12.5" x14ac:dyDescent="0.25">
      <c r="A5963" t="str">
        <f ca="1">IFERROR(__xludf.DUMMYFUNCTION("""COMPUTED_VALUE"""),"Salmonella Bignona")</f>
        <v>Salmonella Bignona</v>
      </c>
      <c r="B5963" t="str">
        <f ca="1">IFERROR(__xludf.DUMMYFUNCTION("""COMPUTED_VALUE"""),"RF-00000471-MCG")</f>
        <v>RF-00000471-MCG</v>
      </c>
    </row>
    <row r="5964" spans="1:2" ht="12.5" x14ac:dyDescent="0.25">
      <c r="A5964" t="str">
        <f ca="1">IFERROR(__xludf.DUMMYFUNCTION("""COMPUTED_VALUE"""),"Salmonella Bijlmer")</f>
        <v>Salmonella Bijlmer</v>
      </c>
      <c r="B5964" t="str">
        <f ca="1">IFERROR(__xludf.DUMMYFUNCTION("""COMPUTED_VALUE"""),"RF-00000472-MCG")</f>
        <v>RF-00000472-MCG</v>
      </c>
    </row>
    <row r="5965" spans="1:2" ht="12.5" x14ac:dyDescent="0.25">
      <c r="A5965" t="str">
        <f ca="1">IFERROR(__xludf.DUMMYFUNCTION("""COMPUTED_VALUE"""),"Salmonella Bilu")</f>
        <v>Salmonella Bilu</v>
      </c>
      <c r="B5965" t="str">
        <f ca="1">IFERROR(__xludf.DUMMYFUNCTION("""COMPUTED_VALUE"""),"RF-00000473-MCG")</f>
        <v>RF-00000473-MCG</v>
      </c>
    </row>
    <row r="5966" spans="1:2" ht="12.5" x14ac:dyDescent="0.25">
      <c r="A5966" t="str">
        <f ca="1">IFERROR(__xludf.DUMMYFUNCTION("""COMPUTED_VALUE"""),"Salmonella Binche")</f>
        <v>Salmonella Binche</v>
      </c>
      <c r="B5966" t="str">
        <f ca="1">IFERROR(__xludf.DUMMYFUNCTION("""COMPUTED_VALUE"""),"RF-00000474-MCG")</f>
        <v>RF-00000474-MCG</v>
      </c>
    </row>
    <row r="5967" spans="1:2" ht="12.5" x14ac:dyDescent="0.25">
      <c r="A5967" t="str">
        <f ca="1">IFERROR(__xludf.DUMMYFUNCTION("""COMPUTED_VALUE"""),"Salmonella Bingerville")</f>
        <v>Salmonella Bingerville</v>
      </c>
      <c r="B5967" t="str">
        <f ca="1">IFERROR(__xludf.DUMMYFUNCTION("""COMPUTED_VALUE"""),"RF-00000475-MCG")</f>
        <v>RF-00000475-MCG</v>
      </c>
    </row>
    <row r="5968" spans="1:2" ht="12.5" x14ac:dyDescent="0.25">
      <c r="A5968" t="str">
        <f ca="1">IFERROR(__xludf.DUMMYFUNCTION("""COMPUTED_VALUE"""),"Salmonella Binningen")</f>
        <v>Salmonella Binningen</v>
      </c>
      <c r="B5968" t="str">
        <f ca="1">IFERROR(__xludf.DUMMYFUNCTION("""COMPUTED_VALUE"""),"RF-00000476-MCG")</f>
        <v>RF-00000476-MCG</v>
      </c>
    </row>
    <row r="5969" spans="1:2" ht="12.5" x14ac:dyDescent="0.25">
      <c r="A5969" t="str">
        <f ca="1">IFERROR(__xludf.DUMMYFUNCTION("""COMPUTED_VALUE"""),"Salmonella Binza")</f>
        <v>Salmonella Binza</v>
      </c>
      <c r="B5969" t="str">
        <f ca="1">IFERROR(__xludf.DUMMYFUNCTION("""COMPUTED_VALUE"""),"RF-00000435-MCG")</f>
        <v>RF-00000435-MCG</v>
      </c>
    </row>
    <row r="5970" spans="1:2" ht="12.5" x14ac:dyDescent="0.25">
      <c r="A5970" t="str">
        <f ca="1">IFERROR(__xludf.DUMMYFUNCTION("""COMPUTED_VALUE"""),"Salmonella Birkenhead")</f>
        <v>Salmonella Birkenhead</v>
      </c>
      <c r="B5970" t="str">
        <f ca="1">IFERROR(__xludf.DUMMYFUNCTION("""COMPUTED_VALUE"""),"RF-00000433-MCG")</f>
        <v>RF-00000433-MCG</v>
      </c>
    </row>
    <row r="5971" spans="1:2" ht="12.5" x14ac:dyDescent="0.25">
      <c r="A5971" t="str">
        <f ca="1">IFERROR(__xludf.DUMMYFUNCTION("""COMPUTED_VALUE"""),"Salmonella Birmingham")</f>
        <v>Salmonella Birmingham</v>
      </c>
      <c r="B5971" t="str">
        <f ca="1">IFERROR(__xludf.DUMMYFUNCTION("""COMPUTED_VALUE"""),"RF-00000462-MCG")</f>
        <v>RF-00000462-MCG</v>
      </c>
    </row>
    <row r="5972" spans="1:2" ht="12.5" x14ac:dyDescent="0.25">
      <c r="A5972" t="str">
        <f ca="1">IFERROR(__xludf.DUMMYFUNCTION("""COMPUTED_VALUE"""),"Salmonella Bispebjerg")</f>
        <v>Salmonella Bispebjerg</v>
      </c>
      <c r="B5972" t="str">
        <f ca="1">IFERROR(__xludf.DUMMYFUNCTION("""COMPUTED_VALUE"""),"RF-00000422-MCG")</f>
        <v>RF-00000422-MCG</v>
      </c>
    </row>
    <row r="5973" spans="1:2" ht="12.5" x14ac:dyDescent="0.25">
      <c r="A5973" t="str">
        <f ca="1">IFERROR(__xludf.DUMMYFUNCTION("""COMPUTED_VALUE"""),"Salmonella Bissau")</f>
        <v>Salmonella Bissau</v>
      </c>
      <c r="B5973" t="str">
        <f ca="1">IFERROR(__xludf.DUMMYFUNCTION("""COMPUTED_VALUE"""),"RF-00000423-MCG")</f>
        <v>RF-00000423-MCG</v>
      </c>
    </row>
    <row r="5974" spans="1:2" ht="12.5" x14ac:dyDescent="0.25">
      <c r="A5974" t="str">
        <f ca="1">IFERROR(__xludf.DUMMYFUNCTION("""COMPUTED_VALUE"""),"Salmonella Blegdam")</f>
        <v>Salmonella Blegdam</v>
      </c>
      <c r="B5974" t="str">
        <f ca="1">IFERROR(__xludf.DUMMYFUNCTION("""COMPUTED_VALUE"""),"RF-00000424-MCG")</f>
        <v>RF-00000424-MCG</v>
      </c>
    </row>
    <row r="5975" spans="1:2" ht="12.5" x14ac:dyDescent="0.25">
      <c r="A5975" t="str">
        <f ca="1">IFERROR(__xludf.DUMMYFUNCTION("""COMPUTED_VALUE"""),"Salmonella Blijdorp")</f>
        <v>Salmonella Blijdorp</v>
      </c>
      <c r="B5975" t="str">
        <f ca="1">IFERROR(__xludf.DUMMYFUNCTION("""COMPUTED_VALUE"""),"RF-00000425-MCG")</f>
        <v>RF-00000425-MCG</v>
      </c>
    </row>
    <row r="5976" spans="1:2" ht="12.5" x14ac:dyDescent="0.25">
      <c r="A5976" t="str">
        <f ca="1">IFERROR(__xludf.DUMMYFUNCTION("""COMPUTED_VALUE"""),"Salmonella Blitta")</f>
        <v>Salmonella Blitta</v>
      </c>
      <c r="B5976" t="str">
        <f ca="1">IFERROR(__xludf.DUMMYFUNCTION("""COMPUTED_VALUE"""),"RF-00000426-MCG")</f>
        <v>RF-00000426-MCG</v>
      </c>
    </row>
    <row r="5977" spans="1:2" ht="12.5" x14ac:dyDescent="0.25">
      <c r="A5977" t="str">
        <f ca="1">IFERROR(__xludf.DUMMYFUNCTION("""COMPUTED_VALUE"""),"Salmonella Blockley")</f>
        <v>Salmonella Blockley</v>
      </c>
      <c r="B5977" t="str">
        <f ca="1">IFERROR(__xludf.DUMMYFUNCTION("""COMPUTED_VALUE"""),"RF-00000427-MCG")</f>
        <v>RF-00000427-MCG</v>
      </c>
    </row>
    <row r="5978" spans="1:2" ht="12.5" x14ac:dyDescent="0.25">
      <c r="A5978" t="str">
        <f ca="1">IFERROR(__xludf.DUMMYFUNCTION("""COMPUTED_VALUE"""),"Salmonella Bloomsbury")</f>
        <v>Salmonella Bloomsbury</v>
      </c>
      <c r="B5978" t="str">
        <f ca="1">IFERROR(__xludf.DUMMYFUNCTION("""COMPUTED_VALUE"""),"RF-00000428-MCG")</f>
        <v>RF-00000428-MCG</v>
      </c>
    </row>
    <row r="5979" spans="1:2" ht="12.5" x14ac:dyDescent="0.25">
      <c r="A5979" t="str">
        <f ca="1">IFERROR(__xludf.DUMMYFUNCTION("""COMPUTED_VALUE"""),"Salmonella Blukwa")</f>
        <v>Salmonella Blukwa</v>
      </c>
      <c r="B5979" t="str">
        <f ca="1">IFERROR(__xludf.DUMMYFUNCTION("""COMPUTED_VALUE"""),"RF-00000429-MCG")</f>
        <v>RF-00000429-MCG</v>
      </c>
    </row>
    <row r="5980" spans="1:2" ht="12.5" x14ac:dyDescent="0.25">
      <c r="A5980" t="str">
        <f ca="1">IFERROR(__xludf.DUMMYFUNCTION("""COMPUTED_VALUE"""),"Salmonella Bobo")</f>
        <v>Salmonella Bobo</v>
      </c>
      <c r="B5980" t="str">
        <f ca="1">IFERROR(__xludf.DUMMYFUNCTION("""COMPUTED_VALUE"""),"RF-00000430-MCG")</f>
        <v>RF-00000430-MCG</v>
      </c>
    </row>
    <row r="5981" spans="1:2" ht="12.5" x14ac:dyDescent="0.25">
      <c r="A5981" t="str">
        <f ca="1">IFERROR(__xludf.DUMMYFUNCTION("""COMPUTED_VALUE"""),"Salmonella Bochum")</f>
        <v>Salmonella Bochum</v>
      </c>
      <c r="B5981" t="str">
        <f ca="1">IFERROR(__xludf.DUMMYFUNCTION("""COMPUTED_VALUE"""),"RF-00000431-MCG")</f>
        <v>RF-00000431-MCG</v>
      </c>
    </row>
    <row r="5982" spans="1:2" ht="12.5" x14ac:dyDescent="0.25">
      <c r="A5982" t="str">
        <f ca="1">IFERROR(__xludf.DUMMYFUNCTION("""COMPUTED_VALUE"""),"Salmonella Bodjonegoro")</f>
        <v>Salmonella Bodjonegoro</v>
      </c>
      <c r="B5982" t="str">
        <f ca="1">IFERROR(__xludf.DUMMYFUNCTION("""COMPUTED_VALUE"""),"RF-00000432-MCG")</f>
        <v>RF-00000432-MCG</v>
      </c>
    </row>
    <row r="5983" spans="1:2" ht="12.5" x14ac:dyDescent="0.25">
      <c r="A5983" t="str">
        <f ca="1">IFERROR(__xludf.DUMMYFUNCTION("""COMPUTED_VALUE"""),"Salmonella Boecker")</f>
        <v>Salmonella Boecker</v>
      </c>
      <c r="B5983" t="str">
        <f ca="1">IFERROR(__xludf.DUMMYFUNCTION("""COMPUTED_VALUE"""),"RF-00000448-MCG")</f>
        <v>RF-00000448-MCG</v>
      </c>
    </row>
    <row r="5984" spans="1:2" ht="12.5" x14ac:dyDescent="0.25">
      <c r="A5984" t="str">
        <f ca="1">IFERROR(__xludf.DUMMYFUNCTION("""COMPUTED_VALUE"""),"Salmonella Bofflens")</f>
        <v>Salmonella Bofflens</v>
      </c>
      <c r="B5984" t="str">
        <f ca="1">IFERROR(__xludf.DUMMYFUNCTION("""COMPUTED_VALUE"""),"RF-00000434-MCG")</f>
        <v>RF-00000434-MCG</v>
      </c>
    </row>
    <row r="5985" spans="1:2" ht="12.5" x14ac:dyDescent="0.25">
      <c r="A5985" t="str">
        <f ca="1">IFERROR(__xludf.DUMMYFUNCTION("""COMPUTED_VALUE"""),"Salmonella Bokanjac")</f>
        <v>Salmonella Bokanjac</v>
      </c>
      <c r="B5985" t="str">
        <f ca="1">IFERROR(__xludf.DUMMYFUNCTION("""COMPUTED_VALUE"""),"RF-00000420-MCG")</f>
        <v>RF-00000420-MCG</v>
      </c>
    </row>
    <row r="5986" spans="1:2" ht="12.5" x14ac:dyDescent="0.25">
      <c r="A5986" t="str">
        <f ca="1">IFERROR(__xludf.DUMMYFUNCTION("""COMPUTED_VALUE"""),"Salmonella Bolama")</f>
        <v>Salmonella Bolama</v>
      </c>
      <c r="B5986" t="str">
        <f ca="1">IFERROR(__xludf.DUMMYFUNCTION("""COMPUTED_VALUE"""),"RF-00000436-MCG")</f>
        <v>RF-00000436-MCG</v>
      </c>
    </row>
    <row r="5987" spans="1:2" ht="12.5" x14ac:dyDescent="0.25">
      <c r="A5987" t="str">
        <f ca="1">IFERROR(__xludf.DUMMYFUNCTION("""COMPUTED_VALUE"""),"Salmonella Bolombo")</f>
        <v>Salmonella Bolombo</v>
      </c>
      <c r="B5987" t="str">
        <f ca="1">IFERROR(__xludf.DUMMYFUNCTION("""COMPUTED_VALUE"""),"RF-00000437-MCG")</f>
        <v>RF-00000437-MCG</v>
      </c>
    </row>
    <row r="5988" spans="1:2" ht="12.5" x14ac:dyDescent="0.25">
      <c r="A5988" t="str">
        <f ca="1">IFERROR(__xludf.DUMMYFUNCTION("""COMPUTED_VALUE"""),"Salmonella Bolton")</f>
        <v>Salmonella Bolton</v>
      </c>
      <c r="B5988" t="str">
        <f ca="1">IFERROR(__xludf.DUMMYFUNCTION("""COMPUTED_VALUE"""),"RF-00000438-MCG")</f>
        <v>RF-00000438-MCG</v>
      </c>
    </row>
    <row r="5989" spans="1:2" ht="12.5" x14ac:dyDescent="0.25">
      <c r="A5989" t="str">
        <f ca="1">IFERROR(__xludf.DUMMYFUNCTION("""COMPUTED_VALUE"""),"Salmonella Bonames")</f>
        <v>Salmonella Bonames</v>
      </c>
      <c r="B5989" t="str">
        <f ca="1">IFERROR(__xludf.DUMMYFUNCTION("""COMPUTED_VALUE"""),"RF-00000439-MCG")</f>
        <v>RF-00000439-MCG</v>
      </c>
    </row>
    <row r="5990" spans="1:2" ht="12.5" x14ac:dyDescent="0.25">
      <c r="A5990" t="str">
        <f ca="1">IFERROR(__xludf.DUMMYFUNCTION("""COMPUTED_VALUE"""),"Salmonella Bonariensis")</f>
        <v>Salmonella Bonariensis</v>
      </c>
      <c r="B5990" t="str">
        <f ca="1">IFERROR(__xludf.DUMMYFUNCTION("""COMPUTED_VALUE"""),"RF-00000440-MCG")</f>
        <v>RF-00000440-MCG</v>
      </c>
    </row>
    <row r="5991" spans="1:2" ht="12.5" x14ac:dyDescent="0.25">
      <c r="A5991" t="str">
        <f ca="1">IFERROR(__xludf.DUMMYFUNCTION("""COMPUTED_VALUE"""),"Salmonella Bongori")</f>
        <v>Salmonella Bongori</v>
      </c>
      <c r="B5991" t="str">
        <f ca="1">IFERROR(__xludf.DUMMYFUNCTION("""COMPUTED_VALUE"""),"RF-00001328-PAR")</f>
        <v>RF-00001328-PAR</v>
      </c>
    </row>
    <row r="5992" spans="1:2" ht="12.5" x14ac:dyDescent="0.25">
      <c r="A5992" t="str">
        <f ca="1">IFERROR(__xludf.DUMMYFUNCTION("""COMPUTED_VALUE"""),"Salmonella Bonn")</f>
        <v>Salmonella Bonn</v>
      </c>
      <c r="B5992" t="str">
        <f ca="1">IFERROR(__xludf.DUMMYFUNCTION("""COMPUTED_VALUE"""),"RF-00000441-MCG")</f>
        <v>RF-00000441-MCG</v>
      </c>
    </row>
    <row r="5993" spans="1:2" ht="12.5" x14ac:dyDescent="0.25">
      <c r="A5993" t="str">
        <f ca="1">IFERROR(__xludf.DUMMYFUNCTION("""COMPUTED_VALUE"""),"Salmonella Bootle")</f>
        <v>Salmonella Bootle</v>
      </c>
      <c r="B5993" t="str">
        <f ca="1">IFERROR(__xludf.DUMMYFUNCTION("""COMPUTED_VALUE"""),"RF-00000442-MCG")</f>
        <v>RF-00000442-MCG</v>
      </c>
    </row>
    <row r="5994" spans="1:2" ht="12.5" x14ac:dyDescent="0.25">
      <c r="A5994" t="str">
        <f ca="1">IFERROR(__xludf.DUMMYFUNCTION("""COMPUTED_VALUE"""),"Salmonella Borbeck")</f>
        <v>Salmonella Borbeck</v>
      </c>
      <c r="B5994" t="str">
        <f ca="1">IFERROR(__xludf.DUMMYFUNCTION("""COMPUTED_VALUE"""),"RF-00000443-MCG")</f>
        <v>RF-00000443-MCG</v>
      </c>
    </row>
    <row r="5995" spans="1:2" ht="12.5" x14ac:dyDescent="0.25">
      <c r="A5995" t="str">
        <f ca="1">IFERROR(__xludf.DUMMYFUNCTION("""COMPUTED_VALUE"""),"Salmonella Bordeaux")</f>
        <v>Salmonella Bordeaux</v>
      </c>
      <c r="B5995" t="str">
        <f ca="1">IFERROR(__xludf.DUMMYFUNCTION("""COMPUTED_VALUE"""),"RF-00000444-MCG")</f>
        <v>RF-00000444-MCG</v>
      </c>
    </row>
    <row r="5996" spans="1:2" ht="12.5" x14ac:dyDescent="0.25">
      <c r="A5996" t="str">
        <f ca="1">IFERROR(__xludf.DUMMYFUNCTION("""COMPUTED_VALUE"""),"Salmonella Borreze")</f>
        <v>Salmonella Borreze</v>
      </c>
      <c r="B5996" t="str">
        <f ca="1">IFERROR(__xludf.DUMMYFUNCTION("""COMPUTED_VALUE"""),"RF-00000445-MCG")</f>
        <v>RF-00000445-MCG</v>
      </c>
    </row>
    <row r="5997" spans="1:2" ht="12.5" x14ac:dyDescent="0.25">
      <c r="A5997" t="str">
        <f ca="1">IFERROR(__xludf.DUMMYFUNCTION("""COMPUTED_VALUE"""),"Salmonella Borromea")</f>
        <v>Salmonella Borromea</v>
      </c>
      <c r="B5997" t="str">
        <f ca="1">IFERROR(__xludf.DUMMYFUNCTION("""COMPUTED_VALUE"""),"RF-00000446-MCG")</f>
        <v>RF-00000446-MCG</v>
      </c>
    </row>
    <row r="5998" spans="1:2" ht="12.5" x14ac:dyDescent="0.25">
      <c r="A5998" t="str">
        <f ca="1">IFERROR(__xludf.DUMMYFUNCTION("""COMPUTED_VALUE"""),"Salmonella Bouake")</f>
        <v>Salmonella Bouake</v>
      </c>
      <c r="B5998" t="str">
        <f ca="1">IFERROR(__xludf.DUMMYFUNCTION("""COMPUTED_VALUE"""),"RF-00000447-MCG")</f>
        <v>RF-00000447-MCG</v>
      </c>
    </row>
    <row r="5999" spans="1:2" ht="12.5" x14ac:dyDescent="0.25">
      <c r="A5999" t="str">
        <f ca="1">IFERROR(__xludf.DUMMYFUNCTION("""COMPUTED_VALUE"""),"Salmonella Bournemouth")</f>
        <v>Salmonella Bournemouth</v>
      </c>
      <c r="B5999" t="str">
        <f ca="1">IFERROR(__xludf.DUMMYFUNCTION("""COMPUTED_VALUE"""),"RF-00000491-MCG")</f>
        <v>RF-00000491-MCG</v>
      </c>
    </row>
    <row r="6000" spans="1:2" ht="12.5" x14ac:dyDescent="0.25">
      <c r="A6000" t="str">
        <f ca="1">IFERROR(__xludf.DUMMYFUNCTION("""COMPUTED_VALUE"""),"Salmonella Bousso")</f>
        <v>Salmonella Bousso</v>
      </c>
      <c r="B6000" t="str">
        <f ca="1">IFERROR(__xludf.DUMMYFUNCTION("""COMPUTED_VALUE"""),"RF-00000535-MCG")</f>
        <v>RF-00000535-MCG</v>
      </c>
    </row>
    <row r="6001" spans="1:2" ht="12.5" x14ac:dyDescent="0.25">
      <c r="A6001" t="str">
        <f ca="1">IFERROR(__xludf.DUMMYFUNCTION("""COMPUTED_VALUE"""),"Salmonella Bovismorbificans")</f>
        <v>Salmonella Bovismorbificans</v>
      </c>
      <c r="B6001" t="str">
        <f ca="1">IFERROR(__xludf.DUMMYFUNCTION("""COMPUTED_VALUE"""),"RF-00000464-MCG")</f>
        <v>RF-00000464-MCG</v>
      </c>
    </row>
    <row r="6002" spans="1:2" ht="12.5" x14ac:dyDescent="0.25">
      <c r="A6002" t="str">
        <f ca="1">IFERROR(__xludf.DUMMYFUNCTION("""COMPUTED_VALUE"""),"Salmonella Bracknell")</f>
        <v>Salmonella Bracknell</v>
      </c>
      <c r="B6002" t="str">
        <f ca="1">IFERROR(__xludf.DUMMYFUNCTION("""COMPUTED_VALUE"""),"RF-00000509-MCG")</f>
        <v>RF-00000509-MCG</v>
      </c>
    </row>
    <row r="6003" spans="1:2" ht="12.5" x14ac:dyDescent="0.25">
      <c r="A6003" t="str">
        <f ca="1">IFERROR(__xludf.DUMMYFUNCTION("""COMPUTED_VALUE"""),"Salmonella Bradford")</f>
        <v>Salmonella Bradford</v>
      </c>
      <c r="B6003" t="str">
        <f ca="1">IFERROR(__xludf.DUMMYFUNCTION("""COMPUTED_VALUE"""),"RF-00000510-MCG")</f>
        <v>RF-00000510-MCG</v>
      </c>
    </row>
    <row r="6004" spans="1:2" ht="12.5" x14ac:dyDescent="0.25">
      <c r="A6004" t="str">
        <f ca="1">IFERROR(__xludf.DUMMYFUNCTION("""COMPUTED_VALUE"""),"Salmonella Braenderup")</f>
        <v>Salmonella Braenderup</v>
      </c>
      <c r="B6004" t="str">
        <f ca="1">IFERROR(__xludf.DUMMYFUNCTION("""COMPUTED_VALUE"""),"RF-00000511-MCG")</f>
        <v>RF-00000511-MCG</v>
      </c>
    </row>
    <row r="6005" spans="1:2" ht="12.5" x14ac:dyDescent="0.25">
      <c r="A6005" t="str">
        <f ca="1">IFERROR(__xludf.DUMMYFUNCTION("""COMPUTED_VALUE"""),"Salmonella Brancaster")</f>
        <v>Salmonella Brancaster</v>
      </c>
      <c r="B6005" t="str">
        <f ca="1">IFERROR(__xludf.DUMMYFUNCTION("""COMPUTED_VALUE"""),"RF-00000512-MCG")</f>
        <v>RF-00000512-MCG</v>
      </c>
    </row>
    <row r="6006" spans="1:2" ht="12.5" x14ac:dyDescent="0.25">
      <c r="A6006" t="str">
        <f ca="1">IFERROR(__xludf.DUMMYFUNCTION("""COMPUTED_VALUE"""),"Salmonella Brandenburg")</f>
        <v>Salmonella Brandenburg</v>
      </c>
      <c r="B6006" t="str">
        <f ca="1">IFERROR(__xludf.DUMMYFUNCTION("""COMPUTED_VALUE"""),"RF-00000513-MCG")</f>
        <v>RF-00000513-MCG</v>
      </c>
    </row>
    <row r="6007" spans="1:2" ht="12.5" x14ac:dyDescent="0.25">
      <c r="A6007" t="str">
        <f ca="1">IFERROR(__xludf.DUMMYFUNCTION("""COMPUTED_VALUE"""),"Salmonella Brazil")</f>
        <v>Salmonella Brazil</v>
      </c>
      <c r="B6007" t="str">
        <f ca="1">IFERROR(__xludf.DUMMYFUNCTION("""COMPUTED_VALUE"""),"RF-00000514-MCG")</f>
        <v>RF-00000514-MCG</v>
      </c>
    </row>
    <row r="6008" spans="1:2" ht="12.5" x14ac:dyDescent="0.25">
      <c r="A6008" t="str">
        <f ca="1">IFERROR(__xludf.DUMMYFUNCTION("""COMPUTED_VALUE"""),"Salmonella Brazos")</f>
        <v>Salmonella Brazos</v>
      </c>
      <c r="B6008" t="str">
        <f ca="1">IFERROR(__xludf.DUMMYFUNCTION("""COMPUTED_VALUE"""),"RF-00000515-MCG")</f>
        <v>RF-00000515-MCG</v>
      </c>
    </row>
    <row r="6009" spans="1:2" ht="12.5" x14ac:dyDescent="0.25">
      <c r="A6009" t="str">
        <f ca="1">IFERROR(__xludf.DUMMYFUNCTION("""COMPUTED_VALUE"""),"Salmonella Brazzaville")</f>
        <v>Salmonella Brazzaville</v>
      </c>
      <c r="B6009" t="str">
        <f ca="1">IFERROR(__xludf.DUMMYFUNCTION("""COMPUTED_VALUE"""),"RF-00000516-MCG")</f>
        <v>RF-00000516-MCG</v>
      </c>
    </row>
    <row r="6010" spans="1:2" ht="12.5" x14ac:dyDescent="0.25">
      <c r="A6010" t="str">
        <f ca="1">IFERROR(__xludf.DUMMYFUNCTION("""COMPUTED_VALUE"""),"Salmonella Breda")</f>
        <v>Salmonella Breda</v>
      </c>
      <c r="B6010" t="str">
        <f ca="1">IFERROR(__xludf.DUMMYFUNCTION("""COMPUTED_VALUE"""),"RF-00000517-MCG")</f>
        <v>RF-00000517-MCG</v>
      </c>
    </row>
    <row r="6011" spans="1:2" ht="12.5" x14ac:dyDescent="0.25">
      <c r="A6011" t="str">
        <f ca="1">IFERROR(__xludf.DUMMYFUNCTION("""COMPUTED_VALUE"""),"Salmonella Bredeney")</f>
        <v>Salmonella Bredeney</v>
      </c>
      <c r="B6011" t="str">
        <f ca="1">IFERROR(__xludf.DUMMYFUNCTION("""COMPUTED_VALUE"""),"RF-00000518-MCG")</f>
        <v>RF-00000518-MCG</v>
      </c>
    </row>
    <row r="6012" spans="1:2" ht="12.5" x14ac:dyDescent="0.25">
      <c r="A6012" t="str">
        <f ca="1">IFERROR(__xludf.DUMMYFUNCTION("""COMPUTED_VALUE"""),"Salmonella Brefet")</f>
        <v>Salmonella Brefet</v>
      </c>
      <c r="B6012" t="str">
        <f ca="1">IFERROR(__xludf.DUMMYFUNCTION("""COMPUTED_VALUE"""),"RF-00000519-MCG")</f>
        <v>RF-00000519-MCG</v>
      </c>
    </row>
    <row r="6013" spans="1:2" ht="12.5" x14ac:dyDescent="0.25">
      <c r="A6013" t="str">
        <f ca="1">IFERROR(__xludf.DUMMYFUNCTION("""COMPUTED_VALUE"""),"Salmonella Breukelen")</f>
        <v>Salmonella Breukelen</v>
      </c>
      <c r="B6013" t="str">
        <f ca="1">IFERROR(__xludf.DUMMYFUNCTION("""COMPUTED_VALUE"""),"RF-00000536-MCG")</f>
        <v>RF-00000536-MCG</v>
      </c>
    </row>
    <row r="6014" spans="1:2" ht="12.5" x14ac:dyDescent="0.25">
      <c r="A6014" t="str">
        <f ca="1">IFERROR(__xludf.DUMMYFUNCTION("""COMPUTED_VALUE"""),"Salmonella Brevik")</f>
        <v>Salmonella Brevik</v>
      </c>
      <c r="B6014" t="str">
        <f ca="1">IFERROR(__xludf.DUMMYFUNCTION("""COMPUTED_VALUE"""),"RF-00000521-MCG")</f>
        <v>RF-00000521-MCG</v>
      </c>
    </row>
    <row r="6015" spans="1:2" ht="12.5" x14ac:dyDescent="0.25">
      <c r="A6015" t="str">
        <f ca="1">IFERROR(__xludf.DUMMYFUNCTION("""COMPUTED_VALUE"""),"Salmonella Brezany")</f>
        <v>Salmonella Brezany</v>
      </c>
      <c r="B6015" t="str">
        <f ca="1">IFERROR(__xludf.DUMMYFUNCTION("""COMPUTED_VALUE"""),"RF-00000507-MCG")</f>
        <v>RF-00000507-MCG</v>
      </c>
    </row>
    <row r="6016" spans="1:2" ht="12.5" x14ac:dyDescent="0.25">
      <c r="A6016" t="str">
        <f ca="1">IFERROR(__xludf.DUMMYFUNCTION("""COMPUTED_VALUE"""),"Salmonella Brijbhumi")</f>
        <v>Salmonella Brijbhumi</v>
      </c>
      <c r="B6016" t="str">
        <f ca="1">IFERROR(__xludf.DUMMYFUNCTION("""COMPUTED_VALUE"""),"RF-00000523-MCG")</f>
        <v>RF-00000523-MCG</v>
      </c>
    </row>
    <row r="6017" spans="1:2" ht="12.5" x14ac:dyDescent="0.25">
      <c r="A6017" t="str">
        <f ca="1">IFERROR(__xludf.DUMMYFUNCTION("""COMPUTED_VALUE"""),"Salmonella Brikama")</f>
        <v>Salmonella Brikama</v>
      </c>
      <c r="B6017" t="str">
        <f ca="1">IFERROR(__xludf.DUMMYFUNCTION("""COMPUTED_VALUE"""),"RF-00000524-MCG")</f>
        <v>RF-00000524-MCG</v>
      </c>
    </row>
    <row r="6018" spans="1:2" ht="12.5" x14ac:dyDescent="0.25">
      <c r="A6018" t="str">
        <f ca="1">IFERROR(__xludf.DUMMYFUNCTION("""COMPUTED_VALUE"""),"Salmonella Brindisi")</f>
        <v>Salmonella Brindisi</v>
      </c>
      <c r="B6018" t="str">
        <f ca="1">IFERROR(__xludf.DUMMYFUNCTION("""COMPUTED_VALUE"""),"RF-00000525-MCG")</f>
        <v>RF-00000525-MCG</v>
      </c>
    </row>
    <row r="6019" spans="1:2" ht="12.5" x14ac:dyDescent="0.25">
      <c r="A6019" t="str">
        <f ca="1">IFERROR(__xludf.DUMMYFUNCTION("""COMPUTED_VALUE"""),"Salmonella Brisbane")</f>
        <v>Salmonella Brisbane</v>
      </c>
      <c r="B6019" t="str">
        <f ca="1">IFERROR(__xludf.DUMMYFUNCTION("""COMPUTED_VALUE"""),"RF-00000526-MCG")</f>
        <v>RF-00000526-MCG</v>
      </c>
    </row>
    <row r="6020" spans="1:2" ht="12.5" x14ac:dyDescent="0.25">
      <c r="A6020" t="str">
        <f ca="1">IFERROR(__xludf.DUMMYFUNCTION("""COMPUTED_VALUE"""),"Salmonella Bristol")</f>
        <v>Salmonella Bristol</v>
      </c>
      <c r="B6020" t="str">
        <f ca="1">IFERROR(__xludf.DUMMYFUNCTION("""COMPUTED_VALUE"""),"RF-00000527-MCG")</f>
        <v>RF-00000527-MCG</v>
      </c>
    </row>
    <row r="6021" spans="1:2" ht="12.5" x14ac:dyDescent="0.25">
      <c r="A6021" t="str">
        <f ca="1">IFERROR(__xludf.DUMMYFUNCTION("""COMPUTED_VALUE"""),"Salmonella Brive")</f>
        <v>Salmonella Brive</v>
      </c>
      <c r="B6021" t="str">
        <f ca="1">IFERROR(__xludf.DUMMYFUNCTION("""COMPUTED_VALUE"""),"RF-00000528-MCG")</f>
        <v>RF-00000528-MCG</v>
      </c>
    </row>
    <row r="6022" spans="1:2" ht="12.5" x14ac:dyDescent="0.25">
      <c r="A6022" t="str">
        <f ca="1">IFERROR(__xludf.DUMMYFUNCTION("""COMPUTED_VALUE"""),"Salmonella Bron")</f>
        <v>Salmonella Bron</v>
      </c>
      <c r="B6022" t="str">
        <f ca="1">IFERROR(__xludf.DUMMYFUNCTION("""COMPUTED_VALUE"""),"RF-00000529-MCG")</f>
        <v>RF-00000529-MCG</v>
      </c>
    </row>
    <row r="6023" spans="1:2" ht="12.5" x14ac:dyDescent="0.25">
      <c r="A6023" t="str">
        <f ca="1">IFERROR(__xludf.DUMMYFUNCTION("""COMPUTED_VALUE"""),"Salmonella Bronx")</f>
        <v>Salmonella Bronx</v>
      </c>
      <c r="B6023" t="str">
        <f ca="1">IFERROR(__xludf.DUMMYFUNCTION("""COMPUTED_VALUE"""),"RF-00000530-MCG")</f>
        <v>RF-00000530-MCG</v>
      </c>
    </row>
    <row r="6024" spans="1:2" ht="12.5" x14ac:dyDescent="0.25">
      <c r="A6024" t="str">
        <f ca="1">IFERROR(__xludf.DUMMYFUNCTION("""COMPUTED_VALUE"""),"Salmonella Brooklyn")</f>
        <v>Salmonella Brooklyn</v>
      </c>
      <c r="B6024" t="str">
        <f ca="1">IFERROR(__xludf.DUMMYFUNCTION("""COMPUTED_VALUE"""),"RF-00000531-MCG")</f>
        <v>RF-00000531-MCG</v>
      </c>
    </row>
    <row r="6025" spans="1:2" ht="12.5" x14ac:dyDescent="0.25">
      <c r="A6025" t="str">
        <f ca="1">IFERROR(__xludf.DUMMYFUNCTION("""COMPUTED_VALUE"""),"Salmonella Broughton")</f>
        <v>Salmonella Broughton</v>
      </c>
      <c r="B6025" t="str">
        <f ca="1">IFERROR(__xludf.DUMMYFUNCTION("""COMPUTED_VALUE"""),"RF-00000532-MCG")</f>
        <v>RF-00000532-MCG</v>
      </c>
    </row>
    <row r="6026" spans="1:2" ht="12.5" x14ac:dyDescent="0.25">
      <c r="A6026" t="str">
        <f ca="1">IFERROR(__xludf.DUMMYFUNCTION("""COMPUTED_VALUE"""),"Salmonella Bruck")</f>
        <v>Salmonella Bruck</v>
      </c>
      <c r="B6026" t="str">
        <f ca="1">IFERROR(__xludf.DUMMYFUNCTION("""COMPUTED_VALUE"""),"RF-00000533-MCG")</f>
        <v>RF-00000533-MCG</v>
      </c>
    </row>
    <row r="6027" spans="1:2" ht="12.5" x14ac:dyDescent="0.25">
      <c r="A6027" t="str">
        <f ca="1">IFERROR(__xludf.DUMMYFUNCTION("""COMPUTED_VALUE"""),"Salmonella Brunei")</f>
        <v>Salmonella Brunei</v>
      </c>
      <c r="B6027" t="str">
        <f ca="1">IFERROR(__xludf.DUMMYFUNCTION("""COMPUTED_VALUE"""),"RF-00000534-MCG")</f>
        <v>RF-00000534-MCG</v>
      </c>
    </row>
    <row r="6028" spans="1:2" ht="12.5" x14ac:dyDescent="0.25">
      <c r="A6028" t="str">
        <f ca="1">IFERROR(__xludf.DUMMYFUNCTION("""COMPUTED_VALUE"""),"Salmonella Brunflo")</f>
        <v>Salmonella Brunflo</v>
      </c>
      <c r="B6028" t="str">
        <f ca="1">IFERROR(__xludf.DUMMYFUNCTION("""COMPUTED_VALUE"""),"RF-00000493-MCG")</f>
        <v>RF-00000493-MCG</v>
      </c>
    </row>
    <row r="6029" spans="1:2" ht="12.5" x14ac:dyDescent="0.25">
      <c r="A6029" t="str">
        <f ca="1">IFERROR(__xludf.DUMMYFUNCTION("""COMPUTED_VALUE"""),"Salmonella Bsilla")</f>
        <v>Salmonella Bsilla</v>
      </c>
      <c r="B6029" t="str">
        <f ca="1">IFERROR(__xludf.DUMMYFUNCTION("""COMPUTED_VALUE"""),"RF-00000522-MCG")</f>
        <v>RF-00000522-MCG</v>
      </c>
    </row>
    <row r="6030" spans="1:2" ht="12.5" x14ac:dyDescent="0.25">
      <c r="A6030" t="str">
        <f ca="1">IFERROR(__xludf.DUMMYFUNCTION("""COMPUTED_VALUE"""),"Salmonella Buckeye")</f>
        <v>Salmonella Buckeye</v>
      </c>
      <c r="B6030" t="str">
        <f ca="1">IFERROR(__xludf.DUMMYFUNCTION("""COMPUTED_VALUE"""),"RF-00000520-MCG")</f>
        <v>RF-00000520-MCG</v>
      </c>
    </row>
    <row r="6031" spans="1:2" ht="12.5" x14ac:dyDescent="0.25">
      <c r="A6031" t="str">
        <f ca="1">IFERROR(__xludf.DUMMYFUNCTION("""COMPUTED_VALUE"""),"Salmonella Budapest")</f>
        <v>Salmonella Budapest</v>
      </c>
      <c r="B6031" t="str">
        <f ca="1">IFERROR(__xludf.DUMMYFUNCTION("""COMPUTED_VALUE"""),"RF-00000479-MCG")</f>
        <v>RF-00000479-MCG</v>
      </c>
    </row>
    <row r="6032" spans="1:2" ht="12.5" x14ac:dyDescent="0.25">
      <c r="A6032" t="str">
        <f ca="1">IFERROR(__xludf.DUMMYFUNCTION("""COMPUTED_VALUE"""),"Salmonella Bukavu")</f>
        <v>Salmonella Bukavu</v>
      </c>
      <c r="B6032" t="str">
        <f ca="1">IFERROR(__xludf.DUMMYFUNCTION("""COMPUTED_VALUE"""),"RF-00000480-MCG")</f>
        <v>RF-00000480-MCG</v>
      </c>
    </row>
    <row r="6033" spans="1:2" ht="12.5" x14ac:dyDescent="0.25">
      <c r="A6033" t="str">
        <f ca="1">IFERROR(__xludf.DUMMYFUNCTION("""COMPUTED_VALUE"""),"Salmonella Bukuru")</f>
        <v>Salmonella Bukuru</v>
      </c>
      <c r="B6033" t="str">
        <f ca="1">IFERROR(__xludf.DUMMYFUNCTION("""COMPUTED_VALUE"""),"RF-00000481-MCG")</f>
        <v>RF-00000481-MCG</v>
      </c>
    </row>
    <row r="6034" spans="1:2" ht="12.5" x14ac:dyDescent="0.25">
      <c r="A6034" t="str">
        <f ca="1">IFERROR(__xludf.DUMMYFUNCTION("""COMPUTED_VALUE"""),"Salmonella Bulgaria")</f>
        <v>Salmonella Bulgaria</v>
      </c>
      <c r="B6034" t="str">
        <f ca="1">IFERROR(__xludf.DUMMYFUNCTION("""COMPUTED_VALUE"""),"RF-00000482-MCG")</f>
        <v>RF-00000482-MCG</v>
      </c>
    </row>
    <row r="6035" spans="1:2" ht="12.5" x14ac:dyDescent="0.25">
      <c r="A6035" t="str">
        <f ca="1">IFERROR(__xludf.DUMMYFUNCTION("""COMPUTED_VALUE"""),"Salmonella Bullbay")</f>
        <v>Salmonella Bullbay</v>
      </c>
      <c r="B6035" t="str">
        <f ca="1">IFERROR(__xludf.DUMMYFUNCTION("""COMPUTED_VALUE"""),"RF-00000483-MCG")</f>
        <v>RF-00000483-MCG</v>
      </c>
    </row>
    <row r="6036" spans="1:2" ht="12.5" x14ac:dyDescent="0.25">
      <c r="A6036" t="str">
        <f ca="1">IFERROR(__xludf.DUMMYFUNCTION("""COMPUTED_VALUE"""),"Salmonella Bulovka")</f>
        <v>Salmonella Bulovka</v>
      </c>
      <c r="B6036" t="str">
        <f ca="1">IFERROR(__xludf.DUMMYFUNCTION("""COMPUTED_VALUE"""),"RF-00000484-MCG")</f>
        <v>RF-00000484-MCG</v>
      </c>
    </row>
    <row r="6037" spans="1:2" ht="12.5" x14ac:dyDescent="0.25">
      <c r="A6037" t="str">
        <f ca="1">IFERROR(__xludf.DUMMYFUNCTION("""COMPUTED_VALUE"""),"Salmonella Burgas")</f>
        <v>Salmonella Burgas</v>
      </c>
      <c r="B6037" t="str">
        <f ca="1">IFERROR(__xludf.DUMMYFUNCTION("""COMPUTED_VALUE"""),"RF-00000485-MCG")</f>
        <v>RF-00000485-MCG</v>
      </c>
    </row>
    <row r="6038" spans="1:2" ht="12.5" x14ac:dyDescent="0.25">
      <c r="A6038" t="str">
        <f ca="1">IFERROR(__xludf.DUMMYFUNCTION("""COMPUTED_VALUE"""),"Salmonella Burundi")</f>
        <v>Salmonella Burundi</v>
      </c>
      <c r="B6038" t="str">
        <f ca="1">IFERROR(__xludf.DUMMYFUNCTION("""COMPUTED_VALUE"""),"RF-00000486-MCG")</f>
        <v>RF-00000486-MCG</v>
      </c>
    </row>
    <row r="6039" spans="1:2" ht="12.5" x14ac:dyDescent="0.25">
      <c r="A6039" t="str">
        <f ca="1">IFERROR(__xludf.DUMMYFUNCTION("""COMPUTED_VALUE"""),"Salmonella Bury")</f>
        <v>Salmonella Bury</v>
      </c>
      <c r="B6039" t="str">
        <f ca="1">IFERROR(__xludf.DUMMYFUNCTION("""COMPUTED_VALUE"""),"RF-00000487-MCG")</f>
        <v>RF-00000487-MCG</v>
      </c>
    </row>
    <row r="6040" spans="1:2" ht="12.5" x14ac:dyDescent="0.25">
      <c r="A6040" t="str">
        <f ca="1">IFERROR(__xludf.DUMMYFUNCTION("""COMPUTED_VALUE"""),"Salmonella Businga")</f>
        <v>Salmonella Businga</v>
      </c>
      <c r="B6040" t="str">
        <f ca="1">IFERROR(__xludf.DUMMYFUNCTION("""COMPUTED_VALUE"""),"RF-00001455-MCG")</f>
        <v>RF-00001455-MCG</v>
      </c>
    </row>
    <row r="6041" spans="1:2" ht="12.5" x14ac:dyDescent="0.25">
      <c r="A6041" t="str">
        <f ca="1">IFERROR(__xludf.DUMMYFUNCTION("""COMPUTED_VALUE"""),"Salmonella Butantan")</f>
        <v>Salmonella Butantan</v>
      </c>
      <c r="B6041" t="str">
        <f ca="1">IFERROR(__xludf.DUMMYFUNCTION("""COMPUTED_VALUE"""),"RF-00001489-MCG")</f>
        <v>RF-00001489-MCG</v>
      </c>
    </row>
    <row r="6042" spans="1:2" ht="12.5" x14ac:dyDescent="0.25">
      <c r="A6042" t="str">
        <f ca="1">IFERROR(__xludf.DUMMYFUNCTION("""COMPUTED_VALUE"""),"Salmonella Butantan var. 15,34")</f>
        <v>Salmonella Butantan var. 15,34</v>
      </c>
      <c r="B6042" t="str">
        <f ca="1">IFERROR(__xludf.DUMMYFUNCTION("""COMPUTED_VALUE"""),"RF-00001491-MCG")</f>
        <v>RF-00001491-MCG</v>
      </c>
    </row>
    <row r="6043" spans="1:2" ht="12.5" x14ac:dyDescent="0.25">
      <c r="A6043" t="str">
        <f ca="1">IFERROR(__xludf.DUMMYFUNCTION("""COMPUTED_VALUE"""),"Salmonella Butare")</f>
        <v>Salmonella Butare</v>
      </c>
      <c r="B6043" t="str">
        <f ca="1">IFERROR(__xludf.DUMMYFUNCTION("""COMPUTED_VALUE"""),"RF-00001466-MCG")</f>
        <v>RF-00001466-MCG</v>
      </c>
    </row>
    <row r="6044" spans="1:2" ht="12.5" x14ac:dyDescent="0.25">
      <c r="A6044" t="str">
        <f ca="1">IFERROR(__xludf.DUMMYFUNCTION("""COMPUTED_VALUE"""),"Salmonella Buzu")</f>
        <v>Salmonella Buzu</v>
      </c>
      <c r="B6044" t="str">
        <f ca="1">IFERROR(__xludf.DUMMYFUNCTION("""COMPUTED_VALUE"""),"RF-00001500-MCG")</f>
        <v>RF-00001500-MCG</v>
      </c>
    </row>
    <row r="6045" spans="1:2" ht="12.5" x14ac:dyDescent="0.25">
      <c r="A6045" t="str">
        <f ca="1">IFERROR(__xludf.DUMMYFUNCTION("""COMPUTED_VALUE"""),"Salmonella Caen")</f>
        <v>Salmonella Caen</v>
      </c>
      <c r="B6045" t="str">
        <f ca="1">IFERROR(__xludf.DUMMYFUNCTION("""COMPUTED_VALUE"""),"RF-00001499-MCG")</f>
        <v>RF-00001499-MCG</v>
      </c>
    </row>
    <row r="6046" spans="1:2" ht="12.5" x14ac:dyDescent="0.25">
      <c r="A6046" t="str">
        <f ca="1">IFERROR(__xludf.DUMMYFUNCTION("""COMPUTED_VALUE"""),"Salmonella Cairina")</f>
        <v>Salmonella Cairina</v>
      </c>
      <c r="B6046" t="str">
        <f ca="1">IFERROR(__xludf.DUMMYFUNCTION("""COMPUTED_VALUE"""),"RF-00001498-MCG")</f>
        <v>RF-00001498-MCG</v>
      </c>
    </row>
    <row r="6047" spans="1:2" ht="12.5" x14ac:dyDescent="0.25">
      <c r="A6047" t="str">
        <f ca="1">IFERROR(__xludf.DUMMYFUNCTION("""COMPUTED_VALUE"""),"Salmonella Cairns")</f>
        <v>Salmonella Cairns</v>
      </c>
      <c r="B6047" t="str">
        <f ca="1">IFERROR(__xludf.DUMMYFUNCTION("""COMPUTED_VALUE"""),"RF-00001497-MCG")</f>
        <v>RF-00001497-MCG</v>
      </c>
    </row>
    <row r="6048" spans="1:2" ht="12.5" x14ac:dyDescent="0.25">
      <c r="A6048" t="str">
        <f ca="1">IFERROR(__xludf.DUMMYFUNCTION("""COMPUTED_VALUE"""),"Salmonella Calabar")</f>
        <v>Salmonella Calabar</v>
      </c>
      <c r="B6048" t="str">
        <f ca="1">IFERROR(__xludf.DUMMYFUNCTION("""COMPUTED_VALUE"""),"RF-00001496-MCG")</f>
        <v>RF-00001496-MCG</v>
      </c>
    </row>
    <row r="6049" spans="1:2" ht="12.5" x14ac:dyDescent="0.25">
      <c r="A6049" t="str">
        <f ca="1">IFERROR(__xludf.DUMMYFUNCTION("""COMPUTED_VALUE"""),"Salmonella California")</f>
        <v>Salmonella California</v>
      </c>
      <c r="B6049" t="str">
        <f ca="1">IFERROR(__xludf.DUMMYFUNCTION("""COMPUTED_VALUE"""),"RF-00001495-MCG")</f>
        <v>RF-00001495-MCG</v>
      </c>
    </row>
    <row r="6050" spans="1:2" ht="12.5" x14ac:dyDescent="0.25">
      <c r="A6050" t="str">
        <f ca="1">IFERROR(__xludf.DUMMYFUNCTION("""COMPUTED_VALUE"""),"Salmonella Camberene")</f>
        <v>Salmonella Camberene</v>
      </c>
      <c r="B6050" t="str">
        <f ca="1">IFERROR(__xludf.DUMMYFUNCTION("""COMPUTED_VALUE"""),"RF-00001494-MCG")</f>
        <v>RF-00001494-MCG</v>
      </c>
    </row>
    <row r="6051" spans="1:2" ht="12.5" x14ac:dyDescent="0.25">
      <c r="A6051" t="str">
        <f ca="1">IFERROR(__xludf.DUMMYFUNCTION("""COMPUTED_VALUE"""),"Salmonella Camberwell")</f>
        <v>Salmonella Camberwell</v>
      </c>
      <c r="B6051" t="str">
        <f ca="1">IFERROR(__xludf.DUMMYFUNCTION("""COMPUTED_VALUE"""),"RF-00001493-MCG")</f>
        <v>RF-00001493-MCG</v>
      </c>
    </row>
    <row r="6052" spans="1:2" ht="12.5" x14ac:dyDescent="0.25">
      <c r="A6052" t="str">
        <f ca="1">IFERROR(__xludf.DUMMYFUNCTION("""COMPUTED_VALUE"""),"Salmonella Cambridge")</f>
        <v>Salmonella Cambridge</v>
      </c>
      <c r="B6052" t="str">
        <f ca="1">IFERROR(__xludf.DUMMYFUNCTION("""COMPUTED_VALUE"""),"RF-00001492-MCG")</f>
        <v>RF-00001492-MCG</v>
      </c>
    </row>
    <row r="6053" spans="1:2" ht="12.5" x14ac:dyDescent="0.25">
      <c r="A6053" t="str">
        <f ca="1">IFERROR(__xludf.DUMMYFUNCTION("""COMPUTED_VALUE"""),"Salmonella Campinense")</f>
        <v>Salmonella Campinense</v>
      </c>
      <c r="B6053" t="str">
        <f ca="1">IFERROR(__xludf.DUMMYFUNCTION("""COMPUTED_VALUE"""),"RF-00001478-MCG")</f>
        <v>RF-00001478-MCG</v>
      </c>
    </row>
    <row r="6054" spans="1:2" ht="12.5" x14ac:dyDescent="0.25">
      <c r="A6054" t="str">
        <f ca="1">IFERROR(__xludf.DUMMYFUNCTION("""COMPUTED_VALUE"""),"Salmonella Canada")</f>
        <v>Salmonella Canada</v>
      </c>
      <c r="B6054" t="str">
        <f ca="1">IFERROR(__xludf.DUMMYFUNCTION("""COMPUTED_VALUE"""),"RF-00001490-MCG")</f>
        <v>RF-00001490-MCG</v>
      </c>
    </row>
    <row r="6055" spans="1:2" ht="12.5" x14ac:dyDescent="0.25">
      <c r="A6055" t="str">
        <f ca="1">IFERROR(__xludf.DUMMYFUNCTION("""COMPUTED_VALUE"""),"Salmonella Canary")</f>
        <v>Salmonella Canary</v>
      </c>
      <c r="B6055" t="str">
        <f ca="1">IFERROR(__xludf.DUMMYFUNCTION("""COMPUTED_VALUE"""),"RF-00001502-MCG")</f>
        <v>RF-00001502-MCG</v>
      </c>
    </row>
    <row r="6056" spans="1:2" ht="12.5" x14ac:dyDescent="0.25">
      <c r="A6056" t="str">
        <f ca="1">IFERROR(__xludf.DUMMYFUNCTION("""COMPUTED_VALUE"""),"Salmonella Cannobio")</f>
        <v>Salmonella Cannobio</v>
      </c>
      <c r="B6056" t="str">
        <f ca="1">IFERROR(__xludf.DUMMYFUNCTION("""COMPUTED_VALUE"""),"RF-00001488-MCG")</f>
        <v>RF-00001488-MCG</v>
      </c>
    </row>
    <row r="6057" spans="1:2" ht="12.5" x14ac:dyDescent="0.25">
      <c r="A6057" t="str">
        <f ca="1">IFERROR(__xludf.DUMMYFUNCTION("""COMPUTED_VALUE"""),"Salmonella Cannonhill")</f>
        <v>Salmonella Cannonhill</v>
      </c>
      <c r="B6057" t="str">
        <f ca="1">IFERROR(__xludf.DUMMYFUNCTION("""COMPUTED_VALUE"""),"RF-00001487-MCG")</f>
        <v>RF-00001487-MCG</v>
      </c>
    </row>
    <row r="6058" spans="1:2" ht="12.5" x14ac:dyDescent="0.25">
      <c r="A6058" t="str">
        <f ca="1">IFERROR(__xludf.DUMMYFUNCTION("""COMPUTED_VALUE"""),"Salmonella Cannstatt")</f>
        <v>Salmonella Cannstatt</v>
      </c>
      <c r="B6058" t="str">
        <f ca="1">IFERROR(__xludf.DUMMYFUNCTION("""COMPUTED_VALUE"""),"RF-00001486-MCG")</f>
        <v>RF-00001486-MCG</v>
      </c>
    </row>
    <row r="6059" spans="1:2" ht="12.5" x14ac:dyDescent="0.25">
      <c r="A6059" t="str">
        <f ca="1">IFERROR(__xludf.DUMMYFUNCTION("""COMPUTED_VALUE"""),"Salmonella Canton")</f>
        <v>Salmonella Canton</v>
      </c>
      <c r="B6059" t="str">
        <f ca="1">IFERROR(__xludf.DUMMYFUNCTION("""COMPUTED_VALUE"""),"RF-00001485-MCG")</f>
        <v>RF-00001485-MCG</v>
      </c>
    </row>
    <row r="6060" spans="1:2" ht="12.5" x14ac:dyDescent="0.25">
      <c r="A6060" t="str">
        <f ca="1">IFERROR(__xludf.DUMMYFUNCTION("""COMPUTED_VALUE"""),"Salmonella Caracas")</f>
        <v>Salmonella Caracas</v>
      </c>
      <c r="B6060" t="str">
        <f ca="1">IFERROR(__xludf.DUMMYFUNCTION("""COMPUTED_VALUE"""),"RF-00001484-MCG")</f>
        <v>RF-00001484-MCG</v>
      </c>
    </row>
    <row r="6061" spans="1:2" ht="12.5" x14ac:dyDescent="0.25">
      <c r="A6061" t="str">
        <f ca="1">IFERROR(__xludf.DUMMYFUNCTION("""COMPUTED_VALUE"""),"Salmonella Cardoner")</f>
        <v>Salmonella Cardoner</v>
      </c>
      <c r="B6061" t="str">
        <f ca="1">IFERROR(__xludf.DUMMYFUNCTION("""COMPUTED_VALUE"""),"RF-00001483-MCG")</f>
        <v>RF-00001483-MCG</v>
      </c>
    </row>
    <row r="6062" spans="1:2" ht="12.5" x14ac:dyDescent="0.25">
      <c r="A6062" t="str">
        <f ca="1">IFERROR(__xludf.DUMMYFUNCTION("""COMPUTED_VALUE"""),"Salmonella Carmel")</f>
        <v>Salmonella Carmel</v>
      </c>
      <c r="B6062" t="str">
        <f ca="1">IFERROR(__xludf.DUMMYFUNCTION("""COMPUTED_VALUE"""),"RF-00001482-MCG")</f>
        <v>RF-00001482-MCG</v>
      </c>
    </row>
    <row r="6063" spans="1:2" ht="12.5" x14ac:dyDescent="0.25">
      <c r="A6063" t="str">
        <f ca="1">IFERROR(__xludf.DUMMYFUNCTION("""COMPUTED_VALUE"""),"Salmonella Carnac")</f>
        <v>Salmonella Carnac</v>
      </c>
      <c r="B6063" t="str">
        <f ca="1">IFERROR(__xludf.DUMMYFUNCTION("""COMPUTED_VALUE"""),"RF-00001481-MCG")</f>
        <v>RF-00001481-MCG</v>
      </c>
    </row>
    <row r="6064" spans="1:2" ht="12.5" x14ac:dyDescent="0.25">
      <c r="A6064" t="str">
        <f ca="1">IFERROR(__xludf.DUMMYFUNCTION("""COMPUTED_VALUE"""),"Salmonella Carno")</f>
        <v>Salmonella Carno</v>
      </c>
      <c r="B6064" t="str">
        <f ca="1">IFERROR(__xludf.DUMMYFUNCTION("""COMPUTED_VALUE"""),"RF-00001480-MCG")</f>
        <v>RF-00001480-MCG</v>
      </c>
    </row>
    <row r="6065" spans="1:2" ht="12.5" x14ac:dyDescent="0.25">
      <c r="A6065" t="str">
        <f ca="1">IFERROR(__xludf.DUMMYFUNCTION("""COMPUTED_VALUE"""),"Salmonella Carrau")</f>
        <v>Salmonella Carrau</v>
      </c>
      <c r="B6065" t="str">
        <f ca="1">IFERROR(__xludf.DUMMYFUNCTION("""COMPUTED_VALUE"""),"RF-00001442-MCG")</f>
        <v>RF-00001442-MCG</v>
      </c>
    </row>
    <row r="6066" spans="1:2" ht="12.5" x14ac:dyDescent="0.25">
      <c r="A6066" t="str">
        <f ca="1">IFERROR(__xludf.DUMMYFUNCTION("""COMPUTED_VALUE"""),"Salmonella Carswell")</f>
        <v>Salmonella Carswell</v>
      </c>
      <c r="B6066" t="str">
        <f ca="1">IFERROR(__xludf.DUMMYFUNCTION("""COMPUTED_VALUE"""),"RF-00001501-MCG")</f>
        <v>RF-00001501-MCG</v>
      </c>
    </row>
    <row r="6067" spans="1:2" ht="12.5" x14ac:dyDescent="0.25">
      <c r="A6067" t="str">
        <f ca="1">IFERROR(__xludf.DUMMYFUNCTION("""COMPUTED_VALUE"""),"Salmonella Casablanca")</f>
        <v>Salmonella Casablanca</v>
      </c>
      <c r="B6067" t="str">
        <f ca="1">IFERROR(__xludf.DUMMYFUNCTION("""COMPUTED_VALUE"""),"RF-00001464-MCG")</f>
        <v>RF-00001464-MCG</v>
      </c>
    </row>
    <row r="6068" spans="1:2" ht="12.5" x14ac:dyDescent="0.25">
      <c r="A6068" t="str">
        <f ca="1">IFERROR(__xludf.DUMMYFUNCTION("""COMPUTED_VALUE"""),"Salmonella Casamance")</f>
        <v>Salmonella Casamance</v>
      </c>
      <c r="B6068" t="str">
        <f ca="1">IFERROR(__xludf.DUMMYFUNCTION("""COMPUTED_VALUE"""),"RF-00001428-MCG")</f>
        <v>RF-00001428-MCG</v>
      </c>
    </row>
    <row r="6069" spans="1:2" ht="12.5" x14ac:dyDescent="0.25">
      <c r="A6069" t="str">
        <f ca="1">IFERROR(__xludf.DUMMYFUNCTION("""COMPUTED_VALUE"""),"Salmonella Catalunia")</f>
        <v>Salmonella Catalunia</v>
      </c>
      <c r="B6069" t="str">
        <f ca="1">IFERROR(__xludf.DUMMYFUNCTION("""COMPUTED_VALUE"""),"RF-00001427-MCG")</f>
        <v>RF-00001427-MCG</v>
      </c>
    </row>
    <row r="6070" spans="1:2" ht="12.5" x14ac:dyDescent="0.25">
      <c r="A6070" t="str">
        <f ca="1">IFERROR(__xludf.DUMMYFUNCTION("""COMPUTED_VALUE"""),"Salmonella Catanzaro")</f>
        <v>Salmonella Catanzaro</v>
      </c>
      <c r="B6070" t="str">
        <f ca="1">IFERROR(__xludf.DUMMYFUNCTION("""COMPUTED_VALUE"""),"RF-00001426-MCG")</f>
        <v>RF-00001426-MCG</v>
      </c>
    </row>
    <row r="6071" spans="1:2" ht="12.5" x14ac:dyDescent="0.25">
      <c r="A6071" t="str">
        <f ca="1">IFERROR(__xludf.DUMMYFUNCTION("""COMPUTED_VALUE"""),"Salmonella Cayar")</f>
        <v>Salmonella Cayar</v>
      </c>
      <c r="B6071" t="str">
        <f ca="1">IFERROR(__xludf.DUMMYFUNCTION("""COMPUTED_VALUE"""),"RF-00001425-MCG")</f>
        <v>RF-00001425-MCG</v>
      </c>
    </row>
    <row r="6072" spans="1:2" ht="12.5" x14ac:dyDescent="0.25">
      <c r="A6072" t="str">
        <f ca="1">IFERROR(__xludf.DUMMYFUNCTION("""COMPUTED_VALUE"""),"Salmonella Cerro")</f>
        <v>Salmonella Cerro</v>
      </c>
      <c r="B6072" t="str">
        <f ca="1">IFERROR(__xludf.DUMMYFUNCTION("""COMPUTED_VALUE"""),"RF-00001424-MCG")</f>
        <v>RF-00001424-MCG</v>
      </c>
    </row>
    <row r="6073" spans="1:2" ht="12.5" x14ac:dyDescent="0.25">
      <c r="A6073" t="str">
        <f ca="1">IFERROR(__xludf.DUMMYFUNCTION("""COMPUTED_VALUE"""),"Salmonella Ceyco")</f>
        <v>Salmonella Ceyco</v>
      </c>
      <c r="B6073" t="str">
        <f ca="1">IFERROR(__xludf.DUMMYFUNCTION("""COMPUTED_VALUE"""),"RF-00001423-MCG")</f>
        <v>RF-00001423-MCG</v>
      </c>
    </row>
    <row r="6074" spans="1:2" ht="12.5" x14ac:dyDescent="0.25">
      <c r="A6074" t="str">
        <f ca="1">IFERROR(__xludf.DUMMYFUNCTION("""COMPUTED_VALUE"""),"Salmonella Chagoua")</f>
        <v>Salmonella Chagoua</v>
      </c>
      <c r="B6074" t="str">
        <f ca="1">IFERROR(__xludf.DUMMYFUNCTION("""COMPUTED_VALUE"""),"RF-00001422-MCG")</f>
        <v>RF-00001422-MCG</v>
      </c>
    </row>
    <row r="6075" spans="1:2" ht="12.5" x14ac:dyDescent="0.25">
      <c r="A6075" t="str">
        <f ca="1">IFERROR(__xludf.DUMMYFUNCTION("""COMPUTED_VALUE"""),"Salmonella Chailey")</f>
        <v>Salmonella Chailey</v>
      </c>
      <c r="B6075" t="str">
        <f ca="1">IFERROR(__xludf.DUMMYFUNCTION("""COMPUTED_VALUE"""),"RF-00001421-MCG")</f>
        <v>RF-00001421-MCG</v>
      </c>
    </row>
    <row r="6076" spans="1:2" ht="12.5" x14ac:dyDescent="0.25">
      <c r="A6076" t="str">
        <f ca="1">IFERROR(__xludf.DUMMYFUNCTION("""COMPUTED_VALUE"""),"Salmonella Champaign")</f>
        <v>Salmonella Champaign</v>
      </c>
      <c r="B6076" t="str">
        <f ca="1">IFERROR(__xludf.DUMMYFUNCTION("""COMPUTED_VALUE"""),"RF-00001420-MCG")</f>
        <v>RF-00001420-MCG</v>
      </c>
    </row>
    <row r="6077" spans="1:2" ht="12.5" x14ac:dyDescent="0.25">
      <c r="A6077" t="str">
        <f ca="1">IFERROR(__xludf.DUMMYFUNCTION("""COMPUTED_VALUE"""),"Salmonella Chandans")</f>
        <v>Salmonella Chandans</v>
      </c>
      <c r="B6077" t="str">
        <f ca="1">IFERROR(__xludf.DUMMYFUNCTION("""COMPUTED_VALUE"""),"RF-00001419-MCG")</f>
        <v>RF-00001419-MCG</v>
      </c>
    </row>
    <row r="6078" spans="1:2" ht="12.5" x14ac:dyDescent="0.25">
      <c r="A6078" t="str">
        <f ca="1">IFERROR(__xludf.DUMMYFUNCTION("""COMPUTED_VALUE"""),"Salmonella Charity")</f>
        <v>Salmonella Charity</v>
      </c>
      <c r="B6078" t="str">
        <f ca="1">IFERROR(__xludf.DUMMYFUNCTION("""COMPUTED_VALUE"""),"RF-00001406-MCG")</f>
        <v>RF-00001406-MCG</v>
      </c>
    </row>
    <row r="6079" spans="1:2" ht="12.5" x14ac:dyDescent="0.25">
      <c r="A6079" t="str">
        <f ca="1">IFERROR(__xludf.DUMMYFUNCTION("""COMPUTED_VALUE"""),"Salmonella Charlottenburg")</f>
        <v>Salmonella Charlottenburg</v>
      </c>
      <c r="B6079" t="str">
        <f ca="1">IFERROR(__xludf.DUMMYFUNCTION("""COMPUTED_VALUE"""),"RF-00001417-MCG")</f>
        <v>RF-00001417-MCG</v>
      </c>
    </row>
    <row r="6080" spans="1:2" ht="12.5" x14ac:dyDescent="0.25">
      <c r="A6080" t="str">
        <f ca="1">IFERROR(__xludf.DUMMYFUNCTION("""COMPUTED_VALUE"""),"Salmonella Chartres")</f>
        <v>Salmonella Chartres</v>
      </c>
      <c r="B6080" t="str">
        <f ca="1">IFERROR(__xludf.DUMMYFUNCTION("""COMPUTED_VALUE"""),"RF-00001429-MCG")</f>
        <v>RF-00001429-MCG</v>
      </c>
    </row>
    <row r="6081" spans="1:2" ht="12.5" x14ac:dyDescent="0.25">
      <c r="A6081" t="str">
        <f ca="1">IFERROR(__xludf.DUMMYFUNCTION("""COMPUTED_VALUE"""),"Salmonella Cheltenham")</f>
        <v>Salmonella Cheltenham</v>
      </c>
      <c r="B6081" t="str">
        <f ca="1">IFERROR(__xludf.DUMMYFUNCTION("""COMPUTED_VALUE"""),"RF-00001415-MCG")</f>
        <v>RF-00001415-MCG</v>
      </c>
    </row>
    <row r="6082" spans="1:2" ht="12.5" x14ac:dyDescent="0.25">
      <c r="A6082" t="str">
        <f ca="1">IFERROR(__xludf.DUMMYFUNCTION("""COMPUTED_VALUE"""),"Salmonella Chester")</f>
        <v>Salmonella Chester</v>
      </c>
      <c r="B6082" t="str">
        <f ca="1">IFERROR(__xludf.DUMMYFUNCTION("""COMPUTED_VALUE"""),"RF-00001414-MCG")</f>
        <v>RF-00001414-MCG</v>
      </c>
    </row>
    <row r="6083" spans="1:2" ht="12.5" x14ac:dyDescent="0.25">
      <c r="A6083" t="str">
        <f ca="1">IFERROR(__xludf.DUMMYFUNCTION("""COMPUTED_VALUE"""),"Salmonella Chicago")</f>
        <v>Salmonella Chicago</v>
      </c>
      <c r="B6083" t="str">
        <f ca="1">IFERROR(__xludf.DUMMYFUNCTION("""COMPUTED_VALUE"""),"RF-00001413-MCG")</f>
        <v>RF-00001413-MCG</v>
      </c>
    </row>
    <row r="6084" spans="1:2" ht="12.5" x14ac:dyDescent="0.25">
      <c r="A6084" t="str">
        <f ca="1">IFERROR(__xludf.DUMMYFUNCTION("""COMPUTED_VALUE"""),"Salmonella Chichester")</f>
        <v>Salmonella Chichester</v>
      </c>
      <c r="B6084" t="str">
        <f ca="1">IFERROR(__xludf.DUMMYFUNCTION("""COMPUTED_VALUE"""),"RF-00001412-MCG")</f>
        <v>RF-00001412-MCG</v>
      </c>
    </row>
    <row r="6085" spans="1:2" ht="12.5" x14ac:dyDescent="0.25">
      <c r="A6085" t="str">
        <f ca="1">IFERROR(__xludf.DUMMYFUNCTION("""COMPUTED_VALUE"""),"Salmonella Chichiri")</f>
        <v>Salmonella Chichiri</v>
      </c>
      <c r="B6085" t="str">
        <f ca="1">IFERROR(__xludf.DUMMYFUNCTION("""COMPUTED_VALUE"""),"RF-00001411-MCG")</f>
        <v>RF-00001411-MCG</v>
      </c>
    </row>
    <row r="6086" spans="1:2" ht="12.5" x14ac:dyDescent="0.25">
      <c r="A6086" t="str">
        <f ca="1">IFERROR(__xludf.DUMMYFUNCTION("""COMPUTED_VALUE"""),"Salmonella Chile")</f>
        <v>Salmonella Chile</v>
      </c>
      <c r="B6086" t="str">
        <f ca="1">IFERROR(__xludf.DUMMYFUNCTION("""COMPUTED_VALUE"""),"RF-00001410-MCG")</f>
        <v>RF-00001410-MCG</v>
      </c>
    </row>
    <row r="6087" spans="1:2" ht="12.5" x14ac:dyDescent="0.25">
      <c r="A6087" t="str">
        <f ca="1">IFERROR(__xludf.DUMMYFUNCTION("""COMPUTED_VALUE"""),"Salmonella Chincol")</f>
        <v>Salmonella Chincol</v>
      </c>
      <c r="B6087" t="str">
        <f ca="1">IFERROR(__xludf.DUMMYFUNCTION("""COMPUTED_VALUE"""),"RF-00001409-MCG")</f>
        <v>RF-00001409-MCG</v>
      </c>
    </row>
    <row r="6088" spans="1:2" ht="12.5" x14ac:dyDescent="0.25">
      <c r="A6088" t="str">
        <f ca="1">IFERROR(__xludf.DUMMYFUNCTION("""COMPUTED_VALUE"""),"Salmonella Chingola")</f>
        <v>Salmonella Chingola</v>
      </c>
      <c r="B6088" t="str">
        <f ca="1">IFERROR(__xludf.DUMMYFUNCTION("""COMPUTED_VALUE"""),"RF-00001408-MCG")</f>
        <v>RF-00001408-MCG</v>
      </c>
    </row>
    <row r="6089" spans="1:2" ht="12.5" x14ac:dyDescent="0.25">
      <c r="A6089" t="str">
        <f ca="1">IFERROR(__xludf.DUMMYFUNCTION("""COMPUTED_VALUE"""),"Salmonella Chiredzi")</f>
        <v>Salmonella Chiredzi</v>
      </c>
      <c r="B6089" t="str">
        <f ca="1">IFERROR(__xludf.DUMMYFUNCTION("""COMPUTED_VALUE"""),"RF-00001440-MCG")</f>
        <v>RF-00001440-MCG</v>
      </c>
    </row>
    <row r="6090" spans="1:2" ht="12.5" x14ac:dyDescent="0.25">
      <c r="A6090" t="str">
        <f ca="1">IFERROR(__xludf.DUMMYFUNCTION("""COMPUTED_VALUE"""),"Salmonella Chittagong")</f>
        <v>Salmonella Chittagong</v>
      </c>
      <c r="B6090" t="str">
        <f ca="1">IFERROR(__xludf.DUMMYFUNCTION("""COMPUTED_VALUE"""),"RF-00001416-MCG")</f>
        <v>RF-00001416-MCG</v>
      </c>
    </row>
    <row r="6091" spans="1:2" ht="12.5" x14ac:dyDescent="0.25">
      <c r="A6091" t="str">
        <f ca="1">IFERROR(__xludf.DUMMYFUNCTION("""COMPUTED_VALUE"""),"Salmonella Choleraesuis")</f>
        <v>Salmonella Choleraesuis</v>
      </c>
      <c r="B6091" t="str">
        <f ca="1">IFERROR(__xludf.DUMMYFUNCTION("""COMPUTED_VALUE"""),"RF-00001418-MCG")</f>
        <v>RF-00001418-MCG</v>
      </c>
    </row>
    <row r="6092" spans="1:2" ht="12.5" x14ac:dyDescent="0.25">
      <c r="A6092" t="str">
        <f ca="1">IFERROR(__xludf.DUMMYFUNCTION("""COMPUTED_VALUE"""),"Salmonella Choleraesuis var. Kunzendorf")</f>
        <v>Salmonella Choleraesuis var. Kunzendorf</v>
      </c>
      <c r="B6092" t="str">
        <f ca="1">IFERROR(__xludf.DUMMYFUNCTION("""COMPUTED_VALUE"""),"RF-00001315-PAR")</f>
        <v>RF-00001315-PAR</v>
      </c>
    </row>
    <row r="6093" spans="1:2" ht="12.5" x14ac:dyDescent="0.25">
      <c r="A6093" t="str">
        <f ca="1">IFERROR(__xludf.DUMMYFUNCTION("""COMPUTED_VALUE"""),"Salmonella Chomedy")</f>
        <v>Salmonella Chomedy</v>
      </c>
      <c r="B6093" t="str">
        <f ca="1">IFERROR(__xludf.DUMMYFUNCTION("""COMPUTED_VALUE"""),"RF-00001452-MCG")</f>
        <v>RF-00001452-MCG</v>
      </c>
    </row>
    <row r="6094" spans="1:2" ht="12.5" x14ac:dyDescent="0.25">
      <c r="A6094" t="str">
        <f ca="1">IFERROR(__xludf.DUMMYFUNCTION("""COMPUTED_VALUE"""),"Salmonella Christiansborg")</f>
        <v>Salmonella Christiansborg</v>
      </c>
      <c r="B6094" t="str">
        <f ca="1">IFERROR(__xludf.DUMMYFUNCTION("""COMPUTED_VALUE"""),"RF-00001451-MCG")</f>
        <v>RF-00001451-MCG</v>
      </c>
    </row>
    <row r="6095" spans="1:2" ht="12.5" x14ac:dyDescent="0.25">
      <c r="A6095" t="str">
        <f ca="1">IFERROR(__xludf.DUMMYFUNCTION("""COMPUTED_VALUE"""),"Salmonella Clackamas")</f>
        <v>Salmonella Clackamas</v>
      </c>
      <c r="B6095" t="str">
        <f ca="1">IFERROR(__xludf.DUMMYFUNCTION("""COMPUTED_VALUE"""),"RF-00001450-MCG")</f>
        <v>RF-00001450-MCG</v>
      </c>
    </row>
    <row r="6096" spans="1:2" ht="12.5" x14ac:dyDescent="0.25">
      <c r="A6096" t="str">
        <f ca="1">IFERROR(__xludf.DUMMYFUNCTION("""COMPUTED_VALUE"""),"Salmonella Claibornei")</f>
        <v>Salmonella Claibornei</v>
      </c>
      <c r="B6096" t="str">
        <f ca="1">IFERROR(__xludf.DUMMYFUNCTION("""COMPUTED_VALUE"""),"RF-00001449-MCG")</f>
        <v>RF-00001449-MCG</v>
      </c>
    </row>
    <row r="6097" spans="1:2" ht="12.5" x14ac:dyDescent="0.25">
      <c r="A6097" t="str">
        <f ca="1">IFERROR(__xludf.DUMMYFUNCTION("""COMPUTED_VALUE"""),"Salmonella Clanvillian")</f>
        <v>Salmonella Clanvillian</v>
      </c>
      <c r="B6097" t="str">
        <f ca="1">IFERROR(__xludf.DUMMYFUNCTION("""COMPUTED_VALUE"""),"RF-00001448-MCG")</f>
        <v>RF-00001448-MCG</v>
      </c>
    </row>
    <row r="6098" spans="1:2" ht="12.5" x14ac:dyDescent="0.25">
      <c r="A6098" t="str">
        <f ca="1">IFERROR(__xludf.DUMMYFUNCTION("""COMPUTED_VALUE"""),"Salmonella Clerkenwell")</f>
        <v>Salmonella Clerkenwell</v>
      </c>
      <c r="B6098" t="str">
        <f ca="1">IFERROR(__xludf.DUMMYFUNCTION("""COMPUTED_VALUE"""),"RF-00001447-MCG")</f>
        <v>RF-00001447-MCG</v>
      </c>
    </row>
    <row r="6099" spans="1:2" ht="12.5" x14ac:dyDescent="0.25">
      <c r="A6099" t="str">
        <f ca="1">IFERROR(__xludf.DUMMYFUNCTION("""COMPUTED_VALUE"""),"Salmonella Cleveland")</f>
        <v>Salmonella Cleveland</v>
      </c>
      <c r="B6099" t="str">
        <f ca="1">IFERROR(__xludf.DUMMYFUNCTION("""COMPUTED_VALUE"""),"RF-00001446-MCG")</f>
        <v>RF-00001446-MCG</v>
      </c>
    </row>
    <row r="6100" spans="1:2" ht="12.5" x14ac:dyDescent="0.25">
      <c r="A6100" t="str">
        <f ca="1">IFERROR(__xludf.DUMMYFUNCTION("""COMPUTED_VALUE"""),"Salmonella Cochin")</f>
        <v>Salmonella Cochin</v>
      </c>
      <c r="B6100" t="str">
        <f ca="1">IFERROR(__xludf.DUMMYFUNCTION("""COMPUTED_VALUE"""),"RF-00001445-MCG")</f>
        <v>RF-00001445-MCG</v>
      </c>
    </row>
    <row r="6101" spans="1:2" ht="12.5" x14ac:dyDescent="0.25">
      <c r="A6101" t="str">
        <f ca="1">IFERROR(__xludf.DUMMYFUNCTION("""COMPUTED_VALUE"""),"Salmonella Cocody")</f>
        <v>Salmonella Cocody</v>
      </c>
      <c r="B6101" t="str">
        <f ca="1">IFERROR(__xludf.DUMMYFUNCTION("""COMPUTED_VALUE"""),"RF-00001444-MCG")</f>
        <v>RF-00001444-MCG</v>
      </c>
    </row>
    <row r="6102" spans="1:2" ht="12.5" x14ac:dyDescent="0.25">
      <c r="A6102" t="str">
        <f ca="1">IFERROR(__xludf.DUMMYFUNCTION("""COMPUTED_VALUE"""),"Salmonella Coeln")</f>
        <v>Salmonella Coeln</v>
      </c>
      <c r="B6102" t="str">
        <f ca="1">IFERROR(__xludf.DUMMYFUNCTION("""COMPUTED_VALUE"""),"RF-00001443-MCG")</f>
        <v>RF-00001443-MCG</v>
      </c>
    </row>
    <row r="6103" spans="1:2" ht="12.5" x14ac:dyDescent="0.25">
      <c r="A6103" t="str">
        <f ca="1">IFERROR(__xludf.DUMMYFUNCTION("""COMPUTED_VALUE"""),"Salmonella Coleypark")</f>
        <v>Salmonella Coleypark</v>
      </c>
      <c r="B6103" t="str">
        <f ca="1">IFERROR(__xludf.DUMMYFUNCTION("""COMPUTED_VALUE"""),"RF-00001430-MCG")</f>
        <v>RF-00001430-MCG</v>
      </c>
    </row>
    <row r="6104" spans="1:2" ht="12.5" x14ac:dyDescent="0.25">
      <c r="A6104" t="str">
        <f ca="1">IFERROR(__xludf.DUMMYFUNCTION("""COMPUTED_VALUE"""),"Salmonella Colindale")</f>
        <v>Salmonella Colindale</v>
      </c>
      <c r="B6104" t="str">
        <f ca="1">IFERROR(__xludf.DUMMYFUNCTION("""COMPUTED_VALUE"""),"RF-00001441-MCG")</f>
        <v>RF-00001441-MCG</v>
      </c>
    </row>
    <row r="6105" spans="1:2" ht="12.5" x14ac:dyDescent="0.25">
      <c r="A6105" t="str">
        <f ca="1">IFERROR(__xludf.DUMMYFUNCTION("""COMPUTED_VALUE"""),"Salmonella Colobane")</f>
        <v>Salmonella Colobane</v>
      </c>
      <c r="B6105" t="str">
        <f ca="1">IFERROR(__xludf.DUMMYFUNCTION("""COMPUTED_VALUE"""),"RF-00001453-MCG")</f>
        <v>RF-00001453-MCG</v>
      </c>
    </row>
    <row r="6106" spans="1:2" ht="12.5" x14ac:dyDescent="0.25">
      <c r="A6106" t="str">
        <f ca="1">IFERROR(__xludf.DUMMYFUNCTION("""COMPUTED_VALUE"""),"Salmonella Colombo")</f>
        <v>Salmonella Colombo</v>
      </c>
      <c r="B6106" t="str">
        <f ca="1">IFERROR(__xludf.DUMMYFUNCTION("""COMPUTED_VALUE"""),"RF-00001439-MCG")</f>
        <v>RF-00001439-MCG</v>
      </c>
    </row>
    <row r="6107" spans="1:2" ht="12.5" x14ac:dyDescent="0.25">
      <c r="A6107" t="str">
        <f ca="1">IFERROR(__xludf.DUMMYFUNCTION("""COMPUTED_VALUE"""),"Salmonella Colorado")</f>
        <v>Salmonella Colorado</v>
      </c>
      <c r="B6107" t="str">
        <f ca="1">IFERROR(__xludf.DUMMYFUNCTION("""COMPUTED_VALUE"""),"RF-00001438-MCG")</f>
        <v>RF-00001438-MCG</v>
      </c>
    </row>
    <row r="6108" spans="1:2" ht="12.5" x14ac:dyDescent="0.25">
      <c r="A6108" t="str">
        <f ca="1">IFERROR(__xludf.DUMMYFUNCTION("""COMPUTED_VALUE"""),"Salmonella Concord")</f>
        <v>Salmonella Concord</v>
      </c>
      <c r="B6108" t="str">
        <f ca="1">IFERROR(__xludf.DUMMYFUNCTION("""COMPUTED_VALUE"""),"RF-00001437-MCG")</f>
        <v>RF-00001437-MCG</v>
      </c>
    </row>
    <row r="6109" spans="1:2" ht="12.5" x14ac:dyDescent="0.25">
      <c r="A6109" t="str">
        <f ca="1">IFERROR(__xludf.DUMMYFUNCTION("""COMPUTED_VALUE"""),"Salmonella Congo")</f>
        <v>Salmonella Congo</v>
      </c>
      <c r="B6109" t="str">
        <f ca="1">IFERROR(__xludf.DUMMYFUNCTION("""COMPUTED_VALUE"""),"RF-00001436-MCG")</f>
        <v>RF-00001436-MCG</v>
      </c>
    </row>
    <row r="6110" spans="1:2" ht="12.5" x14ac:dyDescent="0.25">
      <c r="A6110" t="str">
        <f ca="1">IFERROR(__xludf.DUMMYFUNCTION("""COMPUTED_VALUE"""),"Salmonella Connecticut")</f>
        <v>Salmonella Connecticut</v>
      </c>
      <c r="B6110" t="str">
        <f ca="1">IFERROR(__xludf.DUMMYFUNCTION("""COMPUTED_VALUE"""),"RF-00001435-MCG")</f>
        <v>RF-00001435-MCG</v>
      </c>
    </row>
    <row r="6111" spans="1:2" ht="12.5" x14ac:dyDescent="0.25">
      <c r="A6111" t="str">
        <f ca="1">IFERROR(__xludf.DUMMYFUNCTION("""COMPUTED_VALUE"""),"Salmonella Coogee")</f>
        <v>Salmonella Coogee</v>
      </c>
      <c r="B6111" t="str">
        <f ca="1">IFERROR(__xludf.DUMMYFUNCTION("""COMPUTED_VALUE"""),"RF-00001434-MCG")</f>
        <v>RF-00001434-MCG</v>
      </c>
    </row>
    <row r="6112" spans="1:2" ht="12.5" x14ac:dyDescent="0.25">
      <c r="A6112" t="str">
        <f ca="1">IFERROR(__xludf.DUMMYFUNCTION("""COMPUTED_VALUE"""),"Salmonella Coquilhatville")</f>
        <v>Salmonella Coquilhatville</v>
      </c>
      <c r="B6112" t="str">
        <f ca="1">IFERROR(__xludf.DUMMYFUNCTION("""COMPUTED_VALUE"""),"RF-00001433-MCG")</f>
        <v>RF-00001433-MCG</v>
      </c>
    </row>
    <row r="6113" spans="1:2" ht="12.5" x14ac:dyDescent="0.25">
      <c r="A6113" t="str">
        <f ca="1">IFERROR(__xludf.DUMMYFUNCTION("""COMPUTED_VALUE"""),"Salmonella Coromandel")</f>
        <v>Salmonella Coromandel</v>
      </c>
      <c r="B6113" t="str">
        <f ca="1">IFERROR(__xludf.DUMMYFUNCTION("""COMPUTED_VALUE"""),"RF-00001432-MCG")</f>
        <v>RF-00001432-MCG</v>
      </c>
    </row>
    <row r="6114" spans="1:2" ht="12.5" x14ac:dyDescent="0.25">
      <c r="A6114" t="str">
        <f ca="1">IFERROR(__xludf.DUMMYFUNCTION("""COMPUTED_VALUE"""),"Salmonella Corvallis")</f>
        <v>Salmonella Corvallis</v>
      </c>
      <c r="B6114" t="str">
        <f ca="1">IFERROR(__xludf.DUMMYFUNCTION("""COMPUTED_VALUE"""),"RF-00001504-MCG")</f>
        <v>RF-00001504-MCG</v>
      </c>
    </row>
    <row r="6115" spans="1:2" ht="12.5" x14ac:dyDescent="0.25">
      <c r="A6115" t="str">
        <f ca="1">IFERROR(__xludf.DUMMYFUNCTION("""COMPUTED_VALUE"""),"Salmonella Cotham")</f>
        <v>Salmonella Cotham</v>
      </c>
      <c r="B6115" t="str">
        <f ca="1">IFERROR(__xludf.DUMMYFUNCTION("""COMPUTED_VALUE"""),"RF-00001407-MCG")</f>
        <v>RF-00001407-MCG</v>
      </c>
    </row>
    <row r="6116" spans="1:2" ht="12.5" x14ac:dyDescent="0.25">
      <c r="A6116" t="str">
        <f ca="1">IFERROR(__xludf.DUMMYFUNCTION("""COMPUTED_VALUE"""),"Salmonella Cotia")</f>
        <v>Salmonella Cotia</v>
      </c>
      <c r="B6116" t="str">
        <f ca="1">IFERROR(__xludf.DUMMYFUNCTION("""COMPUTED_VALUE"""),"RF-00001479-MCG")</f>
        <v>RF-00001479-MCG</v>
      </c>
    </row>
    <row r="6117" spans="1:2" ht="12.5" x14ac:dyDescent="0.25">
      <c r="A6117" t="str">
        <f ca="1">IFERROR(__xludf.DUMMYFUNCTION("""COMPUTED_VALUE"""),"Salmonella Cremieu")</f>
        <v>Salmonella Cremieu</v>
      </c>
      <c r="B6117" t="str">
        <f ca="1">IFERROR(__xludf.DUMMYFUNCTION("""COMPUTED_VALUE"""),"RF-00001573-MCG")</f>
        <v>RF-00001573-MCG</v>
      </c>
    </row>
    <row r="6118" spans="1:2" ht="12.5" x14ac:dyDescent="0.25">
      <c r="A6118" t="str">
        <f ca="1">IFERROR(__xludf.DUMMYFUNCTION("""COMPUTED_VALUE"""),"Salmonella Crewe")</f>
        <v>Salmonella Crewe</v>
      </c>
      <c r="B6118" t="str">
        <f ca="1">IFERROR(__xludf.DUMMYFUNCTION("""COMPUTED_VALUE"""),"RF-00001572-MCG")</f>
        <v>RF-00001572-MCG</v>
      </c>
    </row>
    <row r="6119" spans="1:2" ht="12.5" x14ac:dyDescent="0.25">
      <c r="A6119" t="str">
        <f ca="1">IFERROR(__xludf.DUMMYFUNCTION("""COMPUTED_VALUE"""),"Salmonella Croft")</f>
        <v>Salmonella Croft</v>
      </c>
      <c r="B6119" t="str">
        <f ca="1">IFERROR(__xludf.DUMMYFUNCTION("""COMPUTED_VALUE"""),"RF-00001571-MCG")</f>
        <v>RF-00001571-MCG</v>
      </c>
    </row>
    <row r="6120" spans="1:2" ht="12.5" x14ac:dyDescent="0.25">
      <c r="A6120" t="str">
        <f ca="1">IFERROR(__xludf.DUMMYFUNCTION("""COMPUTED_VALUE"""),"Salmonella Crossness")</f>
        <v>Salmonella Crossness</v>
      </c>
      <c r="B6120" t="str">
        <f ca="1">IFERROR(__xludf.DUMMYFUNCTION("""COMPUTED_VALUE"""),"RF-00001570-MCG")</f>
        <v>RF-00001570-MCG</v>
      </c>
    </row>
    <row r="6121" spans="1:2" ht="12.5" x14ac:dyDescent="0.25">
      <c r="A6121" t="str">
        <f ca="1">IFERROR(__xludf.DUMMYFUNCTION("""COMPUTED_VALUE"""),"Salmonella Cubana")</f>
        <v>Salmonella Cubana</v>
      </c>
      <c r="B6121" t="str">
        <f ca="1">IFERROR(__xludf.DUMMYFUNCTION("""COMPUTED_VALUE"""),"RF-00001569-MCG")</f>
        <v>RF-00001569-MCG</v>
      </c>
    </row>
    <row r="6122" spans="1:2" ht="12.5" x14ac:dyDescent="0.25">
      <c r="A6122" t="str">
        <f ca="1">IFERROR(__xludf.DUMMYFUNCTION("""COMPUTED_VALUE"""),"Salmonella Cuckmere")</f>
        <v>Salmonella Cuckmere</v>
      </c>
      <c r="B6122" t="str">
        <f ca="1">IFERROR(__xludf.DUMMYFUNCTION("""COMPUTED_VALUE"""),"RF-00001568-MCG")</f>
        <v>RF-00001568-MCG</v>
      </c>
    </row>
    <row r="6123" spans="1:2" ht="12.5" x14ac:dyDescent="0.25">
      <c r="A6123" t="str">
        <f ca="1">IFERROR(__xludf.DUMMYFUNCTION("""COMPUTED_VALUE"""),"Salmonella Cullingworth")</f>
        <v>Salmonella Cullingworth</v>
      </c>
      <c r="B6123" t="str">
        <f ca="1">IFERROR(__xludf.DUMMYFUNCTION("""COMPUTED_VALUE"""),"RF-00001567-MCG")</f>
        <v>RF-00001567-MCG</v>
      </c>
    </row>
    <row r="6124" spans="1:2" ht="12.5" x14ac:dyDescent="0.25">
      <c r="A6124" t="str">
        <f ca="1">IFERROR(__xludf.DUMMYFUNCTION("""COMPUTED_VALUE"""),"Salmonella Cumberland")</f>
        <v>Salmonella Cumberland</v>
      </c>
      <c r="B6124" t="str">
        <f ca="1">IFERROR(__xludf.DUMMYFUNCTION("""COMPUTED_VALUE"""),"RF-00001566-MCG")</f>
        <v>RF-00001566-MCG</v>
      </c>
    </row>
    <row r="6125" spans="1:2" ht="12.5" x14ac:dyDescent="0.25">
      <c r="A6125" t="str">
        <f ca="1">IFERROR(__xludf.DUMMYFUNCTION("""COMPUTED_VALUE"""),"Salmonella Curacao")</f>
        <v>Salmonella Curacao</v>
      </c>
      <c r="B6125" t="str">
        <f ca="1">IFERROR(__xludf.DUMMYFUNCTION("""COMPUTED_VALUE"""),"RF-00001565-MCG")</f>
        <v>RF-00001565-MCG</v>
      </c>
    </row>
    <row r="6126" spans="1:2" ht="12.5" x14ac:dyDescent="0.25">
      <c r="A6126" t="str">
        <f ca="1">IFERROR(__xludf.DUMMYFUNCTION("""COMPUTED_VALUE"""),"Salmonella Cyprus")</f>
        <v>Salmonella Cyprus</v>
      </c>
      <c r="B6126" t="str">
        <f ca="1">IFERROR(__xludf.DUMMYFUNCTION("""COMPUTED_VALUE"""),"RF-00001564-MCG")</f>
        <v>RF-00001564-MCG</v>
      </c>
    </row>
    <row r="6127" spans="1:2" ht="12.5" x14ac:dyDescent="0.25">
      <c r="A6127" t="str">
        <f ca="1">IFERROR(__xludf.DUMMYFUNCTION("""COMPUTED_VALUE"""),"Salmonella Czernyring")</f>
        <v>Salmonella Czernyring</v>
      </c>
      <c r="B6127" t="str">
        <f ca="1">IFERROR(__xludf.DUMMYFUNCTION("""COMPUTED_VALUE"""),"RF-00001551-MCG")</f>
        <v>RF-00001551-MCG</v>
      </c>
    </row>
    <row r="6128" spans="1:2" ht="12.5" x14ac:dyDescent="0.25">
      <c r="A6128" t="str">
        <f ca="1">IFERROR(__xludf.DUMMYFUNCTION("""COMPUTED_VALUE"""),"Salmonella Daarle")</f>
        <v>Salmonella Daarle</v>
      </c>
      <c r="B6128" t="str">
        <f ca="1">IFERROR(__xludf.DUMMYFUNCTION("""COMPUTED_VALUE"""),"RF-00001562-MCG")</f>
        <v>RF-00001562-MCG</v>
      </c>
    </row>
    <row r="6129" spans="1:2" ht="12.5" x14ac:dyDescent="0.25">
      <c r="A6129" t="str">
        <f ca="1">IFERROR(__xludf.DUMMYFUNCTION("""COMPUTED_VALUE"""),"Salmonella Dabou")</f>
        <v>Salmonella Dabou</v>
      </c>
      <c r="B6129" t="str">
        <f ca="1">IFERROR(__xludf.DUMMYFUNCTION("""COMPUTED_VALUE"""),"RF-00001574-MCG")</f>
        <v>RF-00001574-MCG</v>
      </c>
    </row>
    <row r="6130" spans="1:2" ht="12.5" x14ac:dyDescent="0.25">
      <c r="A6130" t="str">
        <f ca="1">IFERROR(__xludf.DUMMYFUNCTION("""COMPUTED_VALUE"""),"Salmonella Dadzie")</f>
        <v>Salmonella Dadzie</v>
      </c>
      <c r="B6130" t="str">
        <f ca="1">IFERROR(__xludf.DUMMYFUNCTION("""COMPUTED_VALUE"""),"RF-00001560-MCG")</f>
        <v>RF-00001560-MCG</v>
      </c>
    </row>
    <row r="6131" spans="1:2" ht="12.5" x14ac:dyDescent="0.25">
      <c r="A6131" t="str">
        <f ca="1">IFERROR(__xludf.DUMMYFUNCTION("""COMPUTED_VALUE"""),"Salmonella Dahlem")</f>
        <v>Salmonella Dahlem</v>
      </c>
      <c r="B6131" t="str">
        <f ca="1">IFERROR(__xludf.DUMMYFUNCTION("""COMPUTED_VALUE"""),"RF-00001559-MCG")</f>
        <v>RF-00001559-MCG</v>
      </c>
    </row>
    <row r="6132" spans="1:2" ht="12.5" x14ac:dyDescent="0.25">
      <c r="A6132" t="str">
        <f ca="1">IFERROR(__xludf.DUMMYFUNCTION("""COMPUTED_VALUE"""),"Salmonella Dahomey")</f>
        <v>Salmonella Dahomey</v>
      </c>
      <c r="B6132" t="str">
        <f ca="1">IFERROR(__xludf.DUMMYFUNCTION("""COMPUTED_VALUE"""),"RF-00001981-MCG")</f>
        <v>RF-00001981-MCG</v>
      </c>
    </row>
    <row r="6133" spans="1:2" ht="12.5" x14ac:dyDescent="0.25">
      <c r="A6133" t="str">
        <f ca="1">IFERROR(__xludf.DUMMYFUNCTION("""COMPUTED_VALUE"""),"Salmonella Dahra")</f>
        <v>Salmonella Dahra</v>
      </c>
      <c r="B6133" t="str">
        <f ca="1">IFERROR(__xludf.DUMMYFUNCTION("""COMPUTED_VALUE"""),"RF-00001557-MCG")</f>
        <v>RF-00001557-MCG</v>
      </c>
    </row>
    <row r="6134" spans="1:2" ht="12.5" x14ac:dyDescent="0.25">
      <c r="A6134" t="str">
        <f ca="1">IFERROR(__xludf.DUMMYFUNCTION("""COMPUTED_VALUE"""),"Salmonella Dakar")</f>
        <v>Salmonella Dakar</v>
      </c>
      <c r="B6134" t="str">
        <f ca="1">IFERROR(__xludf.DUMMYFUNCTION("""COMPUTED_VALUE"""),"RF-00001770-MCG")</f>
        <v>RF-00001770-MCG</v>
      </c>
    </row>
    <row r="6135" spans="1:2" ht="12.5" x14ac:dyDescent="0.25">
      <c r="A6135" t="str">
        <f ca="1">IFERROR(__xludf.DUMMYFUNCTION("""COMPUTED_VALUE"""),"Salmonella Dakota")</f>
        <v>Salmonella Dakota</v>
      </c>
      <c r="B6135" t="str">
        <f ca="1">IFERROR(__xludf.DUMMYFUNCTION("""COMPUTED_VALUE"""),"RF-00001555-MCG")</f>
        <v>RF-00001555-MCG</v>
      </c>
    </row>
    <row r="6136" spans="1:2" ht="12.5" x14ac:dyDescent="0.25">
      <c r="A6136" t="str">
        <f ca="1">IFERROR(__xludf.DUMMYFUNCTION("""COMPUTED_VALUE"""),"Salmonella Dallgow")</f>
        <v>Salmonella Dallgow</v>
      </c>
      <c r="B6136" t="str">
        <f ca="1">IFERROR(__xludf.DUMMYFUNCTION("""COMPUTED_VALUE"""),"RF-00001554-MCG")</f>
        <v>RF-00001554-MCG</v>
      </c>
    </row>
    <row r="6137" spans="1:2" ht="12.5" x14ac:dyDescent="0.25">
      <c r="A6137" t="str">
        <f ca="1">IFERROR(__xludf.DUMMYFUNCTION("""COMPUTED_VALUE"""),"Salmonella Damman")</f>
        <v>Salmonella Damman</v>
      </c>
      <c r="B6137" t="str">
        <f ca="1">IFERROR(__xludf.DUMMYFUNCTION("""COMPUTED_VALUE"""),"RF-00001553-MCG")</f>
        <v>RF-00001553-MCG</v>
      </c>
    </row>
    <row r="6138" spans="1:2" ht="12.5" x14ac:dyDescent="0.25">
      <c r="A6138" t="str">
        <f ca="1">IFERROR(__xludf.DUMMYFUNCTION("""COMPUTED_VALUE"""),"Salmonella Dan")</f>
        <v>Salmonella Dan</v>
      </c>
      <c r="B6138" t="str">
        <f ca="1">IFERROR(__xludf.DUMMYFUNCTION("""COMPUTED_VALUE"""),"RF-00001552-MCG")</f>
        <v>RF-00001552-MCG</v>
      </c>
    </row>
    <row r="6139" spans="1:2" ht="12.5" x14ac:dyDescent="0.25">
      <c r="A6139" t="str">
        <f ca="1">IFERROR(__xludf.DUMMYFUNCTION("""COMPUTED_VALUE"""),"Salmonella Dapango")</f>
        <v>Salmonella Dapango</v>
      </c>
      <c r="B6139" t="str">
        <f ca="1">IFERROR(__xludf.DUMMYFUNCTION("""COMPUTED_VALUE"""),"RF-00001586-MCG")</f>
        <v>RF-00001586-MCG</v>
      </c>
    </row>
    <row r="6140" spans="1:2" ht="12.5" x14ac:dyDescent="0.25">
      <c r="A6140" t="str">
        <f ca="1">IFERROR(__xludf.DUMMYFUNCTION("""COMPUTED_VALUE"""),"Salmonella Daula")</f>
        <v>Salmonella Daula</v>
      </c>
      <c r="B6140" t="str">
        <f ca="1">IFERROR(__xludf.DUMMYFUNCTION("""COMPUTED_VALUE"""),"RF-00001588-MCG")</f>
        <v>RF-00001588-MCG</v>
      </c>
    </row>
    <row r="6141" spans="1:2" ht="12.5" x14ac:dyDescent="0.25">
      <c r="A6141" t="str">
        <f ca="1">IFERROR(__xludf.DUMMYFUNCTION("""COMPUTED_VALUE"""),"Salmonella Daytona")</f>
        <v>Salmonella Daytona</v>
      </c>
      <c r="B6141" t="str">
        <f ca="1">IFERROR(__xludf.DUMMYFUNCTION("""COMPUTED_VALUE"""),"RF-00001563-MCG")</f>
        <v>RF-00001563-MCG</v>
      </c>
    </row>
    <row r="6142" spans="1:2" ht="12.5" x14ac:dyDescent="0.25">
      <c r="A6142" t="str">
        <f ca="1">IFERROR(__xludf.DUMMYFUNCTION("""COMPUTED_VALUE"""),"Salmonella Deckstein")</f>
        <v>Salmonella Deckstein</v>
      </c>
      <c r="B6142" t="str">
        <f ca="1">IFERROR(__xludf.DUMMYFUNCTION("""COMPUTED_VALUE"""),"RF-00001597-MCG")</f>
        <v>RF-00001597-MCG</v>
      </c>
    </row>
    <row r="6143" spans="1:2" ht="12.5" x14ac:dyDescent="0.25">
      <c r="A6143" t="str">
        <f ca="1">IFERROR(__xludf.DUMMYFUNCTION("""COMPUTED_VALUE"""),"Salmonella Delmenhorst")</f>
        <v>Salmonella Delmenhorst</v>
      </c>
      <c r="B6143" t="str">
        <f ca="1">IFERROR(__xludf.DUMMYFUNCTION("""COMPUTED_VALUE"""),"RF-00001596-MCG")</f>
        <v>RF-00001596-MCG</v>
      </c>
    </row>
    <row r="6144" spans="1:2" ht="12.5" x14ac:dyDescent="0.25">
      <c r="A6144" t="str">
        <f ca="1">IFERROR(__xludf.DUMMYFUNCTION("""COMPUTED_VALUE"""),"Salmonella Dembe")</f>
        <v>Salmonella Dembe</v>
      </c>
      <c r="B6144" t="str">
        <f ca="1">IFERROR(__xludf.DUMMYFUNCTION("""COMPUTED_VALUE"""),"RF-00001595-MCG")</f>
        <v>RF-00001595-MCG</v>
      </c>
    </row>
    <row r="6145" spans="1:2" ht="12.5" x14ac:dyDescent="0.25">
      <c r="A6145" t="str">
        <f ca="1">IFERROR(__xludf.DUMMYFUNCTION("""COMPUTED_VALUE"""),"Salmonella Demerara")</f>
        <v>Salmonella Demerara</v>
      </c>
      <c r="B6145" t="str">
        <f ca="1">IFERROR(__xludf.DUMMYFUNCTION("""COMPUTED_VALUE"""),"RF-00001594-MCG")</f>
        <v>RF-00001594-MCG</v>
      </c>
    </row>
    <row r="6146" spans="1:2" ht="12.5" x14ac:dyDescent="0.25">
      <c r="A6146" t="str">
        <f ca="1">IFERROR(__xludf.DUMMYFUNCTION("""COMPUTED_VALUE"""),"Salmonella Denver")</f>
        <v>Salmonella Denver</v>
      </c>
      <c r="B6146" t="str">
        <f ca="1">IFERROR(__xludf.DUMMYFUNCTION("""COMPUTED_VALUE"""),"RF-00001593-MCG")</f>
        <v>RF-00001593-MCG</v>
      </c>
    </row>
    <row r="6147" spans="1:2" ht="12.5" x14ac:dyDescent="0.25">
      <c r="A6147" t="str">
        <f ca="1">IFERROR(__xludf.DUMMYFUNCTION("""COMPUTED_VALUE"""),"Salmonella Derby")</f>
        <v>Salmonella Derby</v>
      </c>
      <c r="B6147" t="str">
        <f ca="1">IFERROR(__xludf.DUMMYFUNCTION("""COMPUTED_VALUE"""),"RF-00001592-MCG")</f>
        <v>RF-00001592-MCG</v>
      </c>
    </row>
    <row r="6148" spans="1:2" ht="12.5" x14ac:dyDescent="0.25">
      <c r="A6148" t="str">
        <f ca="1">IFERROR(__xludf.DUMMYFUNCTION("""COMPUTED_VALUE"""),"Salmonella Derkle")</f>
        <v>Salmonella Derkle</v>
      </c>
      <c r="B6148" t="str">
        <f ca="1">IFERROR(__xludf.DUMMYFUNCTION("""COMPUTED_VALUE"""),"RF-00001591-MCG")</f>
        <v>RF-00001591-MCG</v>
      </c>
    </row>
    <row r="6149" spans="1:2" ht="12.5" x14ac:dyDescent="0.25">
      <c r="A6149" t="str">
        <f ca="1">IFERROR(__xludf.DUMMYFUNCTION("""COMPUTED_VALUE"""),"Salmonella Dessau")</f>
        <v>Salmonella Dessau</v>
      </c>
      <c r="B6149" t="str">
        <f ca="1">IFERROR(__xludf.DUMMYFUNCTION("""COMPUTED_VALUE"""),"RF-00001590-MCG")</f>
        <v>RF-00001590-MCG</v>
      </c>
    </row>
    <row r="6150" spans="1:2" ht="12.5" x14ac:dyDescent="0.25">
      <c r="A6150" t="str">
        <f ca="1">IFERROR(__xludf.DUMMYFUNCTION("""COMPUTED_VALUE"""),"Salmonella Deversoir")</f>
        <v>Salmonella Deversoir</v>
      </c>
      <c r="B6150" t="str">
        <f ca="1">IFERROR(__xludf.DUMMYFUNCTION("""COMPUTED_VALUE"""),"RF-00001589-MCG")</f>
        <v>RF-00001589-MCG</v>
      </c>
    </row>
    <row r="6151" spans="1:2" ht="12.5" x14ac:dyDescent="0.25">
      <c r="A6151" t="str">
        <f ca="1">IFERROR(__xludf.DUMMYFUNCTION("""COMPUTED_VALUE"""),"Salmonella Dibra")</f>
        <v>Salmonella Dibra</v>
      </c>
      <c r="B6151" t="str">
        <f ca="1">IFERROR(__xludf.DUMMYFUNCTION("""COMPUTED_VALUE"""),"RF-00001575-MCG")</f>
        <v>RF-00001575-MCG</v>
      </c>
    </row>
    <row r="6152" spans="1:2" ht="12.5" x14ac:dyDescent="0.25">
      <c r="A6152" t="str">
        <f ca="1">IFERROR(__xludf.DUMMYFUNCTION("""COMPUTED_VALUE"""),"Salmonella Dieuppeul")</f>
        <v>Salmonella Dieuppeul</v>
      </c>
      <c r="B6152" t="str">
        <f ca="1">IFERROR(__xludf.DUMMYFUNCTION("""COMPUTED_VALUE"""),"RF-00001587-MCG")</f>
        <v>RF-00001587-MCG</v>
      </c>
    </row>
    <row r="6153" spans="1:2" ht="12.5" x14ac:dyDescent="0.25">
      <c r="A6153" t="str">
        <f ca="1">IFERROR(__xludf.DUMMYFUNCTION("""COMPUTED_VALUE"""),"Salmonella Diguel")</f>
        <v>Salmonella Diguel</v>
      </c>
      <c r="B6153" t="str">
        <f ca="1">IFERROR(__xludf.DUMMYFUNCTION("""COMPUTED_VALUE"""),"RF-00001599-MCG")</f>
        <v>RF-00001599-MCG</v>
      </c>
    </row>
    <row r="6154" spans="1:2" ht="12.5" x14ac:dyDescent="0.25">
      <c r="A6154" t="str">
        <f ca="1">IFERROR(__xludf.DUMMYFUNCTION("""COMPUTED_VALUE"""),"Salmonella Diogoye")</f>
        <v>Salmonella Diogoye</v>
      </c>
      <c r="B6154" t="str">
        <f ca="1">IFERROR(__xludf.DUMMYFUNCTION("""COMPUTED_VALUE"""),"RF-00001585-MCG")</f>
        <v>RF-00001585-MCG</v>
      </c>
    </row>
    <row r="6155" spans="1:2" ht="12.5" x14ac:dyDescent="0.25">
      <c r="A6155" t="str">
        <f ca="1">IFERROR(__xludf.DUMMYFUNCTION("""COMPUTED_VALUE"""),"Salmonella Diourbel")</f>
        <v>Salmonella Diourbel</v>
      </c>
      <c r="B6155" t="str">
        <f ca="1">IFERROR(__xludf.DUMMYFUNCTION("""COMPUTED_VALUE"""),"RF-00001584-MCG")</f>
        <v>RF-00001584-MCG</v>
      </c>
    </row>
    <row r="6156" spans="1:2" ht="12.5" x14ac:dyDescent="0.25">
      <c r="A6156" t="str">
        <f ca="1">IFERROR(__xludf.DUMMYFUNCTION("""COMPUTED_VALUE"""),"Salmonella Djakarta")</f>
        <v>Salmonella Djakarta</v>
      </c>
      <c r="B6156" t="str">
        <f ca="1">IFERROR(__xludf.DUMMYFUNCTION("""COMPUTED_VALUE"""),"RF-00001583-MCG")</f>
        <v>RF-00001583-MCG</v>
      </c>
    </row>
    <row r="6157" spans="1:2" ht="12.5" x14ac:dyDescent="0.25">
      <c r="A6157" t="str">
        <f ca="1">IFERROR(__xludf.DUMMYFUNCTION("""COMPUTED_VALUE"""),"Salmonella Djama")</f>
        <v>Salmonella Djama</v>
      </c>
      <c r="B6157" t="str">
        <f ca="1">IFERROR(__xludf.DUMMYFUNCTION("""COMPUTED_VALUE"""),"RF-00001582-MCG")</f>
        <v>RF-00001582-MCG</v>
      </c>
    </row>
    <row r="6158" spans="1:2" ht="12.5" x14ac:dyDescent="0.25">
      <c r="A6158" t="str">
        <f ca="1">IFERROR(__xludf.DUMMYFUNCTION("""COMPUTED_VALUE"""),"Salmonella Djelfa")</f>
        <v>Salmonella Djelfa</v>
      </c>
      <c r="B6158" t="str">
        <f ca="1">IFERROR(__xludf.DUMMYFUNCTION("""COMPUTED_VALUE"""),"RF-00001581-MCG")</f>
        <v>RF-00001581-MCG</v>
      </c>
    </row>
    <row r="6159" spans="1:2" ht="12.5" x14ac:dyDescent="0.25">
      <c r="A6159" t="str">
        <f ca="1">IFERROR(__xludf.DUMMYFUNCTION("""COMPUTED_VALUE"""),"Salmonella Djermaia")</f>
        <v>Salmonella Djermaia</v>
      </c>
      <c r="B6159" t="str">
        <f ca="1">IFERROR(__xludf.DUMMYFUNCTION("""COMPUTED_VALUE"""),"RF-00001580-MCG")</f>
        <v>RF-00001580-MCG</v>
      </c>
    </row>
    <row r="6160" spans="1:2" ht="12.5" x14ac:dyDescent="0.25">
      <c r="A6160" t="str">
        <f ca="1">IFERROR(__xludf.DUMMYFUNCTION("""COMPUTED_VALUE"""),"Salmonella Djibouti")</f>
        <v>Salmonella Djibouti</v>
      </c>
      <c r="B6160" t="str">
        <f ca="1">IFERROR(__xludf.DUMMYFUNCTION("""COMPUTED_VALUE"""),"RF-00001579-MCG")</f>
        <v>RF-00001579-MCG</v>
      </c>
    </row>
    <row r="6161" spans="1:2" ht="12.5" x14ac:dyDescent="0.25">
      <c r="A6161" t="str">
        <f ca="1">IFERROR(__xludf.DUMMYFUNCTION("""COMPUTED_VALUE"""),"Salmonella Djugu")</f>
        <v>Salmonella Djugu</v>
      </c>
      <c r="B6161" t="str">
        <f ca="1">IFERROR(__xludf.DUMMYFUNCTION("""COMPUTED_VALUE"""),"RF-00001578-MCG")</f>
        <v>RF-00001578-MCG</v>
      </c>
    </row>
    <row r="6162" spans="1:2" ht="12.5" x14ac:dyDescent="0.25">
      <c r="A6162" t="str">
        <f ca="1">IFERROR(__xludf.DUMMYFUNCTION("""COMPUTED_VALUE"""),"Salmonella Doba")</f>
        <v>Salmonella Doba</v>
      </c>
      <c r="B6162" t="str">
        <f ca="1">IFERROR(__xludf.DUMMYFUNCTION("""COMPUTED_VALUE"""),"RF-00001577-MCG")</f>
        <v>RF-00001577-MCG</v>
      </c>
    </row>
    <row r="6163" spans="1:2" ht="12.5" x14ac:dyDescent="0.25">
      <c r="A6163" t="str">
        <f ca="1">IFERROR(__xludf.DUMMYFUNCTION("""COMPUTED_VALUE"""),"Salmonella Doel")</f>
        <v>Salmonella Doel</v>
      </c>
      <c r="B6163" t="str">
        <f ca="1">IFERROR(__xludf.DUMMYFUNCTION("""COMPUTED_VALUE"""),"RF-00001539-MCG")</f>
        <v>RF-00001539-MCG</v>
      </c>
    </row>
    <row r="6164" spans="1:2" ht="12.5" x14ac:dyDescent="0.25">
      <c r="A6164" t="str">
        <f ca="1">IFERROR(__xludf.DUMMYFUNCTION("""COMPUTED_VALUE"""),"Salmonella Doncaster")</f>
        <v>Salmonella Doncaster</v>
      </c>
      <c r="B6164" t="str">
        <f ca="1">IFERROR(__xludf.DUMMYFUNCTION("""COMPUTED_VALUE"""),"RF-00001598-MCG")</f>
        <v>RF-00001598-MCG</v>
      </c>
    </row>
    <row r="6165" spans="1:2" ht="12.5" x14ac:dyDescent="0.25">
      <c r="A6165" t="str">
        <f ca="1">IFERROR(__xludf.DUMMYFUNCTION("""COMPUTED_VALUE"""),"Salmonella Donna")</f>
        <v>Salmonella Donna</v>
      </c>
      <c r="B6165" t="str">
        <f ca="1">IFERROR(__xludf.DUMMYFUNCTION("""COMPUTED_VALUE"""),"RF-00001561-MCG")</f>
        <v>RF-00001561-MCG</v>
      </c>
    </row>
    <row r="6166" spans="1:2" ht="12.5" x14ac:dyDescent="0.25">
      <c r="A6166" t="str">
        <f ca="1">IFERROR(__xludf.DUMMYFUNCTION("""COMPUTED_VALUE"""),"Salmonella Doorn")</f>
        <v>Salmonella Doorn</v>
      </c>
      <c r="B6166" t="str">
        <f ca="1">IFERROR(__xludf.DUMMYFUNCTION("""COMPUTED_VALUE"""),"RF-00001525-MCG")</f>
        <v>RF-00001525-MCG</v>
      </c>
    </row>
    <row r="6167" spans="1:2" ht="12.5" x14ac:dyDescent="0.25">
      <c r="A6167" t="str">
        <f ca="1">IFERROR(__xludf.DUMMYFUNCTION("""COMPUTED_VALUE"""),"Salmonella Douala")</f>
        <v>Salmonella Douala</v>
      </c>
      <c r="B6167" t="str">
        <f ca="1">IFERROR(__xludf.DUMMYFUNCTION("""COMPUTED_VALUE"""),"RF-00001524-MCG")</f>
        <v>RF-00001524-MCG</v>
      </c>
    </row>
    <row r="6168" spans="1:2" ht="12.5" x14ac:dyDescent="0.25">
      <c r="A6168" t="str">
        <f ca="1">IFERROR(__xludf.DUMMYFUNCTION("""COMPUTED_VALUE"""),"Salmonella Dougi")</f>
        <v>Salmonella Dougi</v>
      </c>
      <c r="B6168" t="str">
        <f ca="1">IFERROR(__xludf.DUMMYFUNCTION("""COMPUTED_VALUE"""),"RF-00001523-MCG")</f>
        <v>RF-00001523-MCG</v>
      </c>
    </row>
    <row r="6169" spans="1:2" ht="12.5" x14ac:dyDescent="0.25">
      <c r="A6169" t="str">
        <f ca="1">IFERROR(__xludf.DUMMYFUNCTION("""COMPUTED_VALUE"""),"Salmonella Doulassame")</f>
        <v>Salmonella Doulassame</v>
      </c>
      <c r="B6169" t="str">
        <f ca="1">IFERROR(__xludf.DUMMYFUNCTION("""COMPUTED_VALUE"""),"RF-00001522-MCG")</f>
        <v>RF-00001522-MCG</v>
      </c>
    </row>
    <row r="6170" spans="1:2" ht="12.5" x14ac:dyDescent="0.25">
      <c r="A6170" t="str">
        <f ca="1">IFERROR(__xludf.DUMMYFUNCTION("""COMPUTED_VALUE"""),"Salmonella Dresden")</f>
        <v>Salmonella Dresden</v>
      </c>
      <c r="B6170" t="str">
        <f ca="1">IFERROR(__xludf.DUMMYFUNCTION("""COMPUTED_VALUE"""),"RF-00001521-MCG")</f>
        <v>RF-00001521-MCG</v>
      </c>
    </row>
    <row r="6171" spans="1:2" ht="12.5" x14ac:dyDescent="0.25">
      <c r="A6171" t="str">
        <f ca="1">IFERROR(__xludf.DUMMYFUNCTION("""COMPUTED_VALUE"""),"Salmonella Driffield")</f>
        <v>Salmonella Driffield</v>
      </c>
      <c r="B6171" t="str">
        <f ca="1">IFERROR(__xludf.DUMMYFUNCTION("""COMPUTED_VALUE"""),"RF-00001520-MCG")</f>
        <v>RF-00001520-MCG</v>
      </c>
    </row>
    <row r="6172" spans="1:2" ht="12.5" x14ac:dyDescent="0.25">
      <c r="A6172" t="str">
        <f ca="1">IFERROR(__xludf.DUMMYFUNCTION("""COMPUTED_VALUE"""),"Salmonella Drogana")</f>
        <v>Salmonella Drogana</v>
      </c>
      <c r="B6172" t="str">
        <f ca="1">IFERROR(__xludf.DUMMYFUNCTION("""COMPUTED_VALUE"""),"RF-00001519-MCG")</f>
        <v>RF-00001519-MCG</v>
      </c>
    </row>
    <row r="6173" spans="1:2" ht="12.5" x14ac:dyDescent="0.25">
      <c r="A6173" t="str">
        <f ca="1">IFERROR(__xludf.DUMMYFUNCTION("""COMPUTED_VALUE"""),"Salmonella Drypool")</f>
        <v>Salmonella Drypool</v>
      </c>
      <c r="B6173" t="str">
        <f ca="1">IFERROR(__xludf.DUMMYFUNCTION("""COMPUTED_VALUE"""),"RF-00001518-MCG")</f>
        <v>RF-00001518-MCG</v>
      </c>
    </row>
    <row r="6174" spans="1:2" ht="12.5" x14ac:dyDescent="0.25">
      <c r="A6174" t="str">
        <f ca="1">IFERROR(__xludf.DUMMYFUNCTION("""COMPUTED_VALUE"""),"Salmonella Dublin")</f>
        <v>Salmonella Dublin</v>
      </c>
      <c r="B6174" t="str">
        <f ca="1">IFERROR(__xludf.DUMMYFUNCTION("""COMPUTED_VALUE"""),"RF-00001517-MCG")</f>
        <v>RF-00001517-MCG</v>
      </c>
    </row>
    <row r="6175" spans="1:2" ht="12.5" x14ac:dyDescent="0.25">
      <c r="A6175" t="str">
        <f ca="1">IFERROR(__xludf.DUMMYFUNCTION("""COMPUTED_VALUE"""),"Salmonella Duesseldorf")</f>
        <v>Salmonella Duesseldorf</v>
      </c>
      <c r="B6175" t="str">
        <f ca="1">IFERROR(__xludf.DUMMYFUNCTION("""COMPUTED_VALUE"""),"RF-00001516-MCG")</f>
        <v>RF-00001516-MCG</v>
      </c>
    </row>
    <row r="6176" spans="1:2" ht="12.5" x14ac:dyDescent="0.25">
      <c r="A6176" t="str">
        <f ca="1">IFERROR(__xludf.DUMMYFUNCTION("""COMPUTED_VALUE"""),"Salmonella Dugbe")</f>
        <v>Salmonella Dugbe</v>
      </c>
      <c r="B6176" t="str">
        <f ca="1">IFERROR(__xludf.DUMMYFUNCTION("""COMPUTED_VALUE"""),"RF-00001503-MCG")</f>
        <v>RF-00001503-MCG</v>
      </c>
    </row>
    <row r="6177" spans="1:2" ht="12.5" x14ac:dyDescent="0.25">
      <c r="A6177" t="str">
        <f ca="1">IFERROR(__xludf.DUMMYFUNCTION("""COMPUTED_VALUE"""),"Salmonella Duisburg")</f>
        <v>Salmonella Duisburg</v>
      </c>
      <c r="B6177" t="str">
        <f ca="1">IFERROR(__xludf.DUMMYFUNCTION("""COMPUTED_VALUE"""),"RF-00001514-MCG")</f>
        <v>RF-00001514-MCG</v>
      </c>
    </row>
    <row r="6178" spans="1:2" ht="12.5" x14ac:dyDescent="0.25">
      <c r="A6178" t="str">
        <f ca="1">IFERROR(__xludf.DUMMYFUNCTION("""COMPUTED_VALUE"""),"Salmonella Dumfries")</f>
        <v>Salmonella Dumfries</v>
      </c>
      <c r="B6178" t="str">
        <f ca="1">IFERROR(__xludf.DUMMYFUNCTION("""COMPUTED_VALUE"""),"RF-00001526-MCG")</f>
        <v>RF-00001526-MCG</v>
      </c>
    </row>
    <row r="6179" spans="1:2" ht="12.5" x14ac:dyDescent="0.25">
      <c r="A6179" t="str">
        <f ca="1">IFERROR(__xludf.DUMMYFUNCTION("""COMPUTED_VALUE"""),"Salmonella Dunkwa")</f>
        <v>Salmonella Dunkwa</v>
      </c>
      <c r="B6179" t="str">
        <f ca="1">IFERROR(__xludf.DUMMYFUNCTION("""COMPUTED_VALUE"""),"RF-00001512-MCG")</f>
        <v>RF-00001512-MCG</v>
      </c>
    </row>
    <row r="6180" spans="1:2" ht="12.5" x14ac:dyDescent="0.25">
      <c r="A6180" t="str">
        <f ca="1">IFERROR(__xludf.DUMMYFUNCTION("""COMPUTED_VALUE"""),"Salmonella Durban")</f>
        <v>Salmonella Durban</v>
      </c>
      <c r="B6180" t="str">
        <f ca="1">IFERROR(__xludf.DUMMYFUNCTION("""COMPUTED_VALUE"""),"RF-00001511-MCG")</f>
        <v>RF-00001511-MCG</v>
      </c>
    </row>
    <row r="6181" spans="1:2" ht="12.5" x14ac:dyDescent="0.25">
      <c r="A6181" t="str">
        <f ca="1">IFERROR(__xludf.DUMMYFUNCTION("""COMPUTED_VALUE"""),"Salmonella Durham")</f>
        <v>Salmonella Durham</v>
      </c>
      <c r="B6181" t="str">
        <f ca="1">IFERROR(__xludf.DUMMYFUNCTION("""COMPUTED_VALUE"""),"RF-00001510-MCG")</f>
        <v>RF-00001510-MCG</v>
      </c>
    </row>
    <row r="6182" spans="1:2" ht="12.5" x14ac:dyDescent="0.25">
      <c r="A6182" t="str">
        <f ca="1">IFERROR(__xludf.DUMMYFUNCTION("""COMPUTED_VALUE"""),"Salmonella Duval")</f>
        <v>Salmonella Duval</v>
      </c>
      <c r="B6182" t="str">
        <f ca="1">IFERROR(__xludf.DUMMYFUNCTION("""COMPUTED_VALUE"""),"RF-00001509-MCG")</f>
        <v>RF-00001509-MCG</v>
      </c>
    </row>
    <row r="6183" spans="1:2" ht="12.5" x14ac:dyDescent="0.25">
      <c r="A6183" t="str">
        <f ca="1">IFERROR(__xludf.DUMMYFUNCTION("""COMPUTED_VALUE"""),"Salmonella Ealing")</f>
        <v>Salmonella Ealing</v>
      </c>
      <c r="B6183" t="str">
        <f ca="1">IFERROR(__xludf.DUMMYFUNCTION("""COMPUTED_VALUE"""),"RF-00001508-MCG")</f>
        <v>RF-00001508-MCG</v>
      </c>
    </row>
    <row r="6184" spans="1:2" ht="12.5" x14ac:dyDescent="0.25">
      <c r="A6184" t="str">
        <f ca="1">IFERROR(__xludf.DUMMYFUNCTION("""COMPUTED_VALUE"""),"Salmonella Eastbourne")</f>
        <v>Salmonella Eastbourne</v>
      </c>
      <c r="B6184" t="str">
        <f ca="1">IFERROR(__xludf.DUMMYFUNCTION("""COMPUTED_VALUE"""),"RF-00001507-MCG")</f>
        <v>RF-00001507-MCG</v>
      </c>
    </row>
    <row r="6185" spans="1:2" ht="12.5" x14ac:dyDescent="0.25">
      <c r="A6185" t="str">
        <f ca="1">IFERROR(__xludf.DUMMYFUNCTION("""COMPUTED_VALUE"""),"Salmonella Eastglam")</f>
        <v>Salmonella Eastglam</v>
      </c>
      <c r="B6185" t="str">
        <f ca="1">IFERROR(__xludf.DUMMYFUNCTION("""COMPUTED_VALUE"""),"RF-00001506-MCG")</f>
        <v>RF-00001506-MCG</v>
      </c>
    </row>
    <row r="6186" spans="1:2" ht="12.5" x14ac:dyDescent="0.25">
      <c r="A6186" t="str">
        <f ca="1">IFERROR(__xludf.DUMMYFUNCTION("""COMPUTED_VALUE"""),"Salmonella Eberswalde")</f>
        <v>Salmonella Eberswalde</v>
      </c>
      <c r="B6186" t="str">
        <f ca="1">IFERROR(__xludf.DUMMYFUNCTION("""COMPUTED_VALUE"""),"RF-00001505-MCG")</f>
        <v>RF-00001505-MCG</v>
      </c>
    </row>
    <row r="6187" spans="1:2" ht="12.5" x14ac:dyDescent="0.25">
      <c r="A6187" t="str">
        <f ca="1">IFERROR(__xludf.DUMMYFUNCTION("""COMPUTED_VALUE"""),"Salmonella Eboko")</f>
        <v>Salmonella Eboko</v>
      </c>
      <c r="B6187" t="str">
        <f ca="1">IFERROR(__xludf.DUMMYFUNCTION("""COMPUTED_VALUE"""),"RF-00001537-MCG")</f>
        <v>RF-00001537-MCG</v>
      </c>
    </row>
    <row r="6188" spans="1:2" ht="12.5" x14ac:dyDescent="0.25">
      <c r="A6188" t="str">
        <f ca="1">IFERROR(__xludf.DUMMYFUNCTION("""COMPUTED_VALUE"""),"Salmonella Ebrie")</f>
        <v>Salmonella Ebrie</v>
      </c>
      <c r="B6188" t="str">
        <f ca="1">IFERROR(__xludf.DUMMYFUNCTION("""COMPUTED_VALUE"""),"RF-00001513-MCG")</f>
        <v>RF-00001513-MCG</v>
      </c>
    </row>
    <row r="6189" spans="1:2" ht="12.5" x14ac:dyDescent="0.25">
      <c r="A6189" t="str">
        <f ca="1">IFERROR(__xludf.DUMMYFUNCTION("""COMPUTED_VALUE"""),"Salmonella Echa")</f>
        <v>Salmonella Echa</v>
      </c>
      <c r="B6189" t="str">
        <f ca="1">IFERROR(__xludf.DUMMYFUNCTION("""COMPUTED_VALUE"""),"RF-00001515-MCG")</f>
        <v>RF-00001515-MCG</v>
      </c>
    </row>
    <row r="6190" spans="1:2" ht="12.5" x14ac:dyDescent="0.25">
      <c r="A6190" t="str">
        <f ca="1">IFERROR(__xludf.DUMMYFUNCTION("""COMPUTED_VALUE"""),"Salmonella Edinburg")</f>
        <v>Salmonella Edinburg</v>
      </c>
      <c r="B6190" t="str">
        <f ca="1">IFERROR(__xludf.DUMMYFUNCTION("""COMPUTED_VALUE"""),"RF-00001549-MCG")</f>
        <v>RF-00001549-MCG</v>
      </c>
    </row>
    <row r="6191" spans="1:2" ht="12.5" x14ac:dyDescent="0.25">
      <c r="A6191" t="str">
        <f ca="1">IFERROR(__xludf.DUMMYFUNCTION("""COMPUTED_VALUE"""),"Salmonella Edmonton")</f>
        <v>Salmonella Edmonton</v>
      </c>
      <c r="B6191" t="str">
        <f ca="1">IFERROR(__xludf.DUMMYFUNCTION("""COMPUTED_VALUE"""),"RF-00001548-MCG")</f>
        <v>RF-00001548-MCG</v>
      </c>
    </row>
    <row r="6192" spans="1:2" ht="12.5" x14ac:dyDescent="0.25">
      <c r="A6192" t="str">
        <f ca="1">IFERROR(__xludf.DUMMYFUNCTION("""COMPUTED_VALUE"""),"Salmonella Egusi")</f>
        <v>Salmonella Egusi</v>
      </c>
      <c r="B6192" t="str">
        <f ca="1">IFERROR(__xludf.DUMMYFUNCTION("""COMPUTED_VALUE"""),"RF-00001547-MCG")</f>
        <v>RF-00001547-MCG</v>
      </c>
    </row>
    <row r="6193" spans="1:2" ht="12.5" x14ac:dyDescent="0.25">
      <c r="A6193" t="str">
        <f ca="1">IFERROR(__xludf.DUMMYFUNCTION("""COMPUTED_VALUE"""),"Salmonella Egusitoo")</f>
        <v>Salmonella Egusitoo</v>
      </c>
      <c r="B6193" t="str">
        <f ca="1">IFERROR(__xludf.DUMMYFUNCTION("""COMPUTED_VALUE"""),"RF-00001546-MCG")</f>
        <v>RF-00001546-MCG</v>
      </c>
    </row>
    <row r="6194" spans="1:2" ht="12.5" x14ac:dyDescent="0.25">
      <c r="A6194" t="str">
        <f ca="1">IFERROR(__xludf.DUMMYFUNCTION("""COMPUTED_VALUE"""),"Salmonella Eimsbuettel")</f>
        <v>Salmonella Eimsbuettel</v>
      </c>
      <c r="B6194" t="str">
        <f ca="1">IFERROR(__xludf.DUMMYFUNCTION("""COMPUTED_VALUE"""),"RF-00001545-MCG")</f>
        <v>RF-00001545-MCG</v>
      </c>
    </row>
    <row r="6195" spans="1:2" ht="12.5" x14ac:dyDescent="0.25">
      <c r="A6195" t="str">
        <f ca="1">IFERROR(__xludf.DUMMYFUNCTION("""COMPUTED_VALUE"""),"Salmonella Eingedi")</f>
        <v>Salmonella Eingedi</v>
      </c>
      <c r="B6195" t="str">
        <f ca="1">IFERROR(__xludf.DUMMYFUNCTION("""COMPUTED_VALUE"""),"RF-00001544-MCG")</f>
        <v>RF-00001544-MCG</v>
      </c>
    </row>
    <row r="6196" spans="1:2" ht="12.5" x14ac:dyDescent="0.25">
      <c r="A6196" t="str">
        <f ca="1">IFERROR(__xludf.DUMMYFUNCTION("""COMPUTED_VALUE"""),"Salmonella Eko")</f>
        <v>Salmonella Eko</v>
      </c>
      <c r="B6196" t="str">
        <f ca="1">IFERROR(__xludf.DUMMYFUNCTION("""COMPUTED_VALUE"""),"RF-00001543-MCG")</f>
        <v>RF-00001543-MCG</v>
      </c>
    </row>
    <row r="6197" spans="1:2" ht="12.5" x14ac:dyDescent="0.25">
      <c r="A6197" t="str">
        <f ca="1">IFERROR(__xludf.DUMMYFUNCTION("""COMPUTED_VALUE"""),"Salmonella Ekotedo")</f>
        <v>Salmonella Ekotedo</v>
      </c>
      <c r="B6197" t="str">
        <f ca="1">IFERROR(__xludf.DUMMYFUNCTION("""COMPUTED_VALUE"""),"RF-00001542-MCG")</f>
        <v>RF-00001542-MCG</v>
      </c>
    </row>
    <row r="6198" spans="1:2" ht="12.5" x14ac:dyDescent="0.25">
      <c r="A6198" t="str">
        <f ca="1">IFERROR(__xludf.DUMMYFUNCTION("""COMPUTED_VALUE"""),"Salmonella Ekpoui")</f>
        <v>Salmonella Ekpoui</v>
      </c>
      <c r="B6198" t="str">
        <f ca="1">IFERROR(__xludf.DUMMYFUNCTION("""COMPUTED_VALUE"""),"RF-00001541-MCG")</f>
        <v>RF-00001541-MCG</v>
      </c>
    </row>
    <row r="6199" spans="1:2" ht="12.5" x14ac:dyDescent="0.25">
      <c r="A6199" t="str">
        <f ca="1">IFERROR(__xludf.DUMMYFUNCTION("""COMPUTED_VALUE"""),"Salmonella Elisabethville")</f>
        <v>Salmonella Elisabethville</v>
      </c>
      <c r="B6199" t="str">
        <f ca="1">IFERROR(__xludf.DUMMYFUNCTION("""COMPUTED_VALUE"""),"RF-00001540-MCG")</f>
        <v>RF-00001540-MCG</v>
      </c>
    </row>
    <row r="6200" spans="1:2" ht="12.5" x14ac:dyDescent="0.25">
      <c r="A6200" t="str">
        <f ca="1">IFERROR(__xludf.DUMMYFUNCTION("""COMPUTED_VALUE"""),"Salmonella Elokate")</f>
        <v>Salmonella Elokate</v>
      </c>
      <c r="B6200" t="str">
        <f ca="1">IFERROR(__xludf.DUMMYFUNCTION("""COMPUTED_VALUE"""),"RF-00001527-MCG")</f>
        <v>RF-00001527-MCG</v>
      </c>
    </row>
    <row r="6201" spans="1:2" ht="12.5" x14ac:dyDescent="0.25">
      <c r="A6201" t="str">
        <f ca="1">IFERROR(__xludf.DUMMYFUNCTION("""COMPUTED_VALUE"""),"Salmonella Elomrane")</f>
        <v>Salmonella Elomrane</v>
      </c>
      <c r="B6201" t="str">
        <f ca="1">IFERROR(__xludf.DUMMYFUNCTION("""COMPUTED_VALUE"""),"RF-00001538-MCG")</f>
        <v>RF-00001538-MCG</v>
      </c>
    </row>
    <row r="6202" spans="1:2" ht="12.5" x14ac:dyDescent="0.25">
      <c r="A6202" t="str">
        <f ca="1">IFERROR(__xludf.DUMMYFUNCTION("""COMPUTED_VALUE"""),"Salmonella Emek")</f>
        <v>Salmonella Emek</v>
      </c>
      <c r="B6202" t="str">
        <f ca="1">IFERROR(__xludf.DUMMYFUNCTION("""COMPUTED_VALUE"""),"RF-00001550-MCG")</f>
        <v>RF-00001550-MCG</v>
      </c>
    </row>
    <row r="6203" spans="1:2" ht="12.5" x14ac:dyDescent="0.25">
      <c r="A6203" t="str">
        <f ca="1">IFERROR(__xludf.DUMMYFUNCTION("""COMPUTED_VALUE"""),"Salmonella Emmastad")</f>
        <v>Salmonella Emmastad</v>
      </c>
      <c r="B6203" t="str">
        <f ca="1">IFERROR(__xludf.DUMMYFUNCTION("""COMPUTED_VALUE"""),"RF-00001536-MCG")</f>
        <v>RF-00001536-MCG</v>
      </c>
    </row>
    <row r="6204" spans="1:2" ht="12.5" x14ac:dyDescent="0.25">
      <c r="A6204" t="str">
        <f ca="1">IFERROR(__xludf.DUMMYFUNCTION("""COMPUTED_VALUE"""),"Salmonella Encino")</f>
        <v>Salmonella Encino</v>
      </c>
      <c r="B6204" t="str">
        <f ca="1">IFERROR(__xludf.DUMMYFUNCTION("""COMPUTED_VALUE"""),"RF-00001535-MCG")</f>
        <v>RF-00001535-MCG</v>
      </c>
    </row>
    <row r="6205" spans="1:2" ht="12.5" x14ac:dyDescent="0.25">
      <c r="A6205" t="str">
        <f ca="1">IFERROR(__xludf.DUMMYFUNCTION("""COMPUTED_VALUE"""),"Salmonella Enschede")</f>
        <v>Salmonella Enschede</v>
      </c>
      <c r="B6205" t="str">
        <f ca="1">IFERROR(__xludf.DUMMYFUNCTION("""COMPUTED_VALUE"""),"RF-00001534-MCG")</f>
        <v>RF-00001534-MCG</v>
      </c>
    </row>
    <row r="6206" spans="1:2" ht="12.5" x14ac:dyDescent="0.25">
      <c r="A6206" t="str">
        <f ca="1">IFERROR(__xludf.DUMMYFUNCTION("""COMPUTED_VALUE"""),"Salmonella Entebbe")</f>
        <v>Salmonella Entebbe</v>
      </c>
      <c r="B6206" t="str">
        <f ca="1">IFERROR(__xludf.DUMMYFUNCTION("""COMPUTED_VALUE"""),"RF-00001533-MCG")</f>
        <v>RF-00001533-MCG</v>
      </c>
    </row>
    <row r="6207" spans="1:2" ht="12.5" x14ac:dyDescent="0.25">
      <c r="A6207" t="str">
        <f ca="1">IFERROR(__xludf.DUMMYFUNCTION("""COMPUTED_VALUE"""),"Salmonella enterica subsp. arizonae")</f>
        <v>Salmonella enterica subsp. arizonae</v>
      </c>
      <c r="B6207" t="str">
        <f ca="1">IFERROR(__xludf.DUMMYFUNCTION("""COMPUTED_VALUE"""),"RF-00001532-MCG")</f>
        <v>RF-00001532-MCG</v>
      </c>
    </row>
    <row r="6208" spans="1:2" ht="12.5" x14ac:dyDescent="0.25">
      <c r="A6208" t="str">
        <f ca="1">IFERROR(__xludf.DUMMYFUNCTION("""COMPUTED_VALUE"""),"Salmonella enterica subsp. diarizonae")</f>
        <v>Salmonella enterica subsp. diarizonae</v>
      </c>
      <c r="B6208" t="str">
        <f ca="1">IFERROR(__xludf.DUMMYFUNCTION("""COMPUTED_VALUE"""),"RF-00001531-MCG")</f>
        <v>RF-00001531-MCG</v>
      </c>
    </row>
    <row r="6209" spans="1:2" ht="12.5" x14ac:dyDescent="0.25">
      <c r="A6209" t="str">
        <f ca="1">IFERROR(__xludf.DUMMYFUNCTION("""COMPUTED_VALUE"""),"Salmonella enterica subsp. enterica, rough")</f>
        <v>Salmonella enterica subsp. enterica, rough</v>
      </c>
      <c r="B6209" t="str">
        <f ca="1">IFERROR(__xludf.DUMMYFUNCTION("""COMPUTED_VALUE"""),"RF-00001530-MCG")</f>
        <v>RF-00001530-MCG</v>
      </c>
    </row>
    <row r="6210" spans="1:2" ht="12.5" x14ac:dyDescent="0.25">
      <c r="A6210" t="str">
        <f ca="1">IFERROR(__xludf.DUMMYFUNCTION("""COMPUTED_VALUE"""),"Salmonella enterica subsp. houtenae")</f>
        <v>Salmonella enterica subsp. houtenae</v>
      </c>
      <c r="B6210" t="str">
        <f ca="1">IFERROR(__xludf.DUMMYFUNCTION("""COMPUTED_VALUE"""),"RF-00001529-MCG")</f>
        <v>RF-00001529-MCG</v>
      </c>
    </row>
    <row r="6211" spans="1:2" ht="12.5" x14ac:dyDescent="0.25">
      <c r="A6211" t="str">
        <f ca="1">IFERROR(__xludf.DUMMYFUNCTION("""COMPUTED_VALUE"""),"Salmonella enterica subsp. salamae")</f>
        <v>Salmonella enterica subsp. salamae</v>
      </c>
      <c r="B6211" t="str">
        <f ca="1">IFERROR(__xludf.DUMMYFUNCTION("""COMPUTED_VALUE"""),"RF-00001528-MCG")</f>
        <v>RF-00001528-MCG</v>
      </c>
    </row>
    <row r="6212" spans="1:2" ht="12.5" x14ac:dyDescent="0.25">
      <c r="A6212" t="str">
        <f ca="1">IFERROR(__xludf.DUMMYFUNCTION("""COMPUTED_VALUE"""),"Salmonella enterica, monophasic")</f>
        <v>Salmonella enterica, monophasic</v>
      </c>
      <c r="B6212" t="str">
        <f ca="1">IFERROR(__xludf.DUMMYFUNCTION("""COMPUTED_VALUE"""),"RF-00001476-MCG")</f>
        <v>RF-00001476-MCG</v>
      </c>
    </row>
    <row r="6213" spans="1:2" ht="12.5" x14ac:dyDescent="0.25">
      <c r="A6213" t="str">
        <f ca="1">IFERROR(__xludf.DUMMYFUNCTION("""COMPUTED_VALUE"""),"Salmonella Enteritidis")</f>
        <v>Salmonella Enteritidis</v>
      </c>
      <c r="B6213" t="str">
        <f ca="1">IFERROR(__xludf.DUMMYFUNCTION("""COMPUTED_VALUE"""),"RF-00002135-MCG")</f>
        <v>RF-00002135-MCG</v>
      </c>
    </row>
    <row r="6214" spans="1:2" ht="12.5" x14ac:dyDescent="0.25">
      <c r="A6214" t="str">
        <f ca="1">IFERROR(__xludf.DUMMYFUNCTION("""COMPUTED_VALUE"""),"Salmonella Enteritidis 1")</f>
        <v>Salmonella Enteritidis 1</v>
      </c>
      <c r="B6214" t="str">
        <f ca="1">IFERROR(__xludf.DUMMYFUNCTION("""COMPUTED_VALUE"""),"RF-00002253-MCG")</f>
        <v>RF-00002253-MCG</v>
      </c>
    </row>
    <row r="6215" spans="1:2" ht="12.5" x14ac:dyDescent="0.25">
      <c r="A6215" t="str">
        <f ca="1">IFERROR(__xludf.DUMMYFUNCTION("""COMPUTED_VALUE"""),"Salmonella Enteritidis 10")</f>
        <v>Salmonella Enteritidis 10</v>
      </c>
      <c r="B6215" t="str">
        <f ca="1">IFERROR(__xludf.DUMMYFUNCTION("""COMPUTED_VALUE"""),"RF-00002254-MCG")</f>
        <v>RF-00002254-MCG</v>
      </c>
    </row>
    <row r="6216" spans="1:2" ht="12.5" x14ac:dyDescent="0.25">
      <c r="A6216" t="str">
        <f ca="1">IFERROR(__xludf.DUMMYFUNCTION("""COMPUTED_VALUE"""),"Salmonella Enteritidis 10degr.")</f>
        <v>Salmonella Enteritidis 10degr.</v>
      </c>
      <c r="B6216" t="str">
        <f ca="1">IFERROR(__xludf.DUMMYFUNCTION("""COMPUTED_VALUE"""),"RF-00002249-MCG")</f>
        <v>RF-00002249-MCG</v>
      </c>
    </row>
    <row r="6217" spans="1:2" ht="12.5" x14ac:dyDescent="0.25">
      <c r="A6217" t="str">
        <f ca="1">IFERROR(__xludf.DUMMYFUNCTION("""COMPUTED_VALUE"""),"Salmonella Enteritidis 11")</f>
        <v>Salmonella Enteritidis 11</v>
      </c>
      <c r="B6217" t="str">
        <f ca="1">IFERROR(__xludf.DUMMYFUNCTION("""COMPUTED_VALUE"""),"RF-00002256-MCG")</f>
        <v>RF-00002256-MCG</v>
      </c>
    </row>
    <row r="6218" spans="1:2" ht="12.5" x14ac:dyDescent="0.25">
      <c r="A6218" t="str">
        <f ca="1">IFERROR(__xludf.DUMMYFUNCTION("""COMPUTED_VALUE"""),"Salmonella Enteritidis 12")</f>
        <v>Salmonella Enteritidis 12</v>
      </c>
      <c r="B6218" t="str">
        <f ca="1">IFERROR(__xludf.DUMMYFUNCTION("""COMPUTED_VALUE"""),"RF-00002262-MCG")</f>
        <v>RF-00002262-MCG</v>
      </c>
    </row>
    <row r="6219" spans="1:2" ht="12.5" x14ac:dyDescent="0.25">
      <c r="A6219" t="str">
        <f ca="1">IFERROR(__xludf.DUMMYFUNCTION("""COMPUTED_VALUE"""),"Salmonella Enteritidis 13")</f>
        <v>Salmonella Enteritidis 13</v>
      </c>
      <c r="B6219" t="str">
        <f ca="1">IFERROR(__xludf.DUMMYFUNCTION("""COMPUTED_VALUE"""),"RF-00002258-MCG")</f>
        <v>RF-00002258-MCG</v>
      </c>
    </row>
    <row r="6220" spans="1:2" ht="12.5" x14ac:dyDescent="0.25">
      <c r="A6220" t="str">
        <f ca="1">IFERROR(__xludf.DUMMYFUNCTION("""COMPUTED_VALUE"""),"Salmonella Enteritidis 14")</f>
        <v>Salmonella Enteritidis 14</v>
      </c>
      <c r="B6220" t="str">
        <f ca="1">IFERROR(__xludf.DUMMYFUNCTION("""COMPUTED_VALUE"""),"RF-00002259-MCG")</f>
        <v>RF-00002259-MCG</v>
      </c>
    </row>
    <row r="6221" spans="1:2" ht="12.5" x14ac:dyDescent="0.25">
      <c r="A6221" t="str">
        <f ca="1">IFERROR(__xludf.DUMMYFUNCTION("""COMPUTED_VALUE"""),"Salmonella Enteritidis 15")</f>
        <v>Salmonella Enteritidis 15</v>
      </c>
      <c r="B6221" t="str">
        <f ca="1">IFERROR(__xludf.DUMMYFUNCTION("""COMPUTED_VALUE"""),"RF-00002260-MCG")</f>
        <v>RF-00002260-MCG</v>
      </c>
    </row>
    <row r="6222" spans="1:2" ht="12.5" x14ac:dyDescent="0.25">
      <c r="A6222" t="str">
        <f ca="1">IFERROR(__xludf.DUMMYFUNCTION("""COMPUTED_VALUE"""),"Salmonella Enteritidis 15a")</f>
        <v>Salmonella Enteritidis 15a</v>
      </c>
      <c r="B6222" t="str">
        <f ca="1">IFERROR(__xludf.DUMMYFUNCTION("""COMPUTED_VALUE"""),"RF-00002261-MCG")</f>
        <v>RF-00002261-MCG</v>
      </c>
    </row>
    <row r="6223" spans="1:2" ht="12.5" x14ac:dyDescent="0.25">
      <c r="A6223" t="str">
        <f ca="1">IFERROR(__xludf.DUMMYFUNCTION("""COMPUTED_VALUE"""),"Salmonella Enteritidis 15d")</f>
        <v>Salmonella Enteritidis 15d</v>
      </c>
      <c r="B6223" t="str">
        <f ca="1">IFERROR(__xludf.DUMMYFUNCTION("""COMPUTED_VALUE"""),"RF-00002257-MCG")</f>
        <v>RF-00002257-MCG</v>
      </c>
    </row>
    <row r="6224" spans="1:2" ht="12.5" x14ac:dyDescent="0.25">
      <c r="A6224" t="str">
        <f ca="1">IFERROR(__xludf.DUMMYFUNCTION("""COMPUTED_VALUE"""),"Salmonella Enteritidis 16")</f>
        <v>Salmonella Enteritidis 16</v>
      </c>
      <c r="B6224" t="str">
        <f ca="1">IFERROR(__xludf.DUMMYFUNCTION("""COMPUTED_VALUE"""),"RF-00002264-MCG")</f>
        <v>RF-00002264-MCG</v>
      </c>
    </row>
    <row r="6225" spans="1:2" ht="12.5" x14ac:dyDescent="0.25">
      <c r="A6225" t="str">
        <f ca="1">IFERROR(__xludf.DUMMYFUNCTION("""COMPUTED_VALUE"""),"Salmonella Enteritidis 16degr.")</f>
        <v>Salmonella Enteritidis 16degr.</v>
      </c>
      <c r="B6225" t="str">
        <f ca="1">IFERROR(__xludf.DUMMYFUNCTION("""COMPUTED_VALUE"""),"RF-00002263-MCG")</f>
        <v>RF-00002263-MCG</v>
      </c>
    </row>
    <row r="6226" spans="1:2" ht="12.5" x14ac:dyDescent="0.25">
      <c r="A6226" t="str">
        <f ca="1">IFERROR(__xludf.DUMMYFUNCTION("""COMPUTED_VALUE"""),"Salmonella Enteritidis 17")</f>
        <v>Salmonella Enteritidis 17</v>
      </c>
      <c r="B6226" t="str">
        <f ca="1">IFERROR(__xludf.DUMMYFUNCTION("""COMPUTED_VALUE"""),"RF-00002252-MCG")</f>
        <v>RF-00002252-MCG</v>
      </c>
    </row>
    <row r="6227" spans="1:2" ht="12.5" x14ac:dyDescent="0.25">
      <c r="A6227" t="str">
        <f ca="1">IFERROR(__xludf.DUMMYFUNCTION("""COMPUTED_VALUE"""),"Salmonella Enteritidis 18")</f>
        <v>Salmonella Enteritidis 18</v>
      </c>
      <c r="B6227" t="str">
        <f ca="1">IFERROR(__xludf.DUMMYFUNCTION("""COMPUTED_VALUE"""),"RF-00002239-MCG")</f>
        <v>RF-00002239-MCG</v>
      </c>
    </row>
    <row r="6228" spans="1:2" ht="12.5" x14ac:dyDescent="0.25">
      <c r="A6228" t="str">
        <f ca="1">IFERROR(__xludf.DUMMYFUNCTION("""COMPUTED_VALUE"""),"Salmonella Enteritidis 19")</f>
        <v>Salmonella Enteritidis 19</v>
      </c>
      <c r="B6228" t="str">
        <f ca="1">IFERROR(__xludf.DUMMYFUNCTION("""COMPUTED_VALUE"""),"RF-00002234-MCG")</f>
        <v>RF-00002234-MCG</v>
      </c>
    </row>
    <row r="6229" spans="1:2" ht="12.5" x14ac:dyDescent="0.25">
      <c r="A6229" t="str">
        <f ca="1">IFERROR(__xludf.DUMMYFUNCTION("""COMPUTED_VALUE"""),"Salmonella Enteritidis 1a")</f>
        <v>Salmonella Enteritidis 1a</v>
      </c>
      <c r="B6229" t="str">
        <f ca="1">IFERROR(__xludf.DUMMYFUNCTION("""COMPUTED_VALUE"""),"RF-00002235-MCG")</f>
        <v>RF-00002235-MCG</v>
      </c>
    </row>
    <row r="6230" spans="1:2" ht="12.5" x14ac:dyDescent="0.25">
      <c r="A6230" t="str">
        <f ca="1">IFERROR(__xludf.DUMMYFUNCTION("""COMPUTED_VALUE"""),"Salmonella Enteritidis 1b")</f>
        <v>Salmonella Enteritidis 1b</v>
      </c>
      <c r="B6230" t="str">
        <f ca="1">IFERROR(__xludf.DUMMYFUNCTION("""COMPUTED_VALUE"""),"RF-00002236-MCG")</f>
        <v>RF-00002236-MCG</v>
      </c>
    </row>
    <row r="6231" spans="1:2" ht="12.5" x14ac:dyDescent="0.25">
      <c r="A6231" t="str">
        <f ca="1">IFERROR(__xludf.DUMMYFUNCTION("""COMPUTED_VALUE"""),"Salmonella Enteritidis 1c")</f>
        <v>Salmonella Enteritidis 1c</v>
      </c>
      <c r="B6231" t="str">
        <f ca="1">IFERROR(__xludf.DUMMYFUNCTION("""COMPUTED_VALUE"""),"RF-00002237-MCG")</f>
        <v>RF-00002237-MCG</v>
      </c>
    </row>
    <row r="6232" spans="1:2" ht="12.5" x14ac:dyDescent="0.25">
      <c r="A6232" t="str">
        <f ca="1">IFERROR(__xludf.DUMMYFUNCTION("""COMPUTED_VALUE"""),"Salmonella Enteritidis 1d")</f>
        <v>Salmonella Enteritidis 1d</v>
      </c>
      <c r="B6232" t="str">
        <f ca="1">IFERROR(__xludf.DUMMYFUNCTION("""COMPUTED_VALUE"""),"RF-00002238-MCG")</f>
        <v>RF-00002238-MCG</v>
      </c>
    </row>
    <row r="6233" spans="1:2" ht="12.5" x14ac:dyDescent="0.25">
      <c r="A6233" t="str">
        <f ca="1">IFERROR(__xludf.DUMMYFUNCTION("""COMPUTED_VALUE"""),"Salmonella Enteritidis 2")</f>
        <v>Salmonella Enteritidis 2</v>
      </c>
      <c r="B6233" t="str">
        <f ca="1">IFERROR(__xludf.DUMMYFUNCTION("""COMPUTED_VALUE"""),"RF-00002248-MCG")</f>
        <v>RF-00002248-MCG</v>
      </c>
    </row>
    <row r="6234" spans="1:2" ht="12.5" x14ac:dyDescent="0.25">
      <c r="A6234" t="str">
        <f ca="1">IFERROR(__xludf.DUMMYFUNCTION("""COMPUTED_VALUE"""),"Salmonella Enteritidis 2a")</f>
        <v>Salmonella Enteritidis 2a</v>
      </c>
      <c r="B6234" t="str">
        <f ca="1">IFERROR(__xludf.DUMMYFUNCTION("""COMPUTED_VALUE"""),"RF-00002240-MCG")</f>
        <v>RF-00002240-MCG</v>
      </c>
    </row>
    <row r="6235" spans="1:2" ht="12.5" x14ac:dyDescent="0.25">
      <c r="A6235" t="str">
        <f ca="1">IFERROR(__xludf.DUMMYFUNCTION("""COMPUTED_VALUE"""),"Salmonella Enteritidis 2degr.")</f>
        <v>Salmonella Enteritidis 2degr.</v>
      </c>
      <c r="B6235" t="str">
        <f ca="1">IFERROR(__xludf.DUMMYFUNCTION("""COMPUTED_VALUE"""),"RF-00002233-MCG")</f>
        <v>RF-00002233-MCG</v>
      </c>
    </row>
    <row r="6236" spans="1:2" ht="12.5" x14ac:dyDescent="0.25">
      <c r="A6236" t="str">
        <f ca="1">IFERROR(__xludf.DUMMYFUNCTION("""COMPUTED_VALUE"""),"Salmonella Enteritidis 3")</f>
        <v>Salmonella Enteritidis 3</v>
      </c>
      <c r="B6236" t="str">
        <f ca="1">IFERROR(__xludf.DUMMYFUNCTION("""COMPUTED_VALUE"""),"RF-00002241-MCG")</f>
        <v>RF-00002241-MCG</v>
      </c>
    </row>
    <row r="6237" spans="1:2" ht="12.5" x14ac:dyDescent="0.25">
      <c r="A6237" t="str">
        <f ca="1">IFERROR(__xludf.DUMMYFUNCTION("""COMPUTED_VALUE"""),"Salmonella Enteritidis 3a")</f>
        <v>Salmonella Enteritidis 3a</v>
      </c>
      <c r="B6237" t="str">
        <f ca="1">IFERROR(__xludf.DUMMYFUNCTION("""COMPUTED_VALUE"""),"RF-00002242-MCG")</f>
        <v>RF-00002242-MCG</v>
      </c>
    </row>
    <row r="6238" spans="1:2" ht="12.5" x14ac:dyDescent="0.25">
      <c r="A6238" t="str">
        <f ca="1">IFERROR(__xludf.DUMMYFUNCTION("""COMPUTED_VALUE"""),"Salmonella Enteritidis 4")</f>
        <v>Salmonella Enteritidis 4</v>
      </c>
      <c r="B6238" t="str">
        <f ca="1">IFERROR(__xludf.DUMMYFUNCTION("""COMPUTED_VALUE"""),"RF-00002251-MCG")</f>
        <v>RF-00002251-MCG</v>
      </c>
    </row>
    <row r="6239" spans="1:2" ht="12.5" x14ac:dyDescent="0.25">
      <c r="A6239" t="str">
        <f ca="1">IFERROR(__xludf.DUMMYFUNCTION("""COMPUTED_VALUE"""),"Salmonella Enteritidis 4a")</f>
        <v>Salmonella Enteritidis 4a</v>
      </c>
      <c r="B6239" t="str">
        <f ca="1">IFERROR(__xludf.DUMMYFUNCTION("""COMPUTED_VALUE"""),"RF-00002243-MCG")</f>
        <v>RF-00002243-MCG</v>
      </c>
    </row>
    <row r="6240" spans="1:2" ht="12.5" x14ac:dyDescent="0.25">
      <c r="A6240" t="str">
        <f ca="1">IFERROR(__xludf.DUMMYFUNCTION("""COMPUTED_VALUE"""),"Salmonella Enteritidis 4b")</f>
        <v>Salmonella Enteritidis 4b</v>
      </c>
      <c r="B6240" t="str">
        <f ca="1">IFERROR(__xludf.DUMMYFUNCTION("""COMPUTED_VALUE"""),"RF-00002244-MCG")</f>
        <v>RF-00002244-MCG</v>
      </c>
    </row>
    <row r="6241" spans="1:2" ht="12.5" x14ac:dyDescent="0.25">
      <c r="A6241" t="str">
        <f ca="1">IFERROR(__xludf.DUMMYFUNCTION("""COMPUTED_VALUE"""),"Salmonella Enteritidis 4degr.")</f>
        <v>Salmonella Enteritidis 4degr.</v>
      </c>
      <c r="B6241" t="str">
        <f ca="1">IFERROR(__xludf.DUMMYFUNCTION("""COMPUTED_VALUE"""),"RF-00002245-MCG")</f>
        <v>RF-00002245-MCG</v>
      </c>
    </row>
    <row r="6242" spans="1:2" ht="12.5" x14ac:dyDescent="0.25">
      <c r="A6242" t="str">
        <f ca="1">IFERROR(__xludf.DUMMYFUNCTION("""COMPUTED_VALUE"""),"Salmonella Enteritidis 5")</f>
        <v>Salmonella Enteritidis 5</v>
      </c>
      <c r="B6242" t="str">
        <f ca="1">IFERROR(__xludf.DUMMYFUNCTION("""COMPUTED_VALUE"""),"RF-00002229-MCG")</f>
        <v>RF-00002229-MCG</v>
      </c>
    </row>
    <row r="6243" spans="1:2" ht="12.5" x14ac:dyDescent="0.25">
      <c r="A6243" t="str">
        <f ca="1">IFERROR(__xludf.DUMMYFUNCTION("""COMPUTED_VALUE"""),"Salmonella Enteritidis 6")</f>
        <v>Salmonella Enteritidis 6</v>
      </c>
      <c r="B6243" t="str">
        <f ca="1">IFERROR(__xludf.DUMMYFUNCTION("""COMPUTED_VALUE"""),"RF-00002181-MCG")</f>
        <v>RF-00002181-MCG</v>
      </c>
    </row>
    <row r="6244" spans="1:2" ht="12.5" x14ac:dyDescent="0.25">
      <c r="A6244" t="str">
        <f ca="1">IFERROR(__xludf.DUMMYFUNCTION("""COMPUTED_VALUE"""),"Salmonella Enteritidis 6a")</f>
        <v>Salmonella Enteritidis 6a</v>
      </c>
      <c r="B6244" t="str">
        <f ca="1">IFERROR(__xludf.DUMMYFUNCTION("""COMPUTED_VALUE"""),"RF-00002151-MCG")</f>
        <v>RF-00002151-MCG</v>
      </c>
    </row>
    <row r="6245" spans="1:2" ht="12.5" x14ac:dyDescent="0.25">
      <c r="A6245" t="str">
        <f ca="1">IFERROR(__xludf.DUMMYFUNCTION("""COMPUTED_VALUE"""),"Salmonella Enteritidis 6b")</f>
        <v>Salmonella Enteritidis 6b</v>
      </c>
      <c r="B6245" t="str">
        <f ca="1">IFERROR(__xludf.DUMMYFUNCTION("""COMPUTED_VALUE"""),"RF-00002152-MCG")</f>
        <v>RF-00002152-MCG</v>
      </c>
    </row>
    <row r="6246" spans="1:2" ht="12.5" x14ac:dyDescent="0.25">
      <c r="A6246" t="str">
        <f ca="1">IFERROR(__xludf.DUMMYFUNCTION("""COMPUTED_VALUE"""),"Salmonella Enteritidis 6c")</f>
        <v>Salmonella Enteritidis 6c</v>
      </c>
      <c r="B6246" t="str">
        <f ca="1">IFERROR(__xludf.DUMMYFUNCTION("""COMPUTED_VALUE"""),"RF-00002153-MCG")</f>
        <v>RF-00002153-MCG</v>
      </c>
    </row>
    <row r="6247" spans="1:2" ht="12.5" x14ac:dyDescent="0.25">
      <c r="A6247" t="str">
        <f ca="1">IFERROR(__xludf.DUMMYFUNCTION("""COMPUTED_VALUE"""),"Salmonella Enteritidis 6d")</f>
        <v>Salmonella Enteritidis 6d</v>
      </c>
      <c r="B6247" t="str">
        <f ca="1">IFERROR(__xludf.DUMMYFUNCTION("""COMPUTED_VALUE"""),"RF-00002155-MCG")</f>
        <v>RF-00002155-MCG</v>
      </c>
    </row>
    <row r="6248" spans="1:2" ht="12.5" x14ac:dyDescent="0.25">
      <c r="A6248" t="str">
        <f ca="1">IFERROR(__xludf.DUMMYFUNCTION("""COMPUTED_VALUE"""),"Salmonella Enteritidis 7")</f>
        <v>Salmonella Enteritidis 7</v>
      </c>
      <c r="B6248" t="str">
        <f ca="1">IFERROR(__xludf.DUMMYFUNCTION("""COMPUTED_VALUE"""),"RF-00002156-MCG")</f>
        <v>RF-00002156-MCG</v>
      </c>
    </row>
    <row r="6249" spans="1:2" ht="12.5" x14ac:dyDescent="0.25">
      <c r="A6249" t="str">
        <f ca="1">IFERROR(__xludf.DUMMYFUNCTION("""COMPUTED_VALUE"""),"Salmonella Enteritidis 7 var.")</f>
        <v>Salmonella Enteritidis 7 var.</v>
      </c>
      <c r="B6249" t="str">
        <f ca="1">IFERROR(__xludf.DUMMYFUNCTION("""COMPUTED_VALUE"""),"RF-00002166-MCG")</f>
        <v>RF-00002166-MCG</v>
      </c>
    </row>
    <row r="6250" spans="1:2" ht="12.5" x14ac:dyDescent="0.25">
      <c r="A6250" t="str">
        <f ca="1">IFERROR(__xludf.DUMMYFUNCTION("""COMPUTED_VALUE"""),"Salmonella Enteritidis 7a")</f>
        <v>Salmonella Enteritidis 7a</v>
      </c>
      <c r="B6250" t="str">
        <f ca="1">IFERROR(__xludf.DUMMYFUNCTION("""COMPUTED_VALUE"""),"RF-00002158-MCG")</f>
        <v>RF-00002158-MCG</v>
      </c>
    </row>
    <row r="6251" spans="1:2" ht="12.5" x14ac:dyDescent="0.25">
      <c r="A6251" t="str">
        <f ca="1">IFERROR(__xludf.DUMMYFUNCTION("""COMPUTED_VALUE"""),"Salmonella Enteritidis 7degr.")</f>
        <v>Salmonella Enteritidis 7degr.</v>
      </c>
      <c r="B6251" t="str">
        <f ca="1">IFERROR(__xludf.DUMMYFUNCTION("""COMPUTED_VALUE"""),"RF-00002150-MCG")</f>
        <v>RF-00002150-MCG</v>
      </c>
    </row>
    <row r="6252" spans="1:2" ht="12.5" x14ac:dyDescent="0.25">
      <c r="A6252" t="str">
        <f ca="1">IFERROR(__xludf.DUMMYFUNCTION("""COMPUTED_VALUE"""),"Salmonella Enteritidis 8")</f>
        <v>Salmonella Enteritidis 8</v>
      </c>
      <c r="B6252" t="str">
        <f ca="1">IFERROR(__xludf.DUMMYFUNCTION("""COMPUTED_VALUE"""),"RF-00002157-MCG")</f>
        <v>RF-00002157-MCG</v>
      </c>
    </row>
    <row r="6253" spans="1:2" ht="12.5" x14ac:dyDescent="0.25">
      <c r="A6253" t="str">
        <f ca="1">IFERROR(__xludf.DUMMYFUNCTION("""COMPUTED_VALUE"""),"Salmonella Enteritidis 9")</f>
        <v>Salmonella Enteritidis 9</v>
      </c>
      <c r="B6253" t="str">
        <f ca="1">IFERROR(__xludf.DUMMYFUNCTION("""COMPUTED_VALUE"""),"RF-00002160-MCG")</f>
        <v>RF-00002160-MCG</v>
      </c>
    </row>
    <row r="6254" spans="1:2" ht="12.5" x14ac:dyDescent="0.25">
      <c r="A6254" t="str">
        <f ca="1">IFERROR(__xludf.DUMMYFUNCTION("""COMPUTED_VALUE"""),"Salmonella Enteritidis DT 42")</f>
        <v>Salmonella Enteritidis DT 42</v>
      </c>
      <c r="B6254" t="str">
        <f ca="1">IFERROR(__xludf.DUMMYFUNCTION("""COMPUTED_VALUE"""),"RF-00002161-MCG")</f>
        <v>RF-00002161-MCG</v>
      </c>
    </row>
    <row r="6255" spans="1:2" ht="12.5" x14ac:dyDescent="0.25">
      <c r="A6255" t="str">
        <f ca="1">IFERROR(__xludf.DUMMYFUNCTION("""COMPUTED_VALUE"""),"Salmonella Enteritidis DT RDNC")</f>
        <v>Salmonella Enteritidis DT RDNC</v>
      </c>
      <c r="B6255" t="str">
        <f ca="1">IFERROR(__xludf.DUMMYFUNCTION("""COMPUTED_VALUE"""),"RF-00002162-MCG")</f>
        <v>RF-00002162-MCG</v>
      </c>
    </row>
    <row r="6256" spans="1:2" ht="12.5" x14ac:dyDescent="0.25">
      <c r="A6256" t="str">
        <f ca="1">IFERROR(__xludf.DUMMYFUNCTION("""COMPUTED_VALUE"""),"Salmonella Enteritidis FT 13 var.")</f>
        <v>Salmonella Enteritidis FT 13 var.</v>
      </c>
      <c r="B6256" t="str">
        <f ca="1">IFERROR(__xludf.DUMMYFUNCTION("""COMPUTED_VALUE"""),"RF-00002163-MCG")</f>
        <v>RF-00002163-MCG</v>
      </c>
    </row>
    <row r="6257" spans="1:2" ht="12.5" x14ac:dyDescent="0.25">
      <c r="A6257" t="str">
        <f ca="1">IFERROR(__xludf.DUMMYFUNCTION("""COMPUTED_VALUE"""),"Salmonella Enteritidis FT 4")</f>
        <v>Salmonella Enteritidis FT 4</v>
      </c>
      <c r="B6257" t="str">
        <f ca="1">IFERROR(__xludf.DUMMYFUNCTION("""COMPUTED_VALUE"""),"RF-00002164-MCG")</f>
        <v>RF-00002164-MCG</v>
      </c>
    </row>
    <row r="6258" spans="1:2" ht="12.5" x14ac:dyDescent="0.25">
      <c r="A6258" t="str">
        <f ca="1">IFERROR(__xludf.DUMMYFUNCTION("""COMPUTED_VALUE"""),"Salmonella Enteritidis Not typable")</f>
        <v>Salmonella Enteritidis Not typable</v>
      </c>
      <c r="B6258" t="str">
        <f ca="1">IFERROR(__xludf.DUMMYFUNCTION("""COMPUTED_VALUE"""),"RF-00002165-MCG")</f>
        <v>RF-00002165-MCG</v>
      </c>
    </row>
    <row r="6259" spans="1:2" ht="12.5" x14ac:dyDescent="0.25">
      <c r="A6259" t="str">
        <f ca="1">IFERROR(__xludf.DUMMYFUNCTION("""COMPUTED_VALUE"""),"Salmonella Enteritidis Other")</f>
        <v>Salmonella Enteritidis Other</v>
      </c>
      <c r="B6259" t="str">
        <f ca="1">IFERROR(__xludf.DUMMYFUNCTION("""COMPUTED_VALUE"""),"RF-00002159-MCG")</f>
        <v>RF-00002159-MCG</v>
      </c>
    </row>
    <row r="6260" spans="1:2" ht="12.5" x14ac:dyDescent="0.25">
      <c r="A6260" t="str">
        <f ca="1">IFERROR(__xludf.DUMMYFUNCTION("""COMPUTED_VALUE"""),"Salmonella Enteritidis Pr")</f>
        <v>Salmonella Enteritidis Pr</v>
      </c>
      <c r="B6260" t="str">
        <f ca="1">IFERROR(__xludf.DUMMYFUNCTION("""COMPUTED_VALUE"""),"RF-00002146-MCG")</f>
        <v>RF-00002146-MCG</v>
      </c>
    </row>
    <row r="6261" spans="1:2" ht="12.5" x14ac:dyDescent="0.25">
      <c r="A6261" t="str">
        <f ca="1">IFERROR(__xludf.DUMMYFUNCTION("""COMPUTED_VALUE"""),"Salmonella Enteritidis PT 1")</f>
        <v>Salmonella Enteritidis PT 1</v>
      </c>
      <c r="B6261" t="str">
        <f ca="1">IFERROR(__xludf.DUMMYFUNCTION("""COMPUTED_VALUE"""),"RF-00002140-MCG")</f>
        <v>RF-00002140-MCG</v>
      </c>
    </row>
    <row r="6262" spans="1:2" ht="12.5" x14ac:dyDescent="0.25">
      <c r="A6262" t="str">
        <f ca="1">IFERROR(__xludf.DUMMYFUNCTION("""COMPUTED_VALUE"""),"Salmonella Enteritidis PT 11")</f>
        <v>Salmonella Enteritidis PT 11</v>
      </c>
      <c r="B6262" t="str">
        <f ca="1">IFERROR(__xludf.DUMMYFUNCTION("""COMPUTED_VALUE"""),"RF-00002138-MCG")</f>
        <v>RF-00002138-MCG</v>
      </c>
    </row>
    <row r="6263" spans="1:2" ht="12.5" x14ac:dyDescent="0.25">
      <c r="A6263" t="str">
        <f ca="1">IFERROR(__xludf.DUMMYFUNCTION("""COMPUTED_VALUE"""),"Salmonella Enteritidis PT 12")</f>
        <v>Salmonella Enteritidis PT 12</v>
      </c>
      <c r="B6263" t="str">
        <f ca="1">IFERROR(__xludf.DUMMYFUNCTION("""COMPUTED_VALUE"""),"RF-00002136-MCG")</f>
        <v>RF-00002136-MCG</v>
      </c>
    </row>
    <row r="6264" spans="1:2" ht="12.5" x14ac:dyDescent="0.25">
      <c r="A6264" t="str">
        <f ca="1">IFERROR(__xludf.DUMMYFUNCTION("""COMPUTED_VALUE"""),"Salmonella Enteritidis PT 13")</f>
        <v>Salmonella Enteritidis PT 13</v>
      </c>
      <c r="B6264" t="str">
        <f ca="1">IFERROR(__xludf.DUMMYFUNCTION("""COMPUTED_VALUE"""),"RF-00002141-MCG")</f>
        <v>RF-00002141-MCG</v>
      </c>
    </row>
    <row r="6265" spans="1:2" ht="12.5" x14ac:dyDescent="0.25">
      <c r="A6265" t="str">
        <f ca="1">IFERROR(__xludf.DUMMYFUNCTION("""COMPUTED_VALUE"""),"Salmonella Enteritidis PT 13 var.")</f>
        <v>Salmonella Enteritidis PT 13 var.</v>
      </c>
      <c r="B6265" t="str">
        <f ca="1">IFERROR(__xludf.DUMMYFUNCTION("""COMPUTED_VALUE"""),"RF-00002137-MCG")</f>
        <v>RF-00002137-MCG</v>
      </c>
    </row>
    <row r="6266" spans="1:2" ht="12.5" x14ac:dyDescent="0.25">
      <c r="A6266" t="str">
        <f ca="1">IFERROR(__xludf.DUMMYFUNCTION("""COMPUTED_VALUE"""),"Salmonella Enteritidis PT 13a")</f>
        <v>Salmonella Enteritidis PT 13a</v>
      </c>
      <c r="B6266" t="str">
        <f ca="1">IFERROR(__xludf.DUMMYFUNCTION("""COMPUTED_VALUE"""),"RF-00002139-MCG")</f>
        <v>RF-00002139-MCG</v>
      </c>
    </row>
    <row r="6267" spans="1:2" ht="12.5" x14ac:dyDescent="0.25">
      <c r="A6267" t="str">
        <f ca="1">IFERROR(__xludf.DUMMYFUNCTION("""COMPUTED_VALUE"""),"Salmonella Enteritidis PT 148")</f>
        <v>Salmonella Enteritidis PT 148</v>
      </c>
      <c r="B6267" t="str">
        <f ca="1">IFERROR(__xludf.DUMMYFUNCTION("""COMPUTED_VALUE"""),"RF-00002142-MCG")</f>
        <v>RF-00002142-MCG</v>
      </c>
    </row>
    <row r="6268" spans="1:2" ht="12.5" x14ac:dyDescent="0.25">
      <c r="A6268" t="str">
        <f ca="1">IFERROR(__xludf.DUMMYFUNCTION("""COMPUTED_VALUE"""),"Salmonella Enteritidis PT 14b")</f>
        <v>Salmonella Enteritidis PT 14b</v>
      </c>
      <c r="B6268" t="str">
        <f ca="1">IFERROR(__xludf.DUMMYFUNCTION("""COMPUTED_VALUE"""),"RF-00002149-MCG")</f>
        <v>RF-00002149-MCG</v>
      </c>
    </row>
    <row r="6269" spans="1:2" ht="12.5" x14ac:dyDescent="0.25">
      <c r="A6269" t="str">
        <f ca="1">IFERROR(__xludf.DUMMYFUNCTION("""COMPUTED_VALUE"""),"Salmonella Enteritidis PT 15")</f>
        <v>Salmonella Enteritidis PT 15</v>
      </c>
      <c r="B6269" t="str">
        <f ca="1">IFERROR(__xludf.DUMMYFUNCTION("""COMPUTED_VALUE"""),"RF-00002143-MCG")</f>
        <v>RF-00002143-MCG</v>
      </c>
    </row>
    <row r="6270" spans="1:2" ht="12.5" x14ac:dyDescent="0.25">
      <c r="A6270" t="str">
        <f ca="1">IFERROR(__xludf.DUMMYFUNCTION("""COMPUTED_VALUE"""),"Salmonella Enteritidis PT 16")</f>
        <v>Salmonella Enteritidis PT 16</v>
      </c>
      <c r="B6270" t="str">
        <f ca="1">IFERROR(__xludf.DUMMYFUNCTION("""COMPUTED_VALUE"""),"RF-00002144-MCG")</f>
        <v>RF-00002144-MCG</v>
      </c>
    </row>
    <row r="6271" spans="1:2" ht="12.5" x14ac:dyDescent="0.25">
      <c r="A6271" t="str">
        <f ca="1">IFERROR(__xludf.DUMMYFUNCTION("""COMPUTED_VALUE"""),"Salmonella Enteritidis PT 19")</f>
        <v>Salmonella Enteritidis PT 19</v>
      </c>
      <c r="B6271" t="str">
        <f ca="1">IFERROR(__xludf.DUMMYFUNCTION("""COMPUTED_VALUE"""),"RF-00002145-MCG")</f>
        <v>RF-00002145-MCG</v>
      </c>
    </row>
    <row r="6272" spans="1:2" ht="12.5" x14ac:dyDescent="0.25">
      <c r="A6272" t="str">
        <f ca="1">IFERROR(__xludf.DUMMYFUNCTION("""COMPUTED_VALUE"""),"Salmonella Enteritidis PT 19a")</f>
        <v>Salmonella Enteritidis PT 19a</v>
      </c>
      <c r="B6272" t="str">
        <f ca="1">IFERROR(__xludf.DUMMYFUNCTION("""COMPUTED_VALUE"""),"RF-00002148-MCG")</f>
        <v>RF-00002148-MCG</v>
      </c>
    </row>
    <row r="6273" spans="1:2" ht="12.5" x14ac:dyDescent="0.25">
      <c r="A6273" t="str">
        <f ca="1">IFERROR(__xludf.DUMMYFUNCTION("""COMPUTED_VALUE"""),"Salmonella Enteritidis PT 1a")</f>
        <v>Salmonella Enteritidis PT 1a</v>
      </c>
      <c r="B6273" t="str">
        <f ca="1">IFERROR(__xludf.DUMMYFUNCTION("""COMPUTED_VALUE"""),"RF-00002147-MCG")</f>
        <v>RF-00002147-MCG</v>
      </c>
    </row>
    <row r="6274" spans="1:2" ht="12.5" x14ac:dyDescent="0.25">
      <c r="A6274" t="str">
        <f ca="1">IFERROR(__xludf.DUMMYFUNCTION("""COMPUTED_VALUE"""),"Salmonella Enteritidis PT 1b")</f>
        <v>Salmonella Enteritidis PT 1b</v>
      </c>
      <c r="B6274" t="str">
        <f ca="1">IFERROR(__xludf.DUMMYFUNCTION("""COMPUTED_VALUE"""),"RF-00002193-MCG")</f>
        <v>RF-00002193-MCG</v>
      </c>
    </row>
    <row r="6275" spans="1:2" ht="12.5" x14ac:dyDescent="0.25">
      <c r="A6275" t="str">
        <f ca="1">IFERROR(__xludf.DUMMYFUNCTION("""COMPUTED_VALUE"""),"Salmonella Enteritidis PT 1c")</f>
        <v>Salmonella Enteritidis PT 1c</v>
      </c>
      <c r="B6275" t="str">
        <f ca="1">IFERROR(__xludf.DUMMYFUNCTION("""COMPUTED_VALUE"""),"RF-00002185-MCG")</f>
        <v>RF-00002185-MCG</v>
      </c>
    </row>
    <row r="6276" spans="1:2" ht="12.5" x14ac:dyDescent="0.25">
      <c r="A6276" t="str">
        <f ca="1">IFERROR(__xludf.DUMMYFUNCTION("""COMPUTED_VALUE"""),"Salmonella Enteritidis PT 1d")</f>
        <v>Salmonella Enteritidis PT 1d</v>
      </c>
      <c r="B6276" t="str">
        <f ca="1">IFERROR(__xludf.DUMMYFUNCTION("""COMPUTED_VALUE"""),"RF-00002186-MCG")</f>
        <v>RF-00002186-MCG</v>
      </c>
    </row>
    <row r="6277" spans="1:2" ht="12.5" x14ac:dyDescent="0.25">
      <c r="A6277" t="str">
        <f ca="1">IFERROR(__xludf.DUMMYFUNCTION("""COMPUTED_VALUE"""),"Salmonella Enteritidis PT 1e")</f>
        <v>Salmonella Enteritidis PT 1e</v>
      </c>
      <c r="B6277" t="str">
        <f ca="1">IFERROR(__xludf.DUMMYFUNCTION("""COMPUTED_VALUE"""),"RF-00002187-MCG")</f>
        <v>RF-00002187-MCG</v>
      </c>
    </row>
    <row r="6278" spans="1:2" ht="12.5" x14ac:dyDescent="0.25">
      <c r="A6278" t="str">
        <f ca="1">IFERROR(__xludf.DUMMYFUNCTION("""COMPUTED_VALUE"""),"Salmonella Enteritidis PT 2")</f>
        <v>Salmonella Enteritidis PT 2</v>
      </c>
      <c r="B6278" t="str">
        <f ca="1">IFERROR(__xludf.DUMMYFUNCTION("""COMPUTED_VALUE"""),"RF-00002188-MCG")</f>
        <v>RF-00002188-MCG</v>
      </c>
    </row>
    <row r="6279" spans="1:2" ht="12.5" x14ac:dyDescent="0.25">
      <c r="A6279" t="str">
        <f ca="1">IFERROR(__xludf.DUMMYFUNCTION("""COMPUTED_VALUE"""),"Salmonella Enteritidis PT 20")</f>
        <v>Salmonella Enteritidis PT 20</v>
      </c>
      <c r="B6279" t="str">
        <f ca="1">IFERROR(__xludf.DUMMYFUNCTION("""COMPUTED_VALUE"""),"RF-00002189-MCG")</f>
        <v>RF-00002189-MCG</v>
      </c>
    </row>
    <row r="6280" spans="1:2" ht="12.5" x14ac:dyDescent="0.25">
      <c r="A6280" t="str">
        <f ca="1">IFERROR(__xludf.DUMMYFUNCTION("""COMPUTED_VALUE"""),"Salmonella Enteritidis PT 20a")</f>
        <v>Salmonella Enteritidis PT 20a</v>
      </c>
      <c r="B6280" t="str">
        <f ca="1">IFERROR(__xludf.DUMMYFUNCTION("""COMPUTED_VALUE"""),"RF-00002190-MCG")</f>
        <v>RF-00002190-MCG</v>
      </c>
    </row>
    <row r="6281" spans="1:2" ht="12.5" x14ac:dyDescent="0.25">
      <c r="A6281" t="str">
        <f ca="1">IFERROR(__xludf.DUMMYFUNCTION("""COMPUTED_VALUE"""),"Salmonella Enteritidis PT 21")</f>
        <v>Salmonella Enteritidis PT 21</v>
      </c>
      <c r="B6281" t="str">
        <f ca="1">IFERROR(__xludf.DUMMYFUNCTION("""COMPUTED_VALUE"""),"RF-00002200-MCG")</f>
        <v>RF-00002200-MCG</v>
      </c>
    </row>
    <row r="6282" spans="1:2" ht="12.5" x14ac:dyDescent="0.25">
      <c r="A6282" t="str">
        <f ca="1">IFERROR(__xludf.DUMMYFUNCTION("""COMPUTED_VALUE"""),"Salmonella Enteritidis PT 21a")</f>
        <v>Salmonella Enteritidis PT 21a</v>
      </c>
      <c r="B6282" t="str">
        <f ca="1">IFERROR(__xludf.DUMMYFUNCTION("""COMPUTED_VALUE"""),"RF-00002192-MCG")</f>
        <v>RF-00002192-MCG</v>
      </c>
    </row>
    <row r="6283" spans="1:2" ht="12.5" x14ac:dyDescent="0.25">
      <c r="A6283" t="str">
        <f ca="1">IFERROR(__xludf.DUMMYFUNCTION("""COMPUTED_VALUE"""),"Salmonella Enteritidis PT 21c")</f>
        <v>Salmonella Enteritidis PT 21c</v>
      </c>
      <c r="B6283" t="str">
        <f ca="1">IFERROR(__xludf.DUMMYFUNCTION("""COMPUTED_VALUE"""),"RF-00002184-MCG")</f>
        <v>RF-00002184-MCG</v>
      </c>
    </row>
    <row r="6284" spans="1:2" ht="12.5" x14ac:dyDescent="0.25">
      <c r="A6284" t="str">
        <f ca="1">IFERROR(__xludf.DUMMYFUNCTION("""COMPUTED_VALUE"""),"Salmonella Enteritidis PT 22")</f>
        <v>Salmonella Enteritidis PT 22</v>
      </c>
      <c r="B6284" t="str">
        <f ca="1">IFERROR(__xludf.DUMMYFUNCTION("""COMPUTED_VALUE"""),"RF-00002194-MCG")</f>
        <v>RF-00002194-MCG</v>
      </c>
    </row>
    <row r="6285" spans="1:2" ht="12.5" x14ac:dyDescent="0.25">
      <c r="A6285" t="str">
        <f ca="1">IFERROR(__xludf.DUMMYFUNCTION("""COMPUTED_VALUE"""),"Salmonella Enteritidis PT 23")</f>
        <v>Salmonella Enteritidis PT 23</v>
      </c>
      <c r="B6285" t="str">
        <f ca="1">IFERROR(__xludf.DUMMYFUNCTION("""COMPUTED_VALUE"""),"RF-00002195-MCG")</f>
        <v>RF-00002195-MCG</v>
      </c>
    </row>
    <row r="6286" spans="1:2" ht="12.5" x14ac:dyDescent="0.25">
      <c r="A6286" t="str">
        <f ca="1">IFERROR(__xludf.DUMMYFUNCTION("""COMPUTED_VALUE"""),"Salmonella Enteritidis PT 24")</f>
        <v>Salmonella Enteritidis PT 24</v>
      </c>
      <c r="B6286" t="str">
        <f ca="1">IFERROR(__xludf.DUMMYFUNCTION("""COMPUTED_VALUE"""),"RF-00002196-MCG")</f>
        <v>RF-00002196-MCG</v>
      </c>
    </row>
    <row r="6287" spans="1:2" ht="12.5" x14ac:dyDescent="0.25">
      <c r="A6287" t="str">
        <f ca="1">IFERROR(__xludf.DUMMYFUNCTION("""COMPUTED_VALUE"""),"Salmonella Enteritidis PT 24 var.")</f>
        <v>Salmonella Enteritidis PT 24 var.</v>
      </c>
      <c r="B6287" t="str">
        <f ca="1">IFERROR(__xludf.DUMMYFUNCTION("""COMPUTED_VALUE"""),"RF-00002197-MCG")</f>
        <v>RF-00002197-MCG</v>
      </c>
    </row>
    <row r="6288" spans="1:2" ht="12.5" x14ac:dyDescent="0.25">
      <c r="A6288" t="str">
        <f ca="1">IFERROR(__xludf.DUMMYFUNCTION("""COMPUTED_VALUE"""),"Salmonella Enteritidis PT 24a")</f>
        <v>Salmonella Enteritidis PT 24a</v>
      </c>
      <c r="B6288" t="str">
        <f ca="1">IFERROR(__xludf.DUMMYFUNCTION("""COMPUTED_VALUE"""),"RF-00002198-MCG")</f>
        <v>RF-00002198-MCG</v>
      </c>
    </row>
    <row r="6289" spans="1:2" ht="12.5" x14ac:dyDescent="0.25">
      <c r="A6289" t="str">
        <f ca="1">IFERROR(__xludf.DUMMYFUNCTION("""COMPUTED_VALUE"""),"Salmonella Enteritidis PT 25")</f>
        <v>Salmonella Enteritidis PT 25</v>
      </c>
      <c r="B6289" t="str">
        <f ca="1">IFERROR(__xludf.DUMMYFUNCTION("""COMPUTED_VALUE"""),"RF-00002199-MCG")</f>
        <v>RF-00002199-MCG</v>
      </c>
    </row>
    <row r="6290" spans="1:2" ht="12.5" x14ac:dyDescent="0.25">
      <c r="A6290" t="str">
        <f ca="1">IFERROR(__xludf.DUMMYFUNCTION("""COMPUTED_VALUE"""),"Salmonella Enteritidis PT 27")</f>
        <v>Salmonella Enteritidis PT 27</v>
      </c>
      <c r="B6290" t="str">
        <f ca="1">IFERROR(__xludf.DUMMYFUNCTION("""COMPUTED_VALUE"""),"RF-00002176-MCG")</f>
        <v>RF-00002176-MCG</v>
      </c>
    </row>
    <row r="6291" spans="1:2" ht="12.5" x14ac:dyDescent="0.25">
      <c r="A6291" t="str">
        <f ca="1">IFERROR(__xludf.DUMMYFUNCTION("""COMPUTED_VALUE"""),"Salmonella Enteritidis PT 28")</f>
        <v>Salmonella Enteritidis PT 28</v>
      </c>
      <c r="B6291" t="str">
        <f ca="1">IFERROR(__xludf.DUMMYFUNCTION("""COMPUTED_VALUE"""),"RF-00002174-MCG")</f>
        <v>RF-00002174-MCG</v>
      </c>
    </row>
    <row r="6292" spans="1:2" ht="12.5" x14ac:dyDescent="0.25">
      <c r="A6292" t="str">
        <f ca="1">IFERROR(__xludf.DUMMYFUNCTION("""COMPUTED_VALUE"""),"Salmonella Enteritidis PT 29")</f>
        <v>Salmonella Enteritidis PT 29</v>
      </c>
      <c r="B6292" t="str">
        <f ca="1">IFERROR(__xludf.DUMMYFUNCTION("""COMPUTED_VALUE"""),"RF-00002191-MCG")</f>
        <v>RF-00002191-MCG</v>
      </c>
    </row>
    <row r="6293" spans="1:2" ht="12.5" x14ac:dyDescent="0.25">
      <c r="A6293" t="str">
        <f ca="1">IFERROR(__xludf.DUMMYFUNCTION("""COMPUTED_VALUE"""),"Salmonella Enteritidis PT 3")</f>
        <v>Salmonella Enteritidis PT 3</v>
      </c>
      <c r="B6293" t="str">
        <f ca="1">IFERROR(__xludf.DUMMYFUNCTION("""COMPUTED_VALUE"""),"RF-00002169-MCG")</f>
        <v>RF-00002169-MCG</v>
      </c>
    </row>
    <row r="6294" spans="1:2" ht="12.5" x14ac:dyDescent="0.25">
      <c r="A6294" t="str">
        <f ca="1">IFERROR(__xludf.DUMMYFUNCTION("""COMPUTED_VALUE"""),"Salmonella Enteritidis PT 30")</f>
        <v>Salmonella Enteritidis PT 30</v>
      </c>
      <c r="B6294" t="str">
        <f ca="1">IFERROR(__xludf.DUMMYFUNCTION("""COMPUTED_VALUE"""),"RF-00002170-MCG")</f>
        <v>RF-00002170-MCG</v>
      </c>
    </row>
    <row r="6295" spans="1:2" ht="12.5" x14ac:dyDescent="0.25">
      <c r="A6295" t="str">
        <f ca="1">IFERROR(__xludf.DUMMYFUNCTION("""COMPUTED_VALUE"""),"Salmonella Enteritidis PT 31")</f>
        <v>Salmonella Enteritidis PT 31</v>
      </c>
      <c r="B6295" t="str">
        <f ca="1">IFERROR(__xludf.DUMMYFUNCTION("""COMPUTED_VALUE"""),"RF-00002171-MCG")</f>
        <v>RF-00002171-MCG</v>
      </c>
    </row>
    <row r="6296" spans="1:2" ht="12.5" x14ac:dyDescent="0.25">
      <c r="A6296" t="str">
        <f ca="1">IFERROR(__xludf.DUMMYFUNCTION("""COMPUTED_VALUE"""),"Salmonella Enteritidis PT 32")</f>
        <v>Salmonella Enteritidis PT 32</v>
      </c>
      <c r="B6296" t="str">
        <f ca="1">IFERROR(__xludf.DUMMYFUNCTION("""COMPUTED_VALUE"""),"RF-00002172-MCG")</f>
        <v>RF-00002172-MCG</v>
      </c>
    </row>
    <row r="6297" spans="1:2" ht="12.5" x14ac:dyDescent="0.25">
      <c r="A6297" t="str">
        <f ca="1">IFERROR(__xludf.DUMMYFUNCTION("""COMPUTED_VALUE"""),"Salmonella Enteritidis PT 32a")</f>
        <v>Salmonella Enteritidis PT 32a</v>
      </c>
      <c r="B6297" t="str">
        <f ca="1">IFERROR(__xludf.DUMMYFUNCTION("""COMPUTED_VALUE"""),"RF-00002168-MCG")</f>
        <v>RF-00002168-MCG</v>
      </c>
    </row>
    <row r="6298" spans="1:2" ht="12.5" x14ac:dyDescent="0.25">
      <c r="A6298" t="str">
        <f ca="1">IFERROR(__xludf.DUMMYFUNCTION("""COMPUTED_VALUE"""),"Salmonella Enteritidis PT 33")</f>
        <v>Salmonella Enteritidis PT 33</v>
      </c>
      <c r="B6298" t="str">
        <f ca="1">IFERROR(__xludf.DUMMYFUNCTION("""COMPUTED_VALUE"""),"RF-00002173-MCG")</f>
        <v>RF-00002173-MCG</v>
      </c>
    </row>
    <row r="6299" spans="1:2" ht="12.5" x14ac:dyDescent="0.25">
      <c r="A6299" t="str">
        <f ca="1">IFERROR(__xludf.DUMMYFUNCTION("""COMPUTED_VALUE"""),"Salmonella Enteritidis PT 34")</f>
        <v>Salmonella Enteritidis PT 34</v>
      </c>
      <c r="B6299" t="str">
        <f ca="1">IFERROR(__xludf.DUMMYFUNCTION("""COMPUTED_VALUE"""),"RF-00002154-MCG")</f>
        <v>RF-00002154-MCG</v>
      </c>
    </row>
    <row r="6300" spans="1:2" ht="12.5" x14ac:dyDescent="0.25">
      <c r="A6300" t="str">
        <f ca="1">IFERROR(__xludf.DUMMYFUNCTION("""COMPUTED_VALUE"""),"Salmonella Enteritidis PT 35")</f>
        <v>Salmonella Enteritidis PT 35</v>
      </c>
      <c r="B6300" t="str">
        <f ca="1">IFERROR(__xludf.DUMMYFUNCTION("""COMPUTED_VALUE"""),"RF-00002183-MCG")</f>
        <v>RF-00002183-MCG</v>
      </c>
    </row>
    <row r="6301" spans="1:2" ht="12.5" x14ac:dyDescent="0.25">
      <c r="A6301" t="str">
        <f ca="1">IFERROR(__xludf.DUMMYFUNCTION("""COMPUTED_VALUE"""),"Salmonella Enteritidis PT 36")</f>
        <v>Salmonella Enteritidis PT 36</v>
      </c>
      <c r="B6301" t="str">
        <f ca="1">IFERROR(__xludf.DUMMYFUNCTION("""COMPUTED_VALUE"""),"RF-00002175-MCG")</f>
        <v>RF-00002175-MCG</v>
      </c>
    </row>
    <row r="6302" spans="1:2" ht="12.5" x14ac:dyDescent="0.25">
      <c r="A6302" t="str">
        <f ca="1">IFERROR(__xludf.DUMMYFUNCTION("""COMPUTED_VALUE"""),"Salmonella Enteritidis PT 37")</f>
        <v>Salmonella Enteritidis PT 37</v>
      </c>
      <c r="B6302" t="str">
        <f ca="1">IFERROR(__xludf.DUMMYFUNCTION("""COMPUTED_VALUE"""),"RF-00002167-MCG")</f>
        <v>RF-00002167-MCG</v>
      </c>
    </row>
    <row r="6303" spans="1:2" ht="12.5" x14ac:dyDescent="0.25">
      <c r="A6303" t="str">
        <f ca="1">IFERROR(__xludf.DUMMYFUNCTION("""COMPUTED_VALUE"""),"Salmonella Enteritidis PT 38")</f>
        <v>Salmonella Enteritidis PT 38</v>
      </c>
      <c r="B6303" t="str">
        <f ca="1">IFERROR(__xludf.DUMMYFUNCTION("""COMPUTED_VALUE"""),"RF-00002177-MCG")</f>
        <v>RF-00002177-MCG</v>
      </c>
    </row>
    <row r="6304" spans="1:2" ht="12.5" x14ac:dyDescent="0.25">
      <c r="A6304" t="str">
        <f ca="1">IFERROR(__xludf.DUMMYFUNCTION("""COMPUTED_VALUE"""),"Salmonella Enteritidis PT 3a")</f>
        <v>Salmonella Enteritidis PT 3a</v>
      </c>
      <c r="B6304" t="str">
        <f ca="1">IFERROR(__xludf.DUMMYFUNCTION("""COMPUTED_VALUE"""),"RF-00002178-MCG")</f>
        <v>RF-00002178-MCG</v>
      </c>
    </row>
    <row r="6305" spans="1:2" ht="12.5" x14ac:dyDescent="0.25">
      <c r="A6305" t="str">
        <f ca="1">IFERROR(__xludf.DUMMYFUNCTION("""COMPUTED_VALUE"""),"Salmonella Enteritidis PT 4")</f>
        <v>Salmonella Enteritidis PT 4</v>
      </c>
      <c r="B6305" t="str">
        <f ca="1">IFERROR(__xludf.DUMMYFUNCTION("""COMPUTED_VALUE"""),"RF-00002179-MCG")</f>
        <v>RF-00002179-MCG</v>
      </c>
    </row>
    <row r="6306" spans="1:2" ht="12.5" x14ac:dyDescent="0.25">
      <c r="A6306" t="str">
        <f ca="1">IFERROR(__xludf.DUMMYFUNCTION("""COMPUTED_VALUE"""),"Salmonella Enteritidis PT 41")</f>
        <v>Salmonella Enteritidis PT 41</v>
      </c>
      <c r="B6306" t="str">
        <f ca="1">IFERROR(__xludf.DUMMYFUNCTION("""COMPUTED_VALUE"""),"RF-00002182-MCG")</f>
        <v>RF-00002182-MCG</v>
      </c>
    </row>
    <row r="6307" spans="1:2" ht="12.5" x14ac:dyDescent="0.25">
      <c r="A6307" t="str">
        <f ca="1">IFERROR(__xludf.DUMMYFUNCTION("""COMPUTED_VALUE"""),"Salmonella Enteritidis PT 42")</f>
        <v>Salmonella Enteritidis PT 42</v>
      </c>
      <c r="B6307" t="str">
        <f ca="1">IFERROR(__xludf.DUMMYFUNCTION("""COMPUTED_VALUE"""),"RF-00002180-MCG")</f>
        <v>RF-00002180-MCG</v>
      </c>
    </row>
    <row r="6308" spans="1:2" ht="12.5" x14ac:dyDescent="0.25">
      <c r="A6308" t="str">
        <f ca="1">IFERROR(__xludf.DUMMYFUNCTION("""COMPUTED_VALUE"""),"Salmonella Enteritidis PT 43")</f>
        <v>Salmonella Enteritidis PT 43</v>
      </c>
      <c r="B6308" t="str">
        <f ca="1">IFERROR(__xludf.DUMMYFUNCTION("""COMPUTED_VALUE"""),"RF-00002215-MCG")</f>
        <v>RF-00002215-MCG</v>
      </c>
    </row>
    <row r="6309" spans="1:2" ht="12.5" x14ac:dyDescent="0.25">
      <c r="A6309" t="str">
        <f ca="1">IFERROR(__xludf.DUMMYFUNCTION("""COMPUTED_VALUE"""),"Salmonella Enteritidis PT 44")</f>
        <v>Salmonella Enteritidis PT 44</v>
      </c>
      <c r="B6309" t="str">
        <f ca="1">IFERROR(__xludf.DUMMYFUNCTION("""COMPUTED_VALUE"""),"RF-00002255-MCG")</f>
        <v>RF-00002255-MCG</v>
      </c>
    </row>
    <row r="6310" spans="1:2" ht="12.5" x14ac:dyDescent="0.25">
      <c r="A6310" t="str">
        <f ca="1">IFERROR(__xludf.DUMMYFUNCTION("""COMPUTED_VALUE"""),"Salmonella Enteritidis PT 46")</f>
        <v>Salmonella Enteritidis PT 46</v>
      </c>
      <c r="B6310" t="str">
        <f ca="1">IFERROR(__xludf.DUMMYFUNCTION("""COMPUTED_VALUE"""),"RF-00002250-MCG")</f>
        <v>RF-00002250-MCG</v>
      </c>
    </row>
    <row r="6311" spans="1:2" ht="12.5" x14ac:dyDescent="0.25">
      <c r="A6311" t="str">
        <f ca="1">IFERROR(__xludf.DUMMYFUNCTION("""COMPUTED_VALUE"""),"Salmonella Enteritidis PT 47")</f>
        <v>Salmonella Enteritidis PT 47</v>
      </c>
      <c r="B6311" t="str">
        <f ca="1">IFERROR(__xludf.DUMMYFUNCTION("""COMPUTED_VALUE"""),"RF-00002227-MCG")</f>
        <v>RF-00002227-MCG</v>
      </c>
    </row>
    <row r="6312" spans="1:2" ht="12.5" x14ac:dyDescent="0.25">
      <c r="A6312" t="str">
        <f ca="1">IFERROR(__xludf.DUMMYFUNCTION("""COMPUTED_VALUE"""),"Salmonella Enteritidis PT 48")</f>
        <v>Salmonella Enteritidis PT 48</v>
      </c>
      <c r="B6312" t="str">
        <f ca="1">IFERROR(__xludf.DUMMYFUNCTION("""COMPUTED_VALUE"""),"RF-00002246-MCG")</f>
        <v>RF-00002246-MCG</v>
      </c>
    </row>
    <row r="6313" spans="1:2" ht="12.5" x14ac:dyDescent="0.25">
      <c r="A6313" t="str">
        <f ca="1">IFERROR(__xludf.DUMMYFUNCTION("""COMPUTED_VALUE"""),"Salmonella Enteritidis PT 4a")</f>
        <v>Salmonella Enteritidis PT 4a</v>
      </c>
      <c r="B6313" t="str">
        <f ca="1">IFERROR(__xludf.DUMMYFUNCTION("""COMPUTED_VALUE"""),"RF-00002202-MCG")</f>
        <v>RF-00002202-MCG</v>
      </c>
    </row>
    <row r="6314" spans="1:2" ht="12.5" x14ac:dyDescent="0.25">
      <c r="A6314" t="str">
        <f ca="1">IFERROR(__xludf.DUMMYFUNCTION("""COMPUTED_VALUE"""),"Salmonella Enteritidis PT 4b")</f>
        <v>Salmonella Enteritidis PT 4b</v>
      </c>
      <c r="B6314" t="str">
        <f ca="1">IFERROR(__xludf.DUMMYFUNCTION("""COMPUTED_VALUE"""),"RF-00002214-MCG")</f>
        <v>RF-00002214-MCG</v>
      </c>
    </row>
    <row r="6315" spans="1:2" ht="12.5" x14ac:dyDescent="0.25">
      <c r="A6315" t="str">
        <f ca="1">IFERROR(__xludf.DUMMYFUNCTION("""COMPUTED_VALUE"""),"Salmonella Enteritidis PT 5")</f>
        <v>Salmonella Enteritidis PT 5</v>
      </c>
      <c r="B6315" t="str">
        <f ca="1">IFERROR(__xludf.DUMMYFUNCTION("""COMPUTED_VALUE"""),"RF-00002213-MCG")</f>
        <v>RF-00002213-MCG</v>
      </c>
    </row>
    <row r="6316" spans="1:2" ht="12.5" x14ac:dyDescent="0.25">
      <c r="A6316" t="str">
        <f ca="1">IFERROR(__xludf.DUMMYFUNCTION("""COMPUTED_VALUE"""),"Salmonella Enteritidis PT 50")</f>
        <v>Salmonella Enteritidis PT 50</v>
      </c>
      <c r="B6316" t="str">
        <f ca="1">IFERROR(__xludf.DUMMYFUNCTION("""COMPUTED_VALUE"""),"RF-00002212-MCG")</f>
        <v>RF-00002212-MCG</v>
      </c>
    </row>
    <row r="6317" spans="1:2" ht="12.5" x14ac:dyDescent="0.25">
      <c r="A6317" t="str">
        <f ca="1">IFERROR(__xludf.DUMMYFUNCTION("""COMPUTED_VALUE"""),"Salmonella Enteritidis PT 53")</f>
        <v>Salmonella Enteritidis PT 53</v>
      </c>
      <c r="B6317" t="str">
        <f ca="1">IFERROR(__xludf.DUMMYFUNCTION("""COMPUTED_VALUE"""),"RF-00002211-MCG")</f>
        <v>RF-00002211-MCG</v>
      </c>
    </row>
    <row r="6318" spans="1:2" ht="12.5" x14ac:dyDescent="0.25">
      <c r="A6318" t="str">
        <f ca="1">IFERROR(__xludf.DUMMYFUNCTION("""COMPUTED_VALUE"""),"Salmonella Enteritidis PT 55")</f>
        <v>Salmonella Enteritidis PT 55</v>
      </c>
      <c r="B6318" t="str">
        <f ca="1">IFERROR(__xludf.DUMMYFUNCTION("""COMPUTED_VALUE"""),"RF-00002210-MCG")</f>
        <v>RF-00002210-MCG</v>
      </c>
    </row>
    <row r="6319" spans="1:2" ht="12.5" x14ac:dyDescent="0.25">
      <c r="A6319" t="str">
        <f ca="1">IFERROR(__xludf.DUMMYFUNCTION("""COMPUTED_VALUE"""),"Salmonella Enteritidis PT 56")</f>
        <v>Salmonella Enteritidis PT 56</v>
      </c>
      <c r="B6319" t="str">
        <f ca="1">IFERROR(__xludf.DUMMYFUNCTION("""COMPUTED_VALUE"""),"RF-00002201-MCG")</f>
        <v>RF-00002201-MCG</v>
      </c>
    </row>
    <row r="6320" spans="1:2" ht="12.5" x14ac:dyDescent="0.25">
      <c r="A6320" t="str">
        <f ca="1">IFERROR(__xludf.DUMMYFUNCTION("""COMPUTED_VALUE"""),"Salmonella Enteritidis PT 57")</f>
        <v>Salmonella Enteritidis PT 57</v>
      </c>
      <c r="B6320" t="str">
        <f ca="1">IFERROR(__xludf.DUMMYFUNCTION("""COMPUTED_VALUE"""),"RF-00002208-MCG")</f>
        <v>RF-00002208-MCG</v>
      </c>
    </row>
    <row r="6321" spans="1:2" ht="12.5" x14ac:dyDescent="0.25">
      <c r="A6321" t="str">
        <f ca="1">IFERROR(__xludf.DUMMYFUNCTION("""COMPUTED_VALUE"""),"Salmonella Enteritidis PT 58")</f>
        <v>Salmonella Enteritidis PT 58</v>
      </c>
      <c r="B6321" t="str">
        <f ca="1">IFERROR(__xludf.DUMMYFUNCTION("""COMPUTED_VALUE"""),"RF-00002216-MCG")</f>
        <v>RF-00002216-MCG</v>
      </c>
    </row>
    <row r="6322" spans="1:2" ht="12.5" x14ac:dyDescent="0.25">
      <c r="A6322" t="str">
        <f ca="1">IFERROR(__xludf.DUMMYFUNCTION("""COMPUTED_VALUE"""),"Salmonella Enteritidis PT 59")</f>
        <v>Salmonella Enteritidis PT 59</v>
      </c>
      <c r="B6322" t="str">
        <f ca="1">IFERROR(__xludf.DUMMYFUNCTION("""COMPUTED_VALUE"""),"RF-00002206-MCG")</f>
        <v>RF-00002206-MCG</v>
      </c>
    </row>
    <row r="6323" spans="1:2" ht="12.5" x14ac:dyDescent="0.25">
      <c r="A6323" t="str">
        <f ca="1">IFERROR(__xludf.DUMMYFUNCTION("""COMPUTED_VALUE"""),"Salmonella Enteritidis PT 5a")</f>
        <v>Salmonella Enteritidis PT 5a</v>
      </c>
      <c r="B6323" t="str">
        <f ca="1">IFERROR(__xludf.DUMMYFUNCTION("""COMPUTED_VALUE"""),"RF-00002205-MCG")</f>
        <v>RF-00002205-MCG</v>
      </c>
    </row>
    <row r="6324" spans="1:2" ht="12.5" x14ac:dyDescent="0.25">
      <c r="A6324" t="str">
        <f ca="1">IFERROR(__xludf.DUMMYFUNCTION("""COMPUTED_VALUE"""),"Salmonella Enteritidis PT 5c")</f>
        <v>Salmonella Enteritidis PT 5c</v>
      </c>
      <c r="B6324" t="str">
        <f ca="1">IFERROR(__xludf.DUMMYFUNCTION("""COMPUTED_VALUE"""),"RF-00002203-MCG")</f>
        <v>RF-00002203-MCG</v>
      </c>
    </row>
    <row r="6325" spans="1:2" ht="12.5" x14ac:dyDescent="0.25">
      <c r="A6325" t="str">
        <f ca="1">IFERROR(__xludf.DUMMYFUNCTION("""COMPUTED_VALUE"""),"Salmonella Enteritidis PT 6")</f>
        <v>Salmonella Enteritidis PT 6</v>
      </c>
      <c r="B6325" t="str">
        <f ca="1">IFERROR(__xludf.DUMMYFUNCTION("""COMPUTED_VALUE"""),"RF-00002223-MCG")</f>
        <v>RF-00002223-MCG</v>
      </c>
    </row>
    <row r="6326" spans="1:2" ht="12.5" x14ac:dyDescent="0.25">
      <c r="A6326" t="str">
        <f ca="1">IFERROR(__xludf.DUMMYFUNCTION("""COMPUTED_VALUE"""),"Salmonella Enteritidis PT 6a")</f>
        <v>Salmonella Enteritidis PT 6a</v>
      </c>
      <c r="B6326" t="str">
        <f ca="1">IFERROR(__xludf.DUMMYFUNCTION("""COMPUTED_VALUE"""),"RF-00002207-MCG")</f>
        <v>RF-00002207-MCG</v>
      </c>
    </row>
    <row r="6327" spans="1:2" ht="12.5" x14ac:dyDescent="0.25">
      <c r="A6327" t="str">
        <f ca="1">IFERROR(__xludf.DUMMYFUNCTION("""COMPUTED_VALUE"""),"Salmonella Enteritidis PT 6b")</f>
        <v>Salmonella Enteritidis PT 6b</v>
      </c>
      <c r="B6327" t="str">
        <f ca="1">IFERROR(__xludf.DUMMYFUNCTION("""COMPUTED_VALUE"""),"RF-00002209-MCG")</f>
        <v>RF-00002209-MCG</v>
      </c>
    </row>
    <row r="6328" spans="1:2" ht="12.5" x14ac:dyDescent="0.25">
      <c r="A6328" t="str">
        <f ca="1">IFERROR(__xludf.DUMMYFUNCTION("""COMPUTED_VALUE"""),"Salmonella Enteritidis PT 6c")</f>
        <v>Salmonella Enteritidis PT 6c</v>
      </c>
      <c r="B6328" t="str">
        <f ca="1">IFERROR(__xludf.DUMMYFUNCTION("""COMPUTED_VALUE"""),"RF-00002231-MCG")</f>
        <v>RF-00002231-MCG</v>
      </c>
    </row>
    <row r="6329" spans="1:2" ht="12.5" x14ac:dyDescent="0.25">
      <c r="A6329" t="str">
        <f ca="1">IFERROR(__xludf.DUMMYFUNCTION("""COMPUTED_VALUE"""),"Salmonella Enteritidis PT 6d")</f>
        <v>Salmonella Enteritidis PT 6d</v>
      </c>
      <c r="B6329" t="str">
        <f ca="1">IFERROR(__xludf.DUMMYFUNCTION("""COMPUTED_VALUE"""),"RF-00002230-MCG")</f>
        <v>RF-00002230-MCG</v>
      </c>
    </row>
    <row r="6330" spans="1:2" ht="12.5" x14ac:dyDescent="0.25">
      <c r="A6330" t="str">
        <f ca="1">IFERROR(__xludf.DUMMYFUNCTION("""COMPUTED_VALUE"""),"Salmonella Enteritidis PT 7")</f>
        <v>Salmonella Enteritidis PT 7</v>
      </c>
      <c r="B6330" t="str">
        <f ca="1">IFERROR(__xludf.DUMMYFUNCTION("""COMPUTED_VALUE"""),"RF-00002225-MCG")</f>
        <v>RF-00002225-MCG</v>
      </c>
    </row>
    <row r="6331" spans="1:2" ht="12.5" x14ac:dyDescent="0.25">
      <c r="A6331" t="str">
        <f ca="1">IFERROR(__xludf.DUMMYFUNCTION("""COMPUTED_VALUE"""),"Salmonella Enteritidis PT 7a")</f>
        <v>Salmonella Enteritidis PT 7a</v>
      </c>
      <c r="B6331" t="str">
        <f ca="1">IFERROR(__xludf.DUMMYFUNCTION("""COMPUTED_VALUE"""),"RF-00002228-MCG")</f>
        <v>RF-00002228-MCG</v>
      </c>
    </row>
    <row r="6332" spans="1:2" ht="12.5" x14ac:dyDescent="0.25">
      <c r="A6332" t="str">
        <f ca="1">IFERROR(__xludf.DUMMYFUNCTION("""COMPUTED_VALUE"""),"Salmonella Enteritidis PT 8")</f>
        <v>Salmonella Enteritidis PT 8</v>
      </c>
      <c r="B6332" t="str">
        <f ca="1">IFERROR(__xludf.DUMMYFUNCTION("""COMPUTED_VALUE"""),"RF-00002247-MCG")</f>
        <v>RF-00002247-MCG</v>
      </c>
    </row>
    <row r="6333" spans="1:2" ht="12.5" x14ac:dyDescent="0.25">
      <c r="A6333" t="str">
        <f ca="1">IFERROR(__xludf.DUMMYFUNCTION("""COMPUTED_VALUE"""),"Salmonella Enteritidis PT 8a")</f>
        <v>Salmonella Enteritidis PT 8a</v>
      </c>
      <c r="B6333" t="str">
        <f ca="1">IFERROR(__xludf.DUMMYFUNCTION("""COMPUTED_VALUE"""),"RF-00002226-MCG")</f>
        <v>RF-00002226-MCG</v>
      </c>
    </row>
    <row r="6334" spans="1:2" ht="12.5" x14ac:dyDescent="0.25">
      <c r="A6334" t="str">
        <f ca="1">IFERROR(__xludf.DUMMYFUNCTION("""COMPUTED_VALUE"""),"Salmonella Enteritidis PT 9")</f>
        <v>Salmonella Enteritidis PT 9</v>
      </c>
      <c r="B6334" t="str">
        <f ca="1">IFERROR(__xludf.DUMMYFUNCTION("""COMPUTED_VALUE"""),"RF-00002217-MCG")</f>
        <v>RF-00002217-MCG</v>
      </c>
    </row>
    <row r="6335" spans="1:2" ht="12.5" x14ac:dyDescent="0.25">
      <c r="A6335" t="str">
        <f ca="1">IFERROR(__xludf.DUMMYFUNCTION("""COMPUTED_VALUE"""),"Salmonella Enteritidis PT 9a")</f>
        <v>Salmonella Enteritidis PT 9a</v>
      </c>
      <c r="B6335" t="str">
        <f ca="1">IFERROR(__xludf.DUMMYFUNCTION("""COMPUTED_VALUE"""),"RF-00002224-MCG")</f>
        <v>RF-00002224-MCG</v>
      </c>
    </row>
    <row r="6336" spans="1:2" ht="12.5" x14ac:dyDescent="0.25">
      <c r="A6336" t="str">
        <f ca="1">IFERROR(__xludf.DUMMYFUNCTION("""COMPUTED_VALUE"""),"Salmonella Enteritidis PT 9b")</f>
        <v>Salmonella Enteritidis PT 9b</v>
      </c>
      <c r="B6336" t="str">
        <f ca="1">IFERROR(__xludf.DUMMYFUNCTION("""COMPUTED_VALUE"""),"RF-00002232-MCG")</f>
        <v>RF-00002232-MCG</v>
      </c>
    </row>
    <row r="6337" spans="1:2" ht="12.5" x14ac:dyDescent="0.25">
      <c r="A6337" t="str">
        <f ca="1">IFERROR(__xludf.DUMMYFUNCTION("""COMPUTED_VALUE"""),"Salmonella Enteritidis PT RDNC")</f>
        <v>Salmonella Enteritidis PT RDNC</v>
      </c>
      <c r="B6337" t="str">
        <f ca="1">IFERROR(__xludf.DUMMYFUNCTION("""COMPUTED_VALUE"""),"RF-00002222-MCG")</f>
        <v>RF-00002222-MCG</v>
      </c>
    </row>
    <row r="6338" spans="1:2" ht="12.5" x14ac:dyDescent="0.25">
      <c r="A6338" t="str">
        <f ca="1">IFERROR(__xludf.DUMMYFUNCTION("""COMPUTED_VALUE"""),"Salmonella Enteritidis PT U")</f>
        <v>Salmonella Enteritidis PT U</v>
      </c>
      <c r="B6338" t="str">
        <f ca="1">IFERROR(__xludf.DUMMYFUNCTION("""COMPUTED_VALUE"""),"RF-00002221-MCG")</f>
        <v>RF-00002221-MCG</v>
      </c>
    </row>
    <row r="6339" spans="1:2" ht="12.5" x14ac:dyDescent="0.25">
      <c r="A6339" t="str">
        <f ca="1">IFERROR(__xludf.DUMMYFUNCTION("""COMPUTED_VALUE"""),"Salmonella Enteritidis PT32")</f>
        <v>Salmonella Enteritidis PT32</v>
      </c>
      <c r="B6339" t="str">
        <f ca="1">IFERROR(__xludf.DUMMYFUNCTION("""COMPUTED_VALUE"""),"RF-00002220-MCG")</f>
        <v>RF-00002220-MCG</v>
      </c>
    </row>
    <row r="6340" spans="1:2" ht="12.5" x14ac:dyDescent="0.25">
      <c r="A6340" t="str">
        <f ca="1">IFERROR(__xludf.DUMMYFUNCTION("""COMPUTED_VALUE"""),"Salmonella Enteritidis RDNC")</f>
        <v>Salmonella Enteritidis RDNC</v>
      </c>
      <c r="B6340" t="str">
        <f ca="1">IFERROR(__xludf.DUMMYFUNCTION("""COMPUTED_VALUE"""),"RF-00002219-MCG")</f>
        <v>RF-00002219-MCG</v>
      </c>
    </row>
    <row r="6341" spans="1:2" ht="12.5" x14ac:dyDescent="0.25">
      <c r="A6341" t="str">
        <f ca="1">IFERROR(__xludf.DUMMYFUNCTION("""COMPUTED_VALUE"""),"Salmonella Enteritidis U")</f>
        <v>Salmonella Enteritidis U</v>
      </c>
      <c r="B6341" t="str">
        <f ca="1">IFERROR(__xludf.DUMMYFUNCTION("""COMPUTED_VALUE"""),"RF-00002218-MCG")</f>
        <v>RF-00002218-MCG</v>
      </c>
    </row>
    <row r="6342" spans="1:2" ht="12.5" x14ac:dyDescent="0.25">
      <c r="A6342" t="str">
        <f ca="1">IFERROR(__xludf.DUMMYFUNCTION("""COMPUTED_VALUE"""),"Salmonella Entiritidis PT 52")</f>
        <v>Salmonella Entiritidis PT 52</v>
      </c>
      <c r="B6342" t="str">
        <f ca="1">IFERROR(__xludf.DUMMYFUNCTION("""COMPUTED_VALUE"""),"RF-00001325-PAR")</f>
        <v>RF-00001325-PAR</v>
      </c>
    </row>
    <row r="6343" spans="1:2" ht="12.5" x14ac:dyDescent="0.25">
      <c r="A6343" t="str">
        <f ca="1">IFERROR(__xludf.DUMMYFUNCTION("""COMPUTED_VALUE"""),"Salmonella Enugu")</f>
        <v>Salmonella Enugu</v>
      </c>
      <c r="B6343" t="str">
        <f ca="1">IFERROR(__xludf.DUMMYFUNCTION("""COMPUTED_VALUE"""),"RF-00002062-MCG")</f>
        <v>RF-00002062-MCG</v>
      </c>
    </row>
    <row r="6344" spans="1:2" ht="12.5" x14ac:dyDescent="0.25">
      <c r="A6344" t="str">
        <f ca="1">IFERROR(__xludf.DUMMYFUNCTION("""COMPUTED_VALUE"""),"Salmonella Epicrates")</f>
        <v>Salmonella Epicrates</v>
      </c>
      <c r="B6344" t="str">
        <f ca="1">IFERROR(__xludf.DUMMYFUNCTION("""COMPUTED_VALUE"""),"RF-00002063-MCG")</f>
        <v>RF-00002063-MCG</v>
      </c>
    </row>
    <row r="6345" spans="1:2" ht="12.5" x14ac:dyDescent="0.25">
      <c r="A6345" t="str">
        <f ca="1">IFERROR(__xludf.DUMMYFUNCTION("""COMPUTED_VALUE"""),"Salmonella Epinay")</f>
        <v>Salmonella Epinay</v>
      </c>
      <c r="B6345" t="str">
        <f ca="1">IFERROR(__xludf.DUMMYFUNCTION("""COMPUTED_VALUE"""),"RF-00002064-MCG")</f>
        <v>RF-00002064-MCG</v>
      </c>
    </row>
    <row r="6346" spans="1:2" ht="12.5" x14ac:dyDescent="0.25">
      <c r="A6346" t="str">
        <f ca="1">IFERROR(__xludf.DUMMYFUNCTION("""COMPUTED_VALUE"""),"Salmonella Eppendorf")</f>
        <v>Salmonella Eppendorf</v>
      </c>
      <c r="B6346" t="str">
        <f ca="1">IFERROR(__xludf.DUMMYFUNCTION("""COMPUTED_VALUE"""),"RF-00002065-MCG")</f>
        <v>RF-00002065-MCG</v>
      </c>
    </row>
    <row r="6347" spans="1:2" ht="12.5" x14ac:dyDescent="0.25">
      <c r="A6347" t="str">
        <f ca="1">IFERROR(__xludf.DUMMYFUNCTION("""COMPUTED_VALUE"""),"Salmonella Escanaba")</f>
        <v>Salmonella Escanaba</v>
      </c>
      <c r="B6347" t="str">
        <f ca="1">IFERROR(__xludf.DUMMYFUNCTION("""COMPUTED_VALUE"""),"RF-00002066-MCG")</f>
        <v>RF-00002066-MCG</v>
      </c>
    </row>
    <row r="6348" spans="1:2" ht="12.5" x14ac:dyDescent="0.25">
      <c r="A6348" t="str">
        <f ca="1">IFERROR(__xludf.DUMMYFUNCTION("""COMPUTED_VALUE"""),"Salmonella Eschberg")</f>
        <v>Salmonella Eschberg</v>
      </c>
      <c r="B6348" t="str">
        <f ca="1">IFERROR(__xludf.DUMMYFUNCTION("""COMPUTED_VALUE"""),"RF-00002081-MCG")</f>
        <v>RF-00002081-MCG</v>
      </c>
    </row>
    <row r="6349" spans="1:2" ht="12.5" x14ac:dyDescent="0.25">
      <c r="A6349" t="str">
        <f ca="1">IFERROR(__xludf.DUMMYFUNCTION("""COMPUTED_VALUE"""),"Salmonella Eschweiler")</f>
        <v>Salmonella Eschweiler</v>
      </c>
      <c r="B6349" t="str">
        <f ca="1">IFERROR(__xludf.DUMMYFUNCTION("""COMPUTED_VALUE"""),"RF-00002068-MCG")</f>
        <v>RF-00002068-MCG</v>
      </c>
    </row>
    <row r="6350" spans="1:2" ht="12.5" x14ac:dyDescent="0.25">
      <c r="A6350" t="str">
        <f ca="1">IFERROR(__xludf.DUMMYFUNCTION("""COMPUTED_VALUE"""),"Salmonella Essen")</f>
        <v>Salmonella Essen</v>
      </c>
      <c r="B6350" t="str">
        <f ca="1">IFERROR(__xludf.DUMMYFUNCTION("""COMPUTED_VALUE"""),"RF-00002055-MCG")</f>
        <v>RF-00002055-MCG</v>
      </c>
    </row>
    <row r="6351" spans="1:2" ht="12.5" x14ac:dyDescent="0.25">
      <c r="A6351" t="str">
        <f ca="1">IFERROR(__xludf.DUMMYFUNCTION("""COMPUTED_VALUE"""),"Salmonella Etterbeek")</f>
        <v>Salmonella Etterbeek</v>
      </c>
      <c r="B6351" t="str">
        <f ca="1">IFERROR(__xludf.DUMMYFUNCTION("""COMPUTED_VALUE"""),"RF-00002070-MCG")</f>
        <v>RF-00002070-MCG</v>
      </c>
    </row>
    <row r="6352" spans="1:2" ht="12.5" x14ac:dyDescent="0.25">
      <c r="A6352" t="str">
        <f ca="1">IFERROR(__xludf.DUMMYFUNCTION("""COMPUTED_VALUE"""),"Salmonella Euston")</f>
        <v>Salmonella Euston</v>
      </c>
      <c r="B6352" t="str">
        <f ca="1">IFERROR(__xludf.DUMMYFUNCTION("""COMPUTED_VALUE"""),"RF-00002071-MCG")</f>
        <v>RF-00002071-MCG</v>
      </c>
    </row>
    <row r="6353" spans="1:2" ht="12.5" x14ac:dyDescent="0.25">
      <c r="A6353" t="str">
        <f ca="1">IFERROR(__xludf.DUMMYFUNCTION("""COMPUTED_VALUE"""),"Salmonella Everleigh")</f>
        <v>Salmonella Everleigh</v>
      </c>
      <c r="B6353" t="str">
        <f ca="1">IFERROR(__xludf.DUMMYFUNCTION("""COMPUTED_VALUE"""),"RF-00002073-MCG")</f>
        <v>RF-00002073-MCG</v>
      </c>
    </row>
    <row r="6354" spans="1:2" ht="12.5" x14ac:dyDescent="0.25">
      <c r="A6354" t="str">
        <f ca="1">IFERROR(__xludf.DUMMYFUNCTION("""COMPUTED_VALUE"""),"Salmonella Ezra")</f>
        <v>Salmonella Ezra</v>
      </c>
      <c r="B6354" t="str">
        <f ca="1">IFERROR(__xludf.DUMMYFUNCTION("""COMPUTED_VALUE"""),"RF-00002074-MCG")</f>
        <v>RF-00002074-MCG</v>
      </c>
    </row>
    <row r="6355" spans="1:2" ht="12.5" x14ac:dyDescent="0.25">
      <c r="A6355" t="str">
        <f ca="1">IFERROR(__xludf.DUMMYFUNCTION("""COMPUTED_VALUE"""),"Salmonella Fairfield")</f>
        <v>Salmonella Fairfield</v>
      </c>
      <c r="B6355" t="str">
        <f ca="1">IFERROR(__xludf.DUMMYFUNCTION("""COMPUTED_VALUE"""),"RF-00002075-MCG")</f>
        <v>RF-00002075-MCG</v>
      </c>
    </row>
    <row r="6356" spans="1:2" ht="12.5" x14ac:dyDescent="0.25">
      <c r="A6356" t="str">
        <f ca="1">IFERROR(__xludf.DUMMYFUNCTION("""COMPUTED_VALUE"""),"Salmonella Fajara")</f>
        <v>Salmonella Fajara</v>
      </c>
      <c r="B6356" t="str">
        <f ca="1">IFERROR(__xludf.DUMMYFUNCTION("""COMPUTED_VALUE"""),"RF-00002076-MCG")</f>
        <v>RF-00002076-MCG</v>
      </c>
    </row>
    <row r="6357" spans="1:2" ht="12.5" x14ac:dyDescent="0.25">
      <c r="A6357" t="str">
        <f ca="1">IFERROR(__xludf.DUMMYFUNCTION("""COMPUTED_VALUE"""),"Salmonella Faji")</f>
        <v>Salmonella Faji</v>
      </c>
      <c r="B6357" t="str">
        <f ca="1">IFERROR(__xludf.DUMMYFUNCTION("""COMPUTED_VALUE"""),"RF-00002104-MCG")</f>
        <v>RF-00002104-MCG</v>
      </c>
    </row>
    <row r="6358" spans="1:2" ht="12.5" x14ac:dyDescent="0.25">
      <c r="A6358" t="str">
        <f ca="1">IFERROR(__xludf.DUMMYFUNCTION("""COMPUTED_VALUE"""),"Salmonella Falkensee")</f>
        <v>Salmonella Falkensee</v>
      </c>
      <c r="B6358" t="str">
        <f ca="1">IFERROR(__xludf.DUMMYFUNCTION("""COMPUTED_VALUE"""),"RF-00002077-MCG")</f>
        <v>RF-00002077-MCG</v>
      </c>
    </row>
    <row r="6359" spans="1:2" ht="12.5" x14ac:dyDescent="0.25">
      <c r="A6359" t="str">
        <f ca="1">IFERROR(__xludf.DUMMYFUNCTION("""COMPUTED_VALUE"""),"Salmonella Fallowfield")</f>
        <v>Salmonella Fallowfield</v>
      </c>
      <c r="B6359" t="str">
        <f ca="1">IFERROR(__xludf.DUMMYFUNCTION("""COMPUTED_VALUE"""),"RF-00002069-MCG")</f>
        <v>RF-00002069-MCG</v>
      </c>
    </row>
    <row r="6360" spans="1:2" ht="12.5" x14ac:dyDescent="0.25">
      <c r="A6360" t="str">
        <f ca="1">IFERROR(__xludf.DUMMYFUNCTION("""COMPUTED_VALUE"""),"Salmonella Fann")</f>
        <v>Salmonella Fann</v>
      </c>
      <c r="B6360" t="str">
        <f ca="1">IFERROR(__xludf.DUMMYFUNCTION("""COMPUTED_VALUE"""),"RF-00002079-MCG")</f>
        <v>RF-00002079-MCG</v>
      </c>
    </row>
    <row r="6361" spans="1:2" ht="12.5" x14ac:dyDescent="0.25">
      <c r="A6361" t="str">
        <f ca="1">IFERROR(__xludf.DUMMYFUNCTION("""COMPUTED_VALUE"""),"Salmonella Fanti")</f>
        <v>Salmonella Fanti</v>
      </c>
      <c r="B6361" t="str">
        <f ca="1">IFERROR(__xludf.DUMMYFUNCTION("""COMPUTED_VALUE"""),"RF-00002080-MCG")</f>
        <v>RF-00002080-MCG</v>
      </c>
    </row>
    <row r="6362" spans="1:2" ht="12.5" x14ac:dyDescent="0.25">
      <c r="A6362" t="str">
        <f ca="1">IFERROR(__xludf.DUMMYFUNCTION("""COMPUTED_VALUE"""),"Salmonella Farakan")</f>
        <v>Salmonella Farakan</v>
      </c>
      <c r="B6362" t="str">
        <f ca="1">IFERROR(__xludf.DUMMYFUNCTION("""COMPUTED_VALUE"""),"RF-00002042-MCG")</f>
        <v>RF-00002042-MCG</v>
      </c>
    </row>
    <row r="6363" spans="1:2" ht="12.5" x14ac:dyDescent="0.25">
      <c r="A6363" t="str">
        <f ca="1">IFERROR(__xludf.DUMMYFUNCTION("""COMPUTED_VALUE"""),"Salmonella Farcha")</f>
        <v>Salmonella Farcha</v>
      </c>
      <c r="B6363" t="str">
        <f ca="1">IFERROR(__xludf.DUMMYFUNCTION("""COMPUTED_VALUE"""),"RF-00002040-MCG")</f>
        <v>RF-00002040-MCG</v>
      </c>
    </row>
    <row r="6364" spans="1:2" ht="12.5" x14ac:dyDescent="0.25">
      <c r="A6364" t="str">
        <f ca="1">IFERROR(__xludf.DUMMYFUNCTION("""COMPUTED_VALUE"""),"Salmonella Fareham")</f>
        <v>Salmonella Fareham</v>
      </c>
      <c r="B6364" t="str">
        <f ca="1">IFERROR(__xludf.DUMMYFUNCTION("""COMPUTED_VALUE"""),"RF-00002067-MCG")</f>
        <v>RF-00002067-MCG</v>
      </c>
    </row>
    <row r="6365" spans="1:2" ht="12.5" x14ac:dyDescent="0.25">
      <c r="A6365" t="str">
        <f ca="1">IFERROR(__xludf.DUMMYFUNCTION("""COMPUTED_VALUE"""),"Salmonella Farmsen")</f>
        <v>Salmonella Farmsen</v>
      </c>
      <c r="B6365" t="str">
        <f ca="1">IFERROR(__xludf.DUMMYFUNCTION("""COMPUTED_VALUE"""),"RF-00002030-MCG")</f>
        <v>RF-00002030-MCG</v>
      </c>
    </row>
    <row r="6366" spans="1:2" ht="12.5" x14ac:dyDescent="0.25">
      <c r="A6366" t="str">
        <f ca="1">IFERROR(__xludf.DUMMYFUNCTION("""COMPUTED_VALUE"""),"Salmonella Farsta")</f>
        <v>Salmonella Farsta</v>
      </c>
      <c r="B6366" t="str">
        <f ca="1">IFERROR(__xludf.DUMMYFUNCTION("""COMPUTED_VALUE"""),"RF-00002031-MCG")</f>
        <v>RF-00002031-MCG</v>
      </c>
    </row>
    <row r="6367" spans="1:2" ht="12.5" x14ac:dyDescent="0.25">
      <c r="A6367" t="str">
        <f ca="1">IFERROR(__xludf.DUMMYFUNCTION("""COMPUTED_VALUE"""),"Salmonella Fass")</f>
        <v>Salmonella Fass</v>
      </c>
      <c r="B6367" t="str">
        <f ca="1">IFERROR(__xludf.DUMMYFUNCTION("""COMPUTED_VALUE"""),"RF-00002032-MCG")</f>
        <v>RF-00002032-MCG</v>
      </c>
    </row>
    <row r="6368" spans="1:2" ht="12.5" x14ac:dyDescent="0.25">
      <c r="A6368" t="str">
        <f ca="1">IFERROR(__xludf.DUMMYFUNCTION("""COMPUTED_VALUE"""),"Salmonella Fayed")</f>
        <v>Salmonella Fayed</v>
      </c>
      <c r="B6368" t="str">
        <f ca="1">IFERROR(__xludf.DUMMYFUNCTION("""COMPUTED_VALUE"""),"RF-00002033-MCG")</f>
        <v>RF-00002033-MCG</v>
      </c>
    </row>
    <row r="6369" spans="1:2" ht="12.5" x14ac:dyDescent="0.25">
      <c r="A6369" t="str">
        <f ca="1">IFERROR(__xludf.DUMMYFUNCTION("""COMPUTED_VALUE"""),"Salmonella Ferlo")</f>
        <v>Salmonella Ferlo</v>
      </c>
      <c r="B6369" t="str">
        <f ca="1">IFERROR(__xludf.DUMMYFUNCTION("""COMPUTED_VALUE"""),"RF-00001757-MCG")</f>
        <v>RF-00001757-MCG</v>
      </c>
    </row>
    <row r="6370" spans="1:2" ht="12.5" x14ac:dyDescent="0.25">
      <c r="A6370" t="str">
        <f ca="1">IFERROR(__xludf.DUMMYFUNCTION("""COMPUTED_VALUE"""),"Salmonella Ferruch")</f>
        <v>Salmonella Ferruch</v>
      </c>
      <c r="B6370" t="str">
        <f ca="1">IFERROR(__xludf.DUMMYFUNCTION("""COMPUTED_VALUE"""),"RF-00001791-MCG")</f>
        <v>RF-00001791-MCG</v>
      </c>
    </row>
    <row r="6371" spans="1:2" ht="12.5" x14ac:dyDescent="0.25">
      <c r="A6371" t="str">
        <f ca="1">IFERROR(__xludf.DUMMYFUNCTION("""COMPUTED_VALUE"""),"Salmonella Finaghy")</f>
        <v>Salmonella Finaghy</v>
      </c>
      <c r="B6371" t="str">
        <f ca="1">IFERROR(__xludf.DUMMYFUNCTION("""COMPUTED_VALUE"""),"RF-00001790-MCG")</f>
        <v>RF-00001790-MCG</v>
      </c>
    </row>
    <row r="6372" spans="1:2" ht="12.5" x14ac:dyDescent="0.25">
      <c r="A6372" t="str">
        <f ca="1">IFERROR(__xludf.DUMMYFUNCTION("""COMPUTED_VALUE"""),"Salmonella Findorff")</f>
        <v>Salmonella Findorff</v>
      </c>
      <c r="B6372" t="str">
        <f ca="1">IFERROR(__xludf.DUMMYFUNCTION("""COMPUTED_VALUE"""),"RF-00001789-MCG")</f>
        <v>RF-00001789-MCG</v>
      </c>
    </row>
    <row r="6373" spans="1:2" ht="12.5" x14ac:dyDescent="0.25">
      <c r="A6373" t="str">
        <f ca="1">IFERROR(__xludf.DUMMYFUNCTION("""COMPUTED_VALUE"""),"Salmonella Finkenwerder")</f>
        <v>Salmonella Finkenwerder</v>
      </c>
      <c r="B6373" t="str">
        <f ca="1">IFERROR(__xludf.DUMMYFUNCTION("""COMPUTED_VALUE"""),"RF-00001788-MCG")</f>
        <v>RF-00001788-MCG</v>
      </c>
    </row>
    <row r="6374" spans="1:2" ht="12.5" x14ac:dyDescent="0.25">
      <c r="A6374" t="str">
        <f ca="1">IFERROR(__xludf.DUMMYFUNCTION("""COMPUTED_VALUE"""),"Salmonella Fischerhuette")</f>
        <v>Salmonella Fischerhuette</v>
      </c>
      <c r="B6374" t="str">
        <f ca="1">IFERROR(__xludf.DUMMYFUNCTION("""COMPUTED_VALUE"""),"RF-00001787-MCG")</f>
        <v>RF-00001787-MCG</v>
      </c>
    </row>
    <row r="6375" spans="1:2" ht="12.5" x14ac:dyDescent="0.25">
      <c r="A6375" t="str">
        <f ca="1">IFERROR(__xludf.DUMMYFUNCTION("""COMPUTED_VALUE"""),"Salmonella Fischerkietz")</f>
        <v>Salmonella Fischerkietz</v>
      </c>
      <c r="B6375" t="str">
        <f ca="1">IFERROR(__xludf.DUMMYFUNCTION("""COMPUTED_VALUE"""),"RF-00001786-MCG")</f>
        <v>RF-00001786-MCG</v>
      </c>
    </row>
    <row r="6376" spans="1:2" ht="12.5" x14ac:dyDescent="0.25">
      <c r="A6376" t="str">
        <f ca="1">IFERROR(__xludf.DUMMYFUNCTION("""COMPUTED_VALUE"""),"Salmonella Fischerstrasse")</f>
        <v>Salmonella Fischerstrasse</v>
      </c>
      <c r="B6376" t="str">
        <f ca="1">IFERROR(__xludf.DUMMYFUNCTION("""COMPUTED_VALUE"""),"RF-00001785-MCG")</f>
        <v>RF-00001785-MCG</v>
      </c>
    </row>
    <row r="6377" spans="1:2" ht="12.5" x14ac:dyDescent="0.25">
      <c r="A6377" t="str">
        <f ca="1">IFERROR(__xludf.DUMMYFUNCTION("""COMPUTED_VALUE"""),"Salmonella Fitzroy")</f>
        <v>Salmonella Fitzroy</v>
      </c>
      <c r="B6377" t="str">
        <f ca="1">IFERROR(__xludf.DUMMYFUNCTION("""COMPUTED_VALUE"""),"RF-00001784-MCG")</f>
        <v>RF-00001784-MCG</v>
      </c>
    </row>
    <row r="6378" spans="1:2" ht="12.5" x14ac:dyDescent="0.25">
      <c r="A6378" t="str">
        <f ca="1">IFERROR(__xludf.DUMMYFUNCTION("""COMPUTED_VALUE"""),"Salmonella Florian")</f>
        <v>Salmonella Florian</v>
      </c>
      <c r="B6378" t="str">
        <f ca="1">IFERROR(__xludf.DUMMYFUNCTION("""COMPUTED_VALUE"""),"RF-00001783-MCG")</f>
        <v>RF-00001783-MCG</v>
      </c>
    </row>
    <row r="6379" spans="1:2" ht="12.5" x14ac:dyDescent="0.25">
      <c r="A6379" t="str">
        <f ca="1">IFERROR(__xludf.DUMMYFUNCTION("""COMPUTED_VALUE"""),"Salmonella Florida")</f>
        <v>Salmonella Florida</v>
      </c>
      <c r="B6379" t="str">
        <f ca="1">IFERROR(__xludf.DUMMYFUNCTION("""COMPUTED_VALUE"""),"RF-00001769-MCG")</f>
        <v>RF-00001769-MCG</v>
      </c>
    </row>
    <row r="6380" spans="1:2" ht="12.5" x14ac:dyDescent="0.25">
      <c r="A6380" t="str">
        <f ca="1">IFERROR(__xludf.DUMMYFUNCTION("""COMPUTED_VALUE"""),"Salmonella Flottbek")</f>
        <v>Salmonella Flottbek</v>
      </c>
      <c r="B6380" t="str">
        <f ca="1">IFERROR(__xludf.DUMMYFUNCTION("""COMPUTED_VALUE"""),"RF-00000919-MCG")</f>
        <v>RF-00000919-MCG</v>
      </c>
    </row>
    <row r="6381" spans="1:2" ht="12.5" x14ac:dyDescent="0.25">
      <c r="A6381" t="str">
        <f ca="1">IFERROR(__xludf.DUMMYFUNCTION("""COMPUTED_VALUE"""),"Salmonella Fluntern")</f>
        <v>Salmonella Fluntern</v>
      </c>
      <c r="B6381" t="str">
        <f ca="1">IFERROR(__xludf.DUMMYFUNCTION("""COMPUTED_VALUE"""),"RF-00001781-MCG")</f>
        <v>RF-00001781-MCG</v>
      </c>
    </row>
    <row r="6382" spans="1:2" ht="12.5" x14ac:dyDescent="0.25">
      <c r="A6382" t="str">
        <f ca="1">IFERROR(__xludf.DUMMYFUNCTION("""COMPUTED_VALUE"""),"Salmonella Fomeco")</f>
        <v>Salmonella Fomeco</v>
      </c>
      <c r="B6382" t="str">
        <f ca="1">IFERROR(__xludf.DUMMYFUNCTION("""COMPUTED_VALUE"""),"RF-00000490-MCG")</f>
        <v>RF-00000490-MCG</v>
      </c>
    </row>
    <row r="6383" spans="1:2" ht="12.5" x14ac:dyDescent="0.25">
      <c r="A6383" t="str">
        <f ca="1">IFERROR(__xludf.DUMMYFUNCTION("""COMPUTED_VALUE"""),"Salmonella Fortlamy")</f>
        <v>Salmonella Fortlamy</v>
      </c>
      <c r="B6383" t="str">
        <f ca="1">IFERROR(__xludf.DUMMYFUNCTION("""COMPUTED_VALUE"""),"RF-00001793-MCG")</f>
        <v>RF-00001793-MCG</v>
      </c>
    </row>
    <row r="6384" spans="1:2" ht="12.5" x14ac:dyDescent="0.25">
      <c r="A6384" t="str">
        <f ca="1">IFERROR(__xludf.DUMMYFUNCTION("""COMPUTED_VALUE"""),"Salmonella Fortune")</f>
        <v>Salmonella Fortune</v>
      </c>
      <c r="B6384" t="str">
        <f ca="1">IFERROR(__xludf.DUMMYFUNCTION("""COMPUTED_VALUE"""),"RF-00001779-MCG")</f>
        <v>RF-00001779-MCG</v>
      </c>
    </row>
    <row r="6385" spans="1:2" ht="12.5" x14ac:dyDescent="0.25">
      <c r="A6385" t="str">
        <f ca="1">IFERROR(__xludf.DUMMYFUNCTION("""COMPUTED_VALUE"""),"Salmonella Franken")</f>
        <v>Salmonella Franken</v>
      </c>
      <c r="B6385" t="str">
        <f ca="1">IFERROR(__xludf.DUMMYFUNCTION("""COMPUTED_VALUE"""),"RF-00001778-MCG")</f>
        <v>RF-00001778-MCG</v>
      </c>
    </row>
    <row r="6386" spans="1:2" ht="12.5" x14ac:dyDescent="0.25">
      <c r="A6386" t="str">
        <f ca="1">IFERROR(__xludf.DUMMYFUNCTION("""COMPUTED_VALUE"""),"Salmonella Frankfurt")</f>
        <v>Salmonella Frankfurt</v>
      </c>
      <c r="B6386" t="str">
        <f ca="1">IFERROR(__xludf.DUMMYFUNCTION("""COMPUTED_VALUE"""),"RF-00001777-MCG")</f>
        <v>RF-00001777-MCG</v>
      </c>
    </row>
    <row r="6387" spans="1:2" ht="12.5" x14ac:dyDescent="0.25">
      <c r="A6387" t="str">
        <f ca="1">IFERROR(__xludf.DUMMYFUNCTION("""COMPUTED_VALUE"""),"Salmonella Freefalls")</f>
        <v>Salmonella Freefalls</v>
      </c>
      <c r="B6387" t="str">
        <f ca="1">IFERROR(__xludf.DUMMYFUNCTION("""COMPUTED_VALUE"""),"RF-00001776-MCG")</f>
        <v>RF-00001776-MCG</v>
      </c>
    </row>
    <row r="6388" spans="1:2" ht="12.5" x14ac:dyDescent="0.25">
      <c r="A6388" t="str">
        <f ca="1">IFERROR(__xludf.DUMMYFUNCTION("""COMPUTED_VALUE"""),"Salmonella Freetown")</f>
        <v>Salmonella Freetown</v>
      </c>
      <c r="B6388" t="str">
        <f ca="1">IFERROR(__xludf.DUMMYFUNCTION("""COMPUTED_VALUE"""),"RF-00001775-MCG")</f>
        <v>RF-00001775-MCG</v>
      </c>
    </row>
    <row r="6389" spans="1:2" ht="12.5" x14ac:dyDescent="0.25">
      <c r="A6389" t="str">
        <f ca="1">IFERROR(__xludf.DUMMYFUNCTION("""COMPUTED_VALUE"""),"Salmonella Freiburg")</f>
        <v>Salmonella Freiburg</v>
      </c>
      <c r="B6389" t="str">
        <f ca="1">IFERROR(__xludf.DUMMYFUNCTION("""COMPUTED_VALUE"""),"RF-00001774-MCG")</f>
        <v>RF-00001774-MCG</v>
      </c>
    </row>
    <row r="6390" spans="1:2" ht="12.5" x14ac:dyDescent="0.25">
      <c r="A6390" t="str">
        <f ca="1">IFERROR(__xludf.DUMMYFUNCTION("""COMPUTED_VALUE"""),"Salmonella Fresno")</f>
        <v>Salmonella Fresno</v>
      </c>
      <c r="B6390" t="str">
        <f ca="1">IFERROR(__xludf.DUMMYFUNCTION("""COMPUTED_VALUE"""),"RF-00001773-MCG")</f>
        <v>RF-00001773-MCG</v>
      </c>
    </row>
    <row r="6391" spans="1:2" ht="12.5" x14ac:dyDescent="0.25">
      <c r="A6391" t="str">
        <f ca="1">IFERROR(__xludf.DUMMYFUNCTION("""COMPUTED_VALUE"""),"Salmonella Friedenau")</f>
        <v>Salmonella Friedenau</v>
      </c>
      <c r="B6391" t="str">
        <f ca="1">IFERROR(__xludf.DUMMYFUNCTION("""COMPUTED_VALUE"""),"RF-00001772-MCG")</f>
        <v>RF-00001772-MCG</v>
      </c>
    </row>
    <row r="6392" spans="1:2" ht="12.5" x14ac:dyDescent="0.25">
      <c r="A6392" t="str">
        <f ca="1">IFERROR(__xludf.DUMMYFUNCTION("""COMPUTED_VALUE"""),"Salmonella Friedrichsfelde")</f>
        <v>Salmonella Friedrichsfelde</v>
      </c>
      <c r="B6392" t="str">
        <f ca="1">IFERROR(__xludf.DUMMYFUNCTION("""COMPUTED_VALUE"""),"RF-00001771-MCG")</f>
        <v>RF-00001771-MCG</v>
      </c>
    </row>
    <row r="6393" spans="1:2" ht="12.5" x14ac:dyDescent="0.25">
      <c r="A6393" t="str">
        <f ca="1">IFERROR(__xludf.DUMMYFUNCTION("""COMPUTED_VALUE"""),"Salmonella Frintrop")</f>
        <v>Salmonella Frintrop</v>
      </c>
      <c r="B6393" t="str">
        <f ca="1">IFERROR(__xludf.DUMMYFUNCTION("""COMPUTED_VALUE"""),"RF-00001733-MCG")</f>
        <v>RF-00001733-MCG</v>
      </c>
    </row>
    <row r="6394" spans="1:2" ht="12.5" x14ac:dyDescent="0.25">
      <c r="A6394" t="str">
        <f ca="1">IFERROR(__xludf.DUMMYFUNCTION("""COMPUTED_VALUE"""),"Salmonella Fufu")</f>
        <v>Salmonella Fufu</v>
      </c>
      <c r="B6394" t="str">
        <f ca="1">IFERROR(__xludf.DUMMYFUNCTION("""COMPUTED_VALUE"""),"RF-00001792-MCG")</f>
        <v>RF-00001792-MCG</v>
      </c>
    </row>
    <row r="6395" spans="1:2" ht="12.5" x14ac:dyDescent="0.25">
      <c r="A6395" t="str">
        <f ca="1">IFERROR(__xludf.DUMMYFUNCTION("""COMPUTED_VALUE"""),"Salmonella Fulda")</f>
        <v>Salmonella Fulda</v>
      </c>
      <c r="B6395" t="str">
        <f ca="1">IFERROR(__xludf.DUMMYFUNCTION("""COMPUTED_VALUE"""),"RF-00001755-MCG")</f>
        <v>RF-00001755-MCG</v>
      </c>
    </row>
    <row r="6396" spans="1:2" ht="12.5" x14ac:dyDescent="0.25">
      <c r="A6396" t="str">
        <f ca="1">IFERROR(__xludf.DUMMYFUNCTION("""COMPUTED_VALUE"""),"Salmonella Fulica")</f>
        <v>Salmonella Fulica</v>
      </c>
      <c r="B6396" t="str">
        <f ca="1">IFERROR(__xludf.DUMMYFUNCTION("""COMPUTED_VALUE"""),"RF-00001719-MCG")</f>
        <v>RF-00001719-MCG</v>
      </c>
    </row>
    <row r="6397" spans="1:2" ht="12.5" x14ac:dyDescent="0.25">
      <c r="A6397" t="str">
        <f ca="1">IFERROR(__xludf.DUMMYFUNCTION("""COMPUTED_VALUE"""),"Salmonella Fyris")</f>
        <v>Salmonella Fyris</v>
      </c>
      <c r="B6397" t="str">
        <f ca="1">IFERROR(__xludf.DUMMYFUNCTION("""COMPUTED_VALUE"""),"RF-00001718-MCG")</f>
        <v>RF-00001718-MCG</v>
      </c>
    </row>
    <row r="6398" spans="1:2" ht="12.5" x14ac:dyDescent="0.25">
      <c r="A6398" t="str">
        <f ca="1">IFERROR(__xludf.DUMMYFUNCTION("""COMPUTED_VALUE"""),"Salmonella Gabon")</f>
        <v>Salmonella Gabon</v>
      </c>
      <c r="B6398" t="str">
        <f ca="1">IFERROR(__xludf.DUMMYFUNCTION("""COMPUTED_VALUE"""),"RF-00001717-MCG")</f>
        <v>RF-00001717-MCG</v>
      </c>
    </row>
    <row r="6399" spans="1:2" ht="12.5" x14ac:dyDescent="0.25">
      <c r="A6399" t="str">
        <f ca="1">IFERROR(__xludf.DUMMYFUNCTION("""COMPUTED_VALUE"""),"Salmonella Gafsa")</f>
        <v>Salmonella Gafsa</v>
      </c>
      <c r="B6399" t="str">
        <f ca="1">IFERROR(__xludf.DUMMYFUNCTION("""COMPUTED_VALUE"""),"RF-00001716-MCG")</f>
        <v>RF-00001716-MCG</v>
      </c>
    </row>
    <row r="6400" spans="1:2" ht="12.5" x14ac:dyDescent="0.25">
      <c r="A6400" t="str">
        <f ca="1">IFERROR(__xludf.DUMMYFUNCTION("""COMPUTED_VALUE"""),"Salmonella Galiema")</f>
        <v>Salmonella Galiema</v>
      </c>
      <c r="B6400" t="str">
        <f ca="1">IFERROR(__xludf.DUMMYFUNCTION("""COMPUTED_VALUE"""),"RF-00001715-MCG")</f>
        <v>RF-00001715-MCG</v>
      </c>
    </row>
    <row r="6401" spans="1:2" ht="12.5" x14ac:dyDescent="0.25">
      <c r="A6401" t="str">
        <f ca="1">IFERROR(__xludf.DUMMYFUNCTION("""COMPUTED_VALUE"""),"Salmonella Galil")</f>
        <v>Salmonella Galil</v>
      </c>
      <c r="B6401" t="str">
        <f ca="1">IFERROR(__xludf.DUMMYFUNCTION("""COMPUTED_VALUE"""),"RF-00001714-MCG")</f>
        <v>RF-00001714-MCG</v>
      </c>
    </row>
    <row r="6402" spans="1:2" ht="12.5" x14ac:dyDescent="0.25">
      <c r="A6402" t="str">
        <f ca="1">IFERROR(__xludf.DUMMYFUNCTION("""COMPUTED_VALUE"""),"Salmonella Gallen")</f>
        <v>Salmonella Gallen</v>
      </c>
      <c r="B6402" t="str">
        <f ca="1">IFERROR(__xludf.DUMMYFUNCTION("""COMPUTED_VALUE"""),"RF-00001713-MCG")</f>
        <v>RF-00001713-MCG</v>
      </c>
    </row>
    <row r="6403" spans="1:2" ht="12.5" x14ac:dyDescent="0.25">
      <c r="A6403" t="str">
        <f ca="1">IFERROR(__xludf.DUMMYFUNCTION("""COMPUTED_VALUE"""),"Salmonella Gallinarum")</f>
        <v>Salmonella Gallinarum</v>
      </c>
      <c r="B6403" t="str">
        <f ca="1">IFERROR(__xludf.DUMMYFUNCTION("""COMPUTED_VALUE"""),"RF-00001712-MCG")</f>
        <v>RF-00001712-MCG</v>
      </c>
    </row>
    <row r="6404" spans="1:2" ht="12.5" x14ac:dyDescent="0.25">
      <c r="A6404" t="str">
        <f ca="1">IFERROR(__xludf.DUMMYFUNCTION("""COMPUTED_VALUE"""),"Salmonella Gallinarum biovar Gallinarum")</f>
        <v>Salmonella Gallinarum biovar Gallinarum</v>
      </c>
      <c r="B6404" t="str">
        <f ca="1">IFERROR(__xludf.DUMMYFUNCTION("""COMPUTED_VALUE"""),"RF-00001711-MCG")</f>
        <v>RF-00001711-MCG</v>
      </c>
    </row>
    <row r="6405" spans="1:2" ht="12.5" x14ac:dyDescent="0.25">
      <c r="A6405" t="str">
        <f ca="1">IFERROR(__xludf.DUMMYFUNCTION("""COMPUTED_VALUE"""),"Salmonella Gallinarum biovar Pullorum")</f>
        <v>Salmonella Gallinarum biovar Pullorum</v>
      </c>
      <c r="B6405" t="str">
        <f ca="1">IFERROR(__xludf.DUMMYFUNCTION("""COMPUTED_VALUE"""),"RF-00001710-MCG")</f>
        <v>RF-00001710-MCG</v>
      </c>
    </row>
    <row r="6406" spans="1:2" ht="12.5" x14ac:dyDescent="0.25">
      <c r="A6406" t="str">
        <f ca="1">IFERROR(__xludf.DUMMYFUNCTION("""COMPUTED_VALUE"""),"Salmonella Gamaba")</f>
        <v>Salmonella Gamaba</v>
      </c>
      <c r="B6406" t="str">
        <f ca="1">IFERROR(__xludf.DUMMYFUNCTION("""COMPUTED_VALUE"""),"RF-00001697-MCG")</f>
        <v>RF-00001697-MCG</v>
      </c>
    </row>
    <row r="6407" spans="1:2" ht="12.5" x14ac:dyDescent="0.25">
      <c r="A6407" t="str">
        <f ca="1">IFERROR(__xludf.DUMMYFUNCTION("""COMPUTED_VALUE"""),"Salmonella Gambaga")</f>
        <v>Salmonella Gambaga</v>
      </c>
      <c r="B6407" t="str">
        <f ca="1">IFERROR(__xludf.DUMMYFUNCTION("""COMPUTED_VALUE"""),"RF-00001708-MCG")</f>
        <v>RF-00001708-MCG</v>
      </c>
    </row>
    <row r="6408" spans="1:2" ht="12.5" x14ac:dyDescent="0.25">
      <c r="A6408" t="str">
        <f ca="1">IFERROR(__xludf.DUMMYFUNCTION("""COMPUTED_VALUE"""),"Salmonella Gambia")</f>
        <v>Salmonella Gambia</v>
      </c>
      <c r="B6408" t="str">
        <f ca="1">IFERROR(__xludf.DUMMYFUNCTION("""COMPUTED_VALUE"""),"RF-00001720-MCG")</f>
        <v>RF-00001720-MCG</v>
      </c>
    </row>
    <row r="6409" spans="1:2" ht="12.5" x14ac:dyDescent="0.25">
      <c r="A6409" t="str">
        <f ca="1">IFERROR(__xludf.DUMMYFUNCTION("""COMPUTED_VALUE"""),"Salmonella Gaminara")</f>
        <v>Salmonella Gaminara</v>
      </c>
      <c r="B6409" t="str">
        <f ca="1">IFERROR(__xludf.DUMMYFUNCTION("""COMPUTED_VALUE"""),"RF-00001706-MCG")</f>
        <v>RF-00001706-MCG</v>
      </c>
    </row>
    <row r="6410" spans="1:2" ht="12.5" x14ac:dyDescent="0.25">
      <c r="A6410" t="str">
        <f ca="1">IFERROR(__xludf.DUMMYFUNCTION("""COMPUTED_VALUE"""),"Salmonella Garba")</f>
        <v>Salmonella Garba</v>
      </c>
      <c r="B6410" t="str">
        <f ca="1">IFERROR(__xludf.DUMMYFUNCTION("""COMPUTED_VALUE"""),"RF-00001705-MCG")</f>
        <v>RF-00001705-MCG</v>
      </c>
    </row>
    <row r="6411" spans="1:2" ht="12.5" x14ac:dyDescent="0.25">
      <c r="A6411" t="str">
        <f ca="1">IFERROR(__xludf.DUMMYFUNCTION("""COMPUTED_VALUE"""),"Salmonella Garoli")</f>
        <v>Salmonella Garoli</v>
      </c>
      <c r="B6411" t="str">
        <f ca="1">IFERROR(__xludf.DUMMYFUNCTION("""COMPUTED_VALUE"""),"RF-00001704-MCG")</f>
        <v>RF-00001704-MCG</v>
      </c>
    </row>
    <row r="6412" spans="1:2" ht="12.5" x14ac:dyDescent="0.25">
      <c r="A6412" t="str">
        <f ca="1">IFERROR(__xludf.DUMMYFUNCTION("""COMPUTED_VALUE"""),"Salmonella Gassi")</f>
        <v>Salmonella Gassi</v>
      </c>
      <c r="B6412" t="str">
        <f ca="1">IFERROR(__xludf.DUMMYFUNCTION("""COMPUTED_VALUE"""),"RF-00001703-MCG")</f>
        <v>RF-00001703-MCG</v>
      </c>
    </row>
    <row r="6413" spans="1:2" ht="12.5" x14ac:dyDescent="0.25">
      <c r="A6413" t="str">
        <f ca="1">IFERROR(__xludf.DUMMYFUNCTION("""COMPUTED_VALUE"""),"Salmonella Gateshead")</f>
        <v>Salmonella Gateshead</v>
      </c>
      <c r="B6413" t="str">
        <f ca="1">IFERROR(__xludf.DUMMYFUNCTION("""COMPUTED_VALUE"""),"RF-00001702-MCG")</f>
        <v>RF-00001702-MCG</v>
      </c>
    </row>
    <row r="6414" spans="1:2" ht="12.5" x14ac:dyDescent="0.25">
      <c r="A6414" t="str">
        <f ca="1">IFERROR(__xludf.DUMMYFUNCTION("""COMPUTED_VALUE"""),"Salmonella Gatineau")</f>
        <v>Salmonella Gatineau</v>
      </c>
      <c r="B6414" t="str">
        <f ca="1">IFERROR(__xludf.DUMMYFUNCTION("""COMPUTED_VALUE"""),"RF-00001701-MCG")</f>
        <v>RF-00001701-MCG</v>
      </c>
    </row>
    <row r="6415" spans="1:2" ht="12.5" x14ac:dyDescent="0.25">
      <c r="A6415" t="str">
        <f ca="1">IFERROR(__xludf.DUMMYFUNCTION("""COMPUTED_VALUE"""),"Salmonella Gatow")</f>
        <v>Salmonella Gatow</v>
      </c>
      <c r="B6415" t="str">
        <f ca="1">IFERROR(__xludf.DUMMYFUNCTION("""COMPUTED_VALUE"""),"RF-00001700-MCG")</f>
        <v>RF-00001700-MCG</v>
      </c>
    </row>
    <row r="6416" spans="1:2" ht="12.5" x14ac:dyDescent="0.25">
      <c r="A6416" t="str">
        <f ca="1">IFERROR(__xludf.DUMMYFUNCTION("""COMPUTED_VALUE"""),"Salmonella Gatuni")</f>
        <v>Salmonella Gatuni</v>
      </c>
      <c r="B6416" t="str">
        <f ca="1">IFERROR(__xludf.DUMMYFUNCTION("""COMPUTED_VALUE"""),"RF-00001699-MCG")</f>
        <v>RF-00001699-MCG</v>
      </c>
    </row>
    <row r="6417" spans="1:2" ht="12.5" x14ac:dyDescent="0.25">
      <c r="A6417" t="str">
        <f ca="1">IFERROR(__xludf.DUMMYFUNCTION("""COMPUTED_VALUE"""),"Salmonella Gbadago")</f>
        <v>Salmonella Gbadago</v>
      </c>
      <c r="B6417" t="str">
        <f ca="1">IFERROR(__xludf.DUMMYFUNCTION("""COMPUTED_VALUE"""),"RF-00001731-MCG")</f>
        <v>RF-00001731-MCG</v>
      </c>
    </row>
    <row r="6418" spans="1:2" ht="12.5" x14ac:dyDescent="0.25">
      <c r="A6418" t="str">
        <f ca="1">IFERROR(__xludf.DUMMYFUNCTION("""COMPUTED_VALUE"""),"Salmonella Gdansk")</f>
        <v>Salmonella Gdansk</v>
      </c>
      <c r="B6418" t="str">
        <f ca="1">IFERROR(__xludf.DUMMYFUNCTION("""COMPUTED_VALUE"""),"RF-00001707-MCG")</f>
        <v>RF-00001707-MCG</v>
      </c>
    </row>
    <row r="6419" spans="1:2" ht="12.5" x14ac:dyDescent="0.25">
      <c r="A6419" t="str">
        <f ca="1">IFERROR(__xludf.DUMMYFUNCTION("""COMPUTED_VALUE"""),"Salmonella Gdansk var. 14")</f>
        <v>Salmonella Gdansk var. 14</v>
      </c>
      <c r="B6419" t="str">
        <f ca="1">IFERROR(__xludf.DUMMYFUNCTION("""COMPUTED_VALUE"""),"RF-00001709-MCG")</f>
        <v>RF-00001709-MCG</v>
      </c>
    </row>
    <row r="6420" spans="1:2" ht="12.5" x14ac:dyDescent="0.25">
      <c r="A6420" t="str">
        <f ca="1">IFERROR(__xludf.DUMMYFUNCTION("""COMPUTED_VALUE"""),"Salmonella Gege")</f>
        <v>Salmonella Gege</v>
      </c>
      <c r="B6420" t="str">
        <f ca="1">IFERROR(__xludf.DUMMYFUNCTION("""COMPUTED_VALUE"""),"RF-00001743-MCG")</f>
        <v>RF-00001743-MCG</v>
      </c>
    </row>
    <row r="6421" spans="1:2" ht="12.5" x14ac:dyDescent="0.25">
      <c r="A6421" t="str">
        <f ca="1">IFERROR(__xludf.DUMMYFUNCTION("""COMPUTED_VALUE"""),"Salmonella Georgia")</f>
        <v>Salmonella Georgia</v>
      </c>
      <c r="B6421" t="str">
        <f ca="1">IFERROR(__xludf.DUMMYFUNCTION("""COMPUTED_VALUE"""),"RF-00001742-MCG")</f>
        <v>RF-00001742-MCG</v>
      </c>
    </row>
    <row r="6422" spans="1:2" ht="12.5" x14ac:dyDescent="0.25">
      <c r="A6422" t="str">
        <f ca="1">IFERROR(__xludf.DUMMYFUNCTION("""COMPUTED_VALUE"""),"Salmonella Gera")</f>
        <v>Salmonella Gera</v>
      </c>
      <c r="B6422" t="str">
        <f ca="1">IFERROR(__xludf.DUMMYFUNCTION("""COMPUTED_VALUE"""),"RF-00001741-MCG")</f>
        <v>RF-00001741-MCG</v>
      </c>
    </row>
    <row r="6423" spans="1:2" ht="12.5" x14ac:dyDescent="0.25">
      <c r="A6423" t="str">
        <f ca="1">IFERROR(__xludf.DUMMYFUNCTION("""COMPUTED_VALUE"""),"Salmonella Geraldton")</f>
        <v>Salmonella Geraldton</v>
      </c>
      <c r="B6423" t="str">
        <f ca="1">IFERROR(__xludf.DUMMYFUNCTION("""COMPUTED_VALUE"""),"RF-00001740-MCG")</f>
        <v>RF-00001740-MCG</v>
      </c>
    </row>
    <row r="6424" spans="1:2" ht="12.5" x14ac:dyDescent="0.25">
      <c r="A6424" t="str">
        <f ca="1">IFERROR(__xludf.DUMMYFUNCTION("""COMPUTED_VALUE"""),"Salmonella Gerland")</f>
        <v>Salmonella Gerland</v>
      </c>
      <c r="B6424" t="str">
        <f ca="1">IFERROR(__xludf.DUMMYFUNCTION("""COMPUTED_VALUE"""),"RF-00001739-MCG")</f>
        <v>RF-00001739-MCG</v>
      </c>
    </row>
    <row r="6425" spans="1:2" ht="12.5" x14ac:dyDescent="0.25">
      <c r="A6425" t="str">
        <f ca="1">IFERROR(__xludf.DUMMYFUNCTION("""COMPUTED_VALUE"""),"Salmonella Ghana")</f>
        <v>Salmonella Ghana</v>
      </c>
      <c r="B6425" t="str">
        <f ca="1">IFERROR(__xludf.DUMMYFUNCTION("""COMPUTED_VALUE"""),"RF-00001738-MCG")</f>
        <v>RF-00001738-MCG</v>
      </c>
    </row>
    <row r="6426" spans="1:2" ht="12.5" x14ac:dyDescent="0.25">
      <c r="A6426" t="str">
        <f ca="1">IFERROR(__xludf.DUMMYFUNCTION("""COMPUTED_VALUE"""),"Salmonella Giessen")</f>
        <v>Salmonella Giessen</v>
      </c>
      <c r="B6426" t="str">
        <f ca="1">IFERROR(__xludf.DUMMYFUNCTION("""COMPUTED_VALUE"""),"RF-00001737-MCG")</f>
        <v>RF-00001737-MCG</v>
      </c>
    </row>
    <row r="6427" spans="1:2" ht="12.5" x14ac:dyDescent="0.25">
      <c r="A6427" t="str">
        <f ca="1">IFERROR(__xludf.DUMMYFUNCTION("""COMPUTED_VALUE"""),"Salmonella Give")</f>
        <v>Salmonella Give</v>
      </c>
      <c r="B6427" t="str">
        <f ca="1">IFERROR(__xludf.DUMMYFUNCTION("""COMPUTED_VALUE"""),"RF-00001736-MCG")</f>
        <v>RF-00001736-MCG</v>
      </c>
    </row>
    <row r="6428" spans="1:2" ht="12.5" x14ac:dyDescent="0.25">
      <c r="A6428" t="str">
        <f ca="1">IFERROR(__xludf.DUMMYFUNCTION("""COMPUTED_VALUE"""),"Salmonella Give var. 15")</f>
        <v>Salmonella Give var. 15</v>
      </c>
      <c r="B6428" t="str">
        <f ca="1">IFERROR(__xludf.DUMMYFUNCTION("""COMPUTED_VALUE"""),"RF-00001735-MCG")</f>
        <v>RF-00001735-MCG</v>
      </c>
    </row>
    <row r="6429" spans="1:2" ht="12.5" x14ac:dyDescent="0.25">
      <c r="A6429" t="str">
        <f ca="1">IFERROR(__xludf.DUMMYFUNCTION("""COMPUTED_VALUE"""),"Salmonella Give var. 15,34")</f>
        <v>Salmonella Give var. 15,34</v>
      </c>
      <c r="B6429" t="str">
        <f ca="1">IFERROR(__xludf.DUMMYFUNCTION("""COMPUTED_VALUE"""),"RF-00001734-MCG")</f>
        <v>RF-00001734-MCG</v>
      </c>
    </row>
    <row r="6430" spans="1:2" ht="12.5" x14ac:dyDescent="0.25">
      <c r="A6430" t="str">
        <f ca="1">IFERROR(__xludf.DUMMYFUNCTION("""COMPUTED_VALUE"""),"Salmonella Give var. 15+")</f>
        <v>Salmonella Give var. 15+</v>
      </c>
      <c r="B6430" t="str">
        <f ca="1">IFERROR(__xludf.DUMMYFUNCTION("""COMPUTED_VALUE"""),"RF-00001721-MCG")</f>
        <v>RF-00001721-MCG</v>
      </c>
    </row>
    <row r="6431" spans="1:2" ht="12.5" x14ac:dyDescent="0.25">
      <c r="A6431" t="str">
        <f ca="1">IFERROR(__xludf.DUMMYFUNCTION("""COMPUTED_VALUE"""),"Salmonella Giza")</f>
        <v>Salmonella Giza</v>
      </c>
      <c r="B6431" t="str">
        <f ca="1">IFERROR(__xludf.DUMMYFUNCTION("""COMPUTED_VALUE"""),"RF-00001732-MCG")</f>
        <v>RF-00001732-MCG</v>
      </c>
    </row>
    <row r="6432" spans="1:2" ht="12.5" x14ac:dyDescent="0.25">
      <c r="A6432" t="str">
        <f ca="1">IFERROR(__xludf.DUMMYFUNCTION("""COMPUTED_VALUE"""),"Salmonella Glasgow")</f>
        <v>Salmonella Glasgow</v>
      </c>
      <c r="B6432" t="str">
        <f ca="1">IFERROR(__xludf.DUMMYFUNCTION("""COMPUTED_VALUE"""),"RF-00001744-MCG")</f>
        <v>RF-00001744-MCG</v>
      </c>
    </row>
    <row r="6433" spans="1:2" ht="12.5" x14ac:dyDescent="0.25">
      <c r="A6433" t="str">
        <f ca="1">IFERROR(__xludf.DUMMYFUNCTION("""COMPUTED_VALUE"""),"Salmonella Glidji")</f>
        <v>Salmonella Glidji</v>
      </c>
      <c r="B6433" t="str">
        <f ca="1">IFERROR(__xludf.DUMMYFUNCTION("""COMPUTED_VALUE"""),"RF-00001730-MCG")</f>
        <v>RF-00001730-MCG</v>
      </c>
    </row>
    <row r="6434" spans="1:2" ht="12.5" x14ac:dyDescent="0.25">
      <c r="A6434" t="str">
        <f ca="1">IFERROR(__xludf.DUMMYFUNCTION("""COMPUTED_VALUE"""),"Salmonella Glostrup")</f>
        <v>Salmonella Glostrup</v>
      </c>
      <c r="B6434" t="str">
        <f ca="1">IFERROR(__xludf.DUMMYFUNCTION("""COMPUTED_VALUE"""),"RF-00001729-MCG")</f>
        <v>RF-00001729-MCG</v>
      </c>
    </row>
    <row r="6435" spans="1:2" ht="12.5" x14ac:dyDescent="0.25">
      <c r="A6435" t="str">
        <f ca="1">IFERROR(__xludf.DUMMYFUNCTION("""COMPUTED_VALUE"""),"Salmonella Gloucester")</f>
        <v>Salmonella Gloucester</v>
      </c>
      <c r="B6435" t="str">
        <f ca="1">IFERROR(__xludf.DUMMYFUNCTION("""COMPUTED_VALUE"""),"RF-00001728-MCG")</f>
        <v>RF-00001728-MCG</v>
      </c>
    </row>
    <row r="6436" spans="1:2" ht="12.5" x14ac:dyDescent="0.25">
      <c r="A6436" t="str">
        <f ca="1">IFERROR(__xludf.DUMMYFUNCTION("""COMPUTED_VALUE"""),"Salmonella Gnesta")</f>
        <v>Salmonella Gnesta</v>
      </c>
      <c r="B6436" t="str">
        <f ca="1">IFERROR(__xludf.DUMMYFUNCTION("""COMPUTED_VALUE"""),"RF-00001727-MCG")</f>
        <v>RF-00001727-MCG</v>
      </c>
    </row>
    <row r="6437" spans="1:2" ht="12.5" x14ac:dyDescent="0.25">
      <c r="A6437" t="str">
        <f ca="1">IFERROR(__xludf.DUMMYFUNCTION("""COMPUTED_VALUE"""),"Salmonella Godesberg")</f>
        <v>Salmonella Godesberg</v>
      </c>
      <c r="B6437" t="str">
        <f ca="1">IFERROR(__xludf.DUMMYFUNCTION("""COMPUTED_VALUE"""),"RF-00001726-MCG")</f>
        <v>RF-00001726-MCG</v>
      </c>
    </row>
    <row r="6438" spans="1:2" ht="12.5" x14ac:dyDescent="0.25">
      <c r="A6438" t="str">
        <f ca="1">IFERROR(__xludf.DUMMYFUNCTION("""COMPUTED_VALUE"""),"Salmonella Goelzau")</f>
        <v>Salmonella Goelzau</v>
      </c>
      <c r="B6438" t="str">
        <f ca="1">IFERROR(__xludf.DUMMYFUNCTION("""COMPUTED_VALUE"""),"RF-00001725-MCG")</f>
        <v>RF-00001725-MCG</v>
      </c>
    </row>
    <row r="6439" spans="1:2" ht="12.5" x14ac:dyDescent="0.25">
      <c r="A6439" t="str">
        <f ca="1">IFERROR(__xludf.DUMMYFUNCTION("""COMPUTED_VALUE"""),"Salmonella Goelzau var. 15")</f>
        <v>Salmonella Goelzau var. 15</v>
      </c>
      <c r="B6439" t="str">
        <f ca="1">IFERROR(__xludf.DUMMYFUNCTION("""COMPUTED_VALUE"""),"RF-00001724-MCG")</f>
        <v>RF-00001724-MCG</v>
      </c>
    </row>
    <row r="6440" spans="1:2" ht="12.5" x14ac:dyDescent="0.25">
      <c r="A6440" t="str">
        <f ca="1">IFERROR(__xludf.DUMMYFUNCTION("""COMPUTED_VALUE"""),"Salmonella Goeteborg")</f>
        <v>Salmonella Goeteborg</v>
      </c>
      <c r="B6440" t="str">
        <f ca="1">IFERROR(__xludf.DUMMYFUNCTION("""COMPUTED_VALUE"""),"RF-00001723-MCG")</f>
        <v>RF-00001723-MCG</v>
      </c>
    </row>
    <row r="6441" spans="1:2" ht="12.5" x14ac:dyDescent="0.25">
      <c r="A6441" t="str">
        <f ca="1">IFERROR(__xludf.DUMMYFUNCTION("""COMPUTED_VALUE"""),"Salmonella Goettingen")</f>
        <v>Salmonella Goettingen</v>
      </c>
      <c r="B6441" t="str">
        <f ca="1">IFERROR(__xludf.DUMMYFUNCTION("""COMPUTED_VALUE"""),"RF-00001722-MCG")</f>
        <v>RF-00001722-MCG</v>
      </c>
    </row>
    <row r="6442" spans="1:2" ht="12.5" x14ac:dyDescent="0.25">
      <c r="A6442" t="str">
        <f ca="1">IFERROR(__xludf.DUMMYFUNCTION("""COMPUTED_VALUE"""),"Salmonella Gokul")</f>
        <v>Salmonella Gokul</v>
      </c>
      <c r="B6442" t="str">
        <f ca="1">IFERROR(__xludf.DUMMYFUNCTION("""COMPUTED_VALUE"""),"RF-00001576-MCG")</f>
        <v>RF-00001576-MCG</v>
      </c>
    </row>
    <row r="6443" spans="1:2" ht="12.5" x14ac:dyDescent="0.25">
      <c r="A6443" t="str">
        <f ca="1">IFERROR(__xludf.DUMMYFUNCTION("""COMPUTED_VALUE"""),"Salmonella Goldcoast")</f>
        <v>Salmonella Goldcoast</v>
      </c>
      <c r="B6443" t="str">
        <f ca="1">IFERROR(__xludf.DUMMYFUNCTION("""COMPUTED_VALUE"""),"RF-00001431-MCG")</f>
        <v>RF-00001431-MCG</v>
      </c>
    </row>
    <row r="6444" spans="1:2" ht="12.5" x14ac:dyDescent="0.25">
      <c r="A6444" t="str">
        <f ca="1">IFERROR(__xludf.DUMMYFUNCTION("""COMPUTED_VALUE"""),"Salmonella Goma")</f>
        <v>Salmonella Goma</v>
      </c>
      <c r="B6444" t="str">
        <f ca="1">IFERROR(__xludf.DUMMYFUNCTION("""COMPUTED_VALUE"""),"RF-00001625-MCG")</f>
        <v>RF-00001625-MCG</v>
      </c>
    </row>
    <row r="6445" spans="1:2" ht="12.5" x14ac:dyDescent="0.25">
      <c r="A6445" t="str">
        <f ca="1">IFERROR(__xludf.DUMMYFUNCTION("""COMPUTED_VALUE"""),"Salmonella Gombe")</f>
        <v>Salmonella Gombe</v>
      </c>
      <c r="B6445" t="str">
        <f ca="1">IFERROR(__xludf.DUMMYFUNCTION("""COMPUTED_VALUE"""),"RF-00001475-MCG")</f>
        <v>RF-00001475-MCG</v>
      </c>
    </row>
    <row r="6446" spans="1:2" ht="12.5" x14ac:dyDescent="0.25">
      <c r="A6446" t="str">
        <f ca="1">IFERROR(__xludf.DUMMYFUNCTION("""COMPUTED_VALUE"""),"Salmonella Good")</f>
        <v>Salmonella Good</v>
      </c>
      <c r="B6446" t="str">
        <f ca="1">IFERROR(__xludf.DUMMYFUNCTION("""COMPUTED_VALUE"""),"RF-00001474-MCG")</f>
        <v>RF-00001474-MCG</v>
      </c>
    </row>
    <row r="6447" spans="1:2" ht="12.5" x14ac:dyDescent="0.25">
      <c r="A6447" t="str">
        <f ca="1">IFERROR(__xludf.DUMMYFUNCTION("""COMPUTED_VALUE"""),"Salmonella Gori")</f>
        <v>Salmonella Gori</v>
      </c>
      <c r="B6447" t="str">
        <f ca="1">IFERROR(__xludf.DUMMYFUNCTION("""COMPUTED_VALUE"""),"RF-00001473-MCG")</f>
        <v>RF-00001473-MCG</v>
      </c>
    </row>
    <row r="6448" spans="1:2" ht="12.5" x14ac:dyDescent="0.25">
      <c r="A6448" t="str">
        <f ca="1">IFERROR(__xludf.DUMMYFUNCTION("""COMPUTED_VALUE"""),"Salmonella Goulfey")</f>
        <v>Salmonella Goulfey</v>
      </c>
      <c r="B6448" t="str">
        <f ca="1">IFERROR(__xludf.DUMMYFUNCTION("""COMPUTED_VALUE"""),"RF-00001472-MCG")</f>
        <v>RF-00001472-MCG</v>
      </c>
    </row>
    <row r="6449" spans="1:2" ht="12.5" x14ac:dyDescent="0.25">
      <c r="A6449" t="str">
        <f ca="1">IFERROR(__xludf.DUMMYFUNCTION("""COMPUTED_VALUE"""),"Salmonella Gouloumbo")</f>
        <v>Salmonella Gouloumbo</v>
      </c>
      <c r="B6449" t="str">
        <f ca="1">IFERROR(__xludf.DUMMYFUNCTION("""COMPUTED_VALUE"""),"RF-00001471-MCG")</f>
        <v>RF-00001471-MCG</v>
      </c>
    </row>
    <row r="6450" spans="1:2" ht="12.5" x14ac:dyDescent="0.25">
      <c r="A6450" t="str">
        <f ca="1">IFERROR(__xludf.DUMMYFUNCTION("""COMPUTED_VALUE"""),"Salmonella Goverdhan")</f>
        <v>Salmonella Goverdhan</v>
      </c>
      <c r="B6450" t="str">
        <f ca="1">IFERROR(__xludf.DUMMYFUNCTION("""COMPUTED_VALUE"""),"RF-00001470-MCG")</f>
        <v>RF-00001470-MCG</v>
      </c>
    </row>
    <row r="6451" spans="1:2" ht="12.5" x14ac:dyDescent="0.25">
      <c r="A6451" t="str">
        <f ca="1">IFERROR(__xludf.DUMMYFUNCTION("""COMPUTED_VALUE"""),"Salmonella Gozo")</f>
        <v>Salmonella Gozo</v>
      </c>
      <c r="B6451" t="str">
        <f ca="1">IFERROR(__xludf.DUMMYFUNCTION("""COMPUTED_VALUE"""),"RF-00001469-MCG")</f>
        <v>RF-00001469-MCG</v>
      </c>
    </row>
    <row r="6452" spans="1:2" ht="12.5" x14ac:dyDescent="0.25">
      <c r="A6452" t="str">
        <f ca="1">IFERROR(__xludf.DUMMYFUNCTION("""COMPUTED_VALUE"""),"Salmonella Grampian")</f>
        <v>Salmonella Grampian</v>
      </c>
      <c r="B6452" t="str">
        <f ca="1">IFERROR(__xludf.DUMMYFUNCTION("""COMPUTED_VALUE"""),"RF-00001468-MCG")</f>
        <v>RF-00001468-MCG</v>
      </c>
    </row>
    <row r="6453" spans="1:2" ht="12.5" x14ac:dyDescent="0.25">
      <c r="A6453" t="str">
        <f ca="1">IFERROR(__xludf.DUMMYFUNCTION("""COMPUTED_VALUE"""),"Salmonella Grancanaria")</f>
        <v>Salmonella Grancanaria</v>
      </c>
      <c r="B6453" t="str">
        <f ca="1">IFERROR(__xludf.DUMMYFUNCTION("""COMPUTED_VALUE"""),"RF-00001467-MCG")</f>
        <v>RF-00001467-MCG</v>
      </c>
    </row>
    <row r="6454" spans="1:2" ht="12.5" x14ac:dyDescent="0.25">
      <c r="A6454" t="str">
        <f ca="1">IFERROR(__xludf.DUMMYFUNCTION("""COMPUTED_VALUE"""),"Salmonella Grandhaven")</f>
        <v>Salmonella Grandhaven</v>
      </c>
      <c r="B6454" t="str">
        <f ca="1">IFERROR(__xludf.DUMMYFUNCTION("""COMPUTED_VALUE"""),"RF-00001454-MCG")</f>
        <v>RF-00001454-MCG</v>
      </c>
    </row>
    <row r="6455" spans="1:2" ht="12.5" x14ac:dyDescent="0.25">
      <c r="A6455" t="str">
        <f ca="1">IFERROR(__xludf.DUMMYFUNCTION("""COMPUTED_VALUE"""),"Salmonella Granlo")</f>
        <v>Salmonella Granlo</v>
      </c>
      <c r="B6455" t="str">
        <f ca="1">IFERROR(__xludf.DUMMYFUNCTION("""COMPUTED_VALUE"""),"RF-00001465-MCG")</f>
        <v>RF-00001465-MCG</v>
      </c>
    </row>
    <row r="6456" spans="1:2" ht="12.5" x14ac:dyDescent="0.25">
      <c r="A6456" t="str">
        <f ca="1">IFERROR(__xludf.DUMMYFUNCTION("""COMPUTED_VALUE"""),"Salmonella Graz")</f>
        <v>Salmonella Graz</v>
      </c>
      <c r="B6456" t="str">
        <f ca="1">IFERROR(__xludf.DUMMYFUNCTION("""COMPUTED_VALUE"""),"RF-00001477-MCG")</f>
        <v>RF-00001477-MCG</v>
      </c>
    </row>
    <row r="6457" spans="1:2" ht="12.5" x14ac:dyDescent="0.25">
      <c r="A6457" t="str">
        <f ca="1">IFERROR(__xludf.DUMMYFUNCTION("""COMPUTED_VALUE"""),"Salmonella Greiz")</f>
        <v>Salmonella Greiz</v>
      </c>
      <c r="B6457" t="str">
        <f ca="1">IFERROR(__xludf.DUMMYFUNCTION("""COMPUTED_VALUE"""),"RF-00001463-MCG")</f>
        <v>RF-00001463-MCG</v>
      </c>
    </row>
    <row r="6458" spans="1:2" ht="12.5" x14ac:dyDescent="0.25">
      <c r="A6458" t="str">
        <f ca="1">IFERROR(__xludf.DUMMYFUNCTION("""COMPUTED_VALUE"""),"Salmonella Groenekan")</f>
        <v>Salmonella Groenekan</v>
      </c>
      <c r="B6458" t="str">
        <f ca="1">IFERROR(__xludf.DUMMYFUNCTION("""COMPUTED_VALUE"""),"RF-00001462-MCG")</f>
        <v>RF-00001462-MCG</v>
      </c>
    </row>
    <row r="6459" spans="1:2" ht="12.5" x14ac:dyDescent="0.25">
      <c r="A6459" t="str">
        <f ca="1">IFERROR(__xludf.DUMMYFUNCTION("""COMPUTED_VALUE"""),"Salmonella group A")</f>
        <v>Salmonella group A</v>
      </c>
      <c r="B6459" t="str">
        <f ca="1">IFERROR(__xludf.DUMMYFUNCTION("""COMPUTED_VALUE"""),"RF-00001461-MCG")</f>
        <v>RF-00001461-MCG</v>
      </c>
    </row>
    <row r="6460" spans="1:2" ht="12.5" x14ac:dyDescent="0.25">
      <c r="A6460" t="str">
        <f ca="1">IFERROR(__xludf.DUMMYFUNCTION("""COMPUTED_VALUE"""),"Salmonella group B")</f>
        <v>Salmonella group B</v>
      </c>
      <c r="B6460" t="str">
        <f ca="1">IFERROR(__xludf.DUMMYFUNCTION("""COMPUTED_VALUE"""),"RF-00001460-MCG")</f>
        <v>RF-00001460-MCG</v>
      </c>
    </row>
    <row r="6461" spans="1:2" ht="12.5" x14ac:dyDescent="0.25">
      <c r="A6461" t="str">
        <f ca="1">IFERROR(__xludf.DUMMYFUNCTION("""COMPUTED_VALUE"""),"Salmonella group B H-")</f>
        <v>Salmonella group B H-</v>
      </c>
      <c r="B6461" t="str">
        <f ca="1">IFERROR(__xludf.DUMMYFUNCTION("""COMPUTED_VALUE"""),"RF-00001459-MCG")</f>
        <v>RF-00001459-MCG</v>
      </c>
    </row>
    <row r="6462" spans="1:2" ht="12.5" x14ac:dyDescent="0.25">
      <c r="A6462" t="str">
        <f ca="1">IFERROR(__xludf.DUMMYFUNCTION("""COMPUTED_VALUE"""),"Salmonella group B, monophasic strain")</f>
        <v>Salmonella group B, monophasic strain</v>
      </c>
      <c r="B6462" t="str">
        <f ca="1">IFERROR(__xludf.DUMMYFUNCTION("""COMPUTED_VALUE"""),"RF-00001458-MCG")</f>
        <v>RF-00001458-MCG</v>
      </c>
    </row>
    <row r="6463" spans="1:2" ht="12.5" x14ac:dyDescent="0.25">
      <c r="A6463" t="str">
        <f ca="1">IFERROR(__xludf.DUMMYFUNCTION("""COMPUTED_VALUE"""),"Salmonella group C1, monophasic strain")</f>
        <v>Salmonella group C1, monophasic strain</v>
      </c>
      <c r="B6463" t="str">
        <f ca="1">IFERROR(__xludf.DUMMYFUNCTION("""COMPUTED_VALUE"""),"RF-00001456-MCG")</f>
        <v>RF-00001456-MCG</v>
      </c>
    </row>
    <row r="6464" spans="1:2" ht="12.5" x14ac:dyDescent="0.25">
      <c r="A6464" t="str">
        <f ca="1">IFERROR(__xludf.DUMMYFUNCTION("""COMPUTED_VALUE"""),"Salmonella group C2, monophasic strain")</f>
        <v>Salmonella group C2, monophasic strain</v>
      </c>
      <c r="B6464" t="str">
        <f ca="1">IFERROR(__xludf.DUMMYFUNCTION("""COMPUTED_VALUE"""),"RF-00001805-MCG")</f>
        <v>RF-00001805-MCG</v>
      </c>
    </row>
    <row r="6465" spans="1:2" ht="12.5" x14ac:dyDescent="0.25">
      <c r="A6465" t="str">
        <f ca="1">IFERROR(__xludf.DUMMYFUNCTION("""COMPUTED_VALUE"""),"Salmonella group D, monophasic strain")</f>
        <v>Salmonella group D, monophasic strain</v>
      </c>
      <c r="B6465" t="str">
        <f ca="1">IFERROR(__xludf.DUMMYFUNCTION("""COMPUTED_VALUE"""),"RF-00001804-MCG")</f>
        <v>RF-00001804-MCG</v>
      </c>
    </row>
    <row r="6466" spans="1:2" ht="12.5" x14ac:dyDescent="0.25">
      <c r="A6466" t="str">
        <f ca="1">IFERROR(__xludf.DUMMYFUNCTION("""COMPUTED_VALUE"""),"Salmonella group E")</f>
        <v>Salmonella group E</v>
      </c>
      <c r="B6466" t="str">
        <f ca="1">IFERROR(__xludf.DUMMYFUNCTION("""COMPUTED_VALUE"""),"RF-00001802-MCG")</f>
        <v>RF-00001802-MCG</v>
      </c>
    </row>
    <row r="6467" spans="1:2" ht="12.5" x14ac:dyDescent="0.25">
      <c r="A6467" t="str">
        <f ca="1">IFERROR(__xludf.DUMMYFUNCTION("""COMPUTED_VALUE"""),"Salmonella group E1, monophasic strain")</f>
        <v>Salmonella group E1, monophasic strain</v>
      </c>
      <c r="B6467" t="str">
        <f ca="1">IFERROR(__xludf.DUMMYFUNCTION("""COMPUTED_VALUE"""),"RF-00001801-MCG")</f>
        <v>RF-00001801-MCG</v>
      </c>
    </row>
    <row r="6468" spans="1:2" ht="12.5" x14ac:dyDescent="0.25">
      <c r="A6468" t="str">
        <f ca="1">IFERROR(__xludf.DUMMYFUNCTION("""COMPUTED_VALUE"""),"Salmonella group G")</f>
        <v>Salmonella group G</v>
      </c>
      <c r="B6468" t="str">
        <f ca="1">IFERROR(__xludf.DUMMYFUNCTION("""COMPUTED_VALUE"""),"RF-00001800-MCG")</f>
        <v>RF-00001800-MCG</v>
      </c>
    </row>
    <row r="6469" spans="1:2" ht="12.5" x14ac:dyDescent="0.25">
      <c r="A6469" t="str">
        <f ca="1">IFERROR(__xludf.DUMMYFUNCTION("""COMPUTED_VALUE"""),"Salmonella group O:2")</f>
        <v>Salmonella group O:2</v>
      </c>
      <c r="B6469" t="str">
        <f ca="1">IFERROR(__xludf.DUMMYFUNCTION("""COMPUTED_VALUE"""),"RF-00001799-MCG")</f>
        <v>RF-00001799-MCG</v>
      </c>
    </row>
    <row r="6470" spans="1:2" ht="12.5" x14ac:dyDescent="0.25">
      <c r="A6470" t="str">
        <f ca="1">IFERROR(__xludf.DUMMYFUNCTION("""COMPUTED_VALUE"""),"Salmonella group O:4")</f>
        <v>Salmonella group O:4</v>
      </c>
      <c r="B6470" t="str">
        <f ca="1">IFERROR(__xludf.DUMMYFUNCTION("""COMPUTED_VALUE"""),"RF-00001798-MCG")</f>
        <v>RF-00001798-MCG</v>
      </c>
    </row>
    <row r="6471" spans="1:2" ht="12.5" x14ac:dyDescent="0.25">
      <c r="A6471" t="str">
        <f ca="1">IFERROR(__xludf.DUMMYFUNCTION("""COMPUTED_VALUE"""),"Salmonella group O:53-59")</f>
        <v>Salmonella group O:53-59</v>
      </c>
      <c r="B6471" t="str">
        <f ca="1">IFERROR(__xludf.DUMMYFUNCTION("""COMPUTED_VALUE"""),"RF-00001797-MCG")</f>
        <v>RF-00001797-MCG</v>
      </c>
    </row>
    <row r="6472" spans="1:2" ht="12.5" x14ac:dyDescent="0.25">
      <c r="A6472" t="str">
        <f ca="1">IFERROR(__xludf.DUMMYFUNCTION("""COMPUTED_VALUE"""),"Salmonella group O:7")</f>
        <v>Salmonella group O:7</v>
      </c>
      <c r="B6472" t="str">
        <f ca="1">IFERROR(__xludf.DUMMYFUNCTION("""COMPUTED_VALUE"""),"RF-00001796-MCG")</f>
        <v>RF-00001796-MCG</v>
      </c>
    </row>
    <row r="6473" spans="1:2" ht="12.5" x14ac:dyDescent="0.25">
      <c r="A6473" t="str">
        <f ca="1">IFERROR(__xludf.DUMMYFUNCTION("""COMPUTED_VALUE"""),"Salmonella group O:8")</f>
        <v>Salmonella group O:8</v>
      </c>
      <c r="B6473" t="str">
        <f ca="1">IFERROR(__xludf.DUMMYFUNCTION("""COMPUTED_VALUE"""),"RF-00001836-MCG")</f>
        <v>RF-00001836-MCG</v>
      </c>
    </row>
    <row r="6474" spans="1:2" ht="12.5" x14ac:dyDescent="0.25">
      <c r="A6474" t="str">
        <f ca="1">IFERROR(__xludf.DUMMYFUNCTION("""COMPUTED_VALUE"""),"Salmonella Grumpensis")</f>
        <v>Salmonella Grumpensis</v>
      </c>
      <c r="B6474" t="str">
        <f ca="1">IFERROR(__xludf.DUMMYFUNCTION("""COMPUTED_VALUE"""),"RF-00001807-MCG")</f>
        <v>RF-00001807-MCG</v>
      </c>
    </row>
    <row r="6475" spans="1:2" ht="12.5" x14ac:dyDescent="0.25">
      <c r="A6475" t="str">
        <f ca="1">IFERROR(__xludf.DUMMYFUNCTION("""COMPUTED_VALUE"""),"Salmonella Guarapiranga")</f>
        <v>Salmonella Guarapiranga</v>
      </c>
      <c r="B6475" t="str">
        <f ca="1">IFERROR(__xludf.DUMMYFUNCTION("""COMPUTED_VALUE"""),"RF-00001809-MCG")</f>
        <v>RF-00001809-MCG</v>
      </c>
    </row>
    <row r="6476" spans="1:2" ht="12.5" x14ac:dyDescent="0.25">
      <c r="A6476" t="str">
        <f ca="1">IFERROR(__xludf.DUMMYFUNCTION("""COMPUTED_VALUE"""),"Salmonella Guerin")</f>
        <v>Salmonella Guerin</v>
      </c>
      <c r="B6476" t="str">
        <f ca="1">IFERROR(__xludf.DUMMYFUNCTION("""COMPUTED_VALUE"""),"RF-00001850-MCG")</f>
        <v>RF-00001850-MCG</v>
      </c>
    </row>
    <row r="6477" spans="1:2" ht="12.5" x14ac:dyDescent="0.25">
      <c r="A6477" t="str">
        <f ca="1">IFERROR(__xludf.DUMMYFUNCTION("""COMPUTED_VALUE"""),"Salmonella Guildford")</f>
        <v>Salmonella Guildford</v>
      </c>
      <c r="B6477" t="str">
        <f ca="1">IFERROR(__xludf.DUMMYFUNCTION("""COMPUTED_VALUE"""),"RF-00001849-MCG")</f>
        <v>RF-00001849-MCG</v>
      </c>
    </row>
    <row r="6478" spans="1:2" ht="12.5" x14ac:dyDescent="0.25">
      <c r="A6478" t="str">
        <f ca="1">IFERROR(__xludf.DUMMYFUNCTION("""COMPUTED_VALUE"""),"Salmonella Guinea")</f>
        <v>Salmonella Guinea</v>
      </c>
      <c r="B6478" t="str">
        <f ca="1">IFERROR(__xludf.DUMMYFUNCTION("""COMPUTED_VALUE"""),"RF-00001848-MCG")</f>
        <v>RF-00001848-MCG</v>
      </c>
    </row>
    <row r="6479" spans="1:2" ht="12.5" x14ac:dyDescent="0.25">
      <c r="A6479" t="str">
        <f ca="1">IFERROR(__xludf.DUMMYFUNCTION("""COMPUTED_VALUE"""),"Salmonella Gustavia")</f>
        <v>Salmonella Gustavia</v>
      </c>
      <c r="B6479" t="str">
        <f ca="1">IFERROR(__xludf.DUMMYFUNCTION("""COMPUTED_VALUE"""),"RF-00001847-MCG")</f>
        <v>RF-00001847-MCG</v>
      </c>
    </row>
    <row r="6480" spans="1:2" ht="12.5" x14ac:dyDescent="0.25">
      <c r="A6480" t="str">
        <f ca="1">IFERROR(__xludf.DUMMYFUNCTION("""COMPUTED_VALUE"""),"Salmonella Gwale")</f>
        <v>Salmonella Gwale</v>
      </c>
      <c r="B6480" t="str">
        <f ca="1">IFERROR(__xludf.DUMMYFUNCTION("""COMPUTED_VALUE"""),"RF-00001846-MCG")</f>
        <v>RF-00001846-MCG</v>
      </c>
    </row>
    <row r="6481" spans="1:2" ht="12.5" x14ac:dyDescent="0.25">
      <c r="A6481" t="str">
        <f ca="1">IFERROR(__xludf.DUMMYFUNCTION("""COMPUTED_VALUE"""),"Salmonella Gwoza")</f>
        <v>Salmonella Gwoza</v>
      </c>
      <c r="B6481" t="str">
        <f ca="1">IFERROR(__xludf.DUMMYFUNCTION("""COMPUTED_VALUE"""),"RF-00001845-MCG")</f>
        <v>RF-00001845-MCG</v>
      </c>
    </row>
    <row r="6482" spans="1:2" ht="12.5" x14ac:dyDescent="0.25">
      <c r="A6482" t="str">
        <f ca="1">IFERROR(__xludf.DUMMYFUNCTION("""COMPUTED_VALUE"""),"Salmonella Haardt")</f>
        <v>Salmonella Haardt</v>
      </c>
      <c r="B6482" t="str">
        <f ca="1">IFERROR(__xludf.DUMMYFUNCTION("""COMPUTED_VALUE"""),"RF-00001844-MCG")</f>
        <v>RF-00001844-MCG</v>
      </c>
    </row>
    <row r="6483" spans="1:2" ht="12.5" x14ac:dyDescent="0.25">
      <c r="A6483" t="str">
        <f ca="1">IFERROR(__xludf.DUMMYFUNCTION("""COMPUTED_VALUE"""),"Salmonella Hadar")</f>
        <v>Salmonella Hadar</v>
      </c>
      <c r="B6483" t="str">
        <f ca="1">IFERROR(__xludf.DUMMYFUNCTION("""COMPUTED_VALUE"""),"RF-00001843-MCG")</f>
        <v>RF-00001843-MCG</v>
      </c>
    </row>
    <row r="6484" spans="1:2" ht="12.5" x14ac:dyDescent="0.25">
      <c r="A6484" t="str">
        <f ca="1">IFERROR(__xludf.DUMMYFUNCTION("""COMPUTED_VALUE"""),"Salmonella Hadejia")</f>
        <v>Salmonella Hadejia</v>
      </c>
      <c r="B6484" t="str">
        <f ca="1">IFERROR(__xludf.DUMMYFUNCTION("""COMPUTED_VALUE"""),"RF-00001842-MCG")</f>
        <v>RF-00001842-MCG</v>
      </c>
    </row>
    <row r="6485" spans="1:2" ht="12.5" x14ac:dyDescent="0.25">
      <c r="A6485" t="str">
        <f ca="1">IFERROR(__xludf.DUMMYFUNCTION("""COMPUTED_VALUE"""),"Salmonella Haelsingborg")</f>
        <v>Salmonella Haelsingborg</v>
      </c>
      <c r="B6485" t="str">
        <f ca="1">IFERROR(__xludf.DUMMYFUNCTION("""COMPUTED_VALUE"""),"RF-00001841-MCG")</f>
        <v>RF-00001841-MCG</v>
      </c>
    </row>
    <row r="6486" spans="1:2" ht="12.5" x14ac:dyDescent="0.25">
      <c r="A6486" t="str">
        <f ca="1">IFERROR(__xludf.DUMMYFUNCTION("""COMPUTED_VALUE"""),"Salmonella Haferbreite")</f>
        <v>Salmonella Haferbreite</v>
      </c>
      <c r="B6486" t="str">
        <f ca="1">IFERROR(__xludf.DUMMYFUNCTION("""COMPUTED_VALUE"""),"RF-00001840-MCG")</f>
        <v>RF-00001840-MCG</v>
      </c>
    </row>
    <row r="6487" spans="1:2" ht="12.5" x14ac:dyDescent="0.25">
      <c r="A6487" t="str">
        <f ca="1">IFERROR(__xludf.DUMMYFUNCTION("""COMPUTED_VALUE"""),"Salmonella Haga")</f>
        <v>Salmonella Haga</v>
      </c>
      <c r="B6487" t="str">
        <f ca="1">IFERROR(__xludf.DUMMYFUNCTION("""COMPUTED_VALUE"""),"RF-00001839-MCG")</f>
        <v>RF-00001839-MCG</v>
      </c>
    </row>
    <row r="6488" spans="1:2" ht="12.5" x14ac:dyDescent="0.25">
      <c r="A6488" t="str">
        <f ca="1">IFERROR(__xludf.DUMMYFUNCTION("""COMPUTED_VALUE"""),"Salmonella Haifa")</f>
        <v>Salmonella Haifa</v>
      </c>
      <c r="B6488" t="str">
        <f ca="1">IFERROR(__xludf.DUMMYFUNCTION("""COMPUTED_VALUE"""),"RF-00001823-MCG")</f>
        <v>RF-00001823-MCG</v>
      </c>
    </row>
    <row r="6489" spans="1:2" ht="12.5" x14ac:dyDescent="0.25">
      <c r="A6489" t="str">
        <f ca="1">IFERROR(__xludf.DUMMYFUNCTION("""COMPUTED_VALUE"""),"Salmonella Halle")</f>
        <v>Salmonella Halle</v>
      </c>
      <c r="B6489" t="str">
        <f ca="1">IFERROR(__xludf.DUMMYFUNCTION("""COMPUTED_VALUE"""),"RF-00001837-MCG")</f>
        <v>RF-00001837-MCG</v>
      </c>
    </row>
    <row r="6490" spans="1:2" ht="12.5" x14ac:dyDescent="0.25">
      <c r="A6490" t="str">
        <f ca="1">IFERROR(__xludf.DUMMYFUNCTION("""COMPUTED_VALUE"""),"Salmonella Hallfold")</f>
        <v>Salmonella Hallfold</v>
      </c>
      <c r="B6490" t="str">
        <f ca="1">IFERROR(__xludf.DUMMYFUNCTION("""COMPUTED_VALUE"""),"RF-00001851-MCG")</f>
        <v>RF-00001851-MCG</v>
      </c>
    </row>
    <row r="6491" spans="1:2" ht="12.5" x14ac:dyDescent="0.25">
      <c r="A6491" t="str">
        <f ca="1">IFERROR(__xludf.DUMMYFUNCTION("""COMPUTED_VALUE"""),"Salmonella Handen")</f>
        <v>Salmonella Handen</v>
      </c>
      <c r="B6491" t="str">
        <f ca="1">IFERROR(__xludf.DUMMYFUNCTION("""COMPUTED_VALUE"""),"RF-00001941-MCG")</f>
        <v>RF-00001941-MCG</v>
      </c>
    </row>
    <row r="6492" spans="1:2" ht="12.5" x14ac:dyDescent="0.25">
      <c r="A6492" t="str">
        <f ca="1">IFERROR(__xludf.DUMMYFUNCTION("""COMPUTED_VALUE"""),"Salmonella Hann")</f>
        <v>Salmonella Hann</v>
      </c>
      <c r="B6492" t="str">
        <f ca="1">IFERROR(__xludf.DUMMYFUNCTION("""COMPUTED_VALUE"""),"RF-00001942-MCG")</f>
        <v>RF-00001942-MCG</v>
      </c>
    </row>
    <row r="6493" spans="1:2" ht="12.5" x14ac:dyDescent="0.25">
      <c r="A6493" t="str">
        <f ca="1">IFERROR(__xludf.DUMMYFUNCTION("""COMPUTED_VALUE"""),"Salmonella Hannover")</f>
        <v>Salmonella Hannover</v>
      </c>
      <c r="B6493" t="str">
        <f ca="1">IFERROR(__xludf.DUMMYFUNCTION("""COMPUTED_VALUE"""),"RF-00001943-MCG")</f>
        <v>RF-00001943-MCG</v>
      </c>
    </row>
    <row r="6494" spans="1:2" ht="12.5" x14ac:dyDescent="0.25">
      <c r="A6494" t="str">
        <f ca="1">IFERROR(__xludf.DUMMYFUNCTION("""COMPUTED_VALUE"""),"Salmonella Haouaria")</f>
        <v>Salmonella Haouaria</v>
      </c>
      <c r="B6494" t="str">
        <f ca="1">IFERROR(__xludf.DUMMYFUNCTION("""COMPUTED_VALUE"""),"RF-00001944-MCG")</f>
        <v>RF-00001944-MCG</v>
      </c>
    </row>
    <row r="6495" spans="1:2" ht="12.5" x14ac:dyDescent="0.25">
      <c r="A6495" t="str">
        <f ca="1">IFERROR(__xludf.DUMMYFUNCTION("""COMPUTED_VALUE"""),"Salmonella Harburg")</f>
        <v>Salmonella Harburg</v>
      </c>
      <c r="B6495" t="str">
        <f ca="1">IFERROR(__xludf.DUMMYFUNCTION("""COMPUTED_VALUE"""),"RF-00001945-MCG")</f>
        <v>RF-00001945-MCG</v>
      </c>
    </row>
    <row r="6496" spans="1:2" ht="12.5" x14ac:dyDescent="0.25">
      <c r="A6496" t="str">
        <f ca="1">IFERROR(__xludf.DUMMYFUNCTION("""COMPUTED_VALUE"""),"Salmonella Harcourt")</f>
        <v>Salmonella Harcourt</v>
      </c>
      <c r="B6496" t="str">
        <f ca="1">IFERROR(__xludf.DUMMYFUNCTION("""COMPUTED_VALUE"""),"RF-00001946-MCG")</f>
        <v>RF-00001946-MCG</v>
      </c>
    </row>
    <row r="6497" spans="1:2" ht="12.5" x14ac:dyDescent="0.25">
      <c r="A6497" t="str">
        <f ca="1">IFERROR(__xludf.DUMMYFUNCTION("""COMPUTED_VALUE"""),"Salmonella Harleystreet")</f>
        <v>Salmonella Harleystreet</v>
      </c>
      <c r="B6497" t="str">
        <f ca="1">IFERROR(__xludf.DUMMYFUNCTION("""COMPUTED_VALUE"""),"RF-00001947-MCG")</f>
        <v>RF-00001947-MCG</v>
      </c>
    </row>
    <row r="6498" spans="1:2" ht="12.5" x14ac:dyDescent="0.25">
      <c r="A6498" t="str">
        <f ca="1">IFERROR(__xludf.DUMMYFUNCTION("""COMPUTED_VALUE"""),"Salmonella Harrisonburg")</f>
        <v>Salmonella Harrisonburg</v>
      </c>
      <c r="B6498" t="str">
        <f ca="1">IFERROR(__xludf.DUMMYFUNCTION("""COMPUTED_VALUE"""),"RF-00001948-MCG")</f>
        <v>RF-00001948-MCG</v>
      </c>
    </row>
    <row r="6499" spans="1:2" ht="12.5" x14ac:dyDescent="0.25">
      <c r="A6499" t="str">
        <f ca="1">IFERROR(__xludf.DUMMYFUNCTION("""COMPUTED_VALUE"""),"Salmonella Hartford")</f>
        <v>Salmonella Hartford</v>
      </c>
      <c r="B6499" t="str">
        <f ca="1">IFERROR(__xludf.DUMMYFUNCTION("""COMPUTED_VALUE"""),"RF-00001949-MCG")</f>
        <v>RF-00001949-MCG</v>
      </c>
    </row>
    <row r="6500" spans="1:2" ht="12.5" x14ac:dyDescent="0.25">
      <c r="A6500" t="str">
        <f ca="1">IFERROR(__xludf.DUMMYFUNCTION("""COMPUTED_VALUE"""),"Salmonella Harvestehude")</f>
        <v>Salmonella Harvestehude</v>
      </c>
      <c r="B6500" t="str">
        <f ca="1">IFERROR(__xludf.DUMMYFUNCTION("""COMPUTED_VALUE"""),"RF-00001950-MCG")</f>
        <v>RF-00001950-MCG</v>
      </c>
    </row>
    <row r="6501" spans="1:2" ht="12.5" x14ac:dyDescent="0.25">
      <c r="A6501" t="str">
        <f ca="1">IFERROR(__xludf.DUMMYFUNCTION("""COMPUTED_VALUE"""),"Salmonella Hatfield")</f>
        <v>Salmonella Hatfield</v>
      </c>
      <c r="B6501" t="str">
        <f ca="1">IFERROR(__xludf.DUMMYFUNCTION("""COMPUTED_VALUE"""),"RF-00001951-MCG")</f>
        <v>RF-00001951-MCG</v>
      </c>
    </row>
    <row r="6502" spans="1:2" ht="12.5" x14ac:dyDescent="0.25">
      <c r="A6502" t="str">
        <f ca="1">IFERROR(__xludf.DUMMYFUNCTION("""COMPUTED_VALUE"""),"Salmonella Hato")</f>
        <v>Salmonella Hato</v>
      </c>
      <c r="B6502" t="str">
        <f ca="1">IFERROR(__xludf.DUMMYFUNCTION("""COMPUTED_VALUE"""),"RF-00001952-MCG")</f>
        <v>RF-00001952-MCG</v>
      </c>
    </row>
    <row r="6503" spans="1:2" ht="12.5" x14ac:dyDescent="0.25">
      <c r="A6503" t="str">
        <f ca="1">IFERROR(__xludf.DUMMYFUNCTION("""COMPUTED_VALUE"""),"Salmonella Havana")</f>
        <v>Salmonella Havana</v>
      </c>
      <c r="B6503" t="str">
        <f ca="1">IFERROR(__xludf.DUMMYFUNCTION("""COMPUTED_VALUE"""),"RF-00001968-MCG")</f>
        <v>RF-00001968-MCG</v>
      </c>
    </row>
    <row r="6504" spans="1:2" ht="12.5" x14ac:dyDescent="0.25">
      <c r="A6504" t="str">
        <f ca="1">IFERROR(__xludf.DUMMYFUNCTION("""COMPUTED_VALUE"""),"Salmonella Hayindogo")</f>
        <v>Salmonella Hayindogo</v>
      </c>
      <c r="B6504" t="str">
        <f ca="1">IFERROR(__xludf.DUMMYFUNCTION("""COMPUTED_VALUE"""),"RF-00001954-MCG")</f>
        <v>RF-00001954-MCG</v>
      </c>
    </row>
    <row r="6505" spans="1:2" ht="12.5" x14ac:dyDescent="0.25">
      <c r="A6505" t="str">
        <f ca="1">IFERROR(__xludf.DUMMYFUNCTION("""COMPUTED_VALUE"""),"Salmonella Heerlen")</f>
        <v>Salmonella Heerlen</v>
      </c>
      <c r="B6505" t="str">
        <f ca="1">IFERROR(__xludf.DUMMYFUNCTION("""COMPUTED_VALUE"""),"RF-00001940-MCG")</f>
        <v>RF-00001940-MCG</v>
      </c>
    </row>
    <row r="6506" spans="1:2" ht="12.5" x14ac:dyDescent="0.25">
      <c r="A6506" t="str">
        <f ca="1">IFERROR(__xludf.DUMMYFUNCTION("""COMPUTED_VALUE"""),"Salmonella Hegau")</f>
        <v>Salmonella Hegau</v>
      </c>
      <c r="B6506" t="str">
        <f ca="1">IFERROR(__xludf.DUMMYFUNCTION("""COMPUTED_VALUE"""),"RF-00001956-MCG")</f>
        <v>RF-00001956-MCG</v>
      </c>
    </row>
    <row r="6507" spans="1:2" ht="12.5" x14ac:dyDescent="0.25">
      <c r="A6507" t="str">
        <f ca="1">IFERROR(__xludf.DUMMYFUNCTION("""COMPUTED_VALUE"""),"Salmonella Heidelberg")</f>
        <v>Salmonella Heidelberg</v>
      </c>
      <c r="B6507" t="str">
        <f ca="1">IFERROR(__xludf.DUMMYFUNCTION("""COMPUTED_VALUE"""),"RF-00001957-MCG")</f>
        <v>RF-00001957-MCG</v>
      </c>
    </row>
    <row r="6508" spans="1:2" ht="12.5" x14ac:dyDescent="0.25">
      <c r="A6508" t="str">
        <f ca="1">IFERROR(__xludf.DUMMYFUNCTION("""COMPUTED_VALUE"""),"Salmonella Hemingford")</f>
        <v>Salmonella Hemingford</v>
      </c>
      <c r="B6508" t="str">
        <f ca="1">IFERROR(__xludf.DUMMYFUNCTION("""COMPUTED_VALUE"""),"RF-00001958-MCG")</f>
        <v>RF-00001958-MCG</v>
      </c>
    </row>
    <row r="6509" spans="1:2" ht="12.5" x14ac:dyDescent="0.25">
      <c r="A6509" t="str">
        <f ca="1">IFERROR(__xludf.DUMMYFUNCTION("""COMPUTED_VALUE"""),"Salmonella Hennekamp")</f>
        <v>Salmonella Hennekamp</v>
      </c>
      <c r="B6509" t="str">
        <f ca="1">IFERROR(__xludf.DUMMYFUNCTION("""COMPUTED_VALUE"""),"RF-00001959-MCG")</f>
        <v>RF-00001959-MCG</v>
      </c>
    </row>
    <row r="6510" spans="1:2" ht="12.5" x14ac:dyDescent="0.25">
      <c r="A6510" t="str">
        <f ca="1">IFERROR(__xludf.DUMMYFUNCTION("""COMPUTED_VALUE"""),"Salmonella Hermannswerder")</f>
        <v>Salmonella Hermannswerder</v>
      </c>
      <c r="B6510" t="str">
        <f ca="1">IFERROR(__xludf.DUMMYFUNCTION("""COMPUTED_VALUE"""),"RF-00001960-MCG")</f>
        <v>RF-00001960-MCG</v>
      </c>
    </row>
    <row r="6511" spans="1:2" ht="12.5" x14ac:dyDescent="0.25">
      <c r="A6511" t="str">
        <f ca="1">IFERROR(__xludf.DUMMYFUNCTION("""COMPUTED_VALUE"""),"Salmonella Heron")</f>
        <v>Salmonella Heron</v>
      </c>
      <c r="B6511" t="str">
        <f ca="1">IFERROR(__xludf.DUMMYFUNCTION("""COMPUTED_VALUE"""),"RF-00001961-MCG")</f>
        <v>RF-00001961-MCG</v>
      </c>
    </row>
    <row r="6512" spans="1:2" ht="12.5" x14ac:dyDescent="0.25">
      <c r="A6512" t="str">
        <f ca="1">IFERROR(__xludf.DUMMYFUNCTION("""COMPUTED_VALUE"""),"Salmonella Herston")</f>
        <v>Salmonella Herston</v>
      </c>
      <c r="B6512" t="str">
        <f ca="1">IFERROR(__xludf.DUMMYFUNCTION("""COMPUTED_VALUE"""),"RF-00001962-MCG")</f>
        <v>RF-00001962-MCG</v>
      </c>
    </row>
    <row r="6513" spans="1:2" ht="12.5" x14ac:dyDescent="0.25">
      <c r="A6513" t="str">
        <f ca="1">IFERROR(__xludf.DUMMYFUNCTION("""COMPUTED_VALUE"""),"Salmonella Herzliya")</f>
        <v>Salmonella Herzliya</v>
      </c>
      <c r="B6513" t="str">
        <f ca="1">IFERROR(__xludf.DUMMYFUNCTION("""COMPUTED_VALUE"""),"RF-00001963-MCG")</f>
        <v>RF-00001963-MCG</v>
      </c>
    </row>
    <row r="6514" spans="1:2" ht="12.5" x14ac:dyDescent="0.25">
      <c r="A6514" t="str">
        <f ca="1">IFERROR(__xludf.DUMMYFUNCTION("""COMPUTED_VALUE"""),"Salmonella Hessarek")</f>
        <v>Salmonella Hessarek</v>
      </c>
      <c r="B6514" t="str">
        <f ca="1">IFERROR(__xludf.DUMMYFUNCTION("""COMPUTED_VALUE"""),"RF-00001964-MCG")</f>
        <v>RF-00001964-MCG</v>
      </c>
    </row>
    <row r="6515" spans="1:2" ht="12.5" x14ac:dyDescent="0.25">
      <c r="A6515" t="str">
        <f ca="1">IFERROR(__xludf.DUMMYFUNCTION("""COMPUTED_VALUE"""),"Salmonella Hidalgo")</f>
        <v>Salmonella Hidalgo</v>
      </c>
      <c r="B6515" t="str">
        <f ca="1">IFERROR(__xludf.DUMMYFUNCTION("""COMPUTED_VALUE"""),"RF-00001965-MCG")</f>
        <v>RF-00001965-MCG</v>
      </c>
    </row>
    <row r="6516" spans="1:2" ht="12.5" x14ac:dyDescent="0.25">
      <c r="A6516" t="str">
        <f ca="1">IFERROR(__xludf.DUMMYFUNCTION("""COMPUTED_VALUE"""),"Salmonella Hiduddify")</f>
        <v>Salmonella Hiduddify</v>
      </c>
      <c r="B6516" t="str">
        <f ca="1">IFERROR(__xludf.DUMMYFUNCTION("""COMPUTED_VALUE"""),"RF-00001966-MCG")</f>
        <v>RF-00001966-MCG</v>
      </c>
    </row>
    <row r="6517" spans="1:2" ht="12.5" x14ac:dyDescent="0.25">
      <c r="A6517" t="str">
        <f ca="1">IFERROR(__xludf.DUMMYFUNCTION("""COMPUTED_VALUE"""),"Salmonella Hillegersberg")</f>
        <v>Salmonella Hillegersberg</v>
      </c>
      <c r="B6517" t="str">
        <f ca="1">IFERROR(__xludf.DUMMYFUNCTION("""COMPUTED_VALUE"""),"RF-00001967-MCG")</f>
        <v>RF-00001967-MCG</v>
      </c>
    </row>
    <row r="6518" spans="1:2" ht="12.5" x14ac:dyDescent="0.25">
      <c r="A6518" t="str">
        <f ca="1">IFERROR(__xludf.DUMMYFUNCTION("""COMPUTED_VALUE"""),"Salmonella Hillingdon")</f>
        <v>Salmonella Hillingdon</v>
      </c>
      <c r="B6518" t="str">
        <f ca="1">IFERROR(__xludf.DUMMYFUNCTION("""COMPUTED_VALUE"""),"RF-00001926-MCG")</f>
        <v>RF-00001926-MCG</v>
      </c>
    </row>
    <row r="6519" spans="1:2" ht="12.5" x14ac:dyDescent="0.25">
      <c r="A6519" t="str">
        <f ca="1">IFERROR(__xludf.DUMMYFUNCTION("""COMPUTED_VALUE"""),"Salmonella Hillsborough")</f>
        <v>Salmonella Hillsborough</v>
      </c>
      <c r="B6519" t="str">
        <f ca="1">IFERROR(__xludf.DUMMYFUNCTION("""COMPUTED_VALUE"""),"RF-00001924-MCG")</f>
        <v>RF-00001924-MCG</v>
      </c>
    </row>
    <row r="6520" spans="1:2" ht="12.5" x14ac:dyDescent="0.25">
      <c r="A6520" t="str">
        <f ca="1">IFERROR(__xludf.DUMMYFUNCTION("""COMPUTED_VALUE"""),"Salmonella Hilversum")</f>
        <v>Salmonella Hilversum</v>
      </c>
      <c r="B6520" t="str">
        <f ca="1">IFERROR(__xludf.DUMMYFUNCTION("""COMPUTED_VALUE"""),"RF-00001953-MCG")</f>
        <v>RF-00001953-MCG</v>
      </c>
    </row>
    <row r="6521" spans="1:2" ht="12.5" x14ac:dyDescent="0.25">
      <c r="A6521" t="str">
        <f ca="1">IFERROR(__xludf.DUMMYFUNCTION("""COMPUTED_VALUE"""),"Salmonella Hindmarsh")</f>
        <v>Salmonella Hindmarsh</v>
      </c>
      <c r="B6521" t="str">
        <f ca="1">IFERROR(__xludf.DUMMYFUNCTION("""COMPUTED_VALUE"""),"RF-00001913-MCG")</f>
        <v>RF-00001913-MCG</v>
      </c>
    </row>
    <row r="6522" spans="1:2" ht="12.5" x14ac:dyDescent="0.25">
      <c r="A6522" t="str">
        <f ca="1">IFERROR(__xludf.DUMMYFUNCTION("""COMPUTED_VALUE"""),"Salmonella Hisingen")</f>
        <v>Salmonella Hisingen</v>
      </c>
      <c r="B6522" t="str">
        <f ca="1">IFERROR(__xludf.DUMMYFUNCTION("""COMPUTED_VALUE"""),"RF-00001914-MCG")</f>
        <v>RF-00001914-MCG</v>
      </c>
    </row>
    <row r="6523" spans="1:2" ht="12.5" x14ac:dyDescent="0.25">
      <c r="A6523" t="str">
        <f ca="1">IFERROR(__xludf.DUMMYFUNCTION("""COMPUTED_VALUE"""),"Salmonella Hissar")</f>
        <v>Salmonella Hissar</v>
      </c>
      <c r="B6523" t="str">
        <f ca="1">IFERROR(__xludf.DUMMYFUNCTION("""COMPUTED_VALUE"""),"RF-00001915-MCG")</f>
        <v>RF-00001915-MCG</v>
      </c>
    </row>
    <row r="6524" spans="1:2" ht="12.5" x14ac:dyDescent="0.25">
      <c r="A6524" t="str">
        <f ca="1">IFERROR(__xludf.DUMMYFUNCTION("""COMPUTED_VALUE"""),"Salmonella Hithergreen")</f>
        <v>Salmonella Hithergreen</v>
      </c>
      <c r="B6524" t="str">
        <f ca="1">IFERROR(__xludf.DUMMYFUNCTION("""COMPUTED_VALUE"""),"RF-00001916-MCG")</f>
        <v>RF-00001916-MCG</v>
      </c>
    </row>
    <row r="6525" spans="1:2" ht="12.5" x14ac:dyDescent="0.25">
      <c r="A6525" t="str">
        <f ca="1">IFERROR(__xludf.DUMMYFUNCTION("""COMPUTED_VALUE"""),"Salmonella Hoboken")</f>
        <v>Salmonella Hoboken</v>
      </c>
      <c r="B6525" t="str">
        <f ca="1">IFERROR(__xludf.DUMMYFUNCTION("""COMPUTED_VALUE"""),"RF-00001917-MCG")</f>
        <v>RF-00001917-MCG</v>
      </c>
    </row>
    <row r="6526" spans="1:2" ht="12.5" x14ac:dyDescent="0.25">
      <c r="A6526" t="str">
        <f ca="1">IFERROR(__xludf.DUMMYFUNCTION("""COMPUTED_VALUE"""),"Salmonella Hofit")</f>
        <v>Salmonella Hofit</v>
      </c>
      <c r="B6526" t="str">
        <f ca="1">IFERROR(__xludf.DUMMYFUNCTION("""COMPUTED_VALUE"""),"RF-00001918-MCG")</f>
        <v>RF-00001918-MCG</v>
      </c>
    </row>
    <row r="6527" spans="1:2" ht="12.5" x14ac:dyDescent="0.25">
      <c r="A6527" t="str">
        <f ca="1">IFERROR(__xludf.DUMMYFUNCTION("""COMPUTED_VALUE"""),"Salmonella Hoghton")</f>
        <v>Salmonella Hoghton</v>
      </c>
      <c r="B6527" t="str">
        <f ca="1">IFERROR(__xludf.DUMMYFUNCTION("""COMPUTED_VALUE"""),"RF-00001919-MCG")</f>
        <v>RF-00001919-MCG</v>
      </c>
    </row>
    <row r="6528" spans="1:2" ht="12.5" x14ac:dyDescent="0.25">
      <c r="A6528" t="str">
        <f ca="1">IFERROR(__xludf.DUMMYFUNCTION("""COMPUTED_VALUE"""),"Salmonella Holcomb")</f>
        <v>Salmonella Holcomb</v>
      </c>
      <c r="B6528" t="str">
        <f ca="1">IFERROR(__xludf.DUMMYFUNCTION("""COMPUTED_VALUE"""),"RF-00001920-MCG")</f>
        <v>RF-00001920-MCG</v>
      </c>
    </row>
    <row r="6529" spans="1:2" ht="12.5" x14ac:dyDescent="0.25">
      <c r="A6529" t="str">
        <f ca="1">IFERROR(__xludf.DUMMYFUNCTION("""COMPUTED_VALUE"""),"Salmonella Homosassa")</f>
        <v>Salmonella Homosassa</v>
      </c>
      <c r="B6529" t="str">
        <f ca="1">IFERROR(__xludf.DUMMYFUNCTION("""COMPUTED_VALUE"""),"RF-00001921-MCG")</f>
        <v>RF-00001921-MCG</v>
      </c>
    </row>
    <row r="6530" spans="1:2" ht="12.5" x14ac:dyDescent="0.25">
      <c r="A6530" t="str">
        <f ca="1">IFERROR(__xludf.DUMMYFUNCTION("""COMPUTED_VALUE"""),"Salmonella Honelis")</f>
        <v>Salmonella Honelis</v>
      </c>
      <c r="B6530" t="str">
        <f ca="1">IFERROR(__xludf.DUMMYFUNCTION("""COMPUTED_VALUE"""),"RF-00001922-MCG")</f>
        <v>RF-00001922-MCG</v>
      </c>
    </row>
    <row r="6531" spans="1:2" ht="12.5" x14ac:dyDescent="0.25">
      <c r="A6531" t="str">
        <f ca="1">IFERROR(__xludf.DUMMYFUNCTION("""COMPUTED_VALUE"""),"Salmonella Hongkong")</f>
        <v>Salmonella Hongkong</v>
      </c>
      <c r="B6531" t="str">
        <f ca="1">IFERROR(__xludf.DUMMYFUNCTION("""COMPUTED_VALUE"""),"RF-00001923-MCG")</f>
        <v>RF-00001923-MCG</v>
      </c>
    </row>
    <row r="6532" spans="1:2" ht="12.5" x14ac:dyDescent="0.25">
      <c r="A6532" t="str">
        <f ca="1">IFERROR(__xludf.DUMMYFUNCTION("""COMPUTED_VALUE"""),"Salmonella Horsham")</f>
        <v>Salmonella Horsham</v>
      </c>
      <c r="B6532" t="str">
        <f ca="1">IFERROR(__xludf.DUMMYFUNCTION("""COMPUTED_VALUE"""),"RF-00001939-MCG")</f>
        <v>RF-00001939-MCG</v>
      </c>
    </row>
    <row r="6533" spans="1:2" ht="12.5" x14ac:dyDescent="0.25">
      <c r="A6533" t="str">
        <f ca="1">IFERROR(__xludf.DUMMYFUNCTION("""COMPUTED_VALUE"""),"Salmonella Huddinge")</f>
        <v>Salmonella Huddinge</v>
      </c>
      <c r="B6533" t="str">
        <f ca="1">IFERROR(__xludf.DUMMYFUNCTION("""COMPUTED_VALUE"""),"RF-00001925-MCG")</f>
        <v>RF-00001925-MCG</v>
      </c>
    </row>
    <row r="6534" spans="1:2" ht="12.5" x14ac:dyDescent="0.25">
      <c r="A6534" t="str">
        <f ca="1">IFERROR(__xludf.DUMMYFUNCTION("""COMPUTED_VALUE"""),"Salmonella Huettwilen")</f>
        <v>Salmonella Huettwilen</v>
      </c>
      <c r="B6534" t="str">
        <f ca="1">IFERROR(__xludf.DUMMYFUNCTION("""COMPUTED_VALUE"""),"RF-00001911-MCG")</f>
        <v>RF-00001911-MCG</v>
      </c>
    </row>
    <row r="6535" spans="1:2" ht="12.5" x14ac:dyDescent="0.25">
      <c r="A6535" t="str">
        <f ca="1">IFERROR(__xludf.DUMMYFUNCTION("""COMPUTED_VALUE"""),"Salmonella Hull")</f>
        <v>Salmonella Hull</v>
      </c>
      <c r="B6535" t="str">
        <f ca="1">IFERROR(__xludf.DUMMYFUNCTION("""COMPUTED_VALUE"""),"RF-00001927-MCG")</f>
        <v>RF-00001927-MCG</v>
      </c>
    </row>
    <row r="6536" spans="1:2" ht="12.5" x14ac:dyDescent="0.25">
      <c r="A6536" t="str">
        <f ca="1">IFERROR(__xludf.DUMMYFUNCTION("""COMPUTED_VALUE"""),"Salmonella Huvudsta")</f>
        <v>Salmonella Huvudsta</v>
      </c>
      <c r="B6536" t="str">
        <f ca="1">IFERROR(__xludf.DUMMYFUNCTION("""COMPUTED_VALUE"""),"RF-00001928-MCG")</f>
        <v>RF-00001928-MCG</v>
      </c>
    </row>
    <row r="6537" spans="1:2" ht="12.5" x14ac:dyDescent="0.25">
      <c r="A6537" t="str">
        <f ca="1">IFERROR(__xludf.DUMMYFUNCTION("""COMPUTED_VALUE"""),"Salmonella Hvittingfoss")</f>
        <v>Salmonella Hvittingfoss</v>
      </c>
      <c r="B6537" t="str">
        <f ca="1">IFERROR(__xludf.DUMMYFUNCTION("""COMPUTED_VALUE"""),"RF-00001929-MCG")</f>
        <v>RF-00001929-MCG</v>
      </c>
    </row>
    <row r="6538" spans="1:2" ht="12.5" x14ac:dyDescent="0.25">
      <c r="A6538" t="str">
        <f ca="1">IFERROR(__xludf.DUMMYFUNCTION("""COMPUTED_VALUE"""),"Salmonella Hydra")</f>
        <v>Salmonella Hydra</v>
      </c>
      <c r="B6538" t="str">
        <f ca="1">IFERROR(__xludf.DUMMYFUNCTION("""COMPUTED_VALUE"""),"RF-00001930-MCG")</f>
        <v>RF-00001930-MCG</v>
      </c>
    </row>
    <row r="6539" spans="1:2" ht="12.5" x14ac:dyDescent="0.25">
      <c r="A6539" t="str">
        <f ca="1">IFERROR(__xludf.DUMMYFUNCTION("""COMPUTED_VALUE"""),"Salmonella I 1,4,5,12:i:2ef nat")</f>
        <v>Salmonella I 1,4,5,12:i:2ef nat</v>
      </c>
      <c r="B6539" t="str">
        <f ca="1">IFERROR(__xludf.DUMMYFUNCTION("""COMPUTED_VALUE"""),"RF-00001931-MCG")</f>
        <v>RF-00001931-MCG</v>
      </c>
    </row>
    <row r="6540" spans="1:2" ht="12.5" x14ac:dyDescent="0.25">
      <c r="A6540" t="str">
        <f ca="1">IFERROR(__xludf.DUMMYFUNCTION("""COMPUTED_VALUE"""),"Salmonella I 4,12,27:b:-")</f>
        <v>Salmonella I 4,12,27:b:-</v>
      </c>
      <c r="B6540" t="str">
        <f ca="1">IFERROR(__xludf.DUMMYFUNCTION("""COMPUTED_VALUE"""),"RF-00001932-MCG")</f>
        <v>RF-00001932-MCG</v>
      </c>
    </row>
    <row r="6541" spans="1:2" ht="12.5" x14ac:dyDescent="0.25">
      <c r="A6541" t="str">
        <f ca="1">IFERROR(__xludf.DUMMYFUNCTION("""COMPUTED_VALUE"""),"Salmonella I, monophasic strain")</f>
        <v>Salmonella I, monophasic strain</v>
      </c>
      <c r="B6541" t="str">
        <f ca="1">IFERROR(__xludf.DUMMYFUNCTION("""COMPUTED_VALUE"""),"RF-00001933-MCG")</f>
        <v>RF-00001933-MCG</v>
      </c>
    </row>
    <row r="6542" spans="1:2" ht="12.5" x14ac:dyDescent="0.25">
      <c r="A6542" t="str">
        <f ca="1">IFERROR(__xludf.DUMMYFUNCTION("""COMPUTED_VALUE"""),"Salmonella Ibadan")</f>
        <v>Salmonella Ibadan</v>
      </c>
      <c r="B6542" t="str">
        <f ca="1">IFERROR(__xludf.DUMMYFUNCTION("""COMPUTED_VALUE"""),"RF-00001935-MCG")</f>
        <v>RF-00001935-MCG</v>
      </c>
    </row>
    <row r="6543" spans="1:2" ht="12.5" x14ac:dyDescent="0.25">
      <c r="A6543" t="str">
        <f ca="1">IFERROR(__xludf.DUMMYFUNCTION("""COMPUTED_VALUE"""),"Salmonella Ibaragi")</f>
        <v>Salmonella Ibaragi</v>
      </c>
      <c r="B6543" t="str">
        <f ca="1">IFERROR(__xludf.DUMMYFUNCTION("""COMPUTED_VALUE"""),"RF-00001936-MCG")</f>
        <v>RF-00001936-MCG</v>
      </c>
    </row>
    <row r="6544" spans="1:2" ht="12.5" x14ac:dyDescent="0.25">
      <c r="A6544" t="str">
        <f ca="1">IFERROR(__xludf.DUMMYFUNCTION("""COMPUTED_VALUE"""),"Salmonella Idikan")</f>
        <v>Salmonella Idikan</v>
      </c>
      <c r="B6544" t="str">
        <f ca="1">IFERROR(__xludf.DUMMYFUNCTION("""COMPUTED_VALUE"""),"RF-00001937-MCG")</f>
        <v>RF-00001937-MCG</v>
      </c>
    </row>
    <row r="6545" spans="1:2" ht="12.5" x14ac:dyDescent="0.25">
      <c r="A6545" t="str">
        <f ca="1">IFERROR(__xludf.DUMMYFUNCTION("""COMPUTED_VALUE"""),"Salmonella II 1,4,12:-:-")</f>
        <v>Salmonella II 1,4,12:-:-</v>
      </c>
      <c r="B6545" t="str">
        <f ca="1">IFERROR(__xludf.DUMMYFUNCTION("""COMPUTED_VALUE"""),"RF-00002020-MCG")</f>
        <v>RF-00002020-MCG</v>
      </c>
    </row>
    <row r="6546" spans="1:2" ht="12.5" x14ac:dyDescent="0.25">
      <c r="A6546" t="str">
        <f ca="1">IFERROR(__xludf.DUMMYFUNCTION("""COMPUTED_VALUE"""),"Salmonella II 1,4,5,12:-:-")</f>
        <v>Salmonella II 1,4,5,12:-:-</v>
      </c>
      <c r="B6546" t="str">
        <f ca="1">IFERROR(__xludf.DUMMYFUNCTION("""COMPUTED_VALUE"""),"RF-00002021-MCG")</f>
        <v>RF-00002021-MCG</v>
      </c>
    </row>
    <row r="6547" spans="1:2" ht="12.5" x14ac:dyDescent="0.25">
      <c r="A6547" t="str">
        <f ca="1">IFERROR(__xludf.DUMMYFUNCTION("""COMPUTED_VALUE"""),"Salmonella II 1,6,14:m,t:1,5")</f>
        <v>Salmonella II 1,6,14:m,t:1,5</v>
      </c>
      <c r="B6547" t="str">
        <f ca="1">IFERROR(__xludf.DUMMYFUNCTION("""COMPUTED_VALUE"""),"RF-00002022-MCG")</f>
        <v>RF-00002022-MCG</v>
      </c>
    </row>
    <row r="6548" spans="1:2" ht="12.5" x14ac:dyDescent="0.25">
      <c r="A6548" t="str">
        <f ca="1">IFERROR(__xludf.DUMMYFUNCTION("""COMPUTED_VALUE"""),"Salmonella II 1,6,14:z10:1,5")</f>
        <v>Salmonella II 1,6,14:z10:1,5</v>
      </c>
      <c r="B6548" t="str">
        <f ca="1">IFERROR(__xludf.DUMMYFUNCTION("""COMPUTED_VALUE"""),"RF-00002023-MCG")</f>
        <v>RF-00002023-MCG</v>
      </c>
    </row>
    <row r="6549" spans="1:2" ht="12.5" x14ac:dyDescent="0.25">
      <c r="A6549" t="str">
        <f ca="1">IFERROR(__xludf.DUMMYFUNCTION("""COMPUTED_VALUE"""),"Salmonella II 1,6,14:z10:z6:z42")</f>
        <v>Salmonella II 1,6,14:z10:z6:z42</v>
      </c>
      <c r="B6549" t="str">
        <f ca="1">IFERROR(__xludf.DUMMYFUNCTION("""COMPUTED_VALUE"""),"RF-00002024-MCG")</f>
        <v>RF-00002024-MCG</v>
      </c>
    </row>
    <row r="6550" spans="1:2" ht="12.5" x14ac:dyDescent="0.25">
      <c r="A6550" t="str">
        <f ca="1">IFERROR(__xludf.DUMMYFUNCTION("""COMPUTED_VALUE"""),"Salmonella II 1,9,12,46,27:c:z39")</f>
        <v>Salmonella II 1,9,12,46,27:c:z39</v>
      </c>
      <c r="B6550" t="str">
        <f ca="1">IFERROR(__xludf.DUMMYFUNCTION("""COMPUTED_VALUE"""),"RF-00002025-MCG")</f>
        <v>RF-00002025-MCG</v>
      </c>
    </row>
    <row r="6551" spans="1:2" ht="12.5" x14ac:dyDescent="0.25">
      <c r="A6551" t="str">
        <f ca="1">IFERROR(__xludf.DUMMYFUNCTION("""COMPUTED_VALUE"""),"Salmonella II 11:a:d:e,n,z15")</f>
        <v>Salmonella II 11:a:d:e,n,z15</v>
      </c>
      <c r="B6551" t="str">
        <f ca="1">IFERROR(__xludf.DUMMYFUNCTION("""COMPUTED_VALUE"""),"RF-00001984-MCG")</f>
        <v>RF-00001984-MCG</v>
      </c>
    </row>
    <row r="6552" spans="1:2" ht="12.5" x14ac:dyDescent="0.25">
      <c r="A6552" t="str">
        <f ca="1">IFERROR(__xludf.DUMMYFUNCTION("""COMPUTED_VALUE"""),"Salmonella II 11:a:z6:z42")</f>
        <v>Salmonella II 11:a:z6:z42</v>
      </c>
      <c r="B6552" t="str">
        <f ca="1">IFERROR(__xludf.DUMMYFUNCTION("""COMPUTED_VALUE"""),"RF-00002013-MCG")</f>
        <v>RF-00002013-MCG</v>
      </c>
    </row>
    <row r="6553" spans="1:2" ht="12.5" x14ac:dyDescent="0.25">
      <c r="A6553" t="str">
        <f ca="1">IFERROR(__xludf.DUMMYFUNCTION("""COMPUTED_VALUE"""),"Salmonella II 11:l,z28:e,n,x")</f>
        <v>Salmonella II 11:l,z28:e,n,x</v>
      </c>
      <c r="B6553" t="str">
        <f ca="1">IFERROR(__xludf.DUMMYFUNCTION("""COMPUTED_VALUE"""),"RF-00002011-MCG")</f>
        <v>RF-00002011-MCG</v>
      </c>
    </row>
    <row r="6554" spans="1:2" ht="12.5" x14ac:dyDescent="0.25">
      <c r="A6554" t="str">
        <f ca="1">IFERROR(__xludf.DUMMYFUNCTION("""COMPUTED_VALUE"""),"Salmonella II 11:m,t:e,n,x")</f>
        <v>Salmonella II 11:m,t:e,n,x</v>
      </c>
      <c r="B6554" t="str">
        <f ca="1">IFERROR(__xludf.DUMMYFUNCTION("""COMPUTED_VALUE"""),"RF-00001970-MCG")</f>
        <v>RF-00001970-MCG</v>
      </c>
    </row>
    <row r="6555" spans="1:2" ht="12.5" x14ac:dyDescent="0.25">
      <c r="A6555" t="str">
        <f ca="1">IFERROR(__xludf.DUMMYFUNCTION("""COMPUTED_VALUE"""),"Salmonella II 11:z:z39")</f>
        <v>Salmonella II 11:z:z39</v>
      </c>
      <c r="B6555" t="str">
        <f ca="1">IFERROR(__xludf.DUMMYFUNCTION("""COMPUTED_VALUE"""),"RF-00001971-MCG")</f>
        <v>RF-00001971-MCG</v>
      </c>
    </row>
    <row r="6556" spans="1:2" ht="12.5" x14ac:dyDescent="0.25">
      <c r="A6556" t="str">
        <f ca="1">IFERROR(__xludf.DUMMYFUNCTION("""COMPUTED_VALUE"""),"Salmonella II 13,22:z:-")</f>
        <v>Salmonella II 13,22:z:-</v>
      </c>
      <c r="B6556" t="str">
        <f ca="1">IFERROR(__xludf.DUMMYFUNCTION("""COMPUTED_VALUE"""),"RF-00001972-MCG")</f>
        <v>RF-00001972-MCG</v>
      </c>
    </row>
    <row r="6557" spans="1:2" ht="12.5" x14ac:dyDescent="0.25">
      <c r="A6557" t="str">
        <f ca="1">IFERROR(__xludf.DUMMYFUNCTION("""COMPUTED_VALUE"""),"Salmonella II 13,22:z29:e,n,x")</f>
        <v>Salmonella II 13,22:z29:e,n,x</v>
      </c>
      <c r="B6557" t="str">
        <f ca="1">IFERROR(__xludf.DUMMYFUNCTION("""COMPUTED_VALUE"""),"RF-00001973-MCG")</f>
        <v>RF-00001973-MCG</v>
      </c>
    </row>
    <row r="6558" spans="1:2" ht="12.5" x14ac:dyDescent="0.25">
      <c r="A6558" t="str">
        <f ca="1">IFERROR(__xludf.DUMMYFUNCTION("""COMPUTED_VALUE"""),"Salmonella II 16: g,t:z42")</f>
        <v>Salmonella II 16: g,t:z42</v>
      </c>
      <c r="B6558" t="str">
        <f ca="1">IFERROR(__xludf.DUMMYFUNCTION("""COMPUTED_VALUE"""),"RF-00001974-MCG")</f>
        <v>RF-00001974-MCG</v>
      </c>
    </row>
    <row r="6559" spans="1:2" ht="12.5" x14ac:dyDescent="0.25">
      <c r="A6559" t="str">
        <f ca="1">IFERROR(__xludf.DUMMYFUNCTION("""COMPUTED_VALUE"""),"Salmonella II 16:g,[m],[s],t:[e,n,x]")</f>
        <v>Salmonella II 16:g,[m],[s],t:[e,n,x]</v>
      </c>
      <c r="B6559" t="str">
        <f ca="1">IFERROR(__xludf.DUMMYFUNCTION("""COMPUTED_VALUE"""),"RF-00001975-MCG")</f>
        <v>RF-00001975-MCG</v>
      </c>
    </row>
    <row r="6560" spans="1:2" ht="12.5" x14ac:dyDescent="0.25">
      <c r="A6560" t="str">
        <f ca="1">IFERROR(__xludf.DUMMYFUNCTION("""COMPUTED_VALUE"""),"Salmonella II 16:l,w:z6")</f>
        <v>Salmonella II 16:l,w:z6</v>
      </c>
      <c r="B6560" t="str">
        <f ca="1">IFERROR(__xludf.DUMMYFUNCTION("""COMPUTED_VALUE"""),"RF-00001976-MCG")</f>
        <v>RF-00001976-MCG</v>
      </c>
    </row>
    <row r="6561" spans="1:2" ht="12.5" x14ac:dyDescent="0.25">
      <c r="A6561" t="str">
        <f ca="1">IFERROR(__xludf.DUMMYFUNCTION("""COMPUTED_VALUE"""),"Salmonella II 16:l,z28:z42")</f>
        <v>Salmonella II 16:l,z28:z42</v>
      </c>
      <c r="B6561" t="str">
        <f ca="1">IFERROR(__xludf.DUMMYFUNCTION("""COMPUTED_VALUE"""),"RF-00001977-MCG")</f>
        <v>RF-00001977-MCG</v>
      </c>
    </row>
    <row r="6562" spans="1:2" ht="12.5" x14ac:dyDescent="0.25">
      <c r="A6562" t="str">
        <f ca="1">IFERROR(__xludf.DUMMYFUNCTION("""COMPUTED_VALUE"""),"Salmonella II 16:z:e,n,x")</f>
        <v>Salmonella II 16:z:e,n,x</v>
      </c>
      <c r="B6562" t="str">
        <f ca="1">IFERROR(__xludf.DUMMYFUNCTION("""COMPUTED_VALUE"""),"RF-00001978-MCG")</f>
        <v>RF-00001978-MCG</v>
      </c>
    </row>
    <row r="6563" spans="1:2" ht="12.5" x14ac:dyDescent="0.25">
      <c r="A6563" t="str">
        <f ca="1">IFERROR(__xludf.DUMMYFUNCTION("""COMPUTED_VALUE"""),"Salmonella II 16:z29:e,n,x")</f>
        <v>Salmonella II 16:z29:e,n,x</v>
      </c>
      <c r="B6563" t="str">
        <f ca="1">IFERROR(__xludf.DUMMYFUNCTION("""COMPUTED_VALUE"""),"RF-00001979-MCG")</f>
        <v>RF-00001979-MCG</v>
      </c>
    </row>
    <row r="6564" spans="1:2" ht="12.5" x14ac:dyDescent="0.25">
      <c r="A6564" t="str">
        <f ca="1">IFERROR(__xludf.DUMMYFUNCTION("""COMPUTED_VALUE"""),"Salmonella II 16:z4,z23:-")</f>
        <v>Salmonella II 16:z4,z23:-</v>
      </c>
      <c r="B6564" t="str">
        <f ca="1">IFERROR(__xludf.DUMMYFUNCTION("""COMPUTED_VALUE"""),"RF-00001980-MCG")</f>
        <v>RF-00001980-MCG</v>
      </c>
    </row>
    <row r="6565" spans="1:2" ht="12.5" x14ac:dyDescent="0.25">
      <c r="A6565" t="str">
        <f ca="1">IFERROR(__xludf.DUMMYFUNCTION("""COMPUTED_VALUE"""),"Salmonella II 16:z42:1,6")</f>
        <v>Salmonella II 16:z42:1,6</v>
      </c>
      <c r="B6565" t="str">
        <f ca="1">IFERROR(__xludf.DUMMYFUNCTION("""COMPUTED_VALUE"""),"RF-00001997-MCG")</f>
        <v>RF-00001997-MCG</v>
      </c>
    </row>
    <row r="6566" spans="1:2" ht="12.5" x14ac:dyDescent="0.25">
      <c r="A6566" t="str">
        <f ca="1">IFERROR(__xludf.DUMMYFUNCTION("""COMPUTED_VALUE"""),"Salmonella II 17:b:e,n,x,z15")</f>
        <v>Salmonella II 17:b:e,n,x,z15</v>
      </c>
      <c r="B6566" t="str">
        <f ca="1">IFERROR(__xludf.DUMMYFUNCTION("""COMPUTED_VALUE"""),"RF-00001983-MCG")</f>
        <v>RF-00001983-MCG</v>
      </c>
    </row>
    <row r="6567" spans="1:2" ht="12.5" x14ac:dyDescent="0.25">
      <c r="A6567" t="str">
        <f ca="1">IFERROR(__xludf.DUMMYFUNCTION("""COMPUTED_VALUE"""),"Salmonella II 17:e,n,x,z15:1,6")</f>
        <v>Salmonella II 17:e,n,x,z15:1,6</v>
      </c>
      <c r="B6567" t="str">
        <f ca="1">IFERROR(__xludf.DUMMYFUNCTION("""COMPUTED_VALUE"""),"RF-00001969-MCG")</f>
        <v>RF-00001969-MCG</v>
      </c>
    </row>
    <row r="6568" spans="1:2" ht="12.5" x14ac:dyDescent="0.25">
      <c r="A6568" t="str">
        <f ca="1">IFERROR(__xludf.DUMMYFUNCTION("""COMPUTED_VALUE"""),"Salmonella II 17:z:l,w:z42")</f>
        <v>Salmonella II 17:z:l,w:z42</v>
      </c>
      <c r="B6568" t="str">
        <f ca="1">IFERROR(__xludf.DUMMYFUNCTION("""COMPUTED_VALUE"""),"RF-00001985-MCG")</f>
        <v>RF-00001985-MCG</v>
      </c>
    </row>
    <row r="6569" spans="1:2" ht="12.5" x14ac:dyDescent="0.25">
      <c r="A6569" t="str">
        <f ca="1">IFERROR(__xludf.DUMMYFUNCTION("""COMPUTED_VALUE"""),"Salmonella II 18:z10:z6")</f>
        <v>Salmonella II 18:z10:z6</v>
      </c>
      <c r="B6569" t="str">
        <f ca="1">IFERROR(__xludf.DUMMYFUNCTION("""COMPUTED_VALUE"""),"RF-00001986-MCG")</f>
        <v>RF-00001986-MCG</v>
      </c>
    </row>
    <row r="6570" spans="1:2" ht="12.5" x14ac:dyDescent="0.25">
      <c r="A6570" t="str">
        <f ca="1">IFERROR(__xludf.DUMMYFUNCTION("""COMPUTED_VALUE"""),"Salmonella II 18:z36:-")</f>
        <v>Salmonella II 18:z36:-</v>
      </c>
      <c r="B6570" t="str">
        <f ca="1">IFERROR(__xludf.DUMMYFUNCTION("""COMPUTED_VALUE"""),"RF-00001987-MCG")</f>
        <v>RF-00001987-MCG</v>
      </c>
    </row>
    <row r="6571" spans="1:2" ht="12.5" x14ac:dyDescent="0.25">
      <c r="A6571" t="str">
        <f ca="1">IFERROR(__xludf.DUMMYFUNCTION("""COMPUTED_VALUE"""),"Salmonella II 18:z4,z32:-")</f>
        <v>Salmonella II 18:z4,z32:-</v>
      </c>
      <c r="B6571" t="str">
        <f ca="1">IFERROR(__xludf.DUMMYFUNCTION("""COMPUTED_VALUE"""),"RF-00001988-MCG")</f>
        <v>RF-00001988-MCG</v>
      </c>
    </row>
    <row r="6572" spans="1:2" ht="12.5" x14ac:dyDescent="0.25">
      <c r="A6572" t="str">
        <f ca="1">IFERROR(__xludf.DUMMYFUNCTION("""COMPUTED_VALUE"""),"Salmonella II 21:z10:z6")</f>
        <v>Salmonella II 21:z10:z6</v>
      </c>
      <c r="B6572" t="str">
        <f ca="1">IFERROR(__xludf.DUMMYFUNCTION("""COMPUTED_VALUE"""),"RF-00001989-MCG")</f>
        <v>RF-00001989-MCG</v>
      </c>
    </row>
    <row r="6573" spans="1:2" ht="12.5" x14ac:dyDescent="0.25">
      <c r="A6573" t="str">
        <f ca="1">IFERROR(__xludf.DUMMYFUNCTION("""COMPUTED_VALUE"""),"Salmonella II 21:z4,z23:-")</f>
        <v>Salmonella II 21:z4,z23:-</v>
      </c>
      <c r="B6573" t="str">
        <f ca="1">IFERROR(__xludf.DUMMYFUNCTION("""COMPUTED_VALUE"""),"RF-00001990-MCG")</f>
        <v>RF-00001990-MCG</v>
      </c>
    </row>
    <row r="6574" spans="1:2" ht="12.5" x14ac:dyDescent="0.25">
      <c r="A6574" t="str">
        <f ca="1">IFERROR(__xludf.DUMMYFUNCTION("""COMPUTED_VALUE"""),"Salmonella II 28:b:z6")</f>
        <v>Salmonella II 28:b:z6</v>
      </c>
      <c r="B6574" t="str">
        <f ca="1">IFERROR(__xludf.DUMMYFUNCTION("""COMPUTED_VALUE"""),"RF-00001991-MCG")</f>
        <v>RF-00001991-MCG</v>
      </c>
    </row>
    <row r="6575" spans="1:2" ht="12.5" x14ac:dyDescent="0.25">
      <c r="A6575" t="str">
        <f ca="1">IFERROR(__xludf.DUMMYFUNCTION("""COMPUTED_VALUE"""),"Salmonella II 28:r:e,n,z15")</f>
        <v>Salmonella II 28:r:e,n,z15</v>
      </c>
      <c r="B6575" t="str">
        <f ca="1">IFERROR(__xludf.DUMMYFUNCTION("""COMPUTED_VALUE"""),"RF-00001992-MCG")</f>
        <v>RF-00001992-MCG</v>
      </c>
    </row>
    <row r="6576" spans="1:2" ht="12.5" x14ac:dyDescent="0.25">
      <c r="A6576" t="str">
        <f ca="1">IFERROR(__xludf.DUMMYFUNCTION("""COMPUTED_VALUE"""),"Salmonella II 28:z:z39")</f>
        <v>Salmonella II 28:z:z39</v>
      </c>
      <c r="B6576" t="str">
        <f ca="1">IFERROR(__xludf.DUMMYFUNCTION("""COMPUTED_VALUE"""),"RF-00001993-MCG")</f>
        <v>RF-00001993-MCG</v>
      </c>
    </row>
    <row r="6577" spans="1:2" ht="12.5" x14ac:dyDescent="0.25">
      <c r="A6577" t="str">
        <f ca="1">IFERROR(__xludf.DUMMYFUNCTION("""COMPUTED_VALUE"""),"Salmonella II 3,10:a:e,n,x")</f>
        <v>Salmonella II 3,10:a:e,n,x</v>
      </c>
      <c r="B6577" t="str">
        <f ca="1">IFERROR(__xludf.DUMMYFUNCTION("""COMPUTED_VALUE"""),"RF-00001994-MCG")</f>
        <v>RF-00001994-MCG</v>
      </c>
    </row>
    <row r="6578" spans="1:2" ht="12.5" x14ac:dyDescent="0.25">
      <c r="A6578" t="str">
        <f ca="1">IFERROR(__xludf.DUMMYFUNCTION("""COMPUTED_VALUE"""),"Salmonella II 3,10:e,n,c:1,7")</f>
        <v>Salmonella II 3,10:e,n,c:1,7</v>
      </c>
      <c r="B6578" t="str">
        <f ca="1">IFERROR(__xludf.DUMMYFUNCTION("""COMPUTED_VALUE"""),"RF-00001995-MCG")</f>
        <v>RF-00001995-MCG</v>
      </c>
    </row>
    <row r="6579" spans="1:2" ht="12.5" x14ac:dyDescent="0.25">
      <c r="A6579" t="str">
        <f ca="1">IFERROR(__xludf.DUMMYFUNCTION("""COMPUTED_VALUE"""),"Salmonella II 3,10:g,t:-")</f>
        <v>Salmonella II 3,10:g,t:-</v>
      </c>
      <c r="B6579" t="str">
        <f ca="1">IFERROR(__xludf.DUMMYFUNCTION("""COMPUTED_VALUE"""),"RF-00001996-MCG")</f>
        <v>RF-00001996-MCG</v>
      </c>
    </row>
    <row r="6580" spans="1:2" ht="12.5" x14ac:dyDescent="0.25">
      <c r="A6580" t="str">
        <f ca="1">IFERROR(__xludf.DUMMYFUNCTION("""COMPUTED_VALUE"""),"Salmonella II 3,10:l,v:z6")</f>
        <v>Salmonella II 3,10:l,v:z6</v>
      </c>
      <c r="B6580" t="str">
        <f ca="1">IFERROR(__xludf.DUMMYFUNCTION("""COMPUTED_VALUE"""),"RF-00001882-MCG")</f>
        <v>RF-00001882-MCG</v>
      </c>
    </row>
    <row r="6581" spans="1:2" ht="12.5" x14ac:dyDescent="0.25">
      <c r="A6581" t="str">
        <f ca="1">IFERROR(__xludf.DUMMYFUNCTION("""COMPUTED_VALUE"""),"Salmonella II 3,10:l,z28:e,n,x")</f>
        <v>Salmonella II 3,10:l,z28:e,n,x</v>
      </c>
      <c r="B6581" t="str">
        <f ca="1">IFERROR(__xludf.DUMMYFUNCTION("""COMPUTED_VALUE"""),"RF-00001795-MCG")</f>
        <v>RF-00001795-MCG</v>
      </c>
    </row>
    <row r="6582" spans="1:2" ht="12.5" x14ac:dyDescent="0.25">
      <c r="A6582" t="str">
        <f ca="1">IFERROR(__xludf.DUMMYFUNCTION("""COMPUTED_VALUE"""),"Salmonella II 3,10:m,t:e,n,x")</f>
        <v>Salmonella II 3,10:m,t:e,n,x</v>
      </c>
      <c r="B6582" t="str">
        <f ca="1">IFERROR(__xludf.DUMMYFUNCTION("""COMPUTED_VALUE"""),"RF-00001912-MCG")</f>
        <v>RF-00001912-MCG</v>
      </c>
    </row>
    <row r="6583" spans="1:2" ht="12.5" x14ac:dyDescent="0.25">
      <c r="A6583" t="str">
        <f ca="1">IFERROR(__xludf.DUMMYFUNCTION("""COMPUTED_VALUE"""),"Salmonella II 3,10:z:1,5")</f>
        <v>Salmonella II 3,10:z:1,5</v>
      </c>
      <c r="B6583" t="str">
        <f ca="1">IFERROR(__xludf.DUMMYFUNCTION("""COMPUTED_VALUE"""),"RF-00001825-MCG")</f>
        <v>RF-00001825-MCG</v>
      </c>
    </row>
    <row r="6584" spans="1:2" ht="12.5" x14ac:dyDescent="0.25">
      <c r="A6584" t="str">
        <f ca="1">IFERROR(__xludf.DUMMYFUNCTION("""COMPUTED_VALUE"""),"Salmonella II 3,10:z:e,n,x")</f>
        <v>Salmonella II 3,10:z:e,n,x</v>
      </c>
      <c r="B6584" t="str">
        <f ca="1">IFERROR(__xludf.DUMMYFUNCTION("""COMPUTED_VALUE"""),"RF-00001826-MCG")</f>
        <v>RF-00001826-MCG</v>
      </c>
    </row>
    <row r="6585" spans="1:2" ht="12.5" x14ac:dyDescent="0.25">
      <c r="A6585" t="str">
        <f ca="1">IFERROR(__xludf.DUMMYFUNCTION("""COMPUTED_VALUE"""),"Salmonella II 3,10:z:z39")</f>
        <v>Salmonella II 3,10:z:z39</v>
      </c>
      <c r="B6585" t="str">
        <f ca="1">IFERROR(__xludf.DUMMYFUNCTION("""COMPUTED_VALUE"""),"RF-00001827-MCG")</f>
        <v>RF-00001827-MCG</v>
      </c>
    </row>
    <row r="6586" spans="1:2" ht="12.5" x14ac:dyDescent="0.25">
      <c r="A6586" t="str">
        <f ca="1">IFERROR(__xludf.DUMMYFUNCTION("""COMPUTED_VALUE"""),"Salmonella II 3,10:z38:z42")</f>
        <v>Salmonella II 3,10:z38:z42</v>
      </c>
      <c r="B6586" t="str">
        <f ca="1">IFERROR(__xludf.DUMMYFUNCTION("""COMPUTED_VALUE"""),"RF-00001828-MCG")</f>
        <v>RF-00001828-MCG</v>
      </c>
    </row>
    <row r="6587" spans="1:2" ht="12.5" x14ac:dyDescent="0.25">
      <c r="A6587" t="str">
        <f ca="1">IFERROR(__xludf.DUMMYFUNCTION("""COMPUTED_VALUE"""),"Salmonella II 3,15:g,m,s,t:-")</f>
        <v>Salmonella II 3,15:g,m,s,t:-</v>
      </c>
      <c r="B6587" t="str">
        <f ca="1">IFERROR(__xludf.DUMMYFUNCTION("""COMPUTED_VALUE"""),"RF-00001829-MCG")</f>
        <v>RF-00001829-MCG</v>
      </c>
    </row>
    <row r="6588" spans="1:2" ht="12.5" x14ac:dyDescent="0.25">
      <c r="A6588" t="str">
        <f ca="1">IFERROR(__xludf.DUMMYFUNCTION("""COMPUTED_VALUE"""),"Salmonella II 30:a:z39")</f>
        <v>Salmonella II 30:a:z39</v>
      </c>
      <c r="B6588" t="str">
        <f ca="1">IFERROR(__xludf.DUMMYFUNCTION("""COMPUTED_VALUE"""),"RF-00001830-MCG")</f>
        <v>RF-00001830-MCG</v>
      </c>
    </row>
    <row r="6589" spans="1:2" ht="12.5" x14ac:dyDescent="0.25">
      <c r="A6589" t="str">
        <f ca="1">IFERROR(__xludf.DUMMYFUNCTION("""COMPUTED_VALUE"""),"Salmonella II 30:g,t:-")</f>
        <v>Salmonella II 30:g,t:-</v>
      </c>
      <c r="B6589" t="str">
        <f ca="1">IFERROR(__xludf.DUMMYFUNCTION("""COMPUTED_VALUE"""),"RF-00001831-MCG")</f>
        <v>RF-00001831-MCG</v>
      </c>
    </row>
    <row r="6590" spans="1:2" ht="12.5" x14ac:dyDescent="0.25">
      <c r="A6590" t="str">
        <f ca="1">IFERROR(__xludf.DUMMYFUNCTION("""COMPUTED_VALUE"""),"Salmonella II 30:l.z28:z6")</f>
        <v>Salmonella II 30:l.z28:z6</v>
      </c>
      <c r="B6590" t="str">
        <f ca="1">IFERROR(__xludf.DUMMYFUNCTION("""COMPUTED_VALUE"""),"RF-00001832-MCG")</f>
        <v>RF-00001832-MCG</v>
      </c>
    </row>
    <row r="6591" spans="1:2" ht="12.5" x14ac:dyDescent="0.25">
      <c r="A6591" t="str">
        <f ca="1">IFERROR(__xludf.DUMMYFUNCTION("""COMPUTED_VALUE"""),"Salmonella II 35:z29:e,n,x")</f>
        <v>Salmonella II 35:z29:e,n,x</v>
      </c>
      <c r="B6591" t="str">
        <f ca="1">IFERROR(__xludf.DUMMYFUNCTION("""COMPUTED_VALUE"""),"RF-00001833-MCG")</f>
        <v>RF-00001833-MCG</v>
      </c>
    </row>
    <row r="6592" spans="1:2" ht="12.5" x14ac:dyDescent="0.25">
      <c r="A6592" t="str">
        <f ca="1">IFERROR(__xludf.DUMMYFUNCTION("""COMPUTED_VALUE"""),"Salmonella II 38:g,t:-")</f>
        <v>Salmonella II 38:g,t:-</v>
      </c>
      <c r="B6592" t="str">
        <f ca="1">IFERROR(__xludf.DUMMYFUNCTION("""COMPUTED_VALUE"""),"RF-00001834-MCG")</f>
        <v>RF-00001834-MCG</v>
      </c>
    </row>
    <row r="6593" spans="1:2" ht="12.5" x14ac:dyDescent="0.25">
      <c r="A6593" t="str">
        <f ca="1">IFERROR(__xludf.DUMMYFUNCTION("""COMPUTED_VALUE"""),"Salmonella II 39:l,z28:e,n,x")</f>
        <v>Salmonella II 39:l,z28:e,n,x</v>
      </c>
      <c r="B6593" t="str">
        <f ca="1">IFERROR(__xludf.DUMMYFUNCTION("""COMPUTED_VALUE"""),"RF-00001835-MCG")</f>
        <v>RF-00001835-MCG</v>
      </c>
    </row>
    <row r="6594" spans="1:2" ht="12.5" x14ac:dyDescent="0.25">
      <c r="A6594" t="str">
        <f ca="1">IFERROR(__xludf.DUMMYFUNCTION("""COMPUTED_VALUE"""),"Salmonella II 4,12:d:e,n,x")</f>
        <v>Salmonella II 4,12:d:e,n,x</v>
      </c>
      <c r="B6594" t="str">
        <f ca="1">IFERROR(__xludf.DUMMYFUNCTION("""COMPUTED_VALUE"""),"RF-00001889-MCG")</f>
        <v>RF-00001889-MCG</v>
      </c>
    </row>
    <row r="6595" spans="1:2" ht="12.5" x14ac:dyDescent="0.25">
      <c r="A6595" t="str">
        <f ca="1">IFERROR(__xludf.DUMMYFUNCTION("""COMPUTED_VALUE"""),"Salmonella II 4,12:l,w:e,n,x")</f>
        <v>Salmonella II 4,12:l,w:e,n,x</v>
      </c>
      <c r="B6595" t="str">
        <f ca="1">IFERROR(__xludf.DUMMYFUNCTION("""COMPUTED_VALUE"""),"RF-00001907-MCG")</f>
        <v>RF-00001907-MCG</v>
      </c>
    </row>
    <row r="6596" spans="1:2" ht="12.5" x14ac:dyDescent="0.25">
      <c r="A6596" t="str">
        <f ca="1">IFERROR(__xludf.DUMMYFUNCTION("""COMPUTED_VALUE"""),"Salmonella II 40:a:z39")</f>
        <v>Salmonella II 40:a:z39</v>
      </c>
      <c r="B6596" t="str">
        <f ca="1">IFERROR(__xludf.DUMMYFUNCTION("""COMPUTED_VALUE"""),"RF-00001866-MCG")</f>
        <v>RF-00001866-MCG</v>
      </c>
    </row>
    <row r="6597" spans="1:2" ht="12.5" x14ac:dyDescent="0.25">
      <c r="A6597" t="str">
        <f ca="1">IFERROR(__xludf.DUMMYFUNCTION("""COMPUTED_VALUE"""),"Salmonella II 40:d:-")</f>
        <v>Salmonella II 40:d:-</v>
      </c>
      <c r="B6597" t="str">
        <f ca="1">IFERROR(__xludf.DUMMYFUNCTION("""COMPUTED_VALUE"""),"RF-00001852-MCG")</f>
        <v>RF-00001852-MCG</v>
      </c>
    </row>
    <row r="6598" spans="1:2" ht="12.5" x14ac:dyDescent="0.25">
      <c r="A6598" t="str">
        <f ca="1">IFERROR(__xludf.DUMMYFUNCTION("""COMPUTED_VALUE"""),"Salmonella II 40:g,m,s,t:e,n,x")</f>
        <v>Salmonella II 40:g,m,s,t:e,n,x</v>
      </c>
      <c r="B6598" t="str">
        <f ca="1">IFERROR(__xludf.DUMMYFUNCTION("""COMPUTED_VALUE"""),"RF-00002094-MCG")</f>
        <v>RF-00002094-MCG</v>
      </c>
    </row>
    <row r="6599" spans="1:2" ht="12.5" x14ac:dyDescent="0.25">
      <c r="A6599" t="str">
        <f ca="1">IFERROR(__xludf.DUMMYFUNCTION("""COMPUTED_VALUE"""),"Salmonella II 40:z4,z24:z39")</f>
        <v>Salmonella II 40:z4,z24:z39</v>
      </c>
      <c r="B6599" t="str">
        <f ca="1">IFERROR(__xludf.DUMMYFUNCTION("""COMPUTED_VALUE"""),"RF-00002087-MCG")</f>
        <v>RF-00002087-MCG</v>
      </c>
    </row>
    <row r="6600" spans="1:2" ht="12.5" x14ac:dyDescent="0.25">
      <c r="A6600" t="str">
        <f ca="1">IFERROR(__xludf.DUMMYFUNCTION("""COMPUTED_VALUE"""),"Salmonella II 41:d:z6")</f>
        <v>Salmonella II 41:d:z6</v>
      </c>
      <c r="B6600" t="str">
        <f ca="1">IFERROR(__xludf.DUMMYFUNCTION("""COMPUTED_VALUE"""),"RF-00002128-MCG")</f>
        <v>RF-00002128-MCG</v>
      </c>
    </row>
    <row r="6601" spans="1:2" ht="12.5" x14ac:dyDescent="0.25">
      <c r="A6601" t="str">
        <f ca="1">IFERROR(__xludf.DUMMYFUNCTION("""COMPUTED_VALUE"""),"Salmonella II 41:g,t:-")</f>
        <v>Salmonella II 41:g,t:-</v>
      </c>
      <c r="B6601" t="str">
        <f ca="1">IFERROR(__xludf.DUMMYFUNCTION("""COMPUTED_VALUE"""),"RF-00002123-MCG")</f>
        <v>RF-00002123-MCG</v>
      </c>
    </row>
    <row r="6602" spans="1:2" ht="12.5" x14ac:dyDescent="0.25">
      <c r="A6602" t="str">
        <f ca="1">IFERROR(__xludf.DUMMYFUNCTION("""COMPUTED_VALUE"""),"Salmonella II 41:z:1,5")</f>
        <v>Salmonella II 41:z:1,5</v>
      </c>
      <c r="B6602" t="str">
        <f ca="1">IFERROR(__xludf.DUMMYFUNCTION("""COMPUTED_VALUE"""),"RF-00002124-MCG")</f>
        <v>RF-00002124-MCG</v>
      </c>
    </row>
    <row r="6603" spans="1:2" ht="12.5" x14ac:dyDescent="0.25">
      <c r="A6603" t="str">
        <f ca="1">IFERROR(__xludf.DUMMYFUNCTION("""COMPUTED_VALUE"""),"Salmonella II 41:z10:1,2")</f>
        <v>Salmonella II 41:z10:1,2</v>
      </c>
      <c r="B6603" t="str">
        <f ca="1">IFERROR(__xludf.DUMMYFUNCTION("""COMPUTED_VALUE"""),"RF-00002130-MCG")</f>
        <v>RF-00002130-MCG</v>
      </c>
    </row>
    <row r="6604" spans="1:2" ht="12.5" x14ac:dyDescent="0.25">
      <c r="A6604" t="str">
        <f ca="1">IFERROR(__xludf.DUMMYFUNCTION("""COMPUTED_VALUE"""),"Salmonella II 41:z10:e,n,x,z15")</f>
        <v>Salmonella II 41:z10:e,n,x,z15</v>
      </c>
      <c r="B6604" t="str">
        <f ca="1">IFERROR(__xludf.DUMMYFUNCTION("""COMPUTED_VALUE"""),"RF-00002131-MCG")</f>
        <v>RF-00002131-MCG</v>
      </c>
    </row>
    <row r="6605" spans="1:2" ht="12.5" x14ac:dyDescent="0.25">
      <c r="A6605" t="str">
        <f ca="1">IFERROR(__xludf.DUMMYFUNCTION("""COMPUTED_VALUE"""),"Salmonella II 41:z10:z6")</f>
        <v>Salmonella II 41:z10:z6</v>
      </c>
      <c r="B6605" t="str">
        <f ca="1">IFERROR(__xludf.DUMMYFUNCTION("""COMPUTED_VALUE"""),"RF-00002132-MCG")</f>
        <v>RF-00002132-MCG</v>
      </c>
    </row>
    <row r="6606" spans="1:2" ht="12.5" x14ac:dyDescent="0.25">
      <c r="A6606" t="str">
        <f ca="1">IFERROR(__xludf.DUMMYFUNCTION("""COMPUTED_VALUE"""),"Salmonella II 42:b:1,5")</f>
        <v>Salmonella II 42:b:1,5</v>
      </c>
      <c r="B6606" t="str">
        <f ca="1">IFERROR(__xludf.DUMMYFUNCTION("""COMPUTED_VALUE"""),"RF-00002111-MCG")</f>
        <v>RF-00002111-MCG</v>
      </c>
    </row>
    <row r="6607" spans="1:2" ht="12.5" x14ac:dyDescent="0.25">
      <c r="A6607" t="str">
        <f ca="1">IFERROR(__xludf.DUMMYFUNCTION("""COMPUTED_VALUE"""),"Salmonella II 42:b:e,n,x,z15")</f>
        <v>Salmonella II 42:b:e,n,x,z15</v>
      </c>
      <c r="B6607" t="str">
        <f ca="1">IFERROR(__xludf.DUMMYFUNCTION("""COMPUTED_VALUE"""),"RF-00002072-MCG")</f>
        <v>RF-00002072-MCG</v>
      </c>
    </row>
    <row r="6608" spans="1:2" ht="12.5" x14ac:dyDescent="0.25">
      <c r="A6608" t="str">
        <f ca="1">IFERROR(__xludf.DUMMYFUNCTION("""COMPUTED_VALUE"""),"Salmonella II 42:g,t:-")</f>
        <v>Salmonella II 42:g,t:-</v>
      </c>
      <c r="B6608" t="str">
        <f ca="1">IFERROR(__xludf.DUMMYFUNCTION("""COMPUTED_VALUE"""),"RF-00002061-MCG")</f>
        <v>RF-00002061-MCG</v>
      </c>
    </row>
    <row r="6609" spans="1:2" ht="12.5" x14ac:dyDescent="0.25">
      <c r="A6609" t="str">
        <f ca="1">IFERROR(__xludf.DUMMYFUNCTION("""COMPUTED_VALUE"""),"Salmonella II 42:l,v:e,n,x,z15")</f>
        <v>Salmonella II 42:l,v:e,n,x,z15</v>
      </c>
      <c r="B6609" t="str">
        <f ca="1">IFERROR(__xludf.DUMMYFUNCTION("""COMPUTED_VALUE"""),"RF-00002060-MCG")</f>
        <v>RF-00002060-MCG</v>
      </c>
    </row>
    <row r="6610" spans="1:2" ht="12.5" x14ac:dyDescent="0.25">
      <c r="A6610" t="str">
        <f ca="1">IFERROR(__xludf.DUMMYFUNCTION("""COMPUTED_VALUE"""),"Salmonella II 42:r:-")</f>
        <v>Salmonella II 42:r:-</v>
      </c>
      <c r="B6610" t="str">
        <f ca="1">IFERROR(__xludf.DUMMYFUNCTION("""COMPUTED_VALUE"""),"RF-00002059-MCG")</f>
        <v>RF-00002059-MCG</v>
      </c>
    </row>
    <row r="6611" spans="1:2" ht="12.5" x14ac:dyDescent="0.25">
      <c r="A6611" t="str">
        <f ca="1">IFERROR(__xludf.DUMMYFUNCTION("""COMPUTED_VALUE"""),"Salmonella II 42:z:1,5")</f>
        <v>Salmonella II 42:z:1,5</v>
      </c>
      <c r="B6611" t="str">
        <f ca="1">IFERROR(__xludf.DUMMYFUNCTION("""COMPUTED_VALUE"""),"RF-00002078-MCG")</f>
        <v>RF-00002078-MCG</v>
      </c>
    </row>
    <row r="6612" spans="1:2" ht="12.5" x14ac:dyDescent="0.25">
      <c r="A6612" t="str">
        <f ca="1">IFERROR(__xludf.DUMMYFUNCTION("""COMPUTED_VALUE"""),"Salmonella II 42:z:e,n,x,z15")</f>
        <v>Salmonella II 42:z:e,n,x,z15</v>
      </c>
      <c r="B6612" t="str">
        <f ca="1">IFERROR(__xludf.DUMMYFUNCTION("""COMPUTED_VALUE"""),"RF-00002056-MCG")</f>
        <v>RF-00002056-MCG</v>
      </c>
    </row>
    <row r="6613" spans="1:2" ht="12.5" x14ac:dyDescent="0.25">
      <c r="A6613" t="str">
        <f ca="1">IFERROR(__xludf.DUMMYFUNCTION("""COMPUTED_VALUE"""),"Salmonella II 42:z:z6")</f>
        <v>Salmonella II 42:z:z6</v>
      </c>
      <c r="B6613" t="str">
        <f ca="1">IFERROR(__xludf.DUMMYFUNCTION("""COMPUTED_VALUE"""),"RF-00001556-MCG")</f>
        <v>RF-00001556-MCG</v>
      </c>
    </row>
    <row r="6614" spans="1:2" ht="12.5" x14ac:dyDescent="0.25">
      <c r="A6614" t="str">
        <f ca="1">IFERROR(__xludf.DUMMYFUNCTION("""COMPUTED_VALUE"""),"Salmonella II 43:b:z42")</f>
        <v>Salmonella II 43:b:z42</v>
      </c>
      <c r="B6614" t="str">
        <f ca="1">IFERROR(__xludf.DUMMYFUNCTION("""COMPUTED_VALUE"""),"RF-00000616-MCG")</f>
        <v>RF-00000616-MCG</v>
      </c>
    </row>
    <row r="6615" spans="1:2" ht="12.5" x14ac:dyDescent="0.25">
      <c r="A6615" t="str">
        <f ca="1">IFERROR(__xludf.DUMMYFUNCTION("""COMPUTED_VALUE"""),"Salmonella II 43:g,t:-")</f>
        <v>Salmonella II 43:g,t:-</v>
      </c>
      <c r="B6615" t="str">
        <f ca="1">IFERROR(__xludf.DUMMYFUNCTION("""COMPUTED_VALUE"""),"RF-00000833-MCG")</f>
        <v>RF-00000833-MCG</v>
      </c>
    </row>
    <row r="6616" spans="1:2" ht="12.5" x14ac:dyDescent="0.25">
      <c r="A6616" t="str">
        <f ca="1">IFERROR(__xludf.DUMMYFUNCTION("""COMPUTED_VALUE"""),"Salmonella II 43:z29:z42")</f>
        <v>Salmonella II 43:z29:z42</v>
      </c>
      <c r="B6616" t="str">
        <f ca="1">IFERROR(__xludf.DUMMYFUNCTION("""COMPUTED_VALUE"""),"RF-00000832-MCG")</f>
        <v>RF-00000832-MCG</v>
      </c>
    </row>
    <row r="6617" spans="1:2" ht="12.5" x14ac:dyDescent="0.25">
      <c r="A6617" t="str">
        <f ca="1">IFERROR(__xludf.DUMMYFUNCTION("""COMPUTED_VALUE"""),"Salmonella II 45:a:z10")</f>
        <v>Salmonella II 45:a:z10</v>
      </c>
      <c r="B6617" t="str">
        <f ca="1">IFERROR(__xludf.DUMMYFUNCTION("""COMPUTED_VALUE"""),"RF-00000831-MCG")</f>
        <v>RF-00000831-MCG</v>
      </c>
    </row>
    <row r="6618" spans="1:2" ht="12.5" x14ac:dyDescent="0.25">
      <c r="A6618" t="str">
        <f ca="1">IFERROR(__xludf.DUMMYFUNCTION("""COMPUTED_VALUE"""),"Salmonella II 45:g,m,s,t:1,5")</f>
        <v>Salmonella II 45:g,m,s,t:1,5</v>
      </c>
      <c r="B6618" t="str">
        <f ca="1">IFERROR(__xludf.DUMMYFUNCTION("""COMPUTED_VALUE"""),"RF-00000830-MCG")</f>
        <v>RF-00000830-MCG</v>
      </c>
    </row>
    <row r="6619" spans="1:2" ht="12.5" x14ac:dyDescent="0.25">
      <c r="A6619" t="str">
        <f ca="1">IFERROR(__xludf.DUMMYFUNCTION("""COMPUTED_VALUE"""),"Salmonella II 45:g,m,s,t:e,n,x")</f>
        <v>Salmonella II 45:g,m,s,t:e,n,x</v>
      </c>
      <c r="B6619" t="str">
        <f ca="1">IFERROR(__xludf.DUMMYFUNCTION("""COMPUTED_VALUE"""),"RF-00000829-MCG")</f>
        <v>RF-00000829-MCG</v>
      </c>
    </row>
    <row r="6620" spans="1:2" ht="12.5" x14ac:dyDescent="0.25">
      <c r="A6620" t="str">
        <f ca="1">IFERROR(__xludf.DUMMYFUNCTION("""COMPUTED_VALUE"""),"Salmonella II 45:g,m,t:e,n,x,z15")</f>
        <v>Salmonella II 45:g,m,t:e,n,x,z15</v>
      </c>
      <c r="B6620" t="str">
        <f ca="1">IFERROR(__xludf.DUMMYFUNCTION("""COMPUTED_VALUE"""),"RF-00002034-MCG")</f>
        <v>RF-00002034-MCG</v>
      </c>
    </row>
    <row r="6621" spans="1:2" ht="12.5" x14ac:dyDescent="0.25">
      <c r="A6621" t="str">
        <f ca="1">IFERROR(__xludf.DUMMYFUNCTION("""COMPUTED_VALUE"""),"Salmonella II 45:z:z39")</f>
        <v>Salmonella II 45:z:z39</v>
      </c>
      <c r="B6621" t="str">
        <f ca="1">IFERROR(__xludf.DUMMYFUNCTION("""COMPUTED_VALUE"""),"RF-00002035-MCG")</f>
        <v>RF-00002035-MCG</v>
      </c>
    </row>
    <row r="6622" spans="1:2" ht="12.5" x14ac:dyDescent="0.25">
      <c r="A6622" t="str">
        <f ca="1">IFERROR(__xludf.DUMMYFUNCTION("""COMPUTED_VALUE"""),"Salmonella II 47:b:1,5")</f>
        <v>Salmonella II 47:b:1,5</v>
      </c>
      <c r="B6622" t="str">
        <f ca="1">IFERROR(__xludf.DUMMYFUNCTION("""COMPUTED_VALUE"""),"RF-00002036-MCG")</f>
        <v>RF-00002036-MCG</v>
      </c>
    </row>
    <row r="6623" spans="1:2" ht="12.5" x14ac:dyDescent="0.25">
      <c r="A6623" t="str">
        <f ca="1">IFERROR(__xludf.DUMMYFUNCTION("""COMPUTED_VALUE"""),"Salmonella II 47:b:e,n,x,z15")</f>
        <v>Salmonella II 47:b:e,n,x,z15</v>
      </c>
      <c r="B6623" t="str">
        <f ca="1">IFERROR(__xludf.DUMMYFUNCTION("""COMPUTED_VALUE"""),"RF-00002037-MCG")</f>
        <v>RF-00002037-MCG</v>
      </c>
    </row>
    <row r="6624" spans="1:2" ht="12.5" x14ac:dyDescent="0.25">
      <c r="A6624" t="str">
        <f ca="1">IFERROR(__xludf.DUMMYFUNCTION("""COMPUTED_VALUE"""),"Salmonella II 47:d:z39")</f>
        <v>Salmonella II 47:d:z39</v>
      </c>
      <c r="B6624" t="str">
        <f ca="1">IFERROR(__xludf.DUMMYFUNCTION("""COMPUTED_VALUE"""),"RF-00002038-MCG")</f>
        <v>RF-00002038-MCG</v>
      </c>
    </row>
    <row r="6625" spans="1:2" ht="12.5" x14ac:dyDescent="0.25">
      <c r="A6625" t="str">
        <f ca="1">IFERROR(__xludf.DUMMYFUNCTION("""COMPUTED_VALUE"""),"Salmonella II 47:z:z6")</f>
        <v>Salmonella II 47:z:z6</v>
      </c>
      <c r="B6625" t="str">
        <f ca="1">IFERROR(__xludf.DUMMYFUNCTION("""COMPUTED_VALUE"""),"RF-00002039-MCG")</f>
        <v>RF-00002039-MCG</v>
      </c>
    </row>
    <row r="6626" spans="1:2" ht="12.5" x14ac:dyDescent="0.25">
      <c r="A6626" t="str">
        <f ca="1">IFERROR(__xludf.DUMMYFUNCTION("""COMPUTED_VALUE"""),"Salmonella II 48:d:1,2")</f>
        <v>Salmonella II 48:d:1,2</v>
      </c>
      <c r="B6626" t="str">
        <f ca="1">IFERROR(__xludf.DUMMYFUNCTION("""COMPUTED_VALUE"""),"RF-00002054-MCG")</f>
        <v>RF-00002054-MCG</v>
      </c>
    </row>
    <row r="6627" spans="1:2" ht="12.5" x14ac:dyDescent="0.25">
      <c r="A6627" t="str">
        <f ca="1">IFERROR(__xludf.DUMMYFUNCTION("""COMPUTED_VALUE"""),"Salmonella II 48:d:z6")</f>
        <v>Salmonella II 48:d:z6</v>
      </c>
      <c r="B6627" t="str">
        <f ca="1">IFERROR(__xludf.DUMMYFUNCTION("""COMPUTED_VALUE"""),"RF-00002041-MCG")</f>
        <v>RF-00002041-MCG</v>
      </c>
    </row>
    <row r="6628" spans="1:2" ht="12.5" x14ac:dyDescent="0.25">
      <c r="A6628" t="str">
        <f ca="1">IFERROR(__xludf.DUMMYFUNCTION("""COMPUTED_VALUE"""),"Salmonella II 48:e,n,x,z15:z6")</f>
        <v>Salmonella II 48:e,n,x,z15:z6</v>
      </c>
      <c r="B6628" t="str">
        <f ca="1">IFERROR(__xludf.DUMMYFUNCTION("""COMPUTED_VALUE"""),"RF-00002028-MCG")</f>
        <v>RF-00002028-MCG</v>
      </c>
    </row>
    <row r="6629" spans="1:2" ht="12.5" x14ac:dyDescent="0.25">
      <c r="A6629" t="str">
        <f ca="1">IFERROR(__xludf.DUMMYFUNCTION("""COMPUTED_VALUE"""),"Salmonella II 48:g,m,t:-")</f>
        <v>Salmonella II 48:g,m,t:-</v>
      </c>
      <c r="B6629" t="str">
        <f ca="1">IFERROR(__xludf.DUMMYFUNCTION("""COMPUTED_VALUE"""),"RF-00002043-MCG")</f>
        <v>RF-00002043-MCG</v>
      </c>
    </row>
    <row r="6630" spans="1:2" ht="12.5" x14ac:dyDescent="0.25">
      <c r="A6630" t="str">
        <f ca="1">IFERROR(__xludf.DUMMYFUNCTION("""COMPUTED_VALUE"""),"Salmonella II 48:k:z39")</f>
        <v>Salmonella II 48:k:z39</v>
      </c>
      <c r="B6630" t="str">
        <f ca="1">IFERROR(__xludf.DUMMYFUNCTION("""COMPUTED_VALUE"""),"RF-00002044-MCG")</f>
        <v>RF-00002044-MCG</v>
      </c>
    </row>
    <row r="6631" spans="1:2" ht="12.5" x14ac:dyDescent="0.25">
      <c r="A6631" t="str">
        <f ca="1">IFERROR(__xludf.DUMMYFUNCTION("""COMPUTED_VALUE"""),"Salmonella II 50:e,n,x:1,7")</f>
        <v>Salmonella II 50:e,n,x:1,7</v>
      </c>
      <c r="B6631" t="str">
        <f ca="1">IFERROR(__xludf.DUMMYFUNCTION("""COMPUTED_VALUE"""),"RF-00002045-MCG")</f>
        <v>RF-00002045-MCG</v>
      </c>
    </row>
    <row r="6632" spans="1:2" ht="12.5" x14ac:dyDescent="0.25">
      <c r="A6632" t="str">
        <f ca="1">IFERROR(__xludf.DUMMYFUNCTION("""COMPUTED_VALUE"""),"Salmonella II 50:k:z6")</f>
        <v>Salmonella II 50:k:z6</v>
      </c>
      <c r="B6632" t="str">
        <f ca="1">IFERROR(__xludf.DUMMYFUNCTION("""COMPUTED_VALUE"""),"RF-00002046-MCG")</f>
        <v>RF-00002046-MCG</v>
      </c>
    </row>
    <row r="6633" spans="1:2" ht="12.5" x14ac:dyDescent="0.25">
      <c r="A6633" t="str">
        <f ca="1">IFERROR(__xludf.DUMMYFUNCTION("""COMPUTED_VALUE"""),"Salmonella II 50:m,t:z6:z42")</f>
        <v>Salmonella II 50:m,t:z6:z42</v>
      </c>
      <c r="B6633" t="str">
        <f ca="1">IFERROR(__xludf.DUMMYFUNCTION("""COMPUTED_VALUE"""),"RF-00002047-MCG")</f>
        <v>RF-00002047-MCG</v>
      </c>
    </row>
    <row r="6634" spans="1:2" ht="12.5" x14ac:dyDescent="0.25">
      <c r="A6634" t="str">
        <f ca="1">IFERROR(__xludf.DUMMYFUNCTION("""COMPUTED_VALUE"""),"Salmonella II 50:z:e,n,x")</f>
        <v>Salmonella II 50:z:e,n,x</v>
      </c>
      <c r="B6634" t="str">
        <f ca="1">IFERROR(__xludf.DUMMYFUNCTION("""COMPUTED_VALUE"""),"RF-00002048-MCG")</f>
        <v>RF-00002048-MCG</v>
      </c>
    </row>
    <row r="6635" spans="1:2" ht="12.5" x14ac:dyDescent="0.25">
      <c r="A6635" t="str">
        <f ca="1">IFERROR(__xludf.DUMMYFUNCTION("""COMPUTED_VALUE"""),"Salmonella II 50:z10:z6:z42")</f>
        <v>Salmonella II 50:z10:z6:z42</v>
      </c>
      <c r="B6635" t="str">
        <f ca="1">IFERROR(__xludf.DUMMYFUNCTION("""COMPUTED_VALUE"""),"RF-00002049-MCG")</f>
        <v>RF-00002049-MCG</v>
      </c>
    </row>
    <row r="6636" spans="1:2" ht="12.5" x14ac:dyDescent="0.25">
      <c r="A6636" t="str">
        <f ca="1">IFERROR(__xludf.DUMMYFUNCTION("""COMPUTED_VALUE"""),"Salmonella II 50:z42:1,7")</f>
        <v>Salmonella II 50:z42:1,7</v>
      </c>
      <c r="B6636" t="str">
        <f ca="1">IFERROR(__xludf.DUMMYFUNCTION("""COMPUTED_VALUE"""),"RF-00002050-MCG")</f>
        <v>RF-00002050-MCG</v>
      </c>
    </row>
    <row r="6637" spans="1:2" ht="12.5" x14ac:dyDescent="0.25">
      <c r="A6637" t="str">
        <f ca="1">IFERROR(__xludf.DUMMYFUNCTION("""COMPUTED_VALUE"""),"Salmonella II 51:-:1,7")</f>
        <v>Salmonella II 51:-:1,7</v>
      </c>
      <c r="B6637" t="str">
        <f ca="1">IFERROR(__xludf.DUMMYFUNCTION("""COMPUTED_VALUE"""),"RF-00002051-MCG")</f>
        <v>RF-00002051-MCG</v>
      </c>
    </row>
    <row r="6638" spans="1:2" ht="12.5" x14ac:dyDescent="0.25">
      <c r="A6638" t="str">
        <f ca="1">IFERROR(__xludf.DUMMYFUNCTION("""COMPUTED_VALUE"""),"Salmonella II 52:z44:1,5,7")</f>
        <v>Salmonella II 52:z44:1,5,7</v>
      </c>
      <c r="B6638" t="str">
        <f ca="1">IFERROR(__xludf.DUMMYFUNCTION("""COMPUTED_VALUE"""),"RF-00002052-MCG")</f>
        <v>RF-00002052-MCG</v>
      </c>
    </row>
    <row r="6639" spans="1:2" ht="12.5" x14ac:dyDescent="0.25">
      <c r="A6639" t="str">
        <f ca="1">IFERROR(__xludf.DUMMYFUNCTION("""COMPUTED_VALUE"""),"Salmonella II 53:l,z28:z39")</f>
        <v>Salmonella II 53:l,z28:z39</v>
      </c>
      <c r="B6639" t="str">
        <f ca="1">IFERROR(__xludf.DUMMYFUNCTION("""COMPUTED_VALUE"""),"RF-00002053-MCG")</f>
        <v>RF-00002053-MCG</v>
      </c>
    </row>
    <row r="6640" spans="1:2" ht="12.5" x14ac:dyDescent="0.25">
      <c r="A6640" t="str">
        <f ca="1">IFERROR(__xludf.DUMMYFUNCTION("""COMPUTED_VALUE"""),"Salmonella II 53:z4,z24:-")</f>
        <v>Salmonella II 53:z4,z24:-</v>
      </c>
      <c r="B6640" t="str">
        <f ca="1">IFERROR(__xludf.DUMMYFUNCTION("""COMPUTED_VALUE"""),"RF-00002029-MCG")</f>
        <v>RF-00002029-MCG</v>
      </c>
    </row>
    <row r="6641" spans="1:2" ht="12.5" x14ac:dyDescent="0.25">
      <c r="A6641" t="str">
        <f ca="1">IFERROR(__xludf.DUMMYFUNCTION("""COMPUTED_VALUE"""),"Salmonella II 55:k:z39")</f>
        <v>Salmonella II 55:k:z39</v>
      </c>
      <c r="B6641" t="str">
        <f ca="1">IFERROR(__xludf.DUMMYFUNCTION("""COMPUTED_VALUE"""),"RF-00002103-MCG")</f>
        <v>RF-00002103-MCG</v>
      </c>
    </row>
    <row r="6642" spans="1:2" ht="12.5" x14ac:dyDescent="0.25">
      <c r="A6642" t="str">
        <f ca="1">IFERROR(__xludf.DUMMYFUNCTION("""COMPUTED_VALUE"""),"Salmonella II 56:b:-")</f>
        <v>Salmonella II 56:b:-</v>
      </c>
      <c r="B6642" t="str">
        <f ca="1">IFERROR(__xludf.DUMMYFUNCTION("""COMPUTED_VALUE"""),"RF-00002129-MCG")</f>
        <v>RF-00002129-MCG</v>
      </c>
    </row>
    <row r="6643" spans="1:2" ht="12.5" x14ac:dyDescent="0.25">
      <c r="A6643" t="str">
        <f ca="1">IFERROR(__xludf.DUMMYFUNCTION("""COMPUTED_VALUE"""),"Salmonella II 57:z29:z42")</f>
        <v>Salmonella II 57:z29:z42</v>
      </c>
      <c r="B6643" t="str">
        <f ca="1">IFERROR(__xludf.DUMMYFUNCTION("""COMPUTED_VALUE"""),"RF-00002122-MCG")</f>
        <v>RF-00002122-MCG</v>
      </c>
    </row>
    <row r="6644" spans="1:2" ht="12.5" x14ac:dyDescent="0.25">
      <c r="A6644" t="str">
        <f ca="1">IFERROR(__xludf.DUMMYFUNCTION("""COMPUTED_VALUE"""),"Salmonella II 57:z39:e,n,x,z15")</f>
        <v>Salmonella II 57:z39:e,n,x,z15</v>
      </c>
      <c r="B6644" t="str">
        <f ca="1">IFERROR(__xludf.DUMMYFUNCTION("""COMPUTED_VALUE"""),"RF-00002109-MCG")</f>
        <v>RF-00002109-MCG</v>
      </c>
    </row>
    <row r="6645" spans="1:2" ht="12.5" x14ac:dyDescent="0.25">
      <c r="A6645" t="str">
        <f ca="1">IFERROR(__xludf.DUMMYFUNCTION("""COMPUTED_VALUE"""),"Salmonella II 57:z42:1,6:z53")</f>
        <v>Salmonella II 57:z42:1,6:z53</v>
      </c>
      <c r="B6645" t="str">
        <f ca="1">IFERROR(__xludf.DUMMYFUNCTION("""COMPUTED_VALUE"""),"RF-00002110-MCG")</f>
        <v>RF-00002110-MCG</v>
      </c>
    </row>
    <row r="6646" spans="1:2" ht="12.5" x14ac:dyDescent="0.25">
      <c r="A6646" t="str">
        <f ca="1">IFERROR(__xludf.DUMMYFUNCTION("""COMPUTED_VALUE"""),"Salmonella II 58:1,z,13,z28:z6")</f>
        <v>Salmonella II 58:1,z,13,z28:z6</v>
      </c>
      <c r="B6646" t="str">
        <f ca="1">IFERROR(__xludf.DUMMYFUNCTION("""COMPUTED_VALUE"""),"RF-00002117-MCG")</f>
        <v>RF-00002117-MCG</v>
      </c>
    </row>
    <row r="6647" spans="1:2" ht="12.5" x14ac:dyDescent="0.25">
      <c r="A6647" t="str">
        <f ca="1">IFERROR(__xludf.DUMMYFUNCTION("""COMPUTED_VALUE"""),"Salmonella II 58:d:z6")</f>
        <v>Salmonella II 58:d:z6</v>
      </c>
      <c r="B6647" t="str">
        <f ca="1">IFERROR(__xludf.DUMMYFUNCTION("""COMPUTED_VALUE"""),"RF-00002114-MCG")</f>
        <v>RF-00002114-MCG</v>
      </c>
    </row>
    <row r="6648" spans="1:2" ht="12.5" x14ac:dyDescent="0.25">
      <c r="A6648" t="str">
        <f ca="1">IFERROR(__xludf.DUMMYFUNCTION("""COMPUTED_VALUE"""),"Salmonella II 58:l,z13,z28:1,5")</f>
        <v>Salmonella II 58:l,z13,z28:1,5</v>
      </c>
      <c r="B6648" t="str">
        <f ca="1">IFERROR(__xludf.DUMMYFUNCTION("""COMPUTED_VALUE"""),"RF-00002115-MCG")</f>
        <v>RF-00002115-MCG</v>
      </c>
    </row>
    <row r="6649" spans="1:2" ht="12.5" x14ac:dyDescent="0.25">
      <c r="A6649" t="str">
        <f ca="1">IFERROR(__xludf.DUMMYFUNCTION("""COMPUTED_VALUE"""),"Salmonella II 6,7:a:z42")</f>
        <v>Salmonella II 6,7:a:z42</v>
      </c>
      <c r="B6649" t="str">
        <f ca="1">IFERROR(__xludf.DUMMYFUNCTION("""COMPUTED_VALUE"""),"RF-00002125-MCG")</f>
        <v>RF-00002125-MCG</v>
      </c>
    </row>
    <row r="6650" spans="1:2" ht="12.5" x14ac:dyDescent="0.25">
      <c r="A6650" t="str">
        <f ca="1">IFERROR(__xludf.DUMMYFUNCTION("""COMPUTED_VALUE"""),"Salmonella II 6,7:gt:z42")</f>
        <v>Salmonella II 6,7:gt:z42</v>
      </c>
      <c r="B6650" t="str">
        <f ca="1">IFERROR(__xludf.DUMMYFUNCTION("""COMPUTED_VALUE"""),"RF-00002116-MCG")</f>
        <v>RF-00002116-MCG</v>
      </c>
    </row>
    <row r="6651" spans="1:2" ht="12.5" x14ac:dyDescent="0.25">
      <c r="A6651" t="str">
        <f ca="1">IFERROR(__xludf.DUMMYFUNCTION("""COMPUTED_VALUE"""),"Salmonella II 6,7:m,t:-")</f>
        <v>Salmonella II 6,7:m,t:-</v>
      </c>
      <c r="B6651" t="str">
        <f ca="1">IFERROR(__xludf.DUMMYFUNCTION("""COMPUTED_VALUE"""),"RF-00002108-MCG")</f>
        <v>RF-00002108-MCG</v>
      </c>
    </row>
    <row r="6652" spans="1:2" ht="12.5" x14ac:dyDescent="0.25">
      <c r="A6652" t="str">
        <f ca="1">IFERROR(__xludf.DUMMYFUNCTION("""COMPUTED_VALUE"""),"Salmonella II 6,7:z:1,5")</f>
        <v>Salmonella II 6,7:z:1,5</v>
      </c>
      <c r="B6652" t="str">
        <f ca="1">IFERROR(__xludf.DUMMYFUNCTION("""COMPUTED_VALUE"""),"RF-00002118-MCG")</f>
        <v>RF-00002118-MCG</v>
      </c>
    </row>
    <row r="6653" spans="1:2" ht="12.5" x14ac:dyDescent="0.25">
      <c r="A6653" t="str">
        <f ca="1">IFERROR(__xludf.DUMMYFUNCTION("""COMPUTED_VALUE"""),"Salmonella II 6,7:z:1,5:z42")</f>
        <v>Salmonella II 6,7:z:1,5:z42</v>
      </c>
      <c r="B6653" t="str">
        <f ca="1">IFERROR(__xludf.DUMMYFUNCTION("""COMPUTED_VALUE"""),"RF-00002119-MCG")</f>
        <v>RF-00002119-MCG</v>
      </c>
    </row>
    <row r="6654" spans="1:2" ht="12.5" x14ac:dyDescent="0.25">
      <c r="A6654" t="str">
        <f ca="1">IFERROR(__xludf.DUMMYFUNCTION("""COMPUTED_VALUE"""),"Salmonella II 6,7:z:z42")</f>
        <v>Salmonella II 6,7:z:z42</v>
      </c>
      <c r="B6654" t="str">
        <f ca="1">IFERROR(__xludf.DUMMYFUNCTION("""COMPUTED_VALUE"""),"RF-00002120-MCG")</f>
        <v>RF-00002120-MCG</v>
      </c>
    </row>
    <row r="6655" spans="1:2" ht="12.5" x14ac:dyDescent="0.25">
      <c r="A6655" t="str">
        <f ca="1">IFERROR(__xludf.DUMMYFUNCTION("""COMPUTED_VALUE"""),"Salmonella II 6,7:z29:z42")</f>
        <v>Salmonella II 6,7:z29:z42</v>
      </c>
      <c r="B6655" t="str">
        <f ca="1">IFERROR(__xludf.DUMMYFUNCTION("""COMPUTED_VALUE"""),"RF-00002121-MCG")</f>
        <v>RF-00002121-MCG</v>
      </c>
    </row>
    <row r="6656" spans="1:2" ht="12.5" x14ac:dyDescent="0.25">
      <c r="A6656" t="str">
        <f ca="1">IFERROR(__xludf.DUMMYFUNCTION("""COMPUTED_VALUE"""),"Salmonella II 6,7:z36:z42")</f>
        <v>Salmonella II 6,7:z36:z42</v>
      </c>
      <c r="B6656" t="str">
        <f ca="1">IFERROR(__xludf.DUMMYFUNCTION("""COMPUTED_VALUE"""),"RF-00002127-MCG")</f>
        <v>RF-00002127-MCG</v>
      </c>
    </row>
    <row r="6657" spans="1:2" ht="12.5" x14ac:dyDescent="0.25">
      <c r="A6657" t="str">
        <f ca="1">IFERROR(__xludf.DUMMYFUNCTION("""COMPUTED_VALUE"""),"Salmonella II 6,7:z39:1,5,7")</f>
        <v>Salmonella II 6,7:z39:1,5,7</v>
      </c>
      <c r="B6657" t="str">
        <f ca="1">IFERROR(__xludf.DUMMYFUNCTION("""COMPUTED_VALUE"""),"RF-00002134-MCG")</f>
        <v>RF-00002134-MCG</v>
      </c>
    </row>
    <row r="6658" spans="1:2" ht="12.5" x14ac:dyDescent="0.25">
      <c r="A6658" t="str">
        <f ca="1">IFERROR(__xludf.DUMMYFUNCTION("""COMPUTED_VALUE"""),"Salmonella II 6,7:z42:1,7")</f>
        <v>Salmonella II 6,7:z42:1,7</v>
      </c>
      <c r="B6658" t="str">
        <f ca="1">IFERROR(__xludf.DUMMYFUNCTION("""COMPUTED_VALUE"""),"RF-00002133-MCG")</f>
        <v>RF-00002133-MCG</v>
      </c>
    </row>
    <row r="6659" spans="1:2" ht="12.5" x14ac:dyDescent="0.25">
      <c r="A6659" t="str">
        <f ca="1">IFERROR(__xludf.DUMMYFUNCTION("""COMPUTED_VALUE"""),"Salmonella II 6,7:z6:1,7")</f>
        <v>Salmonella II 6,7:z6:1,7</v>
      </c>
      <c r="B6659" t="str">
        <f ca="1">IFERROR(__xludf.DUMMYFUNCTION("""COMPUTED_VALUE"""),"RF-00002126-MCG")</f>
        <v>RF-00002126-MCG</v>
      </c>
    </row>
    <row r="6660" spans="1:2" ht="12.5" x14ac:dyDescent="0.25">
      <c r="A6660" t="str">
        <f ca="1">IFERROR(__xludf.DUMMYFUNCTION("""COMPUTED_VALUE"""),"Salmonella II 6,8:a:z52")</f>
        <v>Salmonella II 6,8:a:z52</v>
      </c>
      <c r="B6660" t="str">
        <f ca="1">IFERROR(__xludf.DUMMYFUNCTION("""COMPUTED_VALUE"""),"RF-00002113-MCG")</f>
        <v>RF-00002113-MCG</v>
      </c>
    </row>
    <row r="6661" spans="1:2" ht="12.5" x14ac:dyDescent="0.25">
      <c r="A6661" t="str">
        <f ca="1">IFERROR(__xludf.DUMMYFUNCTION("""COMPUTED_VALUE"""),"Salmonella II 6,8:m,t:1,5")</f>
        <v>Salmonella II 6,8:m,t:1,5</v>
      </c>
      <c r="B6661" t="str">
        <f ca="1">IFERROR(__xludf.DUMMYFUNCTION("""COMPUTED_VALUE"""),"RF-00002093-MCG")</f>
        <v>RF-00002093-MCG</v>
      </c>
    </row>
    <row r="6662" spans="1:2" ht="12.5" x14ac:dyDescent="0.25">
      <c r="A6662" t="str">
        <f ca="1">IFERROR(__xludf.DUMMYFUNCTION("""COMPUTED_VALUE"""),"Salmonella II 6,8:m,t:e,n,x")</f>
        <v>Salmonella II 6,8:m,t:e,n,x</v>
      </c>
      <c r="B6662" t="str">
        <f ca="1">IFERROR(__xludf.DUMMYFUNCTION("""COMPUTED_VALUE"""),"RF-00002083-MCG")</f>
        <v>RF-00002083-MCG</v>
      </c>
    </row>
    <row r="6663" spans="1:2" ht="12.5" x14ac:dyDescent="0.25">
      <c r="A6663" t="str">
        <f ca="1">IFERROR(__xludf.DUMMYFUNCTION("""COMPUTED_VALUE"""),"Salmonella II 60:g,m,t:z6")</f>
        <v>Salmonella II 60:g,m,t:z6</v>
      </c>
      <c r="B6663" t="str">
        <f ca="1">IFERROR(__xludf.DUMMYFUNCTION("""COMPUTED_VALUE"""),"RF-00002084-MCG")</f>
        <v>RF-00002084-MCG</v>
      </c>
    </row>
    <row r="6664" spans="1:2" ht="12.5" x14ac:dyDescent="0.25">
      <c r="A6664" t="str">
        <f ca="1">IFERROR(__xludf.DUMMYFUNCTION("""COMPUTED_VALUE"""),"Salmonella II 60:z:e,n,x")</f>
        <v>Salmonella II 60:z:e,n,x</v>
      </c>
      <c r="B6664" t="str">
        <f ca="1">IFERROR(__xludf.DUMMYFUNCTION("""COMPUTED_VALUE"""),"RF-00002085-MCG")</f>
        <v>RF-00002085-MCG</v>
      </c>
    </row>
    <row r="6665" spans="1:2" ht="12.5" x14ac:dyDescent="0.25">
      <c r="A6665" t="str">
        <f ca="1">IFERROR(__xludf.DUMMYFUNCTION("""COMPUTED_VALUE"""),"Salmonella II 9,12:b:e,n,x")</f>
        <v>Salmonella II 9,12:b:e,n,x</v>
      </c>
      <c r="B6665" t="str">
        <f ca="1">IFERROR(__xludf.DUMMYFUNCTION("""COMPUTED_VALUE"""),"RF-00002086-MCG")</f>
        <v>RF-00002086-MCG</v>
      </c>
    </row>
    <row r="6666" spans="1:2" ht="12.5" x14ac:dyDescent="0.25">
      <c r="A6666" t="str">
        <f ca="1">IFERROR(__xludf.DUMMYFUNCTION("""COMPUTED_VALUE"""),"Salmonella II 9,12:d:e,n,x")</f>
        <v>Salmonella II 9,12:d:e,n,x</v>
      </c>
      <c r="B6666" t="str">
        <f ca="1">IFERROR(__xludf.DUMMYFUNCTION("""COMPUTED_VALUE"""),"RF-00002088-MCG")</f>
        <v>RF-00002088-MCG</v>
      </c>
    </row>
    <row r="6667" spans="1:2" ht="12.5" x14ac:dyDescent="0.25">
      <c r="A6667" t="str">
        <f ca="1">IFERROR(__xludf.DUMMYFUNCTION("""COMPUTED_VALUE"""),"Salmonella II 9,12:g,s,t:e,n,x")</f>
        <v>Salmonella II 9,12:g,s,t:e,n,x</v>
      </c>
      <c r="B6667" t="str">
        <f ca="1">IFERROR(__xludf.DUMMYFUNCTION("""COMPUTED_VALUE"""),"RF-00002089-MCG")</f>
        <v>RF-00002089-MCG</v>
      </c>
    </row>
    <row r="6668" spans="1:2" ht="12.5" x14ac:dyDescent="0.25">
      <c r="A6668" t="str">
        <f ca="1">IFERROR(__xludf.DUMMYFUNCTION("""COMPUTED_VALUE"""),"Salmonella II 9,12:z:z39")</f>
        <v>Salmonella II 9,12:z:z39</v>
      </c>
      <c r="B6668" t="str">
        <f ca="1">IFERROR(__xludf.DUMMYFUNCTION("""COMPUTED_VALUE"""),"RF-00002090-MCG")</f>
        <v>RF-00002090-MCG</v>
      </c>
    </row>
    <row r="6669" spans="1:2" ht="12.5" x14ac:dyDescent="0.25">
      <c r="A6669" t="str">
        <f ca="1">IFERROR(__xludf.DUMMYFUNCTION("""COMPUTED_VALUE"""),"Salmonella II 9,12:z29:1,5")</f>
        <v>Salmonella II 9,12:z29:1,5</v>
      </c>
      <c r="B6669" t="str">
        <f ca="1">IFERROR(__xludf.DUMMYFUNCTION("""COMPUTED_VALUE"""),"RF-00002091-MCG")</f>
        <v>RF-00002091-MCG</v>
      </c>
    </row>
    <row r="6670" spans="1:2" ht="12.5" x14ac:dyDescent="0.25">
      <c r="A6670" t="str">
        <f ca="1">IFERROR(__xludf.DUMMYFUNCTION("""COMPUTED_VALUE"""),"Salmonella II 9,46:b:e,n,x")</f>
        <v>Salmonella II 9,46:b:e,n,x</v>
      </c>
      <c r="B6670" t="str">
        <f ca="1">IFERROR(__xludf.DUMMYFUNCTION("""COMPUTED_VALUE"""),"RF-00002092-MCG")</f>
        <v>RF-00002092-MCG</v>
      </c>
    </row>
    <row r="6671" spans="1:2" ht="12.5" x14ac:dyDescent="0.25">
      <c r="A6671" t="str">
        <f ca="1">IFERROR(__xludf.DUMMYFUNCTION("""COMPUTED_VALUE"""),"Salmonella II 9,46:g,m,s,t:e,n,x")</f>
        <v>Salmonella II 9,46:g,m,s,t:e,n,x</v>
      </c>
      <c r="B6671" t="str">
        <f ca="1">IFERROR(__xludf.DUMMYFUNCTION("""COMPUTED_VALUE"""),"RF-00002095-MCG")</f>
        <v>RF-00002095-MCG</v>
      </c>
    </row>
    <row r="6672" spans="1:2" ht="12.5" x14ac:dyDescent="0.25">
      <c r="A6672" t="str">
        <f ca="1">IFERROR(__xludf.DUMMYFUNCTION("""COMPUTED_VALUE"""),"Salmonella II 9,46:z:e,n,x")</f>
        <v>Salmonella II 9,46:z:e,n,x</v>
      </c>
      <c r="B6672" t="str">
        <f ca="1">IFERROR(__xludf.DUMMYFUNCTION("""COMPUTED_VALUE"""),"RF-00002107-MCG")</f>
        <v>RF-00002107-MCG</v>
      </c>
    </row>
    <row r="6673" spans="1:2" ht="12.5" x14ac:dyDescent="0.25">
      <c r="A6673" t="str">
        <f ca="1">IFERROR(__xludf.DUMMYFUNCTION("""COMPUTED_VALUE"""),"Salmonella II 9,46:z4,z24:z39:z42")</f>
        <v>Salmonella II 9,46:z4,z24:z39:z42</v>
      </c>
      <c r="B6673" t="str">
        <f ca="1">IFERROR(__xludf.DUMMYFUNCTION("""COMPUTED_VALUE"""),"RF-00002112-MCG")</f>
        <v>RF-00002112-MCG</v>
      </c>
    </row>
    <row r="6674" spans="1:2" ht="12.5" x14ac:dyDescent="0.25">
      <c r="A6674" t="str">
        <f ca="1">IFERROR(__xludf.DUMMYFUNCTION("""COMPUTED_VALUE"""),"Salmonella IIb:k:1,5,7")</f>
        <v>Salmonella IIb:k:1,5,7</v>
      </c>
      <c r="B6674" t="str">
        <f ca="1">IFERROR(__xludf.DUMMYFUNCTION("""COMPUTED_VALUE"""),"RF-00002082-MCG")</f>
        <v>RF-00002082-MCG</v>
      </c>
    </row>
    <row r="6675" spans="1:2" ht="12.5" x14ac:dyDescent="0.25">
      <c r="A6675" t="str">
        <f ca="1">IFERROR(__xludf.DUMMYFUNCTION("""COMPUTED_VALUE"""),"Salmonella IIIa")</f>
        <v>Salmonella IIIa</v>
      </c>
      <c r="B6675" t="str">
        <f ca="1">IFERROR(__xludf.DUMMYFUNCTION("""COMPUTED_VALUE"""),"RF-00002096-MCG")</f>
        <v>RF-00002096-MCG</v>
      </c>
    </row>
    <row r="6676" spans="1:2" ht="12.5" x14ac:dyDescent="0.25">
      <c r="A6676" t="str">
        <f ca="1">IFERROR(__xludf.DUMMYFUNCTION("""COMPUTED_VALUE"""),"Salmonella IIIa 18:z4,z32:-")</f>
        <v>Salmonella IIIa 18:z4,z32:-</v>
      </c>
      <c r="B6676" t="str">
        <f ca="1">IFERROR(__xludf.DUMMYFUNCTION("""COMPUTED_VALUE"""),"RF-00002097-MCG")</f>
        <v>RF-00002097-MCG</v>
      </c>
    </row>
    <row r="6677" spans="1:2" ht="12.5" x14ac:dyDescent="0.25">
      <c r="A6677" t="str">
        <f ca="1">IFERROR(__xludf.DUMMYFUNCTION("""COMPUTED_VALUE"""),"Salmonella IIIa 41:z4,z23:-")</f>
        <v>Salmonella IIIa 41:z4,z23:-</v>
      </c>
      <c r="B6677" t="str">
        <f ca="1">IFERROR(__xludf.DUMMYFUNCTION("""COMPUTED_VALUE"""),"RF-00002098-MCG")</f>
        <v>RF-00002098-MCG</v>
      </c>
    </row>
    <row r="6678" spans="1:2" ht="12.5" x14ac:dyDescent="0.25">
      <c r="A6678" t="str">
        <f ca="1">IFERROR(__xludf.DUMMYFUNCTION("""COMPUTED_VALUE"""),"Salmonella IIIa 41:z41,z32:-")</f>
        <v>Salmonella IIIa 41:z41,z32:-</v>
      </c>
      <c r="B6678" t="str">
        <f ca="1">IFERROR(__xludf.DUMMYFUNCTION("""COMPUTED_VALUE"""),"RF-00002099-MCG")</f>
        <v>RF-00002099-MCG</v>
      </c>
    </row>
    <row r="6679" spans="1:2" ht="12.5" x14ac:dyDescent="0.25">
      <c r="A6679" t="str">
        <f ca="1">IFERROR(__xludf.DUMMYFUNCTION("""COMPUTED_VALUE"""),"Salmonella IIIa 44:z4,z24:-")</f>
        <v>Salmonella IIIa 44:z4,z24:-</v>
      </c>
      <c r="B6679" t="str">
        <f ca="1">IFERROR(__xludf.DUMMYFUNCTION("""COMPUTED_VALUE"""),"RF-00002100-MCG")</f>
        <v>RF-00002100-MCG</v>
      </c>
    </row>
    <row r="6680" spans="1:2" ht="12.5" x14ac:dyDescent="0.25">
      <c r="A6680" t="str">
        <f ca="1">IFERROR(__xludf.DUMMYFUNCTION("""COMPUTED_VALUE"""),"Salmonella IIIa 44:z4,z32:-")</f>
        <v>Salmonella IIIa 44:z4,z32:-</v>
      </c>
      <c r="B6680" t="str">
        <f ca="1">IFERROR(__xludf.DUMMYFUNCTION("""COMPUTED_VALUE"""),"RF-00002101-MCG")</f>
        <v>RF-00002101-MCG</v>
      </c>
    </row>
    <row r="6681" spans="1:2" ht="12.5" x14ac:dyDescent="0.25">
      <c r="A6681" t="str">
        <f ca="1">IFERROR(__xludf.DUMMYFUNCTION("""COMPUTED_VALUE"""),"Salmonella IIIa 48:g,z51:-")</f>
        <v>Salmonella IIIa 48:g,z51:-</v>
      </c>
      <c r="B6681" t="str">
        <f ca="1">IFERROR(__xludf.DUMMYFUNCTION("""COMPUTED_VALUE"""),"RF-00002102-MCG")</f>
        <v>RF-00002102-MCG</v>
      </c>
    </row>
    <row r="6682" spans="1:2" ht="12.5" x14ac:dyDescent="0.25">
      <c r="A6682" t="str">
        <f ca="1">IFERROR(__xludf.DUMMYFUNCTION("""COMPUTED_VALUE"""),"Salmonella IIIa 50:-:-")</f>
        <v>Salmonella IIIa 50:-:-</v>
      </c>
      <c r="B6682" t="str">
        <f ca="1">IFERROR(__xludf.DUMMYFUNCTION("""COMPUTED_VALUE"""),"RF-00002106-MCG")</f>
        <v>RF-00002106-MCG</v>
      </c>
    </row>
    <row r="6683" spans="1:2" ht="12.5" x14ac:dyDescent="0.25">
      <c r="A6683" t="str">
        <f ca="1">IFERROR(__xludf.DUMMYFUNCTION("""COMPUTED_VALUE"""),"Salmonella IIIb")</f>
        <v>Salmonella IIIb</v>
      </c>
      <c r="B6683" t="str">
        <f ca="1">IFERROR(__xludf.DUMMYFUNCTION("""COMPUTED_VALUE"""),"RF-00001824-MCG")</f>
        <v>RF-00001824-MCG</v>
      </c>
    </row>
    <row r="6684" spans="1:2" ht="12.5" x14ac:dyDescent="0.25">
      <c r="A6684" t="str">
        <f ca="1">IFERROR(__xludf.DUMMYFUNCTION("""COMPUTED_VALUE"""),"Salmonella IIIb 18:l,v:z")</f>
        <v>Salmonella IIIb 18:l,v:z</v>
      </c>
      <c r="B6684" t="str">
        <f ca="1">IFERROR(__xludf.DUMMYFUNCTION("""COMPUTED_VALUE"""),"RF-00001879-MCG")</f>
        <v>RF-00001879-MCG</v>
      </c>
    </row>
    <row r="6685" spans="1:2" ht="12.5" x14ac:dyDescent="0.25">
      <c r="A6685" t="str">
        <f ca="1">IFERROR(__xludf.DUMMYFUNCTION("""COMPUTED_VALUE"""),"Salmonella IIIb 38:k:z")</f>
        <v>Salmonella IIIb 38:k:z</v>
      </c>
      <c r="B6685" t="str">
        <f ca="1">IFERROR(__xludf.DUMMYFUNCTION("""COMPUTED_VALUE"""),"RF-00001878-MCG")</f>
        <v>RF-00001878-MCG</v>
      </c>
    </row>
    <row r="6686" spans="1:2" ht="12.5" x14ac:dyDescent="0.25">
      <c r="A6686" t="str">
        <f ca="1">IFERROR(__xludf.DUMMYFUNCTION("""COMPUTED_VALUE"""),"Salmonella IIIb 38:k:z35")</f>
        <v>Salmonella IIIb 38:k:z35</v>
      </c>
      <c r="B6686" t="str">
        <f ca="1">IFERROR(__xludf.DUMMYFUNCTION("""COMPUTED_VALUE"""),"RF-00001877-MCG")</f>
        <v>RF-00001877-MCG</v>
      </c>
    </row>
    <row r="6687" spans="1:2" ht="12.5" x14ac:dyDescent="0.25">
      <c r="A6687" t="str">
        <f ca="1">IFERROR(__xludf.DUMMYFUNCTION("""COMPUTED_VALUE"""),"Salmonella IIIb 43;r:e,n")</f>
        <v>Salmonella IIIb 43;r:e,n</v>
      </c>
      <c r="B6687" t="str">
        <f ca="1">IFERROR(__xludf.DUMMYFUNCTION("""COMPUTED_VALUE"""),"RF-00001876-MCG")</f>
        <v>RF-00001876-MCG</v>
      </c>
    </row>
    <row r="6688" spans="1:2" ht="12.5" x14ac:dyDescent="0.25">
      <c r="A6688" t="str">
        <f ca="1">IFERROR(__xludf.DUMMYFUNCTION("""COMPUTED_VALUE"""),"Salmonella IIIb 47")</f>
        <v>Salmonella IIIb 47</v>
      </c>
      <c r="B6688" t="str">
        <f ca="1">IFERROR(__xludf.DUMMYFUNCTION("""COMPUTED_VALUE"""),"RF-00001875-MCG")</f>
        <v>RF-00001875-MCG</v>
      </c>
    </row>
    <row r="6689" spans="1:2" ht="12.5" x14ac:dyDescent="0.25">
      <c r="A6689" t="str">
        <f ca="1">IFERROR(__xludf.DUMMYFUNCTION("""COMPUTED_VALUE"""),"Salmonella IIIb 47:z54:1,5")</f>
        <v>Salmonella IIIb 47:z54:1,5</v>
      </c>
      <c r="B6689" t="str">
        <f ca="1">IFERROR(__xludf.DUMMYFUNCTION("""COMPUTED_VALUE"""),"RF-00001874-MCG")</f>
        <v>RF-00001874-MCG</v>
      </c>
    </row>
    <row r="6690" spans="1:2" ht="12.5" x14ac:dyDescent="0.25">
      <c r="A6690" t="str">
        <f ca="1">IFERROR(__xludf.DUMMYFUNCTION("""COMPUTED_VALUE"""),"Salmonella IIIb 48:lv,z13:1,5,7")</f>
        <v>Salmonella IIIb 48:lv,z13:1,5,7</v>
      </c>
      <c r="B6690" t="str">
        <f ca="1">IFERROR(__xludf.DUMMYFUNCTION("""COMPUTED_VALUE"""),"RF-00001873-MCG")</f>
        <v>RF-00001873-MCG</v>
      </c>
    </row>
    <row r="6691" spans="1:2" ht="12.5" x14ac:dyDescent="0.25">
      <c r="A6691" t="str">
        <f ca="1">IFERROR(__xludf.DUMMYFUNCTION("""COMPUTED_VALUE"""),"Salmonella IIIb 50:z10:z")</f>
        <v>Salmonella IIIb 50:z10:z</v>
      </c>
      <c r="B6691" t="str">
        <f ca="1">IFERROR(__xludf.DUMMYFUNCTION("""COMPUTED_VALUE"""),"RF-00001872-MCG")</f>
        <v>RF-00001872-MCG</v>
      </c>
    </row>
    <row r="6692" spans="1:2" ht="12.5" x14ac:dyDescent="0.25">
      <c r="A6692" t="str">
        <f ca="1">IFERROR(__xludf.DUMMYFUNCTION("""COMPUTED_VALUE"""),"Salmonella IIIb 52,z,z52")</f>
        <v>Salmonella IIIb 52,z,z52</v>
      </c>
      <c r="B6692" t="str">
        <f ca="1">IFERROR(__xludf.DUMMYFUNCTION("""COMPUTED_VALUE"""),"RF-00001871-MCG")</f>
        <v>RF-00001871-MCG</v>
      </c>
    </row>
    <row r="6693" spans="1:2" ht="12.5" x14ac:dyDescent="0.25">
      <c r="A6693" t="str">
        <f ca="1">IFERROR(__xludf.DUMMYFUNCTION("""COMPUTED_VALUE"""),"Salmonella IIIb 57:k:e,n,x,z15")</f>
        <v>Salmonella IIIb 57:k:e,n,x,z15</v>
      </c>
      <c r="B6693" t="str">
        <f ca="1">IFERROR(__xludf.DUMMYFUNCTION("""COMPUTED_VALUE"""),"RF-00001870-MCG")</f>
        <v>RF-00001870-MCG</v>
      </c>
    </row>
    <row r="6694" spans="1:2" ht="12.5" x14ac:dyDescent="0.25">
      <c r="A6694" t="str">
        <f ca="1">IFERROR(__xludf.DUMMYFUNCTION("""COMPUTED_VALUE"""),"Salmonella IIIb 58:l,v:z35")</f>
        <v>Salmonella IIIb 58:l,v:z35</v>
      </c>
      <c r="B6694" t="str">
        <f ca="1">IFERROR(__xludf.DUMMYFUNCTION("""COMPUTED_VALUE"""),"RF-00001869-MCG")</f>
        <v>RF-00001869-MCG</v>
      </c>
    </row>
    <row r="6695" spans="1:2" ht="12.5" x14ac:dyDescent="0.25">
      <c r="A6695" t="str">
        <f ca="1">IFERROR(__xludf.DUMMYFUNCTION("""COMPUTED_VALUE"""),"Salmonella IIIb 60:-:-")</f>
        <v>Salmonella IIIb 60:-:-</v>
      </c>
      <c r="B6695" t="str">
        <f ca="1">IFERROR(__xludf.DUMMYFUNCTION("""COMPUTED_VALUE"""),"RF-00001868-MCG")</f>
        <v>RF-00001868-MCG</v>
      </c>
    </row>
    <row r="6696" spans="1:2" ht="12.5" x14ac:dyDescent="0.25">
      <c r="A6696" t="str">
        <f ca="1">IFERROR(__xludf.DUMMYFUNCTION("""COMPUTED_VALUE"""),"Salmonella IIIb 61")</f>
        <v>Salmonella IIIb 61</v>
      </c>
      <c r="B6696" t="str">
        <f ca="1">IFERROR(__xludf.DUMMYFUNCTION("""COMPUTED_VALUE"""),"RF-00001880-MCG")</f>
        <v>RF-00001880-MCG</v>
      </c>
    </row>
    <row r="6697" spans="1:2" ht="12.5" x14ac:dyDescent="0.25">
      <c r="A6697" t="str">
        <f ca="1">IFERROR(__xludf.DUMMYFUNCTION("""COMPUTED_VALUE"""),"Salmonella IIIb 61:-:1,5,7")</f>
        <v>Salmonella IIIb 61:-:1,5,7</v>
      </c>
      <c r="B6697" t="str">
        <f ca="1">IFERROR(__xludf.DUMMYFUNCTION("""COMPUTED_VALUE"""),"RF-00001864-MCG")</f>
        <v>RF-00001864-MCG</v>
      </c>
    </row>
    <row r="6698" spans="1:2" ht="12.5" x14ac:dyDescent="0.25">
      <c r="A6698" t="str">
        <f ca="1">IFERROR(__xludf.DUMMYFUNCTION("""COMPUTED_VALUE"""),"Salmonella IIIb 61:i:z")</f>
        <v>Salmonella IIIb 61:i:z</v>
      </c>
      <c r="B6698" t="str">
        <f ca="1">IFERROR(__xludf.DUMMYFUNCTION("""COMPUTED_VALUE"""),"RF-00001863-MCG")</f>
        <v>RF-00001863-MCG</v>
      </c>
    </row>
    <row r="6699" spans="1:2" ht="12.5" x14ac:dyDescent="0.25">
      <c r="A6699" t="str">
        <f ca="1">IFERROR(__xludf.DUMMYFUNCTION("""COMPUTED_VALUE"""),"Salmonella Ikayi")</f>
        <v>Salmonella Ikayi</v>
      </c>
      <c r="B6699" t="str">
        <f ca="1">IFERROR(__xludf.DUMMYFUNCTION("""COMPUTED_VALUE"""),"RF-00001860-MCG")</f>
        <v>RF-00001860-MCG</v>
      </c>
    </row>
    <row r="6700" spans="1:2" ht="12.5" x14ac:dyDescent="0.25">
      <c r="A6700" t="str">
        <f ca="1">IFERROR(__xludf.DUMMYFUNCTION("""COMPUTED_VALUE"""),"Salmonella Ikeja")</f>
        <v>Salmonella Ikeja</v>
      </c>
      <c r="B6700" t="str">
        <f ca="1">IFERROR(__xludf.DUMMYFUNCTION("""COMPUTED_VALUE"""),"RF-00001859-MCG")</f>
        <v>RF-00001859-MCG</v>
      </c>
    </row>
    <row r="6701" spans="1:2" ht="12.5" x14ac:dyDescent="0.25">
      <c r="A6701" t="str">
        <f ca="1">IFERROR(__xludf.DUMMYFUNCTION("""COMPUTED_VALUE"""),"Salmonella Ilala")</f>
        <v>Salmonella Ilala</v>
      </c>
      <c r="B6701" t="str">
        <f ca="1">IFERROR(__xludf.DUMMYFUNCTION("""COMPUTED_VALUE"""),"RF-00001858-MCG")</f>
        <v>RF-00001858-MCG</v>
      </c>
    </row>
    <row r="6702" spans="1:2" ht="12.5" x14ac:dyDescent="0.25">
      <c r="A6702" t="str">
        <f ca="1">IFERROR(__xludf.DUMMYFUNCTION("""COMPUTED_VALUE"""),"Salmonella Ilugun")</f>
        <v>Salmonella Ilugun</v>
      </c>
      <c r="B6702" t="str">
        <f ca="1">IFERROR(__xludf.DUMMYFUNCTION("""COMPUTED_VALUE"""),"RF-00001857-MCG")</f>
        <v>RF-00001857-MCG</v>
      </c>
    </row>
    <row r="6703" spans="1:2" ht="12.5" x14ac:dyDescent="0.25">
      <c r="A6703" t="str">
        <f ca="1">IFERROR(__xludf.DUMMYFUNCTION("""COMPUTED_VALUE"""),"Salmonella Imo")</f>
        <v>Salmonella Imo</v>
      </c>
      <c r="B6703" t="str">
        <f ca="1">IFERROR(__xludf.DUMMYFUNCTION("""COMPUTED_VALUE"""),"RF-00001856-MCG")</f>
        <v>RF-00001856-MCG</v>
      </c>
    </row>
    <row r="6704" spans="1:2" ht="12.5" x14ac:dyDescent="0.25">
      <c r="A6704" t="str">
        <f ca="1">IFERROR(__xludf.DUMMYFUNCTION("""COMPUTED_VALUE"""),"Salmonella Inchpark")</f>
        <v>Salmonella Inchpark</v>
      </c>
      <c r="B6704" t="str">
        <f ca="1">IFERROR(__xludf.DUMMYFUNCTION("""COMPUTED_VALUE"""),"RF-00001855-MCG")</f>
        <v>RF-00001855-MCG</v>
      </c>
    </row>
    <row r="6705" spans="1:2" ht="12.5" x14ac:dyDescent="0.25">
      <c r="A6705" t="str">
        <f ca="1">IFERROR(__xludf.DUMMYFUNCTION("""COMPUTED_VALUE"""),"Salmonella India")</f>
        <v>Salmonella India</v>
      </c>
      <c r="B6705" t="str">
        <f ca="1">IFERROR(__xludf.DUMMYFUNCTION("""COMPUTED_VALUE"""),"RF-00001854-MCG")</f>
        <v>RF-00001854-MCG</v>
      </c>
    </row>
    <row r="6706" spans="1:2" ht="12.5" x14ac:dyDescent="0.25">
      <c r="A6706" t="str">
        <f ca="1">IFERROR(__xludf.DUMMYFUNCTION("""COMPUTED_VALUE"""),"Salmonella Indiana")</f>
        <v>Salmonella Indiana</v>
      </c>
      <c r="B6706" t="str">
        <f ca="1">IFERROR(__xludf.DUMMYFUNCTION("""COMPUTED_VALUE"""),"RF-00001853-MCG")</f>
        <v>RF-00001853-MCG</v>
      </c>
    </row>
    <row r="6707" spans="1:2" ht="12.5" x14ac:dyDescent="0.25">
      <c r="A6707" t="str">
        <f ca="1">IFERROR(__xludf.DUMMYFUNCTION("""COMPUTED_VALUE"""),"Salmonella Infantis")</f>
        <v>Salmonella Infantis</v>
      </c>
      <c r="B6707" t="str">
        <f ca="1">IFERROR(__xludf.DUMMYFUNCTION("""COMPUTED_VALUE"""),"RF-00001894-MCG")</f>
        <v>RF-00001894-MCG</v>
      </c>
    </row>
    <row r="6708" spans="1:2" ht="12.5" x14ac:dyDescent="0.25">
      <c r="A6708" t="str">
        <f ca="1">IFERROR(__xludf.DUMMYFUNCTION("""COMPUTED_VALUE"""),"Salmonella Inganda")</f>
        <v>Salmonella Inganda</v>
      </c>
      <c r="B6708" t="str">
        <f ca="1">IFERROR(__xludf.DUMMYFUNCTION("""COMPUTED_VALUE"""),"RF-00001896-MCG")</f>
        <v>RF-00001896-MCG</v>
      </c>
    </row>
    <row r="6709" spans="1:2" ht="12.5" x14ac:dyDescent="0.25">
      <c r="A6709" t="str">
        <f ca="1">IFERROR(__xludf.DUMMYFUNCTION("""COMPUTED_VALUE"""),"Salmonella Inglis")</f>
        <v>Salmonella Inglis</v>
      </c>
      <c r="B6709" t="str">
        <f ca="1">IFERROR(__xludf.DUMMYFUNCTION("""COMPUTED_VALUE"""),"RF-00001867-MCG")</f>
        <v>RF-00001867-MCG</v>
      </c>
    </row>
    <row r="6710" spans="1:2" ht="12.5" x14ac:dyDescent="0.25">
      <c r="A6710" t="str">
        <f ca="1">IFERROR(__xludf.DUMMYFUNCTION("""COMPUTED_VALUE"""),"Salmonella Inpraw")</f>
        <v>Salmonella Inpraw</v>
      </c>
      <c r="B6710" t="str">
        <f ca="1">IFERROR(__xludf.DUMMYFUNCTION("""COMPUTED_VALUE"""),"RF-00001908-MCG")</f>
        <v>RF-00001908-MCG</v>
      </c>
    </row>
    <row r="6711" spans="1:2" ht="12.5" x14ac:dyDescent="0.25">
      <c r="A6711" t="str">
        <f ca="1">IFERROR(__xludf.DUMMYFUNCTION("""COMPUTED_VALUE"""),"Salmonella Inverness")</f>
        <v>Salmonella Inverness</v>
      </c>
      <c r="B6711" t="str">
        <f ca="1">IFERROR(__xludf.DUMMYFUNCTION("""COMPUTED_VALUE"""),"RF-00001906-MCG")</f>
        <v>RF-00001906-MCG</v>
      </c>
    </row>
    <row r="6712" spans="1:2" ht="12.5" x14ac:dyDescent="0.25">
      <c r="A6712" t="str">
        <f ca="1">IFERROR(__xludf.DUMMYFUNCTION("""COMPUTED_VALUE"""),"Salmonella Ipeko")</f>
        <v>Salmonella Ipeko</v>
      </c>
      <c r="B6712" t="str">
        <f ca="1">IFERROR(__xludf.DUMMYFUNCTION("""COMPUTED_VALUE"""),"RF-00001905-MCG")</f>
        <v>RF-00001905-MCG</v>
      </c>
    </row>
    <row r="6713" spans="1:2" ht="12.5" x14ac:dyDescent="0.25">
      <c r="A6713" t="str">
        <f ca="1">IFERROR(__xludf.DUMMYFUNCTION("""COMPUTED_VALUE"""),"Salmonella Ipswich")</f>
        <v>Salmonella Ipswich</v>
      </c>
      <c r="B6713" t="str">
        <f ca="1">IFERROR(__xludf.DUMMYFUNCTION("""COMPUTED_VALUE"""),"RF-00001904-MCG")</f>
        <v>RF-00001904-MCG</v>
      </c>
    </row>
    <row r="6714" spans="1:2" ht="12.5" x14ac:dyDescent="0.25">
      <c r="A6714" t="str">
        <f ca="1">IFERROR(__xludf.DUMMYFUNCTION("""COMPUTED_VALUE"""),"Salmonella Irchel")</f>
        <v>Salmonella Irchel</v>
      </c>
      <c r="B6714" t="str">
        <f ca="1">IFERROR(__xludf.DUMMYFUNCTION("""COMPUTED_VALUE"""),"RF-00001903-MCG")</f>
        <v>RF-00001903-MCG</v>
      </c>
    </row>
    <row r="6715" spans="1:2" ht="12.5" x14ac:dyDescent="0.25">
      <c r="A6715" t="str">
        <f ca="1">IFERROR(__xludf.DUMMYFUNCTION("""COMPUTED_VALUE"""),"Salmonella Irenea")</f>
        <v>Salmonella Irenea</v>
      </c>
      <c r="B6715" t="str">
        <f ca="1">IFERROR(__xludf.DUMMYFUNCTION("""COMPUTED_VALUE"""),"RF-00001902-MCG")</f>
        <v>RF-00001902-MCG</v>
      </c>
    </row>
    <row r="6716" spans="1:2" ht="12.5" x14ac:dyDescent="0.25">
      <c r="A6716" t="str">
        <f ca="1">IFERROR(__xludf.DUMMYFUNCTION("""COMPUTED_VALUE"""),"Salmonella Irigny")</f>
        <v>Salmonella Irigny</v>
      </c>
      <c r="B6716" t="str">
        <f ca="1">IFERROR(__xludf.DUMMYFUNCTION("""COMPUTED_VALUE"""),"RF-00001901-MCG")</f>
        <v>RF-00001901-MCG</v>
      </c>
    </row>
    <row r="6717" spans="1:2" ht="12.5" x14ac:dyDescent="0.25">
      <c r="A6717" t="str">
        <f ca="1">IFERROR(__xludf.DUMMYFUNCTION("""COMPUTED_VALUE"""),"Salmonella Irumu")</f>
        <v>Salmonella Irumu</v>
      </c>
      <c r="B6717" t="str">
        <f ca="1">IFERROR(__xludf.DUMMYFUNCTION("""COMPUTED_VALUE"""),"RF-00001900-MCG")</f>
        <v>RF-00001900-MCG</v>
      </c>
    </row>
    <row r="6718" spans="1:2" ht="12.5" x14ac:dyDescent="0.25">
      <c r="A6718" t="str">
        <f ca="1">IFERROR(__xludf.DUMMYFUNCTION("""COMPUTED_VALUE"""),"Salmonella Isangi")</f>
        <v>Salmonella Isangi</v>
      </c>
      <c r="B6718" t="str">
        <f ca="1">IFERROR(__xludf.DUMMYFUNCTION("""COMPUTED_VALUE"""),"RF-00001899-MCG")</f>
        <v>RF-00001899-MCG</v>
      </c>
    </row>
    <row r="6719" spans="1:2" ht="12.5" x14ac:dyDescent="0.25">
      <c r="A6719" t="str">
        <f ca="1">IFERROR(__xludf.DUMMYFUNCTION("""COMPUTED_VALUE"""),"Salmonella Isaszeg")</f>
        <v>Salmonella Isaszeg</v>
      </c>
      <c r="B6719" t="str">
        <f ca="1">IFERROR(__xludf.DUMMYFUNCTION("""COMPUTED_VALUE"""),"RF-00001898-MCG")</f>
        <v>RF-00001898-MCG</v>
      </c>
    </row>
    <row r="6720" spans="1:2" ht="12.5" x14ac:dyDescent="0.25">
      <c r="A6720" t="str">
        <f ca="1">IFERROR(__xludf.DUMMYFUNCTION("""COMPUTED_VALUE"""),"Salmonella Israel")</f>
        <v>Salmonella Israel</v>
      </c>
      <c r="B6720" t="str">
        <f ca="1">IFERROR(__xludf.DUMMYFUNCTION("""COMPUTED_VALUE"""),"RF-00001897-MCG")</f>
        <v>RF-00001897-MCG</v>
      </c>
    </row>
    <row r="6721" spans="1:2" ht="12.5" x14ac:dyDescent="0.25">
      <c r="A6721" t="str">
        <f ca="1">IFERROR(__xludf.DUMMYFUNCTION("""COMPUTED_VALUE"""),"Salmonella Istanbul")</f>
        <v>Salmonella Istanbul</v>
      </c>
      <c r="B6721" t="str">
        <f ca="1">IFERROR(__xludf.DUMMYFUNCTION("""COMPUTED_VALUE"""),"RF-00001881-MCG")</f>
        <v>RF-00001881-MCG</v>
      </c>
    </row>
    <row r="6722" spans="1:2" ht="12.5" x14ac:dyDescent="0.25">
      <c r="A6722" t="str">
        <f ca="1">IFERROR(__xludf.DUMMYFUNCTION("""COMPUTED_VALUE"""),"Salmonella Istoria")</f>
        <v>Salmonella Istoria</v>
      </c>
      <c r="B6722" t="str">
        <f ca="1">IFERROR(__xludf.DUMMYFUNCTION("""COMPUTED_VALUE"""),"RF-00001895-MCG")</f>
        <v>RF-00001895-MCG</v>
      </c>
    </row>
    <row r="6723" spans="1:2" ht="12.5" x14ac:dyDescent="0.25">
      <c r="A6723" t="str">
        <f ca="1">IFERROR(__xludf.DUMMYFUNCTION("""COMPUTED_VALUE"""),"Salmonella Isuge")</f>
        <v>Salmonella Isuge</v>
      </c>
      <c r="B6723" t="str">
        <f ca="1">IFERROR(__xludf.DUMMYFUNCTION("""COMPUTED_VALUE"""),"RF-00001910-MCG")</f>
        <v>RF-00001910-MCG</v>
      </c>
    </row>
    <row r="6724" spans="1:2" ht="12.5" x14ac:dyDescent="0.25">
      <c r="A6724" t="str">
        <f ca="1">IFERROR(__xludf.DUMMYFUNCTION("""COMPUTED_VALUE"""),"Salmonella Itami")</f>
        <v>Salmonella Itami</v>
      </c>
      <c r="B6724" t="str">
        <f ca="1">IFERROR(__xludf.DUMMYFUNCTION("""COMPUTED_VALUE"""),"RF-00001893-MCG")</f>
        <v>RF-00001893-MCG</v>
      </c>
    </row>
    <row r="6725" spans="1:2" ht="12.5" x14ac:dyDescent="0.25">
      <c r="A6725" t="str">
        <f ca="1">IFERROR(__xludf.DUMMYFUNCTION("""COMPUTED_VALUE"""),"Salmonella Ituri")</f>
        <v>Salmonella Ituri</v>
      </c>
      <c r="B6725" t="str">
        <f ca="1">IFERROR(__xludf.DUMMYFUNCTION("""COMPUTED_VALUE"""),"RF-00001892-MCG")</f>
        <v>RF-00001892-MCG</v>
      </c>
    </row>
    <row r="6726" spans="1:2" ht="12.5" x14ac:dyDescent="0.25">
      <c r="A6726" t="str">
        <f ca="1">IFERROR(__xludf.DUMMYFUNCTION("""COMPUTED_VALUE"""),"Salmonella Itutaba")</f>
        <v>Salmonella Itutaba</v>
      </c>
      <c r="B6726" t="str">
        <f ca="1">IFERROR(__xludf.DUMMYFUNCTION("""COMPUTED_VALUE"""),"RF-00001891-MCG")</f>
        <v>RF-00001891-MCG</v>
      </c>
    </row>
    <row r="6727" spans="1:2" ht="12.5" x14ac:dyDescent="0.25">
      <c r="A6727" t="str">
        <f ca="1">IFERROR(__xludf.DUMMYFUNCTION("""COMPUTED_VALUE"""),"Salmonella IV 1,53:z36,z38:-")</f>
        <v>Salmonella IV 1,53:z36,z38:-</v>
      </c>
      <c r="B6727" t="str">
        <f ca="1">IFERROR(__xludf.DUMMYFUNCTION("""COMPUTED_VALUE"""),"RF-00001886-MCG")</f>
        <v>RF-00001886-MCG</v>
      </c>
    </row>
    <row r="6728" spans="1:2" ht="12.5" x14ac:dyDescent="0.25">
      <c r="A6728" t="str">
        <f ca="1">IFERROR(__xludf.DUMMYFUNCTION("""COMPUTED_VALUE"""),"Salmonella IV 11:g,z51:-")</f>
        <v>Salmonella IV 11:g,z51:-</v>
      </c>
      <c r="B6728" t="str">
        <f ca="1">IFERROR(__xludf.DUMMYFUNCTION("""COMPUTED_VALUE"""),"RF-00001885-MCG")</f>
        <v>RF-00001885-MCG</v>
      </c>
    </row>
    <row r="6729" spans="1:2" ht="12.5" x14ac:dyDescent="0.25">
      <c r="A6729" t="str">
        <f ca="1">IFERROR(__xludf.DUMMYFUNCTION("""COMPUTED_VALUE"""),"Salmonella IV 11:z4,z23:-")</f>
        <v>Salmonella IV 11:z4,z23:-</v>
      </c>
      <c r="B6729" t="str">
        <f ca="1">IFERROR(__xludf.DUMMYFUNCTION("""COMPUTED_VALUE"""),"RF-00001884-MCG")</f>
        <v>RF-00001884-MCG</v>
      </c>
    </row>
    <row r="6730" spans="1:2" ht="12.5" x14ac:dyDescent="0.25">
      <c r="A6730" t="str">
        <f ca="1">IFERROR(__xludf.DUMMYFUNCTION("""COMPUTED_VALUE"""),"Salmonella IV 16:z4,z23:-")</f>
        <v>Salmonella IV 16:z4,z23:-</v>
      </c>
      <c r="B6730" t="str">
        <f ca="1">IFERROR(__xludf.DUMMYFUNCTION("""COMPUTED_VALUE"""),"RF-00001883-MCG")</f>
        <v>RF-00001883-MCG</v>
      </c>
    </row>
    <row r="6731" spans="1:2" ht="12.5" x14ac:dyDescent="0.25">
      <c r="A6731" t="str">
        <f ca="1">IFERROR(__xludf.DUMMYFUNCTION("""COMPUTED_VALUE"""),"Salmonella IV 16:z4,z32:-")</f>
        <v>Salmonella IV 16:z4,z32:-</v>
      </c>
      <c r="B6731" t="str">
        <f ca="1">IFERROR(__xludf.DUMMYFUNCTION("""COMPUTED_VALUE"""),"RF-00001838-MCG")</f>
        <v>RF-00001838-MCG</v>
      </c>
    </row>
    <row r="6732" spans="1:2" ht="12.5" x14ac:dyDescent="0.25">
      <c r="A6732" t="str">
        <f ca="1">IFERROR(__xludf.DUMMYFUNCTION("""COMPUTED_VALUE"""),"Salmonella IV 18:z36,z38:-")</f>
        <v>Salmonella IV 18:z36,z38:-</v>
      </c>
      <c r="B6732" t="str">
        <f ca="1">IFERROR(__xludf.DUMMYFUNCTION("""COMPUTED_VALUE"""),"RF-00001909-MCG")</f>
        <v>RF-00001909-MCG</v>
      </c>
    </row>
    <row r="6733" spans="1:2" ht="12.5" x14ac:dyDescent="0.25">
      <c r="A6733" t="str">
        <f ca="1">IFERROR(__xludf.DUMMYFUNCTION("""COMPUTED_VALUE"""),"Salmonella IV 21:z4,z23:-")</f>
        <v>Salmonella IV 21:z4,z23:-</v>
      </c>
      <c r="B6733" t="str">
        <f ca="1">IFERROR(__xludf.DUMMYFUNCTION("""COMPUTED_VALUE"""),"RF-00001865-MCG")</f>
        <v>RF-00001865-MCG</v>
      </c>
    </row>
    <row r="6734" spans="1:2" ht="12.5" x14ac:dyDescent="0.25">
      <c r="A6734" t="str">
        <f ca="1">IFERROR(__xludf.DUMMYFUNCTION("""COMPUTED_VALUE"""),"Salmonella IV 40:z4,z32:-")</f>
        <v>Salmonella IV 40:z4,z32:-</v>
      </c>
      <c r="B6734" t="str">
        <f ca="1">IFERROR(__xludf.DUMMYFUNCTION("""COMPUTED_VALUE"""),"RF-00001821-MCG")</f>
        <v>RF-00001821-MCG</v>
      </c>
    </row>
    <row r="6735" spans="1:2" ht="12.5" x14ac:dyDescent="0.25">
      <c r="A6735" t="str">
        <f ca="1">IFERROR(__xludf.DUMMYFUNCTION("""COMPUTED_VALUE"""),"Salmonella IV 43:z36,z38:-")</f>
        <v>Salmonella IV 43:z36,z38:-</v>
      </c>
      <c r="B6735" t="str">
        <f ca="1">IFERROR(__xludf.DUMMYFUNCTION("""COMPUTED_VALUE"""),"RF-00001820-MCG")</f>
        <v>RF-00001820-MCG</v>
      </c>
    </row>
    <row r="6736" spans="1:2" ht="12.5" x14ac:dyDescent="0.25">
      <c r="A6736" t="str">
        <f ca="1">IFERROR(__xludf.DUMMYFUNCTION("""COMPUTED_VALUE"""),"Salmonella IV 43:z4,z23:-")</f>
        <v>Salmonella IV 43:z4,z23:-</v>
      </c>
      <c r="B6736" t="str">
        <f ca="1">IFERROR(__xludf.DUMMYFUNCTION("""COMPUTED_VALUE"""),"RF-00001819-MCG")</f>
        <v>RF-00001819-MCG</v>
      </c>
    </row>
    <row r="6737" spans="1:2" ht="12.5" x14ac:dyDescent="0.25">
      <c r="A6737" t="str">
        <f ca="1">IFERROR(__xludf.DUMMYFUNCTION("""COMPUTED_VALUE"""),"Salmonella IV 43:z4,z24:-")</f>
        <v>Salmonella IV 43:z4,z24:-</v>
      </c>
      <c r="B6737" t="str">
        <f ca="1">IFERROR(__xludf.DUMMYFUNCTION("""COMPUTED_VALUE"""),"RF-00001818-MCG")</f>
        <v>RF-00001818-MCG</v>
      </c>
    </row>
    <row r="6738" spans="1:2" ht="12.5" x14ac:dyDescent="0.25">
      <c r="A6738" t="str">
        <f ca="1">IFERROR(__xludf.DUMMYFUNCTION("""COMPUTED_VALUE"""),"Salmonella IV 43:z4,z32:-")</f>
        <v>Salmonella IV 43:z4,z32:-</v>
      </c>
      <c r="B6738" t="str">
        <f ca="1">IFERROR(__xludf.DUMMYFUNCTION("""COMPUTED_VALUE"""),"RF-00001817-MCG")</f>
        <v>RF-00001817-MCG</v>
      </c>
    </row>
    <row r="6739" spans="1:2" ht="12.5" x14ac:dyDescent="0.25">
      <c r="A6739" t="str">
        <f ca="1">IFERROR(__xludf.DUMMYFUNCTION("""COMPUTED_VALUE"""),"Salmonella IV 44")</f>
        <v>Salmonella IV 44</v>
      </c>
      <c r="B6739" t="str">
        <f ca="1">IFERROR(__xludf.DUMMYFUNCTION("""COMPUTED_VALUE"""),"RF-00001816-MCG")</f>
        <v>RF-00001816-MCG</v>
      </c>
    </row>
    <row r="6740" spans="1:2" ht="12.5" x14ac:dyDescent="0.25">
      <c r="A6740" t="str">
        <f ca="1">IFERROR(__xludf.DUMMYFUNCTION("""COMPUTED_VALUE"""),"Salmonella IV 44:a:-")</f>
        <v>Salmonella IV 44:a:-</v>
      </c>
      <c r="B6740" t="str">
        <f ca="1">IFERROR(__xludf.DUMMYFUNCTION("""COMPUTED_VALUE"""),"RF-00001815-MCG")</f>
        <v>RF-00001815-MCG</v>
      </c>
    </row>
    <row r="6741" spans="1:2" ht="12.5" x14ac:dyDescent="0.25">
      <c r="A6741" t="str">
        <f ca="1">IFERROR(__xludf.DUMMYFUNCTION("""COMPUTED_VALUE"""),"Salmonella IV 44:z4,z32:-")</f>
        <v>Salmonella IV 44:z4,z32:-</v>
      </c>
      <c r="B6741" t="str">
        <f ca="1">IFERROR(__xludf.DUMMYFUNCTION("""COMPUTED_VALUE"""),"RF-00001814-MCG")</f>
        <v>RF-00001814-MCG</v>
      </c>
    </row>
    <row r="6742" spans="1:2" ht="12.5" x14ac:dyDescent="0.25">
      <c r="A6742" t="str">
        <f ca="1">IFERROR(__xludf.DUMMYFUNCTION("""COMPUTED_VALUE"""),"Salmonella IV 48:g,z51:-")</f>
        <v>Salmonella IV 48:g,z51:-</v>
      </c>
      <c r="B6742" t="str">
        <f ca="1">IFERROR(__xludf.DUMMYFUNCTION("""COMPUTED_VALUE"""),"RF-00001813-MCG")</f>
        <v>RF-00001813-MCG</v>
      </c>
    </row>
    <row r="6743" spans="1:2" ht="12.5" x14ac:dyDescent="0.25">
      <c r="A6743" t="str">
        <f ca="1">IFERROR(__xludf.DUMMYFUNCTION("""COMPUTED_VALUE"""),"Salmonella IV 50:b:-")</f>
        <v>Salmonella IV 50:b:-</v>
      </c>
      <c r="B6743" t="str">
        <f ca="1">IFERROR(__xludf.DUMMYFUNCTION("""COMPUTED_VALUE"""),"RF-00001812-MCG")</f>
        <v>RF-00001812-MCG</v>
      </c>
    </row>
    <row r="6744" spans="1:2" ht="12.5" x14ac:dyDescent="0.25">
      <c r="A6744" t="str">
        <f ca="1">IFERROR(__xludf.DUMMYFUNCTION("""COMPUTED_VALUE"""),"Salmonella IV 50:g,z51:-")</f>
        <v>Salmonella IV 50:g,z51:-</v>
      </c>
      <c r="B6744" t="str">
        <f ca="1">IFERROR(__xludf.DUMMYFUNCTION("""COMPUTED_VALUE"""),"RF-00001811-MCG")</f>
        <v>RF-00001811-MCG</v>
      </c>
    </row>
    <row r="6745" spans="1:2" ht="12.5" x14ac:dyDescent="0.25">
      <c r="A6745" t="str">
        <f ca="1">IFERROR(__xludf.DUMMYFUNCTION("""COMPUTED_VALUE"""),"Salmonella IV 50:z4,z23:-")</f>
        <v>Salmonella IV 50:z4,z23:-</v>
      </c>
      <c r="B6745" t="str">
        <f ca="1">IFERROR(__xludf.DUMMYFUNCTION("""COMPUTED_VALUE"""),"RF-00001810-MCG")</f>
        <v>RF-00001810-MCG</v>
      </c>
    </row>
    <row r="6746" spans="1:2" ht="12.5" x14ac:dyDescent="0.25">
      <c r="A6746" t="str">
        <f ca="1">IFERROR(__xludf.DUMMYFUNCTION("""COMPUTED_VALUE"""),"Salmonella IV 50:z4,z24:-")</f>
        <v>Salmonella IV 50:z4,z24:-</v>
      </c>
      <c r="B6746" t="str">
        <f ca="1">IFERROR(__xludf.DUMMYFUNCTION("""COMPUTED_VALUE"""),"RF-00001794-MCG")</f>
        <v>RF-00001794-MCG</v>
      </c>
    </row>
    <row r="6747" spans="1:2" ht="12.5" x14ac:dyDescent="0.25">
      <c r="A6747" t="str">
        <f ca="1">IFERROR(__xludf.DUMMYFUNCTION("""COMPUTED_VALUE"""),"Salmonella IV 51:z4,z23:-")</f>
        <v>Salmonella IV 51:z4,z23:-</v>
      </c>
      <c r="B6747" t="str">
        <f ca="1">IFERROR(__xludf.DUMMYFUNCTION("""COMPUTED_VALUE"""),"RF-00001808-MCG")</f>
        <v>RF-00001808-MCG</v>
      </c>
    </row>
    <row r="6748" spans="1:2" ht="12.5" x14ac:dyDescent="0.25">
      <c r="A6748" t="str">
        <f ca="1">IFERROR(__xludf.DUMMYFUNCTION("""COMPUTED_VALUE"""),"Salmonella IV 6,7:z36:-")</f>
        <v>Salmonella IV 6,7:z36:-</v>
      </c>
      <c r="B6748" t="str">
        <f ca="1">IFERROR(__xludf.DUMMYFUNCTION("""COMPUTED_VALUE"""),"RF-00001822-MCG")</f>
        <v>RF-00001822-MCG</v>
      </c>
    </row>
    <row r="6749" spans="1:2" ht="12.5" x14ac:dyDescent="0.25">
      <c r="A6749" t="str">
        <f ca="1">IFERROR(__xludf.DUMMYFUNCTION("""COMPUTED_VALUE"""),"Salmonella IV 6,7:z4,z23:-")</f>
        <v>Salmonella IV 6,7:z4,z23:-</v>
      </c>
      <c r="B6749" t="str">
        <f ca="1">IFERROR(__xludf.DUMMYFUNCTION("""COMPUTED_VALUE"""),"RF-00000906-MCG")</f>
        <v>RF-00000906-MCG</v>
      </c>
    </row>
    <row r="6750" spans="1:2" ht="12.5" x14ac:dyDescent="0.25">
      <c r="A6750" t="str">
        <f ca="1">IFERROR(__xludf.DUMMYFUNCTION("""COMPUTED_VALUE"""),"Salmonella IV 6,7:z4,z24:-")</f>
        <v>Salmonella IV 6,7:z4,z24:-</v>
      </c>
      <c r="B6750" t="str">
        <f ca="1">IFERROR(__xludf.DUMMYFUNCTION("""COMPUTED_VALUE"""),"RF-00000905-MCG")</f>
        <v>RF-00000905-MCG</v>
      </c>
    </row>
    <row r="6751" spans="1:2" ht="12.5" x14ac:dyDescent="0.25">
      <c r="A6751" t="str">
        <f ca="1">IFERROR(__xludf.DUMMYFUNCTION("""COMPUTED_VALUE"""),"Salmonella Ivory")</f>
        <v>Salmonella Ivory</v>
      </c>
      <c r="B6751" t="str">
        <f ca="1">IFERROR(__xludf.DUMMYFUNCTION("""COMPUTED_VALUE"""),"RF-00000902-MCG")</f>
        <v>RF-00000902-MCG</v>
      </c>
    </row>
    <row r="6752" spans="1:2" ht="12.5" x14ac:dyDescent="0.25">
      <c r="A6752" t="str">
        <f ca="1">IFERROR(__xludf.DUMMYFUNCTION("""COMPUTED_VALUE"""),"Salmonella Ivorycoast")</f>
        <v>Salmonella Ivorycoast</v>
      </c>
      <c r="B6752" t="str">
        <f ca="1">IFERROR(__xludf.DUMMYFUNCTION("""COMPUTED_VALUE"""),"RF-00000915-MCG")</f>
        <v>RF-00000915-MCG</v>
      </c>
    </row>
    <row r="6753" spans="1:2" ht="12.5" x14ac:dyDescent="0.25">
      <c r="A6753" t="str">
        <f ca="1">IFERROR(__xludf.DUMMYFUNCTION("""COMPUTED_VALUE"""),"Salmonella Jaffna")</f>
        <v>Salmonella Jaffna</v>
      </c>
      <c r="B6753" t="str">
        <f ca="1">IFERROR(__xludf.DUMMYFUNCTION("""COMPUTED_VALUE"""),"RF-00000900-MCG")</f>
        <v>RF-00000900-MCG</v>
      </c>
    </row>
    <row r="6754" spans="1:2" ht="12.5" x14ac:dyDescent="0.25">
      <c r="A6754" t="str">
        <f ca="1">IFERROR(__xludf.DUMMYFUNCTION("""COMPUTED_VALUE"""),"Salmonella Jalisco")</f>
        <v>Salmonella Jalisco</v>
      </c>
      <c r="B6754" t="str">
        <f ca="1">IFERROR(__xludf.DUMMYFUNCTION("""COMPUTED_VALUE"""),"RF-00000899-MCG")</f>
        <v>RF-00000899-MCG</v>
      </c>
    </row>
    <row r="6755" spans="1:2" ht="12.5" x14ac:dyDescent="0.25">
      <c r="A6755" t="str">
        <f ca="1">IFERROR(__xludf.DUMMYFUNCTION("""COMPUTED_VALUE"""),"Salmonella Jamaica")</f>
        <v>Salmonella Jamaica</v>
      </c>
      <c r="B6755" t="str">
        <f ca="1">IFERROR(__xludf.DUMMYFUNCTION("""COMPUTED_VALUE"""),"RF-00000898-MCG")</f>
        <v>RF-00000898-MCG</v>
      </c>
    </row>
    <row r="6756" spans="1:2" ht="12.5" x14ac:dyDescent="0.25">
      <c r="A6756" t="str">
        <f ca="1">IFERROR(__xludf.DUMMYFUNCTION("""COMPUTED_VALUE"""),"Salmonella Jambur")</f>
        <v>Salmonella Jambur</v>
      </c>
      <c r="B6756" t="str">
        <f ca="1">IFERROR(__xludf.DUMMYFUNCTION("""COMPUTED_VALUE"""),"RF-00000897-MCG")</f>
        <v>RF-00000897-MCG</v>
      </c>
    </row>
    <row r="6757" spans="1:2" ht="12.5" x14ac:dyDescent="0.25">
      <c r="A6757" t="str">
        <f ca="1">IFERROR(__xludf.DUMMYFUNCTION("""COMPUTED_VALUE"""),"Salmonella Jangwani")</f>
        <v>Salmonella Jangwani</v>
      </c>
      <c r="B6757" t="str">
        <f ca="1">IFERROR(__xludf.DUMMYFUNCTION("""COMPUTED_VALUE"""),"RF-00000896-MCG")</f>
        <v>RF-00000896-MCG</v>
      </c>
    </row>
    <row r="6758" spans="1:2" ht="12.5" x14ac:dyDescent="0.25">
      <c r="A6758" t="str">
        <f ca="1">IFERROR(__xludf.DUMMYFUNCTION("""COMPUTED_VALUE"""),"Salmonella Java")</f>
        <v>Salmonella Java</v>
      </c>
      <c r="B6758" t="str">
        <f ca="1">IFERROR(__xludf.DUMMYFUNCTION("""COMPUTED_VALUE"""),"RF-00001325-MCG")</f>
        <v>RF-00001325-MCG</v>
      </c>
    </row>
    <row r="6759" spans="1:2" ht="12.5" x14ac:dyDescent="0.25">
      <c r="A6759" t="str">
        <f ca="1">IFERROR(__xludf.DUMMYFUNCTION("""COMPUTED_VALUE"""),"Salmonella Javiana")</f>
        <v>Salmonella Javiana</v>
      </c>
      <c r="B6759" t="str">
        <f ca="1">IFERROR(__xludf.DUMMYFUNCTION("""COMPUTED_VALUE"""),"RF-00000895-MCG")</f>
        <v>RF-00000895-MCG</v>
      </c>
    </row>
    <row r="6760" spans="1:2" ht="12.5" x14ac:dyDescent="0.25">
      <c r="A6760" t="str">
        <f ca="1">IFERROR(__xludf.DUMMYFUNCTION("""COMPUTED_VALUE"""),"Salmonella Jedburgh")</f>
        <v>Salmonella Jedburgh</v>
      </c>
      <c r="B6760" t="str">
        <f ca="1">IFERROR(__xludf.DUMMYFUNCTION("""COMPUTED_VALUE"""),"RF-00000894-MCG")</f>
        <v>RF-00000894-MCG</v>
      </c>
    </row>
    <row r="6761" spans="1:2" ht="12.5" x14ac:dyDescent="0.25">
      <c r="A6761" t="str">
        <f ca="1">IFERROR(__xludf.DUMMYFUNCTION("""COMPUTED_VALUE"""),"Salmonella Jericho")</f>
        <v>Salmonella Jericho</v>
      </c>
      <c r="B6761" t="str">
        <f ca="1">IFERROR(__xludf.DUMMYFUNCTION("""COMPUTED_VALUE"""),"RF-00000893-MCG")</f>
        <v>RF-00000893-MCG</v>
      </c>
    </row>
    <row r="6762" spans="1:2" ht="12.5" x14ac:dyDescent="0.25">
      <c r="A6762" t="str">
        <f ca="1">IFERROR(__xludf.DUMMYFUNCTION("""COMPUTED_VALUE"""),"Salmonella Jerusalem")</f>
        <v>Salmonella Jerusalem</v>
      </c>
      <c r="B6762" t="str">
        <f ca="1">IFERROR(__xludf.DUMMYFUNCTION("""COMPUTED_VALUE"""),"RF-00000892-MCG")</f>
        <v>RF-00000892-MCG</v>
      </c>
    </row>
    <row r="6763" spans="1:2" ht="12.5" x14ac:dyDescent="0.25">
      <c r="A6763" t="str">
        <f ca="1">IFERROR(__xludf.DUMMYFUNCTION("""COMPUTED_VALUE"""),"Salmonella Joal")</f>
        <v>Salmonella Joal</v>
      </c>
      <c r="B6763" t="str">
        <f ca="1">IFERROR(__xludf.DUMMYFUNCTION("""COMPUTED_VALUE"""),"RF-00000891-MCG")</f>
        <v>RF-00000891-MCG</v>
      </c>
    </row>
    <row r="6764" spans="1:2" ht="12.5" x14ac:dyDescent="0.25">
      <c r="A6764" t="str">
        <f ca="1">IFERROR(__xludf.DUMMYFUNCTION("""COMPUTED_VALUE"""),"Salmonella Jodhpur")</f>
        <v>Salmonella Jodhpur</v>
      </c>
      <c r="B6764" t="str">
        <f ca="1">IFERROR(__xludf.DUMMYFUNCTION("""COMPUTED_VALUE"""),"RF-00000890-MCG")</f>
        <v>RF-00000890-MCG</v>
      </c>
    </row>
    <row r="6765" spans="1:2" ht="12.5" x14ac:dyDescent="0.25">
      <c r="A6765" t="str">
        <f ca="1">IFERROR(__xludf.DUMMYFUNCTION("""COMPUTED_VALUE"""),"Salmonella Johannesburg")</f>
        <v>Salmonella Johannesburg</v>
      </c>
      <c r="B6765" t="str">
        <f ca="1">IFERROR(__xludf.DUMMYFUNCTION("""COMPUTED_VALUE"""),"RF-00000724-MCG")</f>
        <v>RF-00000724-MCG</v>
      </c>
    </row>
    <row r="6766" spans="1:2" ht="12.5" x14ac:dyDescent="0.25">
      <c r="A6766" t="str">
        <f ca="1">IFERROR(__xludf.DUMMYFUNCTION("""COMPUTED_VALUE"""),"Salmonella Jos")</f>
        <v>Salmonella Jos</v>
      </c>
      <c r="B6766" t="str">
        <f ca="1">IFERROR(__xludf.DUMMYFUNCTION("""COMPUTED_VALUE"""),"RF-00000562-MCG")</f>
        <v>RF-00000562-MCG</v>
      </c>
    </row>
    <row r="6767" spans="1:2" ht="12.5" x14ac:dyDescent="0.25">
      <c r="A6767" t="str">
        <f ca="1">IFERROR(__xludf.DUMMYFUNCTION("""COMPUTED_VALUE"""),"Salmonella Juba")</f>
        <v>Salmonella Juba</v>
      </c>
      <c r="B6767" t="str">
        <f ca="1">IFERROR(__xludf.DUMMYFUNCTION("""COMPUTED_VALUE"""),"RF-00000779-MCG")</f>
        <v>RF-00000779-MCG</v>
      </c>
    </row>
    <row r="6768" spans="1:2" ht="12.5" x14ac:dyDescent="0.25">
      <c r="A6768" t="str">
        <f ca="1">IFERROR(__xludf.DUMMYFUNCTION("""COMPUTED_VALUE"""),"Salmonella Jubilee")</f>
        <v>Salmonella Jubilee</v>
      </c>
      <c r="B6768" t="str">
        <f ca="1">IFERROR(__xludf.DUMMYFUNCTION("""COMPUTED_VALUE"""),"RF-00000615-MCG")</f>
        <v>RF-00000615-MCG</v>
      </c>
    </row>
    <row r="6769" spans="1:2" ht="12.5" x14ac:dyDescent="0.25">
      <c r="A6769" t="str">
        <f ca="1">IFERROR(__xludf.DUMMYFUNCTION("""COMPUTED_VALUE"""),"Salmonella Jukestown")</f>
        <v>Salmonella Jukestown</v>
      </c>
      <c r="B6769" t="str">
        <f ca="1">IFERROR(__xludf.DUMMYFUNCTION("""COMPUTED_VALUE"""),"RF-00000614-MCG")</f>
        <v>RF-00000614-MCG</v>
      </c>
    </row>
    <row r="6770" spans="1:2" ht="12.5" x14ac:dyDescent="0.25">
      <c r="A6770" t="str">
        <f ca="1">IFERROR(__xludf.DUMMYFUNCTION("""COMPUTED_VALUE"""),"Salmonella Kaapstad")</f>
        <v>Salmonella Kaapstad</v>
      </c>
      <c r="B6770" t="str">
        <f ca="1">IFERROR(__xludf.DUMMYFUNCTION("""COMPUTED_VALUE"""),"RF-00000613-MCG")</f>
        <v>RF-00000613-MCG</v>
      </c>
    </row>
    <row r="6771" spans="1:2" ht="12.5" x14ac:dyDescent="0.25">
      <c r="A6771" t="str">
        <f ca="1">IFERROR(__xludf.DUMMYFUNCTION("""COMPUTED_VALUE"""),"Salmonella Kabete")</f>
        <v>Salmonella Kabete</v>
      </c>
      <c r="B6771" t="str">
        <f ca="1">IFERROR(__xludf.DUMMYFUNCTION("""COMPUTED_VALUE"""),"RF-00000612-MCG")</f>
        <v>RF-00000612-MCG</v>
      </c>
    </row>
    <row r="6772" spans="1:2" ht="12.5" x14ac:dyDescent="0.25">
      <c r="A6772" t="str">
        <f ca="1">IFERROR(__xludf.DUMMYFUNCTION("""COMPUTED_VALUE"""),"Salmonella Kaduna")</f>
        <v>Salmonella Kaduna</v>
      </c>
      <c r="B6772" t="str">
        <f ca="1">IFERROR(__xludf.DUMMYFUNCTION("""COMPUTED_VALUE"""),"RF-00000611-MCG")</f>
        <v>RF-00000611-MCG</v>
      </c>
    </row>
    <row r="6773" spans="1:2" ht="12.5" x14ac:dyDescent="0.25">
      <c r="A6773" t="str">
        <f ca="1">IFERROR(__xludf.DUMMYFUNCTION("""COMPUTED_VALUE"""),"Salmonella Kahla")</f>
        <v>Salmonella Kahla</v>
      </c>
      <c r="B6773" t="str">
        <f ca="1">IFERROR(__xludf.DUMMYFUNCTION("""COMPUTED_VALUE"""),"RF-00000610-MCG")</f>
        <v>RF-00000610-MCG</v>
      </c>
    </row>
    <row r="6774" spans="1:2" ht="12.5" x14ac:dyDescent="0.25">
      <c r="A6774" t="str">
        <f ca="1">IFERROR(__xludf.DUMMYFUNCTION("""COMPUTED_VALUE"""),"Salmonella Kainji")</f>
        <v>Salmonella Kainji</v>
      </c>
      <c r="B6774" t="str">
        <f ca="1">IFERROR(__xludf.DUMMYFUNCTION("""COMPUTED_VALUE"""),"RF-00000609-MCG")</f>
        <v>RF-00000609-MCG</v>
      </c>
    </row>
    <row r="6775" spans="1:2" ht="12.5" x14ac:dyDescent="0.25">
      <c r="A6775" t="str">
        <f ca="1">IFERROR(__xludf.DUMMYFUNCTION("""COMPUTED_VALUE"""),"Salmonella Kaitaan")</f>
        <v>Salmonella Kaitaan</v>
      </c>
      <c r="B6775" t="str">
        <f ca="1">IFERROR(__xludf.DUMMYFUNCTION("""COMPUTED_VALUE"""),"RF-00000608-MCG")</f>
        <v>RF-00000608-MCG</v>
      </c>
    </row>
    <row r="6776" spans="1:2" ht="12.5" x14ac:dyDescent="0.25">
      <c r="A6776" t="str">
        <f ca="1">IFERROR(__xludf.DUMMYFUNCTION("""COMPUTED_VALUE"""),"Salmonella Kalamu")</f>
        <v>Salmonella Kalamu</v>
      </c>
      <c r="B6776" t="str">
        <f ca="1">IFERROR(__xludf.DUMMYFUNCTION("""COMPUTED_VALUE"""),"RF-00000607-MCG")</f>
        <v>RF-00000607-MCG</v>
      </c>
    </row>
    <row r="6777" spans="1:2" ht="12.5" x14ac:dyDescent="0.25">
      <c r="A6777" t="str">
        <f ca="1">IFERROR(__xludf.DUMMYFUNCTION("""COMPUTED_VALUE"""),"Salmonella Kalina")</f>
        <v>Salmonella Kalina</v>
      </c>
      <c r="B6777" t="str">
        <f ca="1">IFERROR(__xludf.DUMMYFUNCTION("""COMPUTED_VALUE"""),"RF-00000606-MCG")</f>
        <v>RF-00000606-MCG</v>
      </c>
    </row>
    <row r="6778" spans="1:2" ht="12.5" x14ac:dyDescent="0.25">
      <c r="A6778" t="str">
        <f ca="1">IFERROR(__xludf.DUMMYFUNCTION("""COMPUTED_VALUE"""),"Salmonella Kallo")</f>
        <v>Salmonella Kallo</v>
      </c>
      <c r="B6778" t="str">
        <f ca="1">IFERROR(__xludf.DUMMYFUNCTION("""COMPUTED_VALUE"""),"RF-00000591-MCG")</f>
        <v>RF-00000591-MCG</v>
      </c>
    </row>
    <row r="6779" spans="1:2" ht="12.5" x14ac:dyDescent="0.25">
      <c r="A6779" t="str">
        <f ca="1">IFERROR(__xludf.DUMMYFUNCTION("""COMPUTED_VALUE"""),"Salmonella Kalumburu")</f>
        <v>Salmonella Kalumburu</v>
      </c>
      <c r="B6779" t="str">
        <f ca="1">IFERROR(__xludf.DUMMYFUNCTION("""COMPUTED_VALUE"""),"RF-00000604-MCG")</f>
        <v>RF-00000604-MCG</v>
      </c>
    </row>
    <row r="6780" spans="1:2" ht="12.5" x14ac:dyDescent="0.25">
      <c r="A6780" t="str">
        <f ca="1">IFERROR(__xludf.DUMMYFUNCTION("""COMPUTED_VALUE"""),"Salmonella Kambole")</f>
        <v>Salmonella Kambole</v>
      </c>
      <c r="B6780" t="str">
        <f ca="1">IFERROR(__xludf.DUMMYFUNCTION("""COMPUTED_VALUE"""),"RF-00000617-MCG")</f>
        <v>RF-00000617-MCG</v>
      </c>
    </row>
    <row r="6781" spans="1:2" ht="12.5" x14ac:dyDescent="0.25">
      <c r="A6781" t="str">
        <f ca="1">IFERROR(__xludf.DUMMYFUNCTION("""COMPUTED_VALUE"""),"Salmonella Kamoru")</f>
        <v>Salmonella Kamoru</v>
      </c>
      <c r="B6781" t="str">
        <f ca="1">IFERROR(__xludf.DUMMYFUNCTION("""COMPUTED_VALUE"""),"RF-00000602-MCG")</f>
        <v>RF-00000602-MCG</v>
      </c>
    </row>
    <row r="6782" spans="1:2" ht="12.5" x14ac:dyDescent="0.25">
      <c r="A6782" t="str">
        <f ca="1">IFERROR(__xludf.DUMMYFUNCTION("""COMPUTED_VALUE"""),"Salmonella Kampala")</f>
        <v>Salmonella Kampala</v>
      </c>
      <c r="B6782" t="str">
        <f ca="1">IFERROR(__xludf.DUMMYFUNCTION("""COMPUTED_VALUE"""),"RF-00000601-MCG")</f>
        <v>RF-00000601-MCG</v>
      </c>
    </row>
    <row r="6783" spans="1:2" ht="12.5" x14ac:dyDescent="0.25">
      <c r="A6783" t="str">
        <f ca="1">IFERROR(__xludf.DUMMYFUNCTION("""COMPUTED_VALUE"""),"Salmonella Kande")</f>
        <v>Salmonella Kande</v>
      </c>
      <c r="B6783" t="str">
        <f ca="1">IFERROR(__xludf.DUMMYFUNCTION("""COMPUTED_VALUE"""),"RF-00000600-MCG")</f>
        <v>RF-00000600-MCG</v>
      </c>
    </row>
    <row r="6784" spans="1:2" ht="12.5" x14ac:dyDescent="0.25">
      <c r="A6784" t="str">
        <f ca="1">IFERROR(__xludf.DUMMYFUNCTION("""COMPUTED_VALUE"""),"Salmonella Kandla")</f>
        <v>Salmonella Kandla</v>
      </c>
      <c r="B6784" t="str">
        <f ca="1">IFERROR(__xludf.DUMMYFUNCTION("""COMPUTED_VALUE"""),"RF-00000599-MCG")</f>
        <v>RF-00000599-MCG</v>
      </c>
    </row>
    <row r="6785" spans="1:2" ht="12.5" x14ac:dyDescent="0.25">
      <c r="A6785" t="str">
        <f ca="1">IFERROR(__xludf.DUMMYFUNCTION("""COMPUTED_VALUE"""),"Salmonella Kaneshie")</f>
        <v>Salmonella Kaneshie</v>
      </c>
      <c r="B6785" t="str">
        <f ca="1">IFERROR(__xludf.DUMMYFUNCTION("""COMPUTED_VALUE"""),"RF-00000598-MCG")</f>
        <v>RF-00000598-MCG</v>
      </c>
    </row>
    <row r="6786" spans="1:2" ht="12.5" x14ac:dyDescent="0.25">
      <c r="A6786" t="str">
        <f ca="1">IFERROR(__xludf.DUMMYFUNCTION("""COMPUTED_VALUE"""),"Salmonella Kanifing")</f>
        <v>Salmonella Kanifing</v>
      </c>
      <c r="B6786" t="str">
        <f ca="1">IFERROR(__xludf.DUMMYFUNCTION("""COMPUTED_VALUE"""),"RF-00000597-MCG")</f>
        <v>RF-00000597-MCG</v>
      </c>
    </row>
    <row r="6787" spans="1:2" ht="12.5" x14ac:dyDescent="0.25">
      <c r="A6787" t="str">
        <f ca="1">IFERROR(__xludf.DUMMYFUNCTION("""COMPUTED_VALUE"""),"Salmonella Kano")</f>
        <v>Salmonella Kano</v>
      </c>
      <c r="B6787" t="str">
        <f ca="1">IFERROR(__xludf.DUMMYFUNCTION("""COMPUTED_VALUE"""),"RF-00000596-MCG")</f>
        <v>RF-00000596-MCG</v>
      </c>
    </row>
    <row r="6788" spans="1:2" ht="12.5" x14ac:dyDescent="0.25">
      <c r="A6788" t="str">
        <f ca="1">IFERROR(__xludf.DUMMYFUNCTION("""COMPUTED_VALUE"""),"Salmonella Kaolack")</f>
        <v>Salmonella Kaolack</v>
      </c>
      <c r="B6788" t="str">
        <f ca="1">IFERROR(__xludf.DUMMYFUNCTION("""COMPUTED_VALUE"""),"RF-00000595-MCG")</f>
        <v>RF-00000595-MCG</v>
      </c>
    </row>
    <row r="6789" spans="1:2" ht="12.5" x14ac:dyDescent="0.25">
      <c r="A6789" t="str">
        <f ca="1">IFERROR(__xludf.DUMMYFUNCTION("""COMPUTED_VALUE"""),"Salmonella Kapemba")</f>
        <v>Salmonella Kapemba</v>
      </c>
      <c r="B6789" t="str">
        <f ca="1">IFERROR(__xludf.DUMMYFUNCTION("""COMPUTED_VALUE"""),"RF-00000594-MCG")</f>
        <v>RF-00000594-MCG</v>
      </c>
    </row>
    <row r="6790" spans="1:2" ht="12.5" x14ac:dyDescent="0.25">
      <c r="A6790" t="str">
        <f ca="1">IFERROR(__xludf.DUMMYFUNCTION("""COMPUTED_VALUE"""),"Salmonella Karachi")</f>
        <v>Salmonella Karachi</v>
      </c>
      <c r="B6790" t="str">
        <f ca="1">IFERROR(__xludf.DUMMYFUNCTION("""COMPUTED_VALUE"""),"RF-00000593-MCG")</f>
        <v>RF-00000593-MCG</v>
      </c>
    </row>
    <row r="6791" spans="1:2" ht="12.5" x14ac:dyDescent="0.25">
      <c r="A6791" t="str">
        <f ca="1">IFERROR(__xludf.DUMMYFUNCTION("""COMPUTED_VALUE"""),"Salmonella Karamoja")</f>
        <v>Salmonella Karamoja</v>
      </c>
      <c r="B6791" t="str">
        <f ca="1">IFERROR(__xludf.DUMMYFUNCTION("""COMPUTED_VALUE"""),"RF-00000630-MCG")</f>
        <v>RF-00000630-MCG</v>
      </c>
    </row>
    <row r="6792" spans="1:2" ht="12.5" x14ac:dyDescent="0.25">
      <c r="A6792" t="str">
        <f ca="1">IFERROR(__xludf.DUMMYFUNCTION("""COMPUTED_VALUE"""),"Salmonella Karaya")</f>
        <v>Salmonella Karaya</v>
      </c>
      <c r="B6792" t="str">
        <f ca="1">IFERROR(__xludf.DUMMYFUNCTION("""COMPUTED_VALUE"""),"RF-00000603-MCG")</f>
        <v>RF-00000603-MCG</v>
      </c>
    </row>
    <row r="6793" spans="1:2" ht="12.5" x14ac:dyDescent="0.25">
      <c r="A6793" t="str">
        <f ca="1">IFERROR(__xludf.DUMMYFUNCTION("""COMPUTED_VALUE"""),"Salmonella Karlshamn")</f>
        <v>Salmonella Karlshamn</v>
      </c>
      <c r="B6793" t="str">
        <f ca="1">IFERROR(__xludf.DUMMYFUNCTION("""COMPUTED_VALUE"""),"RF-00000605-MCG")</f>
        <v>RF-00000605-MCG</v>
      </c>
    </row>
    <row r="6794" spans="1:2" ht="12.5" x14ac:dyDescent="0.25">
      <c r="A6794" t="str">
        <f ca="1">IFERROR(__xludf.DUMMYFUNCTION("""COMPUTED_VALUE"""),"Salmonella Kasenyi")</f>
        <v>Salmonella Kasenyi</v>
      </c>
      <c r="B6794" t="str">
        <f ca="1">IFERROR(__xludf.DUMMYFUNCTION("""COMPUTED_VALUE"""),"RF-00000643-MCG")</f>
        <v>RF-00000643-MCG</v>
      </c>
    </row>
    <row r="6795" spans="1:2" ht="12.5" x14ac:dyDescent="0.25">
      <c r="A6795" t="str">
        <f ca="1">IFERROR(__xludf.DUMMYFUNCTION("""COMPUTED_VALUE"""),"Salmonella Kassberg")</f>
        <v>Salmonella Kassberg</v>
      </c>
      <c r="B6795" t="str">
        <f ca="1">IFERROR(__xludf.DUMMYFUNCTION("""COMPUTED_VALUE"""),"RF-00000642-MCG")</f>
        <v>RF-00000642-MCG</v>
      </c>
    </row>
    <row r="6796" spans="1:2" ht="12.5" x14ac:dyDescent="0.25">
      <c r="A6796" t="str">
        <f ca="1">IFERROR(__xludf.DUMMYFUNCTION("""COMPUTED_VALUE"""),"Salmonella Kedougou")</f>
        <v>Salmonella Kedougou</v>
      </c>
      <c r="B6796" t="str">
        <f ca="1">IFERROR(__xludf.DUMMYFUNCTION("""COMPUTED_VALUE"""),"RF-00000641-MCG")</f>
        <v>RF-00000641-MCG</v>
      </c>
    </row>
    <row r="6797" spans="1:2" ht="12.5" x14ac:dyDescent="0.25">
      <c r="A6797" t="str">
        <f ca="1">IFERROR(__xludf.DUMMYFUNCTION("""COMPUTED_VALUE"""),"Salmonella Kentucky")</f>
        <v>Salmonella Kentucky</v>
      </c>
      <c r="B6797" t="str">
        <f ca="1">IFERROR(__xludf.DUMMYFUNCTION("""COMPUTED_VALUE"""),"RF-00000640-MCG")</f>
        <v>RF-00000640-MCG</v>
      </c>
    </row>
    <row r="6798" spans="1:2" ht="12.5" x14ac:dyDescent="0.25">
      <c r="A6798" t="str">
        <f ca="1">IFERROR(__xludf.DUMMYFUNCTION("""COMPUTED_VALUE"""),"Salmonella Kenya")</f>
        <v>Salmonella Kenya</v>
      </c>
      <c r="B6798" t="str">
        <f ca="1">IFERROR(__xludf.DUMMYFUNCTION("""COMPUTED_VALUE"""),"RF-00000639-MCG")</f>
        <v>RF-00000639-MCG</v>
      </c>
    </row>
    <row r="6799" spans="1:2" ht="12.5" x14ac:dyDescent="0.25">
      <c r="A6799" t="str">
        <f ca="1">IFERROR(__xludf.DUMMYFUNCTION("""COMPUTED_VALUE"""),"Salmonella Kermel")</f>
        <v>Salmonella Kermel</v>
      </c>
      <c r="B6799" t="str">
        <f ca="1">IFERROR(__xludf.DUMMYFUNCTION("""COMPUTED_VALUE"""),"RF-00000638-MCG")</f>
        <v>RF-00000638-MCG</v>
      </c>
    </row>
    <row r="6800" spans="1:2" ht="12.5" x14ac:dyDescent="0.25">
      <c r="A6800" t="str">
        <f ca="1">IFERROR(__xludf.DUMMYFUNCTION("""COMPUTED_VALUE"""),"Salmonella Keve")</f>
        <v>Salmonella Keve</v>
      </c>
      <c r="B6800" t="str">
        <f ca="1">IFERROR(__xludf.DUMMYFUNCTION("""COMPUTED_VALUE"""),"RF-00000637-MCG")</f>
        <v>RF-00000637-MCG</v>
      </c>
    </row>
    <row r="6801" spans="1:2" ht="12.5" x14ac:dyDescent="0.25">
      <c r="A6801" t="str">
        <f ca="1">IFERROR(__xludf.DUMMYFUNCTION("""COMPUTED_VALUE"""),"Salmonella Kiambu")</f>
        <v>Salmonella Kiambu</v>
      </c>
      <c r="B6801" t="str">
        <f ca="1">IFERROR(__xludf.DUMMYFUNCTION("""COMPUTED_VALUE"""),"RF-00000636-MCG")</f>
        <v>RF-00000636-MCG</v>
      </c>
    </row>
    <row r="6802" spans="1:2" ht="12.5" x14ac:dyDescent="0.25">
      <c r="A6802" t="str">
        <f ca="1">IFERROR(__xludf.DUMMYFUNCTION("""COMPUTED_VALUE"""),"Salmonella Kibi")</f>
        <v>Salmonella Kibi</v>
      </c>
      <c r="B6802" t="str">
        <f ca="1">IFERROR(__xludf.DUMMYFUNCTION("""COMPUTED_VALUE"""),"RF-00000635-MCG")</f>
        <v>RF-00000635-MCG</v>
      </c>
    </row>
    <row r="6803" spans="1:2" ht="12.5" x14ac:dyDescent="0.25">
      <c r="A6803" t="str">
        <f ca="1">IFERROR(__xludf.DUMMYFUNCTION("""COMPUTED_VALUE"""),"Salmonella Kibusi")</f>
        <v>Salmonella Kibusi</v>
      </c>
      <c r="B6803" t="str">
        <f ca="1">IFERROR(__xludf.DUMMYFUNCTION("""COMPUTED_VALUE"""),"RF-00000634-MCG")</f>
        <v>RF-00000634-MCG</v>
      </c>
    </row>
    <row r="6804" spans="1:2" ht="12.5" x14ac:dyDescent="0.25">
      <c r="A6804" t="str">
        <f ca="1">IFERROR(__xludf.DUMMYFUNCTION("""COMPUTED_VALUE"""),"Salmonella Kidderminster")</f>
        <v>Salmonella Kidderminster</v>
      </c>
      <c r="B6804" t="str">
        <f ca="1">IFERROR(__xludf.DUMMYFUNCTION("""COMPUTED_VALUE"""),"RF-00000633-MCG")</f>
        <v>RF-00000633-MCG</v>
      </c>
    </row>
    <row r="6805" spans="1:2" ht="12.5" x14ac:dyDescent="0.25">
      <c r="A6805" t="str">
        <f ca="1">IFERROR(__xludf.DUMMYFUNCTION("""COMPUTED_VALUE"""),"Salmonella Kiel")</f>
        <v>Salmonella Kiel</v>
      </c>
      <c r="B6805" t="str">
        <f ca="1">IFERROR(__xludf.DUMMYFUNCTION("""COMPUTED_VALUE"""),"RF-00000618-MCG")</f>
        <v>RF-00000618-MCG</v>
      </c>
    </row>
    <row r="6806" spans="1:2" ht="12.5" x14ac:dyDescent="0.25">
      <c r="A6806" t="str">
        <f ca="1">IFERROR(__xludf.DUMMYFUNCTION("""COMPUTED_VALUE"""),"Salmonella Kikoma")</f>
        <v>Salmonella Kikoma</v>
      </c>
      <c r="B6806" t="str">
        <f ca="1">IFERROR(__xludf.DUMMYFUNCTION("""COMPUTED_VALUE"""),"RF-00000631-MCG")</f>
        <v>RF-00000631-MCG</v>
      </c>
    </row>
    <row r="6807" spans="1:2" ht="12.5" x14ac:dyDescent="0.25">
      <c r="A6807" t="str">
        <f ca="1">IFERROR(__xludf.DUMMYFUNCTION("""COMPUTED_VALUE"""),"Salmonella Kimberley")</f>
        <v>Salmonella Kimberley</v>
      </c>
      <c r="B6807" t="str">
        <f ca="1">IFERROR(__xludf.DUMMYFUNCTION("""COMPUTED_VALUE"""),"RF-00000644-MCG")</f>
        <v>RF-00000644-MCG</v>
      </c>
    </row>
    <row r="6808" spans="1:2" ht="12.5" x14ac:dyDescent="0.25">
      <c r="A6808" t="str">
        <f ca="1">IFERROR(__xludf.DUMMYFUNCTION("""COMPUTED_VALUE"""),"Salmonella Kimpese")</f>
        <v>Salmonella Kimpese</v>
      </c>
      <c r="B6808" t="str">
        <f ca="1">IFERROR(__xludf.DUMMYFUNCTION("""COMPUTED_VALUE"""),"RF-00000629-MCG")</f>
        <v>RF-00000629-MCG</v>
      </c>
    </row>
    <row r="6809" spans="1:2" ht="12.5" x14ac:dyDescent="0.25">
      <c r="A6809" t="str">
        <f ca="1">IFERROR(__xludf.DUMMYFUNCTION("""COMPUTED_VALUE"""),"Salmonella Kimuenza")</f>
        <v>Salmonella Kimuenza</v>
      </c>
      <c r="B6809" t="str">
        <f ca="1">IFERROR(__xludf.DUMMYFUNCTION("""COMPUTED_VALUE"""),"RF-00000628-MCG")</f>
        <v>RF-00000628-MCG</v>
      </c>
    </row>
    <row r="6810" spans="1:2" ht="12.5" x14ac:dyDescent="0.25">
      <c r="A6810" t="str">
        <f ca="1">IFERROR(__xludf.DUMMYFUNCTION("""COMPUTED_VALUE"""),"Salmonella Kindia")</f>
        <v>Salmonella Kindia</v>
      </c>
      <c r="B6810" t="str">
        <f ca="1">IFERROR(__xludf.DUMMYFUNCTION("""COMPUTED_VALUE"""),"RF-00000627-MCG")</f>
        <v>RF-00000627-MCG</v>
      </c>
    </row>
    <row r="6811" spans="1:2" ht="12.5" x14ac:dyDescent="0.25">
      <c r="A6811" t="str">
        <f ca="1">IFERROR(__xludf.DUMMYFUNCTION("""COMPUTED_VALUE"""),"Salmonella Kingabwa")</f>
        <v>Salmonella Kingabwa</v>
      </c>
      <c r="B6811" t="str">
        <f ca="1">IFERROR(__xludf.DUMMYFUNCTION("""COMPUTED_VALUE"""),"RF-00000626-MCG")</f>
        <v>RF-00000626-MCG</v>
      </c>
    </row>
    <row r="6812" spans="1:2" ht="12.5" x14ac:dyDescent="0.25">
      <c r="A6812" t="str">
        <f ca="1">IFERROR(__xludf.DUMMYFUNCTION("""COMPUTED_VALUE"""),"Salmonella Kingston")</f>
        <v>Salmonella Kingston</v>
      </c>
      <c r="B6812" t="str">
        <f ca="1">IFERROR(__xludf.DUMMYFUNCTION("""COMPUTED_VALUE"""),"RF-00000625-MCG")</f>
        <v>RF-00000625-MCG</v>
      </c>
    </row>
    <row r="6813" spans="1:2" ht="12.5" x14ac:dyDescent="0.25">
      <c r="A6813" t="str">
        <f ca="1">IFERROR(__xludf.DUMMYFUNCTION("""COMPUTED_VALUE"""),"Salmonella Kinondoni")</f>
        <v>Salmonella Kinondoni</v>
      </c>
      <c r="B6813" t="str">
        <f ca="1">IFERROR(__xludf.DUMMYFUNCTION("""COMPUTED_VALUE"""),"RF-00000624-MCG")</f>
        <v>RF-00000624-MCG</v>
      </c>
    </row>
    <row r="6814" spans="1:2" ht="12.5" x14ac:dyDescent="0.25">
      <c r="A6814" t="str">
        <f ca="1">IFERROR(__xludf.DUMMYFUNCTION("""COMPUTED_VALUE"""),"Salmonella Kinson")</f>
        <v>Salmonella Kinson</v>
      </c>
      <c r="B6814" t="str">
        <f ca="1">IFERROR(__xludf.DUMMYFUNCTION("""COMPUTED_VALUE"""),"RF-00000623-MCG")</f>
        <v>RF-00000623-MCG</v>
      </c>
    </row>
    <row r="6815" spans="1:2" ht="12.5" x14ac:dyDescent="0.25">
      <c r="A6815" t="str">
        <f ca="1">IFERROR(__xludf.DUMMYFUNCTION("""COMPUTED_VALUE"""),"Salmonella Kintambo")</f>
        <v>Salmonella Kintambo</v>
      </c>
      <c r="B6815" t="str">
        <f ca="1">IFERROR(__xludf.DUMMYFUNCTION("""COMPUTED_VALUE"""),"RF-00000622-MCG")</f>
        <v>RF-00000622-MCG</v>
      </c>
    </row>
    <row r="6816" spans="1:2" ht="12.5" x14ac:dyDescent="0.25">
      <c r="A6816" t="str">
        <f ca="1">IFERROR(__xludf.DUMMYFUNCTION("""COMPUTED_VALUE"""),"Salmonella Kirkee")</f>
        <v>Salmonella Kirkee</v>
      </c>
      <c r="B6816" t="str">
        <f ca="1">IFERROR(__xludf.DUMMYFUNCTION("""COMPUTED_VALUE"""),"RF-00000621-MCG")</f>
        <v>RF-00000621-MCG</v>
      </c>
    </row>
    <row r="6817" spans="1:2" ht="12.5" x14ac:dyDescent="0.25">
      <c r="A6817" t="str">
        <f ca="1">IFERROR(__xludf.DUMMYFUNCTION("""COMPUTED_VALUE"""),"Salmonella Kisangani")</f>
        <v>Salmonella Kisangani</v>
      </c>
      <c r="B6817" t="str">
        <f ca="1">IFERROR(__xludf.DUMMYFUNCTION("""COMPUTED_VALUE"""),"RF-00000620-MCG")</f>
        <v>RF-00000620-MCG</v>
      </c>
    </row>
    <row r="6818" spans="1:2" ht="12.5" x14ac:dyDescent="0.25">
      <c r="A6818" t="str">
        <f ca="1">IFERROR(__xludf.DUMMYFUNCTION("""COMPUTED_VALUE"""),"Salmonella Kisarawe")</f>
        <v>Salmonella Kisarawe</v>
      </c>
      <c r="B6818" t="str">
        <f ca="1">IFERROR(__xludf.DUMMYFUNCTION("""COMPUTED_VALUE"""),"RF-00000619-MCG")</f>
        <v>RF-00000619-MCG</v>
      </c>
    </row>
    <row r="6819" spans="1:2" ht="12.5" x14ac:dyDescent="0.25">
      <c r="A6819" t="str">
        <f ca="1">IFERROR(__xludf.DUMMYFUNCTION("""COMPUTED_VALUE"""),"Salmonella Kisii")</f>
        <v>Salmonella Kisii</v>
      </c>
      <c r="B6819" t="str">
        <f ca="1">IFERROR(__xludf.DUMMYFUNCTION("""COMPUTED_VALUE"""),"RF-00000578-MCG")</f>
        <v>RF-00000578-MCG</v>
      </c>
    </row>
    <row r="6820" spans="1:2" ht="12.5" x14ac:dyDescent="0.25">
      <c r="A6820" t="str">
        <f ca="1">IFERROR(__xludf.DUMMYFUNCTION("""COMPUTED_VALUE"""),"Salmonella Kitenge")</f>
        <v>Salmonella Kitenge</v>
      </c>
      <c r="B6820" t="str">
        <f ca="1">IFERROR(__xludf.DUMMYFUNCTION("""COMPUTED_VALUE"""),"RF-00000538-MCG")</f>
        <v>RF-00000538-MCG</v>
      </c>
    </row>
    <row r="6821" spans="1:2" ht="12.5" x14ac:dyDescent="0.25">
      <c r="A6821" t="str">
        <f ca="1">IFERROR(__xludf.DUMMYFUNCTION("""COMPUTED_VALUE"""),"Salmonella Kivu")</f>
        <v>Salmonella Kivu</v>
      </c>
      <c r="B6821" t="str">
        <f ca="1">IFERROR(__xludf.DUMMYFUNCTION("""COMPUTED_VALUE"""),"RF-00000592-MCG")</f>
        <v>RF-00000592-MCG</v>
      </c>
    </row>
    <row r="6822" spans="1:2" ht="12.5" x14ac:dyDescent="0.25">
      <c r="A6822" t="str">
        <f ca="1">IFERROR(__xludf.DUMMYFUNCTION("""COMPUTED_VALUE"""),"Salmonella Klouto")</f>
        <v>Salmonella Klouto</v>
      </c>
      <c r="B6822" t="str">
        <f ca="1">IFERROR(__xludf.DUMMYFUNCTION("""COMPUTED_VALUE"""),"RF-00000561-MCG")</f>
        <v>RF-00000561-MCG</v>
      </c>
    </row>
    <row r="6823" spans="1:2" ht="12.5" x14ac:dyDescent="0.25">
      <c r="A6823" t="str">
        <f ca="1">IFERROR(__xludf.DUMMYFUNCTION("""COMPUTED_VALUE"""),"Salmonella Kodjovi")</f>
        <v>Salmonella Kodjovi</v>
      </c>
      <c r="B6823" t="str">
        <f ca="1">IFERROR(__xludf.DUMMYFUNCTION("""COMPUTED_VALUE"""),"RF-00000560-MCG")</f>
        <v>RF-00000560-MCG</v>
      </c>
    </row>
    <row r="6824" spans="1:2" ht="12.5" x14ac:dyDescent="0.25">
      <c r="A6824" t="str">
        <f ca="1">IFERROR(__xludf.DUMMYFUNCTION("""COMPUTED_VALUE"""),"Salmonella Koenigstuhl")</f>
        <v>Salmonella Koenigstuhl</v>
      </c>
      <c r="B6824" t="str">
        <f ca="1">IFERROR(__xludf.DUMMYFUNCTION("""COMPUTED_VALUE"""),"RF-00000559-MCG")</f>
        <v>RF-00000559-MCG</v>
      </c>
    </row>
    <row r="6825" spans="1:2" ht="12.5" x14ac:dyDescent="0.25">
      <c r="A6825" t="str">
        <f ca="1">IFERROR(__xludf.DUMMYFUNCTION("""COMPUTED_VALUE"""),"Salmonella Koessen")</f>
        <v>Salmonella Koessen</v>
      </c>
      <c r="B6825" t="str">
        <f ca="1">IFERROR(__xludf.DUMMYFUNCTION("""COMPUTED_VALUE"""),"RF-00000558-MCG")</f>
        <v>RF-00000558-MCG</v>
      </c>
    </row>
    <row r="6826" spans="1:2" ht="12.5" x14ac:dyDescent="0.25">
      <c r="A6826" t="str">
        <f ca="1">IFERROR(__xludf.DUMMYFUNCTION("""COMPUTED_VALUE"""),"Salmonella Kofandoka")</f>
        <v>Salmonella Kofandoka</v>
      </c>
      <c r="B6826" t="str">
        <f ca="1">IFERROR(__xludf.DUMMYFUNCTION("""COMPUTED_VALUE"""),"RF-00000557-MCG")</f>
        <v>RF-00000557-MCG</v>
      </c>
    </row>
    <row r="6827" spans="1:2" ht="12.5" x14ac:dyDescent="0.25">
      <c r="A6827" t="str">
        <f ca="1">IFERROR(__xludf.DUMMYFUNCTION("""COMPUTED_VALUE"""),"Salmonella Koketime")</f>
        <v>Salmonella Koketime</v>
      </c>
      <c r="B6827" t="str">
        <f ca="1">IFERROR(__xludf.DUMMYFUNCTION("""COMPUTED_VALUE"""),"RF-00000556-MCG")</f>
        <v>RF-00000556-MCG</v>
      </c>
    </row>
    <row r="6828" spans="1:2" ht="12.5" x14ac:dyDescent="0.25">
      <c r="A6828" t="str">
        <f ca="1">IFERROR(__xludf.DUMMYFUNCTION("""COMPUTED_VALUE"""),"Salmonella Kokoli")</f>
        <v>Salmonella Kokoli</v>
      </c>
      <c r="B6828" t="str">
        <f ca="1">IFERROR(__xludf.DUMMYFUNCTION("""COMPUTED_VALUE"""),"RF-00000555-MCG")</f>
        <v>RF-00000555-MCG</v>
      </c>
    </row>
    <row r="6829" spans="1:2" ht="12.5" x14ac:dyDescent="0.25">
      <c r="A6829" t="str">
        <f ca="1">IFERROR(__xludf.DUMMYFUNCTION("""COMPUTED_VALUE"""),"Salmonella Kokomlemle")</f>
        <v>Salmonella Kokomlemle</v>
      </c>
      <c r="B6829" t="str">
        <f ca="1">IFERROR(__xludf.DUMMYFUNCTION("""COMPUTED_VALUE"""),"RF-00000554-MCG")</f>
        <v>RF-00000554-MCG</v>
      </c>
    </row>
    <row r="6830" spans="1:2" ht="12.5" x14ac:dyDescent="0.25">
      <c r="A6830" t="str">
        <f ca="1">IFERROR(__xludf.DUMMYFUNCTION("""COMPUTED_VALUE"""),"Salmonella Kolar")</f>
        <v>Salmonella Kolar</v>
      </c>
      <c r="B6830" t="str">
        <f ca="1">IFERROR(__xludf.DUMMYFUNCTION("""COMPUTED_VALUE"""),"RF-00000553-MCG")</f>
        <v>RF-00000553-MCG</v>
      </c>
    </row>
    <row r="6831" spans="1:2" ht="12.5" x14ac:dyDescent="0.25">
      <c r="A6831" t="str">
        <f ca="1">IFERROR(__xludf.DUMMYFUNCTION("""COMPUTED_VALUE"""),"Salmonella Kolda")</f>
        <v>Salmonella Kolda</v>
      </c>
      <c r="B6831" t="str">
        <f ca="1">IFERROR(__xludf.DUMMYFUNCTION("""COMPUTED_VALUE"""),"RF-00000552-MCG")</f>
        <v>RF-00000552-MCG</v>
      </c>
    </row>
    <row r="6832" spans="1:2" ht="12.5" x14ac:dyDescent="0.25">
      <c r="A6832" t="str">
        <f ca="1">IFERROR(__xludf.DUMMYFUNCTION("""COMPUTED_VALUE"""),"Salmonella Konolfingen")</f>
        <v>Salmonella Konolfingen</v>
      </c>
      <c r="B6832" t="str">
        <f ca="1">IFERROR(__xludf.DUMMYFUNCTION("""COMPUTED_VALUE"""),"RF-00000537-MCG")</f>
        <v>RF-00000537-MCG</v>
      </c>
    </row>
    <row r="6833" spans="1:2" ht="12.5" x14ac:dyDescent="0.25">
      <c r="A6833" t="str">
        <f ca="1">IFERROR(__xludf.DUMMYFUNCTION("""COMPUTED_VALUE"""),"Salmonella Konstanz")</f>
        <v>Salmonella Konstanz</v>
      </c>
      <c r="B6833" t="str">
        <f ca="1">IFERROR(__xludf.DUMMYFUNCTION("""COMPUTED_VALUE"""),"RF-00000550-MCG")</f>
        <v>RF-00000550-MCG</v>
      </c>
    </row>
    <row r="6834" spans="1:2" ht="12.5" x14ac:dyDescent="0.25">
      <c r="A6834" t="str">
        <f ca="1">IFERROR(__xludf.DUMMYFUNCTION("""COMPUTED_VALUE"""),"Salmonella Korbol")</f>
        <v>Salmonella Korbol</v>
      </c>
      <c r="B6834" t="str">
        <f ca="1">IFERROR(__xludf.DUMMYFUNCTION("""COMPUTED_VALUE"""),"RF-00000563-MCG")</f>
        <v>RF-00000563-MCG</v>
      </c>
    </row>
    <row r="6835" spans="1:2" ht="12.5" x14ac:dyDescent="0.25">
      <c r="A6835" t="str">
        <f ca="1">IFERROR(__xludf.DUMMYFUNCTION("""COMPUTED_VALUE"""),"Salmonella Korlebu")</f>
        <v>Salmonella Korlebu</v>
      </c>
      <c r="B6835" t="str">
        <f ca="1">IFERROR(__xludf.DUMMYFUNCTION("""COMPUTED_VALUE"""),"RF-00000548-MCG")</f>
        <v>RF-00000548-MCG</v>
      </c>
    </row>
    <row r="6836" spans="1:2" ht="12.5" x14ac:dyDescent="0.25">
      <c r="A6836" t="str">
        <f ca="1">IFERROR(__xludf.DUMMYFUNCTION("""COMPUTED_VALUE"""),"Salmonella Korovi")</f>
        <v>Salmonella Korovi</v>
      </c>
      <c r="B6836" t="str">
        <f ca="1">IFERROR(__xludf.DUMMYFUNCTION("""COMPUTED_VALUE"""),"RF-00000547-MCG")</f>
        <v>RF-00000547-MCG</v>
      </c>
    </row>
    <row r="6837" spans="1:2" ht="12.5" x14ac:dyDescent="0.25">
      <c r="A6837" t="str">
        <f ca="1">IFERROR(__xludf.DUMMYFUNCTION("""COMPUTED_VALUE"""),"Salmonella Kortrijk")</f>
        <v>Salmonella Kortrijk</v>
      </c>
      <c r="B6837" t="str">
        <f ca="1">IFERROR(__xludf.DUMMYFUNCTION("""COMPUTED_VALUE"""),"RF-00000546-MCG")</f>
        <v>RF-00000546-MCG</v>
      </c>
    </row>
    <row r="6838" spans="1:2" ht="12.5" x14ac:dyDescent="0.25">
      <c r="A6838" t="str">
        <f ca="1">IFERROR(__xludf.DUMMYFUNCTION("""COMPUTED_VALUE"""),"Salmonella Kottbus")</f>
        <v>Salmonella Kottbus</v>
      </c>
      <c r="B6838" t="str">
        <f ca="1">IFERROR(__xludf.DUMMYFUNCTION("""COMPUTED_VALUE"""),"RF-00000545-MCG")</f>
        <v>RF-00000545-MCG</v>
      </c>
    </row>
    <row r="6839" spans="1:2" ht="12.5" x14ac:dyDescent="0.25">
      <c r="A6839" t="str">
        <f ca="1">IFERROR(__xludf.DUMMYFUNCTION("""COMPUTED_VALUE"""),"Salmonella Kotte")</f>
        <v>Salmonella Kotte</v>
      </c>
      <c r="B6839" t="str">
        <f ca="1">IFERROR(__xludf.DUMMYFUNCTION("""COMPUTED_VALUE"""),"RF-00000544-MCG")</f>
        <v>RF-00000544-MCG</v>
      </c>
    </row>
    <row r="6840" spans="1:2" ht="12.5" x14ac:dyDescent="0.25">
      <c r="A6840" t="str">
        <f ca="1">IFERROR(__xludf.DUMMYFUNCTION("""COMPUTED_VALUE"""),"Salmonella Kotu")</f>
        <v>Salmonella Kotu</v>
      </c>
      <c r="B6840" t="str">
        <f ca="1">IFERROR(__xludf.DUMMYFUNCTION("""COMPUTED_VALUE"""),"RF-00000543-MCG")</f>
        <v>RF-00000543-MCG</v>
      </c>
    </row>
    <row r="6841" spans="1:2" ht="12.5" x14ac:dyDescent="0.25">
      <c r="A6841" t="str">
        <f ca="1">IFERROR(__xludf.DUMMYFUNCTION("""COMPUTED_VALUE"""),"Salmonella Kouka")</f>
        <v>Salmonella Kouka</v>
      </c>
      <c r="B6841" t="str">
        <f ca="1">IFERROR(__xludf.DUMMYFUNCTION("""COMPUTED_VALUE"""),"RF-00000542-MCG")</f>
        <v>RF-00000542-MCG</v>
      </c>
    </row>
    <row r="6842" spans="1:2" ht="12.5" x14ac:dyDescent="0.25">
      <c r="A6842" t="str">
        <f ca="1">IFERROR(__xludf.DUMMYFUNCTION("""COMPUTED_VALUE"""),"Salmonella Koumra")</f>
        <v>Salmonella Koumra</v>
      </c>
      <c r="B6842" t="str">
        <f ca="1">IFERROR(__xludf.DUMMYFUNCTION("""COMPUTED_VALUE"""),"RF-00000541-MCG")</f>
        <v>RF-00000541-MCG</v>
      </c>
    </row>
    <row r="6843" spans="1:2" ht="12.5" x14ac:dyDescent="0.25">
      <c r="A6843" t="str">
        <f ca="1">IFERROR(__xludf.DUMMYFUNCTION("""COMPUTED_VALUE"""),"Salmonella Kpeme")</f>
        <v>Salmonella Kpeme</v>
      </c>
      <c r="B6843" t="str">
        <f ca="1">IFERROR(__xludf.DUMMYFUNCTION("""COMPUTED_VALUE"""),"RF-00000540-MCG")</f>
        <v>RF-00000540-MCG</v>
      </c>
    </row>
    <row r="6844" spans="1:2" ht="12.5" x14ac:dyDescent="0.25">
      <c r="A6844" t="str">
        <f ca="1">IFERROR(__xludf.DUMMYFUNCTION("""COMPUTED_VALUE"""),"Salmonella Kraligen")</f>
        <v>Salmonella Kraligen</v>
      </c>
      <c r="B6844" t="str">
        <f ca="1">IFERROR(__xludf.DUMMYFUNCTION("""COMPUTED_VALUE"""),"RF-00000539-MCG")</f>
        <v>RF-00000539-MCG</v>
      </c>
    </row>
    <row r="6845" spans="1:2" ht="12.5" x14ac:dyDescent="0.25">
      <c r="A6845" t="str">
        <f ca="1">IFERROR(__xludf.DUMMYFUNCTION("""COMPUTED_VALUE"""),"Salmonella Krefeld")</f>
        <v>Salmonella Krefeld</v>
      </c>
      <c r="B6845" t="str">
        <f ca="1">IFERROR(__xludf.DUMMYFUNCTION("""COMPUTED_VALUE"""),"RF-00000576-MCG")</f>
        <v>RF-00000576-MCG</v>
      </c>
    </row>
    <row r="6846" spans="1:2" ht="12.5" x14ac:dyDescent="0.25">
      <c r="A6846" t="str">
        <f ca="1">IFERROR(__xludf.DUMMYFUNCTION("""COMPUTED_VALUE"""),"Salmonella Kristianstad")</f>
        <v>Salmonella Kristianstad</v>
      </c>
      <c r="B6846" t="str">
        <f ca="1">IFERROR(__xludf.DUMMYFUNCTION("""COMPUTED_VALUE"""),"RF-00000549-MCG")</f>
        <v>RF-00000549-MCG</v>
      </c>
    </row>
    <row r="6847" spans="1:2" ht="12.5" x14ac:dyDescent="0.25">
      <c r="A6847" t="str">
        <f ca="1">IFERROR(__xludf.DUMMYFUNCTION("""COMPUTED_VALUE"""),"Salmonella Kua")</f>
        <v>Salmonella Kua</v>
      </c>
      <c r="B6847" t="str">
        <f ca="1">IFERROR(__xludf.DUMMYFUNCTION("""COMPUTED_VALUE"""),"RF-00000551-MCG")</f>
        <v>RF-00000551-MCG</v>
      </c>
    </row>
    <row r="6848" spans="1:2" ht="12.5" x14ac:dyDescent="0.25">
      <c r="A6848" t="str">
        <f ca="1">IFERROR(__xludf.DUMMYFUNCTION("""COMPUTED_VALUE"""),"Salmonella Kubacha")</f>
        <v>Salmonella Kubacha</v>
      </c>
      <c r="B6848" t="str">
        <f ca="1">IFERROR(__xludf.DUMMYFUNCTION("""COMPUTED_VALUE"""),"RF-00000589-MCG")</f>
        <v>RF-00000589-MCG</v>
      </c>
    </row>
    <row r="6849" spans="1:2" ht="12.5" x14ac:dyDescent="0.25">
      <c r="A6849" t="str">
        <f ca="1">IFERROR(__xludf.DUMMYFUNCTION("""COMPUTED_VALUE"""),"Salmonella Kuessel")</f>
        <v>Salmonella Kuessel</v>
      </c>
      <c r="B6849" t="str">
        <f ca="1">IFERROR(__xludf.DUMMYFUNCTION("""COMPUTED_VALUE"""),"RF-00000588-MCG")</f>
        <v>RF-00000588-MCG</v>
      </c>
    </row>
    <row r="6850" spans="1:2" ht="12.5" x14ac:dyDescent="0.25">
      <c r="A6850" t="str">
        <f ca="1">IFERROR(__xludf.DUMMYFUNCTION("""COMPUTED_VALUE"""),"Salmonella Kumasi")</f>
        <v>Salmonella Kumasi</v>
      </c>
      <c r="B6850" t="str">
        <f ca="1">IFERROR(__xludf.DUMMYFUNCTION("""COMPUTED_VALUE"""),"RF-00000587-MCG")</f>
        <v>RF-00000587-MCG</v>
      </c>
    </row>
    <row r="6851" spans="1:2" ht="12.5" x14ac:dyDescent="0.25">
      <c r="A6851" t="str">
        <f ca="1">IFERROR(__xludf.DUMMYFUNCTION("""COMPUTED_VALUE"""),"Salmonella Kunduchi")</f>
        <v>Salmonella Kunduchi</v>
      </c>
      <c r="B6851" t="str">
        <f ca="1">IFERROR(__xludf.DUMMYFUNCTION("""COMPUTED_VALUE"""),"RF-00000586-MCG")</f>
        <v>RF-00000586-MCG</v>
      </c>
    </row>
    <row r="6852" spans="1:2" ht="12.5" x14ac:dyDescent="0.25">
      <c r="A6852" t="str">
        <f ca="1">IFERROR(__xludf.DUMMYFUNCTION("""COMPUTED_VALUE"""),"Salmonella Kuntair")</f>
        <v>Salmonella Kuntair</v>
      </c>
      <c r="B6852" t="str">
        <f ca="1">IFERROR(__xludf.DUMMYFUNCTION("""COMPUTED_VALUE"""),"RF-00000585-MCG")</f>
        <v>RF-00000585-MCG</v>
      </c>
    </row>
    <row r="6853" spans="1:2" ht="12.5" x14ac:dyDescent="0.25">
      <c r="A6853" t="str">
        <f ca="1">IFERROR(__xludf.DUMMYFUNCTION("""COMPUTED_VALUE"""),"Salmonella Kuru")</f>
        <v>Salmonella Kuru</v>
      </c>
      <c r="B6853" t="str">
        <f ca="1">IFERROR(__xludf.DUMMYFUNCTION("""COMPUTED_VALUE"""),"RF-00000584-MCG")</f>
        <v>RF-00000584-MCG</v>
      </c>
    </row>
    <row r="6854" spans="1:2" ht="12.5" x14ac:dyDescent="0.25">
      <c r="A6854" t="str">
        <f ca="1">IFERROR(__xludf.DUMMYFUNCTION("""COMPUTED_VALUE"""),"Salmonella Labadi")</f>
        <v>Salmonella Labadi</v>
      </c>
      <c r="B6854" t="str">
        <f ca="1">IFERROR(__xludf.DUMMYFUNCTION("""COMPUTED_VALUE"""),"RF-00000583-MCG")</f>
        <v>RF-00000583-MCG</v>
      </c>
    </row>
    <row r="6855" spans="1:2" ht="12.5" x14ac:dyDescent="0.25">
      <c r="A6855" t="str">
        <f ca="1">IFERROR(__xludf.DUMMYFUNCTION("""COMPUTED_VALUE"""),"Salmonella Lagos")</f>
        <v>Salmonella Lagos</v>
      </c>
      <c r="B6855" t="str">
        <f ca="1">IFERROR(__xludf.DUMMYFUNCTION("""COMPUTED_VALUE"""),"RF-00000582-MCG")</f>
        <v>RF-00000582-MCG</v>
      </c>
    </row>
    <row r="6856" spans="1:2" ht="12.5" x14ac:dyDescent="0.25">
      <c r="A6856" t="str">
        <f ca="1">IFERROR(__xludf.DUMMYFUNCTION("""COMPUTED_VALUE"""),"Salmonella Lamberhurst")</f>
        <v>Salmonella Lamberhurst</v>
      </c>
      <c r="B6856" t="str">
        <f ca="1">IFERROR(__xludf.DUMMYFUNCTION("""COMPUTED_VALUE"""),"RF-00000581-MCG")</f>
        <v>RF-00000581-MCG</v>
      </c>
    </row>
    <row r="6857" spans="1:2" ht="12.5" x14ac:dyDescent="0.25">
      <c r="A6857" t="str">
        <f ca="1">IFERROR(__xludf.DUMMYFUNCTION("""COMPUTED_VALUE"""),"Salmonella Lamin")</f>
        <v>Salmonella Lamin</v>
      </c>
      <c r="B6857" t="str">
        <f ca="1">IFERROR(__xludf.DUMMYFUNCTION("""COMPUTED_VALUE"""),"RF-00000580-MCG")</f>
        <v>RF-00000580-MCG</v>
      </c>
    </row>
    <row r="6858" spans="1:2" ht="12.5" x14ac:dyDescent="0.25">
      <c r="A6858" t="str">
        <f ca="1">IFERROR(__xludf.DUMMYFUNCTION("""COMPUTED_VALUE"""),"Salmonella Lancaster")</f>
        <v>Salmonella Lancaster</v>
      </c>
      <c r="B6858" t="str">
        <f ca="1">IFERROR(__xludf.DUMMYFUNCTION("""COMPUTED_VALUE"""),"RF-00000579-MCG")</f>
        <v>RF-00000579-MCG</v>
      </c>
    </row>
    <row r="6859" spans="1:2" ht="12.5" x14ac:dyDescent="0.25">
      <c r="A6859" t="str">
        <f ca="1">IFERROR(__xludf.DUMMYFUNCTION("""COMPUTED_VALUE"""),"Salmonella Landala")</f>
        <v>Salmonella Landala</v>
      </c>
      <c r="B6859" t="str">
        <f ca="1">IFERROR(__xludf.DUMMYFUNCTION("""COMPUTED_VALUE"""),"RF-00000564-MCG")</f>
        <v>RF-00000564-MCG</v>
      </c>
    </row>
    <row r="6860" spans="1:2" ht="12.5" x14ac:dyDescent="0.25">
      <c r="A6860" t="str">
        <f ca="1">IFERROR(__xludf.DUMMYFUNCTION("""COMPUTED_VALUE"""),"Salmonella Landau")</f>
        <v>Salmonella Landau</v>
      </c>
      <c r="B6860" t="str">
        <f ca="1">IFERROR(__xludf.DUMMYFUNCTION("""COMPUTED_VALUE"""),"RF-00000577-MCG")</f>
        <v>RF-00000577-MCG</v>
      </c>
    </row>
    <row r="6861" spans="1:2" ht="12.5" x14ac:dyDescent="0.25">
      <c r="A6861" t="str">
        <f ca="1">IFERROR(__xludf.DUMMYFUNCTION("""COMPUTED_VALUE"""),"Salmonella Landwasser")</f>
        <v>Salmonella Landwasser</v>
      </c>
      <c r="B6861" t="str">
        <f ca="1">IFERROR(__xludf.DUMMYFUNCTION("""COMPUTED_VALUE"""),"RF-00000590-MCG")</f>
        <v>RF-00000590-MCG</v>
      </c>
    </row>
    <row r="6862" spans="1:2" ht="12.5" x14ac:dyDescent="0.25">
      <c r="A6862" t="str">
        <f ca="1">IFERROR(__xludf.DUMMYFUNCTION("""COMPUTED_VALUE"""),"Salmonella Langenhorn")</f>
        <v>Salmonella Langenhorn</v>
      </c>
      <c r="B6862" t="str">
        <f ca="1">IFERROR(__xludf.DUMMYFUNCTION("""COMPUTED_VALUE"""),"RF-00000575-MCG")</f>
        <v>RF-00000575-MCG</v>
      </c>
    </row>
    <row r="6863" spans="1:2" ht="12.5" x14ac:dyDescent="0.25">
      <c r="A6863" t="str">
        <f ca="1">IFERROR(__xludf.DUMMYFUNCTION("""COMPUTED_VALUE"""),"Salmonella Langensalza")</f>
        <v>Salmonella Langensalza</v>
      </c>
      <c r="B6863" t="str">
        <f ca="1">IFERROR(__xludf.DUMMYFUNCTION("""COMPUTED_VALUE"""),"RF-00000574-MCG")</f>
        <v>RF-00000574-MCG</v>
      </c>
    </row>
    <row r="6864" spans="1:2" ht="12.5" x14ac:dyDescent="0.25">
      <c r="A6864" t="str">
        <f ca="1">IFERROR(__xludf.DUMMYFUNCTION("""COMPUTED_VALUE"""),"Salmonella Langford")</f>
        <v>Salmonella Langford</v>
      </c>
      <c r="B6864" t="str">
        <f ca="1">IFERROR(__xludf.DUMMYFUNCTION("""COMPUTED_VALUE"""),"RF-00000573-MCG")</f>
        <v>RF-00000573-MCG</v>
      </c>
    </row>
    <row r="6865" spans="1:2" ht="12.5" x14ac:dyDescent="0.25">
      <c r="A6865" t="str">
        <f ca="1">IFERROR(__xludf.DUMMYFUNCTION("""COMPUTED_VALUE"""),"Salmonella Lansing")</f>
        <v>Salmonella Lansing</v>
      </c>
      <c r="B6865" t="str">
        <f ca="1">IFERROR(__xludf.DUMMYFUNCTION("""COMPUTED_VALUE"""),"RF-00000572-MCG")</f>
        <v>RF-00000572-MCG</v>
      </c>
    </row>
    <row r="6866" spans="1:2" ht="12.5" x14ac:dyDescent="0.25">
      <c r="A6866" t="str">
        <f ca="1">IFERROR(__xludf.DUMMYFUNCTION("""COMPUTED_VALUE"""),"Salmonella Laredo")</f>
        <v>Salmonella Laredo</v>
      </c>
      <c r="B6866" t="str">
        <f ca="1">IFERROR(__xludf.DUMMYFUNCTION("""COMPUTED_VALUE"""),"RF-00000571-MCG")</f>
        <v>RF-00000571-MCG</v>
      </c>
    </row>
    <row r="6867" spans="1:2" ht="12.5" x14ac:dyDescent="0.25">
      <c r="A6867" t="str">
        <f ca="1">IFERROR(__xludf.DUMMYFUNCTION("""COMPUTED_VALUE"""),"Salmonella Larochelle")</f>
        <v>Salmonella Larochelle</v>
      </c>
      <c r="B6867" t="str">
        <f ca="1">IFERROR(__xludf.DUMMYFUNCTION("""COMPUTED_VALUE"""),"RF-00000570-MCG")</f>
        <v>RF-00000570-MCG</v>
      </c>
    </row>
    <row r="6868" spans="1:2" ht="12.5" x14ac:dyDescent="0.25">
      <c r="A6868" t="str">
        <f ca="1">IFERROR(__xludf.DUMMYFUNCTION("""COMPUTED_VALUE"""),"Salmonella Lattenkamp")</f>
        <v>Salmonella Lattenkamp</v>
      </c>
      <c r="B6868" t="str">
        <f ca="1">IFERROR(__xludf.DUMMYFUNCTION("""COMPUTED_VALUE"""),"RF-00000569-MCG")</f>
        <v>RF-00000569-MCG</v>
      </c>
    </row>
    <row r="6869" spans="1:2" ht="12.5" x14ac:dyDescent="0.25">
      <c r="A6869" t="str">
        <f ca="1">IFERROR(__xludf.DUMMYFUNCTION("""COMPUTED_VALUE"""),"Salmonella Lawndale")</f>
        <v>Salmonella Lawndale</v>
      </c>
      <c r="B6869" t="str">
        <f ca="1">IFERROR(__xludf.DUMMYFUNCTION("""COMPUTED_VALUE"""),"RF-00000568-MCG")</f>
        <v>RF-00000568-MCG</v>
      </c>
    </row>
    <row r="6870" spans="1:2" ht="12.5" x14ac:dyDescent="0.25">
      <c r="A6870" t="str">
        <f ca="1">IFERROR(__xludf.DUMMYFUNCTION("""COMPUTED_VALUE"""),"Salmonella Lawra")</f>
        <v>Salmonella Lawra</v>
      </c>
      <c r="B6870" t="str">
        <f ca="1">IFERROR(__xludf.DUMMYFUNCTION("""COMPUTED_VALUE"""),"RF-00000567-MCG")</f>
        <v>RF-00000567-MCG</v>
      </c>
    </row>
    <row r="6871" spans="1:2" ht="12.5" x14ac:dyDescent="0.25">
      <c r="A6871" t="str">
        <f ca="1">IFERROR(__xludf.DUMMYFUNCTION("""COMPUTED_VALUE"""),"Salmonella Leatherhead")</f>
        <v>Salmonella Leatherhead</v>
      </c>
      <c r="B6871" t="str">
        <f ca="1">IFERROR(__xludf.DUMMYFUNCTION("""COMPUTED_VALUE"""),"RF-00000566-MCG")</f>
        <v>RF-00000566-MCG</v>
      </c>
    </row>
    <row r="6872" spans="1:2" ht="12.5" x14ac:dyDescent="0.25">
      <c r="A6872" t="str">
        <f ca="1">IFERROR(__xludf.DUMMYFUNCTION("""COMPUTED_VALUE"""),"Salmonella Lechler")</f>
        <v>Salmonella Lechler</v>
      </c>
      <c r="B6872" t="str">
        <f ca="1">IFERROR(__xludf.DUMMYFUNCTION("""COMPUTED_VALUE"""),"RF-00000565-MCG")</f>
        <v>RF-00000565-MCG</v>
      </c>
    </row>
    <row r="6873" spans="1:2" ht="12.5" x14ac:dyDescent="0.25">
      <c r="A6873" t="str">
        <f ca="1">IFERROR(__xludf.DUMMYFUNCTION("""COMPUTED_VALUE"""),"Salmonella Leda")</f>
        <v>Salmonella Leda</v>
      </c>
      <c r="B6873" t="str">
        <f ca="1">IFERROR(__xludf.DUMMYFUNCTION("""COMPUTED_VALUE"""),"RF-00000646-MCG")</f>
        <v>RF-00000646-MCG</v>
      </c>
    </row>
    <row r="6874" spans="1:2" ht="12.5" x14ac:dyDescent="0.25">
      <c r="A6874" t="str">
        <f ca="1">IFERROR(__xludf.DUMMYFUNCTION("""COMPUTED_VALUE"""),"Salmonella Leer")</f>
        <v>Salmonella Leer</v>
      </c>
      <c r="B6874" t="str">
        <f ca="1">IFERROR(__xludf.DUMMYFUNCTION("""COMPUTED_VALUE"""),"RF-00000727-MCG")</f>
        <v>RF-00000727-MCG</v>
      </c>
    </row>
    <row r="6875" spans="1:2" ht="12.5" x14ac:dyDescent="0.25">
      <c r="A6875" t="str">
        <f ca="1">IFERROR(__xludf.DUMMYFUNCTION("""COMPUTED_VALUE"""),"Salmonella Leeuwarden")</f>
        <v>Salmonella Leeuwarden</v>
      </c>
      <c r="B6875" t="str">
        <f ca="1">IFERROR(__xludf.DUMMYFUNCTION("""COMPUTED_VALUE"""),"RF-00000632-MCG")</f>
        <v>RF-00000632-MCG</v>
      </c>
    </row>
    <row r="6876" spans="1:2" ht="12.5" x14ac:dyDescent="0.25">
      <c r="A6876" t="str">
        <f ca="1">IFERROR(__xludf.DUMMYFUNCTION("""COMPUTED_VALUE"""),"Salmonella Legon")</f>
        <v>Salmonella Legon</v>
      </c>
      <c r="B6876" t="str">
        <f ca="1">IFERROR(__xludf.DUMMYFUNCTION("""COMPUTED_VALUE"""),"RF-00000723-MCG")</f>
        <v>RF-00000723-MCG</v>
      </c>
    </row>
    <row r="6877" spans="1:2" ht="12.5" x14ac:dyDescent="0.25">
      <c r="A6877" t="str">
        <f ca="1">IFERROR(__xludf.DUMMYFUNCTION("""COMPUTED_VALUE"""),"Salmonella Leiden")</f>
        <v>Salmonella Leiden</v>
      </c>
      <c r="B6877" t="str">
        <f ca="1">IFERROR(__xludf.DUMMYFUNCTION("""COMPUTED_VALUE"""),"RF-00000722-MCG")</f>
        <v>RF-00000722-MCG</v>
      </c>
    </row>
    <row r="6878" spans="1:2" ht="12.5" x14ac:dyDescent="0.25">
      <c r="A6878" t="str">
        <f ca="1">IFERROR(__xludf.DUMMYFUNCTION("""COMPUTED_VALUE"""),"Salmonella Leipzig")</f>
        <v>Salmonella Leipzig</v>
      </c>
      <c r="B6878" t="str">
        <f ca="1">IFERROR(__xludf.DUMMYFUNCTION("""COMPUTED_VALUE"""),"RF-00000721-MCG")</f>
        <v>RF-00000721-MCG</v>
      </c>
    </row>
    <row r="6879" spans="1:2" ht="12.5" x14ac:dyDescent="0.25">
      <c r="A6879" t="str">
        <f ca="1">IFERROR(__xludf.DUMMYFUNCTION("""COMPUTED_VALUE"""),"Salmonella Leith")</f>
        <v>Salmonella Leith</v>
      </c>
      <c r="B6879" t="str">
        <f ca="1">IFERROR(__xludf.DUMMYFUNCTION("""COMPUTED_VALUE"""),"RF-00000720-MCG")</f>
        <v>RF-00000720-MCG</v>
      </c>
    </row>
    <row r="6880" spans="1:2" ht="12.5" x14ac:dyDescent="0.25">
      <c r="A6880" t="str">
        <f ca="1">IFERROR(__xludf.DUMMYFUNCTION("""COMPUTED_VALUE"""),"Salmonella Lekke")</f>
        <v>Salmonella Lekke</v>
      </c>
      <c r="B6880" t="str">
        <f ca="1">IFERROR(__xludf.DUMMYFUNCTION("""COMPUTED_VALUE"""),"RF-00000719-MCG")</f>
        <v>RF-00000719-MCG</v>
      </c>
    </row>
    <row r="6881" spans="1:2" ht="12.5" x14ac:dyDescent="0.25">
      <c r="A6881" t="str">
        <f ca="1">IFERROR(__xludf.DUMMYFUNCTION("""COMPUTED_VALUE"""),"Salmonella Lene")</f>
        <v>Salmonella Lene</v>
      </c>
      <c r="B6881" t="str">
        <f ca="1">IFERROR(__xludf.DUMMYFUNCTION("""COMPUTED_VALUE"""),"RF-00000718-MCG")</f>
        <v>RF-00000718-MCG</v>
      </c>
    </row>
    <row r="6882" spans="1:2" ht="12.5" x14ac:dyDescent="0.25">
      <c r="A6882" t="str">
        <f ca="1">IFERROR(__xludf.DUMMYFUNCTION("""COMPUTED_VALUE"""),"Salmonella Leoben")</f>
        <v>Salmonella Leoben</v>
      </c>
      <c r="B6882" t="str">
        <f ca="1">IFERROR(__xludf.DUMMYFUNCTION("""COMPUTED_VALUE"""),"RF-00000717-MCG")</f>
        <v>RF-00000717-MCG</v>
      </c>
    </row>
    <row r="6883" spans="1:2" ht="12.5" x14ac:dyDescent="0.25">
      <c r="A6883" t="str">
        <f ca="1">IFERROR(__xludf.DUMMYFUNCTION("""COMPUTED_VALUE"""),"Salmonella Leopoldville")</f>
        <v>Salmonella Leopoldville</v>
      </c>
      <c r="B6883" t="str">
        <f ca="1">IFERROR(__xludf.DUMMYFUNCTION("""COMPUTED_VALUE"""),"RF-00000716-MCG")</f>
        <v>RF-00000716-MCG</v>
      </c>
    </row>
    <row r="6884" spans="1:2" ht="12.5" x14ac:dyDescent="0.25">
      <c r="A6884" t="str">
        <f ca="1">IFERROR(__xludf.DUMMYFUNCTION("""COMPUTED_VALUE"""),"Salmonella Lerum")</f>
        <v>Salmonella Lerum</v>
      </c>
      <c r="B6884" t="str">
        <f ca="1">IFERROR(__xludf.DUMMYFUNCTION("""COMPUTED_VALUE"""),"RF-00000715-MCG")</f>
        <v>RF-00000715-MCG</v>
      </c>
    </row>
    <row r="6885" spans="1:2" ht="12.5" x14ac:dyDescent="0.25">
      <c r="A6885" t="str">
        <f ca="1">IFERROR(__xludf.DUMMYFUNCTION("""COMPUTED_VALUE"""),"Salmonella Lexington")</f>
        <v>Salmonella Lexington</v>
      </c>
      <c r="B6885" t="str">
        <f ca="1">IFERROR(__xludf.DUMMYFUNCTION("""COMPUTED_VALUE"""),"RF-00000714-MCG")</f>
        <v>RF-00000714-MCG</v>
      </c>
    </row>
    <row r="6886" spans="1:2" ht="12.5" x14ac:dyDescent="0.25">
      <c r="A6886" t="str">
        <f ca="1">IFERROR(__xludf.DUMMYFUNCTION("""COMPUTED_VALUE"""),"Salmonella Lexington var. 15")</f>
        <v>Salmonella Lexington var. 15</v>
      </c>
      <c r="B6886" t="str">
        <f ca="1">IFERROR(__xludf.DUMMYFUNCTION("""COMPUTED_VALUE"""),"RF-00000699-MCG")</f>
        <v>RF-00000699-MCG</v>
      </c>
    </row>
    <row r="6887" spans="1:2" ht="12.5" x14ac:dyDescent="0.25">
      <c r="A6887" t="str">
        <f ca="1">IFERROR(__xludf.DUMMYFUNCTION("""COMPUTED_VALUE"""),"Salmonella Lexington var. 15,3")</f>
        <v>Salmonella Lexington var. 15,3</v>
      </c>
      <c r="B6887" t="str">
        <f ca="1">IFERROR(__xludf.DUMMYFUNCTION("""COMPUTED_VALUE"""),"RF-00000712-MCG")</f>
        <v>RF-00000712-MCG</v>
      </c>
    </row>
    <row r="6888" spans="1:2" ht="12.5" x14ac:dyDescent="0.25">
      <c r="A6888" t="str">
        <f ca="1">IFERROR(__xludf.DUMMYFUNCTION("""COMPUTED_VALUE"""),"Salmonella Lezennes")</f>
        <v>Salmonella Lezennes</v>
      </c>
      <c r="B6888" t="str">
        <f ca="1">IFERROR(__xludf.DUMMYFUNCTION("""COMPUTED_VALUE"""),"RF-00000725-MCG")</f>
        <v>RF-00000725-MCG</v>
      </c>
    </row>
    <row r="6889" spans="1:2" ht="12.5" x14ac:dyDescent="0.25">
      <c r="A6889" t="str">
        <f ca="1">IFERROR(__xludf.DUMMYFUNCTION("""COMPUTED_VALUE"""),"Salmonella Libreville")</f>
        <v>Salmonella Libreville</v>
      </c>
      <c r="B6889" t="str">
        <f ca="1">IFERROR(__xludf.DUMMYFUNCTION("""COMPUTED_VALUE"""),"RF-00000710-MCG")</f>
        <v>RF-00000710-MCG</v>
      </c>
    </row>
    <row r="6890" spans="1:2" ht="12.5" x14ac:dyDescent="0.25">
      <c r="A6890" t="str">
        <f ca="1">IFERROR(__xludf.DUMMYFUNCTION("""COMPUTED_VALUE"""),"Salmonella Ligeo")</f>
        <v>Salmonella Ligeo</v>
      </c>
      <c r="B6890" t="str">
        <f ca="1">IFERROR(__xludf.DUMMYFUNCTION("""COMPUTED_VALUE"""),"RF-00000709-MCG")</f>
        <v>RF-00000709-MCG</v>
      </c>
    </row>
    <row r="6891" spans="1:2" ht="12.5" x14ac:dyDescent="0.25">
      <c r="A6891" t="str">
        <f ca="1">IFERROR(__xludf.DUMMYFUNCTION("""COMPUTED_VALUE"""),"Salmonella Ligna")</f>
        <v>Salmonella Ligna</v>
      </c>
      <c r="B6891" t="str">
        <f ca="1">IFERROR(__xludf.DUMMYFUNCTION("""COMPUTED_VALUE"""),"RF-00000708-MCG")</f>
        <v>RF-00000708-MCG</v>
      </c>
    </row>
    <row r="6892" spans="1:2" ht="12.5" x14ac:dyDescent="0.25">
      <c r="A6892" t="str">
        <f ca="1">IFERROR(__xludf.DUMMYFUNCTION("""COMPUTED_VALUE"""),"Salmonella Lika")</f>
        <v>Salmonella Lika</v>
      </c>
      <c r="B6892" t="str">
        <f ca="1">IFERROR(__xludf.DUMMYFUNCTION("""COMPUTED_VALUE"""),"RF-00000707-MCG")</f>
        <v>RF-00000707-MCG</v>
      </c>
    </row>
    <row r="6893" spans="1:2" ht="12.5" x14ac:dyDescent="0.25">
      <c r="A6893" t="str">
        <f ca="1">IFERROR(__xludf.DUMMYFUNCTION("""COMPUTED_VALUE"""),"Salmonella Lille")</f>
        <v>Salmonella Lille</v>
      </c>
      <c r="B6893" t="str">
        <f ca="1">IFERROR(__xludf.DUMMYFUNCTION("""COMPUTED_VALUE"""),"RF-00000706-MCG")</f>
        <v>RF-00000706-MCG</v>
      </c>
    </row>
    <row r="6894" spans="1:2" ht="12.5" x14ac:dyDescent="0.25">
      <c r="A6894" t="str">
        <f ca="1">IFERROR(__xludf.DUMMYFUNCTION("""COMPUTED_VALUE"""),"Salmonella Lille var. 14")</f>
        <v>Salmonella Lille var. 14</v>
      </c>
      <c r="B6894" t="str">
        <f ca="1">IFERROR(__xludf.DUMMYFUNCTION("""COMPUTED_VALUE"""),"RF-00000705-MCG")</f>
        <v>RF-00000705-MCG</v>
      </c>
    </row>
    <row r="6895" spans="1:2" ht="12.5" x14ac:dyDescent="0.25">
      <c r="A6895" t="str">
        <f ca="1">IFERROR(__xludf.DUMMYFUNCTION("""COMPUTED_VALUE"""),"Salmonella Limete")</f>
        <v>Salmonella Limete</v>
      </c>
      <c r="B6895" t="str">
        <f ca="1">IFERROR(__xludf.DUMMYFUNCTION("""COMPUTED_VALUE"""),"RF-00000704-MCG")</f>
        <v>RF-00000704-MCG</v>
      </c>
    </row>
    <row r="6896" spans="1:2" ht="12.5" x14ac:dyDescent="0.25">
      <c r="A6896" t="str">
        <f ca="1">IFERROR(__xludf.DUMMYFUNCTION("""COMPUTED_VALUE"""),"Salmonella Lindenburg")</f>
        <v>Salmonella Lindenburg</v>
      </c>
      <c r="B6896" t="str">
        <f ca="1">IFERROR(__xludf.DUMMYFUNCTION("""COMPUTED_VALUE"""),"RF-00000703-MCG")</f>
        <v>RF-00000703-MCG</v>
      </c>
    </row>
    <row r="6897" spans="1:2" ht="12.5" x14ac:dyDescent="0.25">
      <c r="A6897" t="str">
        <f ca="1">IFERROR(__xludf.DUMMYFUNCTION("""COMPUTED_VALUE"""),"Salmonella Lindern")</f>
        <v>Salmonella Lindern</v>
      </c>
      <c r="B6897" t="str">
        <f ca="1">IFERROR(__xludf.DUMMYFUNCTION("""COMPUTED_VALUE"""),"RF-00000702-MCG")</f>
        <v>RF-00000702-MCG</v>
      </c>
    </row>
    <row r="6898" spans="1:2" ht="12.5" x14ac:dyDescent="0.25">
      <c r="A6898" t="str">
        <f ca="1">IFERROR(__xludf.DUMMYFUNCTION("""COMPUTED_VALUE"""),"Salmonella Lindi")</f>
        <v>Salmonella Lindi</v>
      </c>
      <c r="B6898" t="str">
        <f ca="1">IFERROR(__xludf.DUMMYFUNCTION("""COMPUTED_VALUE"""),"RF-00000701-MCG")</f>
        <v>RF-00000701-MCG</v>
      </c>
    </row>
    <row r="6899" spans="1:2" ht="12.5" x14ac:dyDescent="0.25">
      <c r="A6899" t="str">
        <f ca="1">IFERROR(__xludf.DUMMYFUNCTION("""COMPUTED_VALUE"""),"Salmonella Linguere")</f>
        <v>Salmonella Linguere</v>
      </c>
      <c r="B6899" t="str">
        <f ca="1">IFERROR(__xludf.DUMMYFUNCTION("""COMPUTED_VALUE"""),"RF-00000700-MCG")</f>
        <v>RF-00000700-MCG</v>
      </c>
    </row>
    <row r="6900" spans="1:2" ht="12.5" x14ac:dyDescent="0.25">
      <c r="A6900" t="str">
        <f ca="1">IFERROR(__xludf.DUMMYFUNCTION("""COMPUTED_VALUE"""),"Salmonella Lingwala")</f>
        <v>Salmonella Lingwala</v>
      </c>
      <c r="B6900" t="str">
        <f ca="1">IFERROR(__xludf.DUMMYFUNCTION("""COMPUTED_VALUE"""),"RF-00000738-MCG")</f>
        <v>RF-00000738-MCG</v>
      </c>
    </row>
    <row r="6901" spans="1:2" ht="12.5" x14ac:dyDescent="0.25">
      <c r="A6901" t="str">
        <f ca="1">IFERROR(__xludf.DUMMYFUNCTION("""COMPUTED_VALUE"""),"Salmonella Linton")</f>
        <v>Salmonella Linton</v>
      </c>
      <c r="B6901" t="str">
        <f ca="1">IFERROR(__xludf.DUMMYFUNCTION("""COMPUTED_VALUE"""),"RF-00000740-MCG")</f>
        <v>RF-00000740-MCG</v>
      </c>
    </row>
    <row r="6902" spans="1:2" ht="12.5" x14ac:dyDescent="0.25">
      <c r="A6902" t="str">
        <f ca="1">IFERROR(__xludf.DUMMYFUNCTION("""COMPUTED_VALUE"""),"Salmonella Lisboa")</f>
        <v>Salmonella Lisboa</v>
      </c>
      <c r="B6902" t="str">
        <f ca="1">IFERROR(__xludf.DUMMYFUNCTION("""COMPUTED_VALUE"""),"RF-00000713-MCG")</f>
        <v>RF-00000713-MCG</v>
      </c>
    </row>
    <row r="6903" spans="1:2" ht="12.5" x14ac:dyDescent="0.25">
      <c r="A6903" t="str">
        <f ca="1">IFERROR(__xludf.DUMMYFUNCTION("""COMPUTED_VALUE"""),"Salmonella Lishabi")</f>
        <v>Salmonella Lishabi</v>
      </c>
      <c r="B6903" t="str">
        <f ca="1">IFERROR(__xludf.DUMMYFUNCTION("""COMPUTED_VALUE"""),"RF-00000751-MCG")</f>
        <v>RF-00000751-MCG</v>
      </c>
    </row>
    <row r="6904" spans="1:2" ht="12.5" x14ac:dyDescent="0.25">
      <c r="A6904" t="str">
        <f ca="1">IFERROR(__xludf.DUMMYFUNCTION("""COMPUTED_VALUE"""),"Salmonella Litchfield")</f>
        <v>Salmonella Litchfield</v>
      </c>
      <c r="B6904" t="str">
        <f ca="1">IFERROR(__xludf.DUMMYFUNCTION("""COMPUTED_VALUE"""),"RF-00000750-MCG")</f>
        <v>RF-00000750-MCG</v>
      </c>
    </row>
    <row r="6905" spans="1:2" ht="12.5" x14ac:dyDescent="0.25">
      <c r="A6905" t="str">
        <f ca="1">IFERROR(__xludf.DUMMYFUNCTION("""COMPUTED_VALUE"""),"Salmonella Liverpool")</f>
        <v>Salmonella Liverpool</v>
      </c>
      <c r="B6905" t="str">
        <f ca="1">IFERROR(__xludf.DUMMYFUNCTION("""COMPUTED_VALUE"""),"RF-00000749-MCG")</f>
        <v>RF-00000749-MCG</v>
      </c>
    </row>
    <row r="6906" spans="1:2" ht="12.5" x14ac:dyDescent="0.25">
      <c r="A6906" t="str">
        <f ca="1">IFERROR(__xludf.DUMMYFUNCTION("""COMPUTED_VALUE"""),"Salmonella Livingston var. 14")</f>
        <v>Salmonella Livingston var. 14</v>
      </c>
      <c r="B6906" t="str">
        <f ca="1">IFERROR(__xludf.DUMMYFUNCTION("""COMPUTED_VALUE"""),"RF-00000748-MCG")</f>
        <v>RF-00000748-MCG</v>
      </c>
    </row>
    <row r="6907" spans="1:2" ht="12.5" x14ac:dyDescent="0.25">
      <c r="A6907" t="str">
        <f ca="1">IFERROR(__xludf.DUMMYFUNCTION("""COMPUTED_VALUE"""),"Salmonella Livingstone")</f>
        <v>Salmonella Livingstone</v>
      </c>
      <c r="B6907" t="str">
        <f ca="1">IFERROR(__xludf.DUMMYFUNCTION("""COMPUTED_VALUE"""),"RF-00000747-MCG")</f>
        <v>RF-00000747-MCG</v>
      </c>
    </row>
    <row r="6908" spans="1:2" ht="12.5" x14ac:dyDescent="0.25">
      <c r="A6908" t="str">
        <f ca="1">IFERROR(__xludf.DUMMYFUNCTION("""COMPUTED_VALUE"""),"Salmonella Livulu")</f>
        <v>Salmonella Livulu</v>
      </c>
      <c r="B6908" t="str">
        <f ca="1">IFERROR(__xludf.DUMMYFUNCTION("""COMPUTED_VALUE"""),"RF-00000746-MCG")</f>
        <v>RF-00000746-MCG</v>
      </c>
    </row>
    <row r="6909" spans="1:2" ht="12.5" x14ac:dyDescent="0.25">
      <c r="A6909" t="str">
        <f ca="1">IFERROR(__xludf.DUMMYFUNCTION("""COMPUTED_VALUE"""),"Salmonella Ljubljana")</f>
        <v>Salmonella Ljubljana</v>
      </c>
      <c r="B6909" t="str">
        <f ca="1">IFERROR(__xludf.DUMMYFUNCTION("""COMPUTED_VALUE"""),"RF-00000745-MCG")</f>
        <v>RF-00000745-MCG</v>
      </c>
    </row>
    <row r="6910" spans="1:2" ht="12.5" x14ac:dyDescent="0.25">
      <c r="A6910" t="str">
        <f ca="1">IFERROR(__xludf.DUMMYFUNCTION("""COMPUTED_VALUE"""),"Salmonella Llandoff")</f>
        <v>Salmonella Llandoff</v>
      </c>
      <c r="B6910" t="str">
        <f ca="1">IFERROR(__xludf.DUMMYFUNCTION("""COMPUTED_VALUE"""),"RF-00000744-MCG")</f>
        <v>RF-00000744-MCG</v>
      </c>
    </row>
    <row r="6911" spans="1:2" ht="12.5" x14ac:dyDescent="0.25">
      <c r="A6911" t="str">
        <f ca="1">IFERROR(__xludf.DUMMYFUNCTION("""COMPUTED_VALUE"""),"Salmonella Llobregat")</f>
        <v>Salmonella Llobregat</v>
      </c>
      <c r="B6911" t="str">
        <f ca="1">IFERROR(__xludf.DUMMYFUNCTION("""COMPUTED_VALUE"""),"RF-00000743-MCG")</f>
        <v>RF-00000743-MCG</v>
      </c>
    </row>
    <row r="6912" spans="1:2" ht="12.5" x14ac:dyDescent="0.25">
      <c r="A6912" t="str">
        <f ca="1">IFERROR(__xludf.DUMMYFUNCTION("""COMPUTED_VALUE"""),"Salmonella Loanda")</f>
        <v>Salmonella Loanda</v>
      </c>
      <c r="B6912" t="str">
        <f ca="1">IFERROR(__xludf.DUMMYFUNCTION("""COMPUTED_VALUE"""),"RF-00000742-MCG")</f>
        <v>RF-00000742-MCG</v>
      </c>
    </row>
    <row r="6913" spans="1:2" ht="12.5" x14ac:dyDescent="0.25">
      <c r="A6913" t="str">
        <f ca="1">IFERROR(__xludf.DUMMYFUNCTION("""COMPUTED_VALUE"""),"Salmonella Lockleaze")</f>
        <v>Salmonella Lockleaze</v>
      </c>
      <c r="B6913" t="str">
        <f ca="1">IFERROR(__xludf.DUMMYFUNCTION("""COMPUTED_VALUE"""),"RF-00000741-MCG")</f>
        <v>RF-00000741-MCG</v>
      </c>
    </row>
    <row r="6914" spans="1:2" ht="12.5" x14ac:dyDescent="0.25">
      <c r="A6914" t="str">
        <f ca="1">IFERROR(__xludf.DUMMYFUNCTION("""COMPUTED_VALUE"""),"Salmonella Lode")</f>
        <v>Salmonella Lode</v>
      </c>
      <c r="B6914" t="str">
        <f ca="1">IFERROR(__xludf.DUMMYFUNCTION("""COMPUTED_VALUE"""),"RF-00000726-MCG")</f>
        <v>RF-00000726-MCG</v>
      </c>
    </row>
    <row r="6915" spans="1:2" ht="12.5" x14ac:dyDescent="0.25">
      <c r="A6915" t="str">
        <f ca="1">IFERROR(__xludf.DUMMYFUNCTION("""COMPUTED_VALUE"""),"Salmonella Lodz")</f>
        <v>Salmonella Lodz</v>
      </c>
      <c r="B6915" t="str">
        <f ca="1">IFERROR(__xludf.DUMMYFUNCTION("""COMPUTED_VALUE"""),"RF-00000739-MCG")</f>
        <v>RF-00000739-MCG</v>
      </c>
    </row>
    <row r="6916" spans="1:2" ht="12.5" x14ac:dyDescent="0.25">
      <c r="A6916" t="str">
        <f ca="1">IFERROR(__xludf.DUMMYFUNCTION("""COMPUTED_VALUE"""),"Salmonella Loenga")</f>
        <v>Salmonella Loenga</v>
      </c>
      <c r="B6916" t="str">
        <f ca="1">IFERROR(__xludf.DUMMYFUNCTION("""COMPUTED_VALUE"""),"RF-00000753-MCG")</f>
        <v>RF-00000753-MCG</v>
      </c>
    </row>
    <row r="6917" spans="1:2" ht="12.5" x14ac:dyDescent="0.25">
      <c r="A6917" t="str">
        <f ca="1">IFERROR(__xludf.DUMMYFUNCTION("""COMPUTED_VALUE"""),"Salmonella Logone")</f>
        <v>Salmonella Logone</v>
      </c>
      <c r="B6917" t="str">
        <f ca="1">IFERROR(__xludf.DUMMYFUNCTION("""COMPUTED_VALUE"""),"RF-00000737-MCG")</f>
        <v>RF-00000737-MCG</v>
      </c>
    </row>
    <row r="6918" spans="1:2" ht="12.5" x14ac:dyDescent="0.25">
      <c r="A6918" t="str">
        <f ca="1">IFERROR(__xludf.DUMMYFUNCTION("""COMPUTED_VALUE"""),"Salmonella Lokstedt")</f>
        <v>Salmonella Lokstedt</v>
      </c>
      <c r="B6918" t="str">
        <f ca="1">IFERROR(__xludf.DUMMYFUNCTION("""COMPUTED_VALUE"""),"RF-00000736-MCG")</f>
        <v>RF-00000736-MCG</v>
      </c>
    </row>
    <row r="6919" spans="1:2" ht="12.5" x14ac:dyDescent="0.25">
      <c r="A6919" t="str">
        <f ca="1">IFERROR(__xludf.DUMMYFUNCTION("""COMPUTED_VALUE"""),"Salmonella Lomalinda")</f>
        <v>Salmonella Lomalinda</v>
      </c>
      <c r="B6919" t="str">
        <f ca="1">IFERROR(__xludf.DUMMYFUNCTION("""COMPUTED_VALUE"""),"RF-00000735-MCG")</f>
        <v>RF-00000735-MCG</v>
      </c>
    </row>
    <row r="6920" spans="1:2" ht="12.5" x14ac:dyDescent="0.25">
      <c r="A6920" t="str">
        <f ca="1">IFERROR(__xludf.DUMMYFUNCTION("""COMPUTED_VALUE"""),"Salmonella Lome")</f>
        <v>Salmonella Lome</v>
      </c>
      <c r="B6920" t="str">
        <f ca="1">IFERROR(__xludf.DUMMYFUNCTION("""COMPUTED_VALUE"""),"RF-00000734-MCG")</f>
        <v>RF-00000734-MCG</v>
      </c>
    </row>
    <row r="6921" spans="1:2" ht="12.5" x14ac:dyDescent="0.25">
      <c r="A6921" t="str">
        <f ca="1">IFERROR(__xludf.DUMMYFUNCTION("""COMPUTED_VALUE"""),"Salmonella Lomita")</f>
        <v>Salmonella Lomita</v>
      </c>
      <c r="B6921" t="str">
        <f ca="1">IFERROR(__xludf.DUMMYFUNCTION("""COMPUTED_VALUE"""),"RF-00000733-MCG")</f>
        <v>RF-00000733-MCG</v>
      </c>
    </row>
    <row r="6922" spans="1:2" ht="12.5" x14ac:dyDescent="0.25">
      <c r="A6922" t="str">
        <f ca="1">IFERROR(__xludf.DUMMYFUNCTION("""COMPUTED_VALUE"""),"Salmonella Lomnava")</f>
        <v>Salmonella Lomnava</v>
      </c>
      <c r="B6922" t="str">
        <f ca="1">IFERROR(__xludf.DUMMYFUNCTION("""COMPUTED_VALUE"""),"RF-00000732-MCG")</f>
        <v>RF-00000732-MCG</v>
      </c>
    </row>
    <row r="6923" spans="1:2" ht="12.5" x14ac:dyDescent="0.25">
      <c r="A6923" t="str">
        <f ca="1">IFERROR(__xludf.DUMMYFUNCTION("""COMPUTED_VALUE"""),"Salmonella London")</f>
        <v>Salmonella London</v>
      </c>
      <c r="B6923" t="str">
        <f ca="1">IFERROR(__xludf.DUMMYFUNCTION("""COMPUTED_VALUE"""),"RF-00000731-MCG")</f>
        <v>RF-00000731-MCG</v>
      </c>
    </row>
    <row r="6924" spans="1:2" ht="12.5" x14ac:dyDescent="0.25">
      <c r="A6924" t="str">
        <f ca="1">IFERROR(__xludf.DUMMYFUNCTION("""COMPUTED_VALUE"""),"Salmonella London var. 15")</f>
        <v>Salmonella London var. 15</v>
      </c>
      <c r="B6924" t="str">
        <f ca="1">IFERROR(__xludf.DUMMYFUNCTION("""COMPUTED_VALUE"""),"RF-00000730-MCG")</f>
        <v>RF-00000730-MCG</v>
      </c>
    </row>
    <row r="6925" spans="1:2" ht="12.5" x14ac:dyDescent="0.25">
      <c r="A6925" t="str">
        <f ca="1">IFERROR(__xludf.DUMMYFUNCTION("""COMPUTED_VALUE"""),"Salmonella Losangeles")</f>
        <v>Salmonella Losangeles</v>
      </c>
      <c r="B6925" t="str">
        <f ca="1">IFERROR(__xludf.DUMMYFUNCTION("""COMPUTED_VALUE"""),"RF-00000729-MCG")</f>
        <v>RF-00000729-MCG</v>
      </c>
    </row>
    <row r="6926" spans="1:2" ht="12.5" x14ac:dyDescent="0.25">
      <c r="A6926" t="str">
        <f ca="1">IFERROR(__xludf.DUMMYFUNCTION("""COMPUTED_VALUE"""),"Salmonella Loubomo")</f>
        <v>Salmonella Loubomo</v>
      </c>
      <c r="B6926" t="str">
        <f ca="1">IFERROR(__xludf.DUMMYFUNCTION("""COMPUTED_VALUE"""),"RF-00000728-MCG")</f>
        <v>RF-00000728-MCG</v>
      </c>
    </row>
    <row r="6927" spans="1:2" ht="12.5" x14ac:dyDescent="0.25">
      <c r="A6927" t="str">
        <f ca="1">IFERROR(__xludf.DUMMYFUNCTION("""COMPUTED_VALUE"""),"Salmonella Louga")</f>
        <v>Salmonella Louga</v>
      </c>
      <c r="B6927" t="str">
        <f ca="1">IFERROR(__xludf.DUMMYFUNCTION("""COMPUTED_VALUE"""),"RF-00000686-MCG")</f>
        <v>RF-00000686-MCG</v>
      </c>
    </row>
    <row r="6928" spans="1:2" ht="12.5" x14ac:dyDescent="0.25">
      <c r="A6928" t="str">
        <f ca="1">IFERROR(__xludf.DUMMYFUNCTION("""COMPUTED_VALUE"""),"Salmonella Louisiana")</f>
        <v>Salmonella Louisiana</v>
      </c>
      <c r="B6928" t="str">
        <f ca="1">IFERROR(__xludf.DUMMYFUNCTION("""COMPUTED_VALUE"""),"RF-00000752-MCG")</f>
        <v>RF-00000752-MCG</v>
      </c>
    </row>
    <row r="6929" spans="1:2" ht="12.5" x14ac:dyDescent="0.25">
      <c r="A6929" t="str">
        <f ca="1">IFERROR(__xludf.DUMMYFUNCTION("""COMPUTED_VALUE"""),"Salmonella Lovelace")</f>
        <v>Salmonella Lovelace</v>
      </c>
      <c r="B6929" t="str">
        <f ca="1">IFERROR(__xludf.DUMMYFUNCTION("""COMPUTED_VALUE"""),"RF-00000711-MCG")</f>
        <v>RF-00000711-MCG</v>
      </c>
    </row>
    <row r="6930" spans="1:2" ht="12.5" x14ac:dyDescent="0.25">
      <c r="A6930" t="str">
        <f ca="1">IFERROR(__xludf.DUMMYFUNCTION("""COMPUTED_VALUE"""),"Salmonella Lowestoft")</f>
        <v>Salmonella Lowestoft</v>
      </c>
      <c r="B6930" t="str">
        <f ca="1">IFERROR(__xludf.DUMMYFUNCTION("""COMPUTED_VALUE"""),"RF-00000670-MCG")</f>
        <v>RF-00000670-MCG</v>
      </c>
    </row>
    <row r="6931" spans="1:2" ht="12.5" x14ac:dyDescent="0.25">
      <c r="A6931" t="str">
        <f ca="1">IFERROR(__xludf.DUMMYFUNCTION("""COMPUTED_VALUE"""),"Salmonella Lubumbashi")</f>
        <v>Salmonella Lubumbashi</v>
      </c>
      <c r="B6931" t="str">
        <f ca="1">IFERROR(__xludf.DUMMYFUNCTION("""COMPUTED_VALUE"""),"RF-00000669-MCG")</f>
        <v>RF-00000669-MCG</v>
      </c>
    </row>
    <row r="6932" spans="1:2" ht="12.5" x14ac:dyDescent="0.25">
      <c r="A6932" t="str">
        <f ca="1">IFERROR(__xludf.DUMMYFUNCTION("""COMPUTED_VALUE"""),"Salmonella Luciana")</f>
        <v>Salmonella Luciana</v>
      </c>
      <c r="B6932" t="str">
        <f ca="1">IFERROR(__xludf.DUMMYFUNCTION("""COMPUTED_VALUE"""),"RF-00000668-MCG")</f>
        <v>RF-00000668-MCG</v>
      </c>
    </row>
    <row r="6933" spans="1:2" ht="12.5" x14ac:dyDescent="0.25">
      <c r="A6933" t="str">
        <f ca="1">IFERROR(__xludf.DUMMYFUNCTION("""COMPUTED_VALUE"""),"Salmonella Luckenwalde")</f>
        <v>Salmonella Luckenwalde</v>
      </c>
      <c r="B6933" t="str">
        <f ca="1">IFERROR(__xludf.DUMMYFUNCTION("""COMPUTED_VALUE"""),"RF-00000667-MCG")</f>
        <v>RF-00000667-MCG</v>
      </c>
    </row>
    <row r="6934" spans="1:2" ht="12.5" x14ac:dyDescent="0.25">
      <c r="A6934" t="str">
        <f ca="1">IFERROR(__xludf.DUMMYFUNCTION("""COMPUTED_VALUE"""),"Salmonella Luedinghausen")</f>
        <v>Salmonella Luedinghausen</v>
      </c>
      <c r="B6934" t="str">
        <f ca="1">IFERROR(__xludf.DUMMYFUNCTION("""COMPUTED_VALUE"""),"RF-00000666-MCG")</f>
        <v>RF-00000666-MCG</v>
      </c>
    </row>
    <row r="6935" spans="1:2" ht="12.5" x14ac:dyDescent="0.25">
      <c r="A6935" t="str">
        <f ca="1">IFERROR(__xludf.DUMMYFUNCTION("""COMPUTED_VALUE"""),"Salmonella Luke")</f>
        <v>Salmonella Luke</v>
      </c>
      <c r="B6935" t="str">
        <f ca="1">IFERROR(__xludf.DUMMYFUNCTION("""COMPUTED_VALUE"""),"RF-00000665-MCG")</f>
        <v>RF-00000665-MCG</v>
      </c>
    </row>
    <row r="6936" spans="1:2" ht="12.5" x14ac:dyDescent="0.25">
      <c r="A6936" t="str">
        <f ca="1">IFERROR(__xludf.DUMMYFUNCTION("""COMPUTED_VALUE"""),"Salmonella Lutetia")</f>
        <v>Salmonella Lutetia</v>
      </c>
      <c r="B6936" t="str">
        <f ca="1">IFERROR(__xludf.DUMMYFUNCTION("""COMPUTED_VALUE"""),"RF-00000664-MCG")</f>
        <v>RF-00000664-MCG</v>
      </c>
    </row>
    <row r="6937" spans="1:2" ht="12.5" x14ac:dyDescent="0.25">
      <c r="A6937" t="str">
        <f ca="1">IFERROR(__xludf.DUMMYFUNCTION("""COMPUTED_VALUE"""),"Salmonella Lyon")</f>
        <v>Salmonella Lyon</v>
      </c>
      <c r="B6937" t="str">
        <f ca="1">IFERROR(__xludf.DUMMYFUNCTION("""COMPUTED_VALUE"""),"RF-00000663-MCG")</f>
        <v>RF-00000663-MCG</v>
      </c>
    </row>
    <row r="6938" spans="1:2" ht="12.5" x14ac:dyDescent="0.25">
      <c r="A6938" t="str">
        <f ca="1">IFERROR(__xludf.DUMMYFUNCTION("""COMPUTED_VALUE"""),"Salmonella Maastricht")</f>
        <v>Salmonella Maastricht</v>
      </c>
      <c r="B6938" t="str">
        <f ca="1">IFERROR(__xludf.DUMMYFUNCTION("""COMPUTED_VALUE"""),"RF-00000662-MCG")</f>
        <v>RF-00000662-MCG</v>
      </c>
    </row>
    <row r="6939" spans="1:2" ht="12.5" x14ac:dyDescent="0.25">
      <c r="A6939" t="str">
        <f ca="1">IFERROR(__xludf.DUMMYFUNCTION("""COMPUTED_VALUE"""),"Salmonella Macallen")</f>
        <v>Salmonella Macallen</v>
      </c>
      <c r="B6939" t="str">
        <f ca="1">IFERROR(__xludf.DUMMYFUNCTION("""COMPUTED_VALUE"""),"RF-00000661-MCG")</f>
        <v>RF-00000661-MCG</v>
      </c>
    </row>
    <row r="6940" spans="1:2" ht="12.5" x14ac:dyDescent="0.25">
      <c r="A6940" t="str">
        <f ca="1">IFERROR(__xludf.DUMMYFUNCTION("""COMPUTED_VALUE"""),"Salmonella Macclesfield")</f>
        <v>Salmonella Macclesfield</v>
      </c>
      <c r="B6940" t="str">
        <f ca="1">IFERROR(__xludf.DUMMYFUNCTION("""COMPUTED_VALUE"""),"RF-00000660-MCG")</f>
        <v>RF-00000660-MCG</v>
      </c>
    </row>
    <row r="6941" spans="1:2" ht="12.5" x14ac:dyDescent="0.25">
      <c r="A6941" t="str">
        <f ca="1">IFERROR(__xludf.DUMMYFUNCTION("""COMPUTED_VALUE"""),"Salmonella Machaga")</f>
        <v>Salmonella Machaga</v>
      </c>
      <c r="B6941" t="str">
        <f ca="1">IFERROR(__xludf.DUMMYFUNCTION("""COMPUTED_VALUE"""),"RF-00000645-MCG")</f>
        <v>RF-00000645-MCG</v>
      </c>
    </row>
    <row r="6942" spans="1:2" ht="12.5" x14ac:dyDescent="0.25">
      <c r="A6942" t="str">
        <f ca="1">IFERROR(__xludf.DUMMYFUNCTION("""COMPUTED_VALUE"""),"Salmonella Madelia")</f>
        <v>Salmonella Madelia</v>
      </c>
      <c r="B6942" t="str">
        <f ca="1">IFERROR(__xludf.DUMMYFUNCTION("""COMPUTED_VALUE"""),"RF-00000828-MCG")</f>
        <v>RF-00000828-MCG</v>
      </c>
    </row>
    <row r="6943" spans="1:2" ht="12.5" x14ac:dyDescent="0.25">
      <c r="A6943" t="str">
        <f ca="1">IFERROR(__xludf.DUMMYFUNCTION("""COMPUTED_VALUE"""),"Salmonella Madiago")</f>
        <v>Salmonella Madiago</v>
      </c>
      <c r="B6943" t="str">
        <f ca="1">IFERROR(__xludf.DUMMYFUNCTION("""COMPUTED_VALUE"""),"RF-00000827-MCG")</f>
        <v>RF-00000827-MCG</v>
      </c>
    </row>
    <row r="6944" spans="1:2" ht="12.5" x14ac:dyDescent="0.25">
      <c r="A6944" t="str">
        <f ca="1">IFERROR(__xludf.DUMMYFUNCTION("""COMPUTED_VALUE"""),"Salmonella Madigan")</f>
        <v>Salmonella Madigan</v>
      </c>
      <c r="B6944" t="str">
        <f ca="1">IFERROR(__xludf.DUMMYFUNCTION("""COMPUTED_VALUE"""),"RF-00000826-MCG")</f>
        <v>RF-00000826-MCG</v>
      </c>
    </row>
    <row r="6945" spans="1:2" ht="12.5" x14ac:dyDescent="0.25">
      <c r="A6945" t="str">
        <f ca="1">IFERROR(__xludf.DUMMYFUNCTION("""COMPUTED_VALUE"""),"Salmonella Madison")</f>
        <v>Salmonella Madison</v>
      </c>
      <c r="B6945" t="str">
        <f ca="1">IFERROR(__xludf.DUMMYFUNCTION("""COMPUTED_VALUE"""),"RF-00000825-MCG")</f>
        <v>RF-00000825-MCG</v>
      </c>
    </row>
    <row r="6946" spans="1:2" ht="12.5" x14ac:dyDescent="0.25">
      <c r="A6946" t="str">
        <f ca="1">IFERROR(__xludf.DUMMYFUNCTION("""COMPUTED_VALUE"""),"Salmonella Madjorio")</f>
        <v>Salmonella Madjorio</v>
      </c>
      <c r="B6946" t="str">
        <f ca="1">IFERROR(__xludf.DUMMYFUNCTION("""COMPUTED_VALUE"""),"RF-00000824-MCG")</f>
        <v>RF-00000824-MCG</v>
      </c>
    </row>
    <row r="6947" spans="1:2" ht="12.5" x14ac:dyDescent="0.25">
      <c r="A6947" t="str">
        <f ca="1">IFERROR(__xludf.DUMMYFUNCTION("""COMPUTED_VALUE"""),"Salmonella Madras")</f>
        <v>Salmonella Madras</v>
      </c>
      <c r="B6947" t="str">
        <f ca="1">IFERROR(__xludf.DUMMYFUNCTION("""COMPUTED_VALUE"""),"RF-00000823-MCG")</f>
        <v>RF-00000823-MCG</v>
      </c>
    </row>
    <row r="6948" spans="1:2" ht="12.5" x14ac:dyDescent="0.25">
      <c r="A6948" t="str">
        <f ca="1">IFERROR(__xludf.DUMMYFUNCTION("""COMPUTED_VALUE"""),"Salmonella Magherafelt")</f>
        <v>Salmonella Magherafelt</v>
      </c>
      <c r="B6948" t="str">
        <f ca="1">IFERROR(__xludf.DUMMYFUNCTION("""COMPUTED_VALUE"""),"RF-00000808-MCG")</f>
        <v>RF-00000808-MCG</v>
      </c>
    </row>
    <row r="6949" spans="1:2" ht="12.5" x14ac:dyDescent="0.25">
      <c r="A6949" t="str">
        <f ca="1">IFERROR(__xludf.DUMMYFUNCTION("""COMPUTED_VALUE"""),"Salmonella Magumeri")</f>
        <v>Salmonella Magumeri</v>
      </c>
      <c r="B6949" t="str">
        <f ca="1">IFERROR(__xludf.DUMMYFUNCTION("""COMPUTED_VALUE"""),"RF-00000821-MCG")</f>
        <v>RF-00000821-MCG</v>
      </c>
    </row>
    <row r="6950" spans="1:2" ht="12.5" x14ac:dyDescent="0.25">
      <c r="A6950" t="str">
        <f ca="1">IFERROR(__xludf.DUMMYFUNCTION("""COMPUTED_VALUE"""),"Salmonella Magwa")</f>
        <v>Salmonella Magwa</v>
      </c>
      <c r="B6950" t="str">
        <f ca="1">IFERROR(__xludf.DUMMYFUNCTION("""COMPUTED_VALUE"""),"RF-00000834-MCG")</f>
        <v>RF-00000834-MCG</v>
      </c>
    </row>
    <row r="6951" spans="1:2" ht="12.5" x14ac:dyDescent="0.25">
      <c r="A6951" t="str">
        <f ca="1">IFERROR(__xludf.DUMMYFUNCTION("""COMPUTED_VALUE"""),"Salmonella Mahina")</f>
        <v>Salmonella Mahina</v>
      </c>
      <c r="B6951" t="str">
        <f ca="1">IFERROR(__xludf.DUMMYFUNCTION("""COMPUTED_VALUE"""),"RF-00000819-MCG")</f>
        <v>RF-00000819-MCG</v>
      </c>
    </row>
    <row r="6952" spans="1:2" ht="12.5" x14ac:dyDescent="0.25">
      <c r="A6952" t="str">
        <f ca="1">IFERROR(__xludf.DUMMYFUNCTION("""COMPUTED_VALUE"""),"Salmonella Maiduguri")</f>
        <v>Salmonella Maiduguri</v>
      </c>
      <c r="B6952" t="str">
        <f ca="1">IFERROR(__xludf.DUMMYFUNCTION("""COMPUTED_VALUE"""),"RF-00000818-MCG")</f>
        <v>RF-00000818-MCG</v>
      </c>
    </row>
    <row r="6953" spans="1:2" ht="12.5" x14ac:dyDescent="0.25">
      <c r="A6953" t="str">
        <f ca="1">IFERROR(__xludf.DUMMYFUNCTION("""COMPUTED_VALUE"""),"Salmonella Makiling")</f>
        <v>Salmonella Makiling</v>
      </c>
      <c r="B6953" t="str">
        <f ca="1">IFERROR(__xludf.DUMMYFUNCTION("""COMPUTED_VALUE"""),"RF-00000817-MCG")</f>
        <v>RF-00000817-MCG</v>
      </c>
    </row>
    <row r="6954" spans="1:2" ht="12.5" x14ac:dyDescent="0.25">
      <c r="A6954" t="str">
        <f ca="1">IFERROR(__xludf.DUMMYFUNCTION("""COMPUTED_VALUE"""),"Salmonella Makiso")</f>
        <v>Salmonella Makiso</v>
      </c>
      <c r="B6954" t="str">
        <f ca="1">IFERROR(__xludf.DUMMYFUNCTION("""COMPUTED_VALUE"""),"RF-00000816-MCG")</f>
        <v>RF-00000816-MCG</v>
      </c>
    </row>
    <row r="6955" spans="1:2" ht="12.5" x14ac:dyDescent="0.25">
      <c r="A6955" t="str">
        <f ca="1">IFERROR(__xludf.DUMMYFUNCTION("""COMPUTED_VALUE"""),"Salmonella Malakal")</f>
        <v>Salmonella Malakal</v>
      </c>
      <c r="B6955" t="str">
        <f ca="1">IFERROR(__xludf.DUMMYFUNCTION("""COMPUTED_VALUE"""),"RF-00000815-MCG")</f>
        <v>RF-00000815-MCG</v>
      </c>
    </row>
    <row r="6956" spans="1:2" ht="12.5" x14ac:dyDescent="0.25">
      <c r="A6956" t="str">
        <f ca="1">IFERROR(__xludf.DUMMYFUNCTION("""COMPUTED_VALUE"""),"Salmonella Malaysia")</f>
        <v>Salmonella Malaysia</v>
      </c>
      <c r="B6956" t="str">
        <f ca="1">IFERROR(__xludf.DUMMYFUNCTION("""COMPUTED_VALUE"""),"RF-00000814-MCG")</f>
        <v>RF-00000814-MCG</v>
      </c>
    </row>
    <row r="6957" spans="1:2" ht="12.5" x14ac:dyDescent="0.25">
      <c r="A6957" t="str">
        <f ca="1">IFERROR(__xludf.DUMMYFUNCTION("""COMPUTED_VALUE"""),"Salmonella Malika")</f>
        <v>Salmonella Malika</v>
      </c>
      <c r="B6957" t="str">
        <f ca="1">IFERROR(__xludf.DUMMYFUNCTION("""COMPUTED_VALUE"""),"RF-00000813-MCG")</f>
        <v>RF-00000813-MCG</v>
      </c>
    </row>
    <row r="6958" spans="1:2" ht="12.5" x14ac:dyDescent="0.25">
      <c r="A6958" t="str">
        <f ca="1">IFERROR(__xludf.DUMMYFUNCTION("""COMPUTED_VALUE"""),"Salmonella Malmoe")</f>
        <v>Salmonella Malmoe</v>
      </c>
      <c r="B6958" t="str">
        <f ca="1">IFERROR(__xludf.DUMMYFUNCTION("""COMPUTED_VALUE"""),"RF-00000812-MCG")</f>
        <v>RF-00000812-MCG</v>
      </c>
    </row>
    <row r="6959" spans="1:2" ht="12.5" x14ac:dyDescent="0.25">
      <c r="A6959" t="str">
        <f ca="1">IFERROR(__xludf.DUMMYFUNCTION("""COMPUTED_VALUE"""),"Salmonella Malstatt")</f>
        <v>Salmonella Malstatt</v>
      </c>
      <c r="B6959" t="str">
        <f ca="1">IFERROR(__xludf.DUMMYFUNCTION("""COMPUTED_VALUE"""),"RF-00000811-MCG")</f>
        <v>RF-00000811-MCG</v>
      </c>
    </row>
    <row r="6960" spans="1:2" ht="12.5" x14ac:dyDescent="0.25">
      <c r="A6960" t="str">
        <f ca="1">IFERROR(__xludf.DUMMYFUNCTION("""COMPUTED_VALUE"""),"Salmonella Mampeza")</f>
        <v>Salmonella Mampeza</v>
      </c>
      <c r="B6960" t="str">
        <f ca="1">IFERROR(__xludf.DUMMYFUNCTION("""COMPUTED_VALUE"""),"RF-00000810-MCG")</f>
        <v>RF-00000810-MCG</v>
      </c>
    </row>
    <row r="6961" spans="1:2" ht="12.5" x14ac:dyDescent="0.25">
      <c r="A6961" t="str">
        <f ca="1">IFERROR(__xludf.DUMMYFUNCTION("""COMPUTED_VALUE"""),"Salmonella Mampong")</f>
        <v>Salmonella Mampong</v>
      </c>
      <c r="B6961" t="str">
        <f ca="1">IFERROR(__xludf.DUMMYFUNCTION("""COMPUTED_VALUE"""),"RF-00000847-MCG")</f>
        <v>RF-00000847-MCG</v>
      </c>
    </row>
    <row r="6962" spans="1:2" ht="12.5" x14ac:dyDescent="0.25">
      <c r="A6962" t="str">
        <f ca="1">IFERROR(__xludf.DUMMYFUNCTION("""COMPUTED_VALUE"""),"Salmonella Manchester")</f>
        <v>Salmonella Manchester</v>
      </c>
      <c r="B6962" t="str">
        <f ca="1">IFERROR(__xludf.DUMMYFUNCTION("""COMPUTED_VALUE"""),"RF-00000820-MCG")</f>
        <v>RF-00000820-MCG</v>
      </c>
    </row>
    <row r="6963" spans="1:2" ht="12.5" x14ac:dyDescent="0.25">
      <c r="A6963" t="str">
        <f ca="1">IFERROR(__xludf.DUMMYFUNCTION("""COMPUTED_VALUE"""),"Salmonella Mandera")</f>
        <v>Salmonella Mandera</v>
      </c>
      <c r="B6963" t="str">
        <f ca="1">IFERROR(__xludf.DUMMYFUNCTION("""COMPUTED_VALUE"""),"RF-00000822-MCG")</f>
        <v>RF-00000822-MCG</v>
      </c>
    </row>
    <row r="6964" spans="1:2" ht="12.5" x14ac:dyDescent="0.25">
      <c r="A6964" t="str">
        <f ca="1">IFERROR(__xludf.DUMMYFUNCTION("""COMPUTED_VALUE"""),"Salmonella Mango")</f>
        <v>Salmonella Mango</v>
      </c>
      <c r="B6964" t="str">
        <f ca="1">IFERROR(__xludf.DUMMYFUNCTION("""COMPUTED_VALUE"""),"RF-00000860-MCG")</f>
        <v>RF-00000860-MCG</v>
      </c>
    </row>
    <row r="6965" spans="1:2" ht="12.5" x14ac:dyDescent="0.25">
      <c r="A6965" t="str">
        <f ca="1">IFERROR(__xludf.DUMMYFUNCTION("""COMPUTED_VALUE"""),"Salmonella Manhattan")</f>
        <v>Salmonella Manhattan</v>
      </c>
      <c r="B6965" t="str">
        <f ca="1">IFERROR(__xludf.DUMMYFUNCTION("""COMPUTED_VALUE"""),"RF-00000859-MCG")</f>
        <v>RF-00000859-MCG</v>
      </c>
    </row>
    <row r="6966" spans="1:2" ht="12.5" x14ac:dyDescent="0.25">
      <c r="A6966" t="str">
        <f ca="1">IFERROR(__xludf.DUMMYFUNCTION("""COMPUTED_VALUE"""),"Salmonella Mannheim")</f>
        <v>Salmonella Mannheim</v>
      </c>
      <c r="B6966" t="str">
        <f ca="1">IFERROR(__xludf.DUMMYFUNCTION("""COMPUTED_VALUE"""),"RF-00000858-MCG")</f>
        <v>RF-00000858-MCG</v>
      </c>
    </row>
    <row r="6967" spans="1:2" ht="12.5" x14ac:dyDescent="0.25">
      <c r="A6967" t="str">
        <f ca="1">IFERROR(__xludf.DUMMYFUNCTION("""COMPUTED_VALUE"""),"Salmonella Mapo")</f>
        <v>Salmonella Mapo</v>
      </c>
      <c r="B6967" t="str">
        <f ca="1">IFERROR(__xludf.DUMMYFUNCTION("""COMPUTED_VALUE"""),"RF-00000857-MCG")</f>
        <v>RF-00000857-MCG</v>
      </c>
    </row>
    <row r="6968" spans="1:2" ht="12.5" x14ac:dyDescent="0.25">
      <c r="A6968" t="str">
        <f ca="1">IFERROR(__xludf.DUMMYFUNCTION("""COMPUTED_VALUE"""),"Salmonella Mara")</f>
        <v>Salmonella Mara</v>
      </c>
      <c r="B6968" t="str">
        <f ca="1">IFERROR(__xludf.DUMMYFUNCTION("""COMPUTED_VALUE"""),"RF-00000856-MCG")</f>
        <v>RF-00000856-MCG</v>
      </c>
    </row>
    <row r="6969" spans="1:2" ht="12.5" x14ac:dyDescent="0.25">
      <c r="A6969" t="str">
        <f ca="1">IFERROR(__xludf.DUMMYFUNCTION("""COMPUTED_VALUE"""),"Salmonella Maracaibo")</f>
        <v>Salmonella Maracaibo</v>
      </c>
      <c r="B6969" t="str">
        <f ca="1">IFERROR(__xludf.DUMMYFUNCTION("""COMPUTED_VALUE"""),"RF-00000855-MCG")</f>
        <v>RF-00000855-MCG</v>
      </c>
    </row>
    <row r="6970" spans="1:2" ht="12.5" x14ac:dyDescent="0.25">
      <c r="A6970" t="str">
        <f ca="1">IFERROR(__xludf.DUMMYFUNCTION("""COMPUTED_VALUE"""),"Salmonella Marburg")</f>
        <v>Salmonella Marburg</v>
      </c>
      <c r="B6970" t="str">
        <f ca="1">IFERROR(__xludf.DUMMYFUNCTION("""COMPUTED_VALUE"""),"RF-00000854-MCG")</f>
        <v>RF-00000854-MCG</v>
      </c>
    </row>
    <row r="6971" spans="1:2" ht="12.5" x14ac:dyDescent="0.25">
      <c r="A6971" t="str">
        <f ca="1">IFERROR(__xludf.DUMMYFUNCTION("""COMPUTED_VALUE"""),"Salmonella Maricopa")</f>
        <v>Salmonella Maricopa</v>
      </c>
      <c r="B6971" t="str">
        <f ca="1">IFERROR(__xludf.DUMMYFUNCTION("""COMPUTED_VALUE"""),"RF-00000853-MCG")</f>
        <v>RF-00000853-MCG</v>
      </c>
    </row>
    <row r="6972" spans="1:2" ht="12.5" x14ac:dyDescent="0.25">
      <c r="A6972" t="str">
        <f ca="1">IFERROR(__xludf.DUMMYFUNCTION("""COMPUTED_VALUE"""),"Salmonella Marienthal")</f>
        <v>Salmonella Marienthal</v>
      </c>
      <c r="B6972" t="str">
        <f ca="1">IFERROR(__xludf.DUMMYFUNCTION("""COMPUTED_VALUE"""),"RF-00000852-MCG")</f>
        <v>RF-00000852-MCG</v>
      </c>
    </row>
    <row r="6973" spans="1:2" ht="12.5" x14ac:dyDescent="0.25">
      <c r="A6973" t="str">
        <f ca="1">IFERROR(__xludf.DUMMYFUNCTION("""COMPUTED_VALUE"""),"Salmonella Maritzburg")</f>
        <v>Salmonella Maritzburg</v>
      </c>
      <c r="B6973" t="str">
        <f ca="1">IFERROR(__xludf.DUMMYFUNCTION("""COMPUTED_VALUE"""),"RF-00000851-MCG")</f>
        <v>RF-00000851-MCG</v>
      </c>
    </row>
    <row r="6974" spans="1:2" ht="12.5" x14ac:dyDescent="0.25">
      <c r="A6974" t="str">
        <f ca="1">IFERROR(__xludf.DUMMYFUNCTION("""COMPUTED_VALUE"""),"Salmonella Maron")</f>
        <v>Salmonella Maron</v>
      </c>
      <c r="B6974" t="str">
        <f ca="1">IFERROR(__xludf.DUMMYFUNCTION("""COMPUTED_VALUE"""),"RF-00000850-MCG")</f>
        <v>RF-00000850-MCG</v>
      </c>
    </row>
    <row r="6975" spans="1:2" ht="12.5" x14ac:dyDescent="0.25">
      <c r="A6975" t="str">
        <f ca="1">IFERROR(__xludf.DUMMYFUNCTION("""COMPUTED_VALUE"""),"Salmonella Maroua")</f>
        <v>Salmonella Maroua</v>
      </c>
      <c r="B6975" t="str">
        <f ca="1">IFERROR(__xludf.DUMMYFUNCTION("""COMPUTED_VALUE"""),"RF-00000835-MCG")</f>
        <v>RF-00000835-MCG</v>
      </c>
    </row>
    <row r="6976" spans="1:2" ht="12.5" x14ac:dyDescent="0.25">
      <c r="A6976" t="str">
        <f ca="1">IFERROR(__xludf.DUMMYFUNCTION("""COMPUTED_VALUE"""),"Salmonella Marseille")</f>
        <v>Salmonella Marseille</v>
      </c>
      <c r="B6976" t="str">
        <f ca="1">IFERROR(__xludf.DUMMYFUNCTION("""COMPUTED_VALUE"""),"RF-00000848-MCG")</f>
        <v>RF-00000848-MCG</v>
      </c>
    </row>
    <row r="6977" spans="1:2" ht="12.5" x14ac:dyDescent="0.25">
      <c r="A6977" t="str">
        <f ca="1">IFERROR(__xludf.DUMMYFUNCTION("""COMPUTED_VALUE"""),"Salmonella Marshall")</f>
        <v>Salmonella Marshall</v>
      </c>
      <c r="B6977" t="str">
        <f ca="1">IFERROR(__xludf.DUMMYFUNCTION("""COMPUTED_VALUE"""),"RF-00000861-MCG")</f>
        <v>RF-00000861-MCG</v>
      </c>
    </row>
    <row r="6978" spans="1:2" ht="12.5" x14ac:dyDescent="0.25">
      <c r="A6978" t="str">
        <f ca="1">IFERROR(__xludf.DUMMYFUNCTION("""COMPUTED_VALUE"""),"Salmonella Maryland")</f>
        <v>Salmonella Maryland</v>
      </c>
      <c r="B6978" t="str">
        <f ca="1">IFERROR(__xludf.DUMMYFUNCTION("""COMPUTED_VALUE"""),"RF-00000846-MCG")</f>
        <v>RF-00000846-MCG</v>
      </c>
    </row>
    <row r="6979" spans="1:2" ht="12.5" x14ac:dyDescent="0.25">
      <c r="A6979" t="str">
        <f ca="1">IFERROR(__xludf.DUMMYFUNCTION("""COMPUTED_VALUE"""),"Salmonella Marylebone")</f>
        <v>Salmonella Marylebone</v>
      </c>
      <c r="B6979" t="str">
        <f ca="1">IFERROR(__xludf.DUMMYFUNCTION("""COMPUTED_VALUE"""),"RF-00000845-MCG")</f>
        <v>RF-00000845-MCG</v>
      </c>
    </row>
    <row r="6980" spans="1:2" ht="12.5" x14ac:dyDescent="0.25">
      <c r="A6980" t="str">
        <f ca="1">IFERROR(__xludf.DUMMYFUNCTION("""COMPUTED_VALUE"""),"Salmonella Masembe")</f>
        <v>Salmonella Masembe</v>
      </c>
      <c r="B6980" t="str">
        <f ca="1">IFERROR(__xludf.DUMMYFUNCTION("""COMPUTED_VALUE"""),"RF-00000844-MCG")</f>
        <v>RF-00000844-MCG</v>
      </c>
    </row>
    <row r="6981" spans="1:2" ht="12.5" x14ac:dyDescent="0.25">
      <c r="A6981" t="str">
        <f ca="1">IFERROR(__xludf.DUMMYFUNCTION("""COMPUTED_VALUE"""),"Salmonella Maska")</f>
        <v>Salmonella Maska</v>
      </c>
      <c r="B6981" t="str">
        <f ca="1">IFERROR(__xludf.DUMMYFUNCTION("""COMPUTED_VALUE"""),"RF-00000843-MCG")</f>
        <v>RF-00000843-MCG</v>
      </c>
    </row>
    <row r="6982" spans="1:2" ht="12.5" x14ac:dyDescent="0.25">
      <c r="A6982" t="str">
        <f ca="1">IFERROR(__xludf.DUMMYFUNCTION("""COMPUTED_VALUE"""),"Salmonella Massakory")</f>
        <v>Salmonella Massakory</v>
      </c>
      <c r="B6982" t="str">
        <f ca="1">IFERROR(__xludf.DUMMYFUNCTION("""COMPUTED_VALUE"""),"RF-00000842-MCG")</f>
        <v>RF-00000842-MCG</v>
      </c>
    </row>
    <row r="6983" spans="1:2" ht="12.5" x14ac:dyDescent="0.25">
      <c r="A6983" t="str">
        <f ca="1">IFERROR(__xludf.DUMMYFUNCTION("""COMPUTED_VALUE"""),"Salmonella Massenya")</f>
        <v>Salmonella Massenya</v>
      </c>
      <c r="B6983" t="str">
        <f ca="1">IFERROR(__xludf.DUMMYFUNCTION("""COMPUTED_VALUE"""),"RF-00000841-MCG")</f>
        <v>RF-00000841-MCG</v>
      </c>
    </row>
    <row r="6984" spans="1:2" ht="12.5" x14ac:dyDescent="0.25">
      <c r="A6984" t="str">
        <f ca="1">IFERROR(__xludf.DUMMYFUNCTION("""COMPUTED_VALUE"""),"Salmonella Matadi")</f>
        <v>Salmonella Matadi</v>
      </c>
      <c r="B6984" t="str">
        <f ca="1">IFERROR(__xludf.DUMMYFUNCTION("""COMPUTED_VALUE"""),"RF-00000840-MCG")</f>
        <v>RF-00000840-MCG</v>
      </c>
    </row>
    <row r="6985" spans="1:2" ht="12.5" x14ac:dyDescent="0.25">
      <c r="A6985" t="str">
        <f ca="1">IFERROR(__xludf.DUMMYFUNCTION("""COMPUTED_VALUE"""),"Salmonella Mathura")</f>
        <v>Salmonella Mathura</v>
      </c>
      <c r="B6985" t="str">
        <f ca="1">IFERROR(__xludf.DUMMYFUNCTION("""COMPUTED_VALUE"""),"RF-00000839-MCG")</f>
        <v>RF-00000839-MCG</v>
      </c>
    </row>
    <row r="6986" spans="1:2" ht="12.5" x14ac:dyDescent="0.25">
      <c r="A6986" t="str">
        <f ca="1">IFERROR(__xludf.DUMMYFUNCTION("""COMPUTED_VALUE"""),"Salmonella Matopeni")</f>
        <v>Salmonella Matopeni</v>
      </c>
      <c r="B6986" t="str">
        <f ca="1">IFERROR(__xludf.DUMMYFUNCTION("""COMPUTED_VALUE"""),"RF-00000838-MCG")</f>
        <v>RF-00000838-MCG</v>
      </c>
    </row>
    <row r="6987" spans="1:2" ht="12.5" x14ac:dyDescent="0.25">
      <c r="A6987" t="str">
        <f ca="1">IFERROR(__xludf.DUMMYFUNCTION("""COMPUTED_VALUE"""),"Salmonella Mayday")</f>
        <v>Salmonella Mayday</v>
      </c>
      <c r="B6987" t="str">
        <f ca="1">IFERROR(__xludf.DUMMYFUNCTION("""COMPUTED_VALUE"""),"RF-00000837-MCG")</f>
        <v>RF-00000837-MCG</v>
      </c>
    </row>
    <row r="6988" spans="1:2" ht="12.5" x14ac:dyDescent="0.25">
      <c r="A6988" t="str">
        <f ca="1">IFERROR(__xludf.DUMMYFUNCTION("""COMPUTED_VALUE"""),"Salmonella Mbandaka")</f>
        <v>Salmonella Mbandaka</v>
      </c>
      <c r="B6988" t="str">
        <f ca="1">IFERROR(__xludf.DUMMYFUNCTION("""COMPUTED_VALUE"""),"RF-00000836-MCG")</f>
        <v>RF-00000836-MCG</v>
      </c>
    </row>
    <row r="6989" spans="1:2" ht="12.5" x14ac:dyDescent="0.25">
      <c r="A6989" t="str">
        <f ca="1">IFERROR(__xludf.DUMMYFUNCTION("""COMPUTED_VALUE"""),"Salmonella Mbao")</f>
        <v>Salmonella Mbao</v>
      </c>
      <c r="B6989" t="str">
        <f ca="1">IFERROR(__xludf.DUMMYFUNCTION("""COMPUTED_VALUE"""),"RF-00000795-MCG")</f>
        <v>RF-00000795-MCG</v>
      </c>
    </row>
    <row r="6990" spans="1:2" ht="12.5" x14ac:dyDescent="0.25">
      <c r="A6990" t="str">
        <f ca="1">IFERROR(__xludf.DUMMYFUNCTION("""COMPUTED_VALUE"""),"Salmonella Meekatharra")</f>
        <v>Salmonella Meekatharra</v>
      </c>
      <c r="B6990" t="str">
        <f ca="1">IFERROR(__xludf.DUMMYFUNCTION("""COMPUTED_VALUE"""),"RF-00000755-MCG")</f>
        <v>RF-00000755-MCG</v>
      </c>
    </row>
    <row r="6991" spans="1:2" ht="12.5" x14ac:dyDescent="0.25">
      <c r="A6991" t="str">
        <f ca="1">IFERROR(__xludf.DUMMYFUNCTION("""COMPUTED_VALUE"""),"Salmonella Melbourne")</f>
        <v>Salmonella Melbourne</v>
      </c>
      <c r="B6991" t="str">
        <f ca="1">IFERROR(__xludf.DUMMYFUNCTION("""COMPUTED_VALUE"""),"RF-00000809-MCG")</f>
        <v>RF-00000809-MCG</v>
      </c>
    </row>
    <row r="6992" spans="1:2" ht="12.5" x14ac:dyDescent="0.25">
      <c r="A6992" t="str">
        <f ca="1">IFERROR(__xludf.DUMMYFUNCTION("""COMPUTED_VALUE"""),"Salmonella Meleagridis")</f>
        <v>Salmonella Meleagridis</v>
      </c>
      <c r="B6992" t="str">
        <f ca="1">IFERROR(__xludf.DUMMYFUNCTION("""COMPUTED_VALUE"""),"RF-00000778-MCG")</f>
        <v>RF-00000778-MCG</v>
      </c>
    </row>
    <row r="6993" spans="1:2" ht="12.5" x14ac:dyDescent="0.25">
      <c r="A6993" t="str">
        <f ca="1">IFERROR(__xludf.DUMMYFUNCTION("""COMPUTED_VALUE"""),"Salmonella Meleagridis var. 15")</f>
        <v>Salmonella Meleagridis var. 15</v>
      </c>
      <c r="B6993" t="str">
        <f ca="1">IFERROR(__xludf.DUMMYFUNCTION("""COMPUTED_VALUE"""),"RF-00000777-MCG")</f>
        <v>RF-00000777-MCG</v>
      </c>
    </row>
    <row r="6994" spans="1:2" ht="12.5" x14ac:dyDescent="0.25">
      <c r="A6994" t="str">
        <f ca="1">IFERROR(__xludf.DUMMYFUNCTION("""COMPUTED_VALUE"""),"Salmonella Meleagridis var. 15,34")</f>
        <v>Salmonella Meleagridis var. 15,34</v>
      </c>
      <c r="B6994" t="str">
        <f ca="1">IFERROR(__xludf.DUMMYFUNCTION("""COMPUTED_VALUE"""),"RF-00000776-MCG")</f>
        <v>RF-00000776-MCG</v>
      </c>
    </row>
    <row r="6995" spans="1:2" ht="12.5" x14ac:dyDescent="0.25">
      <c r="A6995" t="str">
        <f ca="1">IFERROR(__xludf.DUMMYFUNCTION("""COMPUTED_VALUE"""),"Salmonella Memphis")</f>
        <v>Salmonella Memphis</v>
      </c>
      <c r="B6995" t="str">
        <f ca="1">IFERROR(__xludf.DUMMYFUNCTION("""COMPUTED_VALUE"""),"RF-00000775-MCG")</f>
        <v>RF-00000775-MCG</v>
      </c>
    </row>
    <row r="6996" spans="1:2" ht="12.5" x14ac:dyDescent="0.25">
      <c r="A6996" t="str">
        <f ca="1">IFERROR(__xludf.DUMMYFUNCTION("""COMPUTED_VALUE"""),"Salmonella Menden")</f>
        <v>Salmonella Menden</v>
      </c>
      <c r="B6996" t="str">
        <f ca="1">IFERROR(__xludf.DUMMYFUNCTION("""COMPUTED_VALUE"""),"RF-00000774-MCG")</f>
        <v>RF-00000774-MCG</v>
      </c>
    </row>
    <row r="6997" spans="1:2" ht="12.5" x14ac:dyDescent="0.25">
      <c r="A6997" t="str">
        <f ca="1">IFERROR(__xludf.DUMMYFUNCTION("""COMPUTED_VALUE"""),"Salmonella Mendoza")</f>
        <v>Salmonella Mendoza</v>
      </c>
      <c r="B6997" t="str">
        <f ca="1">IFERROR(__xludf.DUMMYFUNCTION("""COMPUTED_VALUE"""),"RF-00000773-MCG")</f>
        <v>RF-00000773-MCG</v>
      </c>
    </row>
    <row r="6998" spans="1:2" ht="12.5" x14ac:dyDescent="0.25">
      <c r="A6998" t="str">
        <f ca="1">IFERROR(__xludf.DUMMYFUNCTION("""COMPUTED_VALUE"""),"Salmonella Menston")</f>
        <v>Salmonella Menston</v>
      </c>
      <c r="B6998" t="str">
        <f ca="1">IFERROR(__xludf.DUMMYFUNCTION("""COMPUTED_VALUE"""),"RF-00000772-MCG")</f>
        <v>RF-00000772-MCG</v>
      </c>
    </row>
    <row r="6999" spans="1:2" ht="12.5" x14ac:dyDescent="0.25">
      <c r="A6999" t="str">
        <f ca="1">IFERROR(__xludf.DUMMYFUNCTION("""COMPUTED_VALUE"""),"Salmonella Mesbit")</f>
        <v>Salmonella Mesbit</v>
      </c>
      <c r="B6999" t="str">
        <f ca="1">IFERROR(__xludf.DUMMYFUNCTION("""COMPUTED_VALUE"""),"RF-00000771-MCG")</f>
        <v>RF-00000771-MCG</v>
      </c>
    </row>
    <row r="7000" spans="1:2" ht="12.5" x14ac:dyDescent="0.25">
      <c r="A7000" t="str">
        <f ca="1">IFERROR(__xludf.DUMMYFUNCTION("""COMPUTED_VALUE"""),"Salmonella Meskin")</f>
        <v>Salmonella Meskin</v>
      </c>
      <c r="B7000" t="str">
        <f ca="1">IFERROR(__xludf.DUMMYFUNCTION("""COMPUTED_VALUE"""),"RF-00000770-MCG")</f>
        <v>RF-00000770-MCG</v>
      </c>
    </row>
    <row r="7001" spans="1:2" ht="12.5" x14ac:dyDescent="0.25">
      <c r="A7001" t="str">
        <f ca="1">IFERROR(__xludf.DUMMYFUNCTION("""COMPUTED_VALUE"""),"Salmonella Messina")</f>
        <v>Salmonella Messina</v>
      </c>
      <c r="B7001" t="str">
        <f ca="1">IFERROR(__xludf.DUMMYFUNCTION("""COMPUTED_VALUE"""),"RF-00000769-MCG")</f>
        <v>RF-00000769-MCG</v>
      </c>
    </row>
    <row r="7002" spans="1:2" ht="12.5" x14ac:dyDescent="0.25">
      <c r="A7002" t="str">
        <f ca="1">IFERROR(__xludf.DUMMYFUNCTION("""COMPUTED_VALUE"""),"Salmonella Mgulani")</f>
        <v>Salmonella Mgulani</v>
      </c>
      <c r="B7002" t="str">
        <f ca="1">IFERROR(__xludf.DUMMYFUNCTION("""COMPUTED_VALUE"""),"RF-00000754-MCG")</f>
        <v>RF-00000754-MCG</v>
      </c>
    </row>
    <row r="7003" spans="1:2" ht="12.5" x14ac:dyDescent="0.25">
      <c r="A7003" t="str">
        <f ca="1">IFERROR(__xludf.DUMMYFUNCTION("""COMPUTED_VALUE"""),"Salmonella Miami")</f>
        <v>Salmonella Miami</v>
      </c>
      <c r="B7003" t="str">
        <f ca="1">IFERROR(__xludf.DUMMYFUNCTION("""COMPUTED_VALUE"""),"RF-00000767-MCG")</f>
        <v>RF-00000767-MCG</v>
      </c>
    </row>
    <row r="7004" spans="1:2" ht="12.5" x14ac:dyDescent="0.25">
      <c r="A7004" t="str">
        <f ca="1">IFERROR(__xludf.DUMMYFUNCTION("""COMPUTED_VALUE"""),"Salmonella Michigan")</f>
        <v>Salmonella Michigan</v>
      </c>
      <c r="B7004" t="str">
        <f ca="1">IFERROR(__xludf.DUMMYFUNCTION("""COMPUTED_VALUE"""),"RF-00000780-MCG")</f>
        <v>RF-00000780-MCG</v>
      </c>
    </row>
    <row r="7005" spans="1:2" ht="12.5" x14ac:dyDescent="0.25">
      <c r="A7005" t="str">
        <f ca="1">IFERROR(__xludf.DUMMYFUNCTION("""COMPUTED_VALUE"""),"Salmonella Middlesbrough")</f>
        <v>Salmonella Middlesbrough</v>
      </c>
      <c r="B7005" t="str">
        <f ca="1">IFERROR(__xludf.DUMMYFUNCTION("""COMPUTED_VALUE"""),"RF-00000765-MCG")</f>
        <v>RF-00000765-MCG</v>
      </c>
    </row>
    <row r="7006" spans="1:2" ht="12.5" x14ac:dyDescent="0.25">
      <c r="A7006" t="str">
        <f ca="1">IFERROR(__xludf.DUMMYFUNCTION("""COMPUTED_VALUE"""),"Salmonella Midway")</f>
        <v>Salmonella Midway</v>
      </c>
      <c r="B7006" t="str">
        <f ca="1">IFERROR(__xludf.DUMMYFUNCTION("""COMPUTED_VALUE"""),"RF-00000764-MCG")</f>
        <v>RF-00000764-MCG</v>
      </c>
    </row>
    <row r="7007" spans="1:2" ht="12.5" x14ac:dyDescent="0.25">
      <c r="A7007" t="str">
        <f ca="1">IFERROR(__xludf.DUMMYFUNCTION("""COMPUTED_VALUE"""),"Salmonella Mikawasima")</f>
        <v>Salmonella Mikawasima</v>
      </c>
      <c r="B7007" t="str">
        <f ca="1">IFERROR(__xludf.DUMMYFUNCTION("""COMPUTED_VALUE"""),"RF-00000763-MCG")</f>
        <v>RF-00000763-MCG</v>
      </c>
    </row>
    <row r="7008" spans="1:2" ht="12.5" x14ac:dyDescent="0.25">
      <c r="A7008" t="str">
        <f ca="1">IFERROR(__xludf.DUMMYFUNCTION("""COMPUTED_VALUE"""),"Salmonella Millesi")</f>
        <v>Salmonella Millesi</v>
      </c>
      <c r="B7008" t="str">
        <f ca="1">IFERROR(__xludf.DUMMYFUNCTION("""COMPUTED_VALUE"""),"RF-00000762-MCG")</f>
        <v>RF-00000762-MCG</v>
      </c>
    </row>
    <row r="7009" spans="1:2" ht="12.5" x14ac:dyDescent="0.25">
      <c r="A7009" t="str">
        <f ca="1">IFERROR(__xludf.DUMMYFUNCTION("""COMPUTED_VALUE"""),"Salmonella Milwaukee")</f>
        <v>Salmonella Milwaukee</v>
      </c>
      <c r="B7009" t="str">
        <f ca="1">IFERROR(__xludf.DUMMYFUNCTION("""COMPUTED_VALUE"""),"RF-00000761-MCG")</f>
        <v>RF-00000761-MCG</v>
      </c>
    </row>
    <row r="7010" spans="1:2" ht="12.5" x14ac:dyDescent="0.25">
      <c r="A7010" t="str">
        <f ca="1">IFERROR(__xludf.DUMMYFUNCTION("""COMPUTED_VALUE"""),"Salmonella Mim")</f>
        <v>Salmonella Mim</v>
      </c>
      <c r="B7010" t="str">
        <f ca="1">IFERROR(__xludf.DUMMYFUNCTION("""COMPUTED_VALUE"""),"RF-00000760-MCG")</f>
        <v>RF-00000760-MCG</v>
      </c>
    </row>
    <row r="7011" spans="1:2" ht="12.5" x14ac:dyDescent="0.25">
      <c r="A7011" t="str">
        <f ca="1">IFERROR(__xludf.DUMMYFUNCTION("""COMPUTED_VALUE"""),"Salmonella Minna")</f>
        <v>Salmonella Minna</v>
      </c>
      <c r="B7011" t="str">
        <f ca="1">IFERROR(__xludf.DUMMYFUNCTION("""COMPUTED_VALUE"""),"RF-00000759-MCG")</f>
        <v>RF-00000759-MCG</v>
      </c>
    </row>
    <row r="7012" spans="1:2" ht="12.5" x14ac:dyDescent="0.25">
      <c r="A7012" t="str">
        <f ca="1">IFERROR(__xludf.DUMMYFUNCTION("""COMPUTED_VALUE"""),"Salmonella Minnesota")</f>
        <v>Salmonella Minnesota</v>
      </c>
      <c r="B7012" t="str">
        <f ca="1">IFERROR(__xludf.DUMMYFUNCTION("""COMPUTED_VALUE"""),"RF-00000758-MCG")</f>
        <v>RF-00000758-MCG</v>
      </c>
    </row>
    <row r="7013" spans="1:2" ht="12.5" x14ac:dyDescent="0.25">
      <c r="A7013" t="str">
        <f ca="1">IFERROR(__xludf.DUMMYFUNCTION("""COMPUTED_VALUE"""),"Salmonella Mishmarhaemek")</f>
        <v>Salmonella Mishmarhaemek</v>
      </c>
      <c r="B7013" t="str">
        <f ca="1">IFERROR(__xludf.DUMMYFUNCTION("""COMPUTED_VALUE"""),"RF-00000757-MCG")</f>
        <v>RF-00000757-MCG</v>
      </c>
    </row>
    <row r="7014" spans="1:2" ht="12.5" x14ac:dyDescent="0.25">
      <c r="A7014" t="str">
        <f ca="1">IFERROR(__xludf.DUMMYFUNCTION("""COMPUTED_VALUE"""),"Salmonella Mississippi")</f>
        <v>Salmonella Mississippi</v>
      </c>
      <c r="B7014" t="str">
        <f ca="1">IFERROR(__xludf.DUMMYFUNCTION("""COMPUTED_VALUE"""),"RF-00000756-MCG")</f>
        <v>RF-00000756-MCG</v>
      </c>
    </row>
    <row r="7015" spans="1:2" ht="12.5" x14ac:dyDescent="0.25">
      <c r="A7015" t="str">
        <f ca="1">IFERROR(__xludf.DUMMYFUNCTION("""COMPUTED_VALUE"""),"Salmonella Missouri")</f>
        <v>Salmonella Missouri</v>
      </c>
      <c r="B7015" t="str">
        <f ca="1">IFERROR(__xludf.DUMMYFUNCTION("""COMPUTED_VALUE"""),"RF-00000793-MCG")</f>
        <v>RF-00000793-MCG</v>
      </c>
    </row>
    <row r="7016" spans="1:2" ht="12.5" x14ac:dyDescent="0.25">
      <c r="A7016" t="str">
        <f ca="1">IFERROR(__xludf.DUMMYFUNCTION("""COMPUTED_VALUE"""),"Salmonella Miyazaki")</f>
        <v>Salmonella Miyazaki</v>
      </c>
      <c r="B7016" t="str">
        <f ca="1">IFERROR(__xludf.DUMMYFUNCTION("""COMPUTED_VALUE"""),"RF-00000766-MCG")</f>
        <v>RF-00000766-MCG</v>
      </c>
    </row>
    <row r="7017" spans="1:2" ht="12.5" x14ac:dyDescent="0.25">
      <c r="A7017" t="str">
        <f ca="1">IFERROR(__xludf.DUMMYFUNCTION("""COMPUTED_VALUE"""),"Salmonella Mjordan")</f>
        <v>Salmonella Mjordan</v>
      </c>
      <c r="B7017" t="str">
        <f ca="1">IFERROR(__xludf.DUMMYFUNCTION("""COMPUTED_VALUE"""),"RF-00000768-MCG")</f>
        <v>RF-00000768-MCG</v>
      </c>
    </row>
    <row r="7018" spans="1:2" ht="12.5" x14ac:dyDescent="0.25">
      <c r="A7018" t="str">
        <f ca="1">IFERROR(__xludf.DUMMYFUNCTION("""COMPUTED_VALUE"""),"Salmonella Mkamba")</f>
        <v>Salmonella Mkamba</v>
      </c>
      <c r="B7018" t="str">
        <f ca="1">IFERROR(__xludf.DUMMYFUNCTION("""COMPUTED_VALUE"""),"RF-00000806-MCG")</f>
        <v>RF-00000806-MCG</v>
      </c>
    </row>
    <row r="7019" spans="1:2" ht="12.5" x14ac:dyDescent="0.25">
      <c r="A7019" t="str">
        <f ca="1">IFERROR(__xludf.DUMMYFUNCTION("""COMPUTED_VALUE"""),"Salmonella Mocamedes")</f>
        <v>Salmonella Mocamedes</v>
      </c>
      <c r="B7019" t="str">
        <f ca="1">IFERROR(__xludf.DUMMYFUNCTION("""COMPUTED_VALUE"""),"RF-00000805-MCG")</f>
        <v>RF-00000805-MCG</v>
      </c>
    </row>
    <row r="7020" spans="1:2" ht="12.5" x14ac:dyDescent="0.25">
      <c r="A7020" t="str">
        <f ca="1">IFERROR(__xludf.DUMMYFUNCTION("""COMPUTED_VALUE"""),"Salmonella Moero")</f>
        <v>Salmonella Moero</v>
      </c>
      <c r="B7020" t="str">
        <f ca="1">IFERROR(__xludf.DUMMYFUNCTION("""COMPUTED_VALUE"""),"RF-00000804-MCG")</f>
        <v>RF-00000804-MCG</v>
      </c>
    </row>
    <row r="7021" spans="1:2" ht="12.5" x14ac:dyDescent="0.25">
      <c r="A7021" t="str">
        <f ca="1">IFERROR(__xludf.DUMMYFUNCTION("""COMPUTED_VALUE"""),"Salmonella Moers")</f>
        <v>Salmonella Moers</v>
      </c>
      <c r="B7021" t="str">
        <f ca="1">IFERROR(__xludf.DUMMYFUNCTION("""COMPUTED_VALUE"""),"RF-00000803-MCG")</f>
        <v>RF-00000803-MCG</v>
      </c>
    </row>
    <row r="7022" spans="1:2" ht="12.5" x14ac:dyDescent="0.25">
      <c r="A7022" t="str">
        <f ca="1">IFERROR(__xludf.DUMMYFUNCTION("""COMPUTED_VALUE"""),"Salmonella Mokola")</f>
        <v>Salmonella Mokola</v>
      </c>
      <c r="B7022" t="str">
        <f ca="1">IFERROR(__xludf.DUMMYFUNCTION("""COMPUTED_VALUE"""),"RF-00000802-MCG")</f>
        <v>RF-00000802-MCG</v>
      </c>
    </row>
    <row r="7023" spans="1:2" ht="12.5" x14ac:dyDescent="0.25">
      <c r="A7023" t="str">
        <f ca="1">IFERROR(__xludf.DUMMYFUNCTION("""COMPUTED_VALUE"""),"Salmonella Molade")</f>
        <v>Salmonella Molade</v>
      </c>
      <c r="B7023" t="str">
        <f ca="1">IFERROR(__xludf.DUMMYFUNCTION("""COMPUTED_VALUE"""),"RF-00000801-MCG")</f>
        <v>RF-00000801-MCG</v>
      </c>
    </row>
    <row r="7024" spans="1:2" ht="12.5" x14ac:dyDescent="0.25">
      <c r="A7024" t="str">
        <f ca="1">IFERROR(__xludf.DUMMYFUNCTION("""COMPUTED_VALUE"""),"Salmonella Molesey")</f>
        <v>Salmonella Molesey</v>
      </c>
      <c r="B7024" t="str">
        <f ca="1">IFERROR(__xludf.DUMMYFUNCTION("""COMPUTED_VALUE"""),"RF-00000800-MCG")</f>
        <v>RF-00000800-MCG</v>
      </c>
    </row>
    <row r="7025" spans="1:2" ht="12.5" x14ac:dyDescent="0.25">
      <c r="A7025" t="str">
        <f ca="1">IFERROR(__xludf.DUMMYFUNCTION("""COMPUTED_VALUE"""),"Salmonella Mono")</f>
        <v>Salmonella Mono</v>
      </c>
      <c r="B7025" t="str">
        <f ca="1">IFERROR(__xludf.DUMMYFUNCTION("""COMPUTED_VALUE"""),"RF-00000799-MCG")</f>
        <v>RF-00000799-MCG</v>
      </c>
    </row>
    <row r="7026" spans="1:2" ht="12.5" x14ac:dyDescent="0.25">
      <c r="A7026" t="str">
        <f ca="1">IFERROR(__xludf.DUMMYFUNCTION("""COMPUTED_VALUE"""),"Salmonella Mons")</f>
        <v>Salmonella Mons</v>
      </c>
      <c r="B7026" t="str">
        <f ca="1">IFERROR(__xludf.DUMMYFUNCTION("""COMPUTED_VALUE"""),"RF-00000798-MCG")</f>
        <v>RF-00000798-MCG</v>
      </c>
    </row>
    <row r="7027" spans="1:2" ht="12.5" x14ac:dyDescent="0.25">
      <c r="A7027" t="str">
        <f ca="1">IFERROR(__xludf.DUMMYFUNCTION("""COMPUTED_VALUE"""),"Salmonella Monschaui")</f>
        <v>Salmonella Monschaui</v>
      </c>
      <c r="B7027" t="str">
        <f ca="1">IFERROR(__xludf.DUMMYFUNCTION("""COMPUTED_VALUE"""),"RF-00000797-MCG")</f>
        <v>RF-00000797-MCG</v>
      </c>
    </row>
    <row r="7028" spans="1:2" ht="12.5" x14ac:dyDescent="0.25">
      <c r="A7028" t="str">
        <f ca="1">IFERROR(__xludf.DUMMYFUNCTION("""COMPUTED_VALUE"""),"Salmonella Montevideo")</f>
        <v>Salmonella Montevideo</v>
      </c>
      <c r="B7028" t="str">
        <f ca="1">IFERROR(__xludf.DUMMYFUNCTION("""COMPUTED_VALUE"""),"RF-00000796-MCG")</f>
        <v>RF-00000796-MCG</v>
      </c>
    </row>
    <row r="7029" spans="1:2" ht="12.5" x14ac:dyDescent="0.25">
      <c r="A7029" t="str">
        <f ca="1">IFERROR(__xludf.DUMMYFUNCTION("""COMPUTED_VALUE"""),"Salmonella Montreal")</f>
        <v>Salmonella Montreal</v>
      </c>
      <c r="B7029" t="str">
        <f ca="1">IFERROR(__xludf.DUMMYFUNCTION("""COMPUTED_VALUE"""),"RF-00000781-MCG")</f>
        <v>RF-00000781-MCG</v>
      </c>
    </row>
    <row r="7030" spans="1:2" ht="12.5" x14ac:dyDescent="0.25">
      <c r="A7030" t="str">
        <f ca="1">IFERROR(__xludf.DUMMYFUNCTION("""COMPUTED_VALUE"""),"Salmonella Morehead")</f>
        <v>Salmonella Morehead</v>
      </c>
      <c r="B7030" t="str">
        <f ca="1">IFERROR(__xludf.DUMMYFUNCTION("""COMPUTED_VALUE"""),"RF-00000794-MCG")</f>
        <v>RF-00000794-MCG</v>
      </c>
    </row>
    <row r="7031" spans="1:2" ht="12.5" x14ac:dyDescent="0.25">
      <c r="A7031" t="str">
        <f ca="1">IFERROR(__xludf.DUMMYFUNCTION("""COMPUTED_VALUE"""),"Salmonella Morillons")</f>
        <v>Salmonella Morillons</v>
      </c>
      <c r="B7031" t="str">
        <f ca="1">IFERROR(__xludf.DUMMYFUNCTION("""COMPUTED_VALUE"""),"RF-00000807-MCG")</f>
        <v>RF-00000807-MCG</v>
      </c>
    </row>
    <row r="7032" spans="1:2" ht="12.5" x14ac:dyDescent="0.25">
      <c r="A7032" t="str">
        <f ca="1">IFERROR(__xludf.DUMMYFUNCTION("""COMPUTED_VALUE"""),"Salmonella Morningside")</f>
        <v>Salmonella Morningside</v>
      </c>
      <c r="B7032" t="str">
        <f ca="1">IFERROR(__xludf.DUMMYFUNCTION("""COMPUTED_VALUE"""),"RF-00000792-MCG")</f>
        <v>RF-00000792-MCG</v>
      </c>
    </row>
    <row r="7033" spans="1:2" ht="12.5" x14ac:dyDescent="0.25">
      <c r="A7033" t="str">
        <f ca="1">IFERROR(__xludf.DUMMYFUNCTION("""COMPUTED_VALUE"""),"Salmonella Mornington")</f>
        <v>Salmonella Mornington</v>
      </c>
      <c r="B7033" t="str">
        <f ca="1">IFERROR(__xludf.DUMMYFUNCTION("""COMPUTED_VALUE"""),"RF-00000791-MCG")</f>
        <v>RF-00000791-MCG</v>
      </c>
    </row>
    <row r="7034" spans="1:2" ht="12.5" x14ac:dyDescent="0.25">
      <c r="A7034" t="str">
        <f ca="1">IFERROR(__xludf.DUMMYFUNCTION("""COMPUTED_VALUE"""),"Salmonella Morocco")</f>
        <v>Salmonella Morocco</v>
      </c>
      <c r="B7034" t="str">
        <f ca="1">IFERROR(__xludf.DUMMYFUNCTION("""COMPUTED_VALUE"""),"RF-00000790-MCG")</f>
        <v>RF-00000790-MCG</v>
      </c>
    </row>
    <row r="7035" spans="1:2" ht="12.5" x14ac:dyDescent="0.25">
      <c r="A7035" t="str">
        <f ca="1">IFERROR(__xludf.DUMMYFUNCTION("""COMPUTED_VALUE"""),"Salmonella Morotai")</f>
        <v>Salmonella Morotai</v>
      </c>
      <c r="B7035" t="str">
        <f ca="1">IFERROR(__xludf.DUMMYFUNCTION("""COMPUTED_VALUE"""),"RF-00000789-MCG")</f>
        <v>RF-00000789-MCG</v>
      </c>
    </row>
    <row r="7036" spans="1:2" ht="12.5" x14ac:dyDescent="0.25">
      <c r="A7036" t="str">
        <f ca="1">IFERROR(__xludf.DUMMYFUNCTION("""COMPUTED_VALUE"""),"Salmonella Moroto")</f>
        <v>Salmonella Moroto</v>
      </c>
      <c r="B7036" t="str">
        <f ca="1">IFERROR(__xludf.DUMMYFUNCTION("""COMPUTED_VALUE"""),"RF-00000788-MCG")</f>
        <v>RF-00000788-MCG</v>
      </c>
    </row>
    <row r="7037" spans="1:2" ht="12.5" x14ac:dyDescent="0.25">
      <c r="A7037" t="str">
        <f ca="1">IFERROR(__xludf.DUMMYFUNCTION("""COMPUTED_VALUE"""),"Salmonella Moscow")</f>
        <v>Salmonella Moscow</v>
      </c>
      <c r="B7037" t="str">
        <f ca="1">IFERROR(__xludf.DUMMYFUNCTION("""COMPUTED_VALUE"""),"RF-00000787-MCG")</f>
        <v>RF-00000787-MCG</v>
      </c>
    </row>
    <row r="7038" spans="1:2" ht="12.5" x14ac:dyDescent="0.25">
      <c r="A7038" t="str">
        <f ca="1">IFERROR(__xludf.DUMMYFUNCTION("""COMPUTED_VALUE"""),"Salmonella Moualine")</f>
        <v>Salmonella Moualine</v>
      </c>
      <c r="B7038" t="str">
        <f ca="1">IFERROR(__xludf.DUMMYFUNCTION("""COMPUTED_VALUE"""),"RF-00000786-MCG")</f>
        <v>RF-00000786-MCG</v>
      </c>
    </row>
    <row r="7039" spans="1:2" ht="12.5" x14ac:dyDescent="0.25">
      <c r="A7039" t="str">
        <f ca="1">IFERROR(__xludf.DUMMYFUNCTION("""COMPUTED_VALUE"""),"Salmonella Moundou")</f>
        <v>Salmonella Moundou</v>
      </c>
      <c r="B7039" t="str">
        <f ca="1">IFERROR(__xludf.DUMMYFUNCTION("""COMPUTED_VALUE"""),"RF-00000785-MCG")</f>
        <v>RF-00000785-MCG</v>
      </c>
    </row>
    <row r="7040" spans="1:2" ht="12.5" x14ac:dyDescent="0.25">
      <c r="A7040" t="str">
        <f ca="1">IFERROR(__xludf.DUMMYFUNCTION("""COMPUTED_VALUE"""),"Salmonella Mountmagnet")</f>
        <v>Salmonella Mountmagnet</v>
      </c>
      <c r="B7040" t="str">
        <f ca="1">IFERROR(__xludf.DUMMYFUNCTION("""COMPUTED_VALUE"""),"RF-00000784-MCG")</f>
        <v>RF-00000784-MCG</v>
      </c>
    </row>
    <row r="7041" spans="1:2" ht="12.5" x14ac:dyDescent="0.25">
      <c r="A7041" t="str">
        <f ca="1">IFERROR(__xludf.DUMMYFUNCTION("""COMPUTED_VALUE"""),"Salmonella Mountpleasant")</f>
        <v>Salmonella Mountpleasant</v>
      </c>
      <c r="B7041" t="str">
        <f ca="1">IFERROR(__xludf.DUMMYFUNCTION("""COMPUTED_VALUE"""),"RF-00000783-MCG")</f>
        <v>RF-00000783-MCG</v>
      </c>
    </row>
    <row r="7042" spans="1:2" ht="12.5" x14ac:dyDescent="0.25">
      <c r="A7042" t="str">
        <f ca="1">IFERROR(__xludf.DUMMYFUNCTION("""COMPUTED_VALUE"""),"Salmonella Moussoro")</f>
        <v>Salmonella Moussoro</v>
      </c>
      <c r="B7042" t="str">
        <f ca="1">IFERROR(__xludf.DUMMYFUNCTION("""COMPUTED_VALUE"""),"RF-00000782-MCG")</f>
        <v>RF-00000782-MCG</v>
      </c>
    </row>
    <row r="7043" spans="1:2" ht="12.5" x14ac:dyDescent="0.25">
      <c r="A7043" t="str">
        <f ca="1">IFERROR(__xludf.DUMMYFUNCTION("""COMPUTED_VALUE"""),"Salmonella Mowanjum")</f>
        <v>Salmonella Mowanjum</v>
      </c>
      <c r="B7043" t="str">
        <f ca="1">IFERROR(__xludf.DUMMYFUNCTION("""COMPUTED_VALUE"""),"RF-00000863-MCG")</f>
        <v>RF-00000863-MCG</v>
      </c>
    </row>
    <row r="7044" spans="1:2" ht="12.5" x14ac:dyDescent="0.25">
      <c r="A7044" t="str">
        <f ca="1">IFERROR(__xludf.DUMMYFUNCTION("""COMPUTED_VALUE"""),"Salmonella Mpouto")</f>
        <v>Salmonella Mpouto</v>
      </c>
      <c r="B7044" t="str">
        <f ca="1">IFERROR(__xludf.DUMMYFUNCTION("""COMPUTED_VALUE"""),"RF-00000944-MCG")</f>
        <v>RF-00000944-MCG</v>
      </c>
    </row>
    <row r="7045" spans="1:2" ht="12.5" x14ac:dyDescent="0.25">
      <c r="A7045" t="str">
        <f ca="1">IFERROR(__xludf.DUMMYFUNCTION("""COMPUTED_VALUE"""),"Salmonella Muenchen")</f>
        <v>Salmonella Muenchen</v>
      </c>
      <c r="B7045" t="str">
        <f ca="1">IFERROR(__xludf.DUMMYFUNCTION("""COMPUTED_VALUE"""),"RF-00000849-MCG")</f>
        <v>RF-00000849-MCG</v>
      </c>
    </row>
    <row r="7046" spans="1:2" ht="12.5" x14ac:dyDescent="0.25">
      <c r="A7046" t="str">
        <f ca="1">IFERROR(__xludf.DUMMYFUNCTION("""COMPUTED_VALUE"""),"Salmonella Muenster")</f>
        <v>Salmonella Muenster</v>
      </c>
      <c r="B7046" t="str">
        <f ca="1">IFERROR(__xludf.DUMMYFUNCTION("""COMPUTED_VALUE"""),"RF-00000940-MCG")</f>
        <v>RF-00000940-MCG</v>
      </c>
    </row>
    <row r="7047" spans="1:2" ht="12.5" x14ac:dyDescent="0.25">
      <c r="A7047" t="str">
        <f ca="1">IFERROR(__xludf.DUMMYFUNCTION("""COMPUTED_VALUE"""),"Salmonella Muenster var. 15")</f>
        <v>Salmonella Muenster var. 15</v>
      </c>
      <c r="B7047" t="str">
        <f ca="1">IFERROR(__xludf.DUMMYFUNCTION("""COMPUTED_VALUE"""),"RF-00000939-MCG")</f>
        <v>RF-00000939-MCG</v>
      </c>
    </row>
    <row r="7048" spans="1:2" ht="12.5" x14ac:dyDescent="0.25">
      <c r="A7048" t="str">
        <f ca="1">IFERROR(__xludf.DUMMYFUNCTION("""COMPUTED_VALUE"""),"Salmonella Muenster var. 15,34")</f>
        <v>Salmonella Muenster var. 15,34</v>
      </c>
      <c r="B7048" t="str">
        <f ca="1">IFERROR(__xludf.DUMMYFUNCTION("""COMPUTED_VALUE"""),"RF-00000938-MCG")</f>
        <v>RF-00000938-MCG</v>
      </c>
    </row>
    <row r="7049" spans="1:2" ht="12.5" x14ac:dyDescent="0.25">
      <c r="A7049" t="str">
        <f ca="1">IFERROR(__xludf.DUMMYFUNCTION("""COMPUTED_VALUE"""),"Salmonella Muguga")</f>
        <v>Salmonella Muguga</v>
      </c>
      <c r="B7049" t="str">
        <f ca="1">IFERROR(__xludf.DUMMYFUNCTION("""COMPUTED_VALUE"""),"RF-00000937-MCG")</f>
        <v>RF-00000937-MCG</v>
      </c>
    </row>
    <row r="7050" spans="1:2" ht="12.5" x14ac:dyDescent="0.25">
      <c r="A7050" t="str">
        <f ca="1">IFERROR(__xludf.DUMMYFUNCTION("""COMPUTED_VALUE"""),"Salmonella Mulhouse")</f>
        <v>Salmonella Mulhouse</v>
      </c>
      <c r="B7050" t="str">
        <f ca="1">IFERROR(__xludf.DUMMYFUNCTION("""COMPUTED_VALUE"""),"RF-00000936-MCG")</f>
        <v>RF-00000936-MCG</v>
      </c>
    </row>
    <row r="7051" spans="1:2" ht="12.5" x14ac:dyDescent="0.25">
      <c r="A7051" t="str">
        <f ca="1">IFERROR(__xludf.DUMMYFUNCTION("""COMPUTED_VALUE"""),"Salmonella Mundonobo")</f>
        <v>Salmonella Mundonobo</v>
      </c>
      <c r="B7051" t="str">
        <f ca="1">IFERROR(__xludf.DUMMYFUNCTION("""COMPUTED_VALUE"""),"RF-00000935-MCG")</f>
        <v>RF-00000935-MCG</v>
      </c>
    </row>
    <row r="7052" spans="1:2" ht="12.5" x14ac:dyDescent="0.25">
      <c r="A7052" t="str">
        <f ca="1">IFERROR(__xludf.DUMMYFUNCTION("""COMPUTED_VALUE"""),"Salmonella Mura")</f>
        <v>Salmonella Mura</v>
      </c>
      <c r="B7052" t="str">
        <f ca="1">IFERROR(__xludf.DUMMYFUNCTION("""COMPUTED_VALUE"""),"RF-00000934-MCG")</f>
        <v>RF-00000934-MCG</v>
      </c>
    </row>
    <row r="7053" spans="1:2" ht="12.5" x14ac:dyDescent="0.25">
      <c r="A7053" t="str">
        <f ca="1">IFERROR(__xludf.DUMMYFUNCTION("""COMPUTED_VALUE"""),"Salmonella Naestved")</f>
        <v>Salmonella Naestved</v>
      </c>
      <c r="B7053" t="str">
        <f ca="1">IFERROR(__xludf.DUMMYFUNCTION("""COMPUTED_VALUE"""),"RF-00000933-MCG")</f>
        <v>RF-00000933-MCG</v>
      </c>
    </row>
    <row r="7054" spans="1:2" ht="12.5" x14ac:dyDescent="0.25">
      <c r="A7054" t="str">
        <f ca="1">IFERROR(__xludf.DUMMYFUNCTION("""COMPUTED_VALUE"""),"Salmonella Nagoya")</f>
        <v>Salmonella Nagoya</v>
      </c>
      <c r="B7054" t="str">
        <f ca="1">IFERROR(__xludf.DUMMYFUNCTION("""COMPUTED_VALUE"""),"RF-00000932-MCG")</f>
        <v>RF-00000932-MCG</v>
      </c>
    </row>
    <row r="7055" spans="1:2" ht="12.5" x14ac:dyDescent="0.25">
      <c r="A7055" t="str">
        <f ca="1">IFERROR(__xludf.DUMMYFUNCTION("""COMPUTED_VALUE"""),"Salmonella Nairobi")</f>
        <v>Salmonella Nairobi</v>
      </c>
      <c r="B7055" t="str">
        <f ca="1">IFERROR(__xludf.DUMMYFUNCTION("""COMPUTED_VALUE"""),"RF-00000931-MCG")</f>
        <v>RF-00000931-MCG</v>
      </c>
    </row>
    <row r="7056" spans="1:2" ht="12.5" x14ac:dyDescent="0.25">
      <c r="A7056" t="str">
        <f ca="1">IFERROR(__xludf.DUMMYFUNCTION("""COMPUTED_VALUE"""),"Salmonella Nakuru")</f>
        <v>Salmonella Nakuru</v>
      </c>
      <c r="B7056" t="str">
        <f ca="1">IFERROR(__xludf.DUMMYFUNCTION("""COMPUTED_VALUE"""),"RF-00000916-MCG")</f>
        <v>RF-00000916-MCG</v>
      </c>
    </row>
    <row r="7057" spans="1:2" ht="12.5" x14ac:dyDescent="0.25">
      <c r="A7057" t="str">
        <f ca="1">IFERROR(__xludf.DUMMYFUNCTION("""COMPUTED_VALUE"""),"Salmonella Namibia")</f>
        <v>Salmonella Namibia</v>
      </c>
      <c r="B7057" t="str">
        <f ca="1">IFERROR(__xludf.DUMMYFUNCTION("""COMPUTED_VALUE"""),"RF-00000929-MCG")</f>
        <v>RF-00000929-MCG</v>
      </c>
    </row>
    <row r="7058" spans="1:2" ht="12.5" x14ac:dyDescent="0.25">
      <c r="A7058" t="str">
        <f ca="1">IFERROR(__xludf.DUMMYFUNCTION("""COMPUTED_VALUE"""),"Salmonella Namoda")</f>
        <v>Salmonella Namoda</v>
      </c>
      <c r="B7058" t="str">
        <f ca="1">IFERROR(__xludf.DUMMYFUNCTION("""COMPUTED_VALUE"""),"RF-00000942-MCG")</f>
        <v>RF-00000942-MCG</v>
      </c>
    </row>
    <row r="7059" spans="1:2" ht="12.5" x14ac:dyDescent="0.25">
      <c r="A7059" t="str">
        <f ca="1">IFERROR(__xludf.DUMMYFUNCTION("""COMPUTED_VALUE"""),"Salmonella Nanergou")</f>
        <v>Salmonella Nanergou</v>
      </c>
      <c r="B7059" t="str">
        <f ca="1">IFERROR(__xludf.DUMMYFUNCTION("""COMPUTED_VALUE"""),"RF-00000927-MCG")</f>
        <v>RF-00000927-MCG</v>
      </c>
    </row>
    <row r="7060" spans="1:2" ht="12.5" x14ac:dyDescent="0.25">
      <c r="A7060" t="str">
        <f ca="1">IFERROR(__xludf.DUMMYFUNCTION("""COMPUTED_VALUE"""),"Salmonella Nanga")</f>
        <v>Salmonella Nanga</v>
      </c>
      <c r="B7060" t="str">
        <f ca="1">IFERROR(__xludf.DUMMYFUNCTION("""COMPUTED_VALUE"""),"RF-00000926-MCG")</f>
        <v>RF-00000926-MCG</v>
      </c>
    </row>
    <row r="7061" spans="1:2" ht="12.5" x14ac:dyDescent="0.25">
      <c r="A7061" t="str">
        <f ca="1">IFERROR(__xludf.DUMMYFUNCTION("""COMPUTED_VALUE"""),"Salmonella Nantes")</f>
        <v>Salmonella Nantes</v>
      </c>
      <c r="B7061" t="str">
        <f ca="1">IFERROR(__xludf.DUMMYFUNCTION("""COMPUTED_VALUE"""),"RF-00000925-MCG")</f>
        <v>RF-00000925-MCG</v>
      </c>
    </row>
    <row r="7062" spans="1:2" ht="12.5" x14ac:dyDescent="0.25">
      <c r="A7062" t="str">
        <f ca="1">IFERROR(__xludf.DUMMYFUNCTION("""COMPUTED_VALUE"""),"Salmonella Napoli")</f>
        <v>Salmonella Napoli</v>
      </c>
      <c r="B7062" t="str">
        <f ca="1">IFERROR(__xludf.DUMMYFUNCTION("""COMPUTED_VALUE"""),"RF-00000924-MCG")</f>
        <v>RF-00000924-MCG</v>
      </c>
    </row>
    <row r="7063" spans="1:2" ht="12.5" x14ac:dyDescent="0.25">
      <c r="A7063" t="str">
        <f ca="1">IFERROR(__xludf.DUMMYFUNCTION("""COMPUTED_VALUE"""),"Salmonella Narashino")</f>
        <v>Salmonella Narashino</v>
      </c>
      <c r="B7063" t="str">
        <f ca="1">IFERROR(__xludf.DUMMYFUNCTION("""COMPUTED_VALUE"""),"RF-00000923-MCG")</f>
        <v>RF-00000923-MCG</v>
      </c>
    </row>
    <row r="7064" spans="1:2" ht="12.5" x14ac:dyDescent="0.25">
      <c r="A7064" t="str">
        <f ca="1">IFERROR(__xludf.DUMMYFUNCTION("""COMPUTED_VALUE"""),"Salmonella Nashua")</f>
        <v>Salmonella Nashua</v>
      </c>
      <c r="B7064" t="str">
        <f ca="1">IFERROR(__xludf.DUMMYFUNCTION("""COMPUTED_VALUE"""),"RF-00000922-MCG")</f>
        <v>RF-00000922-MCG</v>
      </c>
    </row>
    <row r="7065" spans="1:2" ht="12.5" x14ac:dyDescent="0.25">
      <c r="A7065" t="str">
        <f ca="1">IFERROR(__xludf.DUMMYFUNCTION("""COMPUTED_VALUE"""),"Salmonella Natal")</f>
        <v>Salmonella Natal</v>
      </c>
      <c r="B7065" t="str">
        <f ca="1">IFERROR(__xludf.DUMMYFUNCTION("""COMPUTED_VALUE"""),"RF-00001267-MCG")</f>
        <v>RF-00001267-MCG</v>
      </c>
    </row>
    <row r="7066" spans="1:2" ht="12.5" x14ac:dyDescent="0.25">
      <c r="A7066" t="str">
        <f ca="1">IFERROR(__xludf.DUMMYFUNCTION("""COMPUTED_VALUE"""),"Salmonella Naware")</f>
        <v>Salmonella Naware</v>
      </c>
      <c r="B7066" t="str">
        <f ca="1">IFERROR(__xludf.DUMMYFUNCTION("""COMPUTED_VALUE"""),"RF-00000920-MCG")</f>
        <v>RF-00000920-MCG</v>
      </c>
    </row>
    <row r="7067" spans="1:2" ht="12.5" x14ac:dyDescent="0.25">
      <c r="A7067" t="str">
        <f ca="1">IFERROR(__xludf.DUMMYFUNCTION("""COMPUTED_VALUE"""),"Salmonella Nchanga")</f>
        <v>Salmonella Nchanga</v>
      </c>
      <c r="B7067" t="str">
        <f ca="1">IFERROR(__xludf.DUMMYFUNCTION("""COMPUTED_VALUE"""),"RF-00001558-MCG")</f>
        <v>RF-00001558-MCG</v>
      </c>
    </row>
    <row r="7068" spans="1:2" ht="12.5" x14ac:dyDescent="0.25">
      <c r="A7068" t="str">
        <f ca="1">IFERROR(__xludf.DUMMYFUNCTION("""COMPUTED_VALUE"""),"Salmonella Nchanga var. 15")</f>
        <v>Salmonella Nchanga var. 15</v>
      </c>
      <c r="B7068" t="str">
        <f ca="1">IFERROR(__xludf.DUMMYFUNCTION("""COMPUTED_VALUE"""),"RF-00000918-MCG")</f>
        <v>RF-00000918-MCG</v>
      </c>
    </row>
    <row r="7069" spans="1:2" ht="12.5" x14ac:dyDescent="0.25">
      <c r="A7069" t="str">
        <f ca="1">IFERROR(__xludf.DUMMYFUNCTION("""COMPUTED_VALUE"""),"Salmonella Ndjamena")</f>
        <v>Salmonella Ndjamena</v>
      </c>
      <c r="B7069" t="str">
        <f ca="1">IFERROR(__xludf.DUMMYFUNCTION("""COMPUTED_VALUE"""),"RF-00000917-MCG")</f>
        <v>RF-00000917-MCG</v>
      </c>
    </row>
    <row r="7070" spans="1:2" ht="12.5" x14ac:dyDescent="0.25">
      <c r="A7070" t="str">
        <f ca="1">IFERROR(__xludf.DUMMYFUNCTION("""COMPUTED_VALUE"""),"Salmonella Ndolo")</f>
        <v>Salmonella Ndolo</v>
      </c>
      <c r="B7070" t="str">
        <f ca="1">IFERROR(__xludf.DUMMYFUNCTION("""COMPUTED_VALUE"""),"RF-00000955-MCG")</f>
        <v>RF-00000955-MCG</v>
      </c>
    </row>
    <row r="7071" spans="1:2" ht="12.5" x14ac:dyDescent="0.25">
      <c r="A7071" t="str">
        <f ca="1">IFERROR(__xludf.DUMMYFUNCTION("""COMPUTED_VALUE"""),"Salmonella Neftenbach")</f>
        <v>Salmonella Neftenbach</v>
      </c>
      <c r="B7071" t="str">
        <f ca="1">IFERROR(__xludf.DUMMYFUNCTION("""COMPUTED_VALUE"""),"RF-00000957-MCG")</f>
        <v>RF-00000957-MCG</v>
      </c>
    </row>
    <row r="7072" spans="1:2" ht="12.5" x14ac:dyDescent="0.25">
      <c r="A7072" t="str">
        <f ca="1">IFERROR(__xludf.DUMMYFUNCTION("""COMPUTED_VALUE"""),"Salmonella Nessa")</f>
        <v>Salmonella Nessa</v>
      </c>
      <c r="B7072" t="str">
        <f ca="1">IFERROR(__xludf.DUMMYFUNCTION("""COMPUTED_VALUE"""),"RF-00000930-MCG")</f>
        <v>RF-00000930-MCG</v>
      </c>
    </row>
    <row r="7073" spans="1:2" ht="12.5" x14ac:dyDescent="0.25">
      <c r="A7073" t="str">
        <f ca="1">IFERROR(__xludf.DUMMYFUNCTION("""COMPUTED_VALUE"""),"Salmonella Nessziona")</f>
        <v>Salmonella Nessziona</v>
      </c>
      <c r="B7073" t="str">
        <f ca="1">IFERROR(__xludf.DUMMYFUNCTION("""COMPUTED_VALUE"""),"RF-00000968-MCG")</f>
        <v>RF-00000968-MCG</v>
      </c>
    </row>
    <row r="7074" spans="1:2" ht="12.5" x14ac:dyDescent="0.25">
      <c r="A7074" t="str">
        <f ca="1">IFERROR(__xludf.DUMMYFUNCTION("""COMPUTED_VALUE"""),"Salmonella Neudorf")</f>
        <v>Salmonella Neudorf</v>
      </c>
      <c r="B7074" t="str">
        <f ca="1">IFERROR(__xludf.DUMMYFUNCTION("""COMPUTED_VALUE"""),"RF-00000967-MCG")</f>
        <v>RF-00000967-MCG</v>
      </c>
    </row>
    <row r="7075" spans="1:2" ht="12.5" x14ac:dyDescent="0.25">
      <c r="A7075" t="str">
        <f ca="1">IFERROR(__xludf.DUMMYFUNCTION("""COMPUTED_VALUE"""),"Salmonella Neukoelln")</f>
        <v>Salmonella Neukoelln</v>
      </c>
      <c r="B7075" t="str">
        <f ca="1">IFERROR(__xludf.DUMMYFUNCTION("""COMPUTED_VALUE"""),"RF-00000966-MCG")</f>
        <v>RF-00000966-MCG</v>
      </c>
    </row>
    <row r="7076" spans="1:2" ht="12.5" x14ac:dyDescent="0.25">
      <c r="A7076" t="str">
        <f ca="1">IFERROR(__xludf.DUMMYFUNCTION("""COMPUTED_VALUE"""),"Salmonella Neumuenster")</f>
        <v>Salmonella Neumuenster</v>
      </c>
      <c r="B7076" t="str">
        <f ca="1">IFERROR(__xludf.DUMMYFUNCTION("""COMPUTED_VALUE"""),"RF-00000965-MCG")</f>
        <v>RF-00000965-MCG</v>
      </c>
    </row>
    <row r="7077" spans="1:2" ht="12.5" x14ac:dyDescent="0.25">
      <c r="A7077" t="str">
        <f ca="1">IFERROR(__xludf.DUMMYFUNCTION("""COMPUTED_VALUE"""),"Salmonella Neunkirchen")</f>
        <v>Salmonella Neunkirchen</v>
      </c>
      <c r="B7077" t="str">
        <f ca="1">IFERROR(__xludf.DUMMYFUNCTION("""COMPUTED_VALUE"""),"RF-00000964-MCG")</f>
        <v>RF-00000964-MCG</v>
      </c>
    </row>
    <row r="7078" spans="1:2" ht="12.5" x14ac:dyDescent="0.25">
      <c r="A7078" t="str">
        <f ca="1">IFERROR(__xludf.DUMMYFUNCTION("""COMPUTED_VALUE"""),"Salmonella Newholland")</f>
        <v>Salmonella Newholland</v>
      </c>
      <c r="B7078" t="str">
        <f ca="1">IFERROR(__xludf.DUMMYFUNCTION("""COMPUTED_VALUE"""),"RF-00000963-MCG")</f>
        <v>RF-00000963-MCG</v>
      </c>
    </row>
    <row r="7079" spans="1:2" ht="12.5" x14ac:dyDescent="0.25">
      <c r="A7079" t="str">
        <f ca="1">IFERROR(__xludf.DUMMYFUNCTION("""COMPUTED_VALUE"""),"Salmonella Newlands")</f>
        <v>Salmonella Newlands</v>
      </c>
      <c r="B7079" t="str">
        <f ca="1">IFERROR(__xludf.DUMMYFUNCTION("""COMPUTED_VALUE"""),"RF-00000962-MCG")</f>
        <v>RF-00000962-MCG</v>
      </c>
    </row>
    <row r="7080" spans="1:2" ht="12.5" x14ac:dyDescent="0.25">
      <c r="A7080" t="str">
        <f ca="1">IFERROR(__xludf.DUMMYFUNCTION("""COMPUTED_VALUE"""),"Salmonella Newmexico")</f>
        <v>Salmonella Newmexico</v>
      </c>
      <c r="B7080" t="str">
        <f ca="1">IFERROR(__xludf.DUMMYFUNCTION("""COMPUTED_VALUE"""),"RF-00000961-MCG")</f>
        <v>RF-00000961-MCG</v>
      </c>
    </row>
    <row r="7081" spans="1:2" ht="12.5" x14ac:dyDescent="0.25">
      <c r="A7081" t="str">
        <f ca="1">IFERROR(__xludf.DUMMYFUNCTION("""COMPUTED_VALUE"""),"Salmonella Newport")</f>
        <v>Salmonella Newport</v>
      </c>
      <c r="B7081" t="str">
        <f ca="1">IFERROR(__xludf.DUMMYFUNCTION("""COMPUTED_VALUE"""),"RF-00000960-MCG")</f>
        <v>RF-00000960-MCG</v>
      </c>
    </row>
    <row r="7082" spans="1:2" ht="12.5" x14ac:dyDescent="0.25">
      <c r="A7082" t="str">
        <f ca="1">IFERROR(__xludf.DUMMYFUNCTION("""COMPUTED_VALUE"""),"Salmonella Newrochelle")</f>
        <v>Salmonella Newrochelle</v>
      </c>
      <c r="B7082" t="str">
        <f ca="1">IFERROR(__xludf.DUMMYFUNCTION("""COMPUTED_VALUE"""),"RF-00000959-MCG")</f>
        <v>RF-00000959-MCG</v>
      </c>
    </row>
    <row r="7083" spans="1:2" ht="12.5" x14ac:dyDescent="0.25">
      <c r="A7083" t="str">
        <f ca="1">IFERROR(__xludf.DUMMYFUNCTION("""COMPUTED_VALUE"""),"Salmonella Newyork")</f>
        <v>Salmonella Newyork</v>
      </c>
      <c r="B7083" t="str">
        <f ca="1">IFERROR(__xludf.DUMMYFUNCTION("""COMPUTED_VALUE"""),"RF-00000958-MCG")</f>
        <v>RF-00000958-MCG</v>
      </c>
    </row>
    <row r="7084" spans="1:2" ht="12.5" x14ac:dyDescent="0.25">
      <c r="A7084" t="str">
        <f ca="1">IFERROR(__xludf.DUMMYFUNCTION("""COMPUTED_VALUE"""),"Salmonella Ngaparou")</f>
        <v>Salmonella Ngaparou</v>
      </c>
      <c r="B7084" t="str">
        <f ca="1">IFERROR(__xludf.DUMMYFUNCTION("""COMPUTED_VALUE"""),"RF-00000943-MCG")</f>
        <v>RF-00000943-MCG</v>
      </c>
    </row>
    <row r="7085" spans="1:2" ht="12.5" x14ac:dyDescent="0.25">
      <c r="A7085" t="str">
        <f ca="1">IFERROR(__xludf.DUMMYFUNCTION("""COMPUTED_VALUE"""),"Salmonella Ngili")</f>
        <v>Salmonella Ngili</v>
      </c>
      <c r="B7085" t="str">
        <f ca="1">IFERROR(__xludf.DUMMYFUNCTION("""COMPUTED_VALUE"""),"RF-00000956-MCG")</f>
        <v>RF-00000956-MCG</v>
      </c>
    </row>
    <row r="7086" spans="1:2" ht="12.5" x14ac:dyDescent="0.25">
      <c r="A7086" t="str">
        <f ca="1">IFERROR(__xludf.DUMMYFUNCTION("""COMPUTED_VALUE"""),"Salmonella Ngor")</f>
        <v>Salmonella Ngor</v>
      </c>
      <c r="B7086" t="str">
        <f ca="1">IFERROR(__xludf.DUMMYFUNCTION("""COMPUTED_VALUE"""),"RF-00000970-MCG")</f>
        <v>RF-00000970-MCG</v>
      </c>
    </row>
    <row r="7087" spans="1:2" ht="12.5" x14ac:dyDescent="0.25">
      <c r="A7087" t="str">
        <f ca="1">IFERROR(__xludf.DUMMYFUNCTION("""COMPUTED_VALUE"""),"Salmonella Niakhar")</f>
        <v>Salmonella Niakhar</v>
      </c>
      <c r="B7087" t="str">
        <f ca="1">IFERROR(__xludf.DUMMYFUNCTION("""COMPUTED_VALUE"""),"RF-00000954-MCG")</f>
        <v>RF-00000954-MCG</v>
      </c>
    </row>
    <row r="7088" spans="1:2" ht="12.5" x14ac:dyDescent="0.25">
      <c r="A7088" t="str">
        <f ca="1">IFERROR(__xludf.DUMMYFUNCTION("""COMPUTED_VALUE"""),"Salmonella Niamey")</f>
        <v>Salmonella Niamey</v>
      </c>
      <c r="B7088" t="str">
        <f ca="1">IFERROR(__xludf.DUMMYFUNCTION("""COMPUTED_VALUE"""),"RF-00000953-MCG")</f>
        <v>RF-00000953-MCG</v>
      </c>
    </row>
    <row r="7089" spans="1:2" ht="12.5" x14ac:dyDescent="0.25">
      <c r="A7089" t="str">
        <f ca="1">IFERROR(__xludf.DUMMYFUNCTION("""COMPUTED_VALUE"""),"Salmonella Niarembe")</f>
        <v>Salmonella Niarembe</v>
      </c>
      <c r="B7089" t="str">
        <f ca="1">IFERROR(__xludf.DUMMYFUNCTION("""COMPUTED_VALUE"""),"RF-00000952-MCG")</f>
        <v>RF-00000952-MCG</v>
      </c>
    </row>
    <row r="7090" spans="1:2" ht="12.5" x14ac:dyDescent="0.25">
      <c r="A7090" t="str">
        <f ca="1">IFERROR(__xludf.DUMMYFUNCTION("""COMPUTED_VALUE"""),"Salmonella Niederoderwitz")</f>
        <v>Salmonella Niederoderwitz</v>
      </c>
      <c r="B7090" t="str">
        <f ca="1">IFERROR(__xludf.DUMMYFUNCTION("""COMPUTED_VALUE"""),"RF-00000951-MCG")</f>
        <v>RF-00000951-MCG</v>
      </c>
    </row>
    <row r="7091" spans="1:2" ht="12.5" x14ac:dyDescent="0.25">
      <c r="A7091" t="str">
        <f ca="1">IFERROR(__xludf.DUMMYFUNCTION("""COMPUTED_VALUE"""),"Salmonella Nieukerk")</f>
        <v>Salmonella Nieukerk</v>
      </c>
      <c r="B7091" t="str">
        <f ca="1">IFERROR(__xludf.DUMMYFUNCTION("""COMPUTED_VALUE"""),"RF-00000950-MCG")</f>
        <v>RF-00000950-MCG</v>
      </c>
    </row>
    <row r="7092" spans="1:2" ht="12.5" x14ac:dyDescent="0.25">
      <c r="A7092" t="str">
        <f ca="1">IFERROR(__xludf.DUMMYFUNCTION("""COMPUTED_VALUE"""),"Salmonella Nigeria")</f>
        <v>Salmonella Nigeria</v>
      </c>
      <c r="B7092" t="str">
        <f ca="1">IFERROR(__xludf.DUMMYFUNCTION("""COMPUTED_VALUE"""),"RF-00000949-MCG")</f>
        <v>RF-00000949-MCG</v>
      </c>
    </row>
    <row r="7093" spans="1:2" ht="12.5" x14ac:dyDescent="0.25">
      <c r="A7093" t="str">
        <f ca="1">IFERROR(__xludf.DUMMYFUNCTION("""COMPUTED_VALUE"""),"Salmonella Nijmegen")</f>
        <v>Salmonella Nijmegen</v>
      </c>
      <c r="B7093" t="str">
        <f ca="1">IFERROR(__xludf.DUMMYFUNCTION("""COMPUTED_VALUE"""),"RF-00000948-MCG")</f>
        <v>RF-00000948-MCG</v>
      </c>
    </row>
    <row r="7094" spans="1:2" ht="12.5" x14ac:dyDescent="0.25">
      <c r="A7094" t="str">
        <f ca="1">IFERROR(__xludf.DUMMYFUNCTION("""COMPUTED_VALUE"""),"Salmonella Nikolaifleet")</f>
        <v>Salmonella Nikolaifleet</v>
      </c>
      <c r="B7094" t="str">
        <f ca="1">IFERROR(__xludf.DUMMYFUNCTION("""COMPUTED_VALUE"""),"RF-00000947-MCG")</f>
        <v>RF-00000947-MCG</v>
      </c>
    </row>
    <row r="7095" spans="1:2" ht="12.5" x14ac:dyDescent="0.25">
      <c r="A7095" t="str">
        <f ca="1">IFERROR(__xludf.DUMMYFUNCTION("""COMPUTED_VALUE"""),"Salmonella Niloese")</f>
        <v>Salmonella Niloese</v>
      </c>
      <c r="B7095" t="str">
        <f ca="1">IFERROR(__xludf.DUMMYFUNCTION("""COMPUTED_VALUE"""),"RF-00000946-MCG")</f>
        <v>RF-00000946-MCG</v>
      </c>
    </row>
    <row r="7096" spans="1:2" ht="12.5" x14ac:dyDescent="0.25">
      <c r="A7096" t="str">
        <f ca="1">IFERROR(__xludf.DUMMYFUNCTION("""COMPUTED_VALUE"""),"Salmonella Nima")</f>
        <v>Salmonella Nima</v>
      </c>
      <c r="B7096" t="str">
        <f ca="1">IFERROR(__xludf.DUMMYFUNCTION("""COMPUTED_VALUE"""),"RF-00000945-MCG")</f>
        <v>RF-00000945-MCG</v>
      </c>
    </row>
    <row r="7097" spans="1:2" ht="12.5" x14ac:dyDescent="0.25">
      <c r="A7097" t="str">
        <f ca="1">IFERROR(__xludf.DUMMYFUNCTION("""COMPUTED_VALUE"""),"Salmonella Nimes")</f>
        <v>Salmonella Nimes</v>
      </c>
      <c r="B7097" t="str">
        <f ca="1">IFERROR(__xludf.DUMMYFUNCTION("""COMPUTED_VALUE"""),"RF-00000903-MCG")</f>
        <v>RF-00000903-MCG</v>
      </c>
    </row>
    <row r="7098" spans="1:2" ht="12.5" x14ac:dyDescent="0.25">
      <c r="A7098" t="str">
        <f ca="1">IFERROR(__xludf.DUMMYFUNCTION("""COMPUTED_VALUE"""),"Salmonella Nitra")</f>
        <v>Salmonella Nitra</v>
      </c>
      <c r="B7098" t="str">
        <f ca="1">IFERROR(__xludf.DUMMYFUNCTION("""COMPUTED_VALUE"""),"RF-00000969-MCG")</f>
        <v>RF-00000969-MCG</v>
      </c>
    </row>
    <row r="7099" spans="1:2" ht="12.5" x14ac:dyDescent="0.25">
      <c r="A7099" t="str">
        <f ca="1">IFERROR(__xludf.DUMMYFUNCTION("""COMPUTED_VALUE"""),"Salmonella Niumi")</f>
        <v>Salmonella Niumi</v>
      </c>
      <c r="B7099" t="str">
        <f ca="1">IFERROR(__xludf.DUMMYFUNCTION("""COMPUTED_VALUE"""),"RF-00000928-MCG")</f>
        <v>RF-00000928-MCG</v>
      </c>
    </row>
    <row r="7100" spans="1:2" ht="12.5" x14ac:dyDescent="0.25">
      <c r="A7100" t="str">
        <f ca="1">IFERROR(__xludf.DUMMYFUNCTION("""COMPUTED_VALUE"""),"Salmonella Njala")</f>
        <v>Salmonella Njala</v>
      </c>
      <c r="B7100" t="str">
        <f ca="1">IFERROR(__xludf.DUMMYFUNCTION("""COMPUTED_VALUE"""),"RF-00000887-MCG")</f>
        <v>RF-00000887-MCG</v>
      </c>
    </row>
    <row r="7101" spans="1:2" ht="12.5" x14ac:dyDescent="0.25">
      <c r="A7101" t="str">
        <f ca="1">IFERROR(__xludf.DUMMYFUNCTION("""COMPUTED_VALUE"""),"Salmonella Nola")</f>
        <v>Salmonella Nola</v>
      </c>
      <c r="B7101" t="str">
        <f ca="1">IFERROR(__xludf.DUMMYFUNCTION("""COMPUTED_VALUE"""),"RF-00000886-MCG")</f>
        <v>RF-00000886-MCG</v>
      </c>
    </row>
    <row r="7102" spans="1:2" ht="12.5" x14ac:dyDescent="0.25">
      <c r="A7102" t="str">
        <f ca="1">IFERROR(__xludf.DUMMYFUNCTION("""COMPUTED_VALUE"""),"Salmonella Nordrhein")</f>
        <v>Salmonella Nordrhein</v>
      </c>
      <c r="B7102" t="str">
        <f ca="1">IFERROR(__xludf.DUMMYFUNCTION("""COMPUTED_VALUE"""),"RF-00000885-MCG")</f>
        <v>RF-00000885-MCG</v>
      </c>
    </row>
    <row r="7103" spans="1:2" ht="12.5" x14ac:dyDescent="0.25">
      <c r="A7103" t="str">
        <f ca="1">IFERROR(__xludf.DUMMYFUNCTION("""COMPUTED_VALUE"""),"Salmonella Nordufer")</f>
        <v>Salmonella Nordufer</v>
      </c>
      <c r="B7103" t="str">
        <f ca="1">IFERROR(__xludf.DUMMYFUNCTION("""COMPUTED_VALUE"""),"RF-00000884-MCG")</f>
        <v>RF-00000884-MCG</v>
      </c>
    </row>
    <row r="7104" spans="1:2" ht="12.5" x14ac:dyDescent="0.25">
      <c r="A7104" t="str">
        <f ca="1">IFERROR(__xludf.DUMMYFUNCTION("""COMPUTED_VALUE"""),"Salmonella Norton")</f>
        <v>Salmonella Norton</v>
      </c>
      <c r="B7104" t="str">
        <f ca="1">IFERROR(__xludf.DUMMYFUNCTION("""COMPUTED_VALUE"""),"RF-00000883-MCG")</f>
        <v>RF-00000883-MCG</v>
      </c>
    </row>
    <row r="7105" spans="1:2" ht="12.5" x14ac:dyDescent="0.25">
      <c r="A7105" t="str">
        <f ca="1">IFERROR(__xludf.DUMMYFUNCTION("""COMPUTED_VALUE"""),"Salmonella Norwich")</f>
        <v>Salmonella Norwich</v>
      </c>
      <c r="B7105" t="str">
        <f ca="1">IFERROR(__xludf.DUMMYFUNCTION("""COMPUTED_VALUE"""),"RF-00000882-MCG")</f>
        <v>RF-00000882-MCG</v>
      </c>
    </row>
    <row r="7106" spans="1:2" ht="12.5" x14ac:dyDescent="0.25">
      <c r="A7106" t="str">
        <f ca="1">IFERROR(__xludf.DUMMYFUNCTION("""COMPUTED_VALUE"""),"Salmonella Nottingham")</f>
        <v>Salmonella Nottingham</v>
      </c>
      <c r="B7106" t="str">
        <f ca="1">IFERROR(__xludf.DUMMYFUNCTION("""COMPUTED_VALUE"""),"RF-00000881-MCG")</f>
        <v>RF-00000881-MCG</v>
      </c>
    </row>
    <row r="7107" spans="1:2" ht="12.5" x14ac:dyDescent="0.25">
      <c r="A7107" t="str">
        <f ca="1">IFERROR(__xludf.DUMMYFUNCTION("""COMPUTED_VALUE"""),"Salmonella Nowawes")</f>
        <v>Salmonella Nowawes</v>
      </c>
      <c r="B7107" t="str">
        <f ca="1">IFERROR(__xludf.DUMMYFUNCTION("""COMPUTED_VALUE"""),"RF-00000880-MCG")</f>
        <v>RF-00000880-MCG</v>
      </c>
    </row>
    <row r="7108" spans="1:2" ht="12.5" x14ac:dyDescent="0.25">
      <c r="A7108" t="str">
        <f ca="1">IFERROR(__xludf.DUMMYFUNCTION("""COMPUTED_VALUE"""),"Salmonella Noya")</f>
        <v>Salmonella Noya</v>
      </c>
      <c r="B7108" t="str">
        <f ca="1">IFERROR(__xludf.DUMMYFUNCTION("""COMPUTED_VALUE"""),"RF-00000879-MCG")</f>
        <v>RF-00000879-MCG</v>
      </c>
    </row>
    <row r="7109" spans="1:2" ht="12.5" x14ac:dyDescent="0.25">
      <c r="A7109" t="str">
        <f ca="1">IFERROR(__xludf.DUMMYFUNCTION("""COMPUTED_VALUE"""),"Salmonella Nuatja")</f>
        <v>Salmonella Nuatja</v>
      </c>
      <c r="B7109" t="str">
        <f ca="1">IFERROR(__xludf.DUMMYFUNCTION("""COMPUTED_VALUE"""),"RF-00000878-MCG")</f>
        <v>RF-00000878-MCG</v>
      </c>
    </row>
    <row r="7110" spans="1:2" ht="12.5" x14ac:dyDescent="0.25">
      <c r="A7110" t="str">
        <f ca="1">IFERROR(__xludf.DUMMYFUNCTION("""COMPUTED_VALUE"""),"Salmonella Nyanza")</f>
        <v>Salmonella Nyanza</v>
      </c>
      <c r="B7110" t="str">
        <f ca="1">IFERROR(__xludf.DUMMYFUNCTION("""COMPUTED_VALUE"""),"RF-00000877-MCG")</f>
        <v>RF-00000877-MCG</v>
      </c>
    </row>
    <row r="7111" spans="1:2" ht="12.5" x14ac:dyDescent="0.25">
      <c r="A7111" t="str">
        <f ca="1">IFERROR(__xludf.DUMMYFUNCTION("""COMPUTED_VALUE"""),"Salmonella Nyborg")</f>
        <v>Salmonella Nyborg</v>
      </c>
      <c r="B7111" t="str">
        <f ca="1">IFERROR(__xludf.DUMMYFUNCTION("""COMPUTED_VALUE"""),"RF-00000862-MCG")</f>
        <v>RF-00000862-MCG</v>
      </c>
    </row>
    <row r="7112" spans="1:2" ht="12.5" x14ac:dyDescent="0.25">
      <c r="A7112" t="str">
        <f ca="1">IFERROR(__xludf.DUMMYFUNCTION("""COMPUTED_VALUE"""),"Salmonella Nyborg var. 15")</f>
        <v>Salmonella Nyborg var. 15</v>
      </c>
      <c r="B7112" t="str">
        <f ca="1">IFERROR(__xludf.DUMMYFUNCTION("""COMPUTED_VALUE"""),"RF-00000875-MCG")</f>
        <v>RF-00000875-MCG</v>
      </c>
    </row>
    <row r="7113" spans="1:2" ht="12.5" x14ac:dyDescent="0.25">
      <c r="A7113" t="str">
        <f ca="1">IFERROR(__xludf.DUMMYFUNCTION("""COMPUTED_VALUE"""),"Salmonella Nyeko")</f>
        <v>Salmonella Nyeko</v>
      </c>
      <c r="B7113" t="str">
        <f ca="1">IFERROR(__xludf.DUMMYFUNCTION("""COMPUTED_VALUE"""),"RF-00000888-MCG")</f>
        <v>RF-00000888-MCG</v>
      </c>
    </row>
    <row r="7114" spans="1:2" ht="12.5" x14ac:dyDescent="0.25">
      <c r="A7114" t="str">
        <f ca="1">IFERROR(__xludf.DUMMYFUNCTION("""COMPUTED_VALUE"""),"Salmonella Oakey")</f>
        <v>Salmonella Oakey</v>
      </c>
      <c r="B7114" t="str">
        <f ca="1">IFERROR(__xludf.DUMMYFUNCTION("""COMPUTED_VALUE"""),"RF-00000873-MCG")</f>
        <v>RF-00000873-MCG</v>
      </c>
    </row>
    <row r="7115" spans="1:2" ht="12.5" x14ac:dyDescent="0.25">
      <c r="A7115" t="str">
        <f ca="1">IFERROR(__xludf.DUMMYFUNCTION("""COMPUTED_VALUE"""),"Salmonella Oakland")</f>
        <v>Salmonella Oakland</v>
      </c>
      <c r="B7115" t="str">
        <f ca="1">IFERROR(__xludf.DUMMYFUNCTION("""COMPUTED_VALUE"""),"RF-00000872-MCG")</f>
        <v>RF-00000872-MCG</v>
      </c>
    </row>
    <row r="7116" spans="1:2" ht="12.5" x14ac:dyDescent="0.25">
      <c r="A7116" t="str">
        <f ca="1">IFERROR(__xludf.DUMMYFUNCTION("""COMPUTED_VALUE"""),"Salmonella Obogu")</f>
        <v>Salmonella Obogu</v>
      </c>
      <c r="B7116" t="str">
        <f ca="1">IFERROR(__xludf.DUMMYFUNCTION("""COMPUTED_VALUE"""),"RF-00000871-MCG")</f>
        <v>RF-00000871-MCG</v>
      </c>
    </row>
    <row r="7117" spans="1:2" ht="12.5" x14ac:dyDescent="0.25">
      <c r="A7117" t="str">
        <f ca="1">IFERROR(__xludf.DUMMYFUNCTION("""COMPUTED_VALUE"""),"Salmonella Ochiogu")</f>
        <v>Salmonella Ochiogu</v>
      </c>
      <c r="B7117" t="str">
        <f ca="1">IFERROR(__xludf.DUMMYFUNCTION("""COMPUTED_VALUE"""),"RF-00000870-MCG")</f>
        <v>RF-00000870-MCG</v>
      </c>
    </row>
    <row r="7118" spans="1:2" ht="12.5" x14ac:dyDescent="0.25">
      <c r="A7118" t="str">
        <f ca="1">IFERROR(__xludf.DUMMYFUNCTION("""COMPUTED_VALUE"""),"Salmonella Ochsenwerder")</f>
        <v>Salmonella Ochsenwerder</v>
      </c>
      <c r="B7118" t="str">
        <f ca="1">IFERROR(__xludf.DUMMYFUNCTION("""COMPUTED_VALUE"""),"RF-00000869-MCG")</f>
        <v>RF-00000869-MCG</v>
      </c>
    </row>
    <row r="7119" spans="1:2" ht="12.5" x14ac:dyDescent="0.25">
      <c r="A7119" t="str">
        <f ca="1">IFERROR(__xludf.DUMMYFUNCTION("""COMPUTED_VALUE"""),"Salmonella Ockenheim")</f>
        <v>Salmonella Ockenheim</v>
      </c>
      <c r="B7119" t="str">
        <f ca="1">IFERROR(__xludf.DUMMYFUNCTION("""COMPUTED_VALUE"""),"RF-00000868-MCG")</f>
        <v>RF-00000868-MCG</v>
      </c>
    </row>
    <row r="7120" spans="1:2" ht="12.5" x14ac:dyDescent="0.25">
      <c r="A7120" t="str">
        <f ca="1">IFERROR(__xludf.DUMMYFUNCTION("""COMPUTED_VALUE"""),"Salmonella Odienne")</f>
        <v>Salmonella Odienne</v>
      </c>
      <c r="B7120" t="str">
        <f ca="1">IFERROR(__xludf.DUMMYFUNCTION("""COMPUTED_VALUE"""),"RF-00000867-MCG")</f>
        <v>RF-00000867-MCG</v>
      </c>
    </row>
    <row r="7121" spans="1:2" ht="12.5" x14ac:dyDescent="0.25">
      <c r="A7121" t="str">
        <f ca="1">IFERROR(__xludf.DUMMYFUNCTION("""COMPUTED_VALUE"""),"Salmonella Odozi")</f>
        <v>Salmonella Odozi</v>
      </c>
      <c r="B7121" t="str">
        <f ca="1">IFERROR(__xludf.DUMMYFUNCTION("""COMPUTED_VALUE"""),"RF-00000866-MCG")</f>
        <v>RF-00000866-MCG</v>
      </c>
    </row>
    <row r="7122" spans="1:2" ht="12.5" x14ac:dyDescent="0.25">
      <c r="A7122" t="str">
        <f ca="1">IFERROR(__xludf.DUMMYFUNCTION("""COMPUTED_VALUE"""),"Salmonella Oerlikon")</f>
        <v>Salmonella Oerlikon</v>
      </c>
      <c r="B7122" t="str">
        <f ca="1">IFERROR(__xludf.DUMMYFUNCTION("""COMPUTED_VALUE"""),"RF-00000865-MCG")</f>
        <v>RF-00000865-MCG</v>
      </c>
    </row>
    <row r="7123" spans="1:2" ht="12.5" x14ac:dyDescent="0.25">
      <c r="A7123" t="str">
        <f ca="1">IFERROR(__xludf.DUMMYFUNCTION("""COMPUTED_VALUE"""),"Salmonella Oesterbro")</f>
        <v>Salmonella Oesterbro</v>
      </c>
      <c r="B7123" t="str">
        <f ca="1">IFERROR(__xludf.DUMMYFUNCTION("""COMPUTED_VALUE"""),"RF-00000864-MCG")</f>
        <v>RF-00000864-MCG</v>
      </c>
    </row>
    <row r="7124" spans="1:2" ht="12.5" x14ac:dyDescent="0.25">
      <c r="A7124" t="str">
        <f ca="1">IFERROR(__xludf.DUMMYFUNCTION("""COMPUTED_VALUE"""),"Salmonella Offa")</f>
        <v>Salmonella Offa</v>
      </c>
      <c r="B7124" t="str">
        <f ca="1">IFERROR(__xludf.DUMMYFUNCTION("""COMPUTED_VALUE"""),"RF-00000901-MCG")</f>
        <v>RF-00000901-MCG</v>
      </c>
    </row>
    <row r="7125" spans="1:2" ht="12.5" x14ac:dyDescent="0.25">
      <c r="A7125" t="str">
        <f ca="1">IFERROR(__xludf.DUMMYFUNCTION("""COMPUTED_VALUE"""),"Salmonella Ogbete")</f>
        <v>Salmonella Ogbete</v>
      </c>
      <c r="B7125" t="str">
        <f ca="1">IFERROR(__xludf.DUMMYFUNCTION("""COMPUTED_VALUE"""),"RF-00000874-MCG")</f>
        <v>RF-00000874-MCG</v>
      </c>
    </row>
    <row r="7126" spans="1:2" ht="12.5" x14ac:dyDescent="0.25">
      <c r="A7126" t="str">
        <f ca="1">IFERROR(__xludf.DUMMYFUNCTION("""COMPUTED_VALUE"""),"Salmonella Ohio")</f>
        <v>Salmonella Ohio</v>
      </c>
      <c r="B7126" t="str">
        <f ca="1">IFERROR(__xludf.DUMMYFUNCTION("""COMPUTED_VALUE"""),"RF-00000876-MCG")</f>
        <v>RF-00000876-MCG</v>
      </c>
    </row>
    <row r="7127" spans="1:2" ht="12.5" x14ac:dyDescent="0.25">
      <c r="A7127" t="str">
        <f ca="1">IFERROR(__xludf.DUMMYFUNCTION("""COMPUTED_VALUE"""),"Salmonella Ohio var. 14")</f>
        <v>Salmonella Ohio var. 14</v>
      </c>
      <c r="B7127" t="str">
        <f ca="1">IFERROR(__xludf.DUMMYFUNCTION("""COMPUTED_VALUE"""),"RF-00000914-MCG")</f>
        <v>RF-00000914-MCG</v>
      </c>
    </row>
    <row r="7128" spans="1:2" ht="12.5" x14ac:dyDescent="0.25">
      <c r="A7128" t="str">
        <f ca="1">IFERROR(__xludf.DUMMYFUNCTION("""COMPUTED_VALUE"""),"Salmonella Ohlstedt")</f>
        <v>Salmonella Ohlstedt</v>
      </c>
      <c r="B7128" t="str">
        <f ca="1">IFERROR(__xludf.DUMMYFUNCTION("""COMPUTED_VALUE"""),"RF-00000913-MCG")</f>
        <v>RF-00000913-MCG</v>
      </c>
    </row>
    <row r="7129" spans="1:2" ht="12.5" x14ac:dyDescent="0.25">
      <c r="A7129" t="str">
        <f ca="1">IFERROR(__xludf.DUMMYFUNCTION("""COMPUTED_VALUE"""),"Salmonella Okatie")</f>
        <v>Salmonella Okatie</v>
      </c>
      <c r="B7129" t="str">
        <f ca="1">IFERROR(__xludf.DUMMYFUNCTION("""COMPUTED_VALUE"""),"RF-00000912-MCG")</f>
        <v>RF-00000912-MCG</v>
      </c>
    </row>
    <row r="7130" spans="1:2" ht="12.5" x14ac:dyDescent="0.25">
      <c r="A7130" t="str">
        <f ca="1">IFERROR(__xludf.DUMMYFUNCTION("""COMPUTED_VALUE"""),"Salmonella Okefoko")</f>
        <v>Salmonella Okefoko</v>
      </c>
      <c r="B7130" t="str">
        <f ca="1">IFERROR(__xludf.DUMMYFUNCTION("""COMPUTED_VALUE"""),"RF-00000911-MCG")</f>
        <v>RF-00000911-MCG</v>
      </c>
    </row>
    <row r="7131" spans="1:2" ht="12.5" x14ac:dyDescent="0.25">
      <c r="A7131" t="str">
        <f ca="1">IFERROR(__xludf.DUMMYFUNCTION("""COMPUTED_VALUE"""),"Salmonella Okerara")</f>
        <v>Salmonella Okerara</v>
      </c>
      <c r="B7131" t="str">
        <f ca="1">IFERROR(__xludf.DUMMYFUNCTION("""COMPUTED_VALUE"""),"RF-00000910-MCG")</f>
        <v>RF-00000910-MCG</v>
      </c>
    </row>
    <row r="7132" spans="1:2" ht="12.5" x14ac:dyDescent="0.25">
      <c r="A7132" t="str">
        <f ca="1">IFERROR(__xludf.DUMMYFUNCTION("""COMPUTED_VALUE"""),"Salmonella Oldenburg")</f>
        <v>Salmonella Oldenburg</v>
      </c>
      <c r="B7132" t="str">
        <f ca="1">IFERROR(__xludf.DUMMYFUNCTION("""COMPUTED_VALUE"""),"RF-00000909-MCG")</f>
        <v>RF-00000909-MCG</v>
      </c>
    </row>
    <row r="7133" spans="1:2" ht="12.5" x14ac:dyDescent="0.25">
      <c r="A7133" t="str">
        <f ca="1">IFERROR(__xludf.DUMMYFUNCTION("""COMPUTED_VALUE"""),"Salmonella Olten")</f>
        <v>Salmonella Olten</v>
      </c>
      <c r="B7133" t="str">
        <f ca="1">IFERROR(__xludf.DUMMYFUNCTION("""COMPUTED_VALUE"""),"RF-00000908-MCG")</f>
        <v>RF-00000908-MCG</v>
      </c>
    </row>
    <row r="7134" spans="1:2" ht="12.5" x14ac:dyDescent="0.25">
      <c r="A7134" t="str">
        <f ca="1">IFERROR(__xludf.DUMMYFUNCTION("""COMPUTED_VALUE"""),"Salmonella Omifisan")</f>
        <v>Salmonella Omifisan</v>
      </c>
      <c r="B7134" t="str">
        <f ca="1">IFERROR(__xludf.DUMMYFUNCTION("""COMPUTED_VALUE"""),"RF-00000907-MCG")</f>
        <v>RF-00000907-MCG</v>
      </c>
    </row>
    <row r="7135" spans="1:2" ht="12.5" x14ac:dyDescent="0.25">
      <c r="A7135" t="str">
        <f ca="1">IFERROR(__xludf.DUMMYFUNCTION("""COMPUTED_VALUE"""),"Salmonella Omuna")</f>
        <v>Salmonella Omuna</v>
      </c>
      <c r="B7135" t="str">
        <f ca="1">IFERROR(__xludf.DUMMYFUNCTION("""COMPUTED_VALUE"""),"RF-00000658-MCG")</f>
        <v>RF-00000658-MCG</v>
      </c>
    </row>
    <row r="7136" spans="1:2" ht="12.5" x14ac:dyDescent="0.25">
      <c r="A7136" t="str">
        <f ca="1">IFERROR(__xludf.DUMMYFUNCTION("""COMPUTED_VALUE"""),"Salmonella Ona")</f>
        <v>Salmonella Ona</v>
      </c>
      <c r="B7136" t="str">
        <f ca="1">IFERROR(__xludf.DUMMYFUNCTION("""COMPUTED_VALUE"""),"RF-00000671-MCG")</f>
        <v>RF-00000671-MCG</v>
      </c>
    </row>
    <row r="7137" spans="1:2" ht="12.5" x14ac:dyDescent="0.25">
      <c r="A7137" t="str">
        <f ca="1">IFERROR(__xludf.DUMMYFUNCTION("""COMPUTED_VALUE"""),"Salmonella Onarimon")</f>
        <v>Salmonella Onarimon</v>
      </c>
      <c r="B7137" t="str">
        <f ca="1">IFERROR(__xludf.DUMMYFUNCTION("""COMPUTED_VALUE"""),"RF-00000656-MCG")</f>
        <v>RF-00000656-MCG</v>
      </c>
    </row>
    <row r="7138" spans="1:2" ht="12.5" x14ac:dyDescent="0.25">
      <c r="A7138" t="str">
        <f ca="1">IFERROR(__xludf.DUMMYFUNCTION("""COMPUTED_VALUE"""),"Salmonella Onderstepoort")</f>
        <v>Salmonella Onderstepoort</v>
      </c>
      <c r="B7138" t="str">
        <f ca="1">IFERROR(__xludf.DUMMYFUNCTION("""COMPUTED_VALUE"""),"RF-00000655-MCG")</f>
        <v>RF-00000655-MCG</v>
      </c>
    </row>
    <row r="7139" spans="1:2" ht="12.5" x14ac:dyDescent="0.25">
      <c r="A7139" t="str">
        <f ca="1">IFERROR(__xludf.DUMMYFUNCTION("""COMPUTED_VALUE"""),"Salmonella Onireke")</f>
        <v>Salmonella Onireke</v>
      </c>
      <c r="B7139" t="str">
        <f ca="1">IFERROR(__xludf.DUMMYFUNCTION("""COMPUTED_VALUE"""),"RF-00000654-MCG")</f>
        <v>RF-00000654-MCG</v>
      </c>
    </row>
    <row r="7140" spans="1:2" ht="12.5" x14ac:dyDescent="0.25">
      <c r="A7140" t="str">
        <f ca="1">IFERROR(__xludf.DUMMYFUNCTION("""COMPUTED_VALUE"""),"Salmonella Ontario")</f>
        <v>Salmonella Ontario</v>
      </c>
      <c r="B7140" t="str">
        <f ca="1">IFERROR(__xludf.DUMMYFUNCTION("""COMPUTED_VALUE"""),"RF-00000653-MCG")</f>
        <v>RF-00000653-MCG</v>
      </c>
    </row>
    <row r="7141" spans="1:2" ht="12.5" x14ac:dyDescent="0.25">
      <c r="A7141" t="str">
        <f ca="1">IFERROR(__xludf.DUMMYFUNCTION("""COMPUTED_VALUE"""),"Salmonella Oran")</f>
        <v>Salmonella Oran</v>
      </c>
      <c r="B7141" t="str">
        <f ca="1">IFERROR(__xludf.DUMMYFUNCTION("""COMPUTED_VALUE"""),"RF-00000652-MCG")</f>
        <v>RF-00000652-MCG</v>
      </c>
    </row>
    <row r="7142" spans="1:2" ht="12.5" x14ac:dyDescent="0.25">
      <c r="A7142" t="str">
        <f ca="1">IFERROR(__xludf.DUMMYFUNCTION("""COMPUTED_VALUE"""),"Salmonella Oranienburg")</f>
        <v>Salmonella Oranienburg</v>
      </c>
      <c r="B7142" t="str">
        <f ca="1">IFERROR(__xludf.DUMMYFUNCTION("""COMPUTED_VALUE"""),"RF-00000651-MCG")</f>
        <v>RF-00000651-MCG</v>
      </c>
    </row>
    <row r="7143" spans="1:2" ht="12.5" x14ac:dyDescent="0.25">
      <c r="A7143" t="str">
        <f ca="1">IFERROR(__xludf.DUMMYFUNCTION("""COMPUTED_VALUE"""),"Salmonella Oranienburg var. 14")</f>
        <v>Salmonella Oranienburg var. 14</v>
      </c>
      <c r="B7143" t="str">
        <f ca="1">IFERROR(__xludf.DUMMYFUNCTION("""COMPUTED_VALUE"""),"RF-00000650-MCG")</f>
        <v>RF-00000650-MCG</v>
      </c>
    </row>
    <row r="7144" spans="1:2" ht="12.5" x14ac:dyDescent="0.25">
      <c r="A7144" t="str">
        <f ca="1">IFERROR(__xludf.DUMMYFUNCTION("""COMPUTED_VALUE"""),"Salmonella Orbe")</f>
        <v>Salmonella Orbe</v>
      </c>
      <c r="B7144" t="str">
        <f ca="1">IFERROR(__xludf.DUMMYFUNCTION("""COMPUTED_VALUE"""),"RF-00000649-MCG")</f>
        <v>RF-00000649-MCG</v>
      </c>
    </row>
    <row r="7145" spans="1:2" ht="12.5" x14ac:dyDescent="0.25">
      <c r="A7145" t="str">
        <f ca="1">IFERROR(__xludf.DUMMYFUNCTION("""COMPUTED_VALUE"""),"Salmonella Ord")</f>
        <v>Salmonella Ord</v>
      </c>
      <c r="B7145" t="str">
        <f ca="1">IFERROR(__xludf.DUMMYFUNCTION("""COMPUTED_VALUE"""),"RF-00000648-MCG")</f>
        <v>RF-00000648-MCG</v>
      </c>
    </row>
    <row r="7146" spans="1:2" ht="12.5" x14ac:dyDescent="0.25">
      <c r="A7146" t="str">
        <f ca="1">IFERROR(__xludf.DUMMYFUNCTION("""COMPUTED_VALUE"""),"Salmonella Ordonez")</f>
        <v>Salmonella Ordonez</v>
      </c>
      <c r="B7146" t="str">
        <f ca="1">IFERROR(__xludf.DUMMYFUNCTION("""COMPUTED_VALUE"""),"RF-00000647-MCG")</f>
        <v>RF-00000647-MCG</v>
      </c>
    </row>
    <row r="7147" spans="1:2" ht="12.5" x14ac:dyDescent="0.25">
      <c r="A7147" t="str">
        <f ca="1">IFERROR(__xludf.DUMMYFUNCTION("""COMPUTED_VALUE"""),"Salmonella Orientalis")</f>
        <v>Salmonella Orientalis</v>
      </c>
      <c r="B7147" t="str">
        <f ca="1">IFERROR(__xludf.DUMMYFUNCTION("""COMPUTED_VALUE"""),"RF-00000684-MCG")</f>
        <v>RF-00000684-MCG</v>
      </c>
    </row>
    <row r="7148" spans="1:2" ht="12.5" x14ac:dyDescent="0.25">
      <c r="A7148" t="str">
        <f ca="1">IFERROR(__xludf.DUMMYFUNCTION("""COMPUTED_VALUE"""),"Salmonella Orion")</f>
        <v>Salmonella Orion</v>
      </c>
      <c r="B7148" t="str">
        <f ca="1">IFERROR(__xludf.DUMMYFUNCTION("""COMPUTED_VALUE"""),"RF-00000657-MCG")</f>
        <v>RF-00000657-MCG</v>
      </c>
    </row>
    <row r="7149" spans="1:2" ht="12.5" x14ac:dyDescent="0.25">
      <c r="A7149" t="str">
        <f ca="1">IFERROR(__xludf.DUMMYFUNCTION("""COMPUTED_VALUE"""),"Salmonella Orion var. 15")</f>
        <v>Salmonella Orion var. 15</v>
      </c>
      <c r="B7149" t="str">
        <f ca="1">IFERROR(__xludf.DUMMYFUNCTION("""COMPUTED_VALUE"""),"RF-00000659-MCG")</f>
        <v>RF-00000659-MCG</v>
      </c>
    </row>
    <row r="7150" spans="1:2" ht="12.5" x14ac:dyDescent="0.25">
      <c r="A7150" t="str">
        <f ca="1">IFERROR(__xludf.DUMMYFUNCTION("""COMPUTED_VALUE"""),"Salmonella Orion var. 15,34")</f>
        <v>Salmonella Orion var. 15,34</v>
      </c>
      <c r="B7150" t="str">
        <f ca="1">IFERROR(__xludf.DUMMYFUNCTION("""COMPUTED_VALUE"""),"RF-00000697-MCG")</f>
        <v>RF-00000697-MCG</v>
      </c>
    </row>
    <row r="7151" spans="1:2" ht="12.5" x14ac:dyDescent="0.25">
      <c r="A7151" t="str">
        <f ca="1">IFERROR(__xludf.DUMMYFUNCTION("""COMPUTED_VALUE"""),"Salmonella Oritamerin")</f>
        <v>Salmonella Oritamerin</v>
      </c>
      <c r="B7151" t="str">
        <f ca="1">IFERROR(__xludf.DUMMYFUNCTION("""COMPUTED_VALUE"""),"RF-00000696-MCG")</f>
        <v>RF-00000696-MCG</v>
      </c>
    </row>
    <row r="7152" spans="1:2" ht="12.5" x14ac:dyDescent="0.25">
      <c r="A7152" t="str">
        <f ca="1">IFERROR(__xludf.DUMMYFUNCTION("""COMPUTED_VALUE"""),"Salmonella Orlando")</f>
        <v>Salmonella Orlando</v>
      </c>
      <c r="B7152" t="str">
        <f ca="1">IFERROR(__xludf.DUMMYFUNCTION("""COMPUTED_VALUE"""),"RF-00000695-MCG")</f>
        <v>RF-00000695-MCG</v>
      </c>
    </row>
    <row r="7153" spans="1:2" ht="12.5" x14ac:dyDescent="0.25">
      <c r="A7153" t="str">
        <f ca="1">IFERROR(__xludf.DUMMYFUNCTION("""COMPUTED_VALUE"""),"Salmonella Orleans")</f>
        <v>Salmonella Orleans</v>
      </c>
      <c r="B7153" t="str">
        <f ca="1">IFERROR(__xludf.DUMMYFUNCTION("""COMPUTED_VALUE"""),"RF-00000694-MCG")</f>
        <v>RF-00000694-MCG</v>
      </c>
    </row>
    <row r="7154" spans="1:2" ht="12.5" x14ac:dyDescent="0.25">
      <c r="A7154" t="str">
        <f ca="1">IFERROR(__xludf.DUMMYFUNCTION("""COMPUTED_VALUE"""),"Salmonella Os")</f>
        <v>Salmonella Os</v>
      </c>
      <c r="B7154" t="str">
        <f ca="1">IFERROR(__xludf.DUMMYFUNCTION("""COMPUTED_VALUE"""),"RF-00000693-MCG")</f>
        <v>RF-00000693-MCG</v>
      </c>
    </row>
    <row r="7155" spans="1:2" ht="12.5" x14ac:dyDescent="0.25">
      <c r="A7155" t="str">
        <f ca="1">IFERROR(__xludf.DUMMYFUNCTION("""COMPUTED_VALUE"""),"Salmonella Oskarshamn")</f>
        <v>Salmonella Oskarshamn</v>
      </c>
      <c r="B7155" t="str">
        <f ca="1">IFERROR(__xludf.DUMMYFUNCTION("""COMPUTED_VALUE"""),"RF-00000692-MCG")</f>
        <v>RF-00000692-MCG</v>
      </c>
    </row>
    <row r="7156" spans="1:2" ht="12.5" x14ac:dyDescent="0.25">
      <c r="A7156" t="str">
        <f ca="1">IFERROR(__xludf.DUMMYFUNCTION("""COMPUTED_VALUE"""),"Salmonella Oslo")</f>
        <v>Salmonella Oslo</v>
      </c>
      <c r="B7156" t="str">
        <f ca="1">IFERROR(__xludf.DUMMYFUNCTION("""COMPUTED_VALUE"""),"RF-00000691-MCG")</f>
        <v>RF-00000691-MCG</v>
      </c>
    </row>
    <row r="7157" spans="1:2" ht="12.5" x14ac:dyDescent="0.25">
      <c r="A7157" t="str">
        <f ca="1">IFERROR(__xludf.DUMMYFUNCTION("""COMPUTED_VALUE"""),"Salmonella Osnabrueck")</f>
        <v>Salmonella Osnabrueck</v>
      </c>
      <c r="B7157" t="str">
        <f ca="1">IFERROR(__xludf.DUMMYFUNCTION("""COMPUTED_VALUE"""),"RF-00000690-MCG")</f>
        <v>RF-00000690-MCG</v>
      </c>
    </row>
    <row r="7158" spans="1:2" ht="12.5" x14ac:dyDescent="0.25">
      <c r="A7158" t="str">
        <f ca="1">IFERROR(__xludf.DUMMYFUNCTION("""COMPUTED_VALUE"""),"Salmonella Othmarschen")</f>
        <v>Salmonella Othmarschen</v>
      </c>
      <c r="B7158" t="str">
        <f ca="1">IFERROR(__xludf.DUMMYFUNCTION("""COMPUTED_VALUE"""),"RF-00000689-MCG")</f>
        <v>RF-00000689-MCG</v>
      </c>
    </row>
    <row r="7159" spans="1:2" ht="12.5" x14ac:dyDescent="0.25">
      <c r="A7159" t="str">
        <f ca="1">IFERROR(__xludf.DUMMYFUNCTION("""COMPUTED_VALUE"""),"Salmonella Ottawa")</f>
        <v>Salmonella Ottawa</v>
      </c>
      <c r="B7159" t="str">
        <f ca="1">IFERROR(__xludf.DUMMYFUNCTION("""COMPUTED_VALUE"""),"RF-00000688-MCG")</f>
        <v>RF-00000688-MCG</v>
      </c>
    </row>
    <row r="7160" spans="1:2" ht="12.5" x14ac:dyDescent="0.25">
      <c r="A7160" t="str">
        <f ca="1">IFERROR(__xludf.DUMMYFUNCTION("""COMPUTED_VALUE"""),"Salmonella Ouakam")</f>
        <v>Salmonella Ouakam</v>
      </c>
      <c r="B7160" t="str">
        <f ca="1">IFERROR(__xludf.DUMMYFUNCTION("""COMPUTED_VALUE"""),"RF-00000687-MCG")</f>
        <v>RF-00000687-MCG</v>
      </c>
    </row>
    <row r="7161" spans="1:2" ht="12.5" x14ac:dyDescent="0.25">
      <c r="A7161" t="str">
        <f ca="1">IFERROR(__xludf.DUMMYFUNCTION("""COMPUTED_VALUE"""),"Salmonella Oudwijk")</f>
        <v>Salmonella Oudwijk</v>
      </c>
      <c r="B7161" t="str">
        <f ca="1">IFERROR(__xludf.DUMMYFUNCTION("""COMPUTED_VALUE"""),"RF-00000672-MCG")</f>
        <v>RF-00000672-MCG</v>
      </c>
    </row>
    <row r="7162" spans="1:2" ht="12.5" x14ac:dyDescent="0.25">
      <c r="A7162" t="str">
        <f ca="1">IFERROR(__xludf.DUMMYFUNCTION("""COMPUTED_VALUE"""),"Salmonella Overchurch")</f>
        <v>Salmonella Overchurch</v>
      </c>
      <c r="B7162" t="str">
        <f ca="1">IFERROR(__xludf.DUMMYFUNCTION("""COMPUTED_VALUE"""),"RF-00000685-MCG")</f>
        <v>RF-00000685-MCG</v>
      </c>
    </row>
    <row r="7163" spans="1:2" ht="12.5" x14ac:dyDescent="0.25">
      <c r="A7163" t="str">
        <f ca="1">IFERROR(__xludf.DUMMYFUNCTION("""COMPUTED_VALUE"""),"Salmonella Overschie")</f>
        <v>Salmonella Overschie</v>
      </c>
      <c r="B7163" t="str">
        <f ca="1">IFERROR(__xludf.DUMMYFUNCTION("""COMPUTED_VALUE"""),"RF-00000698-MCG")</f>
        <v>RF-00000698-MCG</v>
      </c>
    </row>
    <row r="7164" spans="1:2" ht="12.5" x14ac:dyDescent="0.25">
      <c r="A7164" t="str">
        <f ca="1">IFERROR(__xludf.DUMMYFUNCTION("""COMPUTED_VALUE"""),"Salmonella Overvecht")</f>
        <v>Salmonella Overvecht</v>
      </c>
      <c r="B7164" t="str">
        <f ca="1">IFERROR(__xludf.DUMMYFUNCTION("""COMPUTED_VALUE"""),"RF-00000683-MCG")</f>
        <v>RF-00000683-MCG</v>
      </c>
    </row>
    <row r="7165" spans="1:2" ht="12.5" x14ac:dyDescent="0.25">
      <c r="A7165" t="str">
        <f ca="1">IFERROR(__xludf.DUMMYFUNCTION("""COMPUTED_VALUE"""),"Salmonella Oxford")</f>
        <v>Salmonella Oxford</v>
      </c>
      <c r="B7165" t="str">
        <f ca="1">IFERROR(__xludf.DUMMYFUNCTION("""COMPUTED_VALUE"""),"RF-00000682-MCG")</f>
        <v>RF-00000682-MCG</v>
      </c>
    </row>
    <row r="7166" spans="1:2" ht="12.5" x14ac:dyDescent="0.25">
      <c r="A7166" t="str">
        <f ca="1">IFERROR(__xludf.DUMMYFUNCTION("""COMPUTED_VALUE"""),"Salmonella Oxford var. 15,34")</f>
        <v>Salmonella Oxford var. 15,34</v>
      </c>
      <c r="B7166" t="str">
        <f ca="1">IFERROR(__xludf.DUMMYFUNCTION("""COMPUTED_VALUE"""),"RF-00000681-MCG")</f>
        <v>RF-00000681-MCG</v>
      </c>
    </row>
    <row r="7167" spans="1:2" ht="12.5" x14ac:dyDescent="0.25">
      <c r="A7167" t="str">
        <f ca="1">IFERROR(__xludf.DUMMYFUNCTION("""COMPUTED_VALUE"""),"Salmonella Oyonnax")</f>
        <v>Salmonella Oyonnax</v>
      </c>
      <c r="B7167" t="str">
        <f ca="1">IFERROR(__xludf.DUMMYFUNCTION("""COMPUTED_VALUE"""),"RF-00000680-MCG")</f>
        <v>RF-00000680-MCG</v>
      </c>
    </row>
    <row r="7168" spans="1:2" ht="12.5" x14ac:dyDescent="0.25">
      <c r="A7168" t="str">
        <f ca="1">IFERROR(__xludf.DUMMYFUNCTION("""COMPUTED_VALUE"""),"Salmonella Pakistan")</f>
        <v>Salmonella Pakistan</v>
      </c>
      <c r="B7168" t="str">
        <f ca="1">IFERROR(__xludf.DUMMYFUNCTION("""COMPUTED_VALUE"""),"RF-00000679-MCG")</f>
        <v>RF-00000679-MCG</v>
      </c>
    </row>
    <row r="7169" spans="1:2" ht="12.5" x14ac:dyDescent="0.25">
      <c r="A7169" t="str">
        <f ca="1">IFERROR(__xludf.DUMMYFUNCTION("""COMPUTED_VALUE"""),"Salmonella Palamaner")</f>
        <v>Salmonella Palamaner</v>
      </c>
      <c r="B7169" t="str">
        <f ca="1">IFERROR(__xludf.DUMMYFUNCTION("""COMPUTED_VALUE"""),"RF-00000678-MCG")</f>
        <v>RF-00000678-MCG</v>
      </c>
    </row>
    <row r="7170" spans="1:2" ht="12.5" x14ac:dyDescent="0.25">
      <c r="A7170" t="str">
        <f ca="1">IFERROR(__xludf.DUMMYFUNCTION("""COMPUTED_VALUE"""),"Salmonella Palime")</f>
        <v>Salmonella Palime</v>
      </c>
      <c r="B7170" t="str">
        <f ca="1">IFERROR(__xludf.DUMMYFUNCTION("""COMPUTED_VALUE"""),"RF-00000677-MCG")</f>
        <v>RF-00000677-MCG</v>
      </c>
    </row>
    <row r="7171" spans="1:2" ht="12.5" x14ac:dyDescent="0.25">
      <c r="A7171" t="str">
        <f ca="1">IFERROR(__xludf.DUMMYFUNCTION("""COMPUTED_VALUE"""),"Salmonella Panama")</f>
        <v>Salmonella Panama</v>
      </c>
      <c r="B7171" t="str">
        <f ca="1">IFERROR(__xludf.DUMMYFUNCTION("""COMPUTED_VALUE"""),"RF-00000676-MCG")</f>
        <v>RF-00000676-MCG</v>
      </c>
    </row>
    <row r="7172" spans="1:2" ht="12.5" x14ac:dyDescent="0.25">
      <c r="A7172" t="str">
        <f ca="1">IFERROR(__xludf.DUMMYFUNCTION("""COMPUTED_VALUE"""),"Salmonella Papuana")</f>
        <v>Salmonella Papuana</v>
      </c>
      <c r="B7172" t="str">
        <f ca="1">IFERROR(__xludf.DUMMYFUNCTION("""COMPUTED_VALUE"""),"RF-00000675-MCG")</f>
        <v>RF-00000675-MCG</v>
      </c>
    </row>
    <row r="7173" spans="1:2" ht="12.5" x14ac:dyDescent="0.25">
      <c r="A7173" t="str">
        <f ca="1">IFERROR(__xludf.DUMMYFUNCTION("""COMPUTED_VALUE"""),"Salmonella Paratyphi")</f>
        <v>Salmonella Paratyphi</v>
      </c>
      <c r="B7173" t="str">
        <f ca="1">IFERROR(__xludf.DUMMYFUNCTION("""COMPUTED_VALUE"""),"RF-00000674-MCG")</f>
        <v>RF-00000674-MCG</v>
      </c>
    </row>
    <row r="7174" spans="1:2" ht="12.5" x14ac:dyDescent="0.25">
      <c r="A7174" t="str">
        <f ca="1">IFERROR(__xludf.DUMMYFUNCTION("""COMPUTED_VALUE"""),"Salmonella Paratyphi A")</f>
        <v>Salmonella Paratyphi A</v>
      </c>
      <c r="B7174" t="str">
        <f ca="1">IFERROR(__xludf.DUMMYFUNCTION("""COMPUTED_VALUE"""),"RF-00000673-MCG")</f>
        <v>RF-00000673-MCG</v>
      </c>
    </row>
    <row r="7175" spans="1:2" ht="12.5" x14ac:dyDescent="0.25">
      <c r="A7175" t="str">
        <f ca="1">IFERROR(__xludf.DUMMYFUNCTION("""COMPUTED_VALUE"""),"Salmonella Paratyphi B")</f>
        <v>Salmonella Paratyphi B</v>
      </c>
      <c r="B7175" t="str">
        <f ca="1">IFERROR(__xludf.DUMMYFUNCTION("""COMPUTED_VALUE"""),"RF-00000996-MCG")</f>
        <v>RF-00000996-MCG</v>
      </c>
    </row>
    <row r="7176" spans="1:2" ht="12.5" x14ac:dyDescent="0.25">
      <c r="A7176" t="str">
        <f ca="1">IFERROR(__xludf.DUMMYFUNCTION("""COMPUTED_VALUE"""),"Salmonella Paratyphi C")</f>
        <v>Salmonella Paratyphi C</v>
      </c>
      <c r="B7176" t="str">
        <f ca="1">IFERROR(__xludf.DUMMYFUNCTION("""COMPUTED_VALUE"""),"RF-00000941-MCG")</f>
        <v>RF-00000941-MCG</v>
      </c>
    </row>
    <row r="7177" spans="1:2" ht="12.5" x14ac:dyDescent="0.25">
      <c r="A7177" t="str">
        <f ca="1">IFERROR(__xludf.DUMMYFUNCTION("""COMPUTED_VALUE"""),"Salmonella Paris")</f>
        <v>Salmonella Paris</v>
      </c>
      <c r="B7177" t="str">
        <f ca="1">IFERROR(__xludf.DUMMYFUNCTION("""COMPUTED_VALUE"""),"RF-00001266-MCG")</f>
        <v>RF-00001266-MCG</v>
      </c>
    </row>
    <row r="7178" spans="1:2" ht="12.5" x14ac:dyDescent="0.25">
      <c r="A7178" t="str">
        <f ca="1">IFERROR(__xludf.DUMMYFUNCTION("""COMPUTED_VALUE"""),"Salmonella Parkroyal")</f>
        <v>Salmonella Parkroyal</v>
      </c>
      <c r="B7178" t="str">
        <f ca="1">IFERROR(__xludf.DUMMYFUNCTION("""COMPUTED_VALUE"""),"RF-00001265-MCG")</f>
        <v>RF-00001265-MCG</v>
      </c>
    </row>
    <row r="7179" spans="1:2" ht="12.5" x14ac:dyDescent="0.25">
      <c r="A7179" t="str">
        <f ca="1">IFERROR(__xludf.DUMMYFUNCTION("""COMPUTED_VALUE"""),"Salmonella Pasing")</f>
        <v>Salmonella Pasing</v>
      </c>
      <c r="B7179" t="str">
        <f ca="1">IFERROR(__xludf.DUMMYFUNCTION("""COMPUTED_VALUE"""),"RF-00001264-MCG")</f>
        <v>RF-00001264-MCG</v>
      </c>
    </row>
    <row r="7180" spans="1:2" ht="12.5" x14ac:dyDescent="0.25">
      <c r="A7180" t="str">
        <f ca="1">IFERROR(__xludf.DUMMYFUNCTION("""COMPUTED_VALUE"""),"Salmonella Patience")</f>
        <v>Salmonella Patience</v>
      </c>
      <c r="B7180" t="str">
        <f ca="1">IFERROR(__xludf.DUMMYFUNCTION("""COMPUTED_VALUE"""),"RF-00001263-MCG")</f>
        <v>RF-00001263-MCG</v>
      </c>
    </row>
    <row r="7181" spans="1:2" ht="12.5" x14ac:dyDescent="0.25">
      <c r="A7181" t="str">
        <f ca="1">IFERROR(__xludf.DUMMYFUNCTION("""COMPUTED_VALUE"""),"Salmonella Penarth")</f>
        <v>Salmonella Penarth</v>
      </c>
      <c r="B7181" t="str">
        <f ca="1">IFERROR(__xludf.DUMMYFUNCTION("""COMPUTED_VALUE"""),"RF-00001262-MCG")</f>
        <v>RF-00001262-MCG</v>
      </c>
    </row>
    <row r="7182" spans="1:2" ht="12.5" x14ac:dyDescent="0.25">
      <c r="A7182" t="str">
        <f ca="1">IFERROR(__xludf.DUMMYFUNCTION("""COMPUTED_VALUE"""),"Salmonella Penilla")</f>
        <v>Salmonella Penilla</v>
      </c>
      <c r="B7182" t="str">
        <f ca="1">IFERROR(__xludf.DUMMYFUNCTION("""COMPUTED_VALUE"""),"RF-00001261-MCG")</f>
        <v>RF-00001261-MCG</v>
      </c>
    </row>
    <row r="7183" spans="1:2" ht="12.5" x14ac:dyDescent="0.25">
      <c r="A7183" t="str">
        <f ca="1">IFERROR(__xludf.DUMMYFUNCTION("""COMPUTED_VALUE"""),"Salmonella Pensacola")</f>
        <v>Salmonella Pensacola</v>
      </c>
      <c r="B7183" t="str">
        <f ca="1">IFERROR(__xludf.DUMMYFUNCTION("""COMPUTED_VALUE"""),"RF-00001260-MCG")</f>
        <v>RF-00001260-MCG</v>
      </c>
    </row>
    <row r="7184" spans="1:2" ht="12.5" x14ac:dyDescent="0.25">
      <c r="A7184" t="str">
        <f ca="1">IFERROR(__xludf.DUMMYFUNCTION("""COMPUTED_VALUE"""),"Salmonella Perth")</f>
        <v>Salmonella Perth</v>
      </c>
      <c r="B7184" t="str">
        <f ca="1">IFERROR(__xludf.DUMMYFUNCTION("""COMPUTED_VALUE"""),"RF-00001259-MCG")</f>
        <v>RF-00001259-MCG</v>
      </c>
    </row>
    <row r="7185" spans="1:2" ht="12.5" x14ac:dyDescent="0.25">
      <c r="A7185" t="str">
        <f ca="1">IFERROR(__xludf.DUMMYFUNCTION("""COMPUTED_VALUE"""),"Salmonella Petahtikve")</f>
        <v>Salmonella Petahtikve</v>
      </c>
      <c r="B7185" t="str">
        <f ca="1">IFERROR(__xludf.DUMMYFUNCTION("""COMPUTED_VALUE"""),"RF-00001258-MCG")</f>
        <v>RF-00001258-MCG</v>
      </c>
    </row>
    <row r="7186" spans="1:2" ht="12.5" x14ac:dyDescent="0.25">
      <c r="A7186" t="str">
        <f ca="1">IFERROR(__xludf.DUMMYFUNCTION("""COMPUTED_VALUE"""),"Salmonella Phaliron")</f>
        <v>Salmonella Phaliron</v>
      </c>
      <c r="B7186" t="str">
        <f ca="1">IFERROR(__xludf.DUMMYFUNCTION("""COMPUTED_VALUE"""),"RF-00001257-MCG")</f>
        <v>RF-00001257-MCG</v>
      </c>
    </row>
    <row r="7187" spans="1:2" ht="12.5" x14ac:dyDescent="0.25">
      <c r="A7187" t="str">
        <f ca="1">IFERROR(__xludf.DUMMYFUNCTION("""COMPUTED_VALUE"""),"Salmonella Pharr")</f>
        <v>Salmonella Pharr</v>
      </c>
      <c r="B7187" t="str">
        <f ca="1">IFERROR(__xludf.DUMMYFUNCTION("""COMPUTED_VALUE"""),"RF-00001242-MCG")</f>
        <v>RF-00001242-MCG</v>
      </c>
    </row>
    <row r="7188" spans="1:2" ht="12.5" x14ac:dyDescent="0.25">
      <c r="A7188" t="str">
        <f ca="1">IFERROR(__xludf.DUMMYFUNCTION("""COMPUTED_VALUE"""),"Salmonella Pietersburg")</f>
        <v>Salmonella Pietersburg</v>
      </c>
      <c r="B7188" t="str">
        <f ca="1">IFERROR(__xludf.DUMMYFUNCTION("""COMPUTED_VALUE"""),"RF-00001255-MCG")</f>
        <v>RF-00001255-MCG</v>
      </c>
    </row>
    <row r="7189" spans="1:2" ht="12.5" x14ac:dyDescent="0.25">
      <c r="A7189" t="str">
        <f ca="1">IFERROR(__xludf.DUMMYFUNCTION("""COMPUTED_VALUE"""),"Salmonella Pisa")</f>
        <v>Salmonella Pisa</v>
      </c>
      <c r="B7189" t="str">
        <f ca="1">IFERROR(__xludf.DUMMYFUNCTION("""COMPUTED_VALUE"""),"RF-00001268-MCG")</f>
        <v>RF-00001268-MCG</v>
      </c>
    </row>
    <row r="7190" spans="1:2" ht="12.5" x14ac:dyDescent="0.25">
      <c r="A7190" t="str">
        <f ca="1">IFERROR(__xludf.DUMMYFUNCTION("""COMPUTED_VALUE"""),"Salmonella Planckendael")</f>
        <v>Salmonella Planckendael</v>
      </c>
      <c r="B7190" t="str">
        <f ca="1">IFERROR(__xludf.DUMMYFUNCTION("""COMPUTED_VALUE"""),"RF-00001253-MCG")</f>
        <v>RF-00001253-MCG</v>
      </c>
    </row>
    <row r="7191" spans="1:2" ht="12.5" x14ac:dyDescent="0.25">
      <c r="A7191" t="str">
        <f ca="1">IFERROR(__xludf.DUMMYFUNCTION("""COMPUTED_VALUE"""),"Salmonella Ploufragan")</f>
        <v>Salmonella Ploufragan</v>
      </c>
      <c r="B7191" t="str">
        <f ca="1">IFERROR(__xludf.DUMMYFUNCTION("""COMPUTED_VALUE"""),"RF-00001252-MCG")</f>
        <v>RF-00001252-MCG</v>
      </c>
    </row>
    <row r="7192" spans="1:2" ht="12.5" x14ac:dyDescent="0.25">
      <c r="A7192" t="str">
        <f ca="1">IFERROR(__xludf.DUMMYFUNCTION("""COMPUTED_VALUE"""),"Salmonella Plymouth")</f>
        <v>Salmonella Plymouth</v>
      </c>
      <c r="B7192" t="str">
        <f ca="1">IFERROR(__xludf.DUMMYFUNCTION("""COMPUTED_VALUE"""),"RF-00001251-MCG")</f>
        <v>RF-00001251-MCG</v>
      </c>
    </row>
    <row r="7193" spans="1:2" ht="12.5" x14ac:dyDescent="0.25">
      <c r="A7193" t="str">
        <f ca="1">IFERROR(__xludf.DUMMYFUNCTION("""COMPUTED_VALUE"""),"Salmonella Poano")</f>
        <v>Salmonella Poano</v>
      </c>
      <c r="B7193" t="str">
        <f ca="1">IFERROR(__xludf.DUMMYFUNCTION("""COMPUTED_VALUE"""),"RF-00001250-MCG")</f>
        <v>RF-00001250-MCG</v>
      </c>
    </row>
    <row r="7194" spans="1:2" ht="12.5" x14ac:dyDescent="0.25">
      <c r="A7194" t="str">
        <f ca="1">IFERROR(__xludf.DUMMYFUNCTION("""COMPUTED_VALUE"""),"Salmonella Poeseldorf")</f>
        <v>Salmonella Poeseldorf</v>
      </c>
      <c r="B7194" t="str">
        <f ca="1">IFERROR(__xludf.DUMMYFUNCTION("""COMPUTED_VALUE"""),"RF-00001249-MCG")</f>
        <v>RF-00001249-MCG</v>
      </c>
    </row>
    <row r="7195" spans="1:2" ht="12.5" x14ac:dyDescent="0.25">
      <c r="A7195" t="str">
        <f ca="1">IFERROR(__xludf.DUMMYFUNCTION("""COMPUTED_VALUE"""),"Salmonella Poitiers")</f>
        <v>Salmonella Poitiers</v>
      </c>
      <c r="B7195" t="str">
        <f ca="1">IFERROR(__xludf.DUMMYFUNCTION("""COMPUTED_VALUE"""),"RF-00001248-MCG")</f>
        <v>RF-00001248-MCG</v>
      </c>
    </row>
    <row r="7196" spans="1:2" ht="12.5" x14ac:dyDescent="0.25">
      <c r="A7196" t="str">
        <f ca="1">IFERROR(__xludf.DUMMYFUNCTION("""COMPUTED_VALUE"""),"Salmonella Pomona")</f>
        <v>Salmonella Pomona</v>
      </c>
      <c r="B7196" t="str">
        <f ca="1">IFERROR(__xludf.DUMMYFUNCTION("""COMPUTED_VALUE"""),"RF-00001247-MCG")</f>
        <v>RF-00001247-MCG</v>
      </c>
    </row>
    <row r="7197" spans="1:2" ht="12.5" x14ac:dyDescent="0.25">
      <c r="A7197" t="str">
        <f ca="1">IFERROR(__xludf.DUMMYFUNCTION("""COMPUTED_VALUE"""),"Salmonella Pontypridd")</f>
        <v>Salmonella Pontypridd</v>
      </c>
      <c r="B7197" t="str">
        <f ca="1">IFERROR(__xludf.DUMMYFUNCTION("""COMPUTED_VALUE"""),"RF-00001246-MCG")</f>
        <v>RF-00001246-MCG</v>
      </c>
    </row>
    <row r="7198" spans="1:2" ht="12.5" x14ac:dyDescent="0.25">
      <c r="A7198" t="str">
        <f ca="1">IFERROR(__xludf.DUMMYFUNCTION("""COMPUTED_VALUE"""),"Salmonella Poona")</f>
        <v>Salmonella Poona</v>
      </c>
      <c r="B7198" t="str">
        <f ca="1">IFERROR(__xludf.DUMMYFUNCTION("""COMPUTED_VALUE"""),"RF-00001245-MCG")</f>
        <v>RF-00001245-MCG</v>
      </c>
    </row>
    <row r="7199" spans="1:2" ht="12.5" x14ac:dyDescent="0.25">
      <c r="A7199" t="str">
        <f ca="1">IFERROR(__xludf.DUMMYFUNCTION("""COMPUTED_VALUE"""),"Salmonella Portanigra")</f>
        <v>Salmonella Portanigra</v>
      </c>
      <c r="B7199" t="str">
        <f ca="1">IFERROR(__xludf.DUMMYFUNCTION("""COMPUTED_VALUE"""),"RF-00001244-MCG")</f>
        <v>RF-00001244-MCG</v>
      </c>
    </row>
    <row r="7200" spans="1:2" ht="12.5" x14ac:dyDescent="0.25">
      <c r="A7200" t="str">
        <f ca="1">IFERROR(__xludf.DUMMYFUNCTION("""COMPUTED_VALUE"""),"Salmonella Portland")</f>
        <v>Salmonella Portland</v>
      </c>
      <c r="B7200" t="str">
        <f ca="1">IFERROR(__xludf.DUMMYFUNCTION("""COMPUTED_VALUE"""),"RF-00001243-MCG")</f>
        <v>RF-00001243-MCG</v>
      </c>
    </row>
    <row r="7201" spans="1:2" ht="12.5" x14ac:dyDescent="0.25">
      <c r="A7201" t="str">
        <f ca="1">IFERROR(__xludf.DUMMYFUNCTION("""COMPUTED_VALUE"""),"Salmonella Potengi")</f>
        <v>Salmonella Potengi</v>
      </c>
      <c r="B7201" t="str">
        <f ca="1">IFERROR(__xludf.DUMMYFUNCTION("""COMPUTED_VALUE"""),"RF-00001281-MCG")</f>
        <v>RF-00001281-MCG</v>
      </c>
    </row>
    <row r="7202" spans="1:2" ht="12.5" x14ac:dyDescent="0.25">
      <c r="A7202" t="str">
        <f ca="1">IFERROR(__xludf.DUMMYFUNCTION("""COMPUTED_VALUE"""),"Salmonella Potosi")</f>
        <v>Salmonella Potosi</v>
      </c>
      <c r="B7202" t="str">
        <f ca="1">IFERROR(__xludf.DUMMYFUNCTION("""COMPUTED_VALUE"""),"RF-00001283-MCG")</f>
        <v>RF-00001283-MCG</v>
      </c>
    </row>
    <row r="7203" spans="1:2" ht="12.5" x14ac:dyDescent="0.25">
      <c r="A7203" t="str">
        <f ca="1">IFERROR(__xludf.DUMMYFUNCTION("""COMPUTED_VALUE"""),"Salmonella Potsdam")</f>
        <v>Salmonella Potsdam</v>
      </c>
      <c r="B7203" t="str">
        <f ca="1">IFERROR(__xludf.DUMMYFUNCTION("""COMPUTED_VALUE"""),"RF-00001256-MCG")</f>
        <v>RF-00001256-MCG</v>
      </c>
    </row>
    <row r="7204" spans="1:2" ht="12.5" x14ac:dyDescent="0.25">
      <c r="A7204" t="str">
        <f ca="1">IFERROR(__xludf.DUMMYFUNCTION("""COMPUTED_VALUE"""),"Salmonella Potto")</f>
        <v>Salmonella Potto</v>
      </c>
      <c r="B7204" t="str">
        <f ca="1">IFERROR(__xludf.DUMMYFUNCTION("""COMPUTED_VALUE"""),"RF-00001294-MCG")</f>
        <v>RF-00001294-MCG</v>
      </c>
    </row>
    <row r="7205" spans="1:2" ht="12.5" x14ac:dyDescent="0.25">
      <c r="A7205" t="str">
        <f ca="1">IFERROR(__xludf.DUMMYFUNCTION("""COMPUTED_VALUE"""),"Salmonella Powell")</f>
        <v>Salmonella Powell</v>
      </c>
      <c r="B7205" t="str">
        <f ca="1">IFERROR(__xludf.DUMMYFUNCTION("""COMPUTED_VALUE"""),"RF-00001293-MCG")</f>
        <v>RF-00001293-MCG</v>
      </c>
    </row>
    <row r="7206" spans="1:2" ht="12.5" x14ac:dyDescent="0.25">
      <c r="A7206" t="str">
        <f ca="1">IFERROR(__xludf.DUMMYFUNCTION("""COMPUTED_VALUE"""),"Salmonella Praha")</f>
        <v>Salmonella Praha</v>
      </c>
      <c r="B7206" t="str">
        <f ca="1">IFERROR(__xludf.DUMMYFUNCTION("""COMPUTED_VALUE"""),"RF-00001292-MCG")</f>
        <v>RF-00001292-MCG</v>
      </c>
    </row>
    <row r="7207" spans="1:2" ht="12.5" x14ac:dyDescent="0.25">
      <c r="A7207" t="str">
        <f ca="1">IFERROR(__xludf.DUMMYFUNCTION("""COMPUTED_VALUE"""),"Salmonella Pramiso")</f>
        <v>Salmonella Pramiso</v>
      </c>
      <c r="B7207" t="str">
        <f ca="1">IFERROR(__xludf.DUMMYFUNCTION("""COMPUTED_VALUE"""),"RF-00001291-MCG")</f>
        <v>RF-00001291-MCG</v>
      </c>
    </row>
    <row r="7208" spans="1:2" ht="12.5" x14ac:dyDescent="0.25">
      <c r="A7208" t="str">
        <f ca="1">IFERROR(__xludf.DUMMYFUNCTION("""COMPUTED_VALUE"""),"Salmonella Presov")</f>
        <v>Salmonella Presov</v>
      </c>
      <c r="B7208" t="str">
        <f ca="1">IFERROR(__xludf.DUMMYFUNCTION("""COMPUTED_VALUE"""),"RF-00001290-MCG")</f>
        <v>RF-00001290-MCG</v>
      </c>
    </row>
    <row r="7209" spans="1:2" ht="12.5" x14ac:dyDescent="0.25">
      <c r="A7209" t="str">
        <f ca="1">IFERROR(__xludf.DUMMYFUNCTION("""COMPUTED_VALUE"""),"Salmonella Preston")</f>
        <v>Salmonella Preston</v>
      </c>
      <c r="B7209" t="str">
        <f ca="1">IFERROR(__xludf.DUMMYFUNCTION("""COMPUTED_VALUE"""),"RF-00001289-MCG")</f>
        <v>RF-00001289-MCG</v>
      </c>
    </row>
    <row r="7210" spans="1:2" ht="12.5" x14ac:dyDescent="0.25">
      <c r="A7210" t="str">
        <f ca="1">IFERROR(__xludf.DUMMYFUNCTION("""COMPUTED_VALUE"""),"Salmonella Pretoria")</f>
        <v>Salmonella Pretoria</v>
      </c>
      <c r="B7210" t="str">
        <f ca="1">IFERROR(__xludf.DUMMYFUNCTION("""COMPUTED_VALUE"""),"RF-00001288-MCG")</f>
        <v>RF-00001288-MCG</v>
      </c>
    </row>
    <row r="7211" spans="1:2" ht="12.5" x14ac:dyDescent="0.25">
      <c r="A7211" t="str">
        <f ca="1">IFERROR(__xludf.DUMMYFUNCTION("""COMPUTED_VALUE"""),"Salmonella Putten")</f>
        <v>Salmonella Putten</v>
      </c>
      <c r="B7211" t="str">
        <f ca="1">IFERROR(__xludf.DUMMYFUNCTION("""COMPUTED_VALUE"""),"RF-00001287-MCG")</f>
        <v>RF-00001287-MCG</v>
      </c>
    </row>
    <row r="7212" spans="1:2" ht="12.5" x14ac:dyDescent="0.25">
      <c r="A7212" t="str">
        <f ca="1">IFERROR(__xludf.DUMMYFUNCTION("""COMPUTED_VALUE"""),"Salmonella Quebec")</f>
        <v>Salmonella Quebec</v>
      </c>
      <c r="B7212" t="str">
        <f ca="1">IFERROR(__xludf.DUMMYFUNCTION("""COMPUTED_VALUE"""),"RF-00001286-MCG")</f>
        <v>RF-00001286-MCG</v>
      </c>
    </row>
    <row r="7213" spans="1:2" ht="12.5" x14ac:dyDescent="0.25">
      <c r="A7213" t="str">
        <f ca="1">IFERROR(__xludf.DUMMYFUNCTION("""COMPUTED_VALUE"""),"Salmonella Quentin")</f>
        <v>Salmonella Quentin</v>
      </c>
      <c r="B7213" t="str">
        <f ca="1">IFERROR(__xludf.DUMMYFUNCTION("""COMPUTED_VALUE"""),"RF-00001285-MCG")</f>
        <v>RF-00001285-MCG</v>
      </c>
    </row>
    <row r="7214" spans="1:2" ht="12.5" x14ac:dyDescent="0.25">
      <c r="A7214" t="str">
        <f ca="1">IFERROR(__xludf.DUMMYFUNCTION("""COMPUTED_VALUE"""),"Salmonella Quinhon")</f>
        <v>Salmonella Quinhon</v>
      </c>
      <c r="B7214" t="str">
        <f ca="1">IFERROR(__xludf.DUMMYFUNCTION("""COMPUTED_VALUE"""),"RF-00001284-MCG")</f>
        <v>RF-00001284-MCG</v>
      </c>
    </row>
    <row r="7215" spans="1:2" ht="12.5" x14ac:dyDescent="0.25">
      <c r="A7215" t="str">
        <f ca="1">IFERROR(__xludf.DUMMYFUNCTION("""COMPUTED_VALUE"""),"Salmonella Quiniela")</f>
        <v>Salmonella Quiniela</v>
      </c>
      <c r="B7215" t="str">
        <f ca="1">IFERROR(__xludf.DUMMYFUNCTION("""COMPUTED_VALUE"""),"RF-00001269-MCG")</f>
        <v>RF-00001269-MCG</v>
      </c>
    </row>
    <row r="7216" spans="1:2" ht="12.5" x14ac:dyDescent="0.25">
      <c r="A7216" t="str">
        <f ca="1">IFERROR(__xludf.DUMMYFUNCTION("""COMPUTED_VALUE"""),"Salmonella Ramatgan")</f>
        <v>Salmonella Ramatgan</v>
      </c>
      <c r="B7216" t="str">
        <f ca="1">IFERROR(__xludf.DUMMYFUNCTION("""COMPUTED_VALUE"""),"RF-00001282-MCG")</f>
        <v>RF-00001282-MCG</v>
      </c>
    </row>
    <row r="7217" spans="1:2" ht="12.5" x14ac:dyDescent="0.25">
      <c r="A7217" t="str">
        <f ca="1">IFERROR(__xludf.DUMMYFUNCTION("""COMPUTED_VALUE"""),"Salmonella Ramsey")</f>
        <v>Salmonella Ramsey</v>
      </c>
      <c r="B7217" t="str">
        <f ca="1">IFERROR(__xludf.DUMMYFUNCTION("""COMPUTED_VALUE"""),"RF-00001296-MCG")</f>
        <v>RF-00001296-MCG</v>
      </c>
    </row>
    <row r="7218" spans="1:2" ht="12.5" x14ac:dyDescent="0.25">
      <c r="A7218" t="str">
        <f ca="1">IFERROR(__xludf.DUMMYFUNCTION("""COMPUTED_VALUE"""),"Salmonella Raus")</f>
        <v>Salmonella Raus</v>
      </c>
      <c r="B7218" t="str">
        <f ca="1">IFERROR(__xludf.DUMMYFUNCTION("""COMPUTED_VALUE"""),"RF-00001280-MCG")</f>
        <v>RF-00001280-MCG</v>
      </c>
    </row>
    <row r="7219" spans="1:2" ht="12.5" x14ac:dyDescent="0.25">
      <c r="A7219" t="str">
        <f ca="1">IFERROR(__xludf.DUMMYFUNCTION("""COMPUTED_VALUE"""),"Salmonella Rawash")</f>
        <v>Salmonella Rawash</v>
      </c>
      <c r="B7219" t="str">
        <f ca="1">IFERROR(__xludf.DUMMYFUNCTION("""COMPUTED_VALUE"""),"RF-00001279-MCG")</f>
        <v>RF-00001279-MCG</v>
      </c>
    </row>
    <row r="7220" spans="1:2" ht="12.5" x14ac:dyDescent="0.25">
      <c r="A7220" t="str">
        <f ca="1">IFERROR(__xludf.DUMMYFUNCTION("""COMPUTED_VALUE"""),"Salmonella Reading")</f>
        <v>Salmonella Reading</v>
      </c>
      <c r="B7220" t="str">
        <f ca="1">IFERROR(__xludf.DUMMYFUNCTION("""COMPUTED_VALUE"""),"RF-00001278-MCG")</f>
        <v>RF-00001278-MCG</v>
      </c>
    </row>
    <row r="7221" spans="1:2" ht="12.5" x14ac:dyDescent="0.25">
      <c r="A7221" t="str">
        <f ca="1">IFERROR(__xludf.DUMMYFUNCTION("""COMPUTED_VALUE"""),"Salmonella Rechovot")</f>
        <v>Salmonella Rechovot</v>
      </c>
      <c r="B7221" t="str">
        <f ca="1">IFERROR(__xludf.DUMMYFUNCTION("""COMPUTED_VALUE"""),"RF-00001277-MCG")</f>
        <v>RF-00001277-MCG</v>
      </c>
    </row>
    <row r="7222" spans="1:2" ht="12.5" x14ac:dyDescent="0.25">
      <c r="A7222" t="str">
        <f ca="1">IFERROR(__xludf.DUMMYFUNCTION("""COMPUTED_VALUE"""),"Salmonella Redba")</f>
        <v>Salmonella Redba</v>
      </c>
      <c r="B7222" t="str">
        <f ca="1">IFERROR(__xludf.DUMMYFUNCTION("""COMPUTED_VALUE"""),"RF-00001276-MCG")</f>
        <v>RF-00001276-MCG</v>
      </c>
    </row>
    <row r="7223" spans="1:2" ht="12.5" x14ac:dyDescent="0.25">
      <c r="A7223" t="str">
        <f ca="1">IFERROR(__xludf.DUMMYFUNCTION("""COMPUTED_VALUE"""),"Salmonella Redhill")</f>
        <v>Salmonella Redhill</v>
      </c>
      <c r="B7223" t="str">
        <f ca="1">IFERROR(__xludf.DUMMYFUNCTION("""COMPUTED_VALUE"""),"RF-00001275-MCG")</f>
        <v>RF-00001275-MCG</v>
      </c>
    </row>
    <row r="7224" spans="1:2" ht="12.5" x14ac:dyDescent="0.25">
      <c r="A7224" t="str">
        <f ca="1">IFERROR(__xludf.DUMMYFUNCTION("""COMPUTED_VALUE"""),"Salmonella Redlands")</f>
        <v>Salmonella Redlands</v>
      </c>
      <c r="B7224" t="str">
        <f ca="1">IFERROR(__xludf.DUMMYFUNCTION("""COMPUTED_VALUE"""),"RF-00001274-MCG")</f>
        <v>RF-00001274-MCG</v>
      </c>
    </row>
    <row r="7225" spans="1:2" ht="12.5" x14ac:dyDescent="0.25">
      <c r="A7225" t="str">
        <f ca="1">IFERROR(__xludf.DUMMYFUNCTION("""COMPUTED_VALUE"""),"Salmonella Regent")</f>
        <v>Salmonella Regent</v>
      </c>
      <c r="B7225" t="str">
        <f ca="1">IFERROR(__xludf.DUMMYFUNCTION("""COMPUTED_VALUE"""),"RF-00001273-MCG")</f>
        <v>RF-00001273-MCG</v>
      </c>
    </row>
    <row r="7226" spans="1:2" ht="12.5" x14ac:dyDescent="0.25">
      <c r="A7226" t="str">
        <f ca="1">IFERROR(__xludf.DUMMYFUNCTION("""COMPUTED_VALUE"""),"Salmonella Reinickendorf")</f>
        <v>Salmonella Reinickendorf</v>
      </c>
      <c r="B7226" t="str">
        <f ca="1">IFERROR(__xludf.DUMMYFUNCTION("""COMPUTED_VALUE"""),"RF-00001272-MCG")</f>
        <v>RF-00001272-MCG</v>
      </c>
    </row>
    <row r="7227" spans="1:2" ht="12.5" x14ac:dyDescent="0.25">
      <c r="A7227" t="str">
        <f ca="1">IFERROR(__xludf.DUMMYFUNCTION("""COMPUTED_VALUE"""),"Salmonella Remete")</f>
        <v>Salmonella Remete</v>
      </c>
      <c r="B7227" t="str">
        <f ca="1">IFERROR(__xludf.DUMMYFUNCTION("""COMPUTED_VALUE"""),"RF-00001271-MCG")</f>
        <v>RF-00001271-MCG</v>
      </c>
    </row>
    <row r="7228" spans="1:2" ht="12.5" x14ac:dyDescent="0.25">
      <c r="A7228" t="str">
        <f ca="1">IFERROR(__xludf.DUMMYFUNCTION("""COMPUTED_VALUE"""),"Salmonella Remiremont")</f>
        <v>Salmonella Remiremont</v>
      </c>
      <c r="B7228" t="str">
        <f ca="1">IFERROR(__xludf.DUMMYFUNCTION("""COMPUTED_VALUE"""),"RF-00001229-MCG")</f>
        <v>RF-00001229-MCG</v>
      </c>
    </row>
    <row r="7229" spans="1:2" ht="12.5" x14ac:dyDescent="0.25">
      <c r="A7229" t="str">
        <f ca="1">IFERROR(__xludf.DUMMYFUNCTION("""COMPUTED_VALUE"""),"Salmonella Remo")</f>
        <v>Salmonella Remo</v>
      </c>
      <c r="B7229" t="str">
        <f ca="1">IFERROR(__xludf.DUMMYFUNCTION("""COMPUTED_VALUE"""),"RF-00001295-MCG")</f>
        <v>RF-00001295-MCG</v>
      </c>
    </row>
    <row r="7230" spans="1:2" ht="12.5" x14ac:dyDescent="0.25">
      <c r="A7230" t="str">
        <f ca="1">IFERROR(__xludf.DUMMYFUNCTION("""COMPUTED_VALUE"""),"Salmonella Reubeuss")</f>
        <v>Salmonella Reubeuss</v>
      </c>
      <c r="B7230" t="str">
        <f ca="1">IFERROR(__xludf.DUMMYFUNCTION("""COMPUTED_VALUE"""),"RF-00001254-MCG")</f>
        <v>RF-00001254-MCG</v>
      </c>
    </row>
    <row r="7231" spans="1:2" ht="12.5" x14ac:dyDescent="0.25">
      <c r="A7231" t="str">
        <f ca="1">IFERROR(__xludf.DUMMYFUNCTION("""COMPUTED_VALUE"""),"Salmonella Rhone")</f>
        <v>Salmonella Rhone</v>
      </c>
      <c r="B7231" t="str">
        <f ca="1">IFERROR(__xludf.DUMMYFUNCTION("""COMPUTED_VALUE"""),"RF-00001213-MCG")</f>
        <v>RF-00001213-MCG</v>
      </c>
    </row>
    <row r="7232" spans="1:2" ht="12.5" x14ac:dyDescent="0.25">
      <c r="A7232" t="str">
        <f ca="1">IFERROR(__xludf.DUMMYFUNCTION("""COMPUTED_VALUE"""),"Salmonella Rhydyfelin")</f>
        <v>Salmonella Rhydyfelin</v>
      </c>
      <c r="B7232" t="str">
        <f ca="1">IFERROR(__xludf.DUMMYFUNCTION("""COMPUTED_VALUE"""),"RF-00001212-MCG")</f>
        <v>RF-00001212-MCG</v>
      </c>
    </row>
    <row r="7233" spans="1:2" ht="12.5" x14ac:dyDescent="0.25">
      <c r="A7233" t="str">
        <f ca="1">IFERROR(__xludf.DUMMYFUNCTION("""COMPUTED_VALUE"""),"Salmonella Richmond")</f>
        <v>Salmonella Richmond</v>
      </c>
      <c r="B7233" t="str">
        <f ca="1">IFERROR(__xludf.DUMMYFUNCTION("""COMPUTED_VALUE"""),"RF-00001211-MCG")</f>
        <v>RF-00001211-MCG</v>
      </c>
    </row>
    <row r="7234" spans="1:2" ht="12.5" x14ac:dyDescent="0.25">
      <c r="A7234" t="str">
        <f ca="1">IFERROR(__xludf.DUMMYFUNCTION("""COMPUTED_VALUE"""),"Salmonella Rideau")</f>
        <v>Salmonella Rideau</v>
      </c>
      <c r="B7234" t="str">
        <f ca="1">IFERROR(__xludf.DUMMYFUNCTION("""COMPUTED_VALUE"""),"RF-00001210-MCG")</f>
        <v>RF-00001210-MCG</v>
      </c>
    </row>
    <row r="7235" spans="1:2" ht="12.5" x14ac:dyDescent="0.25">
      <c r="A7235" t="str">
        <f ca="1">IFERROR(__xludf.DUMMYFUNCTION("""COMPUTED_VALUE"""),"Salmonella Ridge")</f>
        <v>Salmonella Ridge</v>
      </c>
      <c r="B7235" t="str">
        <f ca="1">IFERROR(__xludf.DUMMYFUNCTION("""COMPUTED_VALUE"""),"RF-00001209-MCG")</f>
        <v>RF-00001209-MCG</v>
      </c>
    </row>
    <row r="7236" spans="1:2" ht="12.5" x14ac:dyDescent="0.25">
      <c r="A7236" t="str">
        <f ca="1">IFERROR(__xludf.DUMMYFUNCTION("""COMPUTED_VALUE"""),"Salmonella Ried")</f>
        <v>Salmonella Ried</v>
      </c>
      <c r="B7236" t="str">
        <f ca="1">IFERROR(__xludf.DUMMYFUNCTION("""COMPUTED_VALUE"""),"RF-00001208-MCG")</f>
        <v>RF-00001208-MCG</v>
      </c>
    </row>
    <row r="7237" spans="1:2" ht="12.5" x14ac:dyDescent="0.25">
      <c r="A7237" t="str">
        <f ca="1">IFERROR(__xludf.DUMMYFUNCTION("""COMPUTED_VALUE"""),"Salmonella Riggil")</f>
        <v>Salmonella Riggil</v>
      </c>
      <c r="B7237" t="str">
        <f ca="1">IFERROR(__xludf.DUMMYFUNCTION("""COMPUTED_VALUE"""),"RF-00001207-MCG")</f>
        <v>RF-00001207-MCG</v>
      </c>
    </row>
    <row r="7238" spans="1:2" ht="12.5" x14ac:dyDescent="0.25">
      <c r="A7238" t="str">
        <f ca="1">IFERROR(__xludf.DUMMYFUNCTION("""COMPUTED_VALUE"""),"Salmonella Riogrande")</f>
        <v>Salmonella Riogrande</v>
      </c>
      <c r="B7238" t="str">
        <f ca="1">IFERROR(__xludf.DUMMYFUNCTION("""COMPUTED_VALUE"""),"RF-00001206-MCG")</f>
        <v>RF-00001206-MCG</v>
      </c>
    </row>
    <row r="7239" spans="1:2" ht="12.5" x14ac:dyDescent="0.25">
      <c r="A7239" t="str">
        <f ca="1">IFERROR(__xludf.DUMMYFUNCTION("""COMPUTED_VALUE"""),"Salmonella Rissen")</f>
        <v>Salmonella Rissen</v>
      </c>
      <c r="B7239" t="str">
        <f ca="1">IFERROR(__xludf.DUMMYFUNCTION("""COMPUTED_VALUE"""),"RF-00001205-MCG")</f>
        <v>RF-00001205-MCG</v>
      </c>
    </row>
    <row r="7240" spans="1:2" ht="12.5" x14ac:dyDescent="0.25">
      <c r="A7240" t="str">
        <f ca="1">IFERROR(__xludf.DUMMYFUNCTION("""COMPUTED_VALUE"""),"Salmonella Rissen var. 14")</f>
        <v>Salmonella Rissen var. 14</v>
      </c>
      <c r="B7240" t="str">
        <f ca="1">IFERROR(__xludf.DUMMYFUNCTION("""COMPUTED_VALUE"""),"RF-00001204-MCG")</f>
        <v>RF-00001204-MCG</v>
      </c>
    </row>
    <row r="7241" spans="1:2" ht="12.5" x14ac:dyDescent="0.25">
      <c r="A7241" t="str">
        <f ca="1">IFERROR(__xludf.DUMMYFUNCTION("""COMPUTED_VALUE"""),"Salmonella Rittersbach")</f>
        <v>Salmonella Rittersbach</v>
      </c>
      <c r="B7241" t="str">
        <f ca="1">IFERROR(__xludf.DUMMYFUNCTION("""COMPUTED_VALUE"""),"RF-00001203-MCG")</f>
        <v>RF-00001203-MCG</v>
      </c>
    </row>
    <row r="7242" spans="1:2" ht="12.5" x14ac:dyDescent="0.25">
      <c r="A7242" t="str">
        <f ca="1">IFERROR(__xludf.DUMMYFUNCTION("""COMPUTED_VALUE"""),"Salmonella Riverside")</f>
        <v>Salmonella Riverside</v>
      </c>
      <c r="B7242" t="str">
        <f ca="1">IFERROR(__xludf.DUMMYFUNCTION("""COMPUTED_VALUE"""),"RF-00001188-MCG")</f>
        <v>RF-00001188-MCG</v>
      </c>
    </row>
    <row r="7243" spans="1:2" ht="12.5" x14ac:dyDescent="0.25">
      <c r="A7243" t="str">
        <f ca="1">IFERROR(__xludf.DUMMYFUNCTION("""COMPUTED_VALUE"""),"Salmonella Roan")</f>
        <v>Salmonella Roan</v>
      </c>
      <c r="B7243" t="str">
        <f ca="1">IFERROR(__xludf.DUMMYFUNCTION("""COMPUTED_VALUE"""),"RF-00001201-MCG")</f>
        <v>RF-00001201-MCG</v>
      </c>
    </row>
    <row r="7244" spans="1:2" ht="12.5" x14ac:dyDescent="0.25">
      <c r="A7244" t="str">
        <f ca="1">IFERROR(__xludf.DUMMYFUNCTION("""COMPUTED_VALUE"""),"Salmonella Rochdale")</f>
        <v>Salmonella Rochdale</v>
      </c>
      <c r="B7244" t="str">
        <f ca="1">IFERROR(__xludf.DUMMYFUNCTION("""COMPUTED_VALUE"""),"RF-00001214-MCG")</f>
        <v>RF-00001214-MCG</v>
      </c>
    </row>
    <row r="7245" spans="1:2" ht="12.5" x14ac:dyDescent="0.25">
      <c r="A7245" t="str">
        <f ca="1">IFERROR(__xludf.DUMMYFUNCTION("""COMPUTED_VALUE"""),"Salmonella Rogy")</f>
        <v>Salmonella Rogy</v>
      </c>
      <c r="B7245" t="str">
        <f ca="1">IFERROR(__xludf.DUMMYFUNCTION("""COMPUTED_VALUE"""),"RF-00001199-MCG")</f>
        <v>RF-00001199-MCG</v>
      </c>
    </row>
    <row r="7246" spans="1:2" ht="12.5" x14ac:dyDescent="0.25">
      <c r="A7246" t="str">
        <f ca="1">IFERROR(__xludf.DUMMYFUNCTION("""COMPUTED_VALUE"""),"Salmonella Romanby")</f>
        <v>Salmonella Romanby</v>
      </c>
      <c r="B7246" t="str">
        <f ca="1">IFERROR(__xludf.DUMMYFUNCTION("""COMPUTED_VALUE"""),"RF-00001198-MCG")</f>
        <v>RF-00001198-MCG</v>
      </c>
    </row>
    <row r="7247" spans="1:2" ht="12.5" x14ac:dyDescent="0.25">
      <c r="A7247" t="str">
        <f ca="1">IFERROR(__xludf.DUMMYFUNCTION("""COMPUTED_VALUE"""),"Salmonella Roodepoort")</f>
        <v>Salmonella Roodepoort</v>
      </c>
      <c r="B7247" t="str">
        <f ca="1">IFERROR(__xludf.DUMMYFUNCTION("""COMPUTED_VALUE"""),"RF-00001197-MCG")</f>
        <v>RF-00001197-MCG</v>
      </c>
    </row>
    <row r="7248" spans="1:2" ht="12.5" x14ac:dyDescent="0.25">
      <c r="A7248" t="str">
        <f ca="1">IFERROR(__xludf.DUMMYFUNCTION("""COMPUTED_VALUE"""),"Salmonella Rossleben")</f>
        <v>Salmonella Rossleben</v>
      </c>
      <c r="B7248" t="str">
        <f ca="1">IFERROR(__xludf.DUMMYFUNCTION("""COMPUTED_VALUE"""),"RF-00001196-MCG")</f>
        <v>RF-00001196-MCG</v>
      </c>
    </row>
    <row r="7249" spans="1:2" ht="12.5" x14ac:dyDescent="0.25">
      <c r="A7249" t="str">
        <f ca="1">IFERROR(__xludf.DUMMYFUNCTION("""COMPUTED_VALUE"""),"Salmonella Rostock")</f>
        <v>Salmonella Rostock</v>
      </c>
      <c r="B7249" t="str">
        <f ca="1">IFERROR(__xludf.DUMMYFUNCTION("""COMPUTED_VALUE"""),"RF-00001195-MCG")</f>
        <v>RF-00001195-MCG</v>
      </c>
    </row>
    <row r="7250" spans="1:2" ht="12.5" x14ac:dyDescent="0.25">
      <c r="A7250" t="str">
        <f ca="1">IFERROR(__xludf.DUMMYFUNCTION("""COMPUTED_VALUE"""),"Salmonella Rothenburgsort")</f>
        <v>Salmonella Rothenburgsort</v>
      </c>
      <c r="B7250" t="str">
        <f ca="1">IFERROR(__xludf.DUMMYFUNCTION("""COMPUTED_VALUE"""),"RF-00001194-MCG")</f>
        <v>RF-00001194-MCG</v>
      </c>
    </row>
    <row r="7251" spans="1:2" ht="12.5" x14ac:dyDescent="0.25">
      <c r="A7251" t="str">
        <f ca="1">IFERROR(__xludf.DUMMYFUNCTION("""COMPUTED_VALUE"""),"Salmonella Rottnest")</f>
        <v>Salmonella Rottnest</v>
      </c>
      <c r="B7251" t="str">
        <f ca="1">IFERROR(__xludf.DUMMYFUNCTION("""COMPUTED_VALUE"""),"RF-00001193-MCG")</f>
        <v>RF-00001193-MCG</v>
      </c>
    </row>
    <row r="7252" spans="1:2" ht="12.5" x14ac:dyDescent="0.25">
      <c r="A7252" t="str">
        <f ca="1">IFERROR(__xludf.DUMMYFUNCTION("""COMPUTED_VALUE"""),"Salmonella Rovaniemi")</f>
        <v>Salmonella Rovaniemi</v>
      </c>
      <c r="B7252" t="str">
        <f ca="1">IFERROR(__xludf.DUMMYFUNCTION("""COMPUTED_VALUE"""),"RF-00001192-MCG")</f>
        <v>RF-00001192-MCG</v>
      </c>
    </row>
    <row r="7253" spans="1:2" ht="12.5" x14ac:dyDescent="0.25">
      <c r="A7253" t="str">
        <f ca="1">IFERROR(__xludf.DUMMYFUNCTION("""COMPUTED_VALUE"""),"Salmonella Royan")</f>
        <v>Salmonella Royan</v>
      </c>
      <c r="B7253" t="str">
        <f ca="1">IFERROR(__xludf.DUMMYFUNCTION("""COMPUTED_VALUE"""),"RF-00001191-MCG")</f>
        <v>RF-00001191-MCG</v>
      </c>
    </row>
    <row r="7254" spans="1:2" ht="12.5" x14ac:dyDescent="0.25">
      <c r="A7254" t="str">
        <f ca="1">IFERROR(__xludf.DUMMYFUNCTION("""COMPUTED_VALUE"""),"Salmonella Ruanda")</f>
        <v>Salmonella Ruanda</v>
      </c>
      <c r="B7254" t="str">
        <f ca="1">IFERROR(__xludf.DUMMYFUNCTION("""COMPUTED_VALUE"""),"RF-00001190-MCG")</f>
        <v>RF-00001190-MCG</v>
      </c>
    </row>
    <row r="7255" spans="1:2" ht="12.5" x14ac:dyDescent="0.25">
      <c r="A7255" t="str">
        <f ca="1">IFERROR(__xludf.DUMMYFUNCTION("""COMPUTED_VALUE"""),"Salmonella Rubislaw")</f>
        <v>Salmonella Rubislaw</v>
      </c>
      <c r="B7255" t="str">
        <f ca="1">IFERROR(__xludf.DUMMYFUNCTION("""COMPUTED_VALUE"""),"RF-00001227-MCG")</f>
        <v>RF-00001227-MCG</v>
      </c>
    </row>
    <row r="7256" spans="1:2" ht="12.5" x14ac:dyDescent="0.25">
      <c r="A7256" t="str">
        <f ca="1">IFERROR(__xludf.DUMMYFUNCTION("""COMPUTED_VALUE"""),"Salmonella Ruiru")</f>
        <v>Salmonella Ruiru</v>
      </c>
      <c r="B7256" t="str">
        <f ca="1">IFERROR(__xludf.DUMMYFUNCTION("""COMPUTED_VALUE"""),"RF-00001200-MCG")</f>
        <v>RF-00001200-MCG</v>
      </c>
    </row>
    <row r="7257" spans="1:2" ht="12.5" x14ac:dyDescent="0.25">
      <c r="A7257" t="str">
        <f ca="1">IFERROR(__xludf.DUMMYFUNCTION("""COMPUTED_VALUE"""),"Salmonella Rumford")</f>
        <v>Salmonella Rumford</v>
      </c>
      <c r="B7257" t="str">
        <f ca="1">IFERROR(__xludf.DUMMYFUNCTION("""COMPUTED_VALUE"""),"RF-00001202-MCG")</f>
        <v>RF-00001202-MCG</v>
      </c>
    </row>
    <row r="7258" spans="1:2" ht="12.5" x14ac:dyDescent="0.25">
      <c r="A7258" t="str">
        <f ca="1">IFERROR(__xludf.DUMMYFUNCTION("""COMPUTED_VALUE"""),"Salmonella Runby")</f>
        <v>Salmonella Runby</v>
      </c>
      <c r="B7258" t="str">
        <f ca="1">IFERROR(__xludf.DUMMYFUNCTION("""COMPUTED_VALUE"""),"RF-00001240-MCG")</f>
        <v>RF-00001240-MCG</v>
      </c>
    </row>
    <row r="7259" spans="1:2" ht="12.5" x14ac:dyDescent="0.25">
      <c r="A7259" t="str">
        <f ca="1">IFERROR(__xludf.DUMMYFUNCTION("""COMPUTED_VALUE"""),"Salmonella Ruzizi")</f>
        <v>Salmonella Ruzizi</v>
      </c>
      <c r="B7259" t="str">
        <f ca="1">IFERROR(__xludf.DUMMYFUNCTION("""COMPUTED_VALUE"""),"RF-00001239-MCG")</f>
        <v>RF-00001239-MCG</v>
      </c>
    </row>
    <row r="7260" spans="1:2" ht="12.5" x14ac:dyDescent="0.25">
      <c r="A7260" t="str">
        <f ca="1">IFERROR(__xludf.DUMMYFUNCTION("""COMPUTED_VALUE"""),"Salmonella S. Typhimurium, monophasic DT 139")</f>
        <v>Salmonella S. Typhimurium, monophasic DT 139</v>
      </c>
      <c r="B7260" t="str">
        <f ca="1">IFERROR(__xludf.DUMMYFUNCTION("""COMPUTED_VALUE"""),"RF-00001326-PAR")</f>
        <v>RF-00001326-PAR</v>
      </c>
    </row>
    <row r="7261" spans="1:2" ht="12.5" x14ac:dyDescent="0.25">
      <c r="A7261" t="str">
        <f ca="1">IFERROR(__xludf.DUMMYFUNCTION("""COMPUTED_VALUE"""),"Salmonella S. Typhimurium, monophasic DT 190")</f>
        <v>Salmonella S. Typhimurium, monophasic DT 190</v>
      </c>
      <c r="B7261" t="str">
        <f ca="1">IFERROR(__xludf.DUMMYFUNCTION("""COMPUTED_VALUE"""),"RF-00001327-PAR")</f>
        <v>RF-00001327-PAR</v>
      </c>
    </row>
    <row r="7262" spans="1:2" ht="12.5" x14ac:dyDescent="0.25">
      <c r="A7262" t="str">
        <f ca="1">IFERROR(__xludf.DUMMYFUNCTION("""COMPUTED_VALUE"""),"Salmonella S.Typhimurium, monophasic DT 7a")</f>
        <v>Salmonella S.Typhimurium, monophasic DT 7a</v>
      </c>
      <c r="B7262" t="str">
        <f ca="1">IFERROR(__xludf.DUMMYFUNCTION("""COMPUTED_VALUE"""),"RF-00001314-PAR")</f>
        <v>RF-00001314-PAR</v>
      </c>
    </row>
    <row r="7263" spans="1:2" ht="12.5" x14ac:dyDescent="0.25">
      <c r="A7263" t="str">
        <f ca="1">IFERROR(__xludf.DUMMYFUNCTION("""COMPUTED_VALUE"""),"Salmonella Saarbruecken")</f>
        <v>Salmonella Saarbruecken</v>
      </c>
      <c r="B7263" t="str">
        <f ca="1">IFERROR(__xludf.DUMMYFUNCTION("""COMPUTED_VALUE"""),"RF-00001238-MCG")</f>
        <v>RF-00001238-MCG</v>
      </c>
    </row>
    <row r="7264" spans="1:2" ht="12.5" x14ac:dyDescent="0.25">
      <c r="A7264" t="str">
        <f ca="1">IFERROR(__xludf.DUMMYFUNCTION("""COMPUTED_VALUE"""),"Salmonella Saboya")</f>
        <v>Salmonella Saboya</v>
      </c>
      <c r="B7264" t="str">
        <f ca="1">IFERROR(__xludf.DUMMYFUNCTION("""COMPUTED_VALUE"""),"RF-00001237-MCG")</f>
        <v>RF-00001237-MCG</v>
      </c>
    </row>
    <row r="7265" spans="1:2" ht="12.5" x14ac:dyDescent="0.25">
      <c r="A7265" t="str">
        <f ca="1">IFERROR(__xludf.DUMMYFUNCTION("""COMPUTED_VALUE"""),"Salmonella Sada")</f>
        <v>Salmonella Sada</v>
      </c>
      <c r="B7265" t="str">
        <f ca="1">IFERROR(__xludf.DUMMYFUNCTION("""COMPUTED_VALUE"""),"RF-00001236-MCG")</f>
        <v>RF-00001236-MCG</v>
      </c>
    </row>
    <row r="7266" spans="1:2" ht="12.5" x14ac:dyDescent="0.25">
      <c r="A7266" t="str">
        <f ca="1">IFERROR(__xludf.DUMMYFUNCTION("""COMPUTED_VALUE"""),"Salmonella Saintemarie")</f>
        <v>Salmonella Saintemarie</v>
      </c>
      <c r="B7266" t="str">
        <f ca="1">IFERROR(__xludf.DUMMYFUNCTION("""COMPUTED_VALUE"""),"RF-00001235-MCG")</f>
        <v>RF-00001235-MCG</v>
      </c>
    </row>
    <row r="7267" spans="1:2" ht="12.5" x14ac:dyDescent="0.25">
      <c r="A7267" t="str">
        <f ca="1">IFERROR(__xludf.DUMMYFUNCTION("""COMPUTED_VALUE"""),"Salmonella Saintpaul")</f>
        <v>Salmonella Saintpaul</v>
      </c>
      <c r="B7267" t="str">
        <f ca="1">IFERROR(__xludf.DUMMYFUNCTION("""COMPUTED_VALUE"""),"RF-00001234-MCG")</f>
        <v>RF-00001234-MCG</v>
      </c>
    </row>
    <row r="7268" spans="1:2" ht="12.5" x14ac:dyDescent="0.25">
      <c r="A7268" t="str">
        <f ca="1">IFERROR(__xludf.DUMMYFUNCTION("""COMPUTED_VALUE"""),"Salmonella Salford")</f>
        <v>Salmonella Salford</v>
      </c>
      <c r="B7268" t="str">
        <f ca="1">IFERROR(__xludf.DUMMYFUNCTION("""COMPUTED_VALUE"""),"RF-00001233-MCG")</f>
        <v>RF-00001233-MCG</v>
      </c>
    </row>
    <row r="7269" spans="1:2" ht="12.5" x14ac:dyDescent="0.25">
      <c r="A7269" t="str">
        <f ca="1">IFERROR(__xludf.DUMMYFUNCTION("""COMPUTED_VALUE"""),"Salmonella Saloniki")</f>
        <v>Salmonella Saloniki</v>
      </c>
      <c r="B7269" t="str">
        <f ca="1">IFERROR(__xludf.DUMMYFUNCTION("""COMPUTED_VALUE"""),"RF-00001232-MCG")</f>
        <v>RF-00001232-MCG</v>
      </c>
    </row>
    <row r="7270" spans="1:2" ht="12.5" x14ac:dyDescent="0.25">
      <c r="A7270" t="str">
        <f ca="1">IFERROR(__xludf.DUMMYFUNCTION("""COMPUTED_VALUE"""),"Salmonella Samaru")</f>
        <v>Salmonella Samaru</v>
      </c>
      <c r="B7270" t="str">
        <f ca="1">IFERROR(__xludf.DUMMYFUNCTION("""COMPUTED_VALUE"""),"RF-00001231-MCG")</f>
        <v>RF-00001231-MCG</v>
      </c>
    </row>
    <row r="7271" spans="1:2" ht="12.5" x14ac:dyDescent="0.25">
      <c r="A7271" t="str">
        <f ca="1">IFERROR(__xludf.DUMMYFUNCTION("""COMPUTED_VALUE"""),"Salmonella Sambre")</f>
        <v>Salmonella Sambre</v>
      </c>
      <c r="B7271" t="str">
        <f ca="1">IFERROR(__xludf.DUMMYFUNCTION("""COMPUTED_VALUE"""),"RF-00001230-MCG")</f>
        <v>RF-00001230-MCG</v>
      </c>
    </row>
    <row r="7272" spans="1:2" ht="12.5" x14ac:dyDescent="0.25">
      <c r="A7272" t="str">
        <f ca="1">IFERROR(__xludf.DUMMYFUNCTION("""COMPUTED_VALUE"""),"Salmonella Sandiego")</f>
        <v>Salmonella Sandiego</v>
      </c>
      <c r="B7272" t="str">
        <f ca="1">IFERROR(__xludf.DUMMYFUNCTION("""COMPUTED_VALUE"""),"RF-00001215-MCG")</f>
        <v>RF-00001215-MCG</v>
      </c>
    </row>
    <row r="7273" spans="1:2" ht="12.5" x14ac:dyDescent="0.25">
      <c r="A7273" t="str">
        <f ca="1">IFERROR(__xludf.DUMMYFUNCTION("""COMPUTED_VALUE"""),"Salmonella Sandow")</f>
        <v>Salmonella Sandow</v>
      </c>
      <c r="B7273" t="str">
        <f ca="1">IFERROR(__xludf.DUMMYFUNCTION("""COMPUTED_VALUE"""),"RF-00001228-MCG")</f>
        <v>RF-00001228-MCG</v>
      </c>
    </row>
    <row r="7274" spans="1:2" ht="12.5" x14ac:dyDescent="0.25">
      <c r="A7274" t="str">
        <f ca="1">IFERROR(__xludf.DUMMYFUNCTION("""COMPUTED_VALUE"""),"Salmonella Sanga")</f>
        <v>Salmonella Sanga</v>
      </c>
      <c r="B7274" t="str">
        <f ca="1">IFERROR(__xludf.DUMMYFUNCTION("""COMPUTED_VALUE"""),"RF-00001241-MCG")</f>
        <v>RF-00001241-MCG</v>
      </c>
    </row>
    <row r="7275" spans="1:2" ht="12.5" x14ac:dyDescent="0.25">
      <c r="A7275" t="str">
        <f ca="1">IFERROR(__xludf.DUMMYFUNCTION("""COMPUTED_VALUE"""),"Salmonella Sangalkam")</f>
        <v>Salmonella Sangalkam</v>
      </c>
      <c r="B7275" t="str">
        <f ca="1">IFERROR(__xludf.DUMMYFUNCTION("""COMPUTED_VALUE"""),"RF-00001226-MCG")</f>
        <v>RF-00001226-MCG</v>
      </c>
    </row>
    <row r="7276" spans="1:2" ht="12.5" x14ac:dyDescent="0.25">
      <c r="A7276" t="str">
        <f ca="1">IFERROR(__xludf.DUMMYFUNCTION("""COMPUTED_VALUE"""),"Salmonella Sangera")</f>
        <v>Salmonella Sangera</v>
      </c>
      <c r="B7276" t="str">
        <f ca="1">IFERROR(__xludf.DUMMYFUNCTION("""COMPUTED_VALUE"""),"RF-00001225-MCG")</f>
        <v>RF-00001225-MCG</v>
      </c>
    </row>
    <row r="7277" spans="1:2" ht="12.5" x14ac:dyDescent="0.25">
      <c r="A7277" t="str">
        <f ca="1">IFERROR(__xludf.DUMMYFUNCTION("""COMPUTED_VALUE"""),"Salmonella Sanjuan")</f>
        <v>Salmonella Sanjuan</v>
      </c>
      <c r="B7277" t="str">
        <f ca="1">IFERROR(__xludf.DUMMYFUNCTION("""COMPUTED_VALUE"""),"RF-00001224-MCG")</f>
        <v>RF-00001224-MCG</v>
      </c>
    </row>
    <row r="7278" spans="1:2" ht="12.5" x14ac:dyDescent="0.25">
      <c r="A7278" t="str">
        <f ca="1">IFERROR(__xludf.DUMMYFUNCTION("""COMPUTED_VALUE"""),"Salmonella Sanktgeorg")</f>
        <v>Salmonella Sanktgeorg</v>
      </c>
      <c r="B7278" t="str">
        <f ca="1">IFERROR(__xludf.DUMMYFUNCTION("""COMPUTED_VALUE"""),"RF-00001223-MCG")</f>
        <v>RF-00001223-MCG</v>
      </c>
    </row>
    <row r="7279" spans="1:2" ht="12.5" x14ac:dyDescent="0.25">
      <c r="A7279" t="str">
        <f ca="1">IFERROR(__xludf.DUMMYFUNCTION("""COMPUTED_VALUE"""),"Salmonella Sanktjohann")</f>
        <v>Salmonella Sanktjohann</v>
      </c>
      <c r="B7279" t="str">
        <f ca="1">IFERROR(__xludf.DUMMYFUNCTION("""COMPUTED_VALUE"""),"RF-00001222-MCG")</f>
        <v>RF-00001222-MCG</v>
      </c>
    </row>
    <row r="7280" spans="1:2" ht="12.5" x14ac:dyDescent="0.25">
      <c r="A7280" t="str">
        <f ca="1">IFERROR(__xludf.DUMMYFUNCTION("""COMPUTED_VALUE"""),"Salmonella Sanktmarx")</f>
        <v>Salmonella Sanktmarx</v>
      </c>
      <c r="B7280" t="str">
        <f ca="1">IFERROR(__xludf.DUMMYFUNCTION("""COMPUTED_VALUE"""),"RF-00001221-MCG")</f>
        <v>RF-00001221-MCG</v>
      </c>
    </row>
    <row r="7281" spans="1:2" ht="12.5" x14ac:dyDescent="0.25">
      <c r="A7281" t="str">
        <f ca="1">IFERROR(__xludf.DUMMYFUNCTION("""COMPUTED_VALUE"""),"Salmonella Santander")</f>
        <v>Salmonella Santander</v>
      </c>
      <c r="B7281" t="str">
        <f ca="1">IFERROR(__xludf.DUMMYFUNCTION("""COMPUTED_VALUE"""),"RF-00001220-MCG")</f>
        <v>RF-00001220-MCG</v>
      </c>
    </row>
    <row r="7282" spans="1:2" ht="12.5" x14ac:dyDescent="0.25">
      <c r="A7282" t="str">
        <f ca="1">IFERROR(__xludf.DUMMYFUNCTION("""COMPUTED_VALUE"""),"Salmonella Santhiaba")</f>
        <v>Salmonella Santhiaba</v>
      </c>
      <c r="B7282" t="str">
        <f ca="1">IFERROR(__xludf.DUMMYFUNCTION("""COMPUTED_VALUE"""),"RF-00001219-MCG")</f>
        <v>RF-00001219-MCG</v>
      </c>
    </row>
    <row r="7283" spans="1:2" ht="12.5" x14ac:dyDescent="0.25">
      <c r="A7283" t="str">
        <f ca="1">IFERROR(__xludf.DUMMYFUNCTION("""COMPUTED_VALUE"""),"Salmonella Santiago")</f>
        <v>Salmonella Santiago</v>
      </c>
      <c r="B7283" t="str">
        <f ca="1">IFERROR(__xludf.DUMMYFUNCTION("""COMPUTED_VALUE"""),"RF-00001218-MCG")</f>
        <v>RF-00001218-MCG</v>
      </c>
    </row>
    <row r="7284" spans="1:2" ht="12.5" x14ac:dyDescent="0.25">
      <c r="A7284" t="str">
        <f ca="1">IFERROR(__xludf.DUMMYFUNCTION("""COMPUTED_VALUE"""),"Salmonella Sao")</f>
        <v>Salmonella Sao</v>
      </c>
      <c r="B7284" t="str">
        <f ca="1">IFERROR(__xludf.DUMMYFUNCTION("""COMPUTED_VALUE"""),"RF-00001217-MCG")</f>
        <v>RF-00001217-MCG</v>
      </c>
    </row>
    <row r="7285" spans="1:2" ht="12.5" x14ac:dyDescent="0.25">
      <c r="A7285" t="str">
        <f ca="1">IFERROR(__xludf.DUMMYFUNCTION("""COMPUTED_VALUE"""),"Salmonella Sapele")</f>
        <v>Salmonella Sapele</v>
      </c>
      <c r="B7285" t="str">
        <f ca="1">IFERROR(__xludf.DUMMYFUNCTION("""COMPUTED_VALUE"""),"RF-00001298-MCG")</f>
        <v>RF-00001298-MCG</v>
      </c>
    </row>
    <row r="7286" spans="1:2" ht="12.5" x14ac:dyDescent="0.25">
      <c r="A7286" t="str">
        <f ca="1">IFERROR(__xludf.DUMMYFUNCTION("""COMPUTED_VALUE"""),"Salmonella Saphra")</f>
        <v>Salmonella Saphra</v>
      </c>
      <c r="B7286" t="str">
        <f ca="1">IFERROR(__xludf.DUMMYFUNCTION("""COMPUTED_VALUE"""),"RF-00001189-MCG")</f>
        <v>RF-00001189-MCG</v>
      </c>
    </row>
    <row r="7287" spans="1:2" ht="12.5" x14ac:dyDescent="0.25">
      <c r="A7287" t="str">
        <f ca="1">IFERROR(__xludf.DUMMYFUNCTION("""COMPUTED_VALUE"""),"Salmonella Sara")</f>
        <v>Salmonella Sara</v>
      </c>
      <c r="B7287" t="str">
        <f ca="1">IFERROR(__xludf.DUMMYFUNCTION("""COMPUTED_VALUE"""),"RF-00001270-MCG")</f>
        <v>RF-00001270-MCG</v>
      </c>
    </row>
    <row r="7288" spans="1:2" ht="12.5" x14ac:dyDescent="0.25">
      <c r="A7288" t="str">
        <f ca="1">IFERROR(__xludf.DUMMYFUNCTION("""COMPUTED_VALUE"""),"Salmonella Sarajane")</f>
        <v>Salmonella Sarajane</v>
      </c>
      <c r="B7288" t="str">
        <f ca="1">IFERROR(__xludf.DUMMYFUNCTION("""COMPUTED_VALUE"""),"RF-00001376-MCG")</f>
        <v>RF-00001376-MCG</v>
      </c>
    </row>
    <row r="7289" spans="1:2" ht="12.5" x14ac:dyDescent="0.25">
      <c r="A7289" t="str">
        <f ca="1">IFERROR(__xludf.DUMMYFUNCTION("""COMPUTED_VALUE"""),"Salmonella Saugus")</f>
        <v>Salmonella Saugus</v>
      </c>
      <c r="B7289" t="str">
        <f ca="1">IFERROR(__xludf.DUMMYFUNCTION("""COMPUTED_VALUE"""),"RF-00001375-MCG")</f>
        <v>RF-00001375-MCG</v>
      </c>
    </row>
    <row r="7290" spans="1:2" ht="12.5" x14ac:dyDescent="0.25">
      <c r="A7290" t="str">
        <f ca="1">IFERROR(__xludf.DUMMYFUNCTION("""COMPUTED_VALUE"""),"Salmonella Schalkwijk")</f>
        <v>Salmonella Schalkwijk</v>
      </c>
      <c r="B7290" t="str">
        <f ca="1">IFERROR(__xludf.DUMMYFUNCTION("""COMPUTED_VALUE"""),"RF-00001374-MCG")</f>
        <v>RF-00001374-MCG</v>
      </c>
    </row>
    <row r="7291" spans="1:2" ht="12.5" x14ac:dyDescent="0.25">
      <c r="A7291" t="str">
        <f ca="1">IFERROR(__xludf.DUMMYFUNCTION("""COMPUTED_VALUE"""),"Salmonella Schleissheim")</f>
        <v>Salmonella Schleissheim</v>
      </c>
      <c r="B7291" t="str">
        <f ca="1">IFERROR(__xludf.DUMMYFUNCTION("""COMPUTED_VALUE"""),"RF-00001373-MCG")</f>
        <v>RF-00001373-MCG</v>
      </c>
    </row>
    <row r="7292" spans="1:2" ht="12.5" x14ac:dyDescent="0.25">
      <c r="A7292" t="str">
        <f ca="1">IFERROR(__xludf.DUMMYFUNCTION("""COMPUTED_VALUE"""),"Salmonella Schoeneberg")</f>
        <v>Salmonella Schoeneberg</v>
      </c>
      <c r="B7292" t="str">
        <f ca="1">IFERROR(__xludf.DUMMYFUNCTION("""COMPUTED_VALUE"""),"RF-00001372-MCG")</f>
        <v>RF-00001372-MCG</v>
      </c>
    </row>
    <row r="7293" spans="1:2" ht="12.5" x14ac:dyDescent="0.25">
      <c r="A7293" t="str">
        <f ca="1">IFERROR(__xludf.DUMMYFUNCTION("""COMPUTED_VALUE"""),"Salmonella Schwabach")</f>
        <v>Salmonella Schwabach</v>
      </c>
      <c r="B7293" t="str">
        <f ca="1">IFERROR(__xludf.DUMMYFUNCTION("""COMPUTED_VALUE"""),"RF-00001371-MCG")</f>
        <v>RF-00001371-MCG</v>
      </c>
    </row>
    <row r="7294" spans="1:2" ht="12.5" x14ac:dyDescent="0.25">
      <c r="A7294" t="str">
        <f ca="1">IFERROR(__xludf.DUMMYFUNCTION("""COMPUTED_VALUE"""),"Salmonella Schwarzengrund")</f>
        <v>Salmonella Schwarzengrund</v>
      </c>
      <c r="B7294" t="str">
        <f ca="1">IFERROR(__xludf.DUMMYFUNCTION("""COMPUTED_VALUE"""),"RF-00001370-MCG")</f>
        <v>RF-00001370-MCG</v>
      </c>
    </row>
    <row r="7295" spans="1:2" ht="12.5" x14ac:dyDescent="0.25">
      <c r="A7295" t="str">
        <f ca="1">IFERROR(__xludf.DUMMYFUNCTION("""COMPUTED_VALUE"""),"Salmonella Schwerin")</f>
        <v>Salmonella Schwerin</v>
      </c>
      <c r="B7295" t="str">
        <f ca="1">IFERROR(__xludf.DUMMYFUNCTION("""COMPUTED_VALUE"""),"RF-00001369-MCG")</f>
        <v>RF-00001369-MCG</v>
      </c>
    </row>
    <row r="7296" spans="1:2" ht="12.5" x14ac:dyDescent="0.25">
      <c r="A7296" t="str">
        <f ca="1">IFERROR(__xludf.DUMMYFUNCTION("""COMPUTED_VALUE"""),"Salmonella Sculcoates")</f>
        <v>Salmonella Sculcoates</v>
      </c>
      <c r="B7296" t="str">
        <f ca="1">IFERROR(__xludf.DUMMYFUNCTION("""COMPUTED_VALUE"""),"RF-00001368-MCG")</f>
        <v>RF-00001368-MCG</v>
      </c>
    </row>
    <row r="7297" spans="1:2" ht="12.5" x14ac:dyDescent="0.25">
      <c r="A7297" t="str">
        <f ca="1">IFERROR(__xludf.DUMMYFUNCTION("""COMPUTED_VALUE"""),"Salmonella Seattle")</f>
        <v>Salmonella Seattle</v>
      </c>
      <c r="B7297" t="str">
        <f ca="1">IFERROR(__xludf.DUMMYFUNCTION("""COMPUTED_VALUE"""),"RF-00001367-MCG")</f>
        <v>RF-00001367-MCG</v>
      </c>
    </row>
    <row r="7298" spans="1:2" ht="12.5" x14ac:dyDescent="0.25">
      <c r="A7298" t="str">
        <f ca="1">IFERROR(__xludf.DUMMYFUNCTION("""COMPUTED_VALUE"""),"Salmonella Sedgwick")</f>
        <v>Salmonella Sedgwick</v>
      </c>
      <c r="B7298" t="str">
        <f ca="1">IFERROR(__xludf.DUMMYFUNCTION("""COMPUTED_VALUE"""),"RF-00001366-MCG")</f>
        <v>RF-00001366-MCG</v>
      </c>
    </row>
    <row r="7299" spans="1:2" ht="12.5" x14ac:dyDescent="0.25">
      <c r="A7299" t="str">
        <f ca="1">IFERROR(__xludf.DUMMYFUNCTION("""COMPUTED_VALUE"""),"Salmonella Seegefeld")</f>
        <v>Salmonella Seegefeld</v>
      </c>
      <c r="B7299" t="str">
        <f ca="1">IFERROR(__xludf.DUMMYFUNCTION("""COMPUTED_VALUE"""),"RF-00001351-MCG")</f>
        <v>RF-00001351-MCG</v>
      </c>
    </row>
    <row r="7300" spans="1:2" ht="12.5" x14ac:dyDescent="0.25">
      <c r="A7300" t="str">
        <f ca="1">IFERROR(__xludf.DUMMYFUNCTION("""COMPUTED_VALUE"""),"Salmonella Sekondi")</f>
        <v>Salmonella Sekondi</v>
      </c>
      <c r="B7300" t="str">
        <f ca="1">IFERROR(__xludf.DUMMYFUNCTION("""COMPUTED_VALUE"""),"RF-00001364-MCG")</f>
        <v>RF-00001364-MCG</v>
      </c>
    </row>
    <row r="7301" spans="1:2" ht="12.5" x14ac:dyDescent="0.25">
      <c r="A7301" t="str">
        <f ca="1">IFERROR(__xludf.DUMMYFUNCTION("""COMPUTED_VALUE"""),"Salmonella Selby")</f>
        <v>Salmonella Selby</v>
      </c>
      <c r="B7301" t="str">
        <f ca="1">IFERROR(__xludf.DUMMYFUNCTION("""COMPUTED_VALUE"""),"RF-00001377-MCG")</f>
        <v>RF-00001377-MCG</v>
      </c>
    </row>
    <row r="7302" spans="1:2" ht="12.5" x14ac:dyDescent="0.25">
      <c r="A7302" t="str">
        <f ca="1">IFERROR(__xludf.DUMMYFUNCTION("""COMPUTED_VALUE"""),"Salmonella Sendai")</f>
        <v>Salmonella Sendai</v>
      </c>
      <c r="B7302" t="str">
        <f ca="1">IFERROR(__xludf.DUMMYFUNCTION("""COMPUTED_VALUE"""),"RF-00001362-MCG")</f>
        <v>RF-00001362-MCG</v>
      </c>
    </row>
    <row r="7303" spans="1:2" ht="12.5" x14ac:dyDescent="0.25">
      <c r="A7303" t="str">
        <f ca="1">IFERROR(__xludf.DUMMYFUNCTION("""COMPUTED_VALUE"""),"Salmonella Senegal")</f>
        <v>Salmonella Senegal</v>
      </c>
      <c r="B7303" t="str">
        <f ca="1">IFERROR(__xludf.DUMMYFUNCTION("""COMPUTED_VALUE"""),"RF-00001361-MCG")</f>
        <v>RF-00001361-MCG</v>
      </c>
    </row>
    <row r="7304" spans="1:2" ht="12.5" x14ac:dyDescent="0.25">
      <c r="A7304" t="str">
        <f ca="1">IFERROR(__xludf.DUMMYFUNCTION("""COMPUTED_VALUE"""),"Salmonella Senftenberg")</f>
        <v>Salmonella Senftenberg</v>
      </c>
      <c r="B7304" t="str">
        <f ca="1">IFERROR(__xludf.DUMMYFUNCTION("""COMPUTED_VALUE"""),"RF-00001360-MCG")</f>
        <v>RF-00001360-MCG</v>
      </c>
    </row>
    <row r="7305" spans="1:2" ht="12.5" x14ac:dyDescent="0.25">
      <c r="A7305" t="str">
        <f ca="1">IFERROR(__xludf.DUMMYFUNCTION("""COMPUTED_VALUE"""),"Salmonella Senftenberg var. Simsbury")</f>
        <v>Salmonella Senftenberg var. Simsbury</v>
      </c>
      <c r="B7305" t="str">
        <f ca="1">IFERROR(__xludf.DUMMYFUNCTION("""COMPUTED_VALUE"""),"RF-00001359-MCG")</f>
        <v>RF-00001359-MCG</v>
      </c>
    </row>
    <row r="7306" spans="1:2" ht="12.5" x14ac:dyDescent="0.25">
      <c r="A7306" t="str">
        <f ca="1">IFERROR(__xludf.DUMMYFUNCTION("""COMPUTED_VALUE"""),"Salmonella Senneville")</f>
        <v>Salmonella Senneville</v>
      </c>
      <c r="B7306" t="str">
        <f ca="1">IFERROR(__xludf.DUMMYFUNCTION("""COMPUTED_VALUE"""),"RF-00001358-MCG")</f>
        <v>RF-00001358-MCG</v>
      </c>
    </row>
    <row r="7307" spans="1:2" ht="12.5" x14ac:dyDescent="0.25">
      <c r="A7307" t="str">
        <f ca="1">IFERROR(__xludf.DUMMYFUNCTION("""COMPUTED_VALUE"""),"Salmonella Seremban")</f>
        <v>Salmonella Seremban</v>
      </c>
      <c r="B7307" t="str">
        <f ca="1">IFERROR(__xludf.DUMMYFUNCTION("""COMPUTED_VALUE"""),"RF-00001357-MCG")</f>
        <v>RF-00001357-MCG</v>
      </c>
    </row>
    <row r="7308" spans="1:2" ht="12.5" x14ac:dyDescent="0.25">
      <c r="A7308" t="str">
        <f ca="1">IFERROR(__xludf.DUMMYFUNCTION("""COMPUTED_VALUE"""),"Salmonella Serrekunda")</f>
        <v>Salmonella Serrekunda</v>
      </c>
      <c r="B7308" t="str">
        <f ca="1">IFERROR(__xludf.DUMMYFUNCTION("""COMPUTED_VALUE"""),"RF-00001356-MCG")</f>
        <v>RF-00001356-MCG</v>
      </c>
    </row>
    <row r="7309" spans="1:2" ht="12.5" x14ac:dyDescent="0.25">
      <c r="A7309" t="str">
        <f ca="1">IFERROR(__xludf.DUMMYFUNCTION("""COMPUTED_VALUE"""),"Salmonella Shamba")</f>
        <v>Salmonella Shamba</v>
      </c>
      <c r="B7309" t="str">
        <f ca="1">IFERROR(__xludf.DUMMYFUNCTION("""COMPUTED_VALUE"""),"RF-00001355-MCG")</f>
        <v>RF-00001355-MCG</v>
      </c>
    </row>
    <row r="7310" spans="1:2" ht="12.5" x14ac:dyDescent="0.25">
      <c r="A7310" t="str">
        <f ca="1">IFERROR(__xludf.DUMMYFUNCTION("""COMPUTED_VALUE"""),"Salmonella Shangani")</f>
        <v>Salmonella Shangani</v>
      </c>
      <c r="B7310" t="str">
        <f ca="1">IFERROR(__xludf.DUMMYFUNCTION("""COMPUTED_VALUE"""),"RF-00001354-MCG")</f>
        <v>RF-00001354-MCG</v>
      </c>
    </row>
    <row r="7311" spans="1:2" ht="12.5" x14ac:dyDescent="0.25">
      <c r="A7311" t="str">
        <f ca="1">IFERROR(__xludf.DUMMYFUNCTION("""COMPUTED_VALUE"""),"Salmonella Shanghai")</f>
        <v>Salmonella Shanghai</v>
      </c>
      <c r="B7311" t="str">
        <f ca="1">IFERROR(__xludf.DUMMYFUNCTION("""COMPUTED_VALUE"""),"RF-00001353-MCG")</f>
        <v>RF-00001353-MCG</v>
      </c>
    </row>
    <row r="7312" spans="1:2" ht="12.5" x14ac:dyDescent="0.25">
      <c r="A7312" t="str">
        <f ca="1">IFERROR(__xludf.DUMMYFUNCTION("""COMPUTED_VALUE"""),"Salmonella Shanghani var. 15")</f>
        <v>Salmonella Shanghani var. 15</v>
      </c>
      <c r="B7312" t="str">
        <f ca="1">IFERROR(__xludf.DUMMYFUNCTION("""COMPUTED_VALUE"""),"RF-00001352-MCG")</f>
        <v>RF-00001352-MCG</v>
      </c>
    </row>
    <row r="7313" spans="1:2" ht="12.5" x14ac:dyDescent="0.25">
      <c r="A7313" t="str">
        <f ca="1">IFERROR(__xludf.DUMMYFUNCTION("""COMPUTED_VALUE"""),"Salmonella Shannon")</f>
        <v>Salmonella Shannon</v>
      </c>
      <c r="B7313" t="str">
        <f ca="1">IFERROR(__xludf.DUMMYFUNCTION("""COMPUTED_VALUE"""),"RF-00001390-MCG")</f>
        <v>RF-00001390-MCG</v>
      </c>
    </row>
    <row r="7314" spans="1:2" ht="12.5" x14ac:dyDescent="0.25">
      <c r="A7314" t="str">
        <f ca="1">IFERROR(__xludf.DUMMYFUNCTION("""COMPUTED_VALUE"""),"Salmonella Sharon")</f>
        <v>Salmonella Sharon</v>
      </c>
      <c r="B7314" t="str">
        <f ca="1">IFERROR(__xludf.DUMMYFUNCTION("""COMPUTED_VALUE"""),"RF-00001392-MCG")</f>
        <v>RF-00001392-MCG</v>
      </c>
    </row>
    <row r="7315" spans="1:2" ht="12.5" x14ac:dyDescent="0.25">
      <c r="A7315" t="str">
        <f ca="1">IFERROR(__xludf.DUMMYFUNCTION("""COMPUTED_VALUE"""),"Salmonella Sheffield")</f>
        <v>Salmonella Sheffield</v>
      </c>
      <c r="B7315" t="str">
        <f ca="1">IFERROR(__xludf.DUMMYFUNCTION("""COMPUTED_VALUE"""),"RF-00001365-MCG")</f>
        <v>RF-00001365-MCG</v>
      </c>
    </row>
    <row r="7316" spans="1:2" ht="12.5" x14ac:dyDescent="0.25">
      <c r="A7316" t="str">
        <f ca="1">IFERROR(__xludf.DUMMYFUNCTION("""COMPUTED_VALUE"""),"Salmonella Sherbrooke")</f>
        <v>Salmonella Sherbrooke</v>
      </c>
      <c r="B7316" t="str">
        <f ca="1">IFERROR(__xludf.DUMMYFUNCTION("""COMPUTED_VALUE"""),"RF-00001403-MCG")</f>
        <v>RF-00001403-MCG</v>
      </c>
    </row>
    <row r="7317" spans="1:2" ht="12.5" x14ac:dyDescent="0.25">
      <c r="A7317" t="str">
        <f ca="1">IFERROR(__xludf.DUMMYFUNCTION("""COMPUTED_VALUE"""),"Salmonella Shikmonah")</f>
        <v>Salmonella Shikmonah</v>
      </c>
      <c r="B7317" t="str">
        <f ca="1">IFERROR(__xludf.DUMMYFUNCTION("""COMPUTED_VALUE"""),"RF-00001402-MCG")</f>
        <v>RF-00001402-MCG</v>
      </c>
    </row>
    <row r="7318" spans="1:2" ht="12.5" x14ac:dyDescent="0.25">
      <c r="A7318" t="str">
        <f ca="1">IFERROR(__xludf.DUMMYFUNCTION("""COMPUTED_VALUE"""),"Salmonella Shipley")</f>
        <v>Salmonella Shipley</v>
      </c>
      <c r="B7318" t="str">
        <f ca="1">IFERROR(__xludf.DUMMYFUNCTION("""COMPUTED_VALUE"""),"RF-00001401-MCG")</f>
        <v>RF-00001401-MCG</v>
      </c>
    </row>
    <row r="7319" spans="1:2" ht="12.5" x14ac:dyDescent="0.25">
      <c r="A7319" t="str">
        <f ca="1">IFERROR(__xludf.DUMMYFUNCTION("""COMPUTED_VALUE"""),"Salmonella Shomolu")</f>
        <v>Salmonella Shomolu</v>
      </c>
      <c r="B7319" t="str">
        <f ca="1">IFERROR(__xludf.DUMMYFUNCTION("""COMPUTED_VALUE"""),"RF-00001400-MCG")</f>
        <v>RF-00001400-MCG</v>
      </c>
    </row>
    <row r="7320" spans="1:2" ht="12.5" x14ac:dyDescent="0.25">
      <c r="A7320" t="str">
        <f ca="1">IFERROR(__xludf.DUMMYFUNCTION("""COMPUTED_VALUE"""),"Salmonella Shoreditch")</f>
        <v>Salmonella Shoreditch</v>
      </c>
      <c r="B7320" t="str">
        <f ca="1">IFERROR(__xludf.DUMMYFUNCTION("""COMPUTED_VALUE"""),"RF-00001399-MCG")</f>
        <v>RF-00001399-MCG</v>
      </c>
    </row>
    <row r="7321" spans="1:2" ht="12.5" x14ac:dyDescent="0.25">
      <c r="A7321" t="str">
        <f ca="1">IFERROR(__xludf.DUMMYFUNCTION("""COMPUTED_VALUE"""),"Salmonella Shubra")</f>
        <v>Salmonella Shubra</v>
      </c>
      <c r="B7321" t="str">
        <f ca="1">IFERROR(__xludf.DUMMYFUNCTION("""COMPUTED_VALUE"""),"RF-00001398-MCG")</f>
        <v>RF-00001398-MCG</v>
      </c>
    </row>
    <row r="7322" spans="1:2" ht="12.5" x14ac:dyDescent="0.25">
      <c r="A7322" t="str">
        <f ca="1">IFERROR(__xludf.DUMMYFUNCTION("""COMPUTED_VALUE"""),"Salmonella Sica")</f>
        <v>Salmonella Sica</v>
      </c>
      <c r="B7322" t="str">
        <f ca="1">IFERROR(__xludf.DUMMYFUNCTION("""COMPUTED_VALUE"""),"RF-00001397-MCG")</f>
        <v>RF-00001397-MCG</v>
      </c>
    </row>
    <row r="7323" spans="1:2" ht="12.5" x14ac:dyDescent="0.25">
      <c r="A7323" t="str">
        <f ca="1">IFERROR(__xludf.DUMMYFUNCTION("""COMPUTED_VALUE"""),"Salmonella Simi")</f>
        <v>Salmonella Simi</v>
      </c>
      <c r="B7323" t="str">
        <f ca="1">IFERROR(__xludf.DUMMYFUNCTION("""COMPUTED_VALUE"""),"RF-00001396-MCG")</f>
        <v>RF-00001396-MCG</v>
      </c>
    </row>
    <row r="7324" spans="1:2" ht="12.5" x14ac:dyDescent="0.25">
      <c r="A7324" t="str">
        <f ca="1">IFERROR(__xludf.DUMMYFUNCTION("""COMPUTED_VALUE"""),"Salmonella Sinchew")</f>
        <v>Salmonella Sinchew</v>
      </c>
      <c r="B7324" t="str">
        <f ca="1">IFERROR(__xludf.DUMMYFUNCTION("""COMPUTED_VALUE"""),"RF-00001395-MCG")</f>
        <v>RF-00001395-MCG</v>
      </c>
    </row>
    <row r="7325" spans="1:2" ht="12.5" x14ac:dyDescent="0.25">
      <c r="A7325" t="str">
        <f ca="1">IFERROR(__xludf.DUMMYFUNCTION("""COMPUTED_VALUE"""),"Salmonella Sindelfingen")</f>
        <v>Salmonella Sindelfingen</v>
      </c>
      <c r="B7325" t="str">
        <f ca="1">IFERROR(__xludf.DUMMYFUNCTION("""COMPUTED_VALUE"""),"RF-00001394-MCG")</f>
        <v>RF-00001394-MCG</v>
      </c>
    </row>
    <row r="7326" spans="1:2" ht="12.5" x14ac:dyDescent="0.25">
      <c r="A7326" t="str">
        <f ca="1">IFERROR(__xludf.DUMMYFUNCTION("""COMPUTED_VALUE"""),"Salmonella Singapore")</f>
        <v>Salmonella Singapore</v>
      </c>
      <c r="B7326" t="str">
        <f ca="1">IFERROR(__xludf.DUMMYFUNCTION("""COMPUTED_VALUE"""),"RF-00001393-MCG")</f>
        <v>RF-00001393-MCG</v>
      </c>
    </row>
    <row r="7327" spans="1:2" ht="12.5" x14ac:dyDescent="0.25">
      <c r="A7327" t="str">
        <f ca="1">IFERROR(__xludf.DUMMYFUNCTION("""COMPUTED_VALUE"""),"Salmonella Sinstorf")</f>
        <v>Salmonella Sinstorf</v>
      </c>
      <c r="B7327" t="str">
        <f ca="1">IFERROR(__xludf.DUMMYFUNCTION("""COMPUTED_VALUE"""),"RF-00001378-MCG")</f>
        <v>RF-00001378-MCG</v>
      </c>
    </row>
    <row r="7328" spans="1:2" ht="12.5" x14ac:dyDescent="0.25">
      <c r="A7328" t="str">
        <f ca="1">IFERROR(__xludf.DUMMYFUNCTION("""COMPUTED_VALUE"""),"Salmonella Sinthia")</f>
        <v>Salmonella Sinthia</v>
      </c>
      <c r="B7328" t="str">
        <f ca="1">IFERROR(__xludf.DUMMYFUNCTION("""COMPUTED_VALUE"""),"RF-00001391-MCG")</f>
        <v>RF-00001391-MCG</v>
      </c>
    </row>
    <row r="7329" spans="1:2" ht="12.5" x14ac:dyDescent="0.25">
      <c r="A7329" t="str">
        <f ca="1">IFERROR(__xludf.DUMMYFUNCTION("""COMPUTED_VALUE"""),"Salmonella Sipane")</f>
        <v>Salmonella Sipane</v>
      </c>
      <c r="B7329" t="str">
        <f ca="1">IFERROR(__xludf.DUMMYFUNCTION("""COMPUTED_VALUE"""),"RF-00001405-MCG")</f>
        <v>RF-00001405-MCG</v>
      </c>
    </row>
    <row r="7330" spans="1:2" ht="12.5" x14ac:dyDescent="0.25">
      <c r="A7330" t="str">
        <f ca="1">IFERROR(__xludf.DUMMYFUNCTION("""COMPUTED_VALUE"""),"Salmonella Skansen")</f>
        <v>Salmonella Skansen</v>
      </c>
      <c r="B7330" t="str">
        <f ca="1">IFERROR(__xludf.DUMMYFUNCTION("""COMPUTED_VALUE"""),"RF-00001389-MCG")</f>
        <v>RF-00001389-MCG</v>
      </c>
    </row>
    <row r="7331" spans="1:2" ht="12.5" x14ac:dyDescent="0.25">
      <c r="A7331" t="str">
        <f ca="1">IFERROR(__xludf.DUMMYFUNCTION("""COMPUTED_VALUE"""),"Salmonella Slade")</f>
        <v>Salmonella Slade</v>
      </c>
      <c r="B7331" t="str">
        <f ca="1">IFERROR(__xludf.DUMMYFUNCTION("""COMPUTED_VALUE"""),"RF-00001388-MCG")</f>
        <v>RF-00001388-MCG</v>
      </c>
    </row>
    <row r="7332" spans="1:2" ht="12.5" x14ac:dyDescent="0.25">
      <c r="A7332" t="str">
        <f ca="1">IFERROR(__xludf.DUMMYFUNCTION("""COMPUTED_VALUE"""),"Salmonella Sljeme")</f>
        <v>Salmonella Sljeme</v>
      </c>
      <c r="B7332" t="str">
        <f ca="1">IFERROR(__xludf.DUMMYFUNCTION("""COMPUTED_VALUE"""),"RF-00001387-MCG")</f>
        <v>RF-00001387-MCG</v>
      </c>
    </row>
    <row r="7333" spans="1:2" ht="12.5" x14ac:dyDescent="0.25">
      <c r="A7333" t="str">
        <f ca="1">IFERROR(__xludf.DUMMYFUNCTION("""COMPUTED_VALUE"""),"Salmonella Sloterdijk")</f>
        <v>Salmonella Sloterdijk</v>
      </c>
      <c r="B7333" t="str">
        <f ca="1">IFERROR(__xludf.DUMMYFUNCTION("""COMPUTED_VALUE"""),"RF-00001386-MCG")</f>
        <v>RF-00001386-MCG</v>
      </c>
    </row>
    <row r="7334" spans="1:2" ht="12.5" x14ac:dyDescent="0.25">
      <c r="A7334" t="str">
        <f ca="1">IFERROR(__xludf.DUMMYFUNCTION("""COMPUTED_VALUE"""),"Salmonella Soahanina")</f>
        <v>Salmonella Soahanina</v>
      </c>
      <c r="B7334" t="str">
        <f ca="1">IFERROR(__xludf.DUMMYFUNCTION("""COMPUTED_VALUE"""),"RF-00001385-MCG")</f>
        <v>RF-00001385-MCG</v>
      </c>
    </row>
    <row r="7335" spans="1:2" ht="12.5" x14ac:dyDescent="0.25">
      <c r="A7335" t="str">
        <f ca="1">IFERROR(__xludf.DUMMYFUNCTION("""COMPUTED_VALUE"""),"Salmonella Soerenga")</f>
        <v>Salmonella Soerenga</v>
      </c>
      <c r="B7335" t="str">
        <f ca="1">IFERROR(__xludf.DUMMYFUNCTION("""COMPUTED_VALUE"""),"RF-00001384-MCG")</f>
        <v>RF-00001384-MCG</v>
      </c>
    </row>
    <row r="7336" spans="1:2" ht="12.5" x14ac:dyDescent="0.25">
      <c r="A7336" t="str">
        <f ca="1">IFERROR(__xludf.DUMMYFUNCTION("""COMPUTED_VALUE"""),"Salmonella Sokode")</f>
        <v>Salmonella Sokode</v>
      </c>
      <c r="B7336" t="str">
        <f ca="1">IFERROR(__xludf.DUMMYFUNCTION("""COMPUTED_VALUE"""),"RF-00001383-MCG")</f>
        <v>RF-00001383-MCG</v>
      </c>
    </row>
    <row r="7337" spans="1:2" ht="12.5" x14ac:dyDescent="0.25">
      <c r="A7337" t="str">
        <f ca="1">IFERROR(__xludf.DUMMYFUNCTION("""COMPUTED_VALUE"""),"Salmonella Solna")</f>
        <v>Salmonella Solna</v>
      </c>
      <c r="B7337" t="str">
        <f ca="1">IFERROR(__xludf.DUMMYFUNCTION("""COMPUTED_VALUE"""),"RF-00001382-MCG")</f>
        <v>RF-00001382-MCG</v>
      </c>
    </row>
    <row r="7338" spans="1:2" ht="12.5" x14ac:dyDescent="0.25">
      <c r="A7338" t="str">
        <f ca="1">IFERROR(__xludf.DUMMYFUNCTION("""COMPUTED_VALUE"""),"Salmonella Solt")</f>
        <v>Salmonella Solt</v>
      </c>
      <c r="B7338" t="str">
        <f ca="1">IFERROR(__xludf.DUMMYFUNCTION("""COMPUTED_VALUE"""),"RF-00001381-MCG")</f>
        <v>RF-00001381-MCG</v>
      </c>
    </row>
    <row r="7339" spans="1:2" ht="12.5" x14ac:dyDescent="0.25">
      <c r="A7339" t="str">
        <f ca="1">IFERROR(__xludf.DUMMYFUNCTION("""COMPUTED_VALUE"""),"Salmonella Somone")</f>
        <v>Salmonella Somone</v>
      </c>
      <c r="B7339" t="str">
        <f ca="1">IFERROR(__xludf.DUMMYFUNCTION("""COMPUTED_VALUE"""),"RF-00001380-MCG")</f>
        <v>RF-00001380-MCG</v>
      </c>
    </row>
    <row r="7340" spans="1:2" ht="12.5" x14ac:dyDescent="0.25">
      <c r="A7340" t="str">
        <f ca="1">IFERROR(__xludf.DUMMYFUNCTION("""COMPUTED_VALUE"""),"Salmonella Soumbedioune")</f>
        <v>Salmonella Soumbedioune</v>
      </c>
      <c r="B7340" t="str">
        <f ca="1">IFERROR(__xludf.DUMMYFUNCTION("""COMPUTED_VALUE"""),"RF-00001338-MCG")</f>
        <v>RF-00001338-MCG</v>
      </c>
    </row>
    <row r="7341" spans="1:2" ht="12.5" x14ac:dyDescent="0.25">
      <c r="A7341" t="str">
        <f ca="1">IFERROR(__xludf.DUMMYFUNCTION("""COMPUTED_VALUE"""),"Salmonella Southampton")</f>
        <v>Salmonella Southampton</v>
      </c>
      <c r="B7341" t="str">
        <f ca="1">IFERROR(__xludf.DUMMYFUNCTION("""COMPUTED_VALUE"""),"RF-00001404-MCG")</f>
        <v>RF-00001404-MCG</v>
      </c>
    </row>
    <row r="7342" spans="1:2" ht="12.5" x14ac:dyDescent="0.25">
      <c r="A7342" t="str">
        <f ca="1">IFERROR(__xludf.DUMMYFUNCTION("""COMPUTED_VALUE"""),"Salmonella Southbank")</f>
        <v>Salmonella Southbank</v>
      </c>
      <c r="B7342" t="str">
        <f ca="1">IFERROR(__xludf.DUMMYFUNCTION("""COMPUTED_VALUE"""),"RF-00001363-MCG")</f>
        <v>RF-00001363-MCG</v>
      </c>
    </row>
    <row r="7343" spans="1:2" ht="12.5" x14ac:dyDescent="0.25">
      <c r="A7343" t="str">
        <f ca="1">IFERROR(__xludf.DUMMYFUNCTION("""COMPUTED_VALUE"""),"Salmonella Souza")</f>
        <v>Salmonella Souza</v>
      </c>
      <c r="B7343" t="str">
        <f ca="1">IFERROR(__xludf.DUMMYFUNCTION("""COMPUTED_VALUE"""),"RF-00001322-MCG")</f>
        <v>RF-00001322-MCG</v>
      </c>
    </row>
    <row r="7344" spans="1:2" ht="12.5" x14ac:dyDescent="0.25">
      <c r="A7344" t="str">
        <f ca="1">IFERROR(__xludf.DUMMYFUNCTION("""COMPUTED_VALUE"""),"Salmonella Spalentor")</f>
        <v>Salmonella Spalentor</v>
      </c>
      <c r="B7344" t="str">
        <f ca="1">IFERROR(__xludf.DUMMYFUNCTION("""COMPUTED_VALUE"""),"RF-00001321-MCG")</f>
        <v>RF-00001321-MCG</v>
      </c>
    </row>
    <row r="7345" spans="1:2" ht="12.5" x14ac:dyDescent="0.25">
      <c r="A7345" t="str">
        <f ca="1">IFERROR(__xludf.DUMMYFUNCTION("""COMPUTED_VALUE"""),"Salmonella Spartel")</f>
        <v>Salmonella Spartel</v>
      </c>
      <c r="B7345" t="str">
        <f ca="1">IFERROR(__xludf.DUMMYFUNCTION("""COMPUTED_VALUE"""),"RF-00001320-MCG")</f>
        <v>RF-00001320-MCG</v>
      </c>
    </row>
    <row r="7346" spans="1:2" ht="12.5" x14ac:dyDescent="0.25">
      <c r="A7346" t="str">
        <f ca="1">IFERROR(__xludf.DUMMYFUNCTION("""COMPUTED_VALUE"""),"Salmonella Species")</f>
        <v>Salmonella Species</v>
      </c>
      <c r="B7346" t="str">
        <f ca="1">IFERROR(__xludf.DUMMYFUNCTION("""COMPUTED_VALUE"""),"RF-00001319-MCG")</f>
        <v>RF-00001319-MCG</v>
      </c>
    </row>
    <row r="7347" spans="1:2" ht="12.5" x14ac:dyDescent="0.25">
      <c r="A7347" t="str">
        <f ca="1">IFERROR(__xludf.DUMMYFUNCTION("""COMPUTED_VALUE"""),"Salmonella Splott")</f>
        <v>Salmonella Splott</v>
      </c>
      <c r="B7347" t="str">
        <f ca="1">IFERROR(__xludf.DUMMYFUNCTION("""COMPUTED_VALUE"""),"RF-00001318-MCG")</f>
        <v>RF-00001318-MCG</v>
      </c>
    </row>
    <row r="7348" spans="1:2" ht="12.5" x14ac:dyDescent="0.25">
      <c r="A7348" t="str">
        <f ca="1">IFERROR(__xludf.DUMMYFUNCTION("""COMPUTED_VALUE"""),"Salmonella spp.")</f>
        <v>Salmonella spp.</v>
      </c>
      <c r="B7348" t="str">
        <f ca="1">IFERROR(__xludf.DUMMYFUNCTION("""COMPUTED_VALUE"""),"RF-00001108-MCG")</f>
        <v>RF-00001108-MCG</v>
      </c>
    </row>
    <row r="7349" spans="1:2" ht="12.5" x14ac:dyDescent="0.25">
      <c r="A7349" t="str">
        <f ca="1">IFERROR(__xludf.DUMMYFUNCTION("""COMPUTED_VALUE"""),"Salmonella spp., unspecified")</f>
        <v>Salmonella spp., unspecified</v>
      </c>
      <c r="B7349" t="str">
        <f ca="1">IFERROR(__xludf.DUMMYFUNCTION("""COMPUTED_VALUE"""),"RF-00001107-MCG")</f>
        <v>RF-00001107-MCG</v>
      </c>
    </row>
    <row r="7350" spans="1:2" ht="12.5" x14ac:dyDescent="0.25">
      <c r="A7350" t="str">
        <f ca="1">IFERROR(__xludf.DUMMYFUNCTION("""COMPUTED_VALUE"""),"Salmonella Stachus")</f>
        <v>Salmonella Stachus</v>
      </c>
      <c r="B7350" t="str">
        <f ca="1">IFERROR(__xludf.DUMMYFUNCTION("""COMPUTED_VALUE"""),"RF-00001317-MCG")</f>
        <v>RF-00001317-MCG</v>
      </c>
    </row>
    <row r="7351" spans="1:2" ht="12.5" x14ac:dyDescent="0.25">
      <c r="A7351" t="str">
        <f ca="1">IFERROR(__xludf.DUMMYFUNCTION("""COMPUTED_VALUE"""),"Salmonella Stanley")</f>
        <v>Salmonella Stanley</v>
      </c>
      <c r="B7351" t="str">
        <f ca="1">IFERROR(__xludf.DUMMYFUNCTION("""COMPUTED_VALUE"""),"RF-00001316-MCG")</f>
        <v>RF-00001316-MCG</v>
      </c>
    </row>
    <row r="7352" spans="1:2" ht="12.5" x14ac:dyDescent="0.25">
      <c r="A7352" t="str">
        <f ca="1">IFERROR(__xludf.DUMMYFUNCTION("""COMPUTED_VALUE"""),"Salmonella Stanleyville")</f>
        <v>Salmonella Stanleyville</v>
      </c>
      <c r="B7352" t="str">
        <f ca="1">IFERROR(__xludf.DUMMYFUNCTION("""COMPUTED_VALUE"""),"RF-00001315-MCG")</f>
        <v>RF-00001315-MCG</v>
      </c>
    </row>
    <row r="7353" spans="1:2" ht="12.5" x14ac:dyDescent="0.25">
      <c r="A7353" t="str">
        <f ca="1">IFERROR(__xludf.DUMMYFUNCTION("""COMPUTED_VALUE"""),"Salmonella Staoueli")</f>
        <v>Salmonella Staoueli</v>
      </c>
      <c r="B7353" t="str">
        <f ca="1">IFERROR(__xludf.DUMMYFUNCTION("""COMPUTED_VALUE"""),"RF-00001314-MCG")</f>
        <v>RF-00001314-MCG</v>
      </c>
    </row>
    <row r="7354" spans="1:2" ht="12.5" x14ac:dyDescent="0.25">
      <c r="A7354" t="str">
        <f ca="1">IFERROR(__xludf.DUMMYFUNCTION("""COMPUTED_VALUE"""),"Salmonella Steinplatz")</f>
        <v>Salmonella Steinplatz</v>
      </c>
      <c r="B7354" t="str">
        <f ca="1">IFERROR(__xludf.DUMMYFUNCTION("""COMPUTED_VALUE"""),"RF-00001313-MCG")</f>
        <v>RF-00001313-MCG</v>
      </c>
    </row>
    <row r="7355" spans="1:2" ht="12.5" x14ac:dyDescent="0.25">
      <c r="A7355" t="str">
        <f ca="1">IFERROR(__xludf.DUMMYFUNCTION("""COMPUTED_VALUE"""),"Salmonella Steinwerder")</f>
        <v>Salmonella Steinwerder</v>
      </c>
      <c r="B7355" t="str">
        <f ca="1">IFERROR(__xludf.DUMMYFUNCTION("""COMPUTED_VALUE"""),"RF-00001312-MCG")</f>
        <v>RF-00001312-MCG</v>
      </c>
    </row>
    <row r="7356" spans="1:2" ht="12.5" x14ac:dyDescent="0.25">
      <c r="A7356" t="str">
        <f ca="1">IFERROR(__xludf.DUMMYFUNCTION("""COMPUTED_VALUE"""),"Salmonella Stellingen")</f>
        <v>Salmonella Stellingen</v>
      </c>
      <c r="B7356" t="str">
        <f ca="1">IFERROR(__xludf.DUMMYFUNCTION("""COMPUTED_VALUE"""),"RF-00001297-MCG")</f>
        <v>RF-00001297-MCG</v>
      </c>
    </row>
    <row r="7357" spans="1:2" ht="12.5" x14ac:dyDescent="0.25">
      <c r="A7357" t="str">
        <f ca="1">IFERROR(__xludf.DUMMYFUNCTION("""COMPUTED_VALUE"""),"Salmonella Stendal")</f>
        <v>Salmonella Stendal</v>
      </c>
      <c r="B7357" t="str">
        <f ca="1">IFERROR(__xludf.DUMMYFUNCTION("""COMPUTED_VALUE"""),"RF-00001310-MCG")</f>
        <v>RF-00001310-MCG</v>
      </c>
    </row>
    <row r="7358" spans="1:2" ht="12.5" x14ac:dyDescent="0.25">
      <c r="A7358" t="str">
        <f ca="1">IFERROR(__xludf.DUMMYFUNCTION("""COMPUTED_VALUE"""),"Salmonella Sternschanze")</f>
        <v>Salmonella Sternschanze</v>
      </c>
      <c r="B7358" t="str">
        <f ca="1">IFERROR(__xludf.DUMMYFUNCTION("""COMPUTED_VALUE"""),"RF-00001323-MCG")</f>
        <v>RF-00001323-MCG</v>
      </c>
    </row>
    <row r="7359" spans="1:2" ht="12.5" x14ac:dyDescent="0.25">
      <c r="A7359" t="str">
        <f ca="1">IFERROR(__xludf.DUMMYFUNCTION("""COMPUTED_VALUE"""),"Salmonella Sterrenbos")</f>
        <v>Salmonella Sterrenbos</v>
      </c>
      <c r="B7359" t="str">
        <f ca="1">IFERROR(__xludf.DUMMYFUNCTION("""COMPUTED_VALUE"""),"RF-00001308-MCG")</f>
        <v>RF-00001308-MCG</v>
      </c>
    </row>
    <row r="7360" spans="1:2" ht="12.5" x14ac:dyDescent="0.25">
      <c r="A7360" t="str">
        <f ca="1">IFERROR(__xludf.DUMMYFUNCTION("""COMPUTED_VALUE"""),"Salmonella Stockholm")</f>
        <v>Salmonella Stockholm</v>
      </c>
      <c r="B7360" t="str">
        <f ca="1">IFERROR(__xludf.DUMMYFUNCTION("""COMPUTED_VALUE"""),"RF-00001307-MCG")</f>
        <v>RF-00001307-MCG</v>
      </c>
    </row>
    <row r="7361" spans="1:2" ht="12.5" x14ac:dyDescent="0.25">
      <c r="A7361" t="str">
        <f ca="1">IFERROR(__xludf.DUMMYFUNCTION("""COMPUTED_VALUE"""),"Salmonella Stockholm var. 15")</f>
        <v>Salmonella Stockholm var. 15</v>
      </c>
      <c r="B7361" t="str">
        <f ca="1">IFERROR(__xludf.DUMMYFUNCTION("""COMPUTED_VALUE"""),"RF-00001306-MCG")</f>
        <v>RF-00001306-MCG</v>
      </c>
    </row>
    <row r="7362" spans="1:2" ht="12.5" x14ac:dyDescent="0.25">
      <c r="A7362" t="str">
        <f ca="1">IFERROR(__xludf.DUMMYFUNCTION("""COMPUTED_VALUE"""),"Salmonella Stoneferry")</f>
        <v>Salmonella Stoneferry</v>
      </c>
      <c r="B7362" t="str">
        <f ca="1">IFERROR(__xludf.DUMMYFUNCTION("""COMPUTED_VALUE"""),"RF-00001305-MCG")</f>
        <v>RF-00001305-MCG</v>
      </c>
    </row>
    <row r="7363" spans="1:2" ht="12.5" x14ac:dyDescent="0.25">
      <c r="A7363" t="str">
        <f ca="1">IFERROR(__xludf.DUMMYFUNCTION("""COMPUTED_VALUE"""),"Salmonella Stormont")</f>
        <v>Salmonella Stormont</v>
      </c>
      <c r="B7363" t="str">
        <f ca="1">IFERROR(__xludf.DUMMYFUNCTION("""COMPUTED_VALUE"""),"RF-00001304-MCG")</f>
        <v>RF-00001304-MCG</v>
      </c>
    </row>
    <row r="7364" spans="1:2" ht="12.5" x14ac:dyDescent="0.25">
      <c r="A7364" t="str">
        <f ca="1">IFERROR(__xludf.DUMMYFUNCTION("""COMPUTED_VALUE"""),"Salmonella Stourbridge")</f>
        <v>Salmonella Stourbridge</v>
      </c>
      <c r="B7364" t="str">
        <f ca="1">IFERROR(__xludf.DUMMYFUNCTION("""COMPUTED_VALUE"""),"RF-00001303-MCG")</f>
        <v>RF-00001303-MCG</v>
      </c>
    </row>
    <row r="7365" spans="1:2" ht="12.5" x14ac:dyDescent="0.25">
      <c r="A7365" t="str">
        <f ca="1">IFERROR(__xludf.DUMMYFUNCTION("""COMPUTED_VALUE"""),"Salmonella Straengnaes")</f>
        <v>Salmonella Straengnaes</v>
      </c>
      <c r="B7365" t="str">
        <f ca="1">IFERROR(__xludf.DUMMYFUNCTION("""COMPUTED_VALUE"""),"RF-00001302-MCG")</f>
        <v>RF-00001302-MCG</v>
      </c>
    </row>
    <row r="7366" spans="1:2" ht="12.5" x14ac:dyDescent="0.25">
      <c r="A7366" t="str">
        <f ca="1">IFERROR(__xludf.DUMMYFUNCTION("""COMPUTED_VALUE"""),"Salmonella Strasbourg")</f>
        <v>Salmonella Strasbourg</v>
      </c>
      <c r="B7366" t="str">
        <f ca="1">IFERROR(__xludf.DUMMYFUNCTION("""COMPUTED_VALUE"""),"RF-00001301-MCG")</f>
        <v>RF-00001301-MCG</v>
      </c>
    </row>
    <row r="7367" spans="1:2" ht="12.5" x14ac:dyDescent="0.25">
      <c r="A7367" t="str">
        <f ca="1">IFERROR(__xludf.DUMMYFUNCTION("""COMPUTED_VALUE"""),"Salmonella Stratford")</f>
        <v>Salmonella Stratford</v>
      </c>
      <c r="B7367" t="str">
        <f ca="1">IFERROR(__xludf.DUMMYFUNCTION("""COMPUTED_VALUE"""),"RF-00001300-MCG")</f>
        <v>RF-00001300-MCG</v>
      </c>
    </row>
    <row r="7368" spans="1:2" ht="12.5" x14ac:dyDescent="0.25">
      <c r="A7368" t="str">
        <f ca="1">IFERROR(__xludf.DUMMYFUNCTION("""COMPUTED_VALUE"""),"Salmonella Strathcona")</f>
        <v>Salmonella Strathcona</v>
      </c>
      <c r="B7368" t="str">
        <f ca="1">IFERROR(__xludf.DUMMYFUNCTION("""COMPUTED_VALUE"""),"RF-00001299-MCG")</f>
        <v>RF-00001299-MCG</v>
      </c>
    </row>
    <row r="7369" spans="1:2" ht="12.5" x14ac:dyDescent="0.25">
      <c r="A7369" t="str">
        <f ca="1">IFERROR(__xludf.DUMMYFUNCTION("""COMPUTED_VALUE"""),"Salmonella Stuivenberg")</f>
        <v>Salmonella Stuivenberg</v>
      </c>
      <c r="B7369" t="str">
        <f ca="1">IFERROR(__xludf.DUMMYFUNCTION("""COMPUTED_VALUE"""),"RF-00001336-MCG")</f>
        <v>RF-00001336-MCG</v>
      </c>
    </row>
    <row r="7370" spans="1:2" ht="12.5" x14ac:dyDescent="0.25">
      <c r="A7370" t="str">
        <f ca="1">IFERROR(__xludf.DUMMYFUNCTION("""COMPUTED_VALUE"""),"Salmonella Stuttgart")</f>
        <v>Salmonella Stuttgart</v>
      </c>
      <c r="B7370" t="str">
        <f ca="1">IFERROR(__xludf.DUMMYFUNCTION("""COMPUTED_VALUE"""),"RF-00001309-MCG")</f>
        <v>RF-00001309-MCG</v>
      </c>
    </row>
    <row r="7371" spans="1:2" ht="12.5" x14ac:dyDescent="0.25">
      <c r="A7371" t="str">
        <f ca="1">IFERROR(__xludf.DUMMYFUNCTION("""COMPUTED_VALUE"""),"Salmonella Suberu")</f>
        <v>Salmonella Suberu</v>
      </c>
      <c r="B7371" t="str">
        <f ca="1">IFERROR(__xludf.DUMMYFUNCTION("""COMPUTED_VALUE"""),"RF-00001311-MCG")</f>
        <v>RF-00001311-MCG</v>
      </c>
    </row>
    <row r="7372" spans="1:2" ht="12.5" x14ac:dyDescent="0.25">
      <c r="A7372" t="str">
        <f ca="1">IFERROR(__xludf.DUMMYFUNCTION("""COMPUTED_VALUE"""),"Salmonella Sudan")</f>
        <v>Salmonella Sudan</v>
      </c>
      <c r="B7372" t="str">
        <f ca="1">IFERROR(__xludf.DUMMYFUNCTION("""COMPUTED_VALUE"""),"RF-00001349-MCG")</f>
        <v>RF-00001349-MCG</v>
      </c>
    </row>
    <row r="7373" spans="1:2" ht="12.5" x14ac:dyDescent="0.25">
      <c r="A7373" t="str">
        <f ca="1">IFERROR(__xludf.DUMMYFUNCTION("""COMPUTED_VALUE"""),"Salmonella Suelldorf")</f>
        <v>Salmonella Suelldorf</v>
      </c>
      <c r="B7373" t="str">
        <f ca="1">IFERROR(__xludf.DUMMYFUNCTION("""COMPUTED_VALUE"""),"RF-00001348-MCG")</f>
        <v>RF-00001348-MCG</v>
      </c>
    </row>
    <row r="7374" spans="1:2" ht="12.5" x14ac:dyDescent="0.25">
      <c r="A7374" t="str">
        <f ca="1">IFERROR(__xludf.DUMMYFUNCTION("""COMPUTED_VALUE"""),"Salmonella Sundsvall")</f>
        <v>Salmonella Sundsvall</v>
      </c>
      <c r="B7374" t="str">
        <f ca="1">IFERROR(__xludf.DUMMYFUNCTION("""COMPUTED_VALUE"""),"RF-00001347-MCG")</f>
        <v>RF-00001347-MCG</v>
      </c>
    </row>
    <row r="7375" spans="1:2" ht="12.5" x14ac:dyDescent="0.25">
      <c r="A7375" t="str">
        <f ca="1">IFERROR(__xludf.DUMMYFUNCTION("""COMPUTED_VALUE"""),"Salmonella Sunnycove")</f>
        <v>Salmonella Sunnycove</v>
      </c>
      <c r="B7375" t="str">
        <f ca="1">IFERROR(__xludf.DUMMYFUNCTION("""COMPUTED_VALUE"""),"RF-00001346-MCG")</f>
        <v>RF-00001346-MCG</v>
      </c>
    </row>
    <row r="7376" spans="1:2" ht="12.5" x14ac:dyDescent="0.25">
      <c r="A7376" t="str">
        <f ca="1">IFERROR(__xludf.DUMMYFUNCTION("""COMPUTED_VALUE"""),"Salmonella Surat")</f>
        <v>Salmonella Surat</v>
      </c>
      <c r="B7376" t="str">
        <f ca="1">IFERROR(__xludf.DUMMYFUNCTION("""COMPUTED_VALUE"""),"RF-00001345-MCG")</f>
        <v>RF-00001345-MCG</v>
      </c>
    </row>
    <row r="7377" spans="1:2" ht="12.5" x14ac:dyDescent="0.25">
      <c r="A7377" t="str">
        <f ca="1">IFERROR(__xludf.DUMMYFUNCTION("""COMPUTED_VALUE"""),"Salmonella Surrey")</f>
        <v>Salmonella Surrey</v>
      </c>
      <c r="B7377" t="str">
        <f ca="1">IFERROR(__xludf.DUMMYFUNCTION("""COMPUTED_VALUE"""),"RF-00001344-MCG")</f>
        <v>RF-00001344-MCG</v>
      </c>
    </row>
    <row r="7378" spans="1:2" ht="12.5" x14ac:dyDescent="0.25">
      <c r="A7378" t="str">
        <f ca="1">IFERROR(__xludf.DUMMYFUNCTION("""COMPUTED_VALUE"""),"Salmonella Svedvi")</f>
        <v>Salmonella Svedvi</v>
      </c>
      <c r="B7378" t="str">
        <f ca="1">IFERROR(__xludf.DUMMYFUNCTION("""COMPUTED_VALUE"""),"RF-00001343-MCG")</f>
        <v>RF-00001343-MCG</v>
      </c>
    </row>
    <row r="7379" spans="1:2" ht="12.5" x14ac:dyDescent="0.25">
      <c r="A7379" t="str">
        <f ca="1">IFERROR(__xludf.DUMMYFUNCTION("""COMPUTED_VALUE"""),"Salmonella Sya")</f>
        <v>Salmonella Sya</v>
      </c>
      <c r="B7379" t="str">
        <f ca="1">IFERROR(__xludf.DUMMYFUNCTION("""COMPUTED_VALUE"""),"RF-00001342-MCG")</f>
        <v>RF-00001342-MCG</v>
      </c>
    </row>
    <row r="7380" spans="1:2" ht="12.5" x14ac:dyDescent="0.25">
      <c r="A7380" t="str">
        <f ca="1">IFERROR(__xludf.DUMMYFUNCTION("""COMPUTED_VALUE"""),"Salmonella Sylvania")</f>
        <v>Salmonella Sylvania</v>
      </c>
      <c r="B7380" t="str">
        <f ca="1">IFERROR(__xludf.DUMMYFUNCTION("""COMPUTED_VALUE"""),"RF-00001341-MCG")</f>
        <v>RF-00001341-MCG</v>
      </c>
    </row>
    <row r="7381" spans="1:2" ht="12.5" x14ac:dyDescent="0.25">
      <c r="A7381" t="str">
        <f ca="1">IFERROR(__xludf.DUMMYFUNCTION("""COMPUTED_VALUE"""),"Salmonella Szentes")</f>
        <v>Salmonella Szentes</v>
      </c>
      <c r="B7381" t="str">
        <f ca="1">IFERROR(__xludf.DUMMYFUNCTION("""COMPUTED_VALUE"""),"RF-00001340-MCG")</f>
        <v>RF-00001340-MCG</v>
      </c>
    </row>
    <row r="7382" spans="1:2" ht="12.5" x14ac:dyDescent="0.25">
      <c r="A7382" t="str">
        <f ca="1">IFERROR(__xludf.DUMMYFUNCTION("""COMPUTED_VALUE"""),"Salmonella Tabligbo")</f>
        <v>Salmonella Tabligbo</v>
      </c>
      <c r="B7382" t="str">
        <f ca="1">IFERROR(__xludf.DUMMYFUNCTION("""COMPUTED_VALUE"""),"RF-00001339-MCG")</f>
        <v>RF-00001339-MCG</v>
      </c>
    </row>
    <row r="7383" spans="1:2" ht="12.5" x14ac:dyDescent="0.25">
      <c r="A7383" t="str">
        <f ca="1">IFERROR(__xludf.DUMMYFUNCTION("""COMPUTED_VALUE"""),"Salmonella Tado")</f>
        <v>Salmonella Tado</v>
      </c>
      <c r="B7383" t="str">
        <f ca="1">IFERROR(__xludf.DUMMYFUNCTION("""COMPUTED_VALUE"""),"RF-00001324-MCG")</f>
        <v>RF-00001324-MCG</v>
      </c>
    </row>
    <row r="7384" spans="1:2" ht="12.5" x14ac:dyDescent="0.25">
      <c r="A7384" t="str">
        <f ca="1">IFERROR(__xludf.DUMMYFUNCTION("""COMPUTED_VALUE"""),"Salmonella Tafo")</f>
        <v>Salmonella Tafo</v>
      </c>
      <c r="B7384" t="str">
        <f ca="1">IFERROR(__xludf.DUMMYFUNCTION("""COMPUTED_VALUE"""),"RF-00001337-MCG")</f>
        <v>RF-00001337-MCG</v>
      </c>
    </row>
    <row r="7385" spans="1:2" ht="12.5" x14ac:dyDescent="0.25">
      <c r="A7385" t="str">
        <f ca="1">IFERROR(__xludf.DUMMYFUNCTION("""COMPUTED_VALUE"""),"Salmonella Taiping")</f>
        <v>Salmonella Taiping</v>
      </c>
      <c r="B7385" t="str">
        <f ca="1">IFERROR(__xludf.DUMMYFUNCTION("""COMPUTED_VALUE"""),"RF-00001350-MCG")</f>
        <v>RF-00001350-MCG</v>
      </c>
    </row>
    <row r="7386" spans="1:2" ht="12.5" x14ac:dyDescent="0.25">
      <c r="A7386" t="str">
        <f ca="1">IFERROR(__xludf.DUMMYFUNCTION("""COMPUTED_VALUE"""),"Salmonella Takoradi")</f>
        <v>Salmonella Takoradi</v>
      </c>
      <c r="B7386" t="str">
        <f ca="1">IFERROR(__xludf.DUMMYFUNCTION("""COMPUTED_VALUE"""),"RF-00001335-MCG")</f>
        <v>RF-00001335-MCG</v>
      </c>
    </row>
    <row r="7387" spans="1:2" ht="12.5" x14ac:dyDescent="0.25">
      <c r="A7387" t="str">
        <f ca="1">IFERROR(__xludf.DUMMYFUNCTION("""COMPUTED_VALUE"""),"Salmonella Taksony")</f>
        <v>Salmonella Taksony</v>
      </c>
      <c r="B7387" t="str">
        <f ca="1">IFERROR(__xludf.DUMMYFUNCTION("""COMPUTED_VALUE"""),"RF-00001334-MCG")</f>
        <v>RF-00001334-MCG</v>
      </c>
    </row>
    <row r="7388" spans="1:2" ht="12.5" x14ac:dyDescent="0.25">
      <c r="A7388" t="str">
        <f ca="1">IFERROR(__xludf.DUMMYFUNCTION("""COMPUTED_VALUE"""),"Salmonella Tallahassee")</f>
        <v>Salmonella Tallahassee</v>
      </c>
      <c r="B7388" t="str">
        <f ca="1">IFERROR(__xludf.DUMMYFUNCTION("""COMPUTED_VALUE"""),"RF-00001333-MCG")</f>
        <v>RF-00001333-MCG</v>
      </c>
    </row>
    <row r="7389" spans="1:2" ht="12.5" x14ac:dyDescent="0.25">
      <c r="A7389" t="str">
        <f ca="1">IFERROR(__xludf.DUMMYFUNCTION("""COMPUTED_VALUE"""),"Salmonella Tamale")</f>
        <v>Salmonella Tamale</v>
      </c>
      <c r="B7389" t="str">
        <f ca="1">IFERROR(__xludf.DUMMYFUNCTION("""COMPUTED_VALUE"""),"RF-00001332-MCG")</f>
        <v>RF-00001332-MCG</v>
      </c>
    </row>
    <row r="7390" spans="1:2" ht="12.5" x14ac:dyDescent="0.25">
      <c r="A7390" t="str">
        <f ca="1">IFERROR(__xludf.DUMMYFUNCTION("""COMPUTED_VALUE"""),"Salmonella Tambacounda")</f>
        <v>Salmonella Tambacounda</v>
      </c>
      <c r="B7390" t="str">
        <f ca="1">IFERROR(__xludf.DUMMYFUNCTION("""COMPUTED_VALUE"""),"RF-00001331-MCG")</f>
        <v>RF-00001331-MCG</v>
      </c>
    </row>
    <row r="7391" spans="1:2" ht="12.5" x14ac:dyDescent="0.25">
      <c r="A7391" t="str">
        <f ca="1">IFERROR(__xludf.DUMMYFUNCTION("""COMPUTED_VALUE"""),"Salmonella Tamberma")</f>
        <v>Salmonella Tamberma</v>
      </c>
      <c r="B7391" t="str">
        <f ca="1">IFERROR(__xludf.DUMMYFUNCTION("""COMPUTED_VALUE"""),"RF-00001330-MCG")</f>
        <v>RF-00001330-MCG</v>
      </c>
    </row>
    <row r="7392" spans="1:2" ht="12.5" x14ac:dyDescent="0.25">
      <c r="A7392" t="str">
        <f ca="1">IFERROR(__xludf.DUMMYFUNCTION("""COMPUTED_VALUE"""),"Salmonella Tamilnadu")</f>
        <v>Salmonella Tamilnadu</v>
      </c>
      <c r="B7392" t="str">
        <f ca="1">IFERROR(__xludf.DUMMYFUNCTION("""COMPUTED_VALUE"""),"RF-00001329-MCG")</f>
        <v>RF-00001329-MCG</v>
      </c>
    </row>
    <row r="7393" spans="1:2" ht="12.5" x14ac:dyDescent="0.25">
      <c r="A7393" t="str">
        <f ca="1">IFERROR(__xludf.DUMMYFUNCTION("""COMPUTED_VALUE"""),"Salmonella Tampico")</f>
        <v>Salmonella Tampico</v>
      </c>
      <c r="B7393" t="str">
        <f ca="1">IFERROR(__xludf.DUMMYFUNCTION("""COMPUTED_VALUE"""),"RF-00001328-MCG")</f>
        <v>RF-00001328-MCG</v>
      </c>
    </row>
    <row r="7394" spans="1:2" ht="12.5" x14ac:dyDescent="0.25">
      <c r="A7394" t="str">
        <f ca="1">IFERROR(__xludf.DUMMYFUNCTION("""COMPUTED_VALUE"""),"Salmonella Tananarive")</f>
        <v>Salmonella Tananarive</v>
      </c>
      <c r="B7394" t="str">
        <f ca="1">IFERROR(__xludf.DUMMYFUNCTION("""COMPUTED_VALUE"""),"RF-00001327-MCG")</f>
        <v>RF-00001327-MCG</v>
      </c>
    </row>
    <row r="7395" spans="1:2" ht="12.5" x14ac:dyDescent="0.25">
      <c r="A7395" t="str">
        <f ca="1">IFERROR(__xludf.DUMMYFUNCTION("""COMPUTED_VALUE"""),"Salmonella Tanger")</f>
        <v>Salmonella Tanger</v>
      </c>
      <c r="B7395" t="str">
        <f ca="1">IFERROR(__xludf.DUMMYFUNCTION("""COMPUTED_VALUE"""),"RF-00001326-MCG")</f>
        <v>RF-00001326-MCG</v>
      </c>
    </row>
    <row r="7396" spans="1:2" ht="12.5" x14ac:dyDescent="0.25">
      <c r="A7396" t="str">
        <f ca="1">IFERROR(__xludf.DUMMYFUNCTION("""COMPUTED_VALUE"""),"Salmonella Tanzania")</f>
        <v>Salmonella Tanzania</v>
      </c>
      <c r="B7396" t="str">
        <f ca="1">IFERROR(__xludf.DUMMYFUNCTION("""COMPUTED_VALUE"""),"RF-00001158-MCG")</f>
        <v>RF-00001158-MCG</v>
      </c>
    </row>
    <row r="7397" spans="1:2" ht="12.5" x14ac:dyDescent="0.25">
      <c r="A7397" t="str">
        <f ca="1">IFERROR(__xludf.DUMMYFUNCTION("""COMPUTED_VALUE"""),"Salmonella Tarshyne")</f>
        <v>Salmonella Tarshyne</v>
      </c>
      <c r="B7397" t="str">
        <f ca="1">IFERROR(__xludf.DUMMYFUNCTION("""COMPUTED_VALUE"""),"RF-00001379-MCG")</f>
        <v>RF-00001379-MCG</v>
      </c>
    </row>
    <row r="7398" spans="1:2" ht="12.5" x14ac:dyDescent="0.25">
      <c r="A7398" t="str">
        <f ca="1">IFERROR(__xludf.DUMMYFUNCTION("""COMPUTED_VALUE"""),"Salmonella Taset")</f>
        <v>Salmonella Taset</v>
      </c>
      <c r="B7398" t="str">
        <f ca="1">IFERROR(__xludf.DUMMYFUNCTION("""COMPUTED_VALUE"""),"RF-00001216-MCG")</f>
        <v>RF-00001216-MCG</v>
      </c>
    </row>
    <row r="7399" spans="1:2" ht="12.5" x14ac:dyDescent="0.25">
      <c r="A7399" t="str">
        <f ca="1">IFERROR(__xludf.DUMMYFUNCTION("""COMPUTED_VALUE"""),"Salmonella Taunton")</f>
        <v>Salmonella Taunton</v>
      </c>
      <c r="B7399" t="str">
        <f ca="1">IFERROR(__xludf.DUMMYFUNCTION("""COMPUTED_VALUE"""),"RF-00001050-MCG")</f>
        <v>RF-00001050-MCG</v>
      </c>
    </row>
    <row r="7400" spans="1:2" ht="12.5" x14ac:dyDescent="0.25">
      <c r="A7400" t="str">
        <f ca="1">IFERROR(__xludf.DUMMYFUNCTION("""COMPUTED_VALUE"""),"Salmonella Taylor")</f>
        <v>Salmonella Taylor</v>
      </c>
      <c r="B7400" t="str">
        <f ca="1">IFERROR(__xludf.DUMMYFUNCTION("""COMPUTED_VALUE"""),"RF-00001049-MCG")</f>
        <v>RF-00001049-MCG</v>
      </c>
    </row>
    <row r="7401" spans="1:2" ht="12.5" x14ac:dyDescent="0.25">
      <c r="A7401" t="str">
        <f ca="1">IFERROR(__xludf.DUMMYFUNCTION("""COMPUTED_VALUE"""),"Salmonella Tchad")</f>
        <v>Salmonella Tchad</v>
      </c>
      <c r="B7401" t="str">
        <f ca="1">IFERROR(__xludf.DUMMYFUNCTION("""COMPUTED_VALUE"""),"RF-00001048-MCG")</f>
        <v>RF-00001048-MCG</v>
      </c>
    </row>
    <row r="7402" spans="1:2" ht="12.5" x14ac:dyDescent="0.25">
      <c r="A7402" t="str">
        <f ca="1">IFERROR(__xludf.DUMMYFUNCTION("""COMPUTED_VALUE"""),"Salmonella Tchamba")</f>
        <v>Salmonella Tchamba</v>
      </c>
      <c r="B7402" t="str">
        <f ca="1">IFERROR(__xludf.DUMMYFUNCTION("""COMPUTED_VALUE"""),"RF-00001047-MCG")</f>
        <v>RF-00001047-MCG</v>
      </c>
    </row>
    <row r="7403" spans="1:2" ht="12.5" x14ac:dyDescent="0.25">
      <c r="A7403" t="str">
        <f ca="1">IFERROR(__xludf.DUMMYFUNCTION("""COMPUTED_VALUE"""),"Salmonella Techimani")</f>
        <v>Salmonella Techimani</v>
      </c>
      <c r="B7403" t="str">
        <f ca="1">IFERROR(__xludf.DUMMYFUNCTION("""COMPUTED_VALUE"""),"RF-00001046-MCG")</f>
        <v>RF-00001046-MCG</v>
      </c>
    </row>
    <row r="7404" spans="1:2" ht="12.5" x14ac:dyDescent="0.25">
      <c r="A7404" t="str">
        <f ca="1">IFERROR(__xludf.DUMMYFUNCTION("""COMPUTED_VALUE"""),"Salmonella Teddington")</f>
        <v>Salmonella Teddington</v>
      </c>
      <c r="B7404" t="str">
        <f ca="1">IFERROR(__xludf.DUMMYFUNCTION("""COMPUTED_VALUE"""),"RF-00001045-MCG")</f>
        <v>RF-00001045-MCG</v>
      </c>
    </row>
    <row r="7405" spans="1:2" ht="12.5" x14ac:dyDescent="0.25">
      <c r="A7405" t="str">
        <f ca="1">IFERROR(__xludf.DUMMYFUNCTION("""COMPUTED_VALUE"""),"Salmonella Tees")</f>
        <v>Salmonella Tees</v>
      </c>
      <c r="B7405" t="str">
        <f ca="1">IFERROR(__xludf.DUMMYFUNCTION("""COMPUTED_VALUE"""),"RF-00001044-MCG")</f>
        <v>RF-00001044-MCG</v>
      </c>
    </row>
    <row r="7406" spans="1:2" ht="12.5" x14ac:dyDescent="0.25">
      <c r="A7406" t="str">
        <f ca="1">IFERROR(__xludf.DUMMYFUNCTION("""COMPUTED_VALUE"""),"Salmonella Tejas")</f>
        <v>Salmonella Tejas</v>
      </c>
      <c r="B7406" t="str">
        <f ca="1">IFERROR(__xludf.DUMMYFUNCTION("""COMPUTED_VALUE"""),"RF-00001043-MCG")</f>
        <v>RF-00001043-MCG</v>
      </c>
    </row>
    <row r="7407" spans="1:2" ht="12.5" x14ac:dyDescent="0.25">
      <c r="A7407" t="str">
        <f ca="1">IFERROR(__xludf.DUMMYFUNCTION("""COMPUTED_VALUE"""),"Salmonella Teko")</f>
        <v>Salmonella Teko</v>
      </c>
      <c r="B7407" t="str">
        <f ca="1">IFERROR(__xludf.DUMMYFUNCTION("""COMPUTED_VALUE"""),"RF-00001042-MCG")</f>
        <v>RF-00001042-MCG</v>
      </c>
    </row>
    <row r="7408" spans="1:2" ht="12.5" x14ac:dyDescent="0.25">
      <c r="A7408" t="str">
        <f ca="1">IFERROR(__xludf.DUMMYFUNCTION("""COMPUTED_VALUE"""),"Salmonella Telaviv")</f>
        <v>Salmonella Telaviv</v>
      </c>
      <c r="B7408" t="str">
        <f ca="1">IFERROR(__xludf.DUMMYFUNCTION("""COMPUTED_VALUE"""),"RF-00001041-MCG")</f>
        <v>RF-00001041-MCG</v>
      </c>
    </row>
    <row r="7409" spans="1:2" ht="12.5" x14ac:dyDescent="0.25">
      <c r="A7409" t="str">
        <f ca="1">IFERROR(__xludf.DUMMYFUNCTION("""COMPUTED_VALUE"""),"Salmonella Telelkebir")</f>
        <v>Salmonella Telelkebir</v>
      </c>
      <c r="B7409" t="str">
        <f ca="1">IFERROR(__xludf.DUMMYFUNCTION("""COMPUTED_VALUE"""),"RF-00001040-MCG")</f>
        <v>RF-00001040-MCG</v>
      </c>
    </row>
    <row r="7410" spans="1:2" ht="12.5" x14ac:dyDescent="0.25">
      <c r="A7410" t="str">
        <f ca="1">IFERROR(__xludf.DUMMYFUNCTION("""COMPUTED_VALUE"""),"Salmonella Telhashomer")</f>
        <v>Salmonella Telhashomer</v>
      </c>
      <c r="B7410" t="str">
        <f ca="1">IFERROR(__xludf.DUMMYFUNCTION("""COMPUTED_VALUE"""),"RF-00001025-MCG")</f>
        <v>RF-00001025-MCG</v>
      </c>
    </row>
    <row r="7411" spans="1:2" ht="12.5" x14ac:dyDescent="0.25">
      <c r="A7411" t="str">
        <f ca="1">IFERROR(__xludf.DUMMYFUNCTION("""COMPUTED_VALUE"""),"Salmonella Teltow")</f>
        <v>Salmonella Teltow</v>
      </c>
      <c r="B7411" t="str">
        <f ca="1">IFERROR(__xludf.DUMMYFUNCTION("""COMPUTED_VALUE"""),"RF-00001038-MCG")</f>
        <v>RF-00001038-MCG</v>
      </c>
    </row>
    <row r="7412" spans="1:2" ht="12.5" x14ac:dyDescent="0.25">
      <c r="A7412" t="str">
        <f ca="1">IFERROR(__xludf.DUMMYFUNCTION("""COMPUTED_VALUE"""),"Salmonella Tema")</f>
        <v>Salmonella Tema</v>
      </c>
      <c r="B7412" t="str">
        <f ca="1">IFERROR(__xludf.DUMMYFUNCTION("""COMPUTED_VALUE"""),"RF-00001051-MCG")</f>
        <v>RF-00001051-MCG</v>
      </c>
    </row>
    <row r="7413" spans="1:2" ht="12.5" x14ac:dyDescent="0.25">
      <c r="A7413" t="str">
        <f ca="1">IFERROR(__xludf.DUMMYFUNCTION("""COMPUTED_VALUE"""),"Salmonella Tendeba")</f>
        <v>Salmonella Tendeba</v>
      </c>
      <c r="B7413" t="str">
        <f ca="1">IFERROR(__xludf.DUMMYFUNCTION("""COMPUTED_VALUE"""),"RF-00001036-MCG")</f>
        <v>RF-00001036-MCG</v>
      </c>
    </row>
    <row r="7414" spans="1:2" ht="12.5" x14ac:dyDescent="0.25">
      <c r="A7414" t="str">
        <f ca="1">IFERROR(__xludf.DUMMYFUNCTION("""COMPUTED_VALUE"""),"Salmonella Tennenlohe")</f>
        <v>Salmonella Tennenlohe</v>
      </c>
      <c r="B7414" t="str">
        <f ca="1">IFERROR(__xludf.DUMMYFUNCTION("""COMPUTED_VALUE"""),"RF-00001035-MCG")</f>
        <v>RF-00001035-MCG</v>
      </c>
    </row>
    <row r="7415" spans="1:2" ht="12.5" x14ac:dyDescent="0.25">
      <c r="A7415" t="str">
        <f ca="1">IFERROR(__xludf.DUMMYFUNCTION("""COMPUTED_VALUE"""),"Salmonella Tennessee")</f>
        <v>Salmonella Tennessee</v>
      </c>
      <c r="B7415" t="str">
        <f ca="1">IFERROR(__xludf.DUMMYFUNCTION("""COMPUTED_VALUE"""),"RF-00001034-MCG")</f>
        <v>RF-00001034-MCG</v>
      </c>
    </row>
    <row r="7416" spans="1:2" ht="12.5" x14ac:dyDescent="0.25">
      <c r="A7416" t="str">
        <f ca="1">IFERROR(__xludf.DUMMYFUNCTION("""COMPUTED_VALUE"""),"Salmonella Tennyson")</f>
        <v>Salmonella Tennyson</v>
      </c>
      <c r="B7416" t="str">
        <f ca="1">IFERROR(__xludf.DUMMYFUNCTION("""COMPUTED_VALUE"""),"RF-00001033-MCG")</f>
        <v>RF-00001033-MCG</v>
      </c>
    </row>
    <row r="7417" spans="1:2" ht="12.5" x14ac:dyDescent="0.25">
      <c r="A7417" t="str">
        <f ca="1">IFERROR(__xludf.DUMMYFUNCTION("""COMPUTED_VALUE"""),"Salmonella Teshie")</f>
        <v>Salmonella Teshie</v>
      </c>
      <c r="B7417" t="str">
        <f ca="1">IFERROR(__xludf.DUMMYFUNCTION("""COMPUTED_VALUE"""),"RF-00001032-MCG")</f>
        <v>RF-00001032-MCG</v>
      </c>
    </row>
    <row r="7418" spans="1:2" ht="12.5" x14ac:dyDescent="0.25">
      <c r="A7418" t="str">
        <f ca="1">IFERROR(__xludf.DUMMYFUNCTION("""COMPUTED_VALUE"""),"Salmonella Texas")</f>
        <v>Salmonella Texas</v>
      </c>
      <c r="B7418" t="str">
        <f ca="1">IFERROR(__xludf.DUMMYFUNCTION("""COMPUTED_VALUE"""),"RF-00001031-MCG")</f>
        <v>RF-00001031-MCG</v>
      </c>
    </row>
    <row r="7419" spans="1:2" ht="12.5" x14ac:dyDescent="0.25">
      <c r="A7419" t="str">
        <f ca="1">IFERROR(__xludf.DUMMYFUNCTION("""COMPUTED_VALUE"""),"Salmonella Thayngen")</f>
        <v>Salmonella Thayngen</v>
      </c>
      <c r="B7419" t="str">
        <f ca="1">IFERROR(__xludf.DUMMYFUNCTION("""COMPUTED_VALUE"""),"RF-00001030-MCG")</f>
        <v>RF-00001030-MCG</v>
      </c>
    </row>
    <row r="7420" spans="1:2" ht="12.5" x14ac:dyDescent="0.25">
      <c r="A7420" t="str">
        <f ca="1">IFERROR(__xludf.DUMMYFUNCTION("""COMPUTED_VALUE"""),"Salmonella Thetford")</f>
        <v>Salmonella Thetford</v>
      </c>
      <c r="B7420" t="str">
        <f ca="1">IFERROR(__xludf.DUMMYFUNCTION("""COMPUTED_VALUE"""),"RF-00001029-MCG")</f>
        <v>RF-00001029-MCG</v>
      </c>
    </row>
    <row r="7421" spans="1:2" ht="12.5" x14ac:dyDescent="0.25">
      <c r="A7421" t="str">
        <f ca="1">IFERROR(__xludf.DUMMYFUNCTION("""COMPUTED_VALUE"""),"Salmonella Thiaroye")</f>
        <v>Salmonella Thiaroye</v>
      </c>
      <c r="B7421" t="str">
        <f ca="1">IFERROR(__xludf.DUMMYFUNCTION("""COMPUTED_VALUE"""),"RF-00001028-MCG")</f>
        <v>RF-00001028-MCG</v>
      </c>
    </row>
    <row r="7422" spans="1:2" ht="12.5" x14ac:dyDescent="0.25">
      <c r="A7422" t="str">
        <f ca="1">IFERROR(__xludf.DUMMYFUNCTION("""COMPUTED_VALUE"""),"Salmonella Thies")</f>
        <v>Salmonella Thies</v>
      </c>
      <c r="B7422" t="str">
        <f ca="1">IFERROR(__xludf.DUMMYFUNCTION("""COMPUTED_VALUE"""),"RF-00001027-MCG")</f>
        <v>RF-00001027-MCG</v>
      </c>
    </row>
    <row r="7423" spans="1:2" ht="12.5" x14ac:dyDescent="0.25">
      <c r="A7423" t="str">
        <f ca="1">IFERROR(__xludf.DUMMYFUNCTION("""COMPUTED_VALUE"""),"Salmonella Thompson")</f>
        <v>Salmonella Thompson</v>
      </c>
      <c r="B7423" t="str">
        <f ca="1">IFERROR(__xludf.DUMMYFUNCTION("""COMPUTED_VALUE"""),"RF-00001064-MCG")</f>
        <v>RF-00001064-MCG</v>
      </c>
    </row>
    <row r="7424" spans="1:2" ht="12.5" x14ac:dyDescent="0.25">
      <c r="A7424" t="str">
        <f ca="1">IFERROR(__xludf.DUMMYFUNCTION("""COMPUTED_VALUE"""),"Salmonella Tibati")</f>
        <v>Salmonella Tibati</v>
      </c>
      <c r="B7424" t="str">
        <f ca="1">IFERROR(__xludf.DUMMYFUNCTION("""COMPUTED_VALUE"""),"RF-00001037-MCG")</f>
        <v>RF-00001037-MCG</v>
      </c>
    </row>
    <row r="7425" spans="1:2" ht="12.5" x14ac:dyDescent="0.25">
      <c r="A7425" t="str">
        <f ca="1">IFERROR(__xludf.DUMMYFUNCTION("""COMPUTED_VALUE"""),"Salmonella Tienba")</f>
        <v>Salmonella Tienba</v>
      </c>
      <c r="B7425" t="str">
        <f ca="1">IFERROR(__xludf.DUMMYFUNCTION("""COMPUTED_VALUE"""),"RF-00001039-MCG")</f>
        <v>RF-00001039-MCG</v>
      </c>
    </row>
    <row r="7426" spans="1:2" ht="12.5" x14ac:dyDescent="0.25">
      <c r="A7426" t="str">
        <f ca="1">IFERROR(__xludf.DUMMYFUNCTION("""COMPUTED_VALUE"""),"Salmonella Tiergarten")</f>
        <v>Salmonella Tiergarten</v>
      </c>
      <c r="B7426" t="str">
        <f ca="1">IFERROR(__xludf.DUMMYFUNCTION("""COMPUTED_VALUE"""),"RF-00001077-MCG")</f>
        <v>RF-00001077-MCG</v>
      </c>
    </row>
    <row r="7427" spans="1:2" ht="12.5" x14ac:dyDescent="0.25">
      <c r="A7427" t="str">
        <f ca="1">IFERROR(__xludf.DUMMYFUNCTION("""COMPUTED_VALUE"""),"Salmonella Tiko")</f>
        <v>Salmonella Tiko</v>
      </c>
      <c r="B7427" t="str">
        <f ca="1">IFERROR(__xludf.DUMMYFUNCTION("""COMPUTED_VALUE"""),"RF-00001076-MCG")</f>
        <v>RF-00001076-MCG</v>
      </c>
    </row>
    <row r="7428" spans="1:2" ht="12.5" x14ac:dyDescent="0.25">
      <c r="A7428" t="str">
        <f ca="1">IFERROR(__xludf.DUMMYFUNCTION("""COMPUTED_VALUE"""),"Salmonella Tilburg")</f>
        <v>Salmonella Tilburg</v>
      </c>
      <c r="B7428" t="str">
        <f ca="1">IFERROR(__xludf.DUMMYFUNCTION("""COMPUTED_VALUE"""),"RF-00001075-MCG")</f>
        <v>RF-00001075-MCG</v>
      </c>
    </row>
    <row r="7429" spans="1:2" ht="12.5" x14ac:dyDescent="0.25">
      <c r="A7429" t="str">
        <f ca="1">IFERROR(__xludf.DUMMYFUNCTION("""COMPUTED_VALUE"""),"Salmonella Tilene")</f>
        <v>Salmonella Tilene</v>
      </c>
      <c r="B7429" t="str">
        <f ca="1">IFERROR(__xludf.DUMMYFUNCTION("""COMPUTED_VALUE"""),"RF-00001074-MCG")</f>
        <v>RF-00001074-MCG</v>
      </c>
    </row>
    <row r="7430" spans="1:2" ht="12.5" x14ac:dyDescent="0.25">
      <c r="A7430" t="str">
        <f ca="1">IFERROR(__xludf.DUMMYFUNCTION("""COMPUTED_VALUE"""),"Salmonella Tinda")</f>
        <v>Salmonella Tinda</v>
      </c>
      <c r="B7430" t="str">
        <f ca="1">IFERROR(__xludf.DUMMYFUNCTION("""COMPUTED_VALUE"""),"RF-00001073-MCG")</f>
        <v>RF-00001073-MCG</v>
      </c>
    </row>
    <row r="7431" spans="1:2" ht="12.5" x14ac:dyDescent="0.25">
      <c r="A7431" t="str">
        <f ca="1">IFERROR(__xludf.DUMMYFUNCTION("""COMPUTED_VALUE"""),"Salmonella Tione")</f>
        <v>Salmonella Tione</v>
      </c>
      <c r="B7431" t="str">
        <f ca="1">IFERROR(__xludf.DUMMYFUNCTION("""COMPUTED_VALUE"""),"RF-00001072-MCG")</f>
        <v>RF-00001072-MCG</v>
      </c>
    </row>
    <row r="7432" spans="1:2" ht="12.5" x14ac:dyDescent="0.25">
      <c r="A7432" t="str">
        <f ca="1">IFERROR(__xludf.DUMMYFUNCTION("""COMPUTED_VALUE"""),"Salmonella Togba")</f>
        <v>Salmonella Togba</v>
      </c>
      <c r="B7432" t="str">
        <f ca="1">IFERROR(__xludf.DUMMYFUNCTION("""COMPUTED_VALUE"""),"RF-00001071-MCG")</f>
        <v>RF-00001071-MCG</v>
      </c>
    </row>
    <row r="7433" spans="1:2" ht="12.5" x14ac:dyDescent="0.25">
      <c r="A7433" t="str">
        <f ca="1">IFERROR(__xludf.DUMMYFUNCTION("""COMPUTED_VALUE"""),"Salmonella Togo")</f>
        <v>Salmonella Togo</v>
      </c>
      <c r="B7433" t="str">
        <f ca="1">IFERROR(__xludf.DUMMYFUNCTION("""COMPUTED_VALUE"""),"RF-00001070-MCG")</f>
        <v>RF-00001070-MCG</v>
      </c>
    </row>
    <row r="7434" spans="1:2" ht="12.5" x14ac:dyDescent="0.25">
      <c r="A7434" t="str">
        <f ca="1">IFERROR(__xludf.DUMMYFUNCTION("""COMPUTED_VALUE"""),"Salmonella Tokoin")</f>
        <v>Salmonella Tokoin</v>
      </c>
      <c r="B7434" t="str">
        <f ca="1">IFERROR(__xludf.DUMMYFUNCTION("""COMPUTED_VALUE"""),"RF-00001069-MCG")</f>
        <v>RF-00001069-MCG</v>
      </c>
    </row>
    <row r="7435" spans="1:2" ht="12.5" x14ac:dyDescent="0.25">
      <c r="A7435" t="str">
        <f ca="1">IFERROR(__xludf.DUMMYFUNCTION("""COMPUTED_VALUE"""),"Salmonella Tomegbe")</f>
        <v>Salmonella Tomegbe</v>
      </c>
      <c r="B7435" t="str">
        <f ca="1">IFERROR(__xludf.DUMMYFUNCTION("""COMPUTED_VALUE"""),"RF-00001068-MCG")</f>
        <v>RF-00001068-MCG</v>
      </c>
    </row>
    <row r="7436" spans="1:2" ht="12.5" x14ac:dyDescent="0.25">
      <c r="A7436" t="str">
        <f ca="1">IFERROR(__xludf.DUMMYFUNCTION("""COMPUTED_VALUE"""),"Salmonella Tomelilla")</f>
        <v>Salmonella Tomelilla</v>
      </c>
      <c r="B7436" t="str">
        <f ca="1">IFERROR(__xludf.DUMMYFUNCTION("""COMPUTED_VALUE"""),"RF-00001067-MCG")</f>
        <v>RF-00001067-MCG</v>
      </c>
    </row>
    <row r="7437" spans="1:2" ht="12.5" x14ac:dyDescent="0.25">
      <c r="A7437" t="str">
        <f ca="1">IFERROR(__xludf.DUMMYFUNCTION("""COMPUTED_VALUE"""),"Salmonella Tonev")</f>
        <v>Salmonella Tonev</v>
      </c>
      <c r="B7437" t="str">
        <f ca="1">IFERROR(__xludf.DUMMYFUNCTION("""COMPUTED_VALUE"""),"RF-00001052-MCG")</f>
        <v>RF-00001052-MCG</v>
      </c>
    </row>
    <row r="7438" spans="1:2" ht="12.5" x14ac:dyDescent="0.25">
      <c r="A7438" t="str">
        <f ca="1">IFERROR(__xludf.DUMMYFUNCTION("""COMPUTED_VALUE"""),"Salmonella Toowong")</f>
        <v>Salmonella Toowong</v>
      </c>
      <c r="B7438" t="str">
        <f ca="1">IFERROR(__xludf.DUMMYFUNCTION("""COMPUTED_VALUE"""),"RF-00001065-MCG")</f>
        <v>RF-00001065-MCG</v>
      </c>
    </row>
    <row r="7439" spans="1:2" ht="12.5" x14ac:dyDescent="0.25">
      <c r="A7439" t="str">
        <f ca="1">IFERROR(__xludf.DUMMYFUNCTION("""COMPUTED_VALUE"""),"Salmonella Torhout")</f>
        <v>Salmonella Torhout</v>
      </c>
      <c r="B7439" t="str">
        <f ca="1">IFERROR(__xludf.DUMMYFUNCTION("""COMPUTED_VALUE"""),"RF-00001078-MCG")</f>
        <v>RF-00001078-MCG</v>
      </c>
    </row>
    <row r="7440" spans="1:2" ht="12.5" x14ac:dyDescent="0.25">
      <c r="A7440" t="str">
        <f ca="1">IFERROR(__xludf.DUMMYFUNCTION("""COMPUTED_VALUE"""),"Salmonella Toricada")</f>
        <v>Salmonella Toricada</v>
      </c>
      <c r="B7440" t="str">
        <f ca="1">IFERROR(__xludf.DUMMYFUNCTION("""COMPUTED_VALUE"""),"RF-00001063-MCG")</f>
        <v>RF-00001063-MCG</v>
      </c>
    </row>
    <row r="7441" spans="1:2" ht="12.5" x14ac:dyDescent="0.25">
      <c r="A7441" t="str">
        <f ca="1">IFERROR(__xludf.DUMMYFUNCTION("""COMPUTED_VALUE"""),"Salmonella Tornow")</f>
        <v>Salmonella Tornow</v>
      </c>
      <c r="B7441" t="str">
        <f ca="1">IFERROR(__xludf.DUMMYFUNCTION("""COMPUTED_VALUE"""),"RF-00001062-MCG")</f>
        <v>RF-00001062-MCG</v>
      </c>
    </row>
    <row r="7442" spans="1:2" ht="12.5" x14ac:dyDescent="0.25">
      <c r="A7442" t="str">
        <f ca="1">IFERROR(__xludf.DUMMYFUNCTION("""COMPUTED_VALUE"""),"Salmonella Toronto")</f>
        <v>Salmonella Toronto</v>
      </c>
      <c r="B7442" t="str">
        <f ca="1">IFERROR(__xludf.DUMMYFUNCTION("""COMPUTED_VALUE"""),"RF-00001061-MCG")</f>
        <v>RF-00001061-MCG</v>
      </c>
    </row>
    <row r="7443" spans="1:2" ht="12.5" x14ac:dyDescent="0.25">
      <c r="A7443" t="str">
        <f ca="1">IFERROR(__xludf.DUMMYFUNCTION("""COMPUTED_VALUE"""),"Salmonella Toucra")</f>
        <v>Salmonella Toucra</v>
      </c>
      <c r="B7443" t="str">
        <f ca="1">IFERROR(__xludf.DUMMYFUNCTION("""COMPUTED_VALUE"""),"RF-00001060-MCG")</f>
        <v>RF-00001060-MCG</v>
      </c>
    </row>
    <row r="7444" spans="1:2" ht="12.5" x14ac:dyDescent="0.25">
      <c r="A7444" t="str">
        <f ca="1">IFERROR(__xludf.DUMMYFUNCTION("""COMPUTED_VALUE"""),"Salmonella Toulon")</f>
        <v>Salmonella Toulon</v>
      </c>
      <c r="B7444" t="str">
        <f ca="1">IFERROR(__xludf.DUMMYFUNCTION("""COMPUTED_VALUE"""),"RF-00001059-MCG")</f>
        <v>RF-00001059-MCG</v>
      </c>
    </row>
    <row r="7445" spans="1:2" ht="12.5" x14ac:dyDescent="0.25">
      <c r="A7445" t="str">
        <f ca="1">IFERROR(__xludf.DUMMYFUNCTION("""COMPUTED_VALUE"""),"Salmonella Tounouma")</f>
        <v>Salmonella Tounouma</v>
      </c>
      <c r="B7445" t="str">
        <f ca="1">IFERROR(__xludf.DUMMYFUNCTION("""COMPUTED_VALUE"""),"RF-00001058-MCG")</f>
        <v>RF-00001058-MCG</v>
      </c>
    </row>
    <row r="7446" spans="1:2" ht="12.5" x14ac:dyDescent="0.25">
      <c r="A7446" t="str">
        <f ca="1">IFERROR(__xludf.DUMMYFUNCTION("""COMPUTED_VALUE"""),"Salmonella Tours")</f>
        <v>Salmonella Tours</v>
      </c>
      <c r="B7446" t="str">
        <f ca="1">IFERROR(__xludf.DUMMYFUNCTION("""COMPUTED_VALUE"""),"RF-00001057-MCG")</f>
        <v>RF-00001057-MCG</v>
      </c>
    </row>
    <row r="7447" spans="1:2" ht="12.5" x14ac:dyDescent="0.25">
      <c r="A7447" t="str">
        <f ca="1">IFERROR(__xludf.DUMMYFUNCTION("""COMPUTED_VALUE"""),"Salmonella Trachau")</f>
        <v>Salmonella Trachau</v>
      </c>
      <c r="B7447" t="str">
        <f ca="1">IFERROR(__xludf.DUMMYFUNCTION("""COMPUTED_VALUE"""),"RF-00001056-MCG")</f>
        <v>RF-00001056-MCG</v>
      </c>
    </row>
    <row r="7448" spans="1:2" ht="12.5" x14ac:dyDescent="0.25">
      <c r="A7448" t="str">
        <f ca="1">IFERROR(__xludf.DUMMYFUNCTION("""COMPUTED_VALUE"""),"Salmonella Transvaal")</f>
        <v>Salmonella Transvaal</v>
      </c>
      <c r="B7448" t="str">
        <f ca="1">IFERROR(__xludf.DUMMYFUNCTION("""COMPUTED_VALUE"""),"RF-00001055-MCG")</f>
        <v>RF-00001055-MCG</v>
      </c>
    </row>
    <row r="7449" spans="1:2" ht="12.5" x14ac:dyDescent="0.25">
      <c r="A7449" t="str">
        <f ca="1">IFERROR(__xludf.DUMMYFUNCTION("""COMPUTED_VALUE"""),"Salmonella Travis")</f>
        <v>Salmonella Travis</v>
      </c>
      <c r="B7449" t="str">
        <f ca="1">IFERROR(__xludf.DUMMYFUNCTION("""COMPUTED_VALUE"""),"RF-00001054-MCG")</f>
        <v>RF-00001054-MCG</v>
      </c>
    </row>
    <row r="7450" spans="1:2" ht="12.5" x14ac:dyDescent="0.25">
      <c r="A7450" t="str">
        <f ca="1">IFERROR(__xludf.DUMMYFUNCTION("""COMPUTED_VALUE"""),"Salmonella Treforest")</f>
        <v>Salmonella Treforest</v>
      </c>
      <c r="B7450" t="str">
        <f ca="1">IFERROR(__xludf.DUMMYFUNCTION("""COMPUTED_VALUE"""),"RF-00001053-MCG")</f>
        <v>RF-00001053-MCG</v>
      </c>
    </row>
    <row r="7451" spans="1:2" ht="12.5" x14ac:dyDescent="0.25">
      <c r="A7451" t="str">
        <f ca="1">IFERROR(__xludf.DUMMYFUNCTION("""COMPUTED_VALUE"""),"Salmonella Treguier")</f>
        <v>Salmonella Treguier</v>
      </c>
      <c r="B7451" t="str">
        <f ca="1">IFERROR(__xludf.DUMMYFUNCTION("""COMPUTED_VALUE"""),"RF-00001012-MCG")</f>
        <v>RF-00001012-MCG</v>
      </c>
    </row>
    <row r="7452" spans="1:2" ht="12.5" x14ac:dyDescent="0.25">
      <c r="A7452" t="str">
        <f ca="1">IFERROR(__xludf.DUMMYFUNCTION("""COMPUTED_VALUE"""),"Salmonella Trier")</f>
        <v>Salmonella Trier</v>
      </c>
      <c r="B7452" t="str">
        <f ca="1">IFERROR(__xludf.DUMMYFUNCTION("""COMPUTED_VALUE"""),"RF-00000972-MCG")</f>
        <v>RF-00000972-MCG</v>
      </c>
    </row>
    <row r="7453" spans="1:2" ht="12.5" x14ac:dyDescent="0.25">
      <c r="A7453" t="str">
        <f ca="1">IFERROR(__xludf.DUMMYFUNCTION("""COMPUTED_VALUE"""),"Salmonella Trimdon")</f>
        <v>Salmonella Trimdon</v>
      </c>
      <c r="B7453" t="str">
        <f ca="1">IFERROR(__xludf.DUMMYFUNCTION("""COMPUTED_VALUE"""),"RF-00001026-MCG")</f>
        <v>RF-00001026-MCG</v>
      </c>
    </row>
    <row r="7454" spans="1:2" ht="12.5" x14ac:dyDescent="0.25">
      <c r="A7454" t="str">
        <f ca="1">IFERROR(__xludf.DUMMYFUNCTION("""COMPUTED_VALUE"""),"Salmonella Tripoli")</f>
        <v>Salmonella Tripoli</v>
      </c>
      <c r="B7454" t="str">
        <f ca="1">IFERROR(__xludf.DUMMYFUNCTION("""COMPUTED_VALUE"""),"RF-00000995-MCG")</f>
        <v>RF-00000995-MCG</v>
      </c>
    </row>
    <row r="7455" spans="1:2" ht="12.5" x14ac:dyDescent="0.25">
      <c r="A7455" t="str">
        <f ca="1">IFERROR(__xludf.DUMMYFUNCTION("""COMPUTED_VALUE"""),"Salmonella Trotha")</f>
        <v>Salmonella Trotha</v>
      </c>
      <c r="B7455" t="str">
        <f ca="1">IFERROR(__xludf.DUMMYFUNCTION("""COMPUTED_VALUE"""),"RF-00000994-MCG")</f>
        <v>RF-00000994-MCG</v>
      </c>
    </row>
    <row r="7456" spans="1:2" ht="12.5" x14ac:dyDescent="0.25">
      <c r="A7456" t="str">
        <f ca="1">IFERROR(__xludf.DUMMYFUNCTION("""COMPUTED_VALUE"""),"Salmonella Truro")</f>
        <v>Salmonella Truro</v>
      </c>
      <c r="B7456" t="str">
        <f ca="1">IFERROR(__xludf.DUMMYFUNCTION("""COMPUTED_VALUE"""),"RF-00000993-MCG")</f>
        <v>RF-00000993-MCG</v>
      </c>
    </row>
    <row r="7457" spans="1:2" ht="12.5" x14ac:dyDescent="0.25">
      <c r="A7457" t="str">
        <f ca="1">IFERROR(__xludf.DUMMYFUNCTION("""COMPUTED_VALUE"""),"Salmonella Tschangu")</f>
        <v>Salmonella Tschangu</v>
      </c>
      <c r="B7457" t="str">
        <f ca="1">IFERROR(__xludf.DUMMYFUNCTION("""COMPUTED_VALUE"""),"RF-00000992-MCG")</f>
        <v>RF-00000992-MCG</v>
      </c>
    </row>
    <row r="7458" spans="1:2" ht="12.5" x14ac:dyDescent="0.25">
      <c r="A7458" t="str">
        <f ca="1">IFERROR(__xludf.DUMMYFUNCTION("""COMPUTED_VALUE"""),"Salmonella Tsevie")</f>
        <v>Salmonella Tsevie</v>
      </c>
      <c r="B7458" t="str">
        <f ca="1">IFERROR(__xludf.DUMMYFUNCTION("""COMPUTED_VALUE"""),"RF-00000991-MCG")</f>
        <v>RF-00000991-MCG</v>
      </c>
    </row>
    <row r="7459" spans="1:2" ht="12.5" x14ac:dyDescent="0.25">
      <c r="A7459" t="str">
        <f ca="1">IFERROR(__xludf.DUMMYFUNCTION("""COMPUTED_VALUE"""),"Salmonella Tshiongwe")</f>
        <v>Salmonella Tshiongwe</v>
      </c>
      <c r="B7459" t="str">
        <f ca="1">IFERROR(__xludf.DUMMYFUNCTION("""COMPUTED_VALUE"""),"RF-00000990-MCG")</f>
        <v>RF-00000990-MCG</v>
      </c>
    </row>
    <row r="7460" spans="1:2" ht="12.5" x14ac:dyDescent="0.25">
      <c r="A7460" t="str">
        <f ca="1">IFERROR(__xludf.DUMMYFUNCTION("""COMPUTED_VALUE"""),"Salmonella Tucson")</f>
        <v>Salmonella Tucson</v>
      </c>
      <c r="B7460" t="str">
        <f ca="1">IFERROR(__xludf.DUMMYFUNCTION("""COMPUTED_VALUE"""),"RF-00000989-MCG")</f>
        <v>RF-00000989-MCG</v>
      </c>
    </row>
    <row r="7461" spans="1:2" ht="12.5" x14ac:dyDescent="0.25">
      <c r="A7461" t="str">
        <f ca="1">IFERROR(__xludf.DUMMYFUNCTION("""COMPUTED_VALUE"""),"Salmonella Tudu")</f>
        <v>Salmonella Tudu</v>
      </c>
      <c r="B7461" t="str">
        <f ca="1">IFERROR(__xludf.DUMMYFUNCTION("""COMPUTED_VALUE"""),"RF-00000988-MCG")</f>
        <v>RF-00000988-MCG</v>
      </c>
    </row>
    <row r="7462" spans="1:2" ht="12.5" x14ac:dyDescent="0.25">
      <c r="A7462" t="str">
        <f ca="1">IFERROR(__xludf.DUMMYFUNCTION("""COMPUTED_VALUE"""),"Salmonella Tumodi")</f>
        <v>Salmonella Tumodi</v>
      </c>
      <c r="B7462" t="str">
        <f ca="1">IFERROR(__xludf.DUMMYFUNCTION("""COMPUTED_VALUE"""),"RF-00000987-MCG")</f>
        <v>RF-00000987-MCG</v>
      </c>
    </row>
    <row r="7463" spans="1:2" ht="12.5" x14ac:dyDescent="0.25">
      <c r="A7463" t="str">
        <f ca="1">IFERROR(__xludf.DUMMYFUNCTION("""COMPUTED_VALUE"""),"Salmonella Tunis")</f>
        <v>Salmonella Tunis</v>
      </c>
      <c r="B7463" t="str">
        <f ca="1">IFERROR(__xludf.DUMMYFUNCTION("""COMPUTED_VALUE"""),"RF-00000986-MCG")</f>
        <v>RF-00000986-MCG</v>
      </c>
    </row>
    <row r="7464" spans="1:2" ht="12.5" x14ac:dyDescent="0.25">
      <c r="A7464" t="str">
        <f ca="1">IFERROR(__xludf.DUMMYFUNCTION("""COMPUTED_VALUE"""),"Salmonella Typhi")</f>
        <v>Salmonella Typhi</v>
      </c>
      <c r="B7464" t="str">
        <f ca="1">IFERROR(__xludf.DUMMYFUNCTION("""COMPUTED_VALUE"""),"RF-00000971-MCG")</f>
        <v>RF-00000971-MCG</v>
      </c>
    </row>
    <row r="7465" spans="1:2" ht="12.5" x14ac:dyDescent="0.25">
      <c r="A7465" t="str">
        <f ca="1">IFERROR(__xludf.DUMMYFUNCTION("""COMPUTED_VALUE"""),"Salmonella typhimurium")</f>
        <v>Salmonella typhimurium</v>
      </c>
      <c r="B7465" t="str">
        <f ca="1">IFERROR(__xludf.DUMMYFUNCTION("""COMPUTED_VALUE"""),"RF-00002265-MCG")</f>
        <v>RF-00002265-MCG</v>
      </c>
    </row>
    <row r="7466" spans="1:2" ht="12.5" x14ac:dyDescent="0.25">
      <c r="A7466" t="str">
        <f ca="1">IFERROR(__xludf.DUMMYFUNCTION("""COMPUTED_VALUE"""),"Salmonella Typhimurium 1")</f>
        <v>Salmonella Typhimurium 1</v>
      </c>
      <c r="B7466" t="str">
        <f ca="1">IFERROR(__xludf.DUMMYFUNCTION("""COMPUTED_VALUE"""),"RF-00002369-MCG")</f>
        <v>RF-00002369-MCG</v>
      </c>
    </row>
    <row r="7467" spans="1:2" ht="12.5" x14ac:dyDescent="0.25">
      <c r="A7467" t="str">
        <f ca="1">IFERROR(__xludf.DUMMYFUNCTION("""COMPUTED_VALUE"""),"Salmonella Typhimurium 193")</f>
        <v>Salmonella Typhimurium 193</v>
      </c>
      <c r="B7467" t="str">
        <f ca="1">IFERROR(__xludf.DUMMYFUNCTION("""COMPUTED_VALUE"""),"RF-00002368-MCG")</f>
        <v>RF-00002368-MCG</v>
      </c>
    </row>
    <row r="7468" spans="1:2" ht="12.5" x14ac:dyDescent="0.25">
      <c r="A7468" t="str">
        <f ca="1">IFERROR(__xludf.DUMMYFUNCTION("""COMPUTED_VALUE"""),"Salmonella Typhimurium 1a")</f>
        <v>Salmonella Typhimurium 1a</v>
      </c>
      <c r="B7468" t="str">
        <f ca="1">IFERROR(__xludf.DUMMYFUNCTION("""COMPUTED_VALUE"""),"RF-00002367-MCG")</f>
        <v>RF-00002367-MCG</v>
      </c>
    </row>
    <row r="7469" spans="1:2" ht="12.5" x14ac:dyDescent="0.25">
      <c r="A7469" t="str">
        <f ca="1">IFERROR(__xludf.DUMMYFUNCTION("""COMPUTED_VALUE"""),"Salmonella Typhimurium 1a var1")</f>
        <v>Salmonella Typhimurium 1a var1</v>
      </c>
      <c r="B7469" t="str">
        <f ca="1">IFERROR(__xludf.DUMMYFUNCTION("""COMPUTED_VALUE"""),"RF-00002366-MCG")</f>
        <v>RF-00002366-MCG</v>
      </c>
    </row>
    <row r="7470" spans="1:2" ht="12.5" x14ac:dyDescent="0.25">
      <c r="A7470" t="str">
        <f ca="1">IFERROR(__xludf.DUMMYFUNCTION("""COMPUTED_VALUE"""),"Salmonella Typhimurium 1b")</f>
        <v>Salmonella Typhimurium 1b</v>
      </c>
      <c r="B7470" t="str">
        <f ca="1">IFERROR(__xludf.DUMMYFUNCTION("""COMPUTED_VALUE"""),"RF-00002365-MCG")</f>
        <v>RF-00002365-MCG</v>
      </c>
    </row>
    <row r="7471" spans="1:2" ht="12.5" x14ac:dyDescent="0.25">
      <c r="A7471" t="str">
        <f ca="1">IFERROR(__xludf.DUMMYFUNCTION("""COMPUTED_VALUE"""),"Salmonella Typhimurium 2")</f>
        <v>Salmonella Typhimurium 2</v>
      </c>
      <c r="B7471" t="str">
        <f ca="1">IFERROR(__xludf.DUMMYFUNCTION("""COMPUTED_VALUE"""),"RF-00002364-MCG")</f>
        <v>RF-00002364-MCG</v>
      </c>
    </row>
    <row r="7472" spans="1:2" ht="12.5" x14ac:dyDescent="0.25">
      <c r="A7472" t="str">
        <f ca="1">IFERROR(__xludf.DUMMYFUNCTION("""COMPUTED_VALUE"""),"Salmonella Typhimurium 2a")</f>
        <v>Salmonella Typhimurium 2a</v>
      </c>
      <c r="B7472" t="str">
        <f ca="1">IFERROR(__xludf.DUMMYFUNCTION("""COMPUTED_VALUE"""),"RF-00002363-MCG")</f>
        <v>RF-00002363-MCG</v>
      </c>
    </row>
    <row r="7473" spans="1:2" ht="12.5" x14ac:dyDescent="0.25">
      <c r="A7473" t="str">
        <f ca="1">IFERROR(__xludf.DUMMYFUNCTION("""COMPUTED_VALUE"""),"Salmonella Typhimurium 2b")</f>
        <v>Salmonella Typhimurium 2b</v>
      </c>
      <c r="B7473" t="str">
        <f ca="1">IFERROR(__xludf.DUMMYFUNCTION("""COMPUTED_VALUE"""),"RF-00002362-MCG")</f>
        <v>RF-00002362-MCG</v>
      </c>
    </row>
    <row r="7474" spans="1:2" ht="12.5" x14ac:dyDescent="0.25">
      <c r="A7474" t="str">
        <f ca="1">IFERROR(__xludf.DUMMYFUNCTION("""COMPUTED_VALUE"""),"Salmonella Typhimurium 2c")</f>
        <v>Salmonella Typhimurium 2c</v>
      </c>
      <c r="B7474" t="str">
        <f ca="1">IFERROR(__xludf.DUMMYFUNCTION("""COMPUTED_VALUE"""),"RF-00002350-MCG")</f>
        <v>RF-00002350-MCG</v>
      </c>
    </row>
    <row r="7475" spans="1:2" ht="12.5" x14ac:dyDescent="0.25">
      <c r="A7475" t="str">
        <f ca="1">IFERROR(__xludf.DUMMYFUNCTION("""COMPUTED_VALUE"""),"Salmonella Typhimurium 2d")</f>
        <v>Salmonella Typhimurium 2d</v>
      </c>
      <c r="B7475" t="str">
        <f ca="1">IFERROR(__xludf.DUMMYFUNCTION("""COMPUTED_VALUE"""),"RF-00002360-MCG")</f>
        <v>RF-00002360-MCG</v>
      </c>
    </row>
    <row r="7476" spans="1:2" ht="12.5" x14ac:dyDescent="0.25">
      <c r="A7476" t="str">
        <f ca="1">IFERROR(__xludf.DUMMYFUNCTION("""COMPUTED_VALUE"""),"Salmonella Typhimurium 3")</f>
        <v>Salmonella Typhimurium 3</v>
      </c>
      <c r="B7476" t="str">
        <f ca="1">IFERROR(__xludf.DUMMYFUNCTION("""COMPUTED_VALUE"""),"RF-00002370-MCG")</f>
        <v>RF-00002370-MCG</v>
      </c>
    </row>
    <row r="7477" spans="1:2" ht="12.5" x14ac:dyDescent="0.25">
      <c r="A7477" t="str">
        <f ca="1">IFERROR(__xludf.DUMMYFUNCTION("""COMPUTED_VALUE"""),"Salmonella Typhimurium 35")</f>
        <v>Salmonella Typhimurium 35</v>
      </c>
      <c r="B7477" t="str">
        <f ca="1">IFERROR(__xludf.DUMMYFUNCTION("""COMPUTED_VALUE"""),"RF-00002358-MCG")</f>
        <v>RF-00002358-MCG</v>
      </c>
    </row>
    <row r="7478" spans="1:2" ht="12.5" x14ac:dyDescent="0.25">
      <c r="A7478" t="str">
        <f ca="1">IFERROR(__xludf.DUMMYFUNCTION("""COMPUTED_VALUE"""),"Salmonella Typhimurium 3a")</f>
        <v>Salmonella Typhimurium 3a</v>
      </c>
      <c r="B7478" t="str">
        <f ca="1">IFERROR(__xludf.DUMMYFUNCTION("""COMPUTED_VALUE"""),"RF-00002357-MCG")</f>
        <v>RF-00002357-MCG</v>
      </c>
    </row>
    <row r="7479" spans="1:2" ht="12.5" x14ac:dyDescent="0.25">
      <c r="A7479" t="str">
        <f ca="1">IFERROR(__xludf.DUMMYFUNCTION("""COMPUTED_VALUE"""),"Salmonella Typhimurium 4")</f>
        <v>Salmonella Typhimurium 4</v>
      </c>
      <c r="B7479" t="str">
        <f ca="1">IFERROR(__xludf.DUMMYFUNCTION("""COMPUTED_VALUE"""),"RF-00002356-MCG")</f>
        <v>RF-00002356-MCG</v>
      </c>
    </row>
    <row r="7480" spans="1:2" ht="12.5" x14ac:dyDescent="0.25">
      <c r="A7480" t="str">
        <f ca="1">IFERROR(__xludf.DUMMYFUNCTION("""COMPUTED_VALUE"""),"Salmonella Typhimurium 5")</f>
        <v>Salmonella Typhimurium 5</v>
      </c>
      <c r="B7480" t="str">
        <f ca="1">IFERROR(__xludf.DUMMYFUNCTION("""COMPUTED_VALUE"""),"RF-00002355-MCG")</f>
        <v>RF-00002355-MCG</v>
      </c>
    </row>
    <row r="7481" spans="1:2" ht="12.5" x14ac:dyDescent="0.25">
      <c r="A7481" t="str">
        <f ca="1">IFERROR(__xludf.DUMMYFUNCTION("""COMPUTED_VALUE"""),"Salmonella Typhimurium 56a")</f>
        <v>Salmonella Typhimurium 56a</v>
      </c>
      <c r="B7481" t="str">
        <f ca="1">IFERROR(__xludf.DUMMYFUNCTION("""COMPUTED_VALUE"""),"RF-00002354-MCG")</f>
        <v>RF-00002354-MCG</v>
      </c>
    </row>
    <row r="7482" spans="1:2" ht="12.5" x14ac:dyDescent="0.25">
      <c r="A7482" t="str">
        <f ca="1">IFERROR(__xludf.DUMMYFUNCTION("""COMPUTED_VALUE"""),"Salmonella Typhimurium 7 var.")</f>
        <v>Salmonella Typhimurium 7 var.</v>
      </c>
      <c r="B7482" t="str">
        <f ca="1">IFERROR(__xludf.DUMMYFUNCTION("""COMPUTED_VALUE"""),"RF-00002353-MCG")</f>
        <v>RF-00002353-MCG</v>
      </c>
    </row>
    <row r="7483" spans="1:2" ht="12.5" x14ac:dyDescent="0.25">
      <c r="A7483" t="str">
        <f ca="1">IFERROR(__xludf.DUMMYFUNCTION("""COMPUTED_VALUE"""),"Salmonella Typhimurium DT 1")</f>
        <v>Salmonella Typhimurium DT 1</v>
      </c>
      <c r="B7483" t="str">
        <f ca="1">IFERROR(__xludf.DUMMYFUNCTION("""COMPUTED_VALUE"""),"RF-00002352-MCG")</f>
        <v>RF-00002352-MCG</v>
      </c>
    </row>
    <row r="7484" spans="1:2" ht="12.5" x14ac:dyDescent="0.25">
      <c r="A7484" t="str">
        <f ca="1">IFERROR(__xludf.DUMMYFUNCTION("""COMPUTED_VALUE"""),"Salmonella Typhimurium DT 10")</f>
        <v>Salmonella Typhimurium DT 10</v>
      </c>
      <c r="B7484" t="str">
        <f ca="1">IFERROR(__xludf.DUMMYFUNCTION("""COMPUTED_VALUE"""),"RF-00002351-MCG")</f>
        <v>RF-00002351-MCG</v>
      </c>
    </row>
    <row r="7485" spans="1:2" ht="12.5" x14ac:dyDescent="0.25">
      <c r="A7485" t="str">
        <f ca="1">IFERROR(__xludf.DUMMYFUNCTION("""COMPUTED_VALUE"""),"Salmonella Typhimurium DT 103")</f>
        <v>Salmonella Typhimurium DT 103</v>
      </c>
      <c r="B7485" t="str">
        <f ca="1">IFERROR(__xludf.DUMMYFUNCTION("""COMPUTED_VALUE"""),"RF-00002380-MCG")</f>
        <v>RF-00002380-MCG</v>
      </c>
    </row>
    <row r="7486" spans="1:2" ht="12.5" x14ac:dyDescent="0.25">
      <c r="A7486" t="str">
        <f ca="1">IFERROR(__xludf.DUMMYFUNCTION("""COMPUTED_VALUE"""),"Salmonella Typhimurium DT 104")</f>
        <v>Salmonella Typhimurium DT 104</v>
      </c>
      <c r="B7486" t="str">
        <f ca="1">IFERROR(__xludf.DUMMYFUNCTION("""COMPUTED_VALUE"""),"RF-00002382-MCG")</f>
        <v>RF-00002382-MCG</v>
      </c>
    </row>
    <row r="7487" spans="1:2" ht="12.5" x14ac:dyDescent="0.25">
      <c r="A7487" t="str">
        <f ca="1">IFERROR(__xludf.DUMMYFUNCTION("""COMPUTED_VALUE"""),"Salmonella Typhimurium DT 104a")</f>
        <v>Salmonella Typhimurium DT 104a</v>
      </c>
      <c r="B7487" t="str">
        <f ca="1">IFERROR(__xludf.DUMMYFUNCTION("""COMPUTED_VALUE"""),"RF-00002361-MCG")</f>
        <v>RF-00002361-MCG</v>
      </c>
    </row>
    <row r="7488" spans="1:2" ht="12.5" x14ac:dyDescent="0.25">
      <c r="A7488" t="str">
        <f ca="1">IFERROR(__xludf.DUMMYFUNCTION("""COMPUTED_VALUE"""),"Salmonella Typhimurium DT 104b")</f>
        <v>Salmonella Typhimurium DT 104b</v>
      </c>
      <c r="B7488" t="str">
        <f ca="1">IFERROR(__xludf.DUMMYFUNCTION("""COMPUTED_VALUE"""),"RF-00002390-MCG")</f>
        <v>RF-00002390-MCG</v>
      </c>
    </row>
    <row r="7489" spans="1:2" ht="12.5" x14ac:dyDescent="0.25">
      <c r="A7489" t="str">
        <f ca="1">IFERROR(__xludf.DUMMYFUNCTION("""COMPUTED_VALUE"""),"Salmonella Typhimurium DT 104b low")</f>
        <v>Salmonella Typhimurium DT 104b low</v>
      </c>
      <c r="B7489" t="str">
        <f ca="1">IFERROR(__xludf.DUMMYFUNCTION("""COMPUTED_VALUE"""),"RF-00002389-MCG")</f>
        <v>RF-00002389-MCG</v>
      </c>
    </row>
    <row r="7490" spans="1:2" ht="12.5" x14ac:dyDescent="0.25">
      <c r="A7490" t="str">
        <f ca="1">IFERROR(__xludf.DUMMYFUNCTION("""COMPUTED_VALUE"""),"Salmonella Typhimurium DT 104c")</f>
        <v>Salmonella Typhimurium DT 104c</v>
      </c>
      <c r="B7490" t="str">
        <f ca="1">IFERROR(__xludf.DUMMYFUNCTION("""COMPUTED_VALUE"""),"RF-00002388-MCG")</f>
        <v>RF-00002388-MCG</v>
      </c>
    </row>
    <row r="7491" spans="1:2" ht="12.5" x14ac:dyDescent="0.25">
      <c r="A7491" t="str">
        <f ca="1">IFERROR(__xludf.DUMMYFUNCTION("""COMPUTED_VALUE"""),"Salmonella Typhimurium DT 104H")</f>
        <v>Salmonella Typhimurium DT 104H</v>
      </c>
      <c r="B7491" t="str">
        <f ca="1">IFERROR(__xludf.DUMMYFUNCTION("""COMPUTED_VALUE"""),"RF-00002387-MCG")</f>
        <v>RF-00002387-MCG</v>
      </c>
    </row>
    <row r="7492" spans="1:2" ht="12.5" x14ac:dyDescent="0.25">
      <c r="A7492" t="str">
        <f ca="1">IFERROR(__xludf.DUMMYFUNCTION("""COMPUTED_VALUE"""),"Salmonella Typhimurium DT 104l")</f>
        <v>Salmonella Typhimurium DT 104l</v>
      </c>
      <c r="B7492" t="str">
        <f ca="1">IFERROR(__xludf.DUMMYFUNCTION("""COMPUTED_VALUE"""),"RF-00002386-MCG")</f>
        <v>RF-00002386-MCG</v>
      </c>
    </row>
    <row r="7493" spans="1:2" ht="12.5" x14ac:dyDescent="0.25">
      <c r="A7493" t="str">
        <f ca="1">IFERROR(__xludf.DUMMYFUNCTION("""COMPUTED_VALUE"""),"Salmonella Typhimurium DT 107")</f>
        <v>Salmonella Typhimurium DT 107</v>
      </c>
      <c r="B7493" t="str">
        <f ca="1">IFERROR(__xludf.DUMMYFUNCTION("""COMPUTED_VALUE"""),"RF-00002385-MCG")</f>
        <v>RF-00002385-MCG</v>
      </c>
    </row>
    <row r="7494" spans="1:2" ht="12.5" x14ac:dyDescent="0.25">
      <c r="A7494" t="str">
        <f ca="1">IFERROR(__xludf.DUMMYFUNCTION("""COMPUTED_VALUE"""),"Salmonella Typhimurium DT 107b")</f>
        <v>Salmonella Typhimurium DT 107b</v>
      </c>
      <c r="B7494" t="str">
        <f ca="1">IFERROR(__xludf.DUMMYFUNCTION("""COMPUTED_VALUE"""),"RF-00002288-MCG")</f>
        <v>RF-00002288-MCG</v>
      </c>
    </row>
    <row r="7495" spans="1:2" ht="12.5" x14ac:dyDescent="0.25">
      <c r="A7495" t="str">
        <f ca="1">IFERROR(__xludf.DUMMYFUNCTION("""COMPUTED_VALUE"""),"Salmonella Typhimurium DT 109")</f>
        <v>Salmonella Typhimurium DT 109</v>
      </c>
      <c r="B7495" t="str">
        <f ca="1">IFERROR(__xludf.DUMMYFUNCTION("""COMPUTED_VALUE"""),"RF-00002384-MCG")</f>
        <v>RF-00002384-MCG</v>
      </c>
    </row>
    <row r="7496" spans="1:2" ht="12.5" x14ac:dyDescent="0.25">
      <c r="A7496" t="str">
        <f ca="1">IFERROR(__xludf.DUMMYFUNCTION("""COMPUTED_VALUE"""),"Salmonella Typhimurium DT 11")</f>
        <v>Salmonella Typhimurium DT 11</v>
      </c>
      <c r="B7496" t="str">
        <f ca="1">IFERROR(__xludf.DUMMYFUNCTION("""COMPUTED_VALUE"""),"RF-00002315-MCG")</f>
        <v>RF-00002315-MCG</v>
      </c>
    </row>
    <row r="7497" spans="1:2" ht="12.5" x14ac:dyDescent="0.25">
      <c r="A7497" t="str">
        <f ca="1">IFERROR(__xludf.DUMMYFUNCTION("""COMPUTED_VALUE"""),"Salmonella Typhimurium DT 110")</f>
        <v>Salmonella Typhimurium DT 110</v>
      </c>
      <c r="B7497" t="str">
        <f ca="1">IFERROR(__xludf.DUMMYFUNCTION("""COMPUTED_VALUE"""),"RF-00002383-MCG")</f>
        <v>RF-00002383-MCG</v>
      </c>
    </row>
    <row r="7498" spans="1:2" ht="12.5" x14ac:dyDescent="0.25">
      <c r="A7498" t="str">
        <f ca="1">IFERROR(__xludf.DUMMYFUNCTION("""COMPUTED_VALUE"""),"Salmonella Typhimurium DT 110a")</f>
        <v>Salmonella Typhimurium DT 110a</v>
      </c>
      <c r="B7498" t="str">
        <f ca="1">IFERROR(__xludf.DUMMYFUNCTION("""COMPUTED_VALUE"""),"RF-00002371-MCG")</f>
        <v>RF-00002371-MCG</v>
      </c>
    </row>
    <row r="7499" spans="1:2" ht="12.5" x14ac:dyDescent="0.25">
      <c r="A7499" t="str">
        <f ca="1">IFERROR(__xludf.DUMMYFUNCTION("""COMPUTED_VALUE"""),"Salmonella Typhimurium DT 110b")</f>
        <v>Salmonella Typhimurium DT 110b</v>
      </c>
      <c r="B7499" t="str">
        <f ca="1">IFERROR(__xludf.DUMMYFUNCTION("""COMPUTED_VALUE"""),"RF-00002381-MCG")</f>
        <v>RF-00002381-MCG</v>
      </c>
    </row>
    <row r="7500" spans="1:2" ht="12.5" x14ac:dyDescent="0.25">
      <c r="A7500" t="str">
        <f ca="1">IFERROR(__xludf.DUMMYFUNCTION("""COMPUTED_VALUE"""),"Salmonella Typhimurium DT 112")</f>
        <v>Salmonella Typhimurium DT 112</v>
      </c>
      <c r="B7500" t="str">
        <f ca="1">IFERROR(__xludf.DUMMYFUNCTION("""COMPUTED_VALUE"""),"RF-00002392-MCG")</f>
        <v>RF-00002392-MCG</v>
      </c>
    </row>
    <row r="7501" spans="1:2" ht="12.5" x14ac:dyDescent="0.25">
      <c r="A7501" t="str">
        <f ca="1">IFERROR(__xludf.DUMMYFUNCTION("""COMPUTED_VALUE"""),"Salmonella Typhimurium DT 114")</f>
        <v>Salmonella Typhimurium DT 114</v>
      </c>
      <c r="B7501" t="str">
        <f ca="1">IFERROR(__xludf.DUMMYFUNCTION("""COMPUTED_VALUE"""),"RF-00002379-MCG")</f>
        <v>RF-00002379-MCG</v>
      </c>
    </row>
    <row r="7502" spans="1:2" ht="12.5" x14ac:dyDescent="0.25">
      <c r="A7502" t="str">
        <f ca="1">IFERROR(__xludf.DUMMYFUNCTION("""COMPUTED_VALUE"""),"Salmonella Typhimurium DT 12")</f>
        <v>Salmonella Typhimurium DT 12</v>
      </c>
      <c r="B7502" t="str">
        <f ca="1">IFERROR(__xludf.DUMMYFUNCTION("""COMPUTED_VALUE"""),"RF-00002378-MCG")</f>
        <v>RF-00002378-MCG</v>
      </c>
    </row>
    <row r="7503" spans="1:2" ht="12.5" x14ac:dyDescent="0.25">
      <c r="A7503" t="str">
        <f ca="1">IFERROR(__xludf.DUMMYFUNCTION("""COMPUTED_VALUE"""),"Salmonella Typhimurium DT 120")</f>
        <v>Salmonella Typhimurium DT 120</v>
      </c>
      <c r="B7503" t="str">
        <f ca="1">IFERROR(__xludf.DUMMYFUNCTION("""COMPUTED_VALUE"""),"RF-00002377-MCG")</f>
        <v>RF-00002377-MCG</v>
      </c>
    </row>
    <row r="7504" spans="1:2" ht="12.5" x14ac:dyDescent="0.25">
      <c r="A7504" t="str">
        <f ca="1">IFERROR(__xludf.DUMMYFUNCTION("""COMPUTED_VALUE"""),"Salmonella Typhimurium DT 124")</f>
        <v>Salmonella Typhimurium DT 124</v>
      </c>
      <c r="B7504" t="str">
        <f ca="1">IFERROR(__xludf.DUMMYFUNCTION("""COMPUTED_VALUE"""),"RF-00002376-MCG")</f>
        <v>RF-00002376-MCG</v>
      </c>
    </row>
    <row r="7505" spans="1:2" ht="12.5" x14ac:dyDescent="0.25">
      <c r="A7505" t="str">
        <f ca="1">IFERROR(__xludf.DUMMYFUNCTION("""COMPUTED_VALUE"""),"Salmonella Typhimurium DT 125")</f>
        <v>Salmonella Typhimurium DT 125</v>
      </c>
      <c r="B7505" t="str">
        <f ca="1">IFERROR(__xludf.DUMMYFUNCTION("""COMPUTED_VALUE"""),"RF-00002375-MCG")</f>
        <v>RF-00002375-MCG</v>
      </c>
    </row>
    <row r="7506" spans="1:2" ht="12.5" x14ac:dyDescent="0.25">
      <c r="A7506" t="str">
        <f ca="1">IFERROR(__xludf.DUMMYFUNCTION("""COMPUTED_VALUE"""),"Salmonella Typhimurium DT 126")</f>
        <v>Salmonella Typhimurium DT 126</v>
      </c>
      <c r="B7506" t="str">
        <f ca="1">IFERROR(__xludf.DUMMYFUNCTION("""COMPUTED_VALUE"""),"RF-00002374-MCG")</f>
        <v>RF-00002374-MCG</v>
      </c>
    </row>
    <row r="7507" spans="1:2" ht="12.5" x14ac:dyDescent="0.25">
      <c r="A7507" t="str">
        <f ca="1">IFERROR(__xludf.DUMMYFUNCTION("""COMPUTED_VALUE"""),"Salmonella Typhimurium DT 126a")</f>
        <v>Salmonella Typhimurium DT 126a</v>
      </c>
      <c r="B7507" t="str">
        <f ca="1">IFERROR(__xludf.DUMMYFUNCTION("""COMPUTED_VALUE"""),"RF-00002373-MCG")</f>
        <v>RF-00002373-MCG</v>
      </c>
    </row>
    <row r="7508" spans="1:2" ht="12.5" x14ac:dyDescent="0.25">
      <c r="A7508" t="str">
        <f ca="1">IFERROR(__xludf.DUMMYFUNCTION("""COMPUTED_VALUE"""),"Salmonella Typhimurium DT 129")</f>
        <v>Salmonella Typhimurium DT 129</v>
      </c>
      <c r="B7508" t="str">
        <f ca="1">IFERROR(__xludf.DUMMYFUNCTION("""COMPUTED_VALUE"""),"RF-00002372-MCG")</f>
        <v>RF-00002372-MCG</v>
      </c>
    </row>
    <row r="7509" spans="1:2" ht="12.5" x14ac:dyDescent="0.25">
      <c r="A7509" t="str">
        <f ca="1">IFERROR(__xludf.DUMMYFUNCTION("""COMPUTED_VALUE"""),"Salmonella Typhimurium DT 12a")</f>
        <v>Salmonella Typhimurium DT 12a</v>
      </c>
      <c r="B7509" t="str">
        <f ca="1">IFERROR(__xludf.DUMMYFUNCTION("""COMPUTED_VALUE"""),"RF-00002348-MCG")</f>
        <v>RF-00002348-MCG</v>
      </c>
    </row>
    <row r="7510" spans="1:2" ht="12.5" x14ac:dyDescent="0.25">
      <c r="A7510" t="str">
        <f ca="1">IFERROR(__xludf.DUMMYFUNCTION("""COMPUTED_VALUE"""),"Salmonella Typhimurium DT 13")</f>
        <v>Salmonella Typhimurium DT 13</v>
      </c>
      <c r="B7510" t="str">
        <f ca="1">IFERROR(__xludf.DUMMYFUNCTION("""COMPUTED_VALUE"""),"RF-00002316-MCG")</f>
        <v>RF-00002316-MCG</v>
      </c>
    </row>
    <row r="7511" spans="1:2" ht="12.5" x14ac:dyDescent="0.25">
      <c r="A7511" t="str">
        <f ca="1">IFERROR(__xludf.DUMMYFUNCTION("""COMPUTED_VALUE"""),"Salmonella Typhimurium DT 131")</f>
        <v>Salmonella Typhimurium DT 131</v>
      </c>
      <c r="B7511" t="str">
        <f ca="1">IFERROR(__xludf.DUMMYFUNCTION("""COMPUTED_VALUE"""),"RF-00002359-MCG")</f>
        <v>RF-00002359-MCG</v>
      </c>
    </row>
    <row r="7512" spans="1:2" ht="12.5" x14ac:dyDescent="0.25">
      <c r="A7512" t="str">
        <f ca="1">IFERROR(__xludf.DUMMYFUNCTION("""COMPUTED_VALUE"""),"Salmonella Typhimurium DT 132")</f>
        <v>Salmonella Typhimurium DT 132</v>
      </c>
      <c r="B7512" t="str">
        <f ca="1">IFERROR(__xludf.DUMMYFUNCTION("""COMPUTED_VALUE"""),"RF-00002325-MCG")</f>
        <v>RF-00002325-MCG</v>
      </c>
    </row>
    <row r="7513" spans="1:2" ht="12.5" x14ac:dyDescent="0.25">
      <c r="A7513" t="str">
        <f ca="1">IFERROR(__xludf.DUMMYFUNCTION("""COMPUTED_VALUE"""),"Salmonella Typhimurium DT 135")</f>
        <v>Salmonella Typhimurium DT 135</v>
      </c>
      <c r="B7513" t="str">
        <f ca="1">IFERROR(__xludf.DUMMYFUNCTION("""COMPUTED_VALUE"""),"RF-00002324-MCG")</f>
        <v>RF-00002324-MCG</v>
      </c>
    </row>
    <row r="7514" spans="1:2" ht="12.5" x14ac:dyDescent="0.25">
      <c r="A7514" t="str">
        <f ca="1">IFERROR(__xludf.DUMMYFUNCTION("""COMPUTED_VALUE"""),"Salmonella Typhimurium DT 136")</f>
        <v>Salmonella Typhimurium DT 136</v>
      </c>
      <c r="B7514" t="str">
        <f ca="1">IFERROR(__xludf.DUMMYFUNCTION("""COMPUTED_VALUE"""),"RF-00002323-MCG")</f>
        <v>RF-00002323-MCG</v>
      </c>
    </row>
    <row r="7515" spans="1:2" ht="12.5" x14ac:dyDescent="0.25">
      <c r="A7515" t="str">
        <f ca="1">IFERROR(__xludf.DUMMYFUNCTION("""COMPUTED_VALUE"""),"Salmonella Typhimurium DT 137")</f>
        <v>Salmonella Typhimurium DT 137</v>
      </c>
      <c r="B7515" t="str">
        <f ca="1">IFERROR(__xludf.DUMMYFUNCTION("""COMPUTED_VALUE"""),"RF-00002322-MCG")</f>
        <v>RF-00002322-MCG</v>
      </c>
    </row>
    <row r="7516" spans="1:2" ht="12.5" x14ac:dyDescent="0.25">
      <c r="A7516" t="str">
        <f ca="1">IFERROR(__xludf.DUMMYFUNCTION("""COMPUTED_VALUE"""),"Salmonella Typhimurium DT 138")</f>
        <v>Salmonella Typhimurium DT 138</v>
      </c>
      <c r="B7516" t="str">
        <f ca="1">IFERROR(__xludf.DUMMYFUNCTION("""COMPUTED_VALUE"""),"RF-00002321-MCG")</f>
        <v>RF-00002321-MCG</v>
      </c>
    </row>
    <row r="7517" spans="1:2" ht="12.5" x14ac:dyDescent="0.25">
      <c r="A7517" t="str">
        <f ca="1">IFERROR(__xludf.DUMMYFUNCTION("""COMPUTED_VALUE"""),"Salmonella Typhimurium DT 139")</f>
        <v>Salmonella Typhimurium DT 139</v>
      </c>
      <c r="B7517" t="str">
        <f ca="1">IFERROR(__xludf.DUMMYFUNCTION("""COMPUTED_VALUE"""),"RF-00001323-PAR")</f>
        <v>RF-00001323-PAR</v>
      </c>
    </row>
    <row r="7518" spans="1:2" ht="12.5" x14ac:dyDescent="0.25">
      <c r="A7518" t="str">
        <f ca="1">IFERROR(__xludf.DUMMYFUNCTION("""COMPUTED_VALUE"""),"Salmonella Typhimurium DT 14")</f>
        <v>Salmonella Typhimurium DT 14</v>
      </c>
      <c r="B7518" t="str">
        <f ca="1">IFERROR(__xludf.DUMMYFUNCTION("""COMPUTED_VALUE"""),"RF-00002320-MCG")</f>
        <v>RF-00002320-MCG</v>
      </c>
    </row>
    <row r="7519" spans="1:2" ht="12.5" x14ac:dyDescent="0.25">
      <c r="A7519" t="str">
        <f ca="1">IFERROR(__xludf.DUMMYFUNCTION("""COMPUTED_VALUE"""),"Salmonella Typhimurium DT 140")</f>
        <v>Salmonella Typhimurium DT 140</v>
      </c>
      <c r="B7519" t="str">
        <f ca="1">IFERROR(__xludf.DUMMYFUNCTION("""COMPUTED_VALUE"""),"RF-00002319-MCG")</f>
        <v>RF-00002319-MCG</v>
      </c>
    </row>
    <row r="7520" spans="1:2" ht="12.5" x14ac:dyDescent="0.25">
      <c r="A7520" t="str">
        <f ca="1">IFERROR(__xludf.DUMMYFUNCTION("""COMPUTED_VALUE"""),"Salmonella Typhimurium DT 141")</f>
        <v>Salmonella Typhimurium DT 141</v>
      </c>
      <c r="B7520" t="str">
        <f ca="1">IFERROR(__xludf.DUMMYFUNCTION("""COMPUTED_VALUE"""),"RF-00002307-MCG")</f>
        <v>RF-00002307-MCG</v>
      </c>
    </row>
    <row r="7521" spans="1:2" ht="12.5" x14ac:dyDescent="0.25">
      <c r="A7521" t="str">
        <f ca="1">IFERROR(__xludf.DUMMYFUNCTION("""COMPUTED_VALUE"""),"Salmonella Typhimurium DT 143")</f>
        <v>Salmonella Typhimurium DT 143</v>
      </c>
      <c r="B7521" t="str">
        <f ca="1">IFERROR(__xludf.DUMMYFUNCTION("""COMPUTED_VALUE"""),"RF-00002317-MCG")</f>
        <v>RF-00002317-MCG</v>
      </c>
    </row>
    <row r="7522" spans="1:2" ht="12.5" x14ac:dyDescent="0.25">
      <c r="A7522" t="str">
        <f ca="1">IFERROR(__xludf.DUMMYFUNCTION("""COMPUTED_VALUE"""),"Salmonella Typhimurium DT 144")</f>
        <v>Salmonella Typhimurium DT 144</v>
      </c>
      <c r="B7522" t="str">
        <f ca="1">IFERROR(__xludf.DUMMYFUNCTION("""COMPUTED_VALUE"""),"RF-00002327-MCG")</f>
        <v>RF-00002327-MCG</v>
      </c>
    </row>
    <row r="7523" spans="1:2" ht="12.5" x14ac:dyDescent="0.25">
      <c r="A7523" t="str">
        <f ca="1">IFERROR(__xludf.DUMMYFUNCTION("""COMPUTED_VALUE"""),"Salmonella Typhimurium DT 14b")</f>
        <v>Salmonella Typhimurium DT 14b</v>
      </c>
      <c r="B7523" t="str">
        <f ca="1">IFERROR(__xludf.DUMMYFUNCTION("""COMPUTED_VALUE"""),"RF-00002426-MCG")</f>
        <v>RF-00002426-MCG</v>
      </c>
    </row>
    <row r="7524" spans="1:2" ht="12.5" x14ac:dyDescent="0.25">
      <c r="A7524" t="str">
        <f ca="1">IFERROR(__xludf.DUMMYFUNCTION("""COMPUTED_VALUE"""),"Salmonella Typhimurium DT 15")</f>
        <v>Salmonella Typhimurium DT 15</v>
      </c>
      <c r="B7524" t="str">
        <f ca="1">IFERROR(__xludf.DUMMYFUNCTION("""COMPUTED_VALUE"""),"RF-00002314-MCG")</f>
        <v>RF-00002314-MCG</v>
      </c>
    </row>
    <row r="7525" spans="1:2" ht="12.5" x14ac:dyDescent="0.25">
      <c r="A7525" t="str">
        <f ca="1">IFERROR(__xludf.DUMMYFUNCTION("""COMPUTED_VALUE"""),"Salmonella Typhimurium DT 151")</f>
        <v>Salmonella Typhimurium DT 151</v>
      </c>
      <c r="B7525" t="str">
        <f ca="1">IFERROR(__xludf.DUMMYFUNCTION("""COMPUTED_VALUE"""),"RF-00002391-MCG")</f>
        <v>RF-00002391-MCG</v>
      </c>
    </row>
    <row r="7526" spans="1:2" ht="12.5" x14ac:dyDescent="0.25">
      <c r="A7526" t="str">
        <f ca="1">IFERROR(__xludf.DUMMYFUNCTION("""COMPUTED_VALUE"""),"Salmonella Typhimurium DT 153")</f>
        <v>Salmonella Typhimurium DT 153</v>
      </c>
      <c r="B7526" t="str">
        <f ca="1">IFERROR(__xludf.DUMMYFUNCTION("""COMPUTED_VALUE"""),"RF-00002312-MCG")</f>
        <v>RF-00002312-MCG</v>
      </c>
    </row>
    <row r="7527" spans="1:2" ht="12.5" x14ac:dyDescent="0.25">
      <c r="A7527" t="str">
        <f ca="1">IFERROR(__xludf.DUMMYFUNCTION("""COMPUTED_VALUE"""),"Salmonella Typhimurium DT 15a")</f>
        <v>Salmonella Typhimurium DT 15a</v>
      </c>
      <c r="B7527" t="str">
        <f ca="1">IFERROR(__xludf.DUMMYFUNCTION("""COMPUTED_VALUE"""),"RF-00002311-MCG")</f>
        <v>RF-00002311-MCG</v>
      </c>
    </row>
    <row r="7528" spans="1:2" ht="12.5" x14ac:dyDescent="0.25">
      <c r="A7528" t="str">
        <f ca="1">IFERROR(__xludf.DUMMYFUNCTION("""COMPUTED_VALUE"""),"Salmonella Typhimurium DT 160")</f>
        <v>Salmonella Typhimurium DT 160</v>
      </c>
      <c r="B7528" t="str">
        <f ca="1">IFERROR(__xludf.DUMMYFUNCTION("""COMPUTED_VALUE"""),"RF-00002310-MCG")</f>
        <v>RF-00002310-MCG</v>
      </c>
    </row>
    <row r="7529" spans="1:2" ht="12.5" x14ac:dyDescent="0.25">
      <c r="A7529" t="str">
        <f ca="1">IFERROR(__xludf.DUMMYFUNCTION("""COMPUTED_VALUE"""),"Salmonella Typhimurium DT 161")</f>
        <v>Salmonella Typhimurium DT 161</v>
      </c>
      <c r="B7529" t="str">
        <f ca="1">IFERROR(__xludf.DUMMYFUNCTION("""COMPUTED_VALUE"""),"RF-00002309-MCG")</f>
        <v>RF-00002309-MCG</v>
      </c>
    </row>
    <row r="7530" spans="1:2" ht="12.5" x14ac:dyDescent="0.25">
      <c r="A7530" t="str">
        <f ca="1">IFERROR(__xludf.DUMMYFUNCTION("""COMPUTED_VALUE"""),"Salmonella Typhimurium DT 164")</f>
        <v>Salmonella Typhimurium DT 164</v>
      </c>
      <c r="B7530" t="str">
        <f ca="1">IFERROR(__xludf.DUMMYFUNCTION("""COMPUTED_VALUE"""),"RF-00002308-MCG")</f>
        <v>RF-00002308-MCG</v>
      </c>
    </row>
    <row r="7531" spans="1:2" ht="12.5" x14ac:dyDescent="0.25">
      <c r="A7531" t="str">
        <f ca="1">IFERROR(__xludf.DUMMYFUNCTION("""COMPUTED_VALUE"""),"Salmonella Typhimurium DT 166")</f>
        <v>Salmonella Typhimurium DT 166</v>
      </c>
      <c r="B7531" t="str">
        <f ca="1">IFERROR(__xludf.DUMMYFUNCTION("""COMPUTED_VALUE"""),"RF-00002337-MCG")</f>
        <v>RF-00002337-MCG</v>
      </c>
    </row>
    <row r="7532" spans="1:2" ht="12.5" x14ac:dyDescent="0.25">
      <c r="A7532" t="str">
        <f ca="1">IFERROR(__xludf.DUMMYFUNCTION("""COMPUTED_VALUE"""),"Salmonella Typhimurium DT 170")</f>
        <v>Salmonella Typhimurium DT 170</v>
      </c>
      <c r="B7532" t="str">
        <f ca="1">IFERROR(__xludf.DUMMYFUNCTION("""COMPUTED_VALUE"""),"RF-00002318-MCG")</f>
        <v>RF-00002318-MCG</v>
      </c>
    </row>
    <row r="7533" spans="1:2" ht="12.5" x14ac:dyDescent="0.25">
      <c r="A7533" t="str">
        <f ca="1">IFERROR(__xludf.DUMMYFUNCTION("""COMPUTED_VALUE"""),"Salmonella Typhimurium DT 170b")</f>
        <v>Salmonella Typhimurium DT 170b</v>
      </c>
      <c r="B7533" t="str">
        <f ca="1">IFERROR(__xludf.DUMMYFUNCTION("""COMPUTED_VALUE"""),"RF-00002347-MCG")</f>
        <v>RF-00002347-MCG</v>
      </c>
    </row>
    <row r="7534" spans="1:2" ht="12.5" x14ac:dyDescent="0.25">
      <c r="A7534" t="str">
        <f ca="1">IFERROR(__xludf.DUMMYFUNCTION("""COMPUTED_VALUE"""),"Salmonella Typhimurium DT 177")</f>
        <v>Salmonella Typhimurium DT 177</v>
      </c>
      <c r="B7534" t="str">
        <f ca="1">IFERROR(__xludf.DUMMYFUNCTION("""COMPUTED_VALUE"""),"RF-00002346-MCG")</f>
        <v>RF-00002346-MCG</v>
      </c>
    </row>
    <row r="7535" spans="1:2" ht="12.5" x14ac:dyDescent="0.25">
      <c r="A7535" t="str">
        <f ca="1">IFERROR(__xludf.DUMMYFUNCTION("""COMPUTED_VALUE"""),"Salmonella Typhimurium DT 178")</f>
        <v>Salmonella Typhimurium DT 178</v>
      </c>
      <c r="B7535" t="str">
        <f ca="1">IFERROR(__xludf.DUMMYFUNCTION("""COMPUTED_VALUE"""),"RF-00002345-MCG")</f>
        <v>RF-00002345-MCG</v>
      </c>
    </row>
    <row r="7536" spans="1:2" ht="12.5" x14ac:dyDescent="0.25">
      <c r="A7536" t="str">
        <f ca="1">IFERROR(__xludf.DUMMYFUNCTION("""COMPUTED_VALUE"""),"Salmonella Typhimurium DT 18")</f>
        <v>Salmonella Typhimurium DT 18</v>
      </c>
      <c r="B7536" t="str">
        <f ca="1">IFERROR(__xludf.DUMMYFUNCTION("""COMPUTED_VALUE"""),"RF-00002344-MCG")</f>
        <v>RF-00002344-MCG</v>
      </c>
    </row>
    <row r="7537" spans="1:2" ht="12.5" x14ac:dyDescent="0.25">
      <c r="A7537" t="str">
        <f ca="1">IFERROR(__xludf.DUMMYFUNCTION("""COMPUTED_VALUE"""),"Salmonella Typhimurium DT 185")</f>
        <v>Salmonella Typhimurium DT 185</v>
      </c>
      <c r="B7537" t="str">
        <f ca="1">IFERROR(__xludf.DUMMYFUNCTION("""COMPUTED_VALUE"""),"RF-00002343-MCG")</f>
        <v>RF-00002343-MCG</v>
      </c>
    </row>
    <row r="7538" spans="1:2" ht="12.5" x14ac:dyDescent="0.25">
      <c r="A7538" t="str">
        <f ca="1">IFERROR(__xludf.DUMMYFUNCTION("""COMPUTED_VALUE"""),"Salmonella Typhimurium DT 186")</f>
        <v>Salmonella Typhimurium DT 186</v>
      </c>
      <c r="B7538" t="str">
        <f ca="1">IFERROR(__xludf.DUMMYFUNCTION("""COMPUTED_VALUE"""),"RF-00002342-MCG")</f>
        <v>RF-00002342-MCG</v>
      </c>
    </row>
    <row r="7539" spans="1:2" ht="12.5" x14ac:dyDescent="0.25">
      <c r="A7539" t="str">
        <f ca="1">IFERROR(__xludf.DUMMYFUNCTION("""COMPUTED_VALUE"""),"Salmonella Typhimurium DT 19")</f>
        <v>Salmonella Typhimurium DT 19</v>
      </c>
      <c r="B7539" t="str">
        <f ca="1">IFERROR(__xludf.DUMMYFUNCTION("""COMPUTED_VALUE"""),"RF-00002341-MCG")</f>
        <v>RF-00002341-MCG</v>
      </c>
    </row>
    <row r="7540" spans="1:2" ht="12.5" x14ac:dyDescent="0.25">
      <c r="A7540" t="str">
        <f ca="1">IFERROR(__xludf.DUMMYFUNCTION("""COMPUTED_VALUE"""),"Salmonella Typhimurium DT 190")</f>
        <v>Salmonella Typhimurium DT 190</v>
      </c>
      <c r="B7540" t="str">
        <f ca="1">IFERROR(__xludf.DUMMYFUNCTION("""COMPUTED_VALUE"""),"RF-00001324-PAR")</f>
        <v>RF-00001324-PAR</v>
      </c>
    </row>
    <row r="7541" spans="1:2" ht="12.5" x14ac:dyDescent="0.25">
      <c r="A7541" t="str">
        <f ca="1">IFERROR(__xludf.DUMMYFUNCTION("""COMPUTED_VALUE"""),"Salmonella Typhimurium DT 191")</f>
        <v>Salmonella Typhimurium DT 191</v>
      </c>
      <c r="B7541" t="str">
        <f ca="1">IFERROR(__xludf.DUMMYFUNCTION("""COMPUTED_VALUE"""),"RF-00002340-MCG")</f>
        <v>RF-00002340-MCG</v>
      </c>
    </row>
    <row r="7542" spans="1:2" ht="12.5" x14ac:dyDescent="0.25">
      <c r="A7542" t="str">
        <f ca="1">IFERROR(__xludf.DUMMYFUNCTION("""COMPUTED_VALUE"""),"Salmonella Typhimurium DT 192")</f>
        <v>Salmonella Typhimurium DT 192</v>
      </c>
      <c r="B7542" t="str">
        <f ca="1">IFERROR(__xludf.DUMMYFUNCTION("""COMPUTED_VALUE"""),"RF-00002328-MCG")</f>
        <v>RF-00002328-MCG</v>
      </c>
    </row>
    <row r="7543" spans="1:2" ht="12.5" x14ac:dyDescent="0.25">
      <c r="A7543" t="str">
        <f ca="1">IFERROR(__xludf.DUMMYFUNCTION("""COMPUTED_VALUE"""),"Salmonella Typhimurium DT 193")</f>
        <v>Salmonella Typhimurium DT 193</v>
      </c>
      <c r="B7543" t="str">
        <f ca="1">IFERROR(__xludf.DUMMYFUNCTION("""COMPUTED_VALUE"""),"RF-00002338-MCG")</f>
        <v>RF-00002338-MCG</v>
      </c>
    </row>
    <row r="7544" spans="1:2" ht="12.5" x14ac:dyDescent="0.25">
      <c r="A7544" t="str">
        <f ca="1">IFERROR(__xludf.DUMMYFUNCTION("""COMPUTED_VALUE"""),"Salmonella Typhimurium DT 193a")</f>
        <v>Salmonella Typhimurium DT 193a</v>
      </c>
      <c r="B7544" t="str">
        <f ca="1">IFERROR(__xludf.DUMMYFUNCTION("""COMPUTED_VALUE"""),"RF-00002349-MCG")</f>
        <v>RF-00002349-MCG</v>
      </c>
    </row>
    <row r="7545" spans="1:2" ht="12.5" x14ac:dyDescent="0.25">
      <c r="A7545" t="str">
        <f ca="1">IFERROR(__xludf.DUMMYFUNCTION("""COMPUTED_VALUE"""),"Salmonella Typhimurium DT 194")</f>
        <v>Salmonella Typhimurium DT 194</v>
      </c>
      <c r="B7545" t="str">
        <f ca="1">IFERROR(__xludf.DUMMYFUNCTION("""COMPUTED_VALUE"""),"RF-00002336-MCG")</f>
        <v>RF-00002336-MCG</v>
      </c>
    </row>
    <row r="7546" spans="1:2" ht="12.5" x14ac:dyDescent="0.25">
      <c r="A7546" t="str">
        <f ca="1">IFERROR(__xludf.DUMMYFUNCTION("""COMPUTED_VALUE"""),"Salmonella Typhimurium DT 195")</f>
        <v>Salmonella Typhimurium DT 195</v>
      </c>
      <c r="B7546" t="str">
        <f ca="1">IFERROR(__xludf.DUMMYFUNCTION("""COMPUTED_VALUE"""),"RF-00002335-MCG")</f>
        <v>RF-00002335-MCG</v>
      </c>
    </row>
    <row r="7547" spans="1:2" ht="12.5" x14ac:dyDescent="0.25">
      <c r="A7547" t="str">
        <f ca="1">IFERROR(__xludf.DUMMYFUNCTION("""COMPUTED_VALUE"""),"Salmonella Typhimurium DT 197")</f>
        <v>Salmonella Typhimurium DT 197</v>
      </c>
      <c r="B7547" t="str">
        <f ca="1">IFERROR(__xludf.DUMMYFUNCTION("""COMPUTED_VALUE"""),"RF-00002334-MCG")</f>
        <v>RF-00002334-MCG</v>
      </c>
    </row>
    <row r="7548" spans="1:2" ht="12.5" x14ac:dyDescent="0.25">
      <c r="A7548" t="str">
        <f ca="1">IFERROR(__xludf.DUMMYFUNCTION("""COMPUTED_VALUE"""),"Salmonella Typhimurium DT 2")</f>
        <v>Salmonella Typhimurium DT 2</v>
      </c>
      <c r="B7548" t="str">
        <f ca="1">IFERROR(__xludf.DUMMYFUNCTION("""COMPUTED_VALUE"""),"RF-00002333-MCG")</f>
        <v>RF-00002333-MCG</v>
      </c>
    </row>
    <row r="7549" spans="1:2" ht="12.5" x14ac:dyDescent="0.25">
      <c r="A7549" t="str">
        <f ca="1">IFERROR(__xludf.DUMMYFUNCTION("""COMPUTED_VALUE"""),"Salmonella Typhimurium DT 20")</f>
        <v>Salmonella Typhimurium DT 20</v>
      </c>
      <c r="B7549" t="str">
        <f ca="1">IFERROR(__xludf.DUMMYFUNCTION("""COMPUTED_VALUE"""),"RF-00002332-MCG")</f>
        <v>RF-00002332-MCG</v>
      </c>
    </row>
    <row r="7550" spans="1:2" ht="12.5" x14ac:dyDescent="0.25">
      <c r="A7550" t="str">
        <f ca="1">IFERROR(__xludf.DUMMYFUNCTION("""COMPUTED_VALUE"""),"Salmonella Typhimurium DT 203")</f>
        <v>Salmonella Typhimurium DT 203</v>
      </c>
      <c r="B7550" t="str">
        <f ca="1">IFERROR(__xludf.DUMMYFUNCTION("""COMPUTED_VALUE"""),"RF-00002331-MCG")</f>
        <v>RF-00002331-MCG</v>
      </c>
    </row>
    <row r="7551" spans="1:2" ht="12.5" x14ac:dyDescent="0.25">
      <c r="A7551" t="str">
        <f ca="1">IFERROR(__xludf.DUMMYFUNCTION("""COMPUTED_VALUE"""),"Salmonella Typhimurium DT 206")</f>
        <v>Salmonella Typhimurium DT 206</v>
      </c>
      <c r="B7551" t="str">
        <f ca="1">IFERROR(__xludf.DUMMYFUNCTION("""COMPUTED_VALUE"""),"RF-00002330-MCG")</f>
        <v>RF-00002330-MCG</v>
      </c>
    </row>
    <row r="7552" spans="1:2" ht="12.5" x14ac:dyDescent="0.25">
      <c r="A7552" t="str">
        <f ca="1">IFERROR(__xludf.DUMMYFUNCTION("""COMPUTED_VALUE"""),"Salmonella Typhimurium DT 208")</f>
        <v>Salmonella Typhimurium DT 208</v>
      </c>
      <c r="B7552" t="str">
        <f ca="1">IFERROR(__xludf.DUMMYFUNCTION("""COMPUTED_VALUE"""),"RF-00002329-MCG")</f>
        <v>RF-00002329-MCG</v>
      </c>
    </row>
    <row r="7553" spans="1:2" ht="12.5" x14ac:dyDescent="0.25">
      <c r="A7553" t="str">
        <f ca="1">IFERROR(__xludf.DUMMYFUNCTION("""COMPUTED_VALUE"""),"Salmonella Typhimurium DT 20a")</f>
        <v>Salmonella Typhimurium DT 20a</v>
      </c>
      <c r="B7553" t="str">
        <f ca="1">IFERROR(__xludf.DUMMYFUNCTION("""COMPUTED_VALUE"""),"RF-00002326-MCG")</f>
        <v>RF-00002326-MCG</v>
      </c>
    </row>
    <row r="7554" spans="1:2" ht="12.5" x14ac:dyDescent="0.25">
      <c r="A7554" t="str">
        <f ca="1">IFERROR(__xludf.DUMMYFUNCTION("""COMPUTED_VALUE"""),"Salmonella Typhimurium DT 22")</f>
        <v>Salmonella Typhimurium DT 22</v>
      </c>
      <c r="B7554" t="str">
        <f ca="1">IFERROR(__xludf.DUMMYFUNCTION("""COMPUTED_VALUE"""),"RF-00002428-MCG")</f>
        <v>RF-00002428-MCG</v>
      </c>
    </row>
    <row r="7555" spans="1:2" ht="12.5" x14ac:dyDescent="0.25">
      <c r="A7555" t="str">
        <f ca="1">IFERROR(__xludf.DUMMYFUNCTION("""COMPUTED_VALUE"""),"Salmonella Typhimurium DT 26")</f>
        <v>Salmonella Typhimurium DT 26</v>
      </c>
      <c r="B7555" t="str">
        <f ca="1">IFERROR(__xludf.DUMMYFUNCTION("""COMPUTED_VALUE"""),"RF-00002454-MCG")</f>
        <v>RF-00002454-MCG</v>
      </c>
    </row>
    <row r="7556" spans="1:2" ht="12.5" x14ac:dyDescent="0.25">
      <c r="A7556" t="str">
        <f ca="1">IFERROR(__xludf.DUMMYFUNCTION("""COMPUTED_VALUE"""),"Salmonella Typhimurium DT 27")</f>
        <v>Salmonella Typhimurium DT 27</v>
      </c>
      <c r="B7556" t="str">
        <f ca="1">IFERROR(__xludf.DUMMYFUNCTION("""COMPUTED_VALUE"""),"RF-00002453-MCG")</f>
        <v>RF-00002453-MCG</v>
      </c>
    </row>
    <row r="7557" spans="1:2" ht="12.5" x14ac:dyDescent="0.25">
      <c r="A7557" t="str">
        <f ca="1">IFERROR(__xludf.DUMMYFUNCTION("""COMPUTED_VALUE"""),"Salmonella Typhimurium DT 28")</f>
        <v>Salmonella Typhimurium DT 28</v>
      </c>
      <c r="B7557" t="str">
        <f ca="1">IFERROR(__xludf.DUMMYFUNCTION("""COMPUTED_VALUE"""),"RF-00002452-MCG")</f>
        <v>RF-00002452-MCG</v>
      </c>
    </row>
    <row r="7558" spans="1:2" ht="12.5" x14ac:dyDescent="0.25">
      <c r="A7558" t="str">
        <f ca="1">IFERROR(__xludf.DUMMYFUNCTION("""COMPUTED_VALUE"""),"Salmonella Typhimurium DT 29")</f>
        <v>Salmonella Typhimurium DT 29</v>
      </c>
      <c r="B7558" t="str">
        <f ca="1">IFERROR(__xludf.DUMMYFUNCTION("""COMPUTED_VALUE"""),"RF-00002451-MCG")</f>
        <v>RF-00002451-MCG</v>
      </c>
    </row>
    <row r="7559" spans="1:2" ht="12.5" x14ac:dyDescent="0.25">
      <c r="A7559" t="str">
        <f ca="1">IFERROR(__xludf.DUMMYFUNCTION("""COMPUTED_VALUE"""),"Salmonella Typhimurium DT 2a")</f>
        <v>Salmonella Typhimurium DT 2a</v>
      </c>
      <c r="B7559" t="str">
        <f ca="1">IFERROR(__xludf.DUMMYFUNCTION("""COMPUTED_VALUE"""),"RF-00002450-MCG")</f>
        <v>RF-00002450-MCG</v>
      </c>
    </row>
    <row r="7560" spans="1:2" ht="12.5" x14ac:dyDescent="0.25">
      <c r="A7560" t="str">
        <f ca="1">IFERROR(__xludf.DUMMYFUNCTION("""COMPUTED_VALUE"""),"Salmonella Typhimurium DT 3")</f>
        <v>Salmonella Typhimurium DT 3</v>
      </c>
      <c r="B7560" t="str">
        <f ca="1">IFERROR(__xludf.DUMMYFUNCTION("""COMPUTED_VALUE"""),"RF-00002449-MCG")</f>
        <v>RF-00002449-MCG</v>
      </c>
    </row>
    <row r="7561" spans="1:2" ht="12.5" x14ac:dyDescent="0.25">
      <c r="A7561" t="str">
        <f ca="1">IFERROR(__xludf.DUMMYFUNCTION("""COMPUTED_VALUE"""),"Salmonella Typhimurium DT 30")</f>
        <v>Salmonella Typhimurium DT 30</v>
      </c>
      <c r="B7561" t="str">
        <f ca="1">IFERROR(__xludf.DUMMYFUNCTION("""COMPUTED_VALUE"""),"RF-00002448-MCG")</f>
        <v>RF-00002448-MCG</v>
      </c>
    </row>
    <row r="7562" spans="1:2" ht="12.5" x14ac:dyDescent="0.25">
      <c r="A7562" t="str">
        <f ca="1">IFERROR(__xludf.DUMMYFUNCTION("""COMPUTED_VALUE"""),"Salmonella Typhimurium DT 32")</f>
        <v>Salmonella Typhimurium DT 32</v>
      </c>
      <c r="B7562" t="str">
        <f ca="1">IFERROR(__xludf.DUMMYFUNCTION("""COMPUTED_VALUE"""),"RF-00002436-MCG")</f>
        <v>RF-00002436-MCG</v>
      </c>
    </row>
    <row r="7563" spans="1:2" ht="12.5" x14ac:dyDescent="0.25">
      <c r="A7563" t="str">
        <f ca="1">IFERROR(__xludf.DUMMYFUNCTION("""COMPUTED_VALUE"""),"Salmonella Typhimurium DT 35")</f>
        <v>Salmonella Typhimurium DT 35</v>
      </c>
      <c r="B7563" t="str">
        <f ca="1">IFERROR(__xludf.DUMMYFUNCTION("""COMPUTED_VALUE"""),"RF-00002446-MCG")</f>
        <v>RF-00002446-MCG</v>
      </c>
    </row>
    <row r="7564" spans="1:2" ht="12.5" x14ac:dyDescent="0.25">
      <c r="A7564" t="str">
        <f ca="1">IFERROR(__xludf.DUMMYFUNCTION("""COMPUTED_VALUE"""),"Salmonella Typhimurium DT 36")</f>
        <v>Salmonella Typhimurium DT 36</v>
      </c>
      <c r="B7564" t="str">
        <f ca="1">IFERROR(__xludf.DUMMYFUNCTION("""COMPUTED_VALUE"""),"RF-00002456-MCG")</f>
        <v>RF-00002456-MCG</v>
      </c>
    </row>
    <row r="7565" spans="1:2" ht="12.5" x14ac:dyDescent="0.25">
      <c r="A7565" t="str">
        <f ca="1">IFERROR(__xludf.DUMMYFUNCTION("""COMPUTED_VALUE"""),"Salmonella Typhimurium DT 38")</f>
        <v>Salmonella Typhimurium DT 38</v>
      </c>
      <c r="B7565" t="str">
        <f ca="1">IFERROR(__xludf.DUMMYFUNCTION("""COMPUTED_VALUE"""),"RF-00002444-MCG")</f>
        <v>RF-00002444-MCG</v>
      </c>
    </row>
    <row r="7566" spans="1:2" ht="12.5" x14ac:dyDescent="0.25">
      <c r="A7566" t="str">
        <f ca="1">IFERROR(__xludf.DUMMYFUNCTION("""COMPUTED_VALUE"""),"Salmonella Typhimurium DT 4")</f>
        <v>Salmonella Typhimurium DT 4</v>
      </c>
      <c r="B7566" t="str">
        <f ca="1">IFERROR(__xludf.DUMMYFUNCTION("""COMPUTED_VALUE"""),"RF-00002443-MCG")</f>
        <v>RF-00002443-MCG</v>
      </c>
    </row>
    <row r="7567" spans="1:2" ht="12.5" x14ac:dyDescent="0.25">
      <c r="A7567" t="str">
        <f ca="1">IFERROR(__xludf.DUMMYFUNCTION("""COMPUTED_VALUE"""),"Salmonella Typhimurium DT 40")</f>
        <v>Salmonella Typhimurium DT 40</v>
      </c>
      <c r="B7567" t="str">
        <f ca="1">IFERROR(__xludf.DUMMYFUNCTION("""COMPUTED_VALUE"""),"RF-00002442-MCG")</f>
        <v>RF-00002442-MCG</v>
      </c>
    </row>
    <row r="7568" spans="1:2" ht="12.5" x14ac:dyDescent="0.25">
      <c r="A7568" t="str">
        <f ca="1">IFERROR(__xludf.DUMMYFUNCTION("""COMPUTED_VALUE"""),"Salmonella Typhimurium DT 41")</f>
        <v>Salmonella Typhimurium DT 41</v>
      </c>
      <c r="B7568" t="str">
        <f ca="1">IFERROR(__xludf.DUMMYFUNCTION("""COMPUTED_VALUE"""),"RF-00002441-MCG")</f>
        <v>RF-00002441-MCG</v>
      </c>
    </row>
    <row r="7569" spans="1:2" ht="12.5" x14ac:dyDescent="0.25">
      <c r="A7569" t="str">
        <f ca="1">IFERROR(__xludf.DUMMYFUNCTION("""COMPUTED_VALUE"""),"Salmonella Typhimurium DT 41 var.")</f>
        <v>Salmonella Typhimurium DT 41 var.</v>
      </c>
      <c r="B7569" t="str">
        <f ca="1">IFERROR(__xludf.DUMMYFUNCTION("""COMPUTED_VALUE"""),"RF-00002463-MCG")</f>
        <v>RF-00002463-MCG</v>
      </c>
    </row>
    <row r="7570" spans="1:2" ht="12.5" x14ac:dyDescent="0.25">
      <c r="A7570" t="str">
        <f ca="1">IFERROR(__xludf.DUMMYFUNCTION("""COMPUTED_VALUE"""),"Salmonella Typhimurium DT 41a")</f>
        <v>Salmonella Typhimurium DT 41a</v>
      </c>
      <c r="B7570" t="str">
        <f ca="1">IFERROR(__xludf.DUMMYFUNCTION("""COMPUTED_VALUE"""),"RF-00002439-MCG")</f>
        <v>RF-00002439-MCG</v>
      </c>
    </row>
    <row r="7571" spans="1:2" ht="12.5" x14ac:dyDescent="0.25">
      <c r="A7571" t="str">
        <f ca="1">IFERROR(__xludf.DUMMYFUNCTION("""COMPUTED_VALUE"""),"Salmonella Typhimurium DT 42")</f>
        <v>Salmonella Typhimurium DT 42</v>
      </c>
      <c r="B7571" t="str">
        <f ca="1">IFERROR(__xludf.DUMMYFUNCTION("""COMPUTED_VALUE"""),"RF-00002447-MCG")</f>
        <v>RF-00002447-MCG</v>
      </c>
    </row>
    <row r="7572" spans="1:2" ht="12.5" x14ac:dyDescent="0.25">
      <c r="A7572" t="str">
        <f ca="1">IFERROR(__xludf.DUMMYFUNCTION("""COMPUTED_VALUE"""),"Salmonella Typhimurium DT 44")</f>
        <v>Salmonella Typhimurium DT 44</v>
      </c>
      <c r="B7572" t="str">
        <f ca="1">IFERROR(__xludf.DUMMYFUNCTION("""COMPUTED_VALUE"""),"RF-00002438-MCG")</f>
        <v>RF-00002438-MCG</v>
      </c>
    </row>
    <row r="7573" spans="1:2" ht="12.5" x14ac:dyDescent="0.25">
      <c r="A7573" t="str">
        <f ca="1">IFERROR(__xludf.DUMMYFUNCTION("""COMPUTED_VALUE"""),"Salmonella Typhimurium DT 46")</f>
        <v>Salmonella Typhimurium DT 46</v>
      </c>
      <c r="B7573" t="str">
        <f ca="1">IFERROR(__xludf.DUMMYFUNCTION("""COMPUTED_VALUE"""),"RF-00002437-MCG")</f>
        <v>RF-00002437-MCG</v>
      </c>
    </row>
    <row r="7574" spans="1:2" ht="12.5" x14ac:dyDescent="0.25">
      <c r="A7574" t="str">
        <f ca="1">IFERROR(__xludf.DUMMYFUNCTION("""COMPUTED_VALUE"""),"Salmonella Typhimurium DT 46a")</f>
        <v>Salmonella Typhimurium DT 46a</v>
      </c>
      <c r="B7574" t="str">
        <f ca="1">IFERROR(__xludf.DUMMYFUNCTION("""COMPUTED_VALUE"""),"RF-00002445-MCG")</f>
        <v>RF-00002445-MCG</v>
      </c>
    </row>
    <row r="7575" spans="1:2" ht="12.5" x14ac:dyDescent="0.25">
      <c r="A7575" t="str">
        <f ca="1">IFERROR(__xludf.DUMMYFUNCTION("""COMPUTED_VALUE"""),"Salmonella Typhimurium DT 49")</f>
        <v>Salmonella Typhimurium DT 49</v>
      </c>
      <c r="B7575" t="str">
        <f ca="1">IFERROR(__xludf.DUMMYFUNCTION("""COMPUTED_VALUE"""),"RF-00002465-MCG")</f>
        <v>RF-00002465-MCG</v>
      </c>
    </row>
    <row r="7576" spans="1:2" ht="12.5" x14ac:dyDescent="0.25">
      <c r="A7576" t="str">
        <f ca="1">IFERROR(__xludf.DUMMYFUNCTION("""COMPUTED_VALUE"""),"Salmonella Typhimurium DT 49a")</f>
        <v>Salmonella Typhimurium DT 49a</v>
      </c>
      <c r="B7576" t="str">
        <f ca="1">IFERROR(__xludf.DUMMYFUNCTION("""COMPUTED_VALUE"""),"RF-00002471-MCG")</f>
        <v>RF-00002471-MCG</v>
      </c>
    </row>
    <row r="7577" spans="1:2" ht="12.5" x14ac:dyDescent="0.25">
      <c r="A7577" t="str">
        <f ca="1">IFERROR(__xludf.DUMMYFUNCTION("""COMPUTED_VALUE"""),"Salmonella Typhimurium DT 52")</f>
        <v>Salmonella Typhimurium DT 52</v>
      </c>
      <c r="B7577" t="str">
        <f ca="1">IFERROR(__xludf.DUMMYFUNCTION("""COMPUTED_VALUE"""),"RF-00002472-MCG")</f>
        <v>RF-00002472-MCG</v>
      </c>
    </row>
    <row r="7578" spans="1:2" ht="12.5" x14ac:dyDescent="0.25">
      <c r="A7578" t="str">
        <f ca="1">IFERROR(__xludf.DUMMYFUNCTION("""COMPUTED_VALUE"""),"Salmonella Typhimurium DT 54")</f>
        <v>Salmonella Typhimurium DT 54</v>
      </c>
      <c r="B7578" t="str">
        <f ca="1">IFERROR(__xludf.DUMMYFUNCTION("""COMPUTED_VALUE"""),"RF-00002470-MCG")</f>
        <v>RF-00002470-MCG</v>
      </c>
    </row>
    <row r="7579" spans="1:2" ht="12.5" x14ac:dyDescent="0.25">
      <c r="A7579" t="str">
        <f ca="1">IFERROR(__xludf.DUMMYFUNCTION("""COMPUTED_VALUE"""),"Salmonella Typhimurium DT 55")</f>
        <v>Salmonella Typhimurium DT 55</v>
      </c>
      <c r="B7579" t="str">
        <f ca="1">IFERROR(__xludf.DUMMYFUNCTION("""COMPUTED_VALUE"""),"RF-00002469-MCG")</f>
        <v>RF-00002469-MCG</v>
      </c>
    </row>
    <row r="7580" spans="1:2" ht="12.5" x14ac:dyDescent="0.25">
      <c r="A7580" t="str">
        <f ca="1">IFERROR(__xludf.DUMMYFUNCTION("""COMPUTED_VALUE"""),"Salmonella Typhimurium DT 56")</f>
        <v>Salmonella Typhimurium DT 56</v>
      </c>
      <c r="B7580" t="str">
        <f ca="1">IFERROR(__xludf.DUMMYFUNCTION("""COMPUTED_VALUE"""),"RF-00002468-MCG")</f>
        <v>RF-00002468-MCG</v>
      </c>
    </row>
    <row r="7581" spans="1:2" ht="12.5" x14ac:dyDescent="0.25">
      <c r="A7581" t="str">
        <f ca="1">IFERROR(__xludf.DUMMYFUNCTION("""COMPUTED_VALUE"""),"Salmonella Typhimurium DT 56 var.")</f>
        <v>Salmonella Typhimurium DT 56 var.</v>
      </c>
      <c r="B7581" t="str">
        <f ca="1">IFERROR(__xludf.DUMMYFUNCTION("""COMPUTED_VALUE"""),"RF-00002473-MCG")</f>
        <v>RF-00002473-MCG</v>
      </c>
    </row>
    <row r="7582" spans="1:2" ht="12.5" x14ac:dyDescent="0.25">
      <c r="A7582" t="str">
        <f ca="1">IFERROR(__xludf.DUMMYFUNCTION("""COMPUTED_VALUE"""),"Salmonella Typhimurium DT 58")</f>
        <v>Salmonella Typhimurium DT 58</v>
      </c>
      <c r="B7582" t="str">
        <f ca="1">IFERROR(__xludf.DUMMYFUNCTION("""COMPUTED_VALUE"""),"RF-00002467-MCG")</f>
        <v>RF-00002467-MCG</v>
      </c>
    </row>
    <row r="7583" spans="1:2" ht="12.5" x14ac:dyDescent="0.25">
      <c r="A7583" t="str">
        <f ca="1">IFERROR(__xludf.DUMMYFUNCTION("""COMPUTED_VALUE"""),"Salmonella Typhimurium DT 59")</f>
        <v>Salmonella Typhimurium DT 59</v>
      </c>
      <c r="B7583" t="str">
        <f ca="1">IFERROR(__xludf.DUMMYFUNCTION("""COMPUTED_VALUE"""),"RF-00002466-MCG")</f>
        <v>RF-00002466-MCG</v>
      </c>
    </row>
    <row r="7584" spans="1:2" ht="12.5" x14ac:dyDescent="0.25">
      <c r="A7584" t="str">
        <f ca="1">IFERROR(__xludf.DUMMYFUNCTION("""COMPUTED_VALUE"""),"Salmonella Typhimurium DT 6")</f>
        <v>Salmonella Typhimurium DT 6</v>
      </c>
      <c r="B7584" t="str">
        <f ca="1">IFERROR(__xludf.DUMMYFUNCTION("""COMPUTED_VALUE"""),"RF-00002457-MCG")</f>
        <v>RF-00002457-MCG</v>
      </c>
    </row>
    <row r="7585" spans="1:2" ht="12.5" x14ac:dyDescent="0.25">
      <c r="A7585" t="str">
        <f ca="1">IFERROR(__xludf.DUMMYFUNCTION("""COMPUTED_VALUE"""),"Salmonella Typhimurium DT 63")</f>
        <v>Salmonella Typhimurium DT 63</v>
      </c>
      <c r="B7585" t="str">
        <f ca="1">IFERROR(__xludf.DUMMYFUNCTION("""COMPUTED_VALUE"""),"RF-00002464-MCG")</f>
        <v>RF-00002464-MCG</v>
      </c>
    </row>
    <row r="7586" spans="1:2" ht="12.5" x14ac:dyDescent="0.25">
      <c r="A7586" t="str">
        <f ca="1">IFERROR(__xludf.DUMMYFUNCTION("""COMPUTED_VALUE"""),"Salmonella Typhimurium DT 64")</f>
        <v>Salmonella Typhimurium DT 64</v>
      </c>
      <c r="B7586" t="str">
        <f ca="1">IFERROR(__xludf.DUMMYFUNCTION("""COMPUTED_VALUE"""),"RF-00002474-MCG")</f>
        <v>RF-00002474-MCG</v>
      </c>
    </row>
    <row r="7587" spans="1:2" ht="12.5" x14ac:dyDescent="0.25">
      <c r="A7587" t="str">
        <f ca="1">IFERROR(__xludf.DUMMYFUNCTION("""COMPUTED_VALUE"""),"Salmonella Typhimurium DT 66")</f>
        <v>Salmonella Typhimurium DT 66</v>
      </c>
      <c r="B7587" t="str">
        <f ca="1">IFERROR(__xludf.DUMMYFUNCTION("""COMPUTED_VALUE"""),"RF-00002462-MCG")</f>
        <v>RF-00002462-MCG</v>
      </c>
    </row>
    <row r="7588" spans="1:2" ht="12.5" x14ac:dyDescent="0.25">
      <c r="A7588" t="str">
        <f ca="1">IFERROR(__xludf.DUMMYFUNCTION("""COMPUTED_VALUE"""),"Salmonella Typhimurium DT 66a")</f>
        <v>Salmonella Typhimurium DT 66a</v>
      </c>
      <c r="B7588" t="str">
        <f ca="1">IFERROR(__xludf.DUMMYFUNCTION("""COMPUTED_VALUE"""),"RF-00002461-MCG")</f>
        <v>RF-00002461-MCG</v>
      </c>
    </row>
    <row r="7589" spans="1:2" ht="12.5" x14ac:dyDescent="0.25">
      <c r="A7589" t="str">
        <f ca="1">IFERROR(__xludf.DUMMYFUNCTION("""COMPUTED_VALUE"""),"Salmonella Typhimurium DT 67")</f>
        <v>Salmonella Typhimurium DT 67</v>
      </c>
      <c r="B7589" t="str">
        <f ca="1">IFERROR(__xludf.DUMMYFUNCTION("""COMPUTED_VALUE"""),"RF-00002460-MCG")</f>
        <v>RF-00002460-MCG</v>
      </c>
    </row>
    <row r="7590" spans="1:2" ht="12.5" x14ac:dyDescent="0.25">
      <c r="A7590" t="str">
        <f ca="1">IFERROR(__xludf.DUMMYFUNCTION("""COMPUTED_VALUE"""),"Salmonella Typhimurium DT 68")</f>
        <v>Salmonella Typhimurium DT 68</v>
      </c>
      <c r="B7590" t="str">
        <f ca="1">IFERROR(__xludf.DUMMYFUNCTION("""COMPUTED_VALUE"""),"RF-00002459-MCG")</f>
        <v>RF-00002459-MCG</v>
      </c>
    </row>
    <row r="7591" spans="1:2" ht="12.5" x14ac:dyDescent="0.25">
      <c r="A7591" t="str">
        <f ca="1">IFERROR(__xludf.DUMMYFUNCTION("""COMPUTED_VALUE"""),"Salmonella Typhimurium DT 7")</f>
        <v>Salmonella Typhimurium DT 7</v>
      </c>
      <c r="B7591" t="str">
        <f ca="1">IFERROR(__xludf.DUMMYFUNCTION("""COMPUTED_VALUE"""),"RF-00002458-MCG")</f>
        <v>RF-00002458-MCG</v>
      </c>
    </row>
    <row r="7592" spans="1:2" ht="12.5" x14ac:dyDescent="0.25">
      <c r="A7592" t="str">
        <f ca="1">IFERROR(__xludf.DUMMYFUNCTION("""COMPUTED_VALUE"""),"Salmonella Typhimurium DT 73")</f>
        <v>Salmonella Typhimurium DT 73</v>
      </c>
      <c r="B7592" t="str">
        <f ca="1">IFERROR(__xludf.DUMMYFUNCTION("""COMPUTED_VALUE"""),"RF-00002440-MCG")</f>
        <v>RF-00002440-MCG</v>
      </c>
    </row>
    <row r="7593" spans="1:2" ht="12.5" x14ac:dyDescent="0.25">
      <c r="A7593" t="str">
        <f ca="1">IFERROR(__xludf.DUMMYFUNCTION("""COMPUTED_VALUE"""),"Salmonella Typhimurium DT 74")</f>
        <v>Salmonella Typhimurium DT 74</v>
      </c>
      <c r="B7593" t="str">
        <f ca="1">IFERROR(__xludf.DUMMYFUNCTION("""COMPUTED_VALUE"""),"RF-00002402-MCG")</f>
        <v>RF-00002402-MCG</v>
      </c>
    </row>
    <row r="7594" spans="1:2" ht="12.5" x14ac:dyDescent="0.25">
      <c r="A7594" t="str">
        <f ca="1">IFERROR(__xludf.DUMMYFUNCTION("""COMPUTED_VALUE"""),"Salmonella Typhimurium DT 7a")</f>
        <v>Salmonella Typhimurium DT 7a</v>
      </c>
      <c r="B7594" t="str">
        <f ca="1">IFERROR(__xludf.DUMMYFUNCTION("""COMPUTED_VALUE"""),"RF-00001313-PAR")</f>
        <v>RF-00001313-PAR</v>
      </c>
    </row>
    <row r="7595" spans="1:2" ht="12.5" x14ac:dyDescent="0.25">
      <c r="A7595" t="str">
        <f ca="1">IFERROR(__xludf.DUMMYFUNCTION("""COMPUTED_VALUE"""),"Salmonella Typhimurium DT 8")</f>
        <v>Salmonella Typhimurium DT 8</v>
      </c>
      <c r="B7595" t="str">
        <f ca="1">IFERROR(__xludf.DUMMYFUNCTION("""COMPUTED_VALUE"""),"RF-00002412-MCG")</f>
        <v>RF-00002412-MCG</v>
      </c>
    </row>
    <row r="7596" spans="1:2" ht="12.5" x14ac:dyDescent="0.25">
      <c r="A7596" t="str">
        <f ca="1">IFERROR(__xludf.DUMMYFUNCTION("""COMPUTED_VALUE"""),"Salmonella Typhimurium DT 80")</f>
        <v>Salmonella Typhimurium DT 80</v>
      </c>
      <c r="B7596" t="str">
        <f ca="1">IFERROR(__xludf.DUMMYFUNCTION("""COMPUTED_VALUE"""),"RF-00002411-MCG")</f>
        <v>RF-00002411-MCG</v>
      </c>
    </row>
    <row r="7597" spans="1:2" ht="12.5" x14ac:dyDescent="0.25">
      <c r="A7597" t="str">
        <f ca="1">IFERROR(__xludf.DUMMYFUNCTION("""COMPUTED_VALUE"""),"Salmonella Typhimurium DT 82")</f>
        <v>Salmonella Typhimurium DT 82</v>
      </c>
      <c r="B7597" t="str">
        <f ca="1">IFERROR(__xludf.DUMMYFUNCTION("""COMPUTED_VALUE"""),"RF-00002410-MCG")</f>
        <v>RF-00002410-MCG</v>
      </c>
    </row>
    <row r="7598" spans="1:2" ht="12.5" x14ac:dyDescent="0.25">
      <c r="A7598" t="str">
        <f ca="1">IFERROR(__xludf.DUMMYFUNCTION("""COMPUTED_VALUE"""),"Salmonella Typhimurium DT 83")</f>
        <v>Salmonella Typhimurium DT 83</v>
      </c>
      <c r="B7598" t="str">
        <f ca="1">IFERROR(__xludf.DUMMYFUNCTION("""COMPUTED_VALUE"""),"RF-00002409-MCG")</f>
        <v>RF-00002409-MCG</v>
      </c>
    </row>
    <row r="7599" spans="1:2" ht="12.5" x14ac:dyDescent="0.25">
      <c r="A7599" t="str">
        <f ca="1">IFERROR(__xludf.DUMMYFUNCTION("""COMPUTED_VALUE"""),"Salmonella Typhimurium DT 85")</f>
        <v>Salmonella Typhimurium DT 85</v>
      </c>
      <c r="B7599" t="str">
        <f ca="1">IFERROR(__xludf.DUMMYFUNCTION("""COMPUTED_VALUE"""),"RF-00002408-MCG")</f>
        <v>RF-00002408-MCG</v>
      </c>
    </row>
    <row r="7600" spans="1:2" ht="12.5" x14ac:dyDescent="0.25">
      <c r="A7600" t="str">
        <f ca="1">IFERROR(__xludf.DUMMYFUNCTION("""COMPUTED_VALUE"""),"Salmonella Typhimurium DT 86")</f>
        <v>Salmonella Typhimurium DT 86</v>
      </c>
      <c r="B7600" t="str">
        <f ca="1">IFERROR(__xludf.DUMMYFUNCTION("""COMPUTED_VALUE"""),"RF-00002407-MCG")</f>
        <v>RF-00002407-MCG</v>
      </c>
    </row>
    <row r="7601" spans="1:2" ht="12.5" x14ac:dyDescent="0.25">
      <c r="A7601" t="str">
        <f ca="1">IFERROR(__xludf.DUMMYFUNCTION("""COMPUTED_VALUE"""),"Salmonella Typhimurium DT 87")</f>
        <v>Salmonella Typhimurium DT 87</v>
      </c>
      <c r="B7601" t="str">
        <f ca="1">IFERROR(__xludf.DUMMYFUNCTION("""COMPUTED_VALUE"""),"RF-00002406-MCG")</f>
        <v>RF-00002406-MCG</v>
      </c>
    </row>
    <row r="7602" spans="1:2" ht="12.5" x14ac:dyDescent="0.25">
      <c r="A7602" t="str">
        <f ca="1">IFERROR(__xludf.DUMMYFUNCTION("""COMPUTED_VALUE"""),"Salmonella Typhimurium DT 89")</f>
        <v>Salmonella Typhimurium DT 89</v>
      </c>
      <c r="B7602" t="str">
        <f ca="1">IFERROR(__xludf.DUMMYFUNCTION("""COMPUTED_VALUE"""),"RF-00002405-MCG")</f>
        <v>RF-00002405-MCG</v>
      </c>
    </row>
    <row r="7603" spans="1:2" ht="12.5" x14ac:dyDescent="0.25">
      <c r="A7603" t="str">
        <f ca="1">IFERROR(__xludf.DUMMYFUNCTION("""COMPUTED_VALUE"""),"Salmonella Typhimurium DT 9")</f>
        <v>Salmonella Typhimurium DT 9</v>
      </c>
      <c r="B7603" t="str">
        <f ca="1">IFERROR(__xludf.DUMMYFUNCTION("""COMPUTED_VALUE"""),"RF-00002393-MCG")</f>
        <v>RF-00002393-MCG</v>
      </c>
    </row>
    <row r="7604" spans="1:2" ht="12.5" x14ac:dyDescent="0.25">
      <c r="A7604" t="str">
        <f ca="1">IFERROR(__xludf.DUMMYFUNCTION("""COMPUTED_VALUE"""),"Salmonella Typhimurium DT 9 var.")</f>
        <v>Salmonella Typhimurium DT 9 var.</v>
      </c>
      <c r="B7604" t="str">
        <f ca="1">IFERROR(__xludf.DUMMYFUNCTION("""COMPUTED_VALUE"""),"RF-00002403-MCG")</f>
        <v>RF-00002403-MCG</v>
      </c>
    </row>
    <row r="7605" spans="1:2" ht="12.5" x14ac:dyDescent="0.25">
      <c r="A7605" t="str">
        <f ca="1">IFERROR(__xludf.DUMMYFUNCTION("""COMPUTED_VALUE"""),"Salmonella Typhimurium DT 93")</f>
        <v>Salmonella Typhimurium DT 93</v>
      </c>
      <c r="B7605" t="str">
        <f ca="1">IFERROR(__xludf.DUMMYFUNCTION("""COMPUTED_VALUE"""),"RF-00002413-MCG")</f>
        <v>RF-00002413-MCG</v>
      </c>
    </row>
    <row r="7606" spans="1:2" ht="12.5" x14ac:dyDescent="0.25">
      <c r="A7606" t="str">
        <f ca="1">IFERROR(__xludf.DUMMYFUNCTION("""COMPUTED_VALUE"""),"Salmonella Typhimurium DT 94")</f>
        <v>Salmonella Typhimurium DT 94</v>
      </c>
      <c r="B7606" t="str">
        <f ca="1">IFERROR(__xludf.DUMMYFUNCTION("""COMPUTED_VALUE"""),"RF-00002401-MCG")</f>
        <v>RF-00002401-MCG</v>
      </c>
    </row>
    <row r="7607" spans="1:2" ht="12.5" x14ac:dyDescent="0.25">
      <c r="A7607" t="str">
        <f ca="1">IFERROR(__xludf.DUMMYFUNCTION("""COMPUTED_VALUE"""),"Salmonella Typhimurium DT 96")</f>
        <v>Salmonella Typhimurium DT 96</v>
      </c>
      <c r="B7607" t="str">
        <f ca="1">IFERROR(__xludf.DUMMYFUNCTION("""COMPUTED_VALUE"""),"RF-00002400-MCG")</f>
        <v>RF-00002400-MCG</v>
      </c>
    </row>
    <row r="7608" spans="1:2" ht="12.5" x14ac:dyDescent="0.25">
      <c r="A7608" t="str">
        <f ca="1">IFERROR(__xludf.DUMMYFUNCTION("""COMPUTED_VALUE"""),"Salmonella Typhimurium DT 97")</f>
        <v>Salmonella Typhimurium DT 97</v>
      </c>
      <c r="B7608" t="str">
        <f ca="1">IFERROR(__xludf.DUMMYFUNCTION("""COMPUTED_VALUE"""),"RF-00002399-MCG")</f>
        <v>RF-00002399-MCG</v>
      </c>
    </row>
    <row r="7609" spans="1:2" ht="12.5" x14ac:dyDescent="0.25">
      <c r="A7609" t="str">
        <f ca="1">IFERROR(__xludf.DUMMYFUNCTION("""COMPUTED_VALUE"""),"Salmonella Typhimurium DT 99")</f>
        <v>Salmonella Typhimurium DT 99</v>
      </c>
      <c r="B7609" t="str">
        <f ca="1">IFERROR(__xludf.DUMMYFUNCTION("""COMPUTED_VALUE"""),"RF-00002398-MCG")</f>
        <v>RF-00002398-MCG</v>
      </c>
    </row>
    <row r="7610" spans="1:2" ht="12.5" x14ac:dyDescent="0.25">
      <c r="A7610" t="str">
        <f ca="1">IFERROR(__xludf.DUMMYFUNCTION("""COMPUTED_VALUE"""),"Salmonella Typhimurium DT RDNC")</f>
        <v>Salmonella Typhimurium DT RDNC</v>
      </c>
      <c r="B7610" t="str">
        <f ca="1">IFERROR(__xludf.DUMMYFUNCTION("""COMPUTED_VALUE"""),"RF-00002397-MCG")</f>
        <v>RF-00002397-MCG</v>
      </c>
    </row>
    <row r="7611" spans="1:2" ht="12.5" x14ac:dyDescent="0.25">
      <c r="A7611" t="str">
        <f ca="1">IFERROR(__xludf.DUMMYFUNCTION("""COMPUTED_VALUE"""),"Salmonella Typhimurium DT U")</f>
        <v>Salmonella Typhimurium DT U</v>
      </c>
      <c r="B7611" t="str">
        <f ca="1">IFERROR(__xludf.DUMMYFUNCTION("""COMPUTED_VALUE"""),"RF-00002396-MCG")</f>
        <v>RF-00002396-MCG</v>
      </c>
    </row>
    <row r="7612" spans="1:2" ht="12.5" x14ac:dyDescent="0.25">
      <c r="A7612" t="str">
        <f ca="1">IFERROR(__xludf.DUMMYFUNCTION("""COMPUTED_VALUE"""),"Salmonella Typhimurium DT U291")</f>
        <v>Salmonella Typhimurium DT U291</v>
      </c>
      <c r="B7612" t="str">
        <f ca="1">IFERROR(__xludf.DUMMYFUNCTION("""COMPUTED_VALUE"""),"RF-00002395-MCG")</f>
        <v>RF-00002395-MCG</v>
      </c>
    </row>
    <row r="7613" spans="1:2" ht="12.5" x14ac:dyDescent="0.25">
      <c r="A7613" t="str">
        <f ca="1">IFERROR(__xludf.DUMMYFUNCTION("""COMPUTED_VALUE"""),"Salmonella Typhimurium DT U302")</f>
        <v>Salmonella Typhimurium DT U302</v>
      </c>
      <c r="B7613" t="str">
        <f ca="1">IFERROR(__xludf.DUMMYFUNCTION("""COMPUTED_VALUE"""),"RF-00002394-MCG")</f>
        <v>RF-00002394-MCG</v>
      </c>
    </row>
    <row r="7614" spans="1:2" ht="12.5" x14ac:dyDescent="0.25">
      <c r="A7614" t="str">
        <f ca="1">IFERROR(__xludf.DUMMYFUNCTION("""COMPUTED_VALUE"""),"Salmonella Typhimurium FT 104")</f>
        <v>Salmonella Typhimurium FT 104</v>
      </c>
      <c r="B7614" t="str">
        <f ca="1">IFERROR(__xludf.DUMMYFUNCTION("""COMPUTED_VALUE"""),"RF-00002423-MCG")</f>
        <v>RF-00002423-MCG</v>
      </c>
    </row>
    <row r="7615" spans="1:2" ht="12.5" x14ac:dyDescent="0.25">
      <c r="A7615" t="str">
        <f ca="1">IFERROR(__xludf.DUMMYFUNCTION("""COMPUTED_VALUE"""),"Salmonella Typhimurium FT 110")</f>
        <v>Salmonella Typhimurium FT 110</v>
      </c>
      <c r="B7615" t="str">
        <f ca="1">IFERROR(__xludf.DUMMYFUNCTION("""COMPUTED_VALUE"""),"RF-00002425-MCG")</f>
        <v>RF-00002425-MCG</v>
      </c>
    </row>
    <row r="7616" spans="1:2" ht="12.5" x14ac:dyDescent="0.25">
      <c r="A7616" t="str">
        <f ca="1">IFERROR(__xludf.DUMMYFUNCTION("""COMPUTED_VALUE"""),"Salmonella Typhimurium FT 13 var.")</f>
        <v>Salmonella Typhimurium FT 13 var.</v>
      </c>
      <c r="B7616" t="str">
        <f ca="1">IFERROR(__xludf.DUMMYFUNCTION("""COMPUTED_VALUE"""),"RF-00002404-MCG")</f>
        <v>RF-00002404-MCG</v>
      </c>
    </row>
    <row r="7617" spans="1:2" ht="12.5" x14ac:dyDescent="0.25">
      <c r="A7617" t="str">
        <f ca="1">IFERROR(__xludf.DUMMYFUNCTION("""COMPUTED_VALUE"""),"Salmonella Typhimurium FT 150")</f>
        <v>Salmonella Typhimurium FT 150</v>
      </c>
      <c r="B7617" t="str">
        <f ca="1">IFERROR(__xludf.DUMMYFUNCTION("""COMPUTED_VALUE"""),"RF-00002433-MCG")</f>
        <v>RF-00002433-MCG</v>
      </c>
    </row>
    <row r="7618" spans="1:2" ht="12.5" x14ac:dyDescent="0.25">
      <c r="A7618" t="str">
        <f ca="1">IFERROR(__xludf.DUMMYFUNCTION("""COMPUTED_VALUE"""),"Salmonella Typhimurium FT 2")</f>
        <v>Salmonella Typhimurium FT 2</v>
      </c>
      <c r="B7618" t="str">
        <f ca="1">IFERROR(__xludf.DUMMYFUNCTION("""COMPUTED_VALUE"""),"RF-00002432-MCG")</f>
        <v>RF-00002432-MCG</v>
      </c>
    </row>
    <row r="7619" spans="1:2" ht="12.5" x14ac:dyDescent="0.25">
      <c r="A7619" t="str">
        <f ca="1">IFERROR(__xludf.DUMMYFUNCTION("""COMPUTED_VALUE"""),"Salmonella Typhimurium FT 20")</f>
        <v>Salmonella Typhimurium FT 20</v>
      </c>
      <c r="B7619" t="str">
        <f ca="1">IFERROR(__xludf.DUMMYFUNCTION("""COMPUTED_VALUE"""),"RF-00002431-MCG")</f>
        <v>RF-00002431-MCG</v>
      </c>
    </row>
    <row r="7620" spans="1:2" ht="12.5" x14ac:dyDescent="0.25">
      <c r="A7620" t="str">
        <f ca="1">IFERROR(__xludf.DUMMYFUNCTION("""COMPUTED_VALUE"""),"Salmonella Typhimurium FT 204")</f>
        <v>Salmonella Typhimurium FT 204</v>
      </c>
      <c r="B7620" t="str">
        <f ca="1">IFERROR(__xludf.DUMMYFUNCTION("""COMPUTED_VALUE"""),"RF-00002430-MCG")</f>
        <v>RF-00002430-MCG</v>
      </c>
    </row>
    <row r="7621" spans="1:2" ht="12.5" x14ac:dyDescent="0.25">
      <c r="A7621" t="str">
        <f ca="1">IFERROR(__xludf.DUMMYFUNCTION("""COMPUTED_VALUE"""),"Salmonella Typhimurium FT 207")</f>
        <v>Salmonella Typhimurium FT 207</v>
      </c>
      <c r="B7621" t="str">
        <f ca="1">IFERROR(__xludf.DUMMYFUNCTION("""COMPUTED_VALUE"""),"RF-00002429-MCG")</f>
        <v>RF-00002429-MCG</v>
      </c>
    </row>
    <row r="7622" spans="1:2" ht="12.5" x14ac:dyDescent="0.25">
      <c r="A7622" t="str">
        <f ca="1">IFERROR(__xludf.DUMMYFUNCTION("""COMPUTED_VALUE"""),"Salmonella Typhimurium FT 281")</f>
        <v>Salmonella Typhimurium FT 281</v>
      </c>
      <c r="B7622" t="str">
        <f ca="1">IFERROR(__xludf.DUMMYFUNCTION("""COMPUTED_VALUE"""),"RF-00002434-MCG")</f>
        <v>RF-00002434-MCG</v>
      </c>
    </row>
    <row r="7623" spans="1:2" ht="12.5" x14ac:dyDescent="0.25">
      <c r="A7623" t="str">
        <f ca="1">IFERROR(__xludf.DUMMYFUNCTION("""COMPUTED_VALUE"""),"Salmonella Typhimurium FT 295")</f>
        <v>Salmonella Typhimurium FT 295</v>
      </c>
      <c r="B7623" t="str">
        <f ca="1">IFERROR(__xludf.DUMMYFUNCTION("""COMPUTED_VALUE"""),"RF-00002427-MCG")</f>
        <v>RF-00002427-MCG</v>
      </c>
    </row>
    <row r="7624" spans="1:2" ht="12.5" x14ac:dyDescent="0.25">
      <c r="A7624" t="str">
        <f ca="1">IFERROR(__xludf.DUMMYFUNCTION("""COMPUTED_VALUE"""),"Salmonella Typhimurium FT 296")</f>
        <v>Salmonella Typhimurium FT 296</v>
      </c>
      <c r="B7624" t="str">
        <f ca="1">IFERROR(__xludf.DUMMYFUNCTION("""COMPUTED_VALUE"""),"RF-00002455-MCG")</f>
        <v>RF-00002455-MCG</v>
      </c>
    </row>
    <row r="7625" spans="1:2" ht="12.5" x14ac:dyDescent="0.25">
      <c r="A7625" t="str">
        <f ca="1">IFERROR(__xludf.DUMMYFUNCTION("""COMPUTED_VALUE"""),"Salmonella Typhimurium FT 3")</f>
        <v>Salmonella Typhimurium FT 3</v>
      </c>
      <c r="B7625" t="str">
        <f ca="1">IFERROR(__xludf.DUMMYFUNCTION("""COMPUTED_VALUE"""),"RF-00002414-MCG")</f>
        <v>RF-00002414-MCG</v>
      </c>
    </row>
    <row r="7626" spans="1:2" ht="12.5" x14ac:dyDescent="0.25">
      <c r="A7626" t="str">
        <f ca="1">IFERROR(__xludf.DUMMYFUNCTION("""COMPUTED_VALUE"""),"Salmonella Typhimurium FT 301")</f>
        <v>Salmonella Typhimurium FT 301</v>
      </c>
      <c r="B7626" t="str">
        <f ca="1">IFERROR(__xludf.DUMMYFUNCTION("""COMPUTED_VALUE"""),"RF-00002424-MCG")</f>
        <v>RF-00002424-MCG</v>
      </c>
    </row>
    <row r="7627" spans="1:2" ht="12.5" x14ac:dyDescent="0.25">
      <c r="A7627" t="str">
        <f ca="1">IFERROR(__xludf.DUMMYFUNCTION("""COMPUTED_VALUE"""),"Salmonella Typhimurium FT 350")</f>
        <v>Salmonella Typhimurium FT 350</v>
      </c>
      <c r="B7627" t="str">
        <f ca="1">IFERROR(__xludf.DUMMYFUNCTION("""COMPUTED_VALUE"""),"RF-00002435-MCG")</f>
        <v>RF-00002435-MCG</v>
      </c>
    </row>
    <row r="7628" spans="1:2" ht="12.5" x14ac:dyDescent="0.25">
      <c r="A7628" t="str">
        <f ca="1">IFERROR(__xludf.DUMMYFUNCTION("""COMPUTED_VALUE"""),"Salmonella Typhimurium FT 351")</f>
        <v>Salmonella Typhimurium FT 351</v>
      </c>
      <c r="B7628" t="str">
        <f ca="1">IFERROR(__xludf.DUMMYFUNCTION("""COMPUTED_VALUE"""),"RF-00002422-MCG")</f>
        <v>RF-00002422-MCG</v>
      </c>
    </row>
    <row r="7629" spans="1:2" ht="12.5" x14ac:dyDescent="0.25">
      <c r="A7629" t="str">
        <f ca="1">IFERROR(__xludf.DUMMYFUNCTION("""COMPUTED_VALUE"""),"Salmonella Typhimurium FT 353")</f>
        <v>Salmonella Typhimurium FT 353</v>
      </c>
      <c r="B7629" t="str">
        <f ca="1">IFERROR(__xludf.DUMMYFUNCTION("""COMPUTED_VALUE"""),"RF-00002421-MCG")</f>
        <v>RF-00002421-MCG</v>
      </c>
    </row>
    <row r="7630" spans="1:2" ht="12.5" x14ac:dyDescent="0.25">
      <c r="A7630" t="str">
        <f ca="1">IFERROR(__xludf.DUMMYFUNCTION("""COMPUTED_VALUE"""),"Salmonella Typhimurium FT 380")</f>
        <v>Salmonella Typhimurium FT 380</v>
      </c>
      <c r="B7630" t="str">
        <f ca="1">IFERROR(__xludf.DUMMYFUNCTION("""COMPUTED_VALUE"""),"RF-00002420-MCG")</f>
        <v>RF-00002420-MCG</v>
      </c>
    </row>
    <row r="7631" spans="1:2" ht="12.5" x14ac:dyDescent="0.25">
      <c r="A7631" t="str">
        <f ca="1">IFERROR(__xludf.DUMMYFUNCTION("""COMPUTED_VALUE"""),"Salmonella Typhimurium FT 401")</f>
        <v>Salmonella Typhimurium FT 401</v>
      </c>
      <c r="B7631" t="str">
        <f ca="1">IFERROR(__xludf.DUMMYFUNCTION("""COMPUTED_VALUE"""),"RF-00002419-MCG")</f>
        <v>RF-00002419-MCG</v>
      </c>
    </row>
    <row r="7632" spans="1:2" ht="12.5" x14ac:dyDescent="0.25">
      <c r="A7632" t="str">
        <f ca="1">IFERROR(__xludf.DUMMYFUNCTION("""COMPUTED_VALUE"""),"Salmonella Typhimurium FT 450")</f>
        <v>Salmonella Typhimurium FT 450</v>
      </c>
      <c r="B7632" t="str">
        <f ca="1">IFERROR(__xludf.DUMMYFUNCTION("""COMPUTED_VALUE"""),"RF-00002418-MCG")</f>
        <v>RF-00002418-MCG</v>
      </c>
    </row>
    <row r="7633" spans="1:2" ht="12.5" x14ac:dyDescent="0.25">
      <c r="A7633" t="str">
        <f ca="1">IFERROR(__xludf.DUMMYFUNCTION("""COMPUTED_VALUE"""),"Salmonella Typhimurium FT 461")</f>
        <v>Salmonella Typhimurium FT 461</v>
      </c>
      <c r="B7633" t="str">
        <f ca="1">IFERROR(__xludf.DUMMYFUNCTION("""COMPUTED_VALUE"""),"RF-00002417-MCG")</f>
        <v>RF-00002417-MCG</v>
      </c>
    </row>
    <row r="7634" spans="1:2" ht="12.5" x14ac:dyDescent="0.25">
      <c r="A7634" t="str">
        <f ca="1">IFERROR(__xludf.DUMMYFUNCTION("""COMPUTED_VALUE"""),"Salmonella Typhimurium FT 505")</f>
        <v>Salmonella Typhimurium FT 505</v>
      </c>
      <c r="B7634" t="str">
        <f ca="1">IFERROR(__xludf.DUMMYFUNCTION("""COMPUTED_VALUE"""),"RF-00002416-MCG")</f>
        <v>RF-00002416-MCG</v>
      </c>
    </row>
    <row r="7635" spans="1:2" ht="12.5" x14ac:dyDescent="0.25">
      <c r="A7635" t="str">
        <f ca="1">IFERROR(__xludf.DUMMYFUNCTION("""COMPUTED_VALUE"""),"Salmonella Typhimurium FT 506")</f>
        <v>Salmonella Typhimurium FT 506</v>
      </c>
      <c r="B7635" t="str">
        <f ca="1">IFERROR(__xludf.DUMMYFUNCTION("""COMPUTED_VALUE"""),"RF-00002415-MCG")</f>
        <v>RF-00002415-MCG</v>
      </c>
    </row>
    <row r="7636" spans="1:2" ht="12.5" x14ac:dyDescent="0.25">
      <c r="A7636" t="str">
        <f ca="1">IFERROR(__xludf.DUMMYFUNCTION("""COMPUTED_VALUE"""),"Salmonella Typhimurium FT 507")</f>
        <v>Salmonella Typhimurium FT 507</v>
      </c>
      <c r="B7636" t="str">
        <f ca="1">IFERROR(__xludf.DUMMYFUNCTION("""COMPUTED_VALUE"""),"RF-00002313-MCG")</f>
        <v>RF-00002313-MCG</v>
      </c>
    </row>
    <row r="7637" spans="1:2" ht="12.5" x14ac:dyDescent="0.25">
      <c r="A7637" t="str">
        <f ca="1">IFERROR(__xludf.DUMMYFUNCTION("""COMPUTED_VALUE"""),"Salmonella Typhimurium FT 508")</f>
        <v>Salmonella Typhimurium FT 508</v>
      </c>
      <c r="B7637" t="str">
        <f ca="1">IFERROR(__xludf.DUMMYFUNCTION("""COMPUTED_VALUE"""),"RF-00002287-MCG")</f>
        <v>RF-00002287-MCG</v>
      </c>
    </row>
    <row r="7638" spans="1:2" ht="12.5" x14ac:dyDescent="0.25">
      <c r="A7638" t="str">
        <f ca="1">IFERROR(__xludf.DUMMYFUNCTION("""COMPUTED_VALUE"""),"Salmonella Typhimurium FT 510")</f>
        <v>Salmonella Typhimurium FT 510</v>
      </c>
      <c r="B7638" t="str">
        <f ca="1">IFERROR(__xludf.DUMMYFUNCTION("""COMPUTED_VALUE"""),"RF-00002282-MCG")</f>
        <v>RF-00002282-MCG</v>
      </c>
    </row>
    <row r="7639" spans="1:2" ht="12.5" x14ac:dyDescent="0.25">
      <c r="A7639" t="str">
        <f ca="1">IFERROR(__xludf.DUMMYFUNCTION("""COMPUTED_VALUE"""),"Salmonella Typhimurium FT 530")</f>
        <v>Salmonella Typhimurium FT 530</v>
      </c>
      <c r="B7639" t="str">
        <f ca="1">IFERROR(__xludf.DUMMYFUNCTION("""COMPUTED_VALUE"""),"RF-00002281-MCG")</f>
        <v>RF-00002281-MCG</v>
      </c>
    </row>
    <row r="7640" spans="1:2" ht="12.5" x14ac:dyDescent="0.25">
      <c r="A7640" t="str">
        <f ca="1">IFERROR(__xludf.DUMMYFUNCTION("""COMPUTED_VALUE"""),"Salmonella Typhimurium FT 560")</f>
        <v>Salmonella Typhimurium FT 560</v>
      </c>
      <c r="B7640" t="str">
        <f ca="1">IFERROR(__xludf.DUMMYFUNCTION("""COMPUTED_VALUE"""),"RF-00002280-MCG")</f>
        <v>RF-00002280-MCG</v>
      </c>
    </row>
    <row r="7641" spans="1:2" ht="12.5" x14ac:dyDescent="0.25">
      <c r="A7641" t="str">
        <f ca="1">IFERROR(__xludf.DUMMYFUNCTION("""COMPUTED_VALUE"""),"Salmonella Typhimurium FT 60")</f>
        <v>Salmonella Typhimurium FT 60</v>
      </c>
      <c r="B7641" t="str">
        <f ca="1">IFERROR(__xludf.DUMMYFUNCTION("""COMPUTED_VALUE"""),"RF-00002285-MCG")</f>
        <v>RF-00002285-MCG</v>
      </c>
    </row>
    <row r="7642" spans="1:2" ht="12.5" x14ac:dyDescent="0.25">
      <c r="A7642" t="str">
        <f ca="1">IFERROR(__xludf.DUMMYFUNCTION("""COMPUTED_VALUE"""),"Salmonella Typhimurium FT 61")</f>
        <v>Salmonella Typhimurium FT 61</v>
      </c>
      <c r="B7642" t="str">
        <f ca="1">IFERROR(__xludf.DUMMYFUNCTION("""COMPUTED_VALUE"""),"RF-00002279-MCG")</f>
        <v>RF-00002279-MCG</v>
      </c>
    </row>
    <row r="7643" spans="1:2" ht="12.5" x14ac:dyDescent="0.25">
      <c r="A7643" t="str">
        <f ca="1">IFERROR(__xludf.DUMMYFUNCTION("""COMPUTED_VALUE"""),"Salmonella Typhimurium FT 655")</f>
        <v>Salmonella Typhimurium FT 655</v>
      </c>
      <c r="B7643" t="str">
        <f ca="1">IFERROR(__xludf.DUMMYFUNCTION("""COMPUTED_VALUE"""),"RF-00002278-MCG")</f>
        <v>RF-00002278-MCG</v>
      </c>
    </row>
    <row r="7644" spans="1:2" ht="12.5" x14ac:dyDescent="0.25">
      <c r="A7644" t="str">
        <f ca="1">IFERROR(__xludf.DUMMYFUNCTION("""COMPUTED_VALUE"""),"Salmonella Typhimurium FT 656")</f>
        <v>Salmonella Typhimurium FT 656</v>
      </c>
      <c r="B7644" t="str">
        <f ca="1">IFERROR(__xludf.DUMMYFUNCTION("""COMPUTED_VALUE"""),"RF-00002277-MCG")</f>
        <v>RF-00002277-MCG</v>
      </c>
    </row>
    <row r="7645" spans="1:2" ht="12.5" x14ac:dyDescent="0.25">
      <c r="A7645" t="str">
        <f ca="1">IFERROR(__xludf.DUMMYFUNCTION("""COMPUTED_VALUE"""),"Salmonella Typhimurium FT 80")</f>
        <v>Salmonella Typhimurium FT 80</v>
      </c>
      <c r="B7645" t="str">
        <f ca="1">IFERROR(__xludf.DUMMYFUNCTION("""COMPUTED_VALUE"""),"RF-00002276-MCG")</f>
        <v>RF-00002276-MCG</v>
      </c>
    </row>
    <row r="7646" spans="1:2" ht="12.5" x14ac:dyDescent="0.25">
      <c r="A7646" t="str">
        <f ca="1">IFERROR(__xludf.DUMMYFUNCTION("""COMPUTED_VALUE"""),"Salmonella Typhimurium FT 90")</f>
        <v>Salmonella Typhimurium FT 90</v>
      </c>
      <c r="B7646" t="str">
        <f ca="1">IFERROR(__xludf.DUMMYFUNCTION("""COMPUTED_VALUE"""),"RF-00002275-MCG")</f>
        <v>RF-00002275-MCG</v>
      </c>
    </row>
    <row r="7647" spans="1:2" ht="12.5" x14ac:dyDescent="0.25">
      <c r="A7647" t="str">
        <f ca="1">IFERROR(__xludf.DUMMYFUNCTION("""COMPUTED_VALUE"""),"Salmonella Typhimurium Not typable")</f>
        <v>Salmonella Typhimurium Not typable</v>
      </c>
      <c r="B7647" t="str">
        <f ca="1">IFERROR(__xludf.DUMMYFUNCTION("""COMPUTED_VALUE"""),"RF-00002272-MCG")</f>
        <v>RF-00002272-MCG</v>
      </c>
    </row>
    <row r="7648" spans="1:2" ht="12.5" x14ac:dyDescent="0.25">
      <c r="A7648" t="str">
        <f ca="1">IFERROR(__xludf.DUMMYFUNCTION("""COMPUTED_VALUE"""),"Salmonella Typhimurium Nt-L30")</f>
        <v>Salmonella Typhimurium Nt-L30</v>
      </c>
      <c r="B7648" t="str">
        <f ca="1">IFERROR(__xludf.DUMMYFUNCTION("""COMPUTED_VALUE"""),"RF-00002266-MCG")</f>
        <v>RF-00002266-MCG</v>
      </c>
    </row>
    <row r="7649" spans="1:2" ht="12.5" x14ac:dyDescent="0.25">
      <c r="A7649" t="str">
        <f ca="1">IFERROR(__xludf.DUMMYFUNCTION("""COMPUTED_VALUE"""),"Salmonella Typhimurium Nt-L30,31")</f>
        <v>Salmonella Typhimurium Nt-L30,31</v>
      </c>
      <c r="B7649" t="str">
        <f ca="1">IFERROR(__xludf.DUMMYFUNCTION("""COMPUTED_VALUE"""),"RF-00002267-MCG")</f>
        <v>RF-00002267-MCG</v>
      </c>
    </row>
    <row r="7650" spans="1:2" ht="12.5" x14ac:dyDescent="0.25">
      <c r="A7650" t="str">
        <f ca="1">IFERROR(__xludf.DUMMYFUNCTION("""COMPUTED_VALUE"""),"Salmonella Typhimurium Nt-L30,31,37")</f>
        <v>Salmonella Typhimurium Nt-L30,31,37</v>
      </c>
      <c r="B7650" t="str">
        <f ca="1">IFERROR(__xludf.DUMMYFUNCTION("""COMPUTED_VALUE"""),"RF-00002268-MCG")</f>
        <v>RF-00002268-MCG</v>
      </c>
    </row>
    <row r="7651" spans="1:2" ht="12.5" x14ac:dyDescent="0.25">
      <c r="A7651" t="str">
        <f ca="1">IFERROR(__xludf.DUMMYFUNCTION("""COMPUTED_VALUE"""),"Salmonella Typhimurium Nt-L30,37")</f>
        <v>Salmonella Typhimurium Nt-L30,37</v>
      </c>
      <c r="B7651" t="str">
        <f ca="1">IFERROR(__xludf.DUMMYFUNCTION("""COMPUTED_VALUE"""),"RF-00002269-MCG")</f>
        <v>RF-00002269-MCG</v>
      </c>
    </row>
    <row r="7652" spans="1:2" ht="12.5" x14ac:dyDescent="0.25">
      <c r="A7652" t="str">
        <f ca="1">IFERROR(__xludf.DUMMYFUNCTION("""COMPUTED_VALUE"""),"Salmonella Typhimurium Nt-L31")</f>
        <v>Salmonella Typhimurium Nt-L31</v>
      </c>
      <c r="B7652" t="str">
        <f ca="1">IFERROR(__xludf.DUMMYFUNCTION("""COMPUTED_VALUE"""),"RF-00002274-MCG")</f>
        <v>RF-00002274-MCG</v>
      </c>
    </row>
    <row r="7653" spans="1:2" ht="12.5" x14ac:dyDescent="0.25">
      <c r="A7653" t="str">
        <f ca="1">IFERROR(__xludf.DUMMYFUNCTION("""COMPUTED_VALUE"""),"Salmonella Typhimurium Nt-L31,37")</f>
        <v>Salmonella Typhimurium Nt-L31,37</v>
      </c>
      <c r="B7653" t="str">
        <f ca="1">IFERROR(__xludf.DUMMYFUNCTION("""COMPUTED_VALUE"""),"RF-00002271-MCG")</f>
        <v>RF-00002271-MCG</v>
      </c>
    </row>
    <row r="7654" spans="1:2" ht="12.5" x14ac:dyDescent="0.25">
      <c r="A7654" t="str">
        <f ca="1">IFERROR(__xludf.DUMMYFUNCTION("""COMPUTED_VALUE"""),"Salmonella Typhimurium Nt-L37")</f>
        <v>Salmonella Typhimurium Nt-L37</v>
      </c>
      <c r="B7654" t="str">
        <f ca="1">IFERROR(__xludf.DUMMYFUNCTION("""COMPUTED_VALUE"""),"RF-00002270-MCG")</f>
        <v>RF-00002270-MCG</v>
      </c>
    </row>
    <row r="7655" spans="1:2" ht="12.5" x14ac:dyDescent="0.25">
      <c r="A7655" t="str">
        <f ca="1">IFERROR(__xludf.DUMMYFUNCTION("""COMPUTED_VALUE"""),"Salmonella Typhimurium other")</f>
        <v>Salmonella Typhimurium other</v>
      </c>
      <c r="B7655" t="str">
        <f ca="1">IFERROR(__xludf.DUMMYFUNCTION("""COMPUTED_VALUE"""),"RF-00002273-MCG")</f>
        <v>RF-00002273-MCG</v>
      </c>
    </row>
    <row r="7656" spans="1:2" ht="12.5" x14ac:dyDescent="0.25">
      <c r="A7656" t="str">
        <f ca="1">IFERROR(__xludf.DUMMYFUNCTION("""COMPUTED_VALUE"""),"Salmonella Typhimurium Pr (phage-resistant phagetype)")</f>
        <v>Salmonella Typhimurium Pr (phage-resistant phagetype)</v>
      </c>
      <c r="B7656" t="str">
        <f ca="1">IFERROR(__xludf.DUMMYFUNCTION("""COMPUTED_VALUE"""),"RF-00002283-MCG")</f>
        <v>RF-00002283-MCG</v>
      </c>
    </row>
    <row r="7657" spans="1:2" ht="12.5" x14ac:dyDescent="0.25">
      <c r="A7657" t="str">
        <f ca="1">IFERROR(__xludf.DUMMYFUNCTION("""COMPUTED_VALUE"""),"Salmonella Typhimurium PT 193")</f>
        <v>Salmonella Typhimurium PT 193</v>
      </c>
      <c r="B7657" t="str">
        <f ca="1">IFERROR(__xludf.DUMMYFUNCTION("""COMPUTED_VALUE"""),"RF-00002297-MCG")</f>
        <v>RF-00002297-MCG</v>
      </c>
    </row>
    <row r="7658" spans="1:2" ht="12.5" x14ac:dyDescent="0.25">
      <c r="A7658" t="str">
        <f ca="1">IFERROR(__xludf.DUMMYFUNCTION("""COMPUTED_VALUE"""),"Salmonella Typhimurium RDNC")</f>
        <v>Salmonella Typhimurium RDNC</v>
      </c>
      <c r="B7658" t="str">
        <f ca="1">IFERROR(__xludf.DUMMYFUNCTION("""COMPUTED_VALUE"""),"RF-00002305-MCG")</f>
        <v>RF-00002305-MCG</v>
      </c>
    </row>
    <row r="7659" spans="1:2" ht="12.5" x14ac:dyDescent="0.25">
      <c r="A7659" t="str">
        <f ca="1">IFERROR(__xludf.DUMMYFUNCTION("""COMPUTED_VALUE"""),"Salmonella Typhimurium U")</f>
        <v>Salmonella Typhimurium U</v>
      </c>
      <c r="B7659" t="str">
        <f ca="1">IFERROR(__xludf.DUMMYFUNCTION("""COMPUTED_VALUE"""),"RF-00002304-MCG")</f>
        <v>RF-00002304-MCG</v>
      </c>
    </row>
    <row r="7660" spans="1:2" ht="12.5" x14ac:dyDescent="0.25">
      <c r="A7660" t="str">
        <f ca="1">IFERROR(__xludf.DUMMYFUNCTION("""COMPUTED_VALUE"""),"Salmonella Typhimurium U 276")</f>
        <v>Salmonella Typhimurium U 276</v>
      </c>
      <c r="B7660" t="str">
        <f ca="1">IFERROR(__xludf.DUMMYFUNCTION("""COMPUTED_VALUE"""),"RF-00002303-MCG")</f>
        <v>RF-00002303-MCG</v>
      </c>
    </row>
    <row r="7661" spans="1:2" ht="12.5" x14ac:dyDescent="0.25">
      <c r="A7661" t="str">
        <f ca="1">IFERROR(__xludf.DUMMYFUNCTION("""COMPUTED_VALUE"""),"Salmonella Typhimurium U 277")</f>
        <v>Salmonella Typhimurium U 277</v>
      </c>
      <c r="B7661" t="str">
        <f ca="1">IFERROR(__xludf.DUMMYFUNCTION("""COMPUTED_VALUE"""),"RF-00002302-MCG")</f>
        <v>RF-00002302-MCG</v>
      </c>
    </row>
    <row r="7662" spans="1:2" ht="12.5" x14ac:dyDescent="0.25">
      <c r="A7662" t="str">
        <f ca="1">IFERROR(__xludf.DUMMYFUNCTION("""COMPUTED_VALUE"""),"Salmonella Typhimurium U 278")</f>
        <v>Salmonella Typhimurium U 278</v>
      </c>
      <c r="B7662" t="str">
        <f ca="1">IFERROR(__xludf.DUMMYFUNCTION("""COMPUTED_VALUE"""),"RF-00002301-MCG")</f>
        <v>RF-00002301-MCG</v>
      </c>
    </row>
    <row r="7663" spans="1:2" ht="12.5" x14ac:dyDescent="0.25">
      <c r="A7663" t="str">
        <f ca="1">IFERROR(__xludf.DUMMYFUNCTION("""COMPUTED_VALUE"""),"Salmonella Typhimurium U 288")</f>
        <v>Salmonella Typhimurium U 288</v>
      </c>
      <c r="B7663" t="str">
        <f ca="1">IFERROR(__xludf.DUMMYFUNCTION("""COMPUTED_VALUE"""),"RF-00002300-MCG")</f>
        <v>RF-00002300-MCG</v>
      </c>
    </row>
    <row r="7664" spans="1:2" ht="12.5" x14ac:dyDescent="0.25">
      <c r="A7664" t="str">
        <f ca="1">IFERROR(__xludf.DUMMYFUNCTION("""COMPUTED_VALUE"""),"Salmonella Typhimurium U 289")</f>
        <v>Salmonella Typhimurium U 289</v>
      </c>
      <c r="B7664" t="str">
        <f ca="1">IFERROR(__xludf.DUMMYFUNCTION("""COMPUTED_VALUE"""),"RF-00002299-MCG")</f>
        <v>RF-00002299-MCG</v>
      </c>
    </row>
    <row r="7665" spans="1:2" ht="12.5" x14ac:dyDescent="0.25">
      <c r="A7665" t="str">
        <f ca="1">IFERROR(__xludf.DUMMYFUNCTION("""COMPUTED_VALUE"""),"Salmonella Typhimurium U 291")</f>
        <v>Salmonella Typhimurium U 291</v>
      </c>
      <c r="B7665" t="str">
        <f ca="1">IFERROR(__xludf.DUMMYFUNCTION("""COMPUTED_VALUE"""),"RF-00002298-MCG")</f>
        <v>RF-00002298-MCG</v>
      </c>
    </row>
    <row r="7666" spans="1:2" ht="12.5" x14ac:dyDescent="0.25">
      <c r="A7666" t="str">
        <f ca="1">IFERROR(__xludf.DUMMYFUNCTION("""COMPUTED_VALUE"""),"Salmonella Typhimurium U 292")</f>
        <v>Salmonella Typhimurium U 292</v>
      </c>
      <c r="B7666" t="str">
        <f ca="1">IFERROR(__xludf.DUMMYFUNCTION("""COMPUTED_VALUE"""),"RF-00002286-MCG")</f>
        <v>RF-00002286-MCG</v>
      </c>
    </row>
    <row r="7667" spans="1:2" ht="12.5" x14ac:dyDescent="0.25">
      <c r="A7667" t="str">
        <f ca="1">IFERROR(__xludf.DUMMYFUNCTION("""COMPUTED_VALUE"""),"Salmonella Typhimurium U 298")</f>
        <v>Salmonella Typhimurium U 298</v>
      </c>
      <c r="B7667" t="str">
        <f ca="1">IFERROR(__xludf.DUMMYFUNCTION("""COMPUTED_VALUE"""),"RF-00001312-PAR")</f>
        <v>RF-00001312-PAR</v>
      </c>
    </row>
    <row r="7668" spans="1:2" ht="12.5" x14ac:dyDescent="0.25">
      <c r="A7668" t="str">
        <f ca="1">IFERROR(__xludf.DUMMYFUNCTION("""COMPUTED_VALUE"""),"Salmonella Typhimurium U 302")</f>
        <v>Salmonella Typhimurium U 302</v>
      </c>
      <c r="B7668" t="str">
        <f ca="1">IFERROR(__xludf.DUMMYFUNCTION("""COMPUTED_VALUE"""),"RF-00002296-MCG")</f>
        <v>RF-00002296-MCG</v>
      </c>
    </row>
    <row r="7669" spans="1:2" ht="12.5" x14ac:dyDescent="0.25">
      <c r="A7669" t="str">
        <f ca="1">IFERROR(__xludf.DUMMYFUNCTION("""COMPUTED_VALUE"""),"Salmonella Typhimurium U 307")</f>
        <v>Salmonella Typhimurium U 307</v>
      </c>
      <c r="B7669" t="str">
        <f ca="1">IFERROR(__xludf.DUMMYFUNCTION("""COMPUTED_VALUE"""),"RF-00002306-MCG")</f>
        <v>RF-00002306-MCG</v>
      </c>
    </row>
    <row r="7670" spans="1:2" ht="12.5" x14ac:dyDescent="0.25">
      <c r="A7670" t="str">
        <f ca="1">IFERROR(__xludf.DUMMYFUNCTION("""COMPUTED_VALUE"""),"Salmonella Typhimurium U 308")</f>
        <v>Salmonella Typhimurium U 308</v>
      </c>
      <c r="B7670" t="str">
        <f ca="1">IFERROR(__xludf.DUMMYFUNCTION("""COMPUTED_VALUE"""),"RF-00002294-MCG")</f>
        <v>RF-00002294-MCG</v>
      </c>
    </row>
    <row r="7671" spans="1:2" ht="12.5" x14ac:dyDescent="0.25">
      <c r="A7671" t="str">
        <f ca="1">IFERROR(__xludf.DUMMYFUNCTION("""COMPUTED_VALUE"""),"Salmonella Typhimurium U 308b")</f>
        <v>Salmonella Typhimurium U 308b</v>
      </c>
      <c r="B7671" t="str">
        <f ca="1">IFERROR(__xludf.DUMMYFUNCTION("""COMPUTED_VALUE"""),"RF-00002293-MCG")</f>
        <v>RF-00002293-MCG</v>
      </c>
    </row>
    <row r="7672" spans="1:2" ht="12.5" x14ac:dyDescent="0.25">
      <c r="A7672" t="str">
        <f ca="1">IFERROR(__xludf.DUMMYFUNCTION("""COMPUTED_VALUE"""),"Salmonella Typhimurium U 309")</f>
        <v>Salmonella Typhimurium U 309</v>
      </c>
      <c r="B7672" t="str">
        <f ca="1">IFERROR(__xludf.DUMMYFUNCTION("""COMPUTED_VALUE"""),"RF-00002292-MCG")</f>
        <v>RF-00002292-MCG</v>
      </c>
    </row>
    <row r="7673" spans="1:2" ht="12.5" x14ac:dyDescent="0.25">
      <c r="A7673" t="str">
        <f ca="1">IFERROR(__xludf.DUMMYFUNCTION("""COMPUTED_VALUE"""),"Salmonella Typhimurium U 310")</f>
        <v>Salmonella Typhimurium U 310</v>
      </c>
      <c r="B7673" t="str">
        <f ca="1">IFERROR(__xludf.DUMMYFUNCTION("""COMPUTED_VALUE"""),"RF-00002295-MCG")</f>
        <v>RF-00002295-MCG</v>
      </c>
    </row>
    <row r="7674" spans="1:2" ht="12.5" x14ac:dyDescent="0.25">
      <c r="A7674" t="str">
        <f ca="1">IFERROR(__xludf.DUMMYFUNCTION("""COMPUTED_VALUE"""),"Salmonella Typhimurium U 311")</f>
        <v>Salmonella Typhimurium U 311</v>
      </c>
      <c r="B7674" t="str">
        <f ca="1">IFERROR(__xludf.DUMMYFUNCTION("""COMPUTED_VALUE"""),"RF-00002291-MCG")</f>
        <v>RF-00002291-MCG</v>
      </c>
    </row>
    <row r="7675" spans="1:2" ht="12.5" x14ac:dyDescent="0.25">
      <c r="A7675" t="str">
        <f ca="1">IFERROR(__xludf.DUMMYFUNCTION("""COMPUTED_VALUE"""),"Salmonella Typhimurium U 312")</f>
        <v>Salmonella Typhimurium U 312</v>
      </c>
      <c r="B7675" t="str">
        <f ca="1">IFERROR(__xludf.DUMMYFUNCTION("""COMPUTED_VALUE"""),"RF-00002284-MCG")</f>
        <v>RF-00002284-MCG</v>
      </c>
    </row>
    <row r="7676" spans="1:2" ht="12.5" x14ac:dyDescent="0.25">
      <c r="A7676" t="str">
        <f ca="1">IFERROR(__xludf.DUMMYFUNCTION("""COMPUTED_VALUE"""),"Salmonella Typhimurium U 313")</f>
        <v>Salmonella Typhimurium U 313</v>
      </c>
      <c r="B7676" t="str">
        <f ca="1">IFERROR(__xludf.DUMMYFUNCTION("""COMPUTED_VALUE"""),"RF-00002290-MCG")</f>
        <v>RF-00002290-MCG</v>
      </c>
    </row>
    <row r="7677" spans="1:2" ht="12.5" x14ac:dyDescent="0.25">
      <c r="A7677" t="str">
        <f ca="1">IFERROR(__xludf.DUMMYFUNCTION("""COMPUTED_VALUE"""),"Salmonella Typhimurium U 314")</f>
        <v>Salmonella Typhimurium U 314</v>
      </c>
      <c r="B7677" t="str">
        <f ca="1">IFERROR(__xludf.DUMMYFUNCTION("""COMPUTED_VALUE"""),"RF-00002289-MCG")</f>
        <v>RF-00002289-MCG</v>
      </c>
    </row>
    <row r="7678" spans="1:2" ht="12.5" x14ac:dyDescent="0.25">
      <c r="A7678" t="str">
        <f ca="1">IFERROR(__xludf.DUMMYFUNCTION("""COMPUTED_VALUE"""),"Salmonella Typhimurium var. Copenhagen")</f>
        <v>Salmonella Typhimurium var. Copenhagen</v>
      </c>
      <c r="B7678" t="str">
        <f ca="1">IFERROR(__xludf.DUMMYFUNCTION("""COMPUTED_VALUE"""),"RF-00000984-MCG")</f>
        <v>RF-00000984-MCG</v>
      </c>
    </row>
    <row r="7679" spans="1:2" ht="12.5" x14ac:dyDescent="0.25">
      <c r="A7679" t="str">
        <f ca="1">IFERROR(__xludf.DUMMYFUNCTION("""COMPUTED_VALUE"""),"Salmonella Typhisuis")</f>
        <v>Salmonella Typhisuis</v>
      </c>
      <c r="B7679" t="str">
        <f ca="1">IFERROR(__xludf.DUMMYFUNCTION("""COMPUTED_VALUE"""),"RF-00000997-MCG")</f>
        <v>RF-00000997-MCG</v>
      </c>
    </row>
    <row r="7680" spans="1:2" ht="12.5" x14ac:dyDescent="0.25">
      <c r="A7680" t="str">
        <f ca="1">IFERROR(__xludf.DUMMYFUNCTION("""COMPUTED_VALUE"""),"Salmonella Tyresoe")</f>
        <v>Salmonella Tyresoe</v>
      </c>
      <c r="B7680" t="str">
        <f ca="1">IFERROR(__xludf.DUMMYFUNCTION("""COMPUTED_VALUE"""),"RF-00000982-MCG")</f>
        <v>RF-00000982-MCG</v>
      </c>
    </row>
    <row r="7681" spans="1:2" ht="12.5" x14ac:dyDescent="0.25">
      <c r="A7681" t="str">
        <f ca="1">IFERROR(__xludf.DUMMYFUNCTION("""COMPUTED_VALUE"""),"Salmonella Uccle")</f>
        <v>Salmonella Uccle</v>
      </c>
      <c r="B7681" t="str">
        <f ca="1">IFERROR(__xludf.DUMMYFUNCTION("""COMPUTED_VALUE"""),"RF-00000981-MCG")</f>
        <v>RF-00000981-MCG</v>
      </c>
    </row>
    <row r="7682" spans="1:2" ht="12.5" x14ac:dyDescent="0.25">
      <c r="A7682" t="str">
        <f ca="1">IFERROR(__xludf.DUMMYFUNCTION("""COMPUTED_VALUE"""),"Salmonella Uganda")</f>
        <v>Salmonella Uganda</v>
      </c>
      <c r="B7682" t="str">
        <f ca="1">IFERROR(__xludf.DUMMYFUNCTION("""COMPUTED_VALUE"""),"RF-00000980-MCG")</f>
        <v>RF-00000980-MCG</v>
      </c>
    </row>
    <row r="7683" spans="1:2" ht="12.5" x14ac:dyDescent="0.25">
      <c r="A7683" t="str">
        <f ca="1">IFERROR(__xludf.DUMMYFUNCTION("""COMPUTED_VALUE"""),"Salmonella Uganda var. 15")</f>
        <v>Salmonella Uganda var. 15</v>
      </c>
      <c r="B7683" t="str">
        <f ca="1">IFERROR(__xludf.DUMMYFUNCTION("""COMPUTED_VALUE"""),"RF-00000979-MCG")</f>
        <v>RF-00000979-MCG</v>
      </c>
    </row>
    <row r="7684" spans="1:2" ht="12.5" x14ac:dyDescent="0.25">
      <c r="A7684" t="str">
        <f ca="1">IFERROR(__xludf.DUMMYFUNCTION("""COMPUTED_VALUE"""),"Salmonella Ughelli")</f>
        <v>Salmonella Ughelli</v>
      </c>
      <c r="B7684" t="str">
        <f ca="1">IFERROR(__xludf.DUMMYFUNCTION("""COMPUTED_VALUE"""),"RF-00000978-MCG")</f>
        <v>RF-00000978-MCG</v>
      </c>
    </row>
    <row r="7685" spans="1:2" ht="12.5" x14ac:dyDescent="0.25">
      <c r="A7685" t="str">
        <f ca="1">IFERROR(__xludf.DUMMYFUNCTION("""COMPUTED_VALUE"""),"Salmonella Uhlenhorst")</f>
        <v>Salmonella Uhlenhorst</v>
      </c>
      <c r="B7685" t="str">
        <f ca="1">IFERROR(__xludf.DUMMYFUNCTION("""COMPUTED_VALUE"""),"RF-00000977-MCG")</f>
        <v>RF-00000977-MCG</v>
      </c>
    </row>
    <row r="7686" spans="1:2" ht="12.5" x14ac:dyDescent="0.25">
      <c r="A7686" t="str">
        <f ca="1">IFERROR(__xludf.DUMMYFUNCTION("""COMPUTED_VALUE"""),"Salmonella Uithof")</f>
        <v>Salmonella Uithof</v>
      </c>
      <c r="B7686" t="str">
        <f ca="1">IFERROR(__xludf.DUMMYFUNCTION("""COMPUTED_VALUE"""),"RF-00000976-MCG")</f>
        <v>RF-00000976-MCG</v>
      </c>
    </row>
    <row r="7687" spans="1:2" ht="12.5" x14ac:dyDescent="0.25">
      <c r="A7687" t="str">
        <f ca="1">IFERROR(__xludf.DUMMYFUNCTION("""COMPUTED_VALUE"""),"Salmonella Ullevi")</f>
        <v>Salmonella Ullevi</v>
      </c>
      <c r="B7687" t="str">
        <f ca="1">IFERROR(__xludf.DUMMYFUNCTION("""COMPUTED_VALUE"""),"RF-00000975-MCG")</f>
        <v>RF-00000975-MCG</v>
      </c>
    </row>
    <row r="7688" spans="1:2" ht="12.5" x14ac:dyDescent="0.25">
      <c r="A7688" t="str">
        <f ca="1">IFERROR(__xludf.DUMMYFUNCTION("""COMPUTED_VALUE"""),"Salmonella Umbilo")</f>
        <v>Salmonella Umbilo</v>
      </c>
      <c r="B7688" t="str">
        <f ca="1">IFERROR(__xludf.DUMMYFUNCTION("""COMPUTED_VALUE"""),"RF-00000974-MCG")</f>
        <v>RF-00000974-MCG</v>
      </c>
    </row>
    <row r="7689" spans="1:2" ht="12.5" x14ac:dyDescent="0.25">
      <c r="A7689" t="str">
        <f ca="1">IFERROR(__xludf.DUMMYFUNCTION("""COMPUTED_VALUE"""),"Salmonella Umhlali")</f>
        <v>Salmonella Umhlali</v>
      </c>
      <c r="B7689" t="str">
        <f ca="1">IFERROR(__xludf.DUMMYFUNCTION("""COMPUTED_VALUE"""),"RF-00000973-MCG")</f>
        <v>RF-00000973-MCG</v>
      </c>
    </row>
    <row r="7690" spans="1:2" ht="12.5" x14ac:dyDescent="0.25">
      <c r="A7690" t="str">
        <f ca="1">IFERROR(__xludf.DUMMYFUNCTION("""COMPUTED_VALUE"""),"Salmonella Umhlatazana")</f>
        <v>Salmonella Umhlatazana</v>
      </c>
      <c r="B7690" t="str">
        <f ca="1">IFERROR(__xludf.DUMMYFUNCTION("""COMPUTED_VALUE"""),"RF-00001010-MCG")</f>
        <v>RF-00001010-MCG</v>
      </c>
    </row>
    <row r="7691" spans="1:2" ht="12.5" x14ac:dyDescent="0.25">
      <c r="A7691" t="str">
        <f ca="1">IFERROR(__xludf.DUMMYFUNCTION("""COMPUTED_VALUE"""),"Salmonella Uno")</f>
        <v>Salmonella Uno</v>
      </c>
      <c r="B7691" t="str">
        <f ca="1">IFERROR(__xludf.DUMMYFUNCTION("""COMPUTED_VALUE"""),"RF-00000983-MCG")</f>
        <v>RF-00000983-MCG</v>
      </c>
    </row>
    <row r="7692" spans="1:2" ht="12.5" x14ac:dyDescent="0.25">
      <c r="A7692" t="str">
        <f ca="1">IFERROR(__xludf.DUMMYFUNCTION("""COMPUTED_VALUE"""),"Salmonella Uppsala")</f>
        <v>Salmonella Uppsala</v>
      </c>
      <c r="B7692" t="str">
        <f ca="1">IFERROR(__xludf.DUMMYFUNCTION("""COMPUTED_VALUE"""),"RF-00000985-MCG")</f>
        <v>RF-00000985-MCG</v>
      </c>
    </row>
    <row r="7693" spans="1:2" ht="12.5" x14ac:dyDescent="0.25">
      <c r="A7693" t="str">
        <f ca="1">IFERROR(__xludf.DUMMYFUNCTION("""COMPUTED_VALUE"""),"Salmonella Urbana")</f>
        <v>Salmonella Urbana</v>
      </c>
      <c r="B7693" t="str">
        <f ca="1">IFERROR(__xludf.DUMMYFUNCTION("""COMPUTED_VALUE"""),"RF-00001023-MCG")</f>
        <v>RF-00001023-MCG</v>
      </c>
    </row>
    <row r="7694" spans="1:2" ht="12.5" x14ac:dyDescent="0.25">
      <c r="A7694" t="str">
        <f ca="1">IFERROR(__xludf.DUMMYFUNCTION("""COMPUTED_VALUE"""),"Salmonella Ursenbach")</f>
        <v>Salmonella Ursenbach</v>
      </c>
      <c r="B7694" t="str">
        <f ca="1">IFERROR(__xludf.DUMMYFUNCTION("""COMPUTED_VALUE"""),"RF-00001022-MCG")</f>
        <v>RF-00001022-MCG</v>
      </c>
    </row>
    <row r="7695" spans="1:2" ht="12.5" x14ac:dyDescent="0.25">
      <c r="A7695" t="str">
        <f ca="1">IFERROR(__xludf.DUMMYFUNCTION("""COMPUTED_VALUE"""),"Salmonella Usumbura")</f>
        <v>Salmonella Usumbura</v>
      </c>
      <c r="B7695" t="str">
        <f ca="1">IFERROR(__xludf.DUMMYFUNCTION("""COMPUTED_VALUE"""),"RF-00001021-MCG")</f>
        <v>RF-00001021-MCG</v>
      </c>
    </row>
    <row r="7696" spans="1:2" ht="12.5" x14ac:dyDescent="0.25">
      <c r="A7696" t="str">
        <f ca="1">IFERROR(__xludf.DUMMYFUNCTION("""COMPUTED_VALUE"""),"Salmonella Utah")</f>
        <v>Salmonella Utah</v>
      </c>
      <c r="B7696" t="str">
        <f ca="1">IFERROR(__xludf.DUMMYFUNCTION("""COMPUTED_VALUE"""),"RF-00001020-MCG")</f>
        <v>RF-00001020-MCG</v>
      </c>
    </row>
    <row r="7697" spans="1:2" ht="12.5" x14ac:dyDescent="0.25">
      <c r="A7697" t="str">
        <f ca="1">IFERROR(__xludf.DUMMYFUNCTION("""COMPUTED_VALUE"""),"Salmonella Utrecht")</f>
        <v>Salmonella Utrecht</v>
      </c>
      <c r="B7697" t="str">
        <f ca="1">IFERROR(__xludf.DUMMYFUNCTION("""COMPUTED_VALUE"""),"RF-00001019-MCG")</f>
        <v>RF-00001019-MCG</v>
      </c>
    </row>
    <row r="7698" spans="1:2" ht="12.5" x14ac:dyDescent="0.25">
      <c r="A7698" t="str">
        <f ca="1">IFERROR(__xludf.DUMMYFUNCTION("""COMPUTED_VALUE"""),"Salmonella Uzaramo")</f>
        <v>Salmonella Uzaramo</v>
      </c>
      <c r="B7698" t="str">
        <f ca="1">IFERROR(__xludf.DUMMYFUNCTION("""COMPUTED_VALUE"""),"RF-00001018-MCG")</f>
        <v>RF-00001018-MCG</v>
      </c>
    </row>
    <row r="7699" spans="1:2" ht="12.5" x14ac:dyDescent="0.25">
      <c r="A7699" t="str">
        <f ca="1">IFERROR(__xludf.DUMMYFUNCTION("""COMPUTED_VALUE"""),"Salmonella V 44:r:-")</f>
        <v>Salmonella V 44:r:-</v>
      </c>
      <c r="B7699" t="str">
        <f ca="1">IFERROR(__xludf.DUMMYFUNCTION("""COMPUTED_VALUE"""),"RF-00001017-MCG")</f>
        <v>RF-00001017-MCG</v>
      </c>
    </row>
    <row r="7700" spans="1:2" ht="12.5" x14ac:dyDescent="0.25">
      <c r="A7700" t="str">
        <f ca="1">IFERROR(__xludf.DUMMYFUNCTION("""COMPUTED_VALUE"""),"Salmonella V 48:z35:-")</f>
        <v>Salmonella V 48:z35:-</v>
      </c>
      <c r="B7700" t="str">
        <f ca="1">IFERROR(__xludf.DUMMYFUNCTION("""COMPUTED_VALUE"""),"RF-00001016-MCG")</f>
        <v>RF-00001016-MCG</v>
      </c>
    </row>
    <row r="7701" spans="1:2" ht="12.5" x14ac:dyDescent="0.25">
      <c r="A7701" t="str">
        <f ca="1">IFERROR(__xludf.DUMMYFUNCTION("""COMPUTED_VALUE"""),"Salmonella V 48:z41:-")</f>
        <v>Salmonella V 48:z41:-</v>
      </c>
      <c r="B7701" t="str">
        <f ca="1">IFERROR(__xludf.DUMMYFUNCTION("""COMPUTED_VALUE"""),"RF-00001015-MCG")</f>
        <v>RF-00001015-MCG</v>
      </c>
    </row>
    <row r="7702" spans="1:2" ht="12.5" x14ac:dyDescent="0.25">
      <c r="A7702" t="str">
        <f ca="1">IFERROR(__xludf.DUMMYFUNCTION("""COMPUTED_VALUE"""),"Salmonella V 66:z35:-")</f>
        <v>Salmonella V 66:z35:-</v>
      </c>
      <c r="B7702" t="str">
        <f ca="1">IFERROR(__xludf.DUMMYFUNCTION("""COMPUTED_VALUE"""),"RF-00001014-MCG")</f>
        <v>RF-00001014-MCG</v>
      </c>
    </row>
    <row r="7703" spans="1:2" ht="12.5" x14ac:dyDescent="0.25">
      <c r="A7703" t="str">
        <f ca="1">IFERROR(__xludf.DUMMYFUNCTION("""COMPUTED_VALUE"""),"Salmonella V 66:z41:-")</f>
        <v>Salmonella V 66:z41:-</v>
      </c>
      <c r="B7703" t="str">
        <f ca="1">IFERROR(__xludf.DUMMYFUNCTION("""COMPUTED_VALUE"""),"RF-00001013-MCG")</f>
        <v>RF-00001013-MCG</v>
      </c>
    </row>
    <row r="7704" spans="1:2" ht="12.5" x14ac:dyDescent="0.25">
      <c r="A7704" t="str">
        <f ca="1">IFERROR(__xludf.DUMMYFUNCTION("""COMPUTED_VALUE"""),"Salmonella V 66:z65:-")</f>
        <v>Salmonella V 66:z65:-</v>
      </c>
      <c r="B7704" t="str">
        <f ca="1">IFERROR(__xludf.DUMMYFUNCTION("""COMPUTED_VALUE"""),"RF-00000998-MCG")</f>
        <v>RF-00000998-MCG</v>
      </c>
    </row>
    <row r="7705" spans="1:2" ht="12.5" x14ac:dyDescent="0.25">
      <c r="A7705" t="str">
        <f ca="1">IFERROR(__xludf.DUMMYFUNCTION("""COMPUTED_VALUE"""),"Salmonella Vaertan")</f>
        <v>Salmonella Vaertan</v>
      </c>
      <c r="B7705" t="str">
        <f ca="1">IFERROR(__xludf.DUMMYFUNCTION("""COMPUTED_VALUE"""),"RF-00001011-MCG")</f>
        <v>RF-00001011-MCG</v>
      </c>
    </row>
    <row r="7706" spans="1:2" ht="12.5" x14ac:dyDescent="0.25">
      <c r="A7706" t="str">
        <f ca="1">IFERROR(__xludf.DUMMYFUNCTION("""COMPUTED_VALUE"""),"Salmonella Valdosta")</f>
        <v>Salmonella Valdosta</v>
      </c>
      <c r="B7706" t="str">
        <f ca="1">IFERROR(__xludf.DUMMYFUNCTION("""COMPUTED_VALUE"""),"RF-00001024-MCG")</f>
        <v>RF-00001024-MCG</v>
      </c>
    </row>
    <row r="7707" spans="1:2" ht="12.5" x14ac:dyDescent="0.25">
      <c r="A7707" t="str">
        <f ca="1">IFERROR(__xludf.DUMMYFUNCTION("""COMPUTED_VALUE"""),"Salmonella Vancouver")</f>
        <v>Salmonella Vancouver</v>
      </c>
      <c r="B7707" t="str">
        <f ca="1">IFERROR(__xludf.DUMMYFUNCTION("""COMPUTED_VALUE"""),"RF-00001009-MCG")</f>
        <v>RF-00001009-MCG</v>
      </c>
    </row>
    <row r="7708" spans="1:2" ht="12.5" x14ac:dyDescent="0.25">
      <c r="A7708" t="str">
        <f ca="1">IFERROR(__xludf.DUMMYFUNCTION("""COMPUTED_VALUE"""),"Salmonella Vanier")</f>
        <v>Salmonella Vanier</v>
      </c>
      <c r="B7708" t="str">
        <f ca="1">IFERROR(__xludf.DUMMYFUNCTION("""COMPUTED_VALUE"""),"RF-00001008-MCG")</f>
        <v>RF-00001008-MCG</v>
      </c>
    </row>
    <row r="7709" spans="1:2" ht="12.5" x14ac:dyDescent="0.25">
      <c r="A7709" t="str">
        <f ca="1">IFERROR(__xludf.DUMMYFUNCTION("""COMPUTED_VALUE"""),"Salmonella Vaugirard")</f>
        <v>Salmonella Vaugirard</v>
      </c>
      <c r="B7709" t="str">
        <f ca="1">IFERROR(__xludf.DUMMYFUNCTION("""COMPUTED_VALUE"""),"RF-00001007-MCG")</f>
        <v>RF-00001007-MCG</v>
      </c>
    </row>
    <row r="7710" spans="1:2" ht="12.5" x14ac:dyDescent="0.25">
      <c r="A7710" t="str">
        <f ca="1">IFERROR(__xludf.DUMMYFUNCTION("""COMPUTED_VALUE"""),"Salmonella Vegesack")</f>
        <v>Salmonella Vegesack</v>
      </c>
      <c r="B7710" t="str">
        <f ca="1">IFERROR(__xludf.DUMMYFUNCTION("""COMPUTED_VALUE"""),"RF-00001006-MCG")</f>
        <v>RF-00001006-MCG</v>
      </c>
    </row>
    <row r="7711" spans="1:2" ht="12.5" x14ac:dyDescent="0.25">
      <c r="A7711" t="str">
        <f ca="1">IFERROR(__xludf.DUMMYFUNCTION("""COMPUTED_VALUE"""),"Salmonella Vejle")</f>
        <v>Salmonella Vejle</v>
      </c>
      <c r="B7711" t="str">
        <f ca="1">IFERROR(__xludf.DUMMYFUNCTION("""COMPUTED_VALUE"""),"RF-00001005-MCG")</f>
        <v>RF-00001005-MCG</v>
      </c>
    </row>
    <row r="7712" spans="1:2" ht="12.5" x14ac:dyDescent="0.25">
      <c r="A7712" t="str">
        <f ca="1">IFERROR(__xludf.DUMMYFUNCTION("""COMPUTED_VALUE"""),"Salmonella Vejle var. 15")</f>
        <v>Salmonella Vejle var. 15</v>
      </c>
      <c r="B7712" t="str">
        <f ca="1">IFERROR(__xludf.DUMMYFUNCTION("""COMPUTED_VALUE"""),"RF-00001004-MCG")</f>
        <v>RF-00001004-MCG</v>
      </c>
    </row>
    <row r="7713" spans="1:2" ht="12.5" x14ac:dyDescent="0.25">
      <c r="A7713" t="str">
        <f ca="1">IFERROR(__xludf.DUMMYFUNCTION("""COMPUTED_VALUE"""),"Salmonella Vellore")</f>
        <v>Salmonella Vellore</v>
      </c>
      <c r="B7713" t="str">
        <f ca="1">IFERROR(__xludf.DUMMYFUNCTION("""COMPUTED_VALUE"""),"RF-00001003-MCG")</f>
        <v>RF-00001003-MCG</v>
      </c>
    </row>
    <row r="7714" spans="1:2" ht="12.5" x14ac:dyDescent="0.25">
      <c r="A7714" t="str">
        <f ca="1">IFERROR(__xludf.DUMMYFUNCTION("""COMPUTED_VALUE"""),"Salmonella Veneziana")</f>
        <v>Salmonella Veneziana</v>
      </c>
      <c r="B7714" t="str">
        <f ca="1">IFERROR(__xludf.DUMMYFUNCTION("""COMPUTED_VALUE"""),"RF-00001002-MCG")</f>
        <v>RF-00001002-MCG</v>
      </c>
    </row>
    <row r="7715" spans="1:2" ht="12.5" x14ac:dyDescent="0.25">
      <c r="A7715" t="str">
        <f ca="1">IFERROR(__xludf.DUMMYFUNCTION("""COMPUTED_VALUE"""),"Salmonella Verona")</f>
        <v>Salmonella Verona</v>
      </c>
      <c r="B7715" t="str">
        <f ca="1">IFERROR(__xludf.DUMMYFUNCTION("""COMPUTED_VALUE"""),"RF-00001001-MCG")</f>
        <v>RF-00001001-MCG</v>
      </c>
    </row>
    <row r="7716" spans="1:2" ht="12.5" x14ac:dyDescent="0.25">
      <c r="A7716" t="str">
        <f ca="1">IFERROR(__xludf.DUMMYFUNCTION("""COMPUTED_VALUE"""),"Salmonella Verviers")</f>
        <v>Salmonella Verviers</v>
      </c>
      <c r="B7716" t="str">
        <f ca="1">IFERROR(__xludf.DUMMYFUNCTION("""COMPUTED_VALUE"""),"RF-00001000-MCG")</f>
        <v>RF-00001000-MCG</v>
      </c>
    </row>
    <row r="7717" spans="1:2" ht="12.5" x14ac:dyDescent="0.25">
      <c r="A7717" t="str">
        <f ca="1">IFERROR(__xludf.DUMMYFUNCTION("""COMPUTED_VALUE"""),"Salmonella VI 1,6,14,25:a:e,n,x")</f>
        <v>Salmonella VI 1,6,14,25:a:e,n,x</v>
      </c>
      <c r="B7717" t="str">
        <f ca="1">IFERROR(__xludf.DUMMYFUNCTION("""COMPUTED_VALUE"""),"RF-00000999-MCG")</f>
        <v>RF-00000999-MCG</v>
      </c>
    </row>
    <row r="7718" spans="1:2" ht="12.5" x14ac:dyDescent="0.25">
      <c r="A7718" t="str">
        <f ca="1">IFERROR(__xludf.DUMMYFUNCTION("""COMPUTED_VALUE"""),"Salmonella VI 11:b:1,7")</f>
        <v>Salmonella VI 11:b:1,7</v>
      </c>
      <c r="B7718" t="str">
        <f ca="1">IFERROR(__xludf.DUMMYFUNCTION("""COMPUTED_VALUE"""),"RF-00001080-MCG")</f>
        <v>RF-00001080-MCG</v>
      </c>
    </row>
    <row r="7719" spans="1:2" ht="12.5" x14ac:dyDescent="0.25">
      <c r="A7719" t="str">
        <f ca="1">IFERROR(__xludf.DUMMYFUNCTION("""COMPUTED_VALUE"""),"Salmonella VI 11:b:e,n,x")</f>
        <v>Salmonella VI 11:b:e,n,x</v>
      </c>
      <c r="B7719" t="str">
        <f ca="1">IFERROR(__xludf.DUMMYFUNCTION("""COMPUTED_VALUE"""),"RF-00001161-MCG")</f>
        <v>RF-00001161-MCG</v>
      </c>
    </row>
    <row r="7720" spans="1:2" ht="12.5" x14ac:dyDescent="0.25">
      <c r="A7720" t="str">
        <f ca="1">IFERROR(__xludf.DUMMYFUNCTION("""COMPUTED_VALUE"""),"Salmonella VI 45:a:e,n,x")</f>
        <v>Salmonella VI 45:a:e,n,x</v>
      </c>
      <c r="B7720" t="str">
        <f ca="1">IFERROR(__xludf.DUMMYFUNCTION("""COMPUTED_VALUE"""),"RF-00001066-MCG")</f>
        <v>RF-00001066-MCG</v>
      </c>
    </row>
    <row r="7721" spans="1:2" ht="12.5" x14ac:dyDescent="0.25">
      <c r="A7721" t="str">
        <f ca="1">IFERROR(__xludf.DUMMYFUNCTION("""COMPUTED_VALUE"""),"Salmonella Victoria")</f>
        <v>Salmonella Victoria</v>
      </c>
      <c r="B7721" t="str">
        <f ca="1">IFERROR(__xludf.DUMMYFUNCTION("""COMPUTED_VALUE"""),"RF-00001157-MCG")</f>
        <v>RF-00001157-MCG</v>
      </c>
    </row>
    <row r="7722" spans="1:2" ht="12.5" x14ac:dyDescent="0.25">
      <c r="A7722" t="str">
        <f ca="1">IFERROR(__xludf.DUMMYFUNCTION("""COMPUTED_VALUE"""),"Salmonella Victoriaborg")</f>
        <v>Salmonella Victoriaborg</v>
      </c>
      <c r="B7722" t="str">
        <f ca="1">IFERROR(__xludf.DUMMYFUNCTION("""COMPUTED_VALUE"""),"RF-00001156-MCG")</f>
        <v>RF-00001156-MCG</v>
      </c>
    </row>
    <row r="7723" spans="1:2" ht="12.5" x14ac:dyDescent="0.25">
      <c r="A7723" t="str">
        <f ca="1">IFERROR(__xludf.DUMMYFUNCTION("""COMPUTED_VALUE"""),"Salmonella Vietnam")</f>
        <v>Salmonella Vietnam</v>
      </c>
      <c r="B7723" t="str">
        <f ca="1">IFERROR(__xludf.DUMMYFUNCTION("""COMPUTED_VALUE"""),"RF-00001155-MCG")</f>
        <v>RF-00001155-MCG</v>
      </c>
    </row>
    <row r="7724" spans="1:2" ht="12.5" x14ac:dyDescent="0.25">
      <c r="A7724" t="str">
        <f ca="1">IFERROR(__xludf.DUMMYFUNCTION("""COMPUTED_VALUE"""),"Salmonella Vilvoorde")</f>
        <v>Salmonella Vilvoorde</v>
      </c>
      <c r="B7724" t="str">
        <f ca="1">IFERROR(__xludf.DUMMYFUNCTION("""COMPUTED_VALUE"""),"RF-00001154-MCG")</f>
        <v>RF-00001154-MCG</v>
      </c>
    </row>
    <row r="7725" spans="1:2" ht="12.5" x14ac:dyDescent="0.25">
      <c r="A7725" t="str">
        <f ca="1">IFERROR(__xludf.DUMMYFUNCTION("""COMPUTED_VALUE"""),"Salmonella Vinohrady")</f>
        <v>Salmonella Vinohrady</v>
      </c>
      <c r="B7725" t="str">
        <f ca="1">IFERROR(__xludf.DUMMYFUNCTION("""COMPUTED_VALUE"""),"RF-00001153-MCG")</f>
        <v>RF-00001153-MCG</v>
      </c>
    </row>
    <row r="7726" spans="1:2" ht="12.5" x14ac:dyDescent="0.25">
      <c r="A7726" t="str">
        <f ca="1">IFERROR(__xludf.DUMMYFUNCTION("""COMPUTED_VALUE"""),"Salmonella Virchow")</f>
        <v>Salmonella Virchow</v>
      </c>
      <c r="B7726" t="str">
        <f ca="1">IFERROR(__xludf.DUMMYFUNCTION("""COMPUTED_VALUE"""),"RF-00001152-MCG")</f>
        <v>RF-00001152-MCG</v>
      </c>
    </row>
    <row r="7727" spans="1:2" ht="12.5" x14ac:dyDescent="0.25">
      <c r="A7727" t="str">
        <f ca="1">IFERROR(__xludf.DUMMYFUNCTION("""COMPUTED_VALUE"""),"Salmonella Virginia")</f>
        <v>Salmonella Virginia</v>
      </c>
      <c r="B7727" t="str">
        <f ca="1">IFERROR(__xludf.DUMMYFUNCTION("""COMPUTED_VALUE"""),"RF-00001151-MCG")</f>
        <v>RF-00001151-MCG</v>
      </c>
    </row>
    <row r="7728" spans="1:2" ht="12.5" x14ac:dyDescent="0.25">
      <c r="A7728" t="str">
        <f ca="1">IFERROR(__xludf.DUMMYFUNCTION("""COMPUTED_VALUE"""),"Salmonella Visby")</f>
        <v>Salmonella Visby</v>
      </c>
      <c r="B7728" t="str">
        <f ca="1">IFERROR(__xludf.DUMMYFUNCTION("""COMPUTED_VALUE"""),"RF-00001150-MCG")</f>
        <v>RF-00001150-MCG</v>
      </c>
    </row>
    <row r="7729" spans="1:2" ht="12.5" x14ac:dyDescent="0.25">
      <c r="A7729" t="str">
        <f ca="1">IFERROR(__xludf.DUMMYFUNCTION("""COMPUTED_VALUE"""),"Salmonella Vitkin")</f>
        <v>Salmonella Vitkin</v>
      </c>
      <c r="B7729" t="str">
        <f ca="1">IFERROR(__xludf.DUMMYFUNCTION("""COMPUTED_VALUE"""),"RF-00001149-MCG")</f>
        <v>RF-00001149-MCG</v>
      </c>
    </row>
    <row r="7730" spans="1:2" ht="12.5" x14ac:dyDescent="0.25">
      <c r="A7730" t="str">
        <f ca="1">IFERROR(__xludf.DUMMYFUNCTION("""COMPUTED_VALUE"""),"Salmonella Vleuten")</f>
        <v>Salmonella Vleuten</v>
      </c>
      <c r="B7730" t="str">
        <f ca="1">IFERROR(__xludf.DUMMYFUNCTION("""COMPUTED_VALUE"""),"RF-00001148-MCG")</f>
        <v>RF-00001148-MCG</v>
      </c>
    </row>
    <row r="7731" spans="1:2" ht="12.5" x14ac:dyDescent="0.25">
      <c r="A7731" t="str">
        <f ca="1">IFERROR(__xludf.DUMMYFUNCTION("""COMPUTED_VALUE"""),"Salmonella Vogan")</f>
        <v>Salmonella Vogan</v>
      </c>
      <c r="B7731" t="str">
        <f ca="1">IFERROR(__xludf.DUMMYFUNCTION("""COMPUTED_VALUE"""),"RF-00001133-MCG")</f>
        <v>RF-00001133-MCG</v>
      </c>
    </row>
    <row r="7732" spans="1:2" ht="12.5" x14ac:dyDescent="0.25">
      <c r="A7732" t="str">
        <f ca="1">IFERROR(__xludf.DUMMYFUNCTION("""COMPUTED_VALUE"""),"Salmonella Volkmarsdorf")</f>
        <v>Salmonella Volkmarsdorf</v>
      </c>
      <c r="B7732" t="str">
        <f ca="1">IFERROR(__xludf.DUMMYFUNCTION("""COMPUTED_VALUE"""),"RF-00001146-MCG")</f>
        <v>RF-00001146-MCG</v>
      </c>
    </row>
    <row r="7733" spans="1:2" ht="12.5" x14ac:dyDescent="0.25">
      <c r="A7733" t="str">
        <f ca="1">IFERROR(__xludf.DUMMYFUNCTION("""COMPUTED_VALUE"""),"Salmonella Volta")</f>
        <v>Salmonella Volta</v>
      </c>
      <c r="B7733" t="str">
        <f ca="1">IFERROR(__xludf.DUMMYFUNCTION("""COMPUTED_VALUE"""),"RF-00001159-MCG")</f>
        <v>RF-00001159-MCG</v>
      </c>
    </row>
    <row r="7734" spans="1:2" ht="12.5" x14ac:dyDescent="0.25">
      <c r="A7734" t="str">
        <f ca="1">IFERROR(__xludf.DUMMYFUNCTION("""COMPUTED_VALUE"""),"Salmonella Vom")</f>
        <v>Salmonella Vom</v>
      </c>
      <c r="B7734" t="str">
        <f ca="1">IFERROR(__xludf.DUMMYFUNCTION("""COMPUTED_VALUE"""),"RF-00001144-MCG")</f>
        <v>RF-00001144-MCG</v>
      </c>
    </row>
    <row r="7735" spans="1:2" ht="12.5" x14ac:dyDescent="0.25">
      <c r="A7735" t="str">
        <f ca="1">IFERROR(__xludf.DUMMYFUNCTION("""COMPUTED_VALUE"""),"Salmonella Voulte")</f>
        <v>Salmonella Voulte</v>
      </c>
      <c r="B7735" t="str">
        <f ca="1">IFERROR(__xludf.DUMMYFUNCTION("""COMPUTED_VALUE"""),"RF-00001143-MCG")</f>
        <v>RF-00001143-MCG</v>
      </c>
    </row>
    <row r="7736" spans="1:2" ht="12.5" x14ac:dyDescent="0.25">
      <c r="A7736" t="str">
        <f ca="1">IFERROR(__xludf.DUMMYFUNCTION("""COMPUTED_VALUE"""),"Salmonella Vridi")</f>
        <v>Salmonella Vridi</v>
      </c>
      <c r="B7736" t="str">
        <f ca="1">IFERROR(__xludf.DUMMYFUNCTION("""COMPUTED_VALUE"""),"RF-00001142-MCG")</f>
        <v>RF-00001142-MCG</v>
      </c>
    </row>
    <row r="7737" spans="1:2" ht="12.5" x14ac:dyDescent="0.25">
      <c r="A7737" t="str">
        <f ca="1">IFERROR(__xludf.DUMMYFUNCTION("""COMPUTED_VALUE"""),"Salmonella Vuadens")</f>
        <v>Salmonella Vuadens</v>
      </c>
      <c r="B7737" t="str">
        <f ca="1">IFERROR(__xludf.DUMMYFUNCTION("""COMPUTED_VALUE"""),"RF-00001141-MCG")</f>
        <v>RF-00001141-MCG</v>
      </c>
    </row>
    <row r="7738" spans="1:2" ht="12.5" x14ac:dyDescent="0.25">
      <c r="A7738" t="str">
        <f ca="1">IFERROR(__xludf.DUMMYFUNCTION("""COMPUTED_VALUE"""),"Salmonella Wa")</f>
        <v>Salmonella Wa</v>
      </c>
      <c r="B7738" t="str">
        <f ca="1">IFERROR(__xludf.DUMMYFUNCTION("""COMPUTED_VALUE"""),"RF-00001140-MCG")</f>
        <v>RF-00001140-MCG</v>
      </c>
    </row>
    <row r="7739" spans="1:2" ht="12.5" x14ac:dyDescent="0.25">
      <c r="A7739" t="str">
        <f ca="1">IFERROR(__xludf.DUMMYFUNCTION("""COMPUTED_VALUE"""),"Salmonella Waedenswil")</f>
        <v>Salmonella Waedenswil</v>
      </c>
      <c r="B7739" t="str">
        <f ca="1">IFERROR(__xludf.DUMMYFUNCTION("""COMPUTED_VALUE"""),"RF-00001139-MCG")</f>
        <v>RF-00001139-MCG</v>
      </c>
    </row>
    <row r="7740" spans="1:2" ht="12.5" x14ac:dyDescent="0.25">
      <c r="A7740" t="str">
        <f ca="1">IFERROR(__xludf.DUMMYFUNCTION("""COMPUTED_VALUE"""),"Salmonella Wagadugu")</f>
        <v>Salmonella Wagadugu</v>
      </c>
      <c r="B7740" t="str">
        <f ca="1">IFERROR(__xludf.DUMMYFUNCTION("""COMPUTED_VALUE"""),"RF-00001138-MCG")</f>
        <v>RF-00001138-MCG</v>
      </c>
    </row>
    <row r="7741" spans="1:2" ht="12.5" x14ac:dyDescent="0.25">
      <c r="A7741" t="str">
        <f ca="1">IFERROR(__xludf.DUMMYFUNCTION("""COMPUTED_VALUE"""),"Salmonella Wagenia")</f>
        <v>Salmonella Wagenia</v>
      </c>
      <c r="B7741" t="str">
        <f ca="1">IFERROR(__xludf.DUMMYFUNCTION("""COMPUTED_VALUE"""),"RF-00001137-MCG")</f>
        <v>RF-00001137-MCG</v>
      </c>
    </row>
    <row r="7742" spans="1:2" ht="12.5" x14ac:dyDescent="0.25">
      <c r="A7742" t="str">
        <f ca="1">IFERROR(__xludf.DUMMYFUNCTION("""COMPUTED_VALUE"""),"Salmonella Wandsworth")</f>
        <v>Salmonella Wandsworth</v>
      </c>
      <c r="B7742" t="str">
        <f ca="1">IFERROR(__xludf.DUMMYFUNCTION("""COMPUTED_VALUE"""),"RF-00001136-MCG")</f>
        <v>RF-00001136-MCG</v>
      </c>
    </row>
    <row r="7743" spans="1:2" ht="12.5" x14ac:dyDescent="0.25">
      <c r="A7743" t="str">
        <f ca="1">IFERROR(__xludf.DUMMYFUNCTION("""COMPUTED_VALUE"""),"Salmonella Wangata")</f>
        <v>Salmonella Wangata</v>
      </c>
      <c r="B7743" t="str">
        <f ca="1">IFERROR(__xludf.DUMMYFUNCTION("""COMPUTED_VALUE"""),"RF-00001135-MCG")</f>
        <v>RF-00001135-MCG</v>
      </c>
    </row>
    <row r="7744" spans="1:2" ht="12.5" x14ac:dyDescent="0.25">
      <c r="A7744" t="str">
        <f ca="1">IFERROR(__xludf.DUMMYFUNCTION("""COMPUTED_VALUE"""),"Salmonella Waral")</f>
        <v>Salmonella Waral</v>
      </c>
      <c r="B7744" t="str">
        <f ca="1">IFERROR(__xludf.DUMMYFUNCTION("""COMPUTED_VALUE"""),"RF-00001134-MCG")</f>
        <v>RF-00001134-MCG</v>
      </c>
    </row>
    <row r="7745" spans="1:2" ht="12.5" x14ac:dyDescent="0.25">
      <c r="A7745" t="str">
        <f ca="1">IFERROR(__xludf.DUMMYFUNCTION("""COMPUTED_VALUE"""),"Salmonella Warengo")</f>
        <v>Salmonella Warengo</v>
      </c>
      <c r="B7745" t="str">
        <f ca="1">IFERROR(__xludf.DUMMYFUNCTION("""COMPUTED_VALUE"""),"RF-00001172-MCG")</f>
        <v>RF-00001172-MCG</v>
      </c>
    </row>
    <row r="7746" spans="1:2" ht="12.5" x14ac:dyDescent="0.25">
      <c r="A7746" t="str">
        <f ca="1">IFERROR(__xludf.DUMMYFUNCTION("""COMPUTED_VALUE"""),"Salmonella Warmsen")</f>
        <v>Salmonella Warmsen</v>
      </c>
      <c r="B7746" t="str">
        <f ca="1">IFERROR(__xludf.DUMMYFUNCTION("""COMPUTED_VALUE"""),"RF-00001174-MCG")</f>
        <v>RF-00001174-MCG</v>
      </c>
    </row>
    <row r="7747" spans="1:2" ht="12.5" x14ac:dyDescent="0.25">
      <c r="A7747" t="str">
        <f ca="1">IFERROR(__xludf.DUMMYFUNCTION("""COMPUTED_VALUE"""),"Salmonella Warnemuende")</f>
        <v>Salmonella Warnemuende</v>
      </c>
      <c r="B7747" t="str">
        <f ca="1">IFERROR(__xludf.DUMMYFUNCTION("""COMPUTED_VALUE"""),"RF-00001147-MCG")</f>
        <v>RF-00001147-MCG</v>
      </c>
    </row>
    <row r="7748" spans="1:2" ht="12.5" x14ac:dyDescent="0.25">
      <c r="A7748" t="str">
        <f ca="1">IFERROR(__xludf.DUMMYFUNCTION("""COMPUTED_VALUE"""),"Salmonella Warnow")</f>
        <v>Salmonella Warnow</v>
      </c>
      <c r="B7748" t="str">
        <f ca="1">IFERROR(__xludf.DUMMYFUNCTION("""COMPUTED_VALUE"""),"RF-00001185-MCG")</f>
        <v>RF-00001185-MCG</v>
      </c>
    </row>
    <row r="7749" spans="1:2" ht="12.5" x14ac:dyDescent="0.25">
      <c r="A7749" t="str">
        <f ca="1">IFERROR(__xludf.DUMMYFUNCTION("""COMPUTED_VALUE"""),"Salmonella Warragul")</f>
        <v>Salmonella Warragul</v>
      </c>
      <c r="B7749" t="str">
        <f ca="1">IFERROR(__xludf.DUMMYFUNCTION("""COMPUTED_VALUE"""),"RF-00001184-MCG")</f>
        <v>RF-00001184-MCG</v>
      </c>
    </row>
    <row r="7750" spans="1:2" ht="12.5" x14ac:dyDescent="0.25">
      <c r="A7750" t="str">
        <f ca="1">IFERROR(__xludf.DUMMYFUNCTION("""COMPUTED_VALUE"""),"Salmonella Warri")</f>
        <v>Salmonella Warri</v>
      </c>
      <c r="B7750" t="str">
        <f ca="1">IFERROR(__xludf.DUMMYFUNCTION("""COMPUTED_VALUE"""),"RF-00001183-MCG")</f>
        <v>RF-00001183-MCG</v>
      </c>
    </row>
    <row r="7751" spans="1:2" ht="12.5" x14ac:dyDescent="0.25">
      <c r="A7751" t="str">
        <f ca="1">IFERROR(__xludf.DUMMYFUNCTION("""COMPUTED_VALUE"""),"Salmonella Washington")</f>
        <v>Salmonella Washington</v>
      </c>
      <c r="B7751" t="str">
        <f ca="1">IFERROR(__xludf.DUMMYFUNCTION("""COMPUTED_VALUE"""),"RF-00001182-MCG")</f>
        <v>RF-00001182-MCG</v>
      </c>
    </row>
    <row r="7752" spans="1:2" ht="12.5" x14ac:dyDescent="0.25">
      <c r="A7752" t="str">
        <f ca="1">IFERROR(__xludf.DUMMYFUNCTION("""COMPUTED_VALUE"""),"Salmonella Waycross")</f>
        <v>Salmonella Waycross</v>
      </c>
      <c r="B7752" t="str">
        <f ca="1">IFERROR(__xludf.DUMMYFUNCTION("""COMPUTED_VALUE"""),"RF-00001181-MCG")</f>
        <v>RF-00001181-MCG</v>
      </c>
    </row>
    <row r="7753" spans="1:2" ht="12.5" x14ac:dyDescent="0.25">
      <c r="A7753" t="str">
        <f ca="1">IFERROR(__xludf.DUMMYFUNCTION("""COMPUTED_VALUE"""),"Salmonella Wayne")</f>
        <v>Salmonella Wayne</v>
      </c>
      <c r="B7753" t="str">
        <f ca="1">IFERROR(__xludf.DUMMYFUNCTION("""COMPUTED_VALUE"""),"RF-00001180-MCG")</f>
        <v>RF-00001180-MCG</v>
      </c>
    </row>
    <row r="7754" spans="1:2" ht="12.5" x14ac:dyDescent="0.25">
      <c r="A7754" t="str">
        <f ca="1">IFERROR(__xludf.DUMMYFUNCTION("""COMPUTED_VALUE"""),"Salmonella Wedding")</f>
        <v>Salmonella Wedding</v>
      </c>
      <c r="B7754" t="str">
        <f ca="1">IFERROR(__xludf.DUMMYFUNCTION("""COMPUTED_VALUE"""),"RF-00001179-MCG")</f>
        <v>RF-00001179-MCG</v>
      </c>
    </row>
    <row r="7755" spans="1:2" ht="12.5" x14ac:dyDescent="0.25">
      <c r="A7755" t="str">
        <f ca="1">IFERROR(__xludf.DUMMYFUNCTION("""COMPUTED_VALUE"""),"Salmonella Welikade")</f>
        <v>Salmonella Welikade</v>
      </c>
      <c r="B7755" t="str">
        <f ca="1">IFERROR(__xludf.DUMMYFUNCTION("""COMPUTED_VALUE"""),"RF-00001178-MCG")</f>
        <v>RF-00001178-MCG</v>
      </c>
    </row>
    <row r="7756" spans="1:2" ht="12.5" x14ac:dyDescent="0.25">
      <c r="A7756" t="str">
        <f ca="1">IFERROR(__xludf.DUMMYFUNCTION("""COMPUTED_VALUE"""),"Salmonella Weltevreden")</f>
        <v>Salmonella Weltevreden</v>
      </c>
      <c r="B7756" t="str">
        <f ca="1">IFERROR(__xludf.DUMMYFUNCTION("""COMPUTED_VALUE"""),"RF-00001177-MCG")</f>
        <v>RF-00001177-MCG</v>
      </c>
    </row>
    <row r="7757" spans="1:2" ht="12.5" x14ac:dyDescent="0.25">
      <c r="A7757" t="str">
        <f ca="1">IFERROR(__xludf.DUMMYFUNCTION("""COMPUTED_VALUE"""),"Salmonella Weltevreden var. 15")</f>
        <v>Salmonella Weltevreden var. 15</v>
      </c>
      <c r="B7757" t="str">
        <f ca="1">IFERROR(__xludf.DUMMYFUNCTION("""COMPUTED_VALUE"""),"RF-00001176-MCG")</f>
        <v>RF-00001176-MCG</v>
      </c>
    </row>
    <row r="7758" spans="1:2" ht="12.5" x14ac:dyDescent="0.25">
      <c r="A7758" t="str">
        <f ca="1">IFERROR(__xludf.DUMMYFUNCTION("""COMPUTED_VALUE"""),"Salmonella Wenatchee")</f>
        <v>Salmonella Wenatchee</v>
      </c>
      <c r="B7758" t="str">
        <f ca="1">IFERROR(__xludf.DUMMYFUNCTION("""COMPUTED_VALUE"""),"RF-00001175-MCG")</f>
        <v>RF-00001175-MCG</v>
      </c>
    </row>
    <row r="7759" spans="1:2" ht="12.5" x14ac:dyDescent="0.25">
      <c r="A7759" t="str">
        <f ca="1">IFERROR(__xludf.DUMMYFUNCTION("""COMPUTED_VALUE"""),"Salmonella Wentworth")</f>
        <v>Salmonella Wentworth</v>
      </c>
      <c r="B7759" t="str">
        <f ca="1">IFERROR(__xludf.DUMMYFUNCTION("""COMPUTED_VALUE"""),"RF-00001160-MCG")</f>
        <v>RF-00001160-MCG</v>
      </c>
    </row>
    <row r="7760" spans="1:2" ht="12.5" x14ac:dyDescent="0.25">
      <c r="A7760" t="str">
        <f ca="1">IFERROR(__xludf.DUMMYFUNCTION("""COMPUTED_VALUE"""),"Salmonella Wernigerode")</f>
        <v>Salmonella Wernigerode</v>
      </c>
      <c r="B7760" t="str">
        <f ca="1">IFERROR(__xludf.DUMMYFUNCTION("""COMPUTED_VALUE"""),"RF-00001173-MCG")</f>
        <v>RF-00001173-MCG</v>
      </c>
    </row>
    <row r="7761" spans="1:2" ht="12.5" x14ac:dyDescent="0.25">
      <c r="A7761" t="str">
        <f ca="1">IFERROR(__xludf.DUMMYFUNCTION("""COMPUTED_VALUE"""),"Salmonella Weslaco")</f>
        <v>Salmonella Weslaco</v>
      </c>
      <c r="B7761" t="str">
        <f ca="1">IFERROR(__xludf.DUMMYFUNCTION("""COMPUTED_VALUE"""),"RF-00001187-MCG")</f>
        <v>RF-00001187-MCG</v>
      </c>
    </row>
    <row r="7762" spans="1:2" ht="12.5" x14ac:dyDescent="0.25">
      <c r="A7762" t="str">
        <f ca="1">IFERROR(__xludf.DUMMYFUNCTION("""COMPUTED_VALUE"""),"Salmonella Westafrica")</f>
        <v>Salmonella Westafrica</v>
      </c>
      <c r="B7762" t="str">
        <f ca="1">IFERROR(__xludf.DUMMYFUNCTION("""COMPUTED_VALUE"""),"RF-00001171-MCG")</f>
        <v>RF-00001171-MCG</v>
      </c>
    </row>
    <row r="7763" spans="1:2" ht="12.5" x14ac:dyDescent="0.25">
      <c r="A7763" t="str">
        <f ca="1">IFERROR(__xludf.DUMMYFUNCTION("""COMPUTED_VALUE"""),"Salmonella Westeinde")</f>
        <v>Salmonella Westeinde</v>
      </c>
      <c r="B7763" t="str">
        <f ca="1">IFERROR(__xludf.DUMMYFUNCTION("""COMPUTED_VALUE"""),"RF-00001170-MCG")</f>
        <v>RF-00001170-MCG</v>
      </c>
    </row>
    <row r="7764" spans="1:2" ht="12.5" x14ac:dyDescent="0.25">
      <c r="A7764" t="str">
        <f ca="1">IFERROR(__xludf.DUMMYFUNCTION("""COMPUTED_VALUE"""),"Salmonella Westerstede")</f>
        <v>Salmonella Westerstede</v>
      </c>
      <c r="B7764" t="str">
        <f ca="1">IFERROR(__xludf.DUMMYFUNCTION("""COMPUTED_VALUE"""),"RF-00001169-MCG")</f>
        <v>RF-00001169-MCG</v>
      </c>
    </row>
    <row r="7765" spans="1:2" ht="12.5" x14ac:dyDescent="0.25">
      <c r="A7765" t="str">
        <f ca="1">IFERROR(__xludf.DUMMYFUNCTION("""COMPUTED_VALUE"""),"Salmonella Westhampton")</f>
        <v>Salmonella Westhampton</v>
      </c>
      <c r="B7765" t="str">
        <f ca="1">IFERROR(__xludf.DUMMYFUNCTION("""COMPUTED_VALUE"""),"RF-00001168-MCG")</f>
        <v>RF-00001168-MCG</v>
      </c>
    </row>
    <row r="7766" spans="1:2" ht="12.5" x14ac:dyDescent="0.25">
      <c r="A7766" t="str">
        <f ca="1">IFERROR(__xludf.DUMMYFUNCTION("""COMPUTED_VALUE"""),"Salmonella Westhampton var. 15")</f>
        <v>Salmonella Westhampton var. 15</v>
      </c>
      <c r="B7766" t="str">
        <f ca="1">IFERROR(__xludf.DUMMYFUNCTION("""COMPUTED_VALUE"""),"RF-00001167-MCG")</f>
        <v>RF-00001167-MCG</v>
      </c>
    </row>
    <row r="7767" spans="1:2" ht="12.5" x14ac:dyDescent="0.25">
      <c r="A7767" t="str">
        <f ca="1">IFERROR(__xludf.DUMMYFUNCTION("""COMPUTED_VALUE"""),"Salmonella Westhampton var. 15,34")</f>
        <v>Salmonella Westhampton var. 15,34</v>
      </c>
      <c r="B7767" t="str">
        <f ca="1">IFERROR(__xludf.DUMMYFUNCTION("""COMPUTED_VALUE"""),"RF-00001166-MCG")</f>
        <v>RF-00001166-MCG</v>
      </c>
    </row>
    <row r="7768" spans="1:2" ht="12.5" x14ac:dyDescent="0.25">
      <c r="A7768" t="str">
        <f ca="1">IFERROR(__xludf.DUMMYFUNCTION("""COMPUTED_VALUE"""),"Salmonella Westminster")</f>
        <v>Salmonella Westminster</v>
      </c>
      <c r="B7768" t="str">
        <f ca="1">IFERROR(__xludf.DUMMYFUNCTION("""COMPUTED_VALUE"""),"RF-00001165-MCG")</f>
        <v>RF-00001165-MCG</v>
      </c>
    </row>
    <row r="7769" spans="1:2" ht="12.5" x14ac:dyDescent="0.25">
      <c r="A7769" t="str">
        <f ca="1">IFERROR(__xludf.DUMMYFUNCTION("""COMPUTED_VALUE"""),"Salmonella Weston")</f>
        <v>Salmonella Weston</v>
      </c>
      <c r="B7769" t="str">
        <f ca="1">IFERROR(__xludf.DUMMYFUNCTION("""COMPUTED_VALUE"""),"RF-00001164-MCG")</f>
        <v>RF-00001164-MCG</v>
      </c>
    </row>
    <row r="7770" spans="1:2" ht="12.5" x14ac:dyDescent="0.25">
      <c r="A7770" t="str">
        <f ca="1">IFERROR(__xludf.DUMMYFUNCTION("""COMPUTED_VALUE"""),"Salmonella Westphalia")</f>
        <v>Salmonella Westphalia</v>
      </c>
      <c r="B7770" t="str">
        <f ca="1">IFERROR(__xludf.DUMMYFUNCTION("""COMPUTED_VALUE"""),"RF-00001163-MCG")</f>
        <v>RF-00001163-MCG</v>
      </c>
    </row>
    <row r="7771" spans="1:2" ht="12.5" x14ac:dyDescent="0.25">
      <c r="A7771" t="str">
        <f ca="1">IFERROR(__xludf.DUMMYFUNCTION("""COMPUTED_VALUE"""),"Salmonella Weybridge")</f>
        <v>Salmonella Weybridge</v>
      </c>
      <c r="B7771" t="str">
        <f ca="1">IFERROR(__xludf.DUMMYFUNCTION("""COMPUTED_VALUE"""),"RF-00001162-MCG")</f>
        <v>RF-00001162-MCG</v>
      </c>
    </row>
    <row r="7772" spans="1:2" ht="12.5" x14ac:dyDescent="0.25">
      <c r="A7772" t="str">
        <f ca="1">IFERROR(__xludf.DUMMYFUNCTION("""COMPUTED_VALUE"""),"Salmonella Wichita")</f>
        <v>Salmonella Wichita</v>
      </c>
      <c r="B7772" t="str">
        <f ca="1">IFERROR(__xludf.DUMMYFUNCTION("""COMPUTED_VALUE"""),"RF-00001120-MCG")</f>
        <v>RF-00001120-MCG</v>
      </c>
    </row>
    <row r="7773" spans="1:2" ht="12.5" x14ac:dyDescent="0.25">
      <c r="A7773" t="str">
        <f ca="1">IFERROR(__xludf.DUMMYFUNCTION("""COMPUTED_VALUE"""),"Salmonella Widemarsh")</f>
        <v>Salmonella Widemarsh</v>
      </c>
      <c r="B7773" t="str">
        <f ca="1">IFERROR(__xludf.DUMMYFUNCTION("""COMPUTED_VALUE"""),"RF-00001186-MCG")</f>
        <v>RF-00001186-MCG</v>
      </c>
    </row>
    <row r="7774" spans="1:2" ht="12.5" x14ac:dyDescent="0.25">
      <c r="A7774" t="str">
        <f ca="1">IFERROR(__xludf.DUMMYFUNCTION("""COMPUTED_VALUE"""),"Salmonella Wien")</f>
        <v>Salmonella Wien</v>
      </c>
      <c r="B7774" t="str">
        <f ca="1">IFERROR(__xludf.DUMMYFUNCTION("""COMPUTED_VALUE"""),"RF-00001145-MCG")</f>
        <v>RF-00001145-MCG</v>
      </c>
    </row>
    <row r="7775" spans="1:2" ht="12.5" x14ac:dyDescent="0.25">
      <c r="A7775" t="str">
        <f ca="1">IFERROR(__xludf.DUMMYFUNCTION("""COMPUTED_VALUE"""),"Salmonella Wil")</f>
        <v>Salmonella Wil</v>
      </c>
      <c r="B7775" t="str">
        <f ca="1">IFERROR(__xludf.DUMMYFUNCTION("""COMPUTED_VALUE"""),"RF-00001104-MCG")</f>
        <v>RF-00001104-MCG</v>
      </c>
    </row>
    <row r="7776" spans="1:2" ht="12.5" x14ac:dyDescent="0.25">
      <c r="A7776" t="str">
        <f ca="1">IFERROR(__xludf.DUMMYFUNCTION("""COMPUTED_VALUE"""),"Salmonella Wilhelmsburg")</f>
        <v>Salmonella Wilhelmsburg</v>
      </c>
      <c r="B7776" t="str">
        <f ca="1">IFERROR(__xludf.DUMMYFUNCTION("""COMPUTED_VALUE"""),"RF-00001103-MCG")</f>
        <v>RF-00001103-MCG</v>
      </c>
    </row>
    <row r="7777" spans="1:2" ht="12.5" x14ac:dyDescent="0.25">
      <c r="A7777" t="str">
        <f ca="1">IFERROR(__xludf.DUMMYFUNCTION("""COMPUTED_VALUE"""),"Salmonella Willemstad")</f>
        <v>Salmonella Willemstad</v>
      </c>
      <c r="B7777" t="str">
        <f ca="1">IFERROR(__xludf.DUMMYFUNCTION("""COMPUTED_VALUE"""),"RF-00001102-MCG")</f>
        <v>RF-00001102-MCG</v>
      </c>
    </row>
    <row r="7778" spans="1:2" ht="12.5" x14ac:dyDescent="0.25">
      <c r="A7778" t="str">
        <f ca="1">IFERROR(__xludf.DUMMYFUNCTION("""COMPUTED_VALUE"""),"Salmonella Wilmington")</f>
        <v>Salmonella Wilmington</v>
      </c>
      <c r="B7778" t="str">
        <f ca="1">IFERROR(__xludf.DUMMYFUNCTION("""COMPUTED_VALUE"""),"RF-00001101-MCG")</f>
        <v>RF-00001101-MCG</v>
      </c>
    </row>
    <row r="7779" spans="1:2" ht="12.5" x14ac:dyDescent="0.25">
      <c r="A7779" t="str">
        <f ca="1">IFERROR(__xludf.DUMMYFUNCTION("""COMPUTED_VALUE"""),"Salmonella Wimborne")</f>
        <v>Salmonella Wimborne</v>
      </c>
      <c r="B7779" t="str">
        <f ca="1">IFERROR(__xludf.DUMMYFUNCTION("""COMPUTED_VALUE"""),"RF-00001100-MCG")</f>
        <v>RF-00001100-MCG</v>
      </c>
    </row>
    <row r="7780" spans="1:2" ht="12.5" x14ac:dyDescent="0.25">
      <c r="A7780" t="str">
        <f ca="1">IFERROR(__xludf.DUMMYFUNCTION("""COMPUTED_VALUE"""),"Salmonella Windermere")</f>
        <v>Salmonella Windermere</v>
      </c>
      <c r="B7780" t="str">
        <f ca="1">IFERROR(__xludf.DUMMYFUNCTION("""COMPUTED_VALUE"""),"RF-00001099-MCG")</f>
        <v>RF-00001099-MCG</v>
      </c>
    </row>
    <row r="7781" spans="1:2" ht="12.5" x14ac:dyDescent="0.25">
      <c r="A7781" t="str">
        <f ca="1">IFERROR(__xludf.DUMMYFUNCTION("""COMPUTED_VALUE"""),"Salmonella Wingrove")</f>
        <v>Salmonella Wingrove</v>
      </c>
      <c r="B7781" t="str">
        <f ca="1">IFERROR(__xludf.DUMMYFUNCTION("""COMPUTED_VALUE"""),"RF-00001098-MCG")</f>
        <v>RF-00001098-MCG</v>
      </c>
    </row>
    <row r="7782" spans="1:2" ht="12.5" x14ac:dyDescent="0.25">
      <c r="A7782" t="str">
        <f ca="1">IFERROR(__xludf.DUMMYFUNCTION("""COMPUTED_VALUE"""),"Salmonella Winneba")</f>
        <v>Salmonella Winneba</v>
      </c>
      <c r="B7782" t="str">
        <f ca="1">IFERROR(__xludf.DUMMYFUNCTION("""COMPUTED_VALUE"""),"RF-00001097-MCG")</f>
        <v>RF-00001097-MCG</v>
      </c>
    </row>
    <row r="7783" spans="1:2" ht="12.5" x14ac:dyDescent="0.25">
      <c r="A7783" t="str">
        <f ca="1">IFERROR(__xludf.DUMMYFUNCTION("""COMPUTED_VALUE"""),"Salmonella Winnipeg")</f>
        <v>Salmonella Winnipeg</v>
      </c>
      <c r="B7783" t="str">
        <f ca="1">IFERROR(__xludf.DUMMYFUNCTION("""COMPUTED_VALUE"""),"RF-00001096-MCG")</f>
        <v>RF-00001096-MCG</v>
      </c>
    </row>
    <row r="7784" spans="1:2" ht="12.5" x14ac:dyDescent="0.25">
      <c r="A7784" t="str">
        <f ca="1">IFERROR(__xludf.DUMMYFUNCTION("""COMPUTED_VALUE"""),"Salmonella Winston")</f>
        <v>Salmonella Winston</v>
      </c>
      <c r="B7784" t="str">
        <f ca="1">IFERROR(__xludf.DUMMYFUNCTION("""COMPUTED_VALUE"""),"RF-00001095-MCG")</f>
        <v>RF-00001095-MCG</v>
      </c>
    </row>
    <row r="7785" spans="1:2" ht="12.5" x14ac:dyDescent="0.25">
      <c r="A7785" t="str">
        <f ca="1">IFERROR(__xludf.DUMMYFUNCTION("""COMPUTED_VALUE"""),"Salmonella Winterthur")</f>
        <v>Salmonella Winterthur</v>
      </c>
      <c r="B7785" t="str">
        <f ca="1">IFERROR(__xludf.DUMMYFUNCTION("""COMPUTED_VALUE"""),"RF-00001094-MCG")</f>
        <v>RF-00001094-MCG</v>
      </c>
    </row>
    <row r="7786" spans="1:2" ht="12.5" x14ac:dyDescent="0.25">
      <c r="A7786" t="str">
        <f ca="1">IFERROR(__xludf.DUMMYFUNCTION("""COMPUTED_VALUE"""),"Salmonella Wippra")</f>
        <v>Salmonella Wippra</v>
      </c>
      <c r="B7786" t="str">
        <f ca="1">IFERROR(__xludf.DUMMYFUNCTION("""COMPUTED_VALUE"""),"RF-00001079-MCG")</f>
        <v>RF-00001079-MCG</v>
      </c>
    </row>
    <row r="7787" spans="1:2" ht="12.5" x14ac:dyDescent="0.25">
      <c r="A7787" t="str">
        <f ca="1">IFERROR(__xludf.DUMMYFUNCTION("""COMPUTED_VALUE"""),"Salmonella Wisbech")</f>
        <v>Salmonella Wisbech</v>
      </c>
      <c r="B7787" t="str">
        <f ca="1">IFERROR(__xludf.DUMMYFUNCTION("""COMPUTED_VALUE"""),"RF-00001092-MCG")</f>
        <v>RF-00001092-MCG</v>
      </c>
    </row>
    <row r="7788" spans="1:2" ht="12.5" x14ac:dyDescent="0.25">
      <c r="A7788" t="str">
        <f ca="1">IFERROR(__xludf.DUMMYFUNCTION("""COMPUTED_VALUE"""),"Salmonella Wohlen")</f>
        <v>Salmonella Wohlen</v>
      </c>
      <c r="B7788" t="str">
        <f ca="1">IFERROR(__xludf.DUMMYFUNCTION("""COMPUTED_VALUE"""),"RF-00001105-MCG")</f>
        <v>RF-00001105-MCG</v>
      </c>
    </row>
    <row r="7789" spans="1:2" ht="12.5" x14ac:dyDescent="0.25">
      <c r="A7789" t="str">
        <f ca="1">IFERROR(__xludf.DUMMYFUNCTION("""COMPUTED_VALUE"""),"Salmonella Woodinville")</f>
        <v>Salmonella Woodinville</v>
      </c>
      <c r="B7789" t="str">
        <f ca="1">IFERROR(__xludf.DUMMYFUNCTION("""COMPUTED_VALUE"""),"RF-00001090-MCG")</f>
        <v>RF-00001090-MCG</v>
      </c>
    </row>
    <row r="7790" spans="1:2" ht="12.5" x14ac:dyDescent="0.25">
      <c r="A7790" t="str">
        <f ca="1">IFERROR(__xludf.DUMMYFUNCTION("""COMPUTED_VALUE"""),"Salmonella Worb")</f>
        <v>Salmonella Worb</v>
      </c>
      <c r="B7790" t="str">
        <f ca="1">IFERROR(__xludf.DUMMYFUNCTION("""COMPUTED_VALUE"""),"RF-00001089-MCG")</f>
        <v>RF-00001089-MCG</v>
      </c>
    </row>
    <row r="7791" spans="1:2" ht="12.5" x14ac:dyDescent="0.25">
      <c r="A7791" t="str">
        <f ca="1">IFERROR(__xludf.DUMMYFUNCTION("""COMPUTED_VALUE"""),"Salmonella Worthington")</f>
        <v>Salmonella Worthington</v>
      </c>
      <c r="B7791" t="str">
        <f ca="1">IFERROR(__xludf.DUMMYFUNCTION("""COMPUTED_VALUE"""),"RF-00001088-MCG")</f>
        <v>RF-00001088-MCG</v>
      </c>
    </row>
    <row r="7792" spans="1:2" ht="12.5" x14ac:dyDescent="0.25">
      <c r="A7792" t="str">
        <f ca="1">IFERROR(__xludf.DUMMYFUNCTION("""COMPUTED_VALUE"""),"Salmonella Wuiti")</f>
        <v>Salmonella Wuiti</v>
      </c>
      <c r="B7792" t="str">
        <f ca="1">IFERROR(__xludf.DUMMYFUNCTION("""COMPUTED_VALUE"""),"RF-00001087-MCG")</f>
        <v>RF-00001087-MCG</v>
      </c>
    </row>
    <row r="7793" spans="1:2" ht="12.5" x14ac:dyDescent="0.25">
      <c r="A7793" t="str">
        <f ca="1">IFERROR(__xludf.DUMMYFUNCTION("""COMPUTED_VALUE"""),"Salmonella Wuppertal")</f>
        <v>Salmonella Wuppertal</v>
      </c>
      <c r="B7793" t="str">
        <f ca="1">IFERROR(__xludf.DUMMYFUNCTION("""COMPUTED_VALUE"""),"RF-00001086-MCG")</f>
        <v>RF-00001086-MCG</v>
      </c>
    </row>
    <row r="7794" spans="1:2" ht="12.5" x14ac:dyDescent="0.25">
      <c r="A7794" t="str">
        <f ca="1">IFERROR(__xludf.DUMMYFUNCTION("""COMPUTED_VALUE"""),"Salmonella Wyldegreen")</f>
        <v>Salmonella Wyldegreen</v>
      </c>
      <c r="B7794" t="str">
        <f ca="1">IFERROR(__xludf.DUMMYFUNCTION("""COMPUTED_VALUE"""),"RF-00001085-MCG")</f>
        <v>RF-00001085-MCG</v>
      </c>
    </row>
    <row r="7795" spans="1:2" ht="12.5" x14ac:dyDescent="0.25">
      <c r="A7795" t="str">
        <f ca="1">IFERROR(__xludf.DUMMYFUNCTION("""COMPUTED_VALUE"""),"Salmonella Yaba")</f>
        <v>Salmonella Yaba</v>
      </c>
      <c r="B7795" t="str">
        <f ca="1">IFERROR(__xludf.DUMMYFUNCTION("""COMPUTED_VALUE"""),"RF-00001084-MCG")</f>
        <v>RF-00001084-MCG</v>
      </c>
    </row>
    <row r="7796" spans="1:2" ht="12.5" x14ac:dyDescent="0.25">
      <c r="A7796" t="str">
        <f ca="1">IFERROR(__xludf.DUMMYFUNCTION("""COMPUTED_VALUE"""),"Salmonella Yalding")</f>
        <v>Salmonella Yalding</v>
      </c>
      <c r="B7796" t="str">
        <f ca="1">IFERROR(__xludf.DUMMYFUNCTION("""COMPUTED_VALUE"""),"RF-00001083-MCG")</f>
        <v>RF-00001083-MCG</v>
      </c>
    </row>
    <row r="7797" spans="1:2" ht="12.5" x14ac:dyDescent="0.25">
      <c r="A7797" t="str">
        <f ca="1">IFERROR(__xludf.DUMMYFUNCTION("""COMPUTED_VALUE"""),"Salmonella Yaounde")</f>
        <v>Salmonella Yaounde</v>
      </c>
      <c r="B7797" t="str">
        <f ca="1">IFERROR(__xludf.DUMMYFUNCTION("""COMPUTED_VALUE"""),"RF-00001082-MCG")</f>
        <v>RF-00001082-MCG</v>
      </c>
    </row>
    <row r="7798" spans="1:2" ht="12.5" x14ac:dyDescent="0.25">
      <c r="A7798" t="str">
        <f ca="1">IFERROR(__xludf.DUMMYFUNCTION("""COMPUTED_VALUE"""),"Salmonella Yardley")</f>
        <v>Salmonella Yardley</v>
      </c>
      <c r="B7798" t="str">
        <f ca="1">IFERROR(__xludf.DUMMYFUNCTION("""COMPUTED_VALUE"""),"RF-00001081-MCG")</f>
        <v>RF-00001081-MCG</v>
      </c>
    </row>
    <row r="7799" spans="1:2" ht="12.5" x14ac:dyDescent="0.25">
      <c r="A7799" t="str">
        <f ca="1">IFERROR(__xludf.DUMMYFUNCTION("""COMPUTED_VALUE"""),"Salmonella Yarm")</f>
        <v>Salmonella Yarm</v>
      </c>
      <c r="B7799" t="str">
        <f ca="1">IFERROR(__xludf.DUMMYFUNCTION("""COMPUTED_VALUE"""),"RF-00001118-MCG")</f>
        <v>RF-00001118-MCG</v>
      </c>
    </row>
    <row r="7800" spans="1:2" ht="12.5" x14ac:dyDescent="0.25">
      <c r="A7800" t="str">
        <f ca="1">IFERROR(__xludf.DUMMYFUNCTION("""COMPUTED_VALUE"""),"Salmonella Yarrabah")</f>
        <v>Salmonella Yarrabah</v>
      </c>
      <c r="B7800" t="str">
        <f ca="1">IFERROR(__xludf.DUMMYFUNCTION("""COMPUTED_VALUE"""),"RF-00001091-MCG")</f>
        <v>RF-00001091-MCG</v>
      </c>
    </row>
    <row r="7801" spans="1:2" ht="12.5" x14ac:dyDescent="0.25">
      <c r="A7801" t="str">
        <f ca="1">IFERROR(__xludf.DUMMYFUNCTION("""COMPUTED_VALUE"""),"Salmonella Yeerongpilly")</f>
        <v>Salmonella Yeerongpilly</v>
      </c>
      <c r="B7801" t="str">
        <f ca="1">IFERROR(__xludf.DUMMYFUNCTION("""COMPUTED_VALUE"""),"RF-00001093-MCG")</f>
        <v>RF-00001093-MCG</v>
      </c>
    </row>
    <row r="7802" spans="1:2" ht="12.5" x14ac:dyDescent="0.25">
      <c r="A7802" t="str">
        <f ca="1">IFERROR(__xludf.DUMMYFUNCTION("""COMPUTED_VALUE"""),"Salmonella Yehuda")</f>
        <v>Salmonella Yehuda</v>
      </c>
      <c r="B7802" t="str">
        <f ca="1">IFERROR(__xludf.DUMMYFUNCTION("""COMPUTED_VALUE"""),"RF-00001131-MCG")</f>
        <v>RF-00001131-MCG</v>
      </c>
    </row>
    <row r="7803" spans="1:2" ht="12.5" x14ac:dyDescent="0.25">
      <c r="A7803" t="str">
        <f ca="1">IFERROR(__xludf.DUMMYFUNCTION("""COMPUTED_VALUE"""),"Salmonella Yekepa")</f>
        <v>Salmonella Yekepa</v>
      </c>
      <c r="B7803" t="str">
        <f ca="1">IFERROR(__xludf.DUMMYFUNCTION("""COMPUTED_VALUE"""),"RF-00001130-MCG")</f>
        <v>RF-00001130-MCG</v>
      </c>
    </row>
    <row r="7804" spans="1:2" ht="12.5" x14ac:dyDescent="0.25">
      <c r="A7804" t="str">
        <f ca="1">IFERROR(__xludf.DUMMYFUNCTION("""COMPUTED_VALUE"""),"Salmonella Yerba")</f>
        <v>Salmonella Yerba</v>
      </c>
      <c r="B7804" t="str">
        <f ca="1">IFERROR(__xludf.DUMMYFUNCTION("""COMPUTED_VALUE"""),"RF-00001129-MCG")</f>
        <v>RF-00001129-MCG</v>
      </c>
    </row>
    <row r="7805" spans="1:2" ht="12.5" x14ac:dyDescent="0.25">
      <c r="A7805" t="str">
        <f ca="1">IFERROR(__xludf.DUMMYFUNCTION("""COMPUTED_VALUE"""),"Salmonella Yoff")</f>
        <v>Salmonella Yoff</v>
      </c>
      <c r="B7805" t="str">
        <f ca="1">IFERROR(__xludf.DUMMYFUNCTION("""COMPUTED_VALUE"""),"RF-00001128-MCG")</f>
        <v>RF-00001128-MCG</v>
      </c>
    </row>
    <row r="7806" spans="1:2" ht="12.5" x14ac:dyDescent="0.25">
      <c r="A7806" t="str">
        <f ca="1">IFERROR(__xludf.DUMMYFUNCTION("""COMPUTED_VALUE"""),"Salmonella Yokoe")</f>
        <v>Salmonella Yokoe</v>
      </c>
      <c r="B7806" t="str">
        <f ca="1">IFERROR(__xludf.DUMMYFUNCTION("""COMPUTED_VALUE"""),"RF-00001127-MCG")</f>
        <v>RF-00001127-MCG</v>
      </c>
    </row>
    <row r="7807" spans="1:2" ht="12.5" x14ac:dyDescent="0.25">
      <c r="A7807" t="str">
        <f ca="1">IFERROR(__xludf.DUMMYFUNCTION("""COMPUTED_VALUE"""),"Salmonella Yolo")</f>
        <v>Salmonella Yolo</v>
      </c>
      <c r="B7807" t="str">
        <f ca="1">IFERROR(__xludf.DUMMYFUNCTION("""COMPUTED_VALUE"""),"RF-00001126-MCG")</f>
        <v>RF-00001126-MCG</v>
      </c>
    </row>
    <row r="7808" spans="1:2" ht="12.5" x14ac:dyDescent="0.25">
      <c r="A7808" t="str">
        <f ca="1">IFERROR(__xludf.DUMMYFUNCTION("""COMPUTED_VALUE"""),"Salmonella Yopougon")</f>
        <v>Salmonella Yopougon</v>
      </c>
      <c r="B7808" t="str">
        <f ca="1">IFERROR(__xludf.DUMMYFUNCTION("""COMPUTED_VALUE"""),"RF-00001125-MCG")</f>
        <v>RF-00001125-MCG</v>
      </c>
    </row>
    <row r="7809" spans="1:2" ht="12.5" x14ac:dyDescent="0.25">
      <c r="A7809" t="str">
        <f ca="1">IFERROR(__xludf.DUMMYFUNCTION("""COMPUTED_VALUE"""),"Salmonella Yoruba")</f>
        <v>Salmonella Yoruba</v>
      </c>
      <c r="B7809" t="str">
        <f ca="1">IFERROR(__xludf.DUMMYFUNCTION("""COMPUTED_VALUE"""),"RF-00001124-MCG")</f>
        <v>RF-00001124-MCG</v>
      </c>
    </row>
    <row r="7810" spans="1:2" ht="12.5" x14ac:dyDescent="0.25">
      <c r="A7810" t="str">
        <f ca="1">IFERROR(__xludf.DUMMYFUNCTION("""COMPUTED_VALUE"""),"Salmonella Yovokome")</f>
        <v>Salmonella Yovokome</v>
      </c>
      <c r="B7810" t="str">
        <f ca="1">IFERROR(__xludf.DUMMYFUNCTION("""COMPUTED_VALUE"""),"RF-00001123-MCG")</f>
        <v>RF-00001123-MCG</v>
      </c>
    </row>
    <row r="7811" spans="1:2" ht="12.5" x14ac:dyDescent="0.25">
      <c r="A7811" t="str">
        <f ca="1">IFERROR(__xludf.DUMMYFUNCTION("""COMPUTED_VALUE"""),"Salmonella Yundum")</f>
        <v>Salmonella Yundum</v>
      </c>
      <c r="B7811" t="str">
        <f ca="1">IFERROR(__xludf.DUMMYFUNCTION("""COMPUTED_VALUE"""),"RF-00001122-MCG")</f>
        <v>RF-00001122-MCG</v>
      </c>
    </row>
    <row r="7812" spans="1:2" ht="12.5" x14ac:dyDescent="0.25">
      <c r="A7812" t="str">
        <f ca="1">IFERROR(__xludf.DUMMYFUNCTION("""COMPUTED_VALUE"""),"Salmonella Zadar")</f>
        <v>Salmonella Zadar</v>
      </c>
      <c r="B7812" t="str">
        <f ca="1">IFERROR(__xludf.DUMMYFUNCTION("""COMPUTED_VALUE"""),"RF-00001121-MCG")</f>
        <v>RF-00001121-MCG</v>
      </c>
    </row>
    <row r="7813" spans="1:2" ht="12.5" x14ac:dyDescent="0.25">
      <c r="A7813" t="str">
        <f ca="1">IFERROR(__xludf.DUMMYFUNCTION("""COMPUTED_VALUE"""),"Salmonella Zaiman")</f>
        <v>Salmonella Zaiman</v>
      </c>
      <c r="B7813" t="str">
        <f ca="1">IFERROR(__xludf.DUMMYFUNCTION("""COMPUTED_VALUE"""),"RF-00001106-MCG")</f>
        <v>RF-00001106-MCG</v>
      </c>
    </row>
    <row r="7814" spans="1:2" ht="12.5" x14ac:dyDescent="0.25">
      <c r="A7814" t="str">
        <f ca="1">IFERROR(__xludf.DUMMYFUNCTION("""COMPUTED_VALUE"""),"Salmonella Zaire")</f>
        <v>Salmonella Zaire</v>
      </c>
      <c r="B7814" t="str">
        <f ca="1">IFERROR(__xludf.DUMMYFUNCTION("""COMPUTED_VALUE"""),"RF-00001119-MCG")</f>
        <v>RF-00001119-MCG</v>
      </c>
    </row>
    <row r="7815" spans="1:2" ht="12.5" x14ac:dyDescent="0.25">
      <c r="A7815" t="str">
        <f ca="1">IFERROR(__xludf.DUMMYFUNCTION("""COMPUTED_VALUE"""),"Salmonella Zanzibar")</f>
        <v>Salmonella Zanzibar</v>
      </c>
      <c r="B7815" t="str">
        <f ca="1">IFERROR(__xludf.DUMMYFUNCTION("""COMPUTED_VALUE"""),"RF-00001132-MCG")</f>
        <v>RF-00001132-MCG</v>
      </c>
    </row>
    <row r="7816" spans="1:2" ht="12.5" x14ac:dyDescent="0.25">
      <c r="A7816" t="str">
        <f ca="1">IFERROR(__xludf.DUMMYFUNCTION("""COMPUTED_VALUE"""),"Salmonella Zaria")</f>
        <v>Salmonella Zaria</v>
      </c>
      <c r="B7816" t="str">
        <f ca="1">IFERROR(__xludf.DUMMYFUNCTION("""COMPUTED_VALUE"""),"RF-00001117-MCG")</f>
        <v>RF-00001117-MCG</v>
      </c>
    </row>
    <row r="7817" spans="1:2" ht="12.5" x14ac:dyDescent="0.25">
      <c r="A7817" t="str">
        <f ca="1">IFERROR(__xludf.DUMMYFUNCTION("""COMPUTED_VALUE"""),"Salmonella Zega")</f>
        <v>Salmonella Zega</v>
      </c>
      <c r="B7817" t="str">
        <f ca="1">IFERROR(__xludf.DUMMYFUNCTION("""COMPUTED_VALUE"""),"RF-00001116-MCG")</f>
        <v>RF-00001116-MCG</v>
      </c>
    </row>
    <row r="7818" spans="1:2" ht="12.5" x14ac:dyDescent="0.25">
      <c r="A7818" t="str">
        <f ca="1">IFERROR(__xludf.DUMMYFUNCTION("""COMPUTED_VALUE"""),"Salmonella Zehlendorf")</f>
        <v>Salmonella Zehlendorf</v>
      </c>
      <c r="B7818" t="str">
        <f ca="1">IFERROR(__xludf.DUMMYFUNCTION("""COMPUTED_VALUE"""),"RF-00001115-MCG")</f>
        <v>RF-00001115-MCG</v>
      </c>
    </row>
    <row r="7819" spans="1:2" ht="12.5" x14ac:dyDescent="0.25">
      <c r="A7819" t="str">
        <f ca="1">IFERROR(__xludf.DUMMYFUNCTION("""COMPUTED_VALUE"""),"Salmonella Zerifin")</f>
        <v>Salmonella Zerifin</v>
      </c>
      <c r="B7819" t="str">
        <f ca="1">IFERROR(__xludf.DUMMYFUNCTION("""COMPUTED_VALUE"""),"RF-00001114-MCG")</f>
        <v>RF-00001114-MCG</v>
      </c>
    </row>
    <row r="7820" spans="1:2" ht="12.5" x14ac:dyDescent="0.25">
      <c r="A7820" t="str">
        <f ca="1">IFERROR(__xludf.DUMMYFUNCTION("""COMPUTED_VALUE"""),"Salmonella Zigong")</f>
        <v>Salmonella Zigong</v>
      </c>
      <c r="B7820" t="str">
        <f ca="1">IFERROR(__xludf.DUMMYFUNCTION("""COMPUTED_VALUE"""),"RF-00001113-MCG")</f>
        <v>RF-00001113-MCG</v>
      </c>
    </row>
    <row r="7821" spans="1:2" ht="12.5" x14ac:dyDescent="0.25">
      <c r="A7821" t="str">
        <f ca="1">IFERROR(__xludf.DUMMYFUNCTION("""COMPUTED_VALUE"""),"Salmonella Zinder")</f>
        <v>Salmonella Zinder</v>
      </c>
      <c r="B7821" t="str">
        <f ca="1">IFERROR(__xludf.DUMMYFUNCTION("""COMPUTED_VALUE"""),"RF-00001112-MCG")</f>
        <v>RF-00001112-MCG</v>
      </c>
    </row>
    <row r="7822" spans="1:2" ht="12.5" x14ac:dyDescent="0.25">
      <c r="A7822" t="str">
        <f ca="1">IFERROR(__xludf.DUMMYFUNCTION("""COMPUTED_VALUE"""),"Salmonella Zongo")</f>
        <v>Salmonella Zongo</v>
      </c>
      <c r="B7822" t="str">
        <f ca="1">IFERROR(__xludf.DUMMYFUNCTION("""COMPUTED_VALUE"""),"RF-00001111-MCG")</f>
        <v>RF-00001111-MCG</v>
      </c>
    </row>
    <row r="7823" spans="1:2" ht="12.5" x14ac:dyDescent="0.25">
      <c r="A7823" t="str">
        <f ca="1">IFERROR(__xludf.DUMMYFUNCTION("""COMPUTED_VALUE"""),"Salmonella Zuilen")</f>
        <v>Salmonella Zuilen</v>
      </c>
      <c r="B7823" t="str">
        <f ca="1">IFERROR(__xludf.DUMMYFUNCTION("""COMPUTED_VALUE"""),"RF-00001110-MCG")</f>
        <v>RF-00001110-MCG</v>
      </c>
    </row>
    <row r="7824" spans="1:2" ht="12.5" x14ac:dyDescent="0.25">
      <c r="A7824" t="str">
        <f ca="1">IFERROR(__xludf.DUMMYFUNCTION("""COMPUTED_VALUE"""),"Salmonella Zwickau")</f>
        <v>Salmonella Zwickau</v>
      </c>
      <c r="B7824" t="str">
        <f ca="1">IFERROR(__xludf.DUMMYFUNCTION("""COMPUTED_VALUE"""),"RF-00001109-MCG")</f>
        <v>RF-00001109-MCG</v>
      </c>
    </row>
    <row r="7825" spans="1:2" ht="12.5" x14ac:dyDescent="0.25">
      <c r="A7825" t="str">
        <f ca="1">IFERROR(__xludf.DUMMYFUNCTION("""COMPUTED_VALUE"""),"salt")</f>
        <v>salt</v>
      </c>
      <c r="B7825" t="str">
        <f ca="1">IFERROR(__xludf.DUMMYFUNCTION("""COMPUTED_VALUE"""),"RF-00000389-NTR")</f>
        <v>RF-00000389-NTR</v>
      </c>
    </row>
    <row r="7826" spans="1:2" ht="12.5" x14ac:dyDescent="0.25">
      <c r="A7826" t="str">
        <f ca="1">IFERROR(__xludf.DUMMYFUNCTION("""COMPUTED_VALUE"""),"Salt of aspartame-acesulfame")</f>
        <v>Salt of aspartame-acesulfame</v>
      </c>
      <c r="B7826" t="str">
        <f ca="1">IFERROR(__xludf.DUMMYFUNCTION("""COMPUTED_VALUE"""),"RF-00000269-ADD")</f>
        <v>RF-00000269-ADD</v>
      </c>
    </row>
    <row r="7827" spans="1:2" ht="12.5" x14ac:dyDescent="0.25">
      <c r="A7827" t="str">
        <f ca="1">IFERROR(__xludf.DUMMYFUNCTION("""COMPUTED_VALUE"""),"sapovirus (Sapparo-like virus)")</f>
        <v>sapovirus (Sapparo-like virus)</v>
      </c>
      <c r="B7827" t="str">
        <f ca="1">IFERROR(__xludf.DUMMYFUNCTION("""COMPUTED_VALUE"""),"RF-00000040-MCG")</f>
        <v>RF-00000040-MCG</v>
      </c>
    </row>
    <row r="7828" spans="1:2" ht="12.5" x14ac:dyDescent="0.25">
      <c r="A7828" t="str">
        <f ca="1">IFERROR(__xludf.DUMMYFUNCTION("""COMPUTED_VALUE"""),"Sarafloxacin")</f>
        <v>Sarafloxacin</v>
      </c>
      <c r="B7828" t="str">
        <f ca="1">IFERROR(__xludf.DUMMYFUNCTION("""COMPUTED_VALUE"""),"RF-00000631-VET")</f>
        <v>RF-00000631-VET</v>
      </c>
    </row>
    <row r="7829" spans="1:2" ht="12.5" x14ac:dyDescent="0.25">
      <c r="A7829" t="str">
        <f ca="1">IFERROR(__xludf.DUMMYFUNCTION("""COMPUTED_VALUE"""),"Sarcocystis")</f>
        <v>Sarcocystis</v>
      </c>
      <c r="B7829" t="str">
        <f ca="1">IFERROR(__xludf.DUMMYFUNCTION("""COMPUTED_VALUE"""),"RF-00002475-MCG")</f>
        <v>RF-00002475-MCG</v>
      </c>
    </row>
    <row r="7830" spans="1:2" ht="12.5" x14ac:dyDescent="0.25">
      <c r="A7830" t="str">
        <f ca="1">IFERROR(__xludf.DUMMYFUNCTION("""COMPUTED_VALUE"""),"Sarcocystis hominis")</f>
        <v>Sarcocystis hominis</v>
      </c>
      <c r="B7830" t="str">
        <f ca="1">IFERROR(__xludf.DUMMYFUNCTION("""COMPUTED_VALUE"""),"RF-00002477-MCG")</f>
        <v>RF-00002477-MCG</v>
      </c>
    </row>
    <row r="7831" spans="1:2" ht="12.5" x14ac:dyDescent="0.25">
      <c r="A7831" t="str">
        <f ca="1">IFERROR(__xludf.DUMMYFUNCTION("""COMPUTED_VALUE"""),"Sarcocystis spp., unspecified")</f>
        <v>Sarcocystis spp., unspecified</v>
      </c>
      <c r="B7831" t="str">
        <f ca="1">IFERROR(__xludf.DUMMYFUNCTION("""COMPUTED_VALUE"""),"RF-00002476-MCG")</f>
        <v>RF-00002476-MCG</v>
      </c>
    </row>
    <row r="7832" spans="1:2" ht="12.5" x14ac:dyDescent="0.25">
      <c r="A7832" t="str">
        <f ca="1">IFERROR(__xludf.DUMMYFUNCTION("""COMPUTED_VALUE"""),"Sarcocystis suihominis")</f>
        <v>Sarcocystis suihominis</v>
      </c>
      <c r="B7832" t="str">
        <f ca="1">IFERROR(__xludf.DUMMYFUNCTION("""COMPUTED_VALUE"""),"RF-00002478-MCG")</f>
        <v>RF-00002478-MCG</v>
      </c>
    </row>
    <row r="7833" spans="1:2" ht="12.5" x14ac:dyDescent="0.25">
      <c r="A7833" t="str">
        <f ca="1">IFERROR(__xludf.DUMMYFUNCTION("""COMPUTED_VALUE"""),"Sarracine")</f>
        <v>Sarracine</v>
      </c>
      <c r="B7833" t="str">
        <f ca="1">IFERROR(__xludf.DUMMYFUNCTION("""COMPUTED_VALUE"""),"RF-00000297-TOX")</f>
        <v>RF-00000297-TOX</v>
      </c>
    </row>
    <row r="7834" spans="1:2" ht="12.5" x14ac:dyDescent="0.25">
      <c r="A7834" t="str">
        <f ca="1">IFERROR(__xludf.DUMMYFUNCTION("""COMPUTED_VALUE"""),"Saxitoxin")</f>
        <v>Saxitoxin</v>
      </c>
      <c r="B7834" t="str">
        <f ca="1">IFERROR(__xludf.DUMMYFUNCTION("""COMPUTED_VALUE"""),"RF-00000092-TOX")</f>
        <v>RF-00000092-TOX</v>
      </c>
    </row>
    <row r="7835" spans="1:2" ht="12.5" x14ac:dyDescent="0.25">
      <c r="A7835" t="str">
        <f ca="1">IFERROR(__xludf.DUMMYFUNCTION("""COMPUTED_VALUE"""),"Saxitoxin-group toxins")</f>
        <v>Saxitoxin-group toxins</v>
      </c>
      <c r="B7835" t="str">
        <f ca="1">IFERROR(__xludf.DUMMYFUNCTION("""COMPUTED_VALUE"""),"RF-00000090-TOX")</f>
        <v>RF-00000090-TOX</v>
      </c>
    </row>
    <row r="7836" spans="1:2" ht="12.5" x14ac:dyDescent="0.25">
      <c r="A7836" t="str">
        <f ca="1">IFERROR(__xludf.DUMMYFUNCTION("""COMPUTED_VALUE"""),"Schradan")</f>
        <v>Schradan</v>
      </c>
      <c r="B7836" t="str">
        <f ca="1">IFERROR(__xludf.DUMMYFUNCTION("""COMPUTED_VALUE"""),"RF-0890-001-PPP")</f>
        <v>RF-0890-001-PPP</v>
      </c>
    </row>
    <row r="7837" spans="1:2" ht="12.5" x14ac:dyDescent="0.25">
      <c r="A7837" t="str">
        <f ca="1">IFERROR(__xludf.DUMMYFUNCTION("""COMPUTED_VALUE"""),"Scopolamine")</f>
        <v>Scopolamine</v>
      </c>
      <c r="B7837" t="str">
        <f ca="1">IFERROR(__xludf.DUMMYFUNCTION("""COMPUTED_VALUE"""),"RF-00000248-TOX")</f>
        <v>RF-00000248-TOX</v>
      </c>
    </row>
    <row r="7838" spans="1:2" ht="12.5" x14ac:dyDescent="0.25">
      <c r="A7838" t="str">
        <f ca="1">IFERROR(__xludf.DUMMYFUNCTION("""COMPUTED_VALUE"""),"Scorpioidine")</f>
        <v>Scorpioidine</v>
      </c>
      <c r="B7838" t="str">
        <f ca="1">IFERROR(__xludf.DUMMYFUNCTION("""COMPUTED_VALUE"""),"RF-00000298-TOX")</f>
        <v>RF-00000298-TOX</v>
      </c>
    </row>
    <row r="7839" spans="1:2" ht="12.5" x14ac:dyDescent="0.25">
      <c r="A7839" t="str">
        <f ca="1">IFERROR(__xludf.DUMMYFUNCTION("""COMPUTED_VALUE"""),"Scrombotoxin")</f>
        <v>Scrombotoxin</v>
      </c>
      <c r="B7839" t="str">
        <f ca="1">IFERROR(__xludf.DUMMYFUNCTION("""COMPUTED_VALUE"""),"RF-00000453-TOX")</f>
        <v>RF-00000453-TOX</v>
      </c>
    </row>
    <row r="7840" spans="1:2" ht="12.5" x14ac:dyDescent="0.25">
      <c r="A7840" t="str">
        <f ca="1">IFERROR(__xludf.DUMMYFUNCTION("""COMPUTED_VALUE"""),"Sebuthylazine")</f>
        <v>Sebuthylazine</v>
      </c>
      <c r="B7840" t="str">
        <f ca="1">IFERROR(__xludf.DUMMYFUNCTION("""COMPUTED_VALUE"""),"RF-0891-001-PPP")</f>
        <v>RF-0891-001-PPP</v>
      </c>
    </row>
    <row r="7841" spans="1:2" ht="12.5" x14ac:dyDescent="0.25">
      <c r="A7841" t="str">
        <f ca="1">IFERROR(__xludf.DUMMYFUNCTION("""COMPUTED_VALUE"""),"Sebuthylazine, Desethyl-")</f>
        <v>Sebuthylazine, Desethyl-</v>
      </c>
      <c r="B7841" t="str">
        <f ca="1">IFERROR(__xludf.DUMMYFUNCTION("""COMPUTED_VALUE"""),"RF-0892-001-PPP")</f>
        <v>RF-0892-001-PPP</v>
      </c>
    </row>
    <row r="7842" spans="1:2" ht="12.5" x14ac:dyDescent="0.25">
      <c r="A7842" t="str">
        <f ca="1">IFERROR(__xludf.DUMMYFUNCTION("""COMPUTED_VALUE"""),"Secbumeton")</f>
        <v>Secbumeton</v>
      </c>
      <c r="B7842" t="str">
        <f ca="1">IFERROR(__xludf.DUMMYFUNCTION("""COMPUTED_VALUE"""),"RF-0893-001-PPP")</f>
        <v>RF-0893-001-PPP</v>
      </c>
    </row>
    <row r="7843" spans="1:2" ht="12.5" x14ac:dyDescent="0.25">
      <c r="A7843" t="str">
        <f ca="1">IFERROR(__xludf.DUMMYFUNCTION("""COMPUTED_VALUE"""),"Secnidazole")</f>
        <v>Secnidazole</v>
      </c>
      <c r="B7843" t="str">
        <f ca="1">IFERROR(__xludf.DUMMYFUNCTION("""COMPUTED_VALUE"""),"RF-00000096-VET")</f>
        <v>RF-00000096-VET</v>
      </c>
    </row>
    <row r="7844" spans="1:2" ht="12.5" x14ac:dyDescent="0.25">
      <c r="A7844" t="str">
        <f ca="1">IFERROR(__xludf.DUMMYFUNCTION("""COMPUTED_VALUE"""),"secoisolarisiresinol")</f>
        <v>secoisolarisiresinol</v>
      </c>
      <c r="B7844" t="str">
        <f ca="1">IFERROR(__xludf.DUMMYFUNCTION("""COMPUTED_VALUE"""),"RF-00000390-NTR")</f>
        <v>RF-00000390-NTR</v>
      </c>
    </row>
    <row r="7845" spans="1:2" ht="12.5" x14ac:dyDescent="0.25">
      <c r="A7845" t="str">
        <f ca="1">IFERROR(__xludf.DUMMYFUNCTION("""COMPUTED_VALUE"""),"Sedatives")</f>
        <v>Sedatives</v>
      </c>
      <c r="B7845" t="str">
        <f ca="1">IFERROR(__xludf.DUMMYFUNCTION("""COMPUTED_VALUE"""),"RF-00000164-VET")</f>
        <v>RF-00000164-VET</v>
      </c>
    </row>
    <row r="7846" spans="1:2" ht="12.5" x14ac:dyDescent="0.25">
      <c r="A7846" t="str">
        <f ca="1">IFERROR(__xludf.DUMMYFUNCTION("""COMPUTED_VALUE"""),"Selenium (Se)")</f>
        <v>Selenium (Se)</v>
      </c>
      <c r="B7846" t="str">
        <f ca="1">IFERROR(__xludf.DUMMYFUNCTION("""COMPUTED_VALUE"""),"RF-00000184-CHE")</f>
        <v>RF-00000184-CHE</v>
      </c>
    </row>
    <row r="7847" spans="1:2" ht="12.5" x14ac:dyDescent="0.25">
      <c r="A7847" t="str">
        <f ca="1">IFERROR(__xludf.DUMMYFUNCTION("""COMPUTED_VALUE"""),"Selenium and derivatives")</f>
        <v>Selenium and derivatives</v>
      </c>
      <c r="B7847" t="str">
        <f ca="1">IFERROR(__xludf.DUMMYFUNCTION("""COMPUTED_VALUE"""),"RF-00000183-CHE")</f>
        <v>RF-00000183-CHE</v>
      </c>
    </row>
    <row r="7848" spans="1:2" ht="12.5" x14ac:dyDescent="0.25">
      <c r="A7848" t="str">
        <f ca="1">IFERROR(__xludf.DUMMYFUNCTION("""COMPUTED_VALUE"""),"SEM (semicarbazide)")</f>
        <v>SEM (semicarbazide)</v>
      </c>
      <c r="B7848" t="str">
        <f ca="1">IFERROR(__xludf.DUMMYFUNCTION("""COMPUTED_VALUE"""),"RF-00000523-VET")</f>
        <v>RF-00000523-VET</v>
      </c>
    </row>
    <row r="7849" spans="1:2" ht="12.5" x14ac:dyDescent="0.25">
      <c r="A7849" t="str">
        <f ca="1">IFERROR(__xludf.DUMMYFUNCTION("""COMPUTED_VALUE"""),"Semduramicin")</f>
        <v>Semduramicin</v>
      </c>
      <c r="B7849" t="str">
        <f ca="1">IFERROR(__xludf.DUMMYFUNCTION("""COMPUTED_VALUE"""),"RF-00000059-VET")</f>
        <v>RF-00000059-VET</v>
      </c>
    </row>
    <row r="7850" spans="1:2" ht="12.5" x14ac:dyDescent="0.25">
      <c r="A7850" t="str">
        <f ca="1">IFERROR(__xludf.DUMMYFUNCTION("""COMPUTED_VALUE"""),"Semduramycin sodium")</f>
        <v>Semduramycin sodium</v>
      </c>
      <c r="B7850" t="str">
        <f ca="1">IFERROR(__xludf.DUMMYFUNCTION("""COMPUTED_VALUE"""),"RF-00000065-VET")</f>
        <v>RF-00000065-VET</v>
      </c>
    </row>
    <row r="7851" spans="1:2" ht="12.5" x14ac:dyDescent="0.25">
      <c r="A7851" t="str">
        <f ca="1">IFERROR(__xludf.DUMMYFUNCTION("""COMPUTED_VALUE"""),"Seneci(o)phylline")</f>
        <v>Seneci(o)phylline</v>
      </c>
      <c r="B7851" t="str">
        <f ca="1">IFERROR(__xludf.DUMMYFUNCTION("""COMPUTED_VALUE"""),"RF-00000233-TOX")</f>
        <v>RF-00000233-TOX</v>
      </c>
    </row>
    <row r="7852" spans="1:2" ht="12.5" x14ac:dyDescent="0.25">
      <c r="A7852" t="str">
        <f ca="1">IFERROR(__xludf.DUMMYFUNCTION("""COMPUTED_VALUE"""),"Senecionine")</f>
        <v>Senecionine</v>
      </c>
      <c r="B7852" t="str">
        <f ca="1">IFERROR(__xludf.DUMMYFUNCTION("""COMPUTED_VALUE"""),"RF-00000232-TOX")</f>
        <v>RF-00000232-TOX</v>
      </c>
    </row>
    <row r="7853" spans="1:2" ht="12.5" x14ac:dyDescent="0.25">
      <c r="A7853" t="str">
        <f ca="1">IFERROR(__xludf.DUMMYFUNCTION("""COMPUTED_VALUE"""),"Senecionine-N-oxide")</f>
        <v>Senecionine-N-oxide</v>
      </c>
      <c r="B7853" t="str">
        <f ca="1">IFERROR(__xludf.DUMMYFUNCTION("""COMPUTED_VALUE"""),"RF-00000361-TOX")</f>
        <v>RF-00000361-TOX</v>
      </c>
    </row>
    <row r="7854" spans="1:2" ht="12.5" x14ac:dyDescent="0.25">
      <c r="A7854" t="str">
        <f ca="1">IFERROR(__xludf.DUMMYFUNCTION("""COMPUTED_VALUE"""),"Seneciphylline-N-oxide")</f>
        <v>Seneciphylline-N-oxide</v>
      </c>
      <c r="B7854" t="str">
        <f ca="1">IFERROR(__xludf.DUMMYFUNCTION("""COMPUTED_VALUE"""),"RF-00000362-TOX")</f>
        <v>RF-00000362-TOX</v>
      </c>
    </row>
    <row r="7855" spans="1:2" ht="12.5" x14ac:dyDescent="0.25">
      <c r="A7855" t="str">
        <f ca="1">IFERROR(__xludf.DUMMYFUNCTION("""COMPUTED_VALUE"""),"Senecivernine")</f>
        <v>Senecivernine</v>
      </c>
      <c r="B7855" t="str">
        <f ca="1">IFERROR(__xludf.DUMMYFUNCTION("""COMPUTED_VALUE"""),"RF-00000299-TOX")</f>
        <v>RF-00000299-TOX</v>
      </c>
    </row>
    <row r="7856" spans="1:2" ht="12.5" x14ac:dyDescent="0.25">
      <c r="A7856" t="str">
        <f ca="1">IFERROR(__xludf.DUMMYFUNCTION("""COMPUTED_VALUE"""),"Senecivernine-N-oxide")</f>
        <v>Senecivernine-N-oxide</v>
      </c>
      <c r="B7856" t="str">
        <f ca="1">IFERROR(__xludf.DUMMYFUNCTION("""COMPUTED_VALUE"""),"RF-00000414-TOX")</f>
        <v>RF-00000414-TOX</v>
      </c>
    </row>
    <row r="7857" spans="1:2" ht="12.5" x14ac:dyDescent="0.25">
      <c r="A7857" t="str">
        <f ca="1">IFERROR(__xludf.DUMMYFUNCTION("""COMPUTED_VALUE"""),"Senkirkine")</f>
        <v>Senkirkine</v>
      </c>
      <c r="B7857" t="str">
        <f ca="1">IFERROR(__xludf.DUMMYFUNCTION("""COMPUTED_VALUE"""),"RF-00000300-TOX")</f>
        <v>RF-00000300-TOX</v>
      </c>
    </row>
    <row r="7858" spans="1:2" ht="12.5" x14ac:dyDescent="0.25">
      <c r="A7858" t="str">
        <f ca="1">IFERROR(__xludf.DUMMYFUNCTION("""COMPUTED_VALUE"""),"serine")</f>
        <v>serine</v>
      </c>
      <c r="B7858" t="str">
        <f ca="1">IFERROR(__xludf.DUMMYFUNCTION("""COMPUTED_VALUE"""),"RF-00000391-NTR")</f>
        <v>RF-00000391-NTR</v>
      </c>
    </row>
    <row r="7859" spans="1:2" ht="12.5" x14ac:dyDescent="0.25">
      <c r="A7859" t="str">
        <f ca="1">IFERROR(__xludf.DUMMYFUNCTION("""COMPUTED_VALUE"""),"Serotonin")</f>
        <v>Serotonin</v>
      </c>
      <c r="B7859" t="str">
        <f ca="1">IFERROR(__xludf.DUMMYFUNCTION("""COMPUTED_VALUE"""),"RF-00000478-ORG")</f>
        <v>RF-00000478-ORG</v>
      </c>
    </row>
    <row r="7860" spans="1:2" ht="12.5" x14ac:dyDescent="0.25">
      <c r="A7860" t="str">
        <f ca="1">IFERROR(__xludf.DUMMYFUNCTION("""COMPUTED_VALUE"""),"Sethoxydim")</f>
        <v>Sethoxydim</v>
      </c>
      <c r="B7860" t="str">
        <f ca="1">IFERROR(__xludf.DUMMYFUNCTION("""COMPUTED_VALUE"""),"RF-0096-003-PPP")</f>
        <v>RF-0096-003-PPP</v>
      </c>
    </row>
    <row r="7861" spans="1:2" ht="12.5" x14ac:dyDescent="0.25">
      <c r="A7861" t="str">
        <f ca="1">IFERROR(__xludf.DUMMYFUNCTION("""COMPUTED_VALUE"""),"Shellac")</f>
        <v>Shellac</v>
      </c>
      <c r="B7861" t="str">
        <f ca="1">IFERROR(__xludf.DUMMYFUNCTION("""COMPUTED_VALUE"""),"RF-00000270-ADD")</f>
        <v>RF-00000270-ADD</v>
      </c>
    </row>
    <row r="7862" spans="1:2" ht="12.5" x14ac:dyDescent="0.25">
      <c r="A7862" t="str">
        <f ca="1">IFERROR(__xludf.DUMMYFUNCTION("""COMPUTED_VALUE"""),"Shigella")</f>
        <v>Shigella</v>
      </c>
      <c r="B7862" t="str">
        <f ca="1">IFERROR(__xludf.DUMMYFUNCTION("""COMPUTED_VALUE"""),"RF-00002479-MCG")</f>
        <v>RF-00002479-MCG</v>
      </c>
    </row>
    <row r="7863" spans="1:2" ht="12.5" x14ac:dyDescent="0.25">
      <c r="A7863" t="str">
        <f ca="1">IFERROR(__xludf.DUMMYFUNCTION("""COMPUTED_VALUE"""),"Shigella boydii")</f>
        <v>Shigella boydii</v>
      </c>
      <c r="B7863" t="str">
        <f ca="1">IFERROR(__xludf.DUMMYFUNCTION("""COMPUTED_VALUE"""),"RF-00002482-MCG")</f>
        <v>RF-00002482-MCG</v>
      </c>
    </row>
    <row r="7864" spans="1:2" ht="12.5" x14ac:dyDescent="0.25">
      <c r="A7864" t="str">
        <f ca="1">IFERROR(__xludf.DUMMYFUNCTION("""COMPUTED_VALUE"""),"Shigella dysenteriae")</f>
        <v>Shigella dysenteriae</v>
      </c>
      <c r="B7864" t="str">
        <f ca="1">IFERROR(__xludf.DUMMYFUNCTION("""COMPUTED_VALUE"""),"RF-00002481-MCG")</f>
        <v>RF-00002481-MCG</v>
      </c>
    </row>
    <row r="7865" spans="1:2" ht="12.5" x14ac:dyDescent="0.25">
      <c r="A7865" t="str">
        <f ca="1">IFERROR(__xludf.DUMMYFUNCTION("""COMPUTED_VALUE"""),"Shigella flexneri")</f>
        <v>Shigella flexneri</v>
      </c>
      <c r="B7865" t="str">
        <f ca="1">IFERROR(__xludf.DUMMYFUNCTION("""COMPUTED_VALUE"""),"RF-00002484-MCG")</f>
        <v>RF-00002484-MCG</v>
      </c>
    </row>
    <row r="7866" spans="1:2" ht="12.5" x14ac:dyDescent="0.25">
      <c r="A7866" t="str">
        <f ca="1">IFERROR(__xludf.DUMMYFUNCTION("""COMPUTED_VALUE"""),"Shigella sonnei")</f>
        <v>Shigella sonnei</v>
      </c>
      <c r="B7866" t="str">
        <f ca="1">IFERROR(__xludf.DUMMYFUNCTION("""COMPUTED_VALUE"""),"RF-00002480-MCG")</f>
        <v>RF-00002480-MCG</v>
      </c>
    </row>
    <row r="7867" spans="1:2" ht="12.5" x14ac:dyDescent="0.25">
      <c r="A7867" t="str">
        <f ca="1">IFERROR(__xludf.DUMMYFUNCTION("""COMPUTED_VALUE"""),"Shigella spp., unspecified")</f>
        <v>Shigella spp., unspecified</v>
      </c>
      <c r="B7867" t="str">
        <f ca="1">IFERROR(__xludf.DUMMYFUNCTION("""COMPUTED_VALUE"""),"RF-00002483-MCG")</f>
        <v>RF-00002483-MCG</v>
      </c>
    </row>
    <row r="7868" spans="1:2" ht="12.5" x14ac:dyDescent="0.25">
      <c r="A7868" t="str">
        <f ca="1">IFERROR(__xludf.DUMMYFUNCTION("""COMPUTED_VALUE"""),"SHV")</f>
        <v>SHV</v>
      </c>
      <c r="B7868" t="str">
        <f ca="1">IFERROR(__xludf.DUMMYFUNCTION("""COMPUTED_VALUE"""),"RF-00000338-PAR")</f>
        <v>RF-00000338-PAR</v>
      </c>
    </row>
    <row r="7869" spans="1:2" ht="12.5" x14ac:dyDescent="0.25">
      <c r="A7869" t="str">
        <f ca="1">IFERROR(__xludf.DUMMYFUNCTION("""COMPUTED_VALUE"""),"SHV-1")</f>
        <v>SHV-1</v>
      </c>
      <c r="B7869" t="str">
        <f ca="1">IFERROR(__xludf.DUMMYFUNCTION("""COMPUTED_VALUE"""),"RF-00000339-PAR")</f>
        <v>RF-00000339-PAR</v>
      </c>
    </row>
    <row r="7870" spans="1:2" ht="12.5" x14ac:dyDescent="0.25">
      <c r="A7870" t="str">
        <f ca="1">IFERROR(__xludf.DUMMYFUNCTION("""COMPUTED_VALUE"""),"SHV-10")</f>
        <v>SHV-10</v>
      </c>
      <c r="B7870" t="str">
        <f ca="1">IFERROR(__xludf.DUMMYFUNCTION("""COMPUTED_VALUE"""),"RF-00000348-PAR")</f>
        <v>RF-00000348-PAR</v>
      </c>
    </row>
    <row r="7871" spans="1:2" ht="12.5" x14ac:dyDescent="0.25">
      <c r="A7871" t="str">
        <f ca="1">IFERROR(__xludf.DUMMYFUNCTION("""COMPUTED_VALUE"""),"SHV-100")</f>
        <v>SHV-100</v>
      </c>
      <c r="B7871" t="str">
        <f ca="1">IFERROR(__xludf.DUMMYFUNCTION("""COMPUTED_VALUE"""),"RF-00000438-PAR")</f>
        <v>RF-00000438-PAR</v>
      </c>
    </row>
    <row r="7872" spans="1:2" ht="12.5" x14ac:dyDescent="0.25">
      <c r="A7872" t="str">
        <f ca="1">IFERROR(__xludf.DUMMYFUNCTION("""COMPUTED_VALUE"""),"SHV-101")</f>
        <v>SHV-101</v>
      </c>
      <c r="B7872" t="str">
        <f ca="1">IFERROR(__xludf.DUMMYFUNCTION("""COMPUTED_VALUE"""),"RF-00000439-PAR")</f>
        <v>RF-00000439-PAR</v>
      </c>
    </row>
    <row r="7873" spans="1:2" ht="12.5" x14ac:dyDescent="0.25">
      <c r="A7873" t="str">
        <f ca="1">IFERROR(__xludf.DUMMYFUNCTION("""COMPUTED_VALUE"""),"SHV-102")</f>
        <v>SHV-102</v>
      </c>
      <c r="B7873" t="str">
        <f ca="1">IFERROR(__xludf.DUMMYFUNCTION("""COMPUTED_VALUE"""),"RF-00000440-PAR")</f>
        <v>RF-00000440-PAR</v>
      </c>
    </row>
    <row r="7874" spans="1:2" ht="12.5" x14ac:dyDescent="0.25">
      <c r="A7874" t="str">
        <f ca="1">IFERROR(__xludf.DUMMYFUNCTION("""COMPUTED_VALUE"""),"SHV-103")</f>
        <v>SHV-103</v>
      </c>
      <c r="B7874" t="str">
        <f ca="1">IFERROR(__xludf.DUMMYFUNCTION("""COMPUTED_VALUE"""),"RF-00000441-PAR")</f>
        <v>RF-00000441-PAR</v>
      </c>
    </row>
    <row r="7875" spans="1:2" ht="12.5" x14ac:dyDescent="0.25">
      <c r="A7875" t="str">
        <f ca="1">IFERROR(__xludf.DUMMYFUNCTION("""COMPUTED_VALUE"""),"SHV-104")</f>
        <v>SHV-104</v>
      </c>
      <c r="B7875" t="str">
        <f ca="1">IFERROR(__xludf.DUMMYFUNCTION("""COMPUTED_VALUE"""),"RF-00000442-PAR")</f>
        <v>RF-00000442-PAR</v>
      </c>
    </row>
    <row r="7876" spans="1:2" ht="12.5" x14ac:dyDescent="0.25">
      <c r="A7876" t="str">
        <f ca="1">IFERROR(__xludf.DUMMYFUNCTION("""COMPUTED_VALUE"""),"SHV-105")</f>
        <v>SHV-105</v>
      </c>
      <c r="B7876" t="str">
        <f ca="1">IFERROR(__xludf.DUMMYFUNCTION("""COMPUTED_VALUE"""),"RF-00000443-PAR")</f>
        <v>RF-00000443-PAR</v>
      </c>
    </row>
    <row r="7877" spans="1:2" ht="12.5" x14ac:dyDescent="0.25">
      <c r="A7877" t="str">
        <f ca="1">IFERROR(__xludf.DUMMYFUNCTION("""COMPUTED_VALUE"""),"SHV-106")</f>
        <v>SHV-106</v>
      </c>
      <c r="B7877" t="str">
        <f ca="1">IFERROR(__xludf.DUMMYFUNCTION("""COMPUTED_VALUE"""),"RF-00000444-PAR")</f>
        <v>RF-00000444-PAR</v>
      </c>
    </row>
    <row r="7878" spans="1:2" ht="12.5" x14ac:dyDescent="0.25">
      <c r="A7878" t="str">
        <f ca="1">IFERROR(__xludf.DUMMYFUNCTION("""COMPUTED_VALUE"""),"SHV-107")</f>
        <v>SHV-107</v>
      </c>
      <c r="B7878" t="str">
        <f ca="1">IFERROR(__xludf.DUMMYFUNCTION("""COMPUTED_VALUE"""),"RF-00000445-PAR")</f>
        <v>RF-00000445-PAR</v>
      </c>
    </row>
    <row r="7879" spans="1:2" ht="12.5" x14ac:dyDescent="0.25">
      <c r="A7879" t="str">
        <f ca="1">IFERROR(__xludf.DUMMYFUNCTION("""COMPUTED_VALUE"""),"SHV-108")</f>
        <v>SHV-108</v>
      </c>
      <c r="B7879" t="str">
        <f ca="1">IFERROR(__xludf.DUMMYFUNCTION("""COMPUTED_VALUE"""),"RF-00000446-PAR")</f>
        <v>RF-00000446-PAR</v>
      </c>
    </row>
    <row r="7880" spans="1:2" ht="12.5" x14ac:dyDescent="0.25">
      <c r="A7880" t="str">
        <f ca="1">IFERROR(__xludf.DUMMYFUNCTION("""COMPUTED_VALUE"""),"SHV-109")</f>
        <v>SHV-109</v>
      </c>
      <c r="B7880" t="str">
        <f ca="1">IFERROR(__xludf.DUMMYFUNCTION("""COMPUTED_VALUE"""),"RF-00000447-PAR")</f>
        <v>RF-00000447-PAR</v>
      </c>
    </row>
    <row r="7881" spans="1:2" ht="12.5" x14ac:dyDescent="0.25">
      <c r="A7881" t="str">
        <f ca="1">IFERROR(__xludf.DUMMYFUNCTION("""COMPUTED_VALUE"""),"SHV-11")</f>
        <v>SHV-11</v>
      </c>
      <c r="B7881" t="str">
        <f ca="1">IFERROR(__xludf.DUMMYFUNCTION("""COMPUTED_VALUE"""),"RF-00000349-PAR")</f>
        <v>RF-00000349-PAR</v>
      </c>
    </row>
    <row r="7882" spans="1:2" ht="12.5" x14ac:dyDescent="0.25">
      <c r="A7882" t="str">
        <f ca="1">IFERROR(__xludf.DUMMYFUNCTION("""COMPUTED_VALUE"""),"SHV-110")</f>
        <v>SHV-110</v>
      </c>
      <c r="B7882" t="str">
        <f ca="1">IFERROR(__xludf.DUMMYFUNCTION("""COMPUTED_VALUE"""),"RF-00000448-PAR")</f>
        <v>RF-00000448-PAR</v>
      </c>
    </row>
    <row r="7883" spans="1:2" ht="12.5" x14ac:dyDescent="0.25">
      <c r="A7883" t="str">
        <f ca="1">IFERROR(__xludf.DUMMYFUNCTION("""COMPUTED_VALUE"""),"SHV-111")</f>
        <v>SHV-111</v>
      </c>
      <c r="B7883" t="str">
        <f ca="1">IFERROR(__xludf.DUMMYFUNCTION("""COMPUTED_VALUE"""),"RF-00000449-PAR")</f>
        <v>RF-00000449-PAR</v>
      </c>
    </row>
    <row r="7884" spans="1:2" ht="12.5" x14ac:dyDescent="0.25">
      <c r="A7884" t="str">
        <f ca="1">IFERROR(__xludf.DUMMYFUNCTION("""COMPUTED_VALUE"""),"SHV-112")</f>
        <v>SHV-112</v>
      </c>
      <c r="B7884" t="str">
        <f ca="1">IFERROR(__xludf.DUMMYFUNCTION("""COMPUTED_VALUE"""),"RF-00000450-PAR")</f>
        <v>RF-00000450-PAR</v>
      </c>
    </row>
    <row r="7885" spans="1:2" ht="12.5" x14ac:dyDescent="0.25">
      <c r="A7885" t="str">
        <f ca="1">IFERROR(__xludf.DUMMYFUNCTION("""COMPUTED_VALUE"""),"SHV-113")</f>
        <v>SHV-113</v>
      </c>
      <c r="B7885" t="str">
        <f ca="1">IFERROR(__xludf.DUMMYFUNCTION("""COMPUTED_VALUE"""),"RF-00000451-PAR")</f>
        <v>RF-00000451-PAR</v>
      </c>
    </row>
    <row r="7886" spans="1:2" ht="12.5" x14ac:dyDescent="0.25">
      <c r="A7886" t="str">
        <f ca="1">IFERROR(__xludf.DUMMYFUNCTION("""COMPUTED_VALUE"""),"SHV-114")</f>
        <v>SHV-114</v>
      </c>
      <c r="B7886" t="str">
        <f ca="1">IFERROR(__xludf.DUMMYFUNCTION("""COMPUTED_VALUE"""),"RF-00000452-PAR")</f>
        <v>RF-00000452-PAR</v>
      </c>
    </row>
    <row r="7887" spans="1:2" ht="12.5" x14ac:dyDescent="0.25">
      <c r="A7887" t="str">
        <f ca="1">IFERROR(__xludf.DUMMYFUNCTION("""COMPUTED_VALUE"""),"SHV-115")</f>
        <v>SHV-115</v>
      </c>
      <c r="B7887" t="str">
        <f ca="1">IFERROR(__xludf.DUMMYFUNCTION("""COMPUTED_VALUE"""),"RF-00000453-PAR")</f>
        <v>RF-00000453-PAR</v>
      </c>
    </row>
    <row r="7888" spans="1:2" ht="12.5" x14ac:dyDescent="0.25">
      <c r="A7888" t="str">
        <f ca="1">IFERROR(__xludf.DUMMYFUNCTION("""COMPUTED_VALUE"""),"SHV-116")</f>
        <v>SHV-116</v>
      </c>
      <c r="B7888" t="str">
        <f ca="1">IFERROR(__xludf.DUMMYFUNCTION("""COMPUTED_VALUE"""),"RF-00000454-PAR")</f>
        <v>RF-00000454-PAR</v>
      </c>
    </row>
    <row r="7889" spans="1:2" ht="12.5" x14ac:dyDescent="0.25">
      <c r="A7889" t="str">
        <f ca="1">IFERROR(__xludf.DUMMYFUNCTION("""COMPUTED_VALUE"""),"SHV-117")</f>
        <v>SHV-117</v>
      </c>
      <c r="B7889" t="str">
        <f ca="1">IFERROR(__xludf.DUMMYFUNCTION("""COMPUTED_VALUE"""),"RF-00000455-PAR")</f>
        <v>RF-00000455-PAR</v>
      </c>
    </row>
    <row r="7890" spans="1:2" ht="12.5" x14ac:dyDescent="0.25">
      <c r="A7890" t="str">
        <f ca="1">IFERROR(__xludf.DUMMYFUNCTION("""COMPUTED_VALUE"""),"SHV-118")</f>
        <v>SHV-118</v>
      </c>
      <c r="B7890" t="str">
        <f ca="1">IFERROR(__xludf.DUMMYFUNCTION("""COMPUTED_VALUE"""),"RF-00000456-PAR")</f>
        <v>RF-00000456-PAR</v>
      </c>
    </row>
    <row r="7891" spans="1:2" ht="12.5" x14ac:dyDescent="0.25">
      <c r="A7891" t="str">
        <f ca="1">IFERROR(__xludf.DUMMYFUNCTION("""COMPUTED_VALUE"""),"SHV-119")</f>
        <v>SHV-119</v>
      </c>
      <c r="B7891" t="str">
        <f ca="1">IFERROR(__xludf.DUMMYFUNCTION("""COMPUTED_VALUE"""),"RF-00000457-PAR")</f>
        <v>RF-00000457-PAR</v>
      </c>
    </row>
    <row r="7892" spans="1:2" ht="12.5" x14ac:dyDescent="0.25">
      <c r="A7892" t="str">
        <f ca="1">IFERROR(__xludf.DUMMYFUNCTION("""COMPUTED_VALUE"""),"SHV-12")</f>
        <v>SHV-12</v>
      </c>
      <c r="B7892" t="str">
        <f ca="1">IFERROR(__xludf.DUMMYFUNCTION("""COMPUTED_VALUE"""),"RF-00000350-PAR")</f>
        <v>RF-00000350-PAR</v>
      </c>
    </row>
    <row r="7893" spans="1:2" ht="12.5" x14ac:dyDescent="0.25">
      <c r="A7893" t="str">
        <f ca="1">IFERROR(__xludf.DUMMYFUNCTION("""COMPUTED_VALUE"""),"SHV-120")</f>
        <v>SHV-120</v>
      </c>
      <c r="B7893" t="str">
        <f ca="1">IFERROR(__xludf.DUMMYFUNCTION("""COMPUTED_VALUE"""),"RF-00000458-PAR")</f>
        <v>RF-00000458-PAR</v>
      </c>
    </row>
    <row r="7894" spans="1:2" ht="12.5" x14ac:dyDescent="0.25">
      <c r="A7894" t="str">
        <f ca="1">IFERROR(__xludf.DUMMYFUNCTION("""COMPUTED_VALUE"""),"SHV-121")</f>
        <v>SHV-121</v>
      </c>
      <c r="B7894" t="str">
        <f ca="1">IFERROR(__xludf.DUMMYFUNCTION("""COMPUTED_VALUE"""),"RF-00000459-PAR")</f>
        <v>RF-00000459-PAR</v>
      </c>
    </row>
    <row r="7895" spans="1:2" ht="12.5" x14ac:dyDescent="0.25">
      <c r="A7895" t="str">
        <f ca="1">IFERROR(__xludf.DUMMYFUNCTION("""COMPUTED_VALUE"""),"SHV-122")</f>
        <v>SHV-122</v>
      </c>
      <c r="B7895" t="str">
        <f ca="1">IFERROR(__xludf.DUMMYFUNCTION("""COMPUTED_VALUE"""),"RF-00000460-PAR")</f>
        <v>RF-00000460-PAR</v>
      </c>
    </row>
    <row r="7896" spans="1:2" ht="12.5" x14ac:dyDescent="0.25">
      <c r="A7896" t="str">
        <f ca="1">IFERROR(__xludf.DUMMYFUNCTION("""COMPUTED_VALUE"""),"SHV-123")</f>
        <v>SHV-123</v>
      </c>
      <c r="B7896" t="str">
        <f ca="1">IFERROR(__xludf.DUMMYFUNCTION("""COMPUTED_VALUE"""),"RF-00000461-PAR")</f>
        <v>RF-00000461-PAR</v>
      </c>
    </row>
    <row r="7897" spans="1:2" ht="12.5" x14ac:dyDescent="0.25">
      <c r="A7897" t="str">
        <f ca="1">IFERROR(__xludf.DUMMYFUNCTION("""COMPUTED_VALUE"""),"SHV-124")</f>
        <v>SHV-124</v>
      </c>
      <c r="B7897" t="str">
        <f ca="1">IFERROR(__xludf.DUMMYFUNCTION("""COMPUTED_VALUE"""),"RF-00000462-PAR")</f>
        <v>RF-00000462-PAR</v>
      </c>
    </row>
    <row r="7898" spans="1:2" ht="12.5" x14ac:dyDescent="0.25">
      <c r="A7898" t="str">
        <f ca="1">IFERROR(__xludf.DUMMYFUNCTION("""COMPUTED_VALUE"""),"SHV-125")</f>
        <v>SHV-125</v>
      </c>
      <c r="B7898" t="str">
        <f ca="1">IFERROR(__xludf.DUMMYFUNCTION("""COMPUTED_VALUE"""),"RF-00000463-PAR")</f>
        <v>RF-00000463-PAR</v>
      </c>
    </row>
    <row r="7899" spans="1:2" ht="12.5" x14ac:dyDescent="0.25">
      <c r="A7899" t="str">
        <f ca="1">IFERROR(__xludf.DUMMYFUNCTION("""COMPUTED_VALUE"""),"SHV-126")</f>
        <v>SHV-126</v>
      </c>
      <c r="B7899" t="str">
        <f ca="1">IFERROR(__xludf.DUMMYFUNCTION("""COMPUTED_VALUE"""),"RF-00000464-PAR")</f>
        <v>RF-00000464-PAR</v>
      </c>
    </row>
    <row r="7900" spans="1:2" ht="12.5" x14ac:dyDescent="0.25">
      <c r="A7900" t="str">
        <f ca="1">IFERROR(__xludf.DUMMYFUNCTION("""COMPUTED_VALUE"""),"SHV-127")</f>
        <v>SHV-127</v>
      </c>
      <c r="B7900" t="str">
        <f ca="1">IFERROR(__xludf.DUMMYFUNCTION("""COMPUTED_VALUE"""),"RF-00000465-PAR")</f>
        <v>RF-00000465-PAR</v>
      </c>
    </row>
    <row r="7901" spans="1:2" ht="12.5" x14ac:dyDescent="0.25">
      <c r="A7901" t="str">
        <f ca="1">IFERROR(__xludf.DUMMYFUNCTION("""COMPUTED_VALUE"""),"SHV-128")</f>
        <v>SHV-128</v>
      </c>
      <c r="B7901" t="str">
        <f ca="1">IFERROR(__xludf.DUMMYFUNCTION("""COMPUTED_VALUE"""),"RF-00000466-PAR")</f>
        <v>RF-00000466-PAR</v>
      </c>
    </row>
    <row r="7902" spans="1:2" ht="12.5" x14ac:dyDescent="0.25">
      <c r="A7902" t="str">
        <f ca="1">IFERROR(__xludf.DUMMYFUNCTION("""COMPUTED_VALUE"""),"SHV-129")</f>
        <v>SHV-129</v>
      </c>
      <c r="B7902" t="str">
        <f ca="1">IFERROR(__xludf.DUMMYFUNCTION("""COMPUTED_VALUE"""),"RF-00000467-PAR")</f>
        <v>RF-00000467-PAR</v>
      </c>
    </row>
    <row r="7903" spans="1:2" ht="12.5" x14ac:dyDescent="0.25">
      <c r="A7903" t="str">
        <f ca="1">IFERROR(__xludf.DUMMYFUNCTION("""COMPUTED_VALUE"""),"SHV-13")</f>
        <v>SHV-13</v>
      </c>
      <c r="B7903" t="str">
        <f ca="1">IFERROR(__xludf.DUMMYFUNCTION("""COMPUTED_VALUE"""),"RF-00000351-PAR")</f>
        <v>RF-00000351-PAR</v>
      </c>
    </row>
    <row r="7904" spans="1:2" ht="12.5" x14ac:dyDescent="0.25">
      <c r="A7904" t="str">
        <f ca="1">IFERROR(__xludf.DUMMYFUNCTION("""COMPUTED_VALUE"""),"SHV-130")</f>
        <v>SHV-130</v>
      </c>
      <c r="B7904" t="str">
        <f ca="1">IFERROR(__xludf.DUMMYFUNCTION("""COMPUTED_VALUE"""),"RF-00000468-PAR")</f>
        <v>RF-00000468-PAR</v>
      </c>
    </row>
    <row r="7905" spans="1:2" ht="12.5" x14ac:dyDescent="0.25">
      <c r="A7905" t="str">
        <f ca="1">IFERROR(__xludf.DUMMYFUNCTION("""COMPUTED_VALUE"""),"SHV-131")</f>
        <v>SHV-131</v>
      </c>
      <c r="B7905" t="str">
        <f ca="1">IFERROR(__xludf.DUMMYFUNCTION("""COMPUTED_VALUE"""),"RF-00000469-PAR")</f>
        <v>RF-00000469-PAR</v>
      </c>
    </row>
    <row r="7906" spans="1:2" ht="12.5" x14ac:dyDescent="0.25">
      <c r="A7906" t="str">
        <f ca="1">IFERROR(__xludf.DUMMYFUNCTION("""COMPUTED_VALUE"""),"SHV-132")</f>
        <v>SHV-132</v>
      </c>
      <c r="B7906" t="str">
        <f ca="1">IFERROR(__xludf.DUMMYFUNCTION("""COMPUTED_VALUE"""),"RF-00000470-PAR")</f>
        <v>RF-00000470-PAR</v>
      </c>
    </row>
    <row r="7907" spans="1:2" ht="12.5" x14ac:dyDescent="0.25">
      <c r="A7907" t="str">
        <f ca="1">IFERROR(__xludf.DUMMYFUNCTION("""COMPUTED_VALUE"""),"SHV-133")</f>
        <v>SHV-133</v>
      </c>
      <c r="B7907" t="str">
        <f ca="1">IFERROR(__xludf.DUMMYFUNCTION("""COMPUTED_VALUE"""),"RF-00000471-PAR")</f>
        <v>RF-00000471-PAR</v>
      </c>
    </row>
    <row r="7908" spans="1:2" ht="12.5" x14ac:dyDescent="0.25">
      <c r="A7908" t="str">
        <f ca="1">IFERROR(__xludf.DUMMYFUNCTION("""COMPUTED_VALUE"""),"SHV-134")</f>
        <v>SHV-134</v>
      </c>
      <c r="B7908" t="str">
        <f ca="1">IFERROR(__xludf.DUMMYFUNCTION("""COMPUTED_VALUE"""),"RF-00000472-PAR")</f>
        <v>RF-00000472-PAR</v>
      </c>
    </row>
    <row r="7909" spans="1:2" ht="12.5" x14ac:dyDescent="0.25">
      <c r="A7909" t="str">
        <f ca="1">IFERROR(__xludf.DUMMYFUNCTION("""COMPUTED_VALUE"""),"SHV-135")</f>
        <v>SHV-135</v>
      </c>
      <c r="B7909" t="str">
        <f ca="1">IFERROR(__xludf.DUMMYFUNCTION("""COMPUTED_VALUE"""),"RF-00000473-PAR")</f>
        <v>RF-00000473-PAR</v>
      </c>
    </row>
    <row r="7910" spans="1:2" ht="12.5" x14ac:dyDescent="0.25">
      <c r="A7910" t="str">
        <f ca="1">IFERROR(__xludf.DUMMYFUNCTION("""COMPUTED_VALUE"""),"SHV-136")</f>
        <v>SHV-136</v>
      </c>
      <c r="B7910" t="str">
        <f ca="1">IFERROR(__xludf.DUMMYFUNCTION("""COMPUTED_VALUE"""),"RF-00000474-PAR")</f>
        <v>RF-00000474-PAR</v>
      </c>
    </row>
    <row r="7911" spans="1:2" ht="12.5" x14ac:dyDescent="0.25">
      <c r="A7911" t="str">
        <f ca="1">IFERROR(__xludf.DUMMYFUNCTION("""COMPUTED_VALUE"""),"SHV-137")</f>
        <v>SHV-137</v>
      </c>
      <c r="B7911" t="str">
        <f ca="1">IFERROR(__xludf.DUMMYFUNCTION("""COMPUTED_VALUE"""),"RF-00000475-PAR")</f>
        <v>RF-00000475-PAR</v>
      </c>
    </row>
    <row r="7912" spans="1:2" ht="12.5" x14ac:dyDescent="0.25">
      <c r="A7912" t="str">
        <f ca="1">IFERROR(__xludf.DUMMYFUNCTION("""COMPUTED_VALUE"""),"SHV-138")</f>
        <v>SHV-138</v>
      </c>
      <c r="B7912" t="str">
        <f ca="1">IFERROR(__xludf.DUMMYFUNCTION("""COMPUTED_VALUE"""),"RF-00000476-PAR")</f>
        <v>RF-00000476-PAR</v>
      </c>
    </row>
    <row r="7913" spans="1:2" ht="12.5" x14ac:dyDescent="0.25">
      <c r="A7913" t="str">
        <f ca="1">IFERROR(__xludf.DUMMYFUNCTION("""COMPUTED_VALUE"""),"SHV-139")</f>
        <v>SHV-139</v>
      </c>
      <c r="B7913" t="str">
        <f ca="1">IFERROR(__xludf.DUMMYFUNCTION("""COMPUTED_VALUE"""),"RF-00000477-PAR")</f>
        <v>RF-00000477-PAR</v>
      </c>
    </row>
    <row r="7914" spans="1:2" ht="12.5" x14ac:dyDescent="0.25">
      <c r="A7914" t="str">
        <f ca="1">IFERROR(__xludf.DUMMYFUNCTION("""COMPUTED_VALUE"""),"SHV-14")</f>
        <v>SHV-14</v>
      </c>
      <c r="B7914" t="str">
        <f ca="1">IFERROR(__xludf.DUMMYFUNCTION("""COMPUTED_VALUE"""),"RF-00000352-PAR")</f>
        <v>RF-00000352-PAR</v>
      </c>
    </row>
    <row r="7915" spans="1:2" ht="12.5" x14ac:dyDescent="0.25">
      <c r="A7915" t="str">
        <f ca="1">IFERROR(__xludf.DUMMYFUNCTION("""COMPUTED_VALUE"""),"SHV-140")</f>
        <v>SHV-140</v>
      </c>
      <c r="B7915" t="str">
        <f ca="1">IFERROR(__xludf.DUMMYFUNCTION("""COMPUTED_VALUE"""),"RF-00000478-PAR")</f>
        <v>RF-00000478-PAR</v>
      </c>
    </row>
    <row r="7916" spans="1:2" ht="12.5" x14ac:dyDescent="0.25">
      <c r="A7916" t="str">
        <f ca="1">IFERROR(__xludf.DUMMYFUNCTION("""COMPUTED_VALUE"""),"SHV-141")</f>
        <v>SHV-141</v>
      </c>
      <c r="B7916" t="str">
        <f ca="1">IFERROR(__xludf.DUMMYFUNCTION("""COMPUTED_VALUE"""),"RF-00000479-PAR")</f>
        <v>RF-00000479-PAR</v>
      </c>
    </row>
    <row r="7917" spans="1:2" ht="12.5" x14ac:dyDescent="0.25">
      <c r="A7917" t="str">
        <f ca="1">IFERROR(__xludf.DUMMYFUNCTION("""COMPUTED_VALUE"""),"SHV-142")</f>
        <v>SHV-142</v>
      </c>
      <c r="B7917" t="str">
        <f ca="1">IFERROR(__xludf.DUMMYFUNCTION("""COMPUTED_VALUE"""),"RF-00000480-PAR")</f>
        <v>RF-00000480-PAR</v>
      </c>
    </row>
    <row r="7918" spans="1:2" ht="12.5" x14ac:dyDescent="0.25">
      <c r="A7918" t="str">
        <f ca="1">IFERROR(__xludf.DUMMYFUNCTION("""COMPUTED_VALUE"""),"SHV-143")</f>
        <v>SHV-143</v>
      </c>
      <c r="B7918" t="str">
        <f ca="1">IFERROR(__xludf.DUMMYFUNCTION("""COMPUTED_VALUE"""),"RF-00000481-PAR")</f>
        <v>RF-00000481-PAR</v>
      </c>
    </row>
    <row r="7919" spans="1:2" ht="12.5" x14ac:dyDescent="0.25">
      <c r="A7919" t="str">
        <f ca="1">IFERROR(__xludf.DUMMYFUNCTION("""COMPUTED_VALUE"""),"SHV-144")</f>
        <v>SHV-144</v>
      </c>
      <c r="B7919" t="str">
        <f ca="1">IFERROR(__xludf.DUMMYFUNCTION("""COMPUTED_VALUE"""),"RF-00000482-PAR")</f>
        <v>RF-00000482-PAR</v>
      </c>
    </row>
    <row r="7920" spans="1:2" ht="12.5" x14ac:dyDescent="0.25">
      <c r="A7920" t="str">
        <f ca="1">IFERROR(__xludf.DUMMYFUNCTION("""COMPUTED_VALUE"""),"SHV-145")</f>
        <v>SHV-145</v>
      </c>
      <c r="B7920" t="str">
        <f ca="1">IFERROR(__xludf.DUMMYFUNCTION("""COMPUTED_VALUE"""),"RF-00000483-PAR")</f>
        <v>RF-00000483-PAR</v>
      </c>
    </row>
    <row r="7921" spans="1:2" ht="12.5" x14ac:dyDescent="0.25">
      <c r="A7921" t="str">
        <f ca="1">IFERROR(__xludf.DUMMYFUNCTION("""COMPUTED_VALUE"""),"SHV-146")</f>
        <v>SHV-146</v>
      </c>
      <c r="B7921" t="str">
        <f ca="1">IFERROR(__xludf.DUMMYFUNCTION("""COMPUTED_VALUE"""),"RF-00000484-PAR")</f>
        <v>RF-00000484-PAR</v>
      </c>
    </row>
    <row r="7922" spans="1:2" ht="12.5" x14ac:dyDescent="0.25">
      <c r="A7922" t="str">
        <f ca="1">IFERROR(__xludf.DUMMYFUNCTION("""COMPUTED_VALUE"""),"SHV-147")</f>
        <v>SHV-147</v>
      </c>
      <c r="B7922" t="str">
        <f ca="1">IFERROR(__xludf.DUMMYFUNCTION("""COMPUTED_VALUE"""),"RF-00000485-PAR")</f>
        <v>RF-00000485-PAR</v>
      </c>
    </row>
    <row r="7923" spans="1:2" ht="12.5" x14ac:dyDescent="0.25">
      <c r="A7923" t="str">
        <f ca="1">IFERROR(__xludf.DUMMYFUNCTION("""COMPUTED_VALUE"""),"SHV-148")</f>
        <v>SHV-148</v>
      </c>
      <c r="B7923" t="str">
        <f ca="1">IFERROR(__xludf.DUMMYFUNCTION("""COMPUTED_VALUE"""),"RF-00000486-PAR")</f>
        <v>RF-00000486-PAR</v>
      </c>
    </row>
    <row r="7924" spans="1:2" ht="12.5" x14ac:dyDescent="0.25">
      <c r="A7924" t="str">
        <f ca="1">IFERROR(__xludf.DUMMYFUNCTION("""COMPUTED_VALUE"""),"SHV-149")</f>
        <v>SHV-149</v>
      </c>
      <c r="B7924" t="str">
        <f ca="1">IFERROR(__xludf.DUMMYFUNCTION("""COMPUTED_VALUE"""),"RF-00000487-PAR")</f>
        <v>RF-00000487-PAR</v>
      </c>
    </row>
    <row r="7925" spans="1:2" ht="12.5" x14ac:dyDescent="0.25">
      <c r="A7925" t="str">
        <f ca="1">IFERROR(__xludf.DUMMYFUNCTION("""COMPUTED_VALUE"""),"SHV-15")</f>
        <v>SHV-15</v>
      </c>
      <c r="B7925" t="str">
        <f ca="1">IFERROR(__xludf.DUMMYFUNCTION("""COMPUTED_VALUE"""),"RF-00000353-PAR")</f>
        <v>RF-00000353-PAR</v>
      </c>
    </row>
    <row r="7926" spans="1:2" ht="12.5" x14ac:dyDescent="0.25">
      <c r="A7926" t="str">
        <f ca="1">IFERROR(__xludf.DUMMYFUNCTION("""COMPUTED_VALUE"""),"SHV-150")</f>
        <v>SHV-150</v>
      </c>
      <c r="B7926" t="str">
        <f ca="1">IFERROR(__xludf.DUMMYFUNCTION("""COMPUTED_VALUE"""),"RF-00000488-PAR")</f>
        <v>RF-00000488-PAR</v>
      </c>
    </row>
    <row r="7927" spans="1:2" ht="12.5" x14ac:dyDescent="0.25">
      <c r="A7927" t="str">
        <f ca="1">IFERROR(__xludf.DUMMYFUNCTION("""COMPUTED_VALUE"""),"SHV-151")</f>
        <v>SHV-151</v>
      </c>
      <c r="B7927" t="str">
        <f ca="1">IFERROR(__xludf.DUMMYFUNCTION("""COMPUTED_VALUE"""),"RF-00000489-PAR")</f>
        <v>RF-00000489-PAR</v>
      </c>
    </row>
    <row r="7928" spans="1:2" ht="12.5" x14ac:dyDescent="0.25">
      <c r="A7928" t="str">
        <f ca="1">IFERROR(__xludf.DUMMYFUNCTION("""COMPUTED_VALUE"""),"SHV-152")</f>
        <v>SHV-152</v>
      </c>
      <c r="B7928" t="str">
        <f ca="1">IFERROR(__xludf.DUMMYFUNCTION("""COMPUTED_VALUE"""),"RF-00000490-PAR")</f>
        <v>RF-00000490-PAR</v>
      </c>
    </row>
    <row r="7929" spans="1:2" ht="12.5" x14ac:dyDescent="0.25">
      <c r="A7929" t="str">
        <f ca="1">IFERROR(__xludf.DUMMYFUNCTION("""COMPUTED_VALUE"""),"SHV-153")</f>
        <v>SHV-153</v>
      </c>
      <c r="B7929" t="str">
        <f ca="1">IFERROR(__xludf.DUMMYFUNCTION("""COMPUTED_VALUE"""),"RF-00000491-PAR")</f>
        <v>RF-00000491-PAR</v>
      </c>
    </row>
    <row r="7930" spans="1:2" ht="12.5" x14ac:dyDescent="0.25">
      <c r="A7930" t="str">
        <f ca="1">IFERROR(__xludf.DUMMYFUNCTION("""COMPUTED_VALUE"""),"SHV-154")</f>
        <v>SHV-154</v>
      </c>
      <c r="B7930" t="str">
        <f ca="1">IFERROR(__xludf.DUMMYFUNCTION("""COMPUTED_VALUE"""),"RF-00000492-PAR")</f>
        <v>RF-00000492-PAR</v>
      </c>
    </row>
    <row r="7931" spans="1:2" ht="12.5" x14ac:dyDescent="0.25">
      <c r="A7931" t="str">
        <f ca="1">IFERROR(__xludf.DUMMYFUNCTION("""COMPUTED_VALUE"""),"SHV-155")</f>
        <v>SHV-155</v>
      </c>
      <c r="B7931" t="str">
        <f ca="1">IFERROR(__xludf.DUMMYFUNCTION("""COMPUTED_VALUE"""),"RF-00000493-PAR")</f>
        <v>RF-00000493-PAR</v>
      </c>
    </row>
    <row r="7932" spans="1:2" ht="12.5" x14ac:dyDescent="0.25">
      <c r="A7932" t="str">
        <f ca="1">IFERROR(__xludf.DUMMYFUNCTION("""COMPUTED_VALUE"""),"SHV-156")</f>
        <v>SHV-156</v>
      </c>
      <c r="B7932" t="str">
        <f ca="1">IFERROR(__xludf.DUMMYFUNCTION("""COMPUTED_VALUE"""),"RF-00000494-PAR")</f>
        <v>RF-00000494-PAR</v>
      </c>
    </row>
    <row r="7933" spans="1:2" ht="12.5" x14ac:dyDescent="0.25">
      <c r="A7933" t="str">
        <f ca="1">IFERROR(__xludf.DUMMYFUNCTION("""COMPUTED_VALUE"""),"SHV-157")</f>
        <v>SHV-157</v>
      </c>
      <c r="B7933" t="str">
        <f ca="1">IFERROR(__xludf.DUMMYFUNCTION("""COMPUTED_VALUE"""),"RF-00000495-PAR")</f>
        <v>RF-00000495-PAR</v>
      </c>
    </row>
    <row r="7934" spans="1:2" ht="12.5" x14ac:dyDescent="0.25">
      <c r="A7934" t="str">
        <f ca="1">IFERROR(__xludf.DUMMYFUNCTION("""COMPUTED_VALUE"""),"SHV-158")</f>
        <v>SHV-158</v>
      </c>
      <c r="B7934" t="str">
        <f ca="1">IFERROR(__xludf.DUMMYFUNCTION("""COMPUTED_VALUE"""),"RF-00000496-PAR")</f>
        <v>RF-00000496-PAR</v>
      </c>
    </row>
    <row r="7935" spans="1:2" ht="12.5" x14ac:dyDescent="0.25">
      <c r="A7935" t="str">
        <f ca="1">IFERROR(__xludf.DUMMYFUNCTION("""COMPUTED_VALUE"""),"SHV-159")</f>
        <v>SHV-159</v>
      </c>
      <c r="B7935" t="str">
        <f ca="1">IFERROR(__xludf.DUMMYFUNCTION("""COMPUTED_VALUE"""),"RF-00000497-PAR")</f>
        <v>RF-00000497-PAR</v>
      </c>
    </row>
    <row r="7936" spans="1:2" ht="12.5" x14ac:dyDescent="0.25">
      <c r="A7936" t="str">
        <f ca="1">IFERROR(__xludf.DUMMYFUNCTION("""COMPUTED_VALUE"""),"SHV-16")</f>
        <v>SHV-16</v>
      </c>
      <c r="B7936" t="str">
        <f ca="1">IFERROR(__xludf.DUMMYFUNCTION("""COMPUTED_VALUE"""),"RF-00000354-PAR")</f>
        <v>RF-00000354-PAR</v>
      </c>
    </row>
    <row r="7937" spans="1:2" ht="12.5" x14ac:dyDescent="0.25">
      <c r="A7937" t="str">
        <f ca="1">IFERROR(__xludf.DUMMYFUNCTION("""COMPUTED_VALUE"""),"SHV-160")</f>
        <v>SHV-160</v>
      </c>
      <c r="B7937" t="str">
        <f ca="1">IFERROR(__xludf.DUMMYFUNCTION("""COMPUTED_VALUE"""),"RF-00000498-PAR")</f>
        <v>RF-00000498-PAR</v>
      </c>
    </row>
    <row r="7938" spans="1:2" ht="12.5" x14ac:dyDescent="0.25">
      <c r="A7938" t="str">
        <f ca="1">IFERROR(__xludf.DUMMYFUNCTION("""COMPUTED_VALUE"""),"SHV-161")</f>
        <v>SHV-161</v>
      </c>
      <c r="B7938" t="str">
        <f ca="1">IFERROR(__xludf.DUMMYFUNCTION("""COMPUTED_VALUE"""),"RF-00000499-PAR")</f>
        <v>RF-00000499-PAR</v>
      </c>
    </row>
    <row r="7939" spans="1:2" ht="12.5" x14ac:dyDescent="0.25">
      <c r="A7939" t="str">
        <f ca="1">IFERROR(__xludf.DUMMYFUNCTION("""COMPUTED_VALUE"""),"SHV-162")</f>
        <v>SHV-162</v>
      </c>
      <c r="B7939" t="str">
        <f ca="1">IFERROR(__xludf.DUMMYFUNCTION("""COMPUTED_VALUE"""),"RF-00000500-PAR")</f>
        <v>RF-00000500-PAR</v>
      </c>
    </row>
    <row r="7940" spans="1:2" ht="12.5" x14ac:dyDescent="0.25">
      <c r="A7940" t="str">
        <f ca="1">IFERROR(__xludf.DUMMYFUNCTION("""COMPUTED_VALUE"""),"SHV-163")</f>
        <v>SHV-163</v>
      </c>
      <c r="B7940" t="str">
        <f ca="1">IFERROR(__xludf.DUMMYFUNCTION("""COMPUTED_VALUE"""),"RF-00000501-PAR")</f>
        <v>RF-00000501-PAR</v>
      </c>
    </row>
    <row r="7941" spans="1:2" ht="12.5" x14ac:dyDescent="0.25">
      <c r="A7941" t="str">
        <f ca="1">IFERROR(__xludf.DUMMYFUNCTION("""COMPUTED_VALUE"""),"SHV-164")</f>
        <v>SHV-164</v>
      </c>
      <c r="B7941" t="str">
        <f ca="1">IFERROR(__xludf.DUMMYFUNCTION("""COMPUTED_VALUE"""),"RF-00000502-PAR")</f>
        <v>RF-00000502-PAR</v>
      </c>
    </row>
    <row r="7942" spans="1:2" ht="12.5" x14ac:dyDescent="0.25">
      <c r="A7942" t="str">
        <f ca="1">IFERROR(__xludf.DUMMYFUNCTION("""COMPUTED_VALUE"""),"SHV-165")</f>
        <v>SHV-165</v>
      </c>
      <c r="B7942" t="str">
        <f ca="1">IFERROR(__xludf.DUMMYFUNCTION("""COMPUTED_VALUE"""),"RF-00000503-PAR")</f>
        <v>RF-00000503-PAR</v>
      </c>
    </row>
    <row r="7943" spans="1:2" ht="12.5" x14ac:dyDescent="0.25">
      <c r="A7943" t="str">
        <f ca="1">IFERROR(__xludf.DUMMYFUNCTION("""COMPUTED_VALUE"""),"SHV-166")</f>
        <v>SHV-166</v>
      </c>
      <c r="B7943" t="str">
        <f ca="1">IFERROR(__xludf.DUMMYFUNCTION("""COMPUTED_VALUE"""),"RF-00000504-PAR")</f>
        <v>RF-00000504-PAR</v>
      </c>
    </row>
    <row r="7944" spans="1:2" ht="12.5" x14ac:dyDescent="0.25">
      <c r="A7944" t="str">
        <f ca="1">IFERROR(__xludf.DUMMYFUNCTION("""COMPUTED_VALUE"""),"SHV-167")</f>
        <v>SHV-167</v>
      </c>
      <c r="B7944" t="str">
        <f ca="1">IFERROR(__xludf.DUMMYFUNCTION("""COMPUTED_VALUE"""),"RF-00000505-PAR")</f>
        <v>RF-00000505-PAR</v>
      </c>
    </row>
    <row r="7945" spans="1:2" ht="12.5" x14ac:dyDescent="0.25">
      <c r="A7945" t="str">
        <f ca="1">IFERROR(__xludf.DUMMYFUNCTION("""COMPUTED_VALUE"""),"SHV-168")</f>
        <v>SHV-168</v>
      </c>
      <c r="B7945" t="str">
        <f ca="1">IFERROR(__xludf.DUMMYFUNCTION("""COMPUTED_VALUE"""),"RF-00000506-PAR")</f>
        <v>RF-00000506-PAR</v>
      </c>
    </row>
    <row r="7946" spans="1:2" ht="12.5" x14ac:dyDescent="0.25">
      <c r="A7946" t="str">
        <f ca="1">IFERROR(__xludf.DUMMYFUNCTION("""COMPUTED_VALUE"""),"SHV-17")</f>
        <v>SHV-17</v>
      </c>
      <c r="B7946" t="str">
        <f ca="1">IFERROR(__xludf.DUMMYFUNCTION("""COMPUTED_VALUE"""),"RF-00000355-PAR")</f>
        <v>RF-00000355-PAR</v>
      </c>
    </row>
    <row r="7947" spans="1:2" ht="12.5" x14ac:dyDescent="0.25">
      <c r="A7947" t="str">
        <f ca="1">IFERROR(__xludf.DUMMYFUNCTION("""COMPUTED_VALUE"""),"SHV-18")</f>
        <v>SHV-18</v>
      </c>
      <c r="B7947" t="str">
        <f ca="1">IFERROR(__xludf.DUMMYFUNCTION("""COMPUTED_VALUE"""),"RF-00000356-PAR")</f>
        <v>RF-00000356-PAR</v>
      </c>
    </row>
    <row r="7948" spans="1:2" ht="12.5" x14ac:dyDescent="0.25">
      <c r="A7948" t="str">
        <f ca="1">IFERROR(__xludf.DUMMYFUNCTION("""COMPUTED_VALUE"""),"SHV-19")</f>
        <v>SHV-19</v>
      </c>
      <c r="B7948" t="str">
        <f ca="1">IFERROR(__xludf.DUMMYFUNCTION("""COMPUTED_VALUE"""),"RF-00000357-PAR")</f>
        <v>RF-00000357-PAR</v>
      </c>
    </row>
    <row r="7949" spans="1:2" ht="12.5" x14ac:dyDescent="0.25">
      <c r="A7949" t="str">
        <f ca="1">IFERROR(__xludf.DUMMYFUNCTION("""COMPUTED_VALUE"""),"SHV-2")</f>
        <v>SHV-2</v>
      </c>
      <c r="B7949" t="str">
        <f ca="1">IFERROR(__xludf.DUMMYFUNCTION("""COMPUTED_VALUE"""),"RF-00000340-PAR")</f>
        <v>RF-00000340-PAR</v>
      </c>
    </row>
    <row r="7950" spans="1:2" ht="12.5" x14ac:dyDescent="0.25">
      <c r="A7950" t="str">
        <f ca="1">IFERROR(__xludf.DUMMYFUNCTION("""COMPUTED_VALUE"""),"SHV-20")</f>
        <v>SHV-20</v>
      </c>
      <c r="B7950" t="str">
        <f ca="1">IFERROR(__xludf.DUMMYFUNCTION("""COMPUTED_VALUE"""),"RF-00000358-PAR")</f>
        <v>RF-00000358-PAR</v>
      </c>
    </row>
    <row r="7951" spans="1:2" ht="12.5" x14ac:dyDescent="0.25">
      <c r="A7951" t="str">
        <f ca="1">IFERROR(__xludf.DUMMYFUNCTION("""COMPUTED_VALUE"""),"SHV-21")</f>
        <v>SHV-21</v>
      </c>
      <c r="B7951" t="str">
        <f ca="1">IFERROR(__xludf.DUMMYFUNCTION("""COMPUTED_VALUE"""),"RF-00000359-PAR")</f>
        <v>RF-00000359-PAR</v>
      </c>
    </row>
    <row r="7952" spans="1:2" ht="12.5" x14ac:dyDescent="0.25">
      <c r="A7952" t="str">
        <f ca="1">IFERROR(__xludf.DUMMYFUNCTION("""COMPUTED_VALUE"""),"SHV-22")</f>
        <v>SHV-22</v>
      </c>
      <c r="B7952" t="str">
        <f ca="1">IFERROR(__xludf.DUMMYFUNCTION("""COMPUTED_VALUE"""),"RF-00000360-PAR")</f>
        <v>RF-00000360-PAR</v>
      </c>
    </row>
    <row r="7953" spans="1:2" ht="12.5" x14ac:dyDescent="0.25">
      <c r="A7953" t="str">
        <f ca="1">IFERROR(__xludf.DUMMYFUNCTION("""COMPUTED_VALUE"""),"SHV-23")</f>
        <v>SHV-23</v>
      </c>
      <c r="B7953" t="str">
        <f ca="1">IFERROR(__xludf.DUMMYFUNCTION("""COMPUTED_VALUE"""),"RF-00000361-PAR")</f>
        <v>RF-00000361-PAR</v>
      </c>
    </row>
    <row r="7954" spans="1:2" ht="12.5" x14ac:dyDescent="0.25">
      <c r="A7954" t="str">
        <f ca="1">IFERROR(__xludf.DUMMYFUNCTION("""COMPUTED_VALUE"""),"SHV-24")</f>
        <v>SHV-24</v>
      </c>
      <c r="B7954" t="str">
        <f ca="1">IFERROR(__xludf.DUMMYFUNCTION("""COMPUTED_VALUE"""),"RF-00000362-PAR")</f>
        <v>RF-00000362-PAR</v>
      </c>
    </row>
    <row r="7955" spans="1:2" ht="12.5" x14ac:dyDescent="0.25">
      <c r="A7955" t="str">
        <f ca="1">IFERROR(__xludf.DUMMYFUNCTION("""COMPUTED_VALUE"""),"SHV-25")</f>
        <v>SHV-25</v>
      </c>
      <c r="B7955" t="str">
        <f ca="1">IFERROR(__xludf.DUMMYFUNCTION("""COMPUTED_VALUE"""),"RF-00000363-PAR")</f>
        <v>RF-00000363-PAR</v>
      </c>
    </row>
    <row r="7956" spans="1:2" ht="12.5" x14ac:dyDescent="0.25">
      <c r="A7956" t="str">
        <f ca="1">IFERROR(__xludf.DUMMYFUNCTION("""COMPUTED_VALUE"""),"SHV-26")</f>
        <v>SHV-26</v>
      </c>
      <c r="B7956" t="str">
        <f ca="1">IFERROR(__xludf.DUMMYFUNCTION("""COMPUTED_VALUE"""),"RF-00000364-PAR")</f>
        <v>RF-00000364-PAR</v>
      </c>
    </row>
    <row r="7957" spans="1:2" ht="12.5" x14ac:dyDescent="0.25">
      <c r="A7957" t="str">
        <f ca="1">IFERROR(__xludf.DUMMYFUNCTION("""COMPUTED_VALUE"""),"SHV-27")</f>
        <v>SHV-27</v>
      </c>
      <c r="B7957" t="str">
        <f ca="1">IFERROR(__xludf.DUMMYFUNCTION("""COMPUTED_VALUE"""),"RF-00000365-PAR")</f>
        <v>RF-00000365-PAR</v>
      </c>
    </row>
    <row r="7958" spans="1:2" ht="12.5" x14ac:dyDescent="0.25">
      <c r="A7958" t="str">
        <f ca="1">IFERROR(__xludf.DUMMYFUNCTION("""COMPUTED_VALUE"""),"SHV-28")</f>
        <v>SHV-28</v>
      </c>
      <c r="B7958" t="str">
        <f ca="1">IFERROR(__xludf.DUMMYFUNCTION("""COMPUTED_VALUE"""),"RF-00000366-PAR")</f>
        <v>RF-00000366-PAR</v>
      </c>
    </row>
    <row r="7959" spans="1:2" ht="12.5" x14ac:dyDescent="0.25">
      <c r="A7959" t="str">
        <f ca="1">IFERROR(__xludf.DUMMYFUNCTION("""COMPUTED_VALUE"""),"SHV-29")</f>
        <v>SHV-29</v>
      </c>
      <c r="B7959" t="str">
        <f ca="1">IFERROR(__xludf.DUMMYFUNCTION("""COMPUTED_VALUE"""),"RF-00000367-PAR")</f>
        <v>RF-00000367-PAR</v>
      </c>
    </row>
    <row r="7960" spans="1:2" ht="12.5" x14ac:dyDescent="0.25">
      <c r="A7960" t="str">
        <f ca="1">IFERROR(__xludf.DUMMYFUNCTION("""COMPUTED_VALUE"""),"SHV-3")</f>
        <v>SHV-3</v>
      </c>
      <c r="B7960" t="str">
        <f ca="1">IFERROR(__xludf.DUMMYFUNCTION("""COMPUTED_VALUE"""),"RF-00000341-PAR")</f>
        <v>RF-00000341-PAR</v>
      </c>
    </row>
    <row r="7961" spans="1:2" ht="12.5" x14ac:dyDescent="0.25">
      <c r="A7961" t="str">
        <f ca="1">IFERROR(__xludf.DUMMYFUNCTION("""COMPUTED_VALUE"""),"SHV-30")</f>
        <v>SHV-30</v>
      </c>
      <c r="B7961" t="str">
        <f ca="1">IFERROR(__xludf.DUMMYFUNCTION("""COMPUTED_VALUE"""),"RF-00000368-PAR")</f>
        <v>RF-00000368-PAR</v>
      </c>
    </row>
    <row r="7962" spans="1:2" ht="12.5" x14ac:dyDescent="0.25">
      <c r="A7962" t="str">
        <f ca="1">IFERROR(__xludf.DUMMYFUNCTION("""COMPUTED_VALUE"""),"SHV-31")</f>
        <v>SHV-31</v>
      </c>
      <c r="B7962" t="str">
        <f ca="1">IFERROR(__xludf.DUMMYFUNCTION("""COMPUTED_VALUE"""),"RF-00000369-PAR")</f>
        <v>RF-00000369-PAR</v>
      </c>
    </row>
    <row r="7963" spans="1:2" ht="12.5" x14ac:dyDescent="0.25">
      <c r="A7963" t="str">
        <f ca="1">IFERROR(__xludf.DUMMYFUNCTION("""COMPUTED_VALUE"""),"SHV-32")</f>
        <v>SHV-32</v>
      </c>
      <c r="B7963" t="str">
        <f ca="1">IFERROR(__xludf.DUMMYFUNCTION("""COMPUTED_VALUE"""),"RF-00000370-PAR")</f>
        <v>RF-00000370-PAR</v>
      </c>
    </row>
    <row r="7964" spans="1:2" ht="12.5" x14ac:dyDescent="0.25">
      <c r="A7964" t="str">
        <f ca="1">IFERROR(__xludf.DUMMYFUNCTION("""COMPUTED_VALUE"""),"SHV-33")</f>
        <v>SHV-33</v>
      </c>
      <c r="B7964" t="str">
        <f ca="1">IFERROR(__xludf.DUMMYFUNCTION("""COMPUTED_VALUE"""),"RF-00000371-PAR")</f>
        <v>RF-00000371-PAR</v>
      </c>
    </row>
    <row r="7965" spans="1:2" ht="12.5" x14ac:dyDescent="0.25">
      <c r="A7965" t="str">
        <f ca="1">IFERROR(__xludf.DUMMYFUNCTION("""COMPUTED_VALUE"""),"SHV-34")</f>
        <v>SHV-34</v>
      </c>
      <c r="B7965" t="str">
        <f ca="1">IFERROR(__xludf.DUMMYFUNCTION("""COMPUTED_VALUE"""),"RF-00000372-PAR")</f>
        <v>RF-00000372-PAR</v>
      </c>
    </row>
    <row r="7966" spans="1:2" ht="12.5" x14ac:dyDescent="0.25">
      <c r="A7966" t="str">
        <f ca="1">IFERROR(__xludf.DUMMYFUNCTION("""COMPUTED_VALUE"""),"SHV-35")</f>
        <v>SHV-35</v>
      </c>
      <c r="B7966" t="str">
        <f ca="1">IFERROR(__xludf.DUMMYFUNCTION("""COMPUTED_VALUE"""),"RF-00000373-PAR")</f>
        <v>RF-00000373-PAR</v>
      </c>
    </row>
    <row r="7967" spans="1:2" ht="12.5" x14ac:dyDescent="0.25">
      <c r="A7967" t="str">
        <f ca="1">IFERROR(__xludf.DUMMYFUNCTION("""COMPUTED_VALUE"""),"SHV-36")</f>
        <v>SHV-36</v>
      </c>
      <c r="B7967" t="str">
        <f ca="1">IFERROR(__xludf.DUMMYFUNCTION("""COMPUTED_VALUE"""),"RF-00000374-PAR")</f>
        <v>RF-00000374-PAR</v>
      </c>
    </row>
    <row r="7968" spans="1:2" ht="12.5" x14ac:dyDescent="0.25">
      <c r="A7968" t="str">
        <f ca="1">IFERROR(__xludf.DUMMYFUNCTION("""COMPUTED_VALUE"""),"SHV-37")</f>
        <v>SHV-37</v>
      </c>
      <c r="B7968" t="str">
        <f ca="1">IFERROR(__xludf.DUMMYFUNCTION("""COMPUTED_VALUE"""),"RF-00000375-PAR")</f>
        <v>RF-00000375-PAR</v>
      </c>
    </row>
    <row r="7969" spans="1:2" ht="12.5" x14ac:dyDescent="0.25">
      <c r="A7969" t="str">
        <f ca="1">IFERROR(__xludf.DUMMYFUNCTION("""COMPUTED_VALUE"""),"SHV-38")</f>
        <v>SHV-38</v>
      </c>
      <c r="B7969" t="str">
        <f ca="1">IFERROR(__xludf.DUMMYFUNCTION("""COMPUTED_VALUE"""),"RF-00000376-PAR")</f>
        <v>RF-00000376-PAR</v>
      </c>
    </row>
    <row r="7970" spans="1:2" ht="12.5" x14ac:dyDescent="0.25">
      <c r="A7970" t="str">
        <f ca="1">IFERROR(__xludf.DUMMYFUNCTION("""COMPUTED_VALUE"""),"SHV-39")</f>
        <v>SHV-39</v>
      </c>
      <c r="B7970" t="str">
        <f ca="1">IFERROR(__xludf.DUMMYFUNCTION("""COMPUTED_VALUE"""),"RF-00000377-PAR")</f>
        <v>RF-00000377-PAR</v>
      </c>
    </row>
    <row r="7971" spans="1:2" ht="12.5" x14ac:dyDescent="0.25">
      <c r="A7971" t="str">
        <f ca="1">IFERROR(__xludf.DUMMYFUNCTION("""COMPUTED_VALUE"""),"SHV-4")</f>
        <v>SHV-4</v>
      </c>
      <c r="B7971" t="str">
        <f ca="1">IFERROR(__xludf.DUMMYFUNCTION("""COMPUTED_VALUE"""),"RF-00000342-PAR")</f>
        <v>RF-00000342-PAR</v>
      </c>
    </row>
    <row r="7972" spans="1:2" ht="12.5" x14ac:dyDescent="0.25">
      <c r="A7972" t="str">
        <f ca="1">IFERROR(__xludf.DUMMYFUNCTION("""COMPUTED_VALUE"""),"SHV-40")</f>
        <v>SHV-40</v>
      </c>
      <c r="B7972" t="str">
        <f ca="1">IFERROR(__xludf.DUMMYFUNCTION("""COMPUTED_VALUE"""),"RF-00000378-PAR")</f>
        <v>RF-00000378-PAR</v>
      </c>
    </row>
    <row r="7973" spans="1:2" ht="12.5" x14ac:dyDescent="0.25">
      <c r="A7973" t="str">
        <f ca="1">IFERROR(__xludf.DUMMYFUNCTION("""COMPUTED_VALUE"""),"SHV-41")</f>
        <v>SHV-41</v>
      </c>
      <c r="B7973" t="str">
        <f ca="1">IFERROR(__xludf.DUMMYFUNCTION("""COMPUTED_VALUE"""),"RF-00000379-PAR")</f>
        <v>RF-00000379-PAR</v>
      </c>
    </row>
    <row r="7974" spans="1:2" ht="12.5" x14ac:dyDescent="0.25">
      <c r="A7974" t="str">
        <f ca="1">IFERROR(__xludf.DUMMYFUNCTION("""COMPUTED_VALUE"""),"SHV-42")</f>
        <v>SHV-42</v>
      </c>
      <c r="B7974" t="str">
        <f ca="1">IFERROR(__xludf.DUMMYFUNCTION("""COMPUTED_VALUE"""),"RF-00000380-PAR")</f>
        <v>RF-00000380-PAR</v>
      </c>
    </row>
    <row r="7975" spans="1:2" ht="12.5" x14ac:dyDescent="0.25">
      <c r="A7975" t="str">
        <f ca="1">IFERROR(__xludf.DUMMYFUNCTION("""COMPUTED_VALUE"""),"SHV-43")</f>
        <v>SHV-43</v>
      </c>
      <c r="B7975" t="str">
        <f ca="1">IFERROR(__xludf.DUMMYFUNCTION("""COMPUTED_VALUE"""),"RF-00000381-PAR")</f>
        <v>RF-00000381-PAR</v>
      </c>
    </row>
    <row r="7976" spans="1:2" ht="12.5" x14ac:dyDescent="0.25">
      <c r="A7976" t="str">
        <f ca="1">IFERROR(__xludf.DUMMYFUNCTION("""COMPUTED_VALUE"""),"SHV-44")</f>
        <v>SHV-44</v>
      </c>
      <c r="B7976" t="str">
        <f ca="1">IFERROR(__xludf.DUMMYFUNCTION("""COMPUTED_VALUE"""),"RF-00000382-PAR")</f>
        <v>RF-00000382-PAR</v>
      </c>
    </row>
    <row r="7977" spans="1:2" ht="12.5" x14ac:dyDescent="0.25">
      <c r="A7977" t="str">
        <f ca="1">IFERROR(__xludf.DUMMYFUNCTION("""COMPUTED_VALUE"""),"SHV-45")</f>
        <v>SHV-45</v>
      </c>
      <c r="B7977" t="str">
        <f ca="1">IFERROR(__xludf.DUMMYFUNCTION("""COMPUTED_VALUE"""),"RF-00000383-PAR")</f>
        <v>RF-00000383-PAR</v>
      </c>
    </row>
    <row r="7978" spans="1:2" ht="12.5" x14ac:dyDescent="0.25">
      <c r="A7978" t="str">
        <f ca="1">IFERROR(__xludf.DUMMYFUNCTION("""COMPUTED_VALUE"""),"SHV-46")</f>
        <v>SHV-46</v>
      </c>
      <c r="B7978" t="str">
        <f ca="1">IFERROR(__xludf.DUMMYFUNCTION("""COMPUTED_VALUE"""),"RF-00000384-PAR")</f>
        <v>RF-00000384-PAR</v>
      </c>
    </row>
    <row r="7979" spans="1:2" ht="12.5" x14ac:dyDescent="0.25">
      <c r="A7979" t="str">
        <f ca="1">IFERROR(__xludf.DUMMYFUNCTION("""COMPUTED_VALUE"""),"SHV-47")</f>
        <v>SHV-47</v>
      </c>
      <c r="B7979" t="str">
        <f ca="1">IFERROR(__xludf.DUMMYFUNCTION("""COMPUTED_VALUE"""),"RF-00000385-PAR")</f>
        <v>RF-00000385-PAR</v>
      </c>
    </row>
    <row r="7980" spans="1:2" ht="12.5" x14ac:dyDescent="0.25">
      <c r="A7980" t="str">
        <f ca="1">IFERROR(__xludf.DUMMYFUNCTION("""COMPUTED_VALUE"""),"SHV-48")</f>
        <v>SHV-48</v>
      </c>
      <c r="B7980" t="str">
        <f ca="1">IFERROR(__xludf.DUMMYFUNCTION("""COMPUTED_VALUE"""),"RF-00000386-PAR")</f>
        <v>RF-00000386-PAR</v>
      </c>
    </row>
    <row r="7981" spans="1:2" ht="12.5" x14ac:dyDescent="0.25">
      <c r="A7981" t="str">
        <f ca="1">IFERROR(__xludf.DUMMYFUNCTION("""COMPUTED_VALUE"""),"SHV-49")</f>
        <v>SHV-49</v>
      </c>
      <c r="B7981" t="str">
        <f ca="1">IFERROR(__xludf.DUMMYFUNCTION("""COMPUTED_VALUE"""),"RF-00000387-PAR")</f>
        <v>RF-00000387-PAR</v>
      </c>
    </row>
    <row r="7982" spans="1:2" ht="12.5" x14ac:dyDescent="0.25">
      <c r="A7982" t="str">
        <f ca="1">IFERROR(__xludf.DUMMYFUNCTION("""COMPUTED_VALUE"""),"SHV-5")</f>
        <v>SHV-5</v>
      </c>
      <c r="B7982" t="str">
        <f ca="1">IFERROR(__xludf.DUMMYFUNCTION("""COMPUTED_VALUE"""),"RF-00000343-PAR")</f>
        <v>RF-00000343-PAR</v>
      </c>
    </row>
    <row r="7983" spans="1:2" ht="12.5" x14ac:dyDescent="0.25">
      <c r="A7983" t="str">
        <f ca="1">IFERROR(__xludf.DUMMYFUNCTION("""COMPUTED_VALUE"""),"SHV-50")</f>
        <v>SHV-50</v>
      </c>
      <c r="B7983" t="str">
        <f ca="1">IFERROR(__xludf.DUMMYFUNCTION("""COMPUTED_VALUE"""),"RF-00000388-PAR")</f>
        <v>RF-00000388-PAR</v>
      </c>
    </row>
    <row r="7984" spans="1:2" ht="12.5" x14ac:dyDescent="0.25">
      <c r="A7984" t="str">
        <f ca="1">IFERROR(__xludf.DUMMYFUNCTION("""COMPUTED_VALUE"""),"SHV-51")</f>
        <v>SHV-51</v>
      </c>
      <c r="B7984" t="str">
        <f ca="1">IFERROR(__xludf.DUMMYFUNCTION("""COMPUTED_VALUE"""),"RF-00000389-PAR")</f>
        <v>RF-00000389-PAR</v>
      </c>
    </row>
    <row r="7985" spans="1:2" ht="12.5" x14ac:dyDescent="0.25">
      <c r="A7985" t="str">
        <f ca="1">IFERROR(__xludf.DUMMYFUNCTION("""COMPUTED_VALUE"""),"SHV-52")</f>
        <v>SHV-52</v>
      </c>
      <c r="B7985" t="str">
        <f ca="1">IFERROR(__xludf.DUMMYFUNCTION("""COMPUTED_VALUE"""),"RF-00000390-PAR")</f>
        <v>RF-00000390-PAR</v>
      </c>
    </row>
    <row r="7986" spans="1:2" ht="12.5" x14ac:dyDescent="0.25">
      <c r="A7986" t="str">
        <f ca="1">IFERROR(__xludf.DUMMYFUNCTION("""COMPUTED_VALUE"""),"SHV-53")</f>
        <v>SHV-53</v>
      </c>
      <c r="B7986" t="str">
        <f ca="1">IFERROR(__xludf.DUMMYFUNCTION("""COMPUTED_VALUE"""),"RF-00000391-PAR")</f>
        <v>RF-00000391-PAR</v>
      </c>
    </row>
    <row r="7987" spans="1:2" ht="12.5" x14ac:dyDescent="0.25">
      <c r="A7987" t="str">
        <f ca="1">IFERROR(__xludf.DUMMYFUNCTION("""COMPUTED_VALUE"""),"SHV-54")</f>
        <v>SHV-54</v>
      </c>
      <c r="B7987" t="str">
        <f ca="1">IFERROR(__xludf.DUMMYFUNCTION("""COMPUTED_VALUE"""),"RF-00000392-PAR")</f>
        <v>RF-00000392-PAR</v>
      </c>
    </row>
    <row r="7988" spans="1:2" ht="12.5" x14ac:dyDescent="0.25">
      <c r="A7988" t="str">
        <f ca="1">IFERROR(__xludf.DUMMYFUNCTION("""COMPUTED_VALUE"""),"SHV-55")</f>
        <v>SHV-55</v>
      </c>
      <c r="B7988" t="str">
        <f ca="1">IFERROR(__xludf.DUMMYFUNCTION("""COMPUTED_VALUE"""),"RF-00000393-PAR")</f>
        <v>RF-00000393-PAR</v>
      </c>
    </row>
    <row r="7989" spans="1:2" ht="12.5" x14ac:dyDescent="0.25">
      <c r="A7989" t="str">
        <f ca="1">IFERROR(__xludf.DUMMYFUNCTION("""COMPUTED_VALUE"""),"SHV-56")</f>
        <v>SHV-56</v>
      </c>
      <c r="B7989" t="str">
        <f ca="1">IFERROR(__xludf.DUMMYFUNCTION("""COMPUTED_VALUE"""),"RF-00000394-PAR")</f>
        <v>RF-00000394-PAR</v>
      </c>
    </row>
    <row r="7990" spans="1:2" ht="12.5" x14ac:dyDescent="0.25">
      <c r="A7990" t="str">
        <f ca="1">IFERROR(__xludf.DUMMYFUNCTION("""COMPUTED_VALUE"""),"SHV-57")</f>
        <v>SHV-57</v>
      </c>
      <c r="B7990" t="str">
        <f ca="1">IFERROR(__xludf.DUMMYFUNCTION("""COMPUTED_VALUE"""),"RF-00000395-PAR")</f>
        <v>RF-00000395-PAR</v>
      </c>
    </row>
    <row r="7991" spans="1:2" ht="12.5" x14ac:dyDescent="0.25">
      <c r="A7991" t="str">
        <f ca="1">IFERROR(__xludf.DUMMYFUNCTION("""COMPUTED_VALUE"""),"SHV-58")</f>
        <v>SHV-58</v>
      </c>
      <c r="B7991" t="str">
        <f ca="1">IFERROR(__xludf.DUMMYFUNCTION("""COMPUTED_VALUE"""),"RF-00000396-PAR")</f>
        <v>RF-00000396-PAR</v>
      </c>
    </row>
    <row r="7992" spans="1:2" ht="12.5" x14ac:dyDescent="0.25">
      <c r="A7992" t="str">
        <f ca="1">IFERROR(__xludf.DUMMYFUNCTION("""COMPUTED_VALUE"""),"SHV-59")</f>
        <v>SHV-59</v>
      </c>
      <c r="B7992" t="str">
        <f ca="1">IFERROR(__xludf.DUMMYFUNCTION("""COMPUTED_VALUE"""),"RF-00000397-PAR")</f>
        <v>RF-00000397-PAR</v>
      </c>
    </row>
    <row r="7993" spans="1:2" ht="12.5" x14ac:dyDescent="0.25">
      <c r="A7993" t="str">
        <f ca="1">IFERROR(__xludf.DUMMYFUNCTION("""COMPUTED_VALUE"""),"SHV-6")</f>
        <v>SHV-6</v>
      </c>
      <c r="B7993" t="str">
        <f ca="1">IFERROR(__xludf.DUMMYFUNCTION("""COMPUTED_VALUE"""),"RF-00000344-PAR")</f>
        <v>RF-00000344-PAR</v>
      </c>
    </row>
    <row r="7994" spans="1:2" ht="12.5" x14ac:dyDescent="0.25">
      <c r="A7994" t="str">
        <f ca="1">IFERROR(__xludf.DUMMYFUNCTION("""COMPUTED_VALUE"""),"SHV-60")</f>
        <v>SHV-60</v>
      </c>
      <c r="B7994" t="str">
        <f ca="1">IFERROR(__xludf.DUMMYFUNCTION("""COMPUTED_VALUE"""),"RF-00000398-PAR")</f>
        <v>RF-00000398-PAR</v>
      </c>
    </row>
    <row r="7995" spans="1:2" ht="12.5" x14ac:dyDescent="0.25">
      <c r="A7995" t="str">
        <f ca="1">IFERROR(__xludf.DUMMYFUNCTION("""COMPUTED_VALUE"""),"SHV-61")</f>
        <v>SHV-61</v>
      </c>
      <c r="B7995" t="str">
        <f ca="1">IFERROR(__xludf.DUMMYFUNCTION("""COMPUTED_VALUE"""),"RF-00000399-PAR")</f>
        <v>RF-00000399-PAR</v>
      </c>
    </row>
    <row r="7996" spans="1:2" ht="12.5" x14ac:dyDescent="0.25">
      <c r="A7996" t="str">
        <f ca="1">IFERROR(__xludf.DUMMYFUNCTION("""COMPUTED_VALUE"""),"SHV-62")</f>
        <v>SHV-62</v>
      </c>
      <c r="B7996" t="str">
        <f ca="1">IFERROR(__xludf.DUMMYFUNCTION("""COMPUTED_VALUE"""),"RF-00000400-PAR")</f>
        <v>RF-00000400-PAR</v>
      </c>
    </row>
    <row r="7997" spans="1:2" ht="12.5" x14ac:dyDescent="0.25">
      <c r="A7997" t="str">
        <f ca="1">IFERROR(__xludf.DUMMYFUNCTION("""COMPUTED_VALUE"""),"SHV-63")</f>
        <v>SHV-63</v>
      </c>
      <c r="B7997" t="str">
        <f ca="1">IFERROR(__xludf.DUMMYFUNCTION("""COMPUTED_VALUE"""),"RF-00000401-PAR")</f>
        <v>RF-00000401-PAR</v>
      </c>
    </row>
    <row r="7998" spans="1:2" ht="12.5" x14ac:dyDescent="0.25">
      <c r="A7998" t="str">
        <f ca="1">IFERROR(__xludf.DUMMYFUNCTION("""COMPUTED_VALUE"""),"SHV-64")</f>
        <v>SHV-64</v>
      </c>
      <c r="B7998" t="str">
        <f ca="1">IFERROR(__xludf.DUMMYFUNCTION("""COMPUTED_VALUE"""),"RF-00000402-PAR")</f>
        <v>RF-00000402-PAR</v>
      </c>
    </row>
    <row r="7999" spans="1:2" ht="12.5" x14ac:dyDescent="0.25">
      <c r="A7999" t="str">
        <f ca="1">IFERROR(__xludf.DUMMYFUNCTION("""COMPUTED_VALUE"""),"SHV-65")</f>
        <v>SHV-65</v>
      </c>
      <c r="B7999" t="str">
        <f ca="1">IFERROR(__xludf.DUMMYFUNCTION("""COMPUTED_VALUE"""),"RF-00000403-PAR")</f>
        <v>RF-00000403-PAR</v>
      </c>
    </row>
    <row r="8000" spans="1:2" ht="12.5" x14ac:dyDescent="0.25">
      <c r="A8000" t="str">
        <f ca="1">IFERROR(__xludf.DUMMYFUNCTION("""COMPUTED_VALUE"""),"SHV-66")</f>
        <v>SHV-66</v>
      </c>
      <c r="B8000" t="str">
        <f ca="1">IFERROR(__xludf.DUMMYFUNCTION("""COMPUTED_VALUE"""),"RF-00000404-PAR")</f>
        <v>RF-00000404-PAR</v>
      </c>
    </row>
    <row r="8001" spans="1:2" ht="12.5" x14ac:dyDescent="0.25">
      <c r="A8001" t="str">
        <f ca="1">IFERROR(__xludf.DUMMYFUNCTION("""COMPUTED_VALUE"""),"SHV-67")</f>
        <v>SHV-67</v>
      </c>
      <c r="B8001" t="str">
        <f ca="1">IFERROR(__xludf.DUMMYFUNCTION("""COMPUTED_VALUE"""),"RF-00000405-PAR")</f>
        <v>RF-00000405-PAR</v>
      </c>
    </row>
    <row r="8002" spans="1:2" ht="12.5" x14ac:dyDescent="0.25">
      <c r="A8002" t="str">
        <f ca="1">IFERROR(__xludf.DUMMYFUNCTION("""COMPUTED_VALUE"""),"SHV-68")</f>
        <v>SHV-68</v>
      </c>
      <c r="B8002" t="str">
        <f ca="1">IFERROR(__xludf.DUMMYFUNCTION("""COMPUTED_VALUE"""),"RF-00000406-PAR")</f>
        <v>RF-00000406-PAR</v>
      </c>
    </row>
    <row r="8003" spans="1:2" ht="12.5" x14ac:dyDescent="0.25">
      <c r="A8003" t="str">
        <f ca="1">IFERROR(__xludf.DUMMYFUNCTION("""COMPUTED_VALUE"""),"SHV-69")</f>
        <v>SHV-69</v>
      </c>
      <c r="B8003" t="str">
        <f ca="1">IFERROR(__xludf.DUMMYFUNCTION("""COMPUTED_VALUE"""),"RF-00000407-PAR")</f>
        <v>RF-00000407-PAR</v>
      </c>
    </row>
    <row r="8004" spans="1:2" ht="12.5" x14ac:dyDescent="0.25">
      <c r="A8004" t="str">
        <f ca="1">IFERROR(__xludf.DUMMYFUNCTION("""COMPUTED_VALUE"""),"SHV-7")</f>
        <v>SHV-7</v>
      </c>
      <c r="B8004" t="str">
        <f ca="1">IFERROR(__xludf.DUMMYFUNCTION("""COMPUTED_VALUE"""),"RF-00000345-PAR")</f>
        <v>RF-00000345-PAR</v>
      </c>
    </row>
    <row r="8005" spans="1:2" ht="12.5" x14ac:dyDescent="0.25">
      <c r="A8005" t="str">
        <f ca="1">IFERROR(__xludf.DUMMYFUNCTION("""COMPUTED_VALUE"""),"SHV-70")</f>
        <v>SHV-70</v>
      </c>
      <c r="B8005" t="str">
        <f ca="1">IFERROR(__xludf.DUMMYFUNCTION("""COMPUTED_VALUE"""),"RF-00000408-PAR")</f>
        <v>RF-00000408-PAR</v>
      </c>
    </row>
    <row r="8006" spans="1:2" ht="12.5" x14ac:dyDescent="0.25">
      <c r="A8006" t="str">
        <f ca="1">IFERROR(__xludf.DUMMYFUNCTION("""COMPUTED_VALUE"""),"SHV-71")</f>
        <v>SHV-71</v>
      </c>
      <c r="B8006" t="str">
        <f ca="1">IFERROR(__xludf.DUMMYFUNCTION("""COMPUTED_VALUE"""),"RF-00000409-PAR")</f>
        <v>RF-00000409-PAR</v>
      </c>
    </row>
    <row r="8007" spans="1:2" ht="12.5" x14ac:dyDescent="0.25">
      <c r="A8007" t="str">
        <f ca="1">IFERROR(__xludf.DUMMYFUNCTION("""COMPUTED_VALUE"""),"SHV-72")</f>
        <v>SHV-72</v>
      </c>
      <c r="B8007" t="str">
        <f ca="1">IFERROR(__xludf.DUMMYFUNCTION("""COMPUTED_VALUE"""),"RF-00000410-PAR")</f>
        <v>RF-00000410-PAR</v>
      </c>
    </row>
    <row r="8008" spans="1:2" ht="12.5" x14ac:dyDescent="0.25">
      <c r="A8008" t="str">
        <f ca="1">IFERROR(__xludf.DUMMYFUNCTION("""COMPUTED_VALUE"""),"SHV-73")</f>
        <v>SHV-73</v>
      </c>
      <c r="B8008" t="str">
        <f ca="1">IFERROR(__xludf.DUMMYFUNCTION("""COMPUTED_VALUE"""),"RF-00000411-PAR")</f>
        <v>RF-00000411-PAR</v>
      </c>
    </row>
    <row r="8009" spans="1:2" ht="12.5" x14ac:dyDescent="0.25">
      <c r="A8009" t="str">
        <f ca="1">IFERROR(__xludf.DUMMYFUNCTION("""COMPUTED_VALUE"""),"SHV-74")</f>
        <v>SHV-74</v>
      </c>
      <c r="B8009" t="str">
        <f ca="1">IFERROR(__xludf.DUMMYFUNCTION("""COMPUTED_VALUE"""),"RF-00000412-PAR")</f>
        <v>RF-00000412-PAR</v>
      </c>
    </row>
    <row r="8010" spans="1:2" ht="12.5" x14ac:dyDescent="0.25">
      <c r="A8010" t="str">
        <f ca="1">IFERROR(__xludf.DUMMYFUNCTION("""COMPUTED_VALUE"""),"SHV-75")</f>
        <v>SHV-75</v>
      </c>
      <c r="B8010" t="str">
        <f ca="1">IFERROR(__xludf.DUMMYFUNCTION("""COMPUTED_VALUE"""),"RF-00000413-PAR")</f>
        <v>RF-00000413-PAR</v>
      </c>
    </row>
    <row r="8011" spans="1:2" ht="12.5" x14ac:dyDescent="0.25">
      <c r="A8011" t="str">
        <f ca="1">IFERROR(__xludf.DUMMYFUNCTION("""COMPUTED_VALUE"""),"SHV-76")</f>
        <v>SHV-76</v>
      </c>
      <c r="B8011" t="str">
        <f ca="1">IFERROR(__xludf.DUMMYFUNCTION("""COMPUTED_VALUE"""),"RF-00000414-PAR")</f>
        <v>RF-00000414-PAR</v>
      </c>
    </row>
    <row r="8012" spans="1:2" ht="12.5" x14ac:dyDescent="0.25">
      <c r="A8012" t="str">
        <f ca="1">IFERROR(__xludf.DUMMYFUNCTION("""COMPUTED_VALUE"""),"SHV-77")</f>
        <v>SHV-77</v>
      </c>
      <c r="B8012" t="str">
        <f ca="1">IFERROR(__xludf.DUMMYFUNCTION("""COMPUTED_VALUE"""),"RF-00000415-PAR")</f>
        <v>RF-00000415-PAR</v>
      </c>
    </row>
    <row r="8013" spans="1:2" ht="12.5" x14ac:dyDescent="0.25">
      <c r="A8013" t="str">
        <f ca="1">IFERROR(__xludf.DUMMYFUNCTION("""COMPUTED_VALUE"""),"SHV-78")</f>
        <v>SHV-78</v>
      </c>
      <c r="B8013" t="str">
        <f ca="1">IFERROR(__xludf.DUMMYFUNCTION("""COMPUTED_VALUE"""),"RF-00000416-PAR")</f>
        <v>RF-00000416-PAR</v>
      </c>
    </row>
    <row r="8014" spans="1:2" ht="12.5" x14ac:dyDescent="0.25">
      <c r="A8014" t="str">
        <f ca="1">IFERROR(__xludf.DUMMYFUNCTION("""COMPUTED_VALUE"""),"SHV-79")</f>
        <v>SHV-79</v>
      </c>
      <c r="B8014" t="str">
        <f ca="1">IFERROR(__xludf.DUMMYFUNCTION("""COMPUTED_VALUE"""),"RF-00000417-PAR")</f>
        <v>RF-00000417-PAR</v>
      </c>
    </row>
    <row r="8015" spans="1:2" ht="12.5" x14ac:dyDescent="0.25">
      <c r="A8015" t="str">
        <f ca="1">IFERROR(__xludf.DUMMYFUNCTION("""COMPUTED_VALUE"""),"SHV-8")</f>
        <v>SHV-8</v>
      </c>
      <c r="B8015" t="str">
        <f ca="1">IFERROR(__xludf.DUMMYFUNCTION("""COMPUTED_VALUE"""),"RF-00000346-PAR")</f>
        <v>RF-00000346-PAR</v>
      </c>
    </row>
    <row r="8016" spans="1:2" ht="12.5" x14ac:dyDescent="0.25">
      <c r="A8016" t="str">
        <f ca="1">IFERROR(__xludf.DUMMYFUNCTION("""COMPUTED_VALUE"""),"SHV-80")</f>
        <v>SHV-80</v>
      </c>
      <c r="B8016" t="str">
        <f ca="1">IFERROR(__xludf.DUMMYFUNCTION("""COMPUTED_VALUE"""),"RF-00000418-PAR")</f>
        <v>RF-00000418-PAR</v>
      </c>
    </row>
    <row r="8017" spans="1:2" ht="12.5" x14ac:dyDescent="0.25">
      <c r="A8017" t="str">
        <f ca="1">IFERROR(__xludf.DUMMYFUNCTION("""COMPUTED_VALUE"""),"SHV-81")</f>
        <v>SHV-81</v>
      </c>
      <c r="B8017" t="str">
        <f ca="1">IFERROR(__xludf.DUMMYFUNCTION("""COMPUTED_VALUE"""),"RF-00000419-PAR")</f>
        <v>RF-00000419-PAR</v>
      </c>
    </row>
    <row r="8018" spans="1:2" ht="12.5" x14ac:dyDescent="0.25">
      <c r="A8018" t="str">
        <f ca="1">IFERROR(__xludf.DUMMYFUNCTION("""COMPUTED_VALUE"""),"SHV-82")</f>
        <v>SHV-82</v>
      </c>
      <c r="B8018" t="str">
        <f ca="1">IFERROR(__xludf.DUMMYFUNCTION("""COMPUTED_VALUE"""),"RF-00000420-PAR")</f>
        <v>RF-00000420-PAR</v>
      </c>
    </row>
    <row r="8019" spans="1:2" ht="12.5" x14ac:dyDescent="0.25">
      <c r="A8019" t="str">
        <f ca="1">IFERROR(__xludf.DUMMYFUNCTION("""COMPUTED_VALUE"""),"SHV-83")</f>
        <v>SHV-83</v>
      </c>
      <c r="B8019" t="str">
        <f ca="1">IFERROR(__xludf.DUMMYFUNCTION("""COMPUTED_VALUE"""),"RF-00000421-PAR")</f>
        <v>RF-00000421-PAR</v>
      </c>
    </row>
    <row r="8020" spans="1:2" ht="12.5" x14ac:dyDescent="0.25">
      <c r="A8020" t="str">
        <f ca="1">IFERROR(__xludf.DUMMYFUNCTION("""COMPUTED_VALUE"""),"SHV-84")</f>
        <v>SHV-84</v>
      </c>
      <c r="B8020" t="str">
        <f ca="1">IFERROR(__xludf.DUMMYFUNCTION("""COMPUTED_VALUE"""),"RF-00000422-PAR")</f>
        <v>RF-00000422-PAR</v>
      </c>
    </row>
    <row r="8021" spans="1:2" ht="12.5" x14ac:dyDescent="0.25">
      <c r="A8021" t="str">
        <f ca="1">IFERROR(__xludf.DUMMYFUNCTION("""COMPUTED_VALUE"""),"SHV-85")</f>
        <v>SHV-85</v>
      </c>
      <c r="B8021" t="str">
        <f ca="1">IFERROR(__xludf.DUMMYFUNCTION("""COMPUTED_VALUE"""),"RF-00000423-PAR")</f>
        <v>RF-00000423-PAR</v>
      </c>
    </row>
    <row r="8022" spans="1:2" ht="12.5" x14ac:dyDescent="0.25">
      <c r="A8022" t="str">
        <f ca="1">IFERROR(__xludf.DUMMYFUNCTION("""COMPUTED_VALUE"""),"SHV-86")</f>
        <v>SHV-86</v>
      </c>
      <c r="B8022" t="str">
        <f ca="1">IFERROR(__xludf.DUMMYFUNCTION("""COMPUTED_VALUE"""),"RF-00000424-PAR")</f>
        <v>RF-00000424-PAR</v>
      </c>
    </row>
    <row r="8023" spans="1:2" ht="12.5" x14ac:dyDescent="0.25">
      <c r="A8023" t="str">
        <f ca="1">IFERROR(__xludf.DUMMYFUNCTION("""COMPUTED_VALUE"""),"SHV-87")</f>
        <v>SHV-87</v>
      </c>
      <c r="B8023" t="str">
        <f ca="1">IFERROR(__xludf.DUMMYFUNCTION("""COMPUTED_VALUE"""),"RF-00000425-PAR")</f>
        <v>RF-00000425-PAR</v>
      </c>
    </row>
    <row r="8024" spans="1:2" ht="12.5" x14ac:dyDescent="0.25">
      <c r="A8024" t="str">
        <f ca="1">IFERROR(__xludf.DUMMYFUNCTION("""COMPUTED_VALUE"""),"SHV-88")</f>
        <v>SHV-88</v>
      </c>
      <c r="B8024" t="str">
        <f ca="1">IFERROR(__xludf.DUMMYFUNCTION("""COMPUTED_VALUE"""),"RF-00000426-PAR")</f>
        <v>RF-00000426-PAR</v>
      </c>
    </row>
    <row r="8025" spans="1:2" ht="12.5" x14ac:dyDescent="0.25">
      <c r="A8025" t="str">
        <f ca="1">IFERROR(__xludf.DUMMYFUNCTION("""COMPUTED_VALUE"""),"SHV-89")</f>
        <v>SHV-89</v>
      </c>
      <c r="B8025" t="str">
        <f ca="1">IFERROR(__xludf.DUMMYFUNCTION("""COMPUTED_VALUE"""),"RF-00000427-PAR")</f>
        <v>RF-00000427-PAR</v>
      </c>
    </row>
    <row r="8026" spans="1:2" ht="12.5" x14ac:dyDescent="0.25">
      <c r="A8026" t="str">
        <f ca="1">IFERROR(__xludf.DUMMYFUNCTION("""COMPUTED_VALUE"""),"SHV-9")</f>
        <v>SHV-9</v>
      </c>
      <c r="B8026" t="str">
        <f ca="1">IFERROR(__xludf.DUMMYFUNCTION("""COMPUTED_VALUE"""),"RF-00000347-PAR")</f>
        <v>RF-00000347-PAR</v>
      </c>
    </row>
    <row r="8027" spans="1:2" ht="12.5" x14ac:dyDescent="0.25">
      <c r="A8027" t="str">
        <f ca="1">IFERROR(__xludf.DUMMYFUNCTION("""COMPUTED_VALUE"""),"SHV-90")</f>
        <v>SHV-90</v>
      </c>
      <c r="B8027" t="str">
        <f ca="1">IFERROR(__xludf.DUMMYFUNCTION("""COMPUTED_VALUE"""),"RF-00000428-PAR")</f>
        <v>RF-00000428-PAR</v>
      </c>
    </row>
    <row r="8028" spans="1:2" ht="12.5" x14ac:dyDescent="0.25">
      <c r="A8028" t="str">
        <f ca="1">IFERROR(__xludf.DUMMYFUNCTION("""COMPUTED_VALUE"""),"SHV-91")</f>
        <v>SHV-91</v>
      </c>
      <c r="B8028" t="str">
        <f ca="1">IFERROR(__xludf.DUMMYFUNCTION("""COMPUTED_VALUE"""),"RF-00000429-PAR")</f>
        <v>RF-00000429-PAR</v>
      </c>
    </row>
    <row r="8029" spans="1:2" ht="12.5" x14ac:dyDescent="0.25">
      <c r="A8029" t="str">
        <f ca="1">IFERROR(__xludf.DUMMYFUNCTION("""COMPUTED_VALUE"""),"SHV-92")</f>
        <v>SHV-92</v>
      </c>
      <c r="B8029" t="str">
        <f ca="1">IFERROR(__xludf.DUMMYFUNCTION("""COMPUTED_VALUE"""),"RF-00000430-PAR")</f>
        <v>RF-00000430-PAR</v>
      </c>
    </row>
    <row r="8030" spans="1:2" ht="12.5" x14ac:dyDescent="0.25">
      <c r="A8030" t="str">
        <f ca="1">IFERROR(__xludf.DUMMYFUNCTION("""COMPUTED_VALUE"""),"SHV-93")</f>
        <v>SHV-93</v>
      </c>
      <c r="B8030" t="str">
        <f ca="1">IFERROR(__xludf.DUMMYFUNCTION("""COMPUTED_VALUE"""),"RF-00000431-PAR")</f>
        <v>RF-00000431-PAR</v>
      </c>
    </row>
    <row r="8031" spans="1:2" ht="12.5" x14ac:dyDescent="0.25">
      <c r="A8031" t="str">
        <f ca="1">IFERROR(__xludf.DUMMYFUNCTION("""COMPUTED_VALUE"""),"SHV-94")</f>
        <v>SHV-94</v>
      </c>
      <c r="B8031" t="str">
        <f ca="1">IFERROR(__xludf.DUMMYFUNCTION("""COMPUTED_VALUE"""),"RF-00000432-PAR")</f>
        <v>RF-00000432-PAR</v>
      </c>
    </row>
    <row r="8032" spans="1:2" ht="12.5" x14ac:dyDescent="0.25">
      <c r="A8032" t="str">
        <f ca="1">IFERROR(__xludf.DUMMYFUNCTION("""COMPUTED_VALUE"""),"SHV-95")</f>
        <v>SHV-95</v>
      </c>
      <c r="B8032" t="str">
        <f ca="1">IFERROR(__xludf.DUMMYFUNCTION("""COMPUTED_VALUE"""),"RF-00000433-PAR")</f>
        <v>RF-00000433-PAR</v>
      </c>
    </row>
    <row r="8033" spans="1:2" ht="12.5" x14ac:dyDescent="0.25">
      <c r="A8033" t="str">
        <f ca="1">IFERROR(__xludf.DUMMYFUNCTION("""COMPUTED_VALUE"""),"SHV-96")</f>
        <v>SHV-96</v>
      </c>
      <c r="B8033" t="str">
        <f ca="1">IFERROR(__xludf.DUMMYFUNCTION("""COMPUTED_VALUE"""),"RF-00000434-PAR")</f>
        <v>RF-00000434-PAR</v>
      </c>
    </row>
    <row r="8034" spans="1:2" ht="12.5" x14ac:dyDescent="0.25">
      <c r="A8034" t="str">
        <f ca="1">IFERROR(__xludf.DUMMYFUNCTION("""COMPUTED_VALUE"""),"SHV-97")</f>
        <v>SHV-97</v>
      </c>
      <c r="B8034" t="str">
        <f ca="1">IFERROR(__xludf.DUMMYFUNCTION("""COMPUTED_VALUE"""),"RF-00000435-PAR")</f>
        <v>RF-00000435-PAR</v>
      </c>
    </row>
    <row r="8035" spans="1:2" ht="12.5" x14ac:dyDescent="0.25">
      <c r="A8035" t="str">
        <f ca="1">IFERROR(__xludf.DUMMYFUNCTION("""COMPUTED_VALUE"""),"SHV-98")</f>
        <v>SHV-98</v>
      </c>
      <c r="B8035" t="str">
        <f ca="1">IFERROR(__xludf.DUMMYFUNCTION("""COMPUTED_VALUE"""),"RF-00000436-PAR")</f>
        <v>RF-00000436-PAR</v>
      </c>
    </row>
    <row r="8036" spans="1:2" ht="12.5" x14ac:dyDescent="0.25">
      <c r="A8036" t="str">
        <f ca="1">IFERROR(__xludf.DUMMYFUNCTION("""COMPUTED_VALUE"""),"SHV-99")</f>
        <v>SHV-99</v>
      </c>
      <c r="B8036" t="str">
        <f ca="1">IFERROR(__xludf.DUMMYFUNCTION("""COMPUTED_VALUE"""),"RF-00000437-PAR")</f>
        <v>RF-00000437-PAR</v>
      </c>
    </row>
    <row r="8037" spans="1:2" ht="12.5" x14ac:dyDescent="0.25">
      <c r="A8037" t="str">
        <f ca="1">IFERROR(__xludf.DUMMYFUNCTION("""COMPUTED_VALUE"""),"Siduron")</f>
        <v>Siduron</v>
      </c>
      <c r="B8037" t="str">
        <f ca="1">IFERROR(__xludf.DUMMYFUNCTION("""COMPUTED_VALUE"""),"RF-0894-001-PPP")</f>
        <v>RF-0894-001-PPP</v>
      </c>
    </row>
    <row r="8038" spans="1:2" ht="12.5" x14ac:dyDescent="0.25">
      <c r="A8038" t="str">
        <f ca="1">IFERROR(__xludf.DUMMYFUNCTION("""COMPUTED_VALUE"""),"Silafluofen")</f>
        <v>Silafluofen</v>
      </c>
      <c r="B8038" t="str">
        <f ca="1">IFERROR(__xludf.DUMMYFUNCTION("""COMPUTED_VALUE"""),"RF-0895-001-PPP")</f>
        <v>RF-0895-001-PPP</v>
      </c>
    </row>
    <row r="8039" spans="1:2" ht="12.5" x14ac:dyDescent="0.25">
      <c r="A8039" t="str">
        <f ca="1">IFERROR(__xludf.DUMMYFUNCTION("""COMPUTED_VALUE"""),"Silica and derivatives")</f>
        <v>Silica and derivatives</v>
      </c>
      <c r="B8039" t="str">
        <f ca="1">IFERROR(__xludf.DUMMYFUNCTION("""COMPUTED_VALUE"""),"RF-00000071-CHE")</f>
        <v>RF-00000071-CHE</v>
      </c>
    </row>
    <row r="8040" spans="1:2" ht="12.5" x14ac:dyDescent="0.25">
      <c r="A8040" t="str">
        <f ca="1">IFERROR(__xludf.DUMMYFUNCTION("""COMPUTED_VALUE"""),"Silica sol at pH 13 (absolute)")</f>
        <v>Silica sol at pH 13 (absolute)</v>
      </c>
      <c r="B8040" t="str">
        <f ca="1">IFERROR(__xludf.DUMMYFUNCTION("""COMPUTED_VALUE"""),"RF-00000077-CHE")</f>
        <v>RF-00000077-CHE</v>
      </c>
    </row>
    <row r="8041" spans="1:2" ht="12.5" x14ac:dyDescent="0.25">
      <c r="A8041" t="str">
        <f ca="1">IFERROR(__xludf.DUMMYFUNCTION("""COMPUTED_VALUE"""),"Silica sol at pH 13 (total)")</f>
        <v>Silica sol at pH 13 (total)</v>
      </c>
      <c r="B8041" t="str">
        <f ca="1">IFERROR(__xludf.DUMMYFUNCTION("""COMPUTED_VALUE"""),"RF-00000078-CHE")</f>
        <v>RF-00000078-CHE</v>
      </c>
    </row>
    <row r="8042" spans="1:2" ht="12.5" x14ac:dyDescent="0.25">
      <c r="A8042" t="str">
        <f ca="1">IFERROR(__xludf.DUMMYFUNCTION("""COMPUTED_VALUE"""),"Silicon")</f>
        <v>Silicon</v>
      </c>
      <c r="B8042" t="str">
        <f ca="1">IFERROR(__xludf.DUMMYFUNCTION("""COMPUTED_VALUE"""),"RF-00000072-CHE")</f>
        <v>RF-00000072-CHE</v>
      </c>
    </row>
    <row r="8043" spans="1:2" ht="12.5" x14ac:dyDescent="0.25">
      <c r="A8043" t="str">
        <f ca="1">IFERROR(__xludf.DUMMYFUNCTION("""COMPUTED_VALUE"""),"Silicon dioxide")</f>
        <v>Silicon dioxide</v>
      </c>
      <c r="B8043" t="str">
        <f ca="1">IFERROR(__xludf.DUMMYFUNCTION("""COMPUTED_VALUE"""),"RF-00000271-ADD")</f>
        <v>RF-00000271-ADD</v>
      </c>
    </row>
    <row r="8044" spans="1:2" ht="12.5" x14ac:dyDescent="0.25">
      <c r="A8044" t="str">
        <f ca="1">IFERROR(__xludf.DUMMYFUNCTION("""COMPUTED_VALUE"""),"Silthiofam")</f>
        <v>Silthiofam</v>
      </c>
      <c r="B8044" t="str">
        <f ca="1">IFERROR(__xludf.DUMMYFUNCTION("""COMPUTED_VALUE"""),"RF-0389-001-PPP")</f>
        <v>RF-0389-001-PPP</v>
      </c>
    </row>
    <row r="8045" spans="1:2" ht="12.5" x14ac:dyDescent="0.25">
      <c r="A8045" t="str">
        <f ca="1">IFERROR(__xludf.DUMMYFUNCTION("""COMPUTED_VALUE"""),"Silver (Ag)")</f>
        <v>Silver (Ag)</v>
      </c>
      <c r="B8045" t="str">
        <f ca="1">IFERROR(__xludf.DUMMYFUNCTION("""COMPUTED_VALUE"""),"RF-00000203-CHE")</f>
        <v>RF-00000203-CHE</v>
      </c>
    </row>
    <row r="8046" spans="1:2" ht="12.5" x14ac:dyDescent="0.25">
      <c r="A8046" t="str">
        <f ca="1">IFERROR(__xludf.DUMMYFUNCTION("""COMPUTED_VALUE"""),"Silver and derivatives")</f>
        <v>Silver and derivatives</v>
      </c>
      <c r="B8046" t="str">
        <f ca="1">IFERROR(__xludf.DUMMYFUNCTION("""COMPUTED_VALUE"""),"RF-00000202-CHE")</f>
        <v>RF-00000202-CHE</v>
      </c>
    </row>
    <row r="8047" spans="1:2" ht="12.5" x14ac:dyDescent="0.25">
      <c r="A8047" t="str">
        <f ca="1">IFERROR(__xludf.DUMMYFUNCTION("""COMPUTED_VALUE"""),"Simazine")</f>
        <v>Simazine</v>
      </c>
      <c r="B8047" t="str">
        <f ca="1">IFERROR(__xludf.DUMMYFUNCTION("""COMPUTED_VALUE"""),"RF-0390-001-PPP")</f>
        <v>RF-0390-001-PPP</v>
      </c>
    </row>
    <row r="8048" spans="1:2" ht="12.5" x14ac:dyDescent="0.25">
      <c r="A8048" t="str">
        <f ca="1">IFERROR(__xludf.DUMMYFUNCTION("""COMPUTED_VALUE"""),"Simazine, 2-Hydroxy-")</f>
        <v>Simazine, 2-Hydroxy-</v>
      </c>
      <c r="B8048" t="str">
        <f ca="1">IFERROR(__xludf.DUMMYFUNCTION("""COMPUTED_VALUE"""),"RF-0896-001-PPP")</f>
        <v>RF-0896-001-PPP</v>
      </c>
    </row>
    <row r="8049" spans="1:2" ht="12.5" x14ac:dyDescent="0.25">
      <c r="A8049" t="str">
        <f ca="1">IFERROR(__xludf.DUMMYFUNCTION("""COMPUTED_VALUE"""),"Simeconazole")</f>
        <v>Simeconazole</v>
      </c>
      <c r="B8049" t="str">
        <f ca="1">IFERROR(__xludf.DUMMYFUNCTION("""COMPUTED_VALUE"""),"RF-0897-001-PPP")</f>
        <v>RF-0897-001-PPP</v>
      </c>
    </row>
    <row r="8050" spans="1:2" ht="12.5" x14ac:dyDescent="0.25">
      <c r="A8050" t="str">
        <f ca="1">IFERROR(__xludf.DUMMYFUNCTION("""COMPUTED_VALUE"""),"Simetryn")</f>
        <v>Simetryn</v>
      </c>
      <c r="B8050" t="str">
        <f ca="1">IFERROR(__xludf.DUMMYFUNCTION("""COMPUTED_VALUE"""),"RF-0898-001-PPP")</f>
        <v>RF-0898-001-PPP</v>
      </c>
    </row>
    <row r="8051" spans="1:2" ht="12.5" x14ac:dyDescent="0.25">
      <c r="A8051" t="str">
        <f ca="1">IFERROR(__xludf.DUMMYFUNCTION("""COMPUTED_VALUE"""),"sitosterol")</f>
        <v>sitosterol</v>
      </c>
      <c r="B8051" t="str">
        <f ca="1">IFERROR(__xludf.DUMMYFUNCTION("""COMPUTED_VALUE"""),"RF-00000392-NTR")</f>
        <v>RF-00000392-NTR</v>
      </c>
    </row>
    <row r="8052" spans="1:2" ht="12.5" x14ac:dyDescent="0.25">
      <c r="A8052" t="str">
        <f ca="1">IFERROR(__xludf.DUMMYFUNCTION("""COMPUTED_VALUE"""),"Sodium (Na)")</f>
        <v>Sodium (Na)</v>
      </c>
      <c r="B8052" t="str">
        <f ca="1">IFERROR(__xludf.DUMMYFUNCTION("""COMPUTED_VALUE"""),"RF-00000067-CHE")</f>
        <v>RF-00000067-CHE</v>
      </c>
    </row>
    <row r="8053" spans="1:2" ht="12.5" x14ac:dyDescent="0.25">
      <c r="A8053" t="str">
        <f ca="1">IFERROR(__xludf.DUMMYFUNCTION("""COMPUTED_VALUE"""),"Sodium acetates")</f>
        <v>Sodium acetates</v>
      </c>
      <c r="B8053" t="str">
        <f ca="1">IFERROR(__xludf.DUMMYFUNCTION("""COMPUTED_VALUE"""),"RF-00000273-ADD")</f>
        <v>RF-00000273-ADD</v>
      </c>
    </row>
    <row r="8054" spans="1:2" ht="12.5" x14ac:dyDescent="0.25">
      <c r="A8054" t="str">
        <f ca="1">IFERROR(__xludf.DUMMYFUNCTION("""COMPUTED_VALUE"""),"Sodium adipate")</f>
        <v>Sodium adipate</v>
      </c>
      <c r="B8054" t="str">
        <f ca="1">IFERROR(__xludf.DUMMYFUNCTION("""COMPUTED_VALUE"""),"RF-00000274-ADD")</f>
        <v>RF-00000274-ADD</v>
      </c>
    </row>
    <row r="8055" spans="1:2" ht="12.5" x14ac:dyDescent="0.25">
      <c r="A8055" t="str">
        <f ca="1">IFERROR(__xludf.DUMMYFUNCTION("""COMPUTED_VALUE"""),"Sodium alginate")</f>
        <v>Sodium alginate</v>
      </c>
      <c r="B8055" t="str">
        <f ca="1">IFERROR(__xludf.DUMMYFUNCTION("""COMPUTED_VALUE"""),"RF-00000275-ADD")</f>
        <v>RF-00000275-ADD</v>
      </c>
    </row>
    <row r="8056" spans="1:2" ht="12.5" x14ac:dyDescent="0.25">
      <c r="A8056" t="str">
        <f ca="1">IFERROR(__xludf.DUMMYFUNCTION("""COMPUTED_VALUE"""),"Sodium aluminium phosphate acidic")</f>
        <v>Sodium aluminium phosphate acidic</v>
      </c>
      <c r="B8056" t="str">
        <f ca="1">IFERROR(__xludf.DUMMYFUNCTION("""COMPUTED_VALUE"""),"RF-00000276-ADD")</f>
        <v>RF-00000276-ADD</v>
      </c>
    </row>
    <row r="8057" spans="1:2" ht="12.5" x14ac:dyDescent="0.25">
      <c r="A8057" t="str">
        <f ca="1">IFERROR(__xludf.DUMMYFUNCTION("""COMPUTED_VALUE"""),"Sodium aluminium silicate")</f>
        <v>Sodium aluminium silicate</v>
      </c>
      <c r="B8057" t="str">
        <f ca="1">IFERROR(__xludf.DUMMYFUNCTION("""COMPUTED_VALUE"""),"RF-00000277-ADD")</f>
        <v>RF-00000277-ADD</v>
      </c>
    </row>
    <row r="8058" spans="1:2" ht="12.5" x14ac:dyDescent="0.25">
      <c r="A8058" t="str">
        <f ca="1">IFERROR(__xludf.DUMMYFUNCTION("""COMPUTED_VALUE"""),"Sodium ascorbate")</f>
        <v>Sodium ascorbate</v>
      </c>
      <c r="B8058" t="str">
        <f ca="1">IFERROR(__xludf.DUMMYFUNCTION("""COMPUTED_VALUE"""),"RF-00000278-ADD")</f>
        <v>RF-00000278-ADD</v>
      </c>
    </row>
    <row r="8059" spans="1:2" ht="12.5" x14ac:dyDescent="0.25">
      <c r="A8059" t="str">
        <f ca="1">IFERROR(__xludf.DUMMYFUNCTION("""COMPUTED_VALUE"""),"Sodium benzoate")</f>
        <v>Sodium benzoate</v>
      </c>
      <c r="B8059" t="str">
        <f ca="1">IFERROR(__xludf.DUMMYFUNCTION("""COMPUTED_VALUE"""),"RF-00000279-ADD")</f>
        <v>RF-00000279-ADD</v>
      </c>
    </row>
    <row r="8060" spans="1:2" ht="12.5" x14ac:dyDescent="0.25">
      <c r="A8060" t="str">
        <f ca="1">IFERROR(__xludf.DUMMYFUNCTION("""COMPUTED_VALUE"""),"Sodium bisulphite")</f>
        <v>Sodium bisulphite</v>
      </c>
      <c r="B8060" t="str">
        <f ca="1">IFERROR(__xludf.DUMMYFUNCTION("""COMPUTED_VALUE"""),"RF-00001295-PAR")</f>
        <v>RF-00001295-PAR</v>
      </c>
    </row>
    <row r="8061" spans="1:2" ht="12.5" x14ac:dyDescent="0.25">
      <c r="A8061" t="str">
        <f ca="1">IFERROR(__xludf.DUMMYFUNCTION("""COMPUTED_VALUE"""),"Sodium carbonates")</f>
        <v>Sodium carbonates</v>
      </c>
      <c r="B8061" t="str">
        <f ca="1">IFERROR(__xludf.DUMMYFUNCTION("""COMPUTED_VALUE"""),"RF-00000280-ADD")</f>
        <v>RF-00000280-ADD</v>
      </c>
    </row>
    <row r="8062" spans="1:2" ht="12.5" x14ac:dyDescent="0.25">
      <c r="A8062" t="str">
        <f ca="1">IFERROR(__xludf.DUMMYFUNCTION("""COMPUTED_VALUE"""),"Sodium citrates")</f>
        <v>Sodium citrates</v>
      </c>
      <c r="B8062" t="str">
        <f ca="1">IFERROR(__xludf.DUMMYFUNCTION("""COMPUTED_VALUE"""),"RF-00000281-ADD")</f>
        <v>RF-00000281-ADD</v>
      </c>
    </row>
    <row r="8063" spans="1:2" ht="12.5" x14ac:dyDescent="0.25">
      <c r="A8063" t="str">
        <f ca="1">IFERROR(__xludf.DUMMYFUNCTION("""COMPUTED_VALUE"""),"Sodium cyclamate")</f>
        <v>Sodium cyclamate</v>
      </c>
      <c r="B8063" t="str">
        <f ca="1">IFERROR(__xludf.DUMMYFUNCTION("""COMPUTED_VALUE"""),"RF-00000014-ADD")</f>
        <v>RF-00000014-ADD</v>
      </c>
    </row>
    <row r="8064" spans="1:2" ht="12.5" x14ac:dyDescent="0.25">
      <c r="A8064" t="str">
        <f ca="1">IFERROR(__xludf.DUMMYFUNCTION("""COMPUTED_VALUE"""),"Sodium derivatives")</f>
        <v>Sodium derivatives</v>
      </c>
      <c r="B8064" t="str">
        <f ca="1">IFERROR(__xludf.DUMMYFUNCTION("""COMPUTED_VALUE"""),"RF-00000066-CHE")</f>
        <v>RF-00000066-CHE</v>
      </c>
    </row>
    <row r="8065" spans="1:2" ht="12.5" x14ac:dyDescent="0.25">
      <c r="A8065" t="str">
        <f ca="1">IFERROR(__xludf.DUMMYFUNCTION("""COMPUTED_VALUE"""),"Sodium erythorbate")</f>
        <v>Sodium erythorbate</v>
      </c>
      <c r="B8065" t="str">
        <f ca="1">IFERROR(__xludf.DUMMYFUNCTION("""COMPUTED_VALUE"""),"RF-00000283-ADD")</f>
        <v>RF-00000283-ADD</v>
      </c>
    </row>
    <row r="8066" spans="1:2" ht="12.5" x14ac:dyDescent="0.25">
      <c r="A8066" t="str">
        <f ca="1">IFERROR(__xludf.DUMMYFUNCTION("""COMPUTED_VALUE"""),"Sodium ethyl p-hydroxybenzoate")</f>
        <v>Sodium ethyl p-hydroxybenzoate</v>
      </c>
      <c r="B8066" t="str">
        <f ca="1">IFERROR(__xludf.DUMMYFUNCTION("""COMPUTED_VALUE"""),"RF-00000284-ADD")</f>
        <v>RF-00000284-ADD</v>
      </c>
    </row>
    <row r="8067" spans="1:2" ht="12.5" x14ac:dyDescent="0.25">
      <c r="A8067" t="str">
        <f ca="1">IFERROR(__xludf.DUMMYFUNCTION("""COMPUTED_VALUE"""),"Sodium ferrocyanide")</f>
        <v>Sodium ferrocyanide</v>
      </c>
      <c r="B8067" t="str">
        <f ca="1">IFERROR(__xludf.DUMMYFUNCTION("""COMPUTED_VALUE"""),"RF-00000285-ADD")</f>
        <v>RF-00000285-ADD</v>
      </c>
    </row>
    <row r="8068" spans="1:2" ht="12.5" x14ac:dyDescent="0.25">
      <c r="A8068" t="str">
        <f ca="1">IFERROR(__xludf.DUMMYFUNCTION("""COMPUTED_VALUE"""),"Sodium gluconate")</f>
        <v>Sodium gluconate</v>
      </c>
      <c r="B8068" t="str">
        <f ca="1">IFERROR(__xludf.DUMMYFUNCTION("""COMPUTED_VALUE"""),"RF-00000286-ADD")</f>
        <v>RF-00000286-ADD</v>
      </c>
    </row>
    <row r="8069" spans="1:2" ht="12.5" x14ac:dyDescent="0.25">
      <c r="A8069" t="str">
        <f ca="1">IFERROR(__xludf.DUMMYFUNCTION("""COMPUTED_VALUE"""),"Sodium hydrogen sulphite")</f>
        <v>Sodium hydrogen sulphite</v>
      </c>
      <c r="B8069" t="str">
        <f ca="1">IFERROR(__xludf.DUMMYFUNCTION("""COMPUTED_VALUE"""),"RF-00000287-ADD")</f>
        <v>RF-00000287-ADD</v>
      </c>
    </row>
    <row r="8070" spans="1:2" ht="12.5" x14ac:dyDescent="0.25">
      <c r="A8070" t="str">
        <f ca="1">IFERROR(__xludf.DUMMYFUNCTION("""COMPUTED_VALUE"""),"Sodium hydroxide")</f>
        <v>Sodium hydroxide</v>
      </c>
      <c r="B8070" t="str">
        <f ca="1">IFERROR(__xludf.DUMMYFUNCTION("""COMPUTED_VALUE"""),"RF-00000288-ADD")</f>
        <v>RF-00000288-ADD</v>
      </c>
    </row>
    <row r="8071" spans="1:2" ht="12.5" x14ac:dyDescent="0.25">
      <c r="A8071" t="str">
        <f ca="1">IFERROR(__xludf.DUMMYFUNCTION("""COMPUTED_VALUE"""),"Sodium lactate")</f>
        <v>Sodium lactate</v>
      </c>
      <c r="B8071" t="str">
        <f ca="1">IFERROR(__xludf.DUMMYFUNCTION("""COMPUTED_VALUE"""),"RF-00000289-ADD")</f>
        <v>RF-00000289-ADD</v>
      </c>
    </row>
    <row r="8072" spans="1:2" ht="12.5" x14ac:dyDescent="0.25">
      <c r="A8072" t="str">
        <f ca="1">IFERROR(__xludf.DUMMYFUNCTION("""COMPUTED_VALUE"""),"Sodium malates")</f>
        <v>Sodium malates</v>
      </c>
      <c r="B8072" t="str">
        <f ca="1">IFERROR(__xludf.DUMMYFUNCTION("""COMPUTED_VALUE"""),"RF-00000290-ADD")</f>
        <v>RF-00000290-ADD</v>
      </c>
    </row>
    <row r="8073" spans="1:2" ht="12.5" x14ac:dyDescent="0.25">
      <c r="A8073" t="str">
        <f ca="1">IFERROR(__xludf.DUMMYFUNCTION("""COMPUTED_VALUE"""),"Sodium metabisulphite")</f>
        <v>Sodium metabisulphite</v>
      </c>
      <c r="B8073" t="str">
        <f ca="1">IFERROR(__xludf.DUMMYFUNCTION("""COMPUTED_VALUE"""),"RF-00000291-ADD")</f>
        <v>RF-00000291-ADD</v>
      </c>
    </row>
    <row r="8074" spans="1:2" ht="12.5" x14ac:dyDescent="0.25">
      <c r="A8074" t="str">
        <f ca="1">IFERROR(__xludf.DUMMYFUNCTION("""COMPUTED_VALUE"""),"Sodium methyl p-hydroxybenzoate")</f>
        <v>Sodium methyl p-hydroxybenzoate</v>
      </c>
      <c r="B8074" t="str">
        <f ca="1">IFERROR(__xludf.DUMMYFUNCTION("""COMPUTED_VALUE"""),"RF-00000292-ADD")</f>
        <v>RF-00000292-ADD</v>
      </c>
    </row>
    <row r="8075" spans="1:2" ht="12.5" x14ac:dyDescent="0.25">
      <c r="A8075" t="str">
        <f ca="1">IFERROR(__xludf.DUMMYFUNCTION("""COMPUTED_VALUE"""),"Sodium nitrate")</f>
        <v>Sodium nitrate</v>
      </c>
      <c r="B8075" t="str">
        <f ca="1">IFERROR(__xludf.DUMMYFUNCTION("""COMPUTED_VALUE"""),"RF-00000293-ADD")</f>
        <v>RF-00000293-ADD</v>
      </c>
    </row>
    <row r="8076" spans="1:2" ht="12.5" x14ac:dyDescent="0.25">
      <c r="A8076" t="str">
        <f ca="1">IFERROR(__xludf.DUMMYFUNCTION("""COMPUTED_VALUE"""),"Sodium nitrite")</f>
        <v>Sodium nitrite</v>
      </c>
      <c r="B8076" t="str">
        <f ca="1">IFERROR(__xludf.DUMMYFUNCTION("""COMPUTED_VALUE"""),"RF-00000294-ADD")</f>
        <v>RF-00000294-ADD</v>
      </c>
    </row>
    <row r="8077" spans="1:2" ht="12.5" x14ac:dyDescent="0.25">
      <c r="A8077" t="str">
        <f ca="1">IFERROR(__xludf.DUMMYFUNCTION("""COMPUTED_VALUE"""),"Sodium oxide")</f>
        <v>Sodium oxide</v>
      </c>
      <c r="B8077" t="str">
        <f ca="1">IFERROR(__xludf.DUMMYFUNCTION("""COMPUTED_VALUE"""),"RF-00000069-CHE")</f>
        <v>RF-00000069-CHE</v>
      </c>
    </row>
    <row r="8078" spans="1:2" ht="12.5" x14ac:dyDescent="0.25">
      <c r="A8078" t="str">
        <f ca="1">IFERROR(__xludf.DUMMYFUNCTION("""COMPUTED_VALUE"""),"Sodium phosphates")</f>
        <v>Sodium phosphates</v>
      </c>
      <c r="B8078" t="str">
        <f ca="1">IFERROR(__xludf.DUMMYFUNCTION("""COMPUTED_VALUE"""),"RF-00000295-ADD")</f>
        <v>RF-00000295-ADD</v>
      </c>
    </row>
    <row r="8079" spans="1:2" ht="12.5" x14ac:dyDescent="0.25">
      <c r="A8079" t="str">
        <f ca="1">IFERROR(__xludf.DUMMYFUNCTION("""COMPUTED_VALUE"""),"Sodium potassium tartrate")</f>
        <v>Sodium potassium tartrate</v>
      </c>
      <c r="B8079" t="str">
        <f ca="1">IFERROR(__xludf.DUMMYFUNCTION("""COMPUTED_VALUE"""),"RF-00000296-ADD")</f>
        <v>RF-00000296-ADD</v>
      </c>
    </row>
    <row r="8080" spans="1:2" ht="12.5" x14ac:dyDescent="0.25">
      <c r="A8080" t="str">
        <f ca="1">IFERROR(__xludf.DUMMYFUNCTION("""COMPUTED_VALUE"""),"Sodium propionate")</f>
        <v>Sodium propionate</v>
      </c>
      <c r="B8080" t="str">
        <f ca="1">IFERROR(__xludf.DUMMYFUNCTION("""COMPUTED_VALUE"""),"RF-00000297-ADD")</f>
        <v>RF-00000297-ADD</v>
      </c>
    </row>
    <row r="8081" spans="1:2" ht="12.5" x14ac:dyDescent="0.25">
      <c r="A8081" t="str">
        <f ca="1">IFERROR(__xludf.DUMMYFUNCTION("""COMPUTED_VALUE"""),"Sodium salicylate")</f>
        <v>Sodium salicylate</v>
      </c>
      <c r="B8081" t="str">
        <f ca="1">IFERROR(__xludf.DUMMYFUNCTION("""COMPUTED_VALUE"""),"RF-00000215-VET")</f>
        <v>RF-00000215-VET</v>
      </c>
    </row>
    <row r="8082" spans="1:2" ht="12.5" x14ac:dyDescent="0.25">
      <c r="A8082" t="str">
        <f ca="1">IFERROR(__xludf.DUMMYFUNCTION("""COMPUTED_VALUE"""),"Sodium soluble in water")</f>
        <v>Sodium soluble in water</v>
      </c>
      <c r="B8082" t="str">
        <f ca="1">IFERROR(__xludf.DUMMYFUNCTION("""COMPUTED_VALUE"""),"RF-00000068-CHE")</f>
        <v>RF-00000068-CHE</v>
      </c>
    </row>
    <row r="8083" spans="1:2" ht="12.5" x14ac:dyDescent="0.25">
      <c r="A8083" t="str">
        <f ca="1">IFERROR(__xludf.DUMMYFUNCTION("""COMPUTED_VALUE"""),"Sodium stannate trihydrate")</f>
        <v>Sodium stannate trihydrate</v>
      </c>
      <c r="B8083" t="str">
        <f ca="1">IFERROR(__xludf.DUMMYFUNCTION("""COMPUTED_VALUE"""),"RF-00000263-CHE")</f>
        <v>RF-00000263-CHE</v>
      </c>
    </row>
    <row r="8084" spans="1:2" ht="12.5" x14ac:dyDescent="0.25">
      <c r="A8084" t="str">
        <f ca="1">IFERROR(__xludf.DUMMYFUNCTION("""COMPUTED_VALUE"""),"Sodium stearoyl-2-lactylate")</f>
        <v>Sodium stearoyl-2-lactylate</v>
      </c>
      <c r="B8084" t="str">
        <f ca="1">IFERROR(__xludf.DUMMYFUNCTION("""COMPUTED_VALUE"""),"RF-00000298-ADD")</f>
        <v>RF-00000298-ADD</v>
      </c>
    </row>
    <row r="8085" spans="1:2" ht="12.5" x14ac:dyDescent="0.25">
      <c r="A8085" t="str">
        <f ca="1">IFERROR(__xludf.DUMMYFUNCTION("""COMPUTED_VALUE"""),"Sodium sulphates")</f>
        <v>Sodium sulphates</v>
      </c>
      <c r="B8085" t="str">
        <f ca="1">IFERROR(__xludf.DUMMYFUNCTION("""COMPUTED_VALUE"""),"RF-00000299-ADD")</f>
        <v>RF-00000299-ADD</v>
      </c>
    </row>
    <row r="8086" spans="1:2" ht="12.5" x14ac:dyDescent="0.25">
      <c r="A8086" t="str">
        <f ca="1">IFERROR(__xludf.DUMMYFUNCTION("""COMPUTED_VALUE"""),"Sodium sulphite")</f>
        <v>Sodium sulphite</v>
      </c>
      <c r="B8086" t="str">
        <f ca="1">IFERROR(__xludf.DUMMYFUNCTION("""COMPUTED_VALUE"""),"RF-00000300-ADD")</f>
        <v>RF-00000300-ADD</v>
      </c>
    </row>
    <row r="8087" spans="1:2" ht="12.5" x14ac:dyDescent="0.25">
      <c r="A8087" t="str">
        <f ca="1">IFERROR(__xludf.DUMMYFUNCTION("""COMPUTED_VALUE"""),"Sodium tartrates")</f>
        <v>Sodium tartrates</v>
      </c>
      <c r="B8087" t="str">
        <f ca="1">IFERROR(__xludf.DUMMYFUNCTION("""COMPUTED_VALUE"""),"RF-00000301-ADD")</f>
        <v>RF-00000301-ADD</v>
      </c>
    </row>
    <row r="8088" spans="1:2" ht="12.5" x14ac:dyDescent="0.25">
      <c r="A8088" t="str">
        <f ca="1">IFERROR(__xludf.DUMMYFUNCTION("""COMPUTED_VALUE"""),"Sodium tetraborate (borax)")</f>
        <v>Sodium tetraborate (borax)</v>
      </c>
      <c r="B8088" t="str">
        <f ca="1">IFERROR(__xludf.DUMMYFUNCTION("""COMPUTED_VALUE"""),"RF-00000302-ADD")</f>
        <v>RF-00000302-ADD</v>
      </c>
    </row>
    <row r="8089" spans="1:2" ht="12.5" x14ac:dyDescent="0.25">
      <c r="A8089" t="str">
        <f ca="1">IFERROR(__xludf.DUMMYFUNCTION("""COMPUTED_VALUE"""),"Sodium tetrathiocarbonate")</f>
        <v>Sodium tetrathiocarbonate</v>
      </c>
      <c r="B8089" t="str">
        <f ca="1">IFERROR(__xludf.DUMMYFUNCTION("""COMPUTED_VALUE"""),"RF-0391-001-PPP")</f>
        <v>RF-0391-001-PPP</v>
      </c>
    </row>
    <row r="8090" spans="1:2" ht="12.5" x14ac:dyDescent="0.25">
      <c r="A8090" t="str">
        <f ca="1">IFERROR(__xludf.DUMMYFUNCTION("""COMPUTED_VALUE"""),"sodium-saccharin")</f>
        <v>sodium-saccharin</v>
      </c>
      <c r="B8090" t="str">
        <f ca="1">IFERROR(__xludf.DUMMYFUNCTION("""COMPUTED_VALUE"""),"RF-00000393-NTR")</f>
        <v>RF-00000393-NTR</v>
      </c>
    </row>
    <row r="8091" spans="1:2" ht="12.5" x14ac:dyDescent="0.25">
      <c r="A8091" t="str">
        <f ca="1">IFERROR(__xludf.DUMMYFUNCTION("""COMPUTED_VALUE"""),"Sodium, potassium and calcium salts of fatty acids")</f>
        <v>Sodium, potassium and calcium salts of fatty acids</v>
      </c>
      <c r="B8091" t="str">
        <f ca="1">IFERROR(__xludf.DUMMYFUNCTION("""COMPUTED_VALUE"""),"RF-00000303-ADD")</f>
        <v>RF-00000303-ADD</v>
      </c>
    </row>
    <row r="8092" spans="1:2" ht="12.5" x14ac:dyDescent="0.25">
      <c r="A8092" t="str">
        <f ca="1">IFERROR(__xludf.DUMMYFUNCTION("""COMPUTED_VALUE"""),"solids, total")</f>
        <v>solids, total</v>
      </c>
      <c r="B8092" t="str">
        <f ca="1">IFERROR(__xludf.DUMMYFUNCTION("""COMPUTED_VALUE"""),"RF-00000394-NTR")</f>
        <v>RF-00000394-NTR</v>
      </c>
    </row>
    <row r="8093" spans="1:2" ht="12.5" x14ac:dyDescent="0.25">
      <c r="A8093" t="str">
        <f ca="1">IFERROR(__xludf.DUMMYFUNCTION("""COMPUTED_VALUE"""),"Soluble organic nitrogen in pepsin-hydrochloride")</f>
        <v>Soluble organic nitrogen in pepsin-hydrochloride</v>
      </c>
      <c r="B8093" t="str">
        <f ca="1">IFERROR(__xludf.DUMMYFUNCTION("""COMPUTED_VALUE"""),"RF-00000089-CHE")</f>
        <v>RF-00000089-CHE</v>
      </c>
    </row>
    <row r="8094" spans="1:2" ht="12.5" x14ac:dyDescent="0.25">
      <c r="A8094" t="str">
        <f ca="1">IFERROR(__xludf.DUMMYFUNCTION("""COMPUTED_VALUE"""),"Soluble silicon oxide at pH 11 (absolute)")</f>
        <v>Soluble silicon oxide at pH 11 (absolute)</v>
      </c>
      <c r="B8094" t="str">
        <f ca="1">IFERROR(__xludf.DUMMYFUNCTION("""COMPUTED_VALUE"""),"RF-00000075-CHE")</f>
        <v>RF-00000075-CHE</v>
      </c>
    </row>
    <row r="8095" spans="1:2" ht="12.5" x14ac:dyDescent="0.25">
      <c r="A8095" t="str">
        <f ca="1">IFERROR(__xludf.DUMMYFUNCTION("""COMPUTED_VALUE"""),"Soluble silicon oxide at pH 11 (absolute)")</f>
        <v>Soluble silicon oxide at pH 11 (absolute)</v>
      </c>
      <c r="B8095" t="str">
        <f ca="1">IFERROR(__xludf.DUMMYFUNCTION("""COMPUTED_VALUE"""),"RF-00000076-CHE")</f>
        <v>RF-00000076-CHE</v>
      </c>
    </row>
    <row r="8096" spans="1:2" ht="12.5" x14ac:dyDescent="0.25">
      <c r="A8096" t="str">
        <f ca="1">IFERROR(__xludf.DUMMYFUNCTION("""COMPUTED_VALUE"""),"Soluble sulfur")</f>
        <v>Soluble sulfur</v>
      </c>
      <c r="B8096" t="str">
        <f ca="1">IFERROR(__xludf.DUMMYFUNCTION("""COMPUTED_VALUE"""),"RF-00000121-CHE")</f>
        <v>RF-00000121-CHE</v>
      </c>
    </row>
    <row r="8097" spans="1:2" ht="12.5" x14ac:dyDescent="0.25">
      <c r="A8097" t="str">
        <f ca="1">IFERROR(__xludf.DUMMYFUNCTION("""COMPUTED_VALUE"""),"Somatosalm")</f>
        <v>Somatosalm</v>
      </c>
      <c r="B8097" t="str">
        <f ca="1">IFERROR(__xludf.DUMMYFUNCTION("""COMPUTED_VALUE"""),"RF-00000268-VET")</f>
        <v>RF-00000268-VET</v>
      </c>
    </row>
    <row r="8098" spans="1:2" ht="12.5" x14ac:dyDescent="0.25">
      <c r="A8098" t="str">
        <f ca="1">IFERROR(__xludf.DUMMYFUNCTION("""COMPUTED_VALUE"""),"Somatotropin, Bovine")</f>
        <v>Somatotropin, Bovine</v>
      </c>
      <c r="B8098" t="str">
        <f ca="1">IFERROR(__xludf.DUMMYFUNCTION("""COMPUTED_VALUE"""),"RF-00000281-VET")</f>
        <v>RF-00000281-VET</v>
      </c>
    </row>
    <row r="8099" spans="1:2" ht="12.5" x14ac:dyDescent="0.25">
      <c r="A8099" t="str">
        <f ca="1">IFERROR(__xludf.DUMMYFUNCTION("""COMPUTED_VALUE"""),"Somatotropin, Human")</f>
        <v>Somatotropin, Human</v>
      </c>
      <c r="B8099" t="str">
        <f ca="1">IFERROR(__xludf.DUMMYFUNCTION("""COMPUTED_VALUE"""),"RF-00000282-VET")</f>
        <v>RF-00000282-VET</v>
      </c>
    </row>
    <row r="8100" spans="1:2" ht="12.5" x14ac:dyDescent="0.25">
      <c r="A8100" t="str">
        <f ca="1">IFERROR(__xludf.DUMMYFUNCTION("""COMPUTED_VALUE"""),"Somatotropin, Porcine")</f>
        <v>Somatotropin, Porcine</v>
      </c>
      <c r="B8100" t="str">
        <f ca="1">IFERROR(__xludf.DUMMYFUNCTION("""COMPUTED_VALUE"""),"RF-00000271-VET")</f>
        <v>RF-00000271-VET</v>
      </c>
    </row>
    <row r="8101" spans="1:2" ht="12.5" x14ac:dyDescent="0.25">
      <c r="A8101" t="str">
        <f ca="1">IFERROR(__xludf.DUMMYFUNCTION("""COMPUTED_VALUE"""),"Sorbic acid")</f>
        <v>Sorbic acid</v>
      </c>
      <c r="B8101" t="str">
        <f ca="1">IFERROR(__xludf.DUMMYFUNCTION("""COMPUTED_VALUE"""),"RF-00000304-ADD")</f>
        <v>RF-00000304-ADD</v>
      </c>
    </row>
    <row r="8102" spans="1:2" ht="12.5" x14ac:dyDescent="0.25">
      <c r="A8102" t="str">
        <f ca="1">IFERROR(__xludf.DUMMYFUNCTION("""COMPUTED_VALUE"""),"Sorbitan monolaurate")</f>
        <v>Sorbitan monolaurate</v>
      </c>
      <c r="B8102" t="str">
        <f ca="1">IFERROR(__xludf.DUMMYFUNCTION("""COMPUTED_VALUE"""),"RF-00000305-ADD")</f>
        <v>RF-00000305-ADD</v>
      </c>
    </row>
    <row r="8103" spans="1:2" ht="12.5" x14ac:dyDescent="0.25">
      <c r="A8103" t="str">
        <f ca="1">IFERROR(__xludf.DUMMYFUNCTION("""COMPUTED_VALUE"""),"Sorbitan monooleate")</f>
        <v>Sorbitan monooleate</v>
      </c>
      <c r="B8103" t="str">
        <f ca="1">IFERROR(__xludf.DUMMYFUNCTION("""COMPUTED_VALUE"""),"RF-00000306-ADD")</f>
        <v>RF-00000306-ADD</v>
      </c>
    </row>
    <row r="8104" spans="1:2" ht="12.5" x14ac:dyDescent="0.25">
      <c r="A8104" t="str">
        <f ca="1">IFERROR(__xludf.DUMMYFUNCTION("""COMPUTED_VALUE"""),"Sorbitan monopalmitate")</f>
        <v>Sorbitan monopalmitate</v>
      </c>
      <c r="B8104" t="str">
        <f ca="1">IFERROR(__xludf.DUMMYFUNCTION("""COMPUTED_VALUE"""),"RF-00000307-ADD")</f>
        <v>RF-00000307-ADD</v>
      </c>
    </row>
    <row r="8105" spans="1:2" ht="12.5" x14ac:dyDescent="0.25">
      <c r="A8105" t="str">
        <f ca="1">IFERROR(__xludf.DUMMYFUNCTION("""COMPUTED_VALUE"""),"Sorbitan monostearate")</f>
        <v>Sorbitan monostearate</v>
      </c>
      <c r="B8105" t="str">
        <f ca="1">IFERROR(__xludf.DUMMYFUNCTION("""COMPUTED_VALUE"""),"RF-00000308-ADD")</f>
        <v>RF-00000308-ADD</v>
      </c>
    </row>
    <row r="8106" spans="1:2" ht="12.5" x14ac:dyDescent="0.25">
      <c r="A8106" t="str">
        <f ca="1">IFERROR(__xludf.DUMMYFUNCTION("""COMPUTED_VALUE"""),"Sorbitan tristearate")</f>
        <v>Sorbitan tristearate</v>
      </c>
      <c r="B8106" t="str">
        <f ca="1">IFERROR(__xludf.DUMMYFUNCTION("""COMPUTED_VALUE"""),"RF-00000309-ADD")</f>
        <v>RF-00000309-ADD</v>
      </c>
    </row>
    <row r="8107" spans="1:2" ht="12.5" x14ac:dyDescent="0.25">
      <c r="A8107" t="str">
        <f ca="1">IFERROR(__xludf.DUMMYFUNCTION("""COMPUTED_VALUE"""),"sorbitol")</f>
        <v>sorbitol</v>
      </c>
      <c r="B8107" t="str">
        <f ca="1">IFERROR(__xludf.DUMMYFUNCTION("""COMPUTED_VALUE"""),"RF-00000395-NTR")</f>
        <v>RF-00000395-NTR</v>
      </c>
    </row>
    <row r="8108" spans="1:2" ht="12.5" x14ac:dyDescent="0.25">
      <c r="A8108" t="str">
        <f ca="1">IFERROR(__xludf.DUMMYFUNCTION("""COMPUTED_VALUE"""),"Sorbitols")</f>
        <v>Sorbitols</v>
      </c>
      <c r="B8108" t="str">
        <f ca="1">IFERROR(__xludf.DUMMYFUNCTION("""COMPUTED_VALUE"""),"RF-00000310-ADD")</f>
        <v>RF-00000310-ADD</v>
      </c>
    </row>
    <row r="8109" spans="1:2" ht="12.5" x14ac:dyDescent="0.25">
      <c r="A8109" t="str">
        <f ca="1">IFERROR(__xludf.DUMMYFUNCTION("""COMPUTED_VALUE"""),"Soybean hemicellulose")</f>
        <v>Soybean hemicellulose</v>
      </c>
      <c r="B8109" t="str">
        <f ca="1">IFERROR(__xludf.DUMMYFUNCTION("""COMPUTED_VALUE"""),"RF-00000311-ADD")</f>
        <v>RF-00000311-ADD</v>
      </c>
    </row>
    <row r="8110" spans="1:2" ht="12.5" x14ac:dyDescent="0.25">
      <c r="A8110" t="str">
        <f ca="1">IFERROR(__xludf.DUMMYFUNCTION("""COMPUTED_VALUE"""),"Spartioidine")</f>
        <v>Spartioidine</v>
      </c>
      <c r="B8110" t="str">
        <f ca="1">IFERROR(__xludf.DUMMYFUNCTION("""COMPUTED_VALUE"""),"RF-00000301-TOX")</f>
        <v>RF-00000301-TOX</v>
      </c>
    </row>
    <row r="8111" spans="1:2" ht="12.5" x14ac:dyDescent="0.25">
      <c r="A8111" t="str">
        <f ca="1">IFERROR(__xludf.DUMMYFUNCTION("""COMPUTED_VALUE"""),"Spartioidine-N-oxide")</f>
        <v>Spartioidine-N-oxide</v>
      </c>
      <c r="B8111" t="str">
        <f ca="1">IFERROR(__xludf.DUMMYFUNCTION("""COMPUTED_VALUE"""),"RF-00000415-TOX")</f>
        <v>RF-00000415-TOX</v>
      </c>
    </row>
    <row r="8112" spans="1:2" ht="12.5" x14ac:dyDescent="0.25">
      <c r="A8112" t="str">
        <f ca="1">IFERROR(__xludf.DUMMYFUNCTION("""COMPUTED_VALUE"""),"Spectinomycin")</f>
        <v>Spectinomycin</v>
      </c>
      <c r="B8112" t="str">
        <f ca="1">IFERROR(__xludf.DUMMYFUNCTION("""COMPUTED_VALUE"""),"RF-00000625-VET")</f>
        <v>RF-00000625-VET</v>
      </c>
    </row>
    <row r="8113" spans="1:2" ht="12.5" x14ac:dyDescent="0.25">
      <c r="A8113" t="str">
        <f ca="1">IFERROR(__xludf.DUMMYFUNCTION("""COMPUTED_VALUE"""),"Spermidine")</f>
        <v>Spermidine</v>
      </c>
      <c r="B8113" t="str">
        <f ca="1">IFERROR(__xludf.DUMMYFUNCTION("""COMPUTED_VALUE"""),"RF-00000005-BGA")</f>
        <v>RF-00000005-BGA</v>
      </c>
    </row>
    <row r="8114" spans="1:2" ht="12.5" x14ac:dyDescent="0.25">
      <c r="A8114" t="str">
        <f ca="1">IFERROR(__xludf.DUMMYFUNCTION("""COMPUTED_VALUE"""),"spermindine")</f>
        <v>spermindine</v>
      </c>
      <c r="B8114" t="str">
        <f ca="1">IFERROR(__xludf.DUMMYFUNCTION("""COMPUTED_VALUE"""),"RF-00000396-NTR")</f>
        <v>RF-00000396-NTR</v>
      </c>
    </row>
    <row r="8115" spans="1:2" ht="12.5" x14ac:dyDescent="0.25">
      <c r="A8115" t="str">
        <f ca="1">IFERROR(__xludf.DUMMYFUNCTION("""COMPUTED_VALUE"""),"Spermine")</f>
        <v>Spermine</v>
      </c>
      <c r="B8115" t="str">
        <f ca="1">IFERROR(__xludf.DUMMYFUNCTION("""COMPUTED_VALUE"""),"RF-00000006-BGA")</f>
        <v>RF-00000006-BGA</v>
      </c>
    </row>
    <row r="8116" spans="1:2" ht="12.5" x14ac:dyDescent="0.25">
      <c r="A8116" t="str">
        <f ca="1">IFERROR(__xludf.DUMMYFUNCTION("""COMPUTED_VALUE"""),"spinasterol")</f>
        <v>spinasterol</v>
      </c>
      <c r="B8116" t="str">
        <f ca="1">IFERROR(__xludf.DUMMYFUNCTION("""COMPUTED_VALUE"""),"RF-00000397-NTR")</f>
        <v>RF-00000397-NTR</v>
      </c>
    </row>
    <row r="8117" spans="1:2" ht="12.5" x14ac:dyDescent="0.25">
      <c r="A8117" t="str">
        <f ca="1">IFERROR(__xludf.DUMMYFUNCTION("""COMPUTED_VALUE"""),"Spinetoram (XDE-175)")</f>
        <v>Spinetoram (XDE-175)</v>
      </c>
      <c r="B8117" t="str">
        <f ca="1">IFERROR(__xludf.DUMMYFUNCTION("""COMPUTED_VALUE"""),"RF-0392-001-PPP")</f>
        <v>RF-0392-001-PPP</v>
      </c>
    </row>
    <row r="8118" spans="1:2" ht="12.5" x14ac:dyDescent="0.25">
      <c r="A8118" t="str">
        <f ca="1">IFERROR(__xludf.DUMMYFUNCTION("""COMPUTED_VALUE"""),"Spinosad (sum of Spinosyn A and Spinosyn D, expressed as Spinosad)")</f>
        <v>Spinosad (sum of Spinosyn A and Spinosyn D, expressed as Spinosad)</v>
      </c>
      <c r="B8118" t="str">
        <f ca="1">IFERROR(__xludf.DUMMYFUNCTION("""COMPUTED_VALUE"""),"RF-0393-001-PPP")</f>
        <v>RF-0393-001-PPP</v>
      </c>
    </row>
    <row r="8119" spans="1:2" ht="12.5" x14ac:dyDescent="0.25">
      <c r="A8119" t="str">
        <f ca="1">IFERROR(__xludf.DUMMYFUNCTION("""COMPUTED_VALUE"""),"Spinosyn A")</f>
        <v>Spinosyn A</v>
      </c>
      <c r="B8119" t="str">
        <f ca="1">IFERROR(__xludf.DUMMYFUNCTION("""COMPUTED_VALUE"""),"RF-0393-002-PPP")</f>
        <v>RF-0393-002-PPP</v>
      </c>
    </row>
    <row r="8120" spans="1:2" ht="12.5" x14ac:dyDescent="0.25">
      <c r="A8120" t="str">
        <f ca="1">IFERROR(__xludf.DUMMYFUNCTION("""COMPUTED_VALUE"""),"Spinosyn D")</f>
        <v>Spinosyn D</v>
      </c>
      <c r="B8120" t="str">
        <f ca="1">IFERROR(__xludf.DUMMYFUNCTION("""COMPUTED_VALUE"""),"RF-0393-003-PPP")</f>
        <v>RF-0393-003-PPP</v>
      </c>
    </row>
    <row r="8121" spans="1:2" ht="12.5" x14ac:dyDescent="0.25">
      <c r="A8121" t="str">
        <f ca="1">IFERROR(__xludf.DUMMYFUNCTION("""COMPUTED_VALUE"""),"Spiramycin")</f>
        <v>Spiramycin</v>
      </c>
      <c r="B8121" t="str">
        <f ca="1">IFERROR(__xludf.DUMMYFUNCTION("""COMPUTED_VALUE"""),"RF-00000642-VET")</f>
        <v>RF-00000642-VET</v>
      </c>
    </row>
    <row r="8122" spans="1:2" ht="12.5" x14ac:dyDescent="0.25">
      <c r="A8122" t="str">
        <f ca="1">IFERROR(__xludf.DUMMYFUNCTION("""COMPUTED_VALUE"""),"Spiramycin 1")</f>
        <v>Spiramycin 1</v>
      </c>
      <c r="B8122" t="str">
        <f ca="1">IFERROR(__xludf.DUMMYFUNCTION("""COMPUTED_VALUE"""),"RF-00000643-VET")</f>
        <v>RF-00000643-VET</v>
      </c>
    </row>
    <row r="8123" spans="1:2" ht="12.5" x14ac:dyDescent="0.25">
      <c r="A8123" t="str">
        <f ca="1">IFERROR(__xludf.DUMMYFUNCTION("""COMPUTED_VALUE"""),"Spirodiclofen")</f>
        <v>Spirodiclofen</v>
      </c>
      <c r="B8123" t="str">
        <f ca="1">IFERROR(__xludf.DUMMYFUNCTION("""COMPUTED_VALUE"""),"RF-0394-001-PPP")</f>
        <v>RF-0394-001-PPP</v>
      </c>
    </row>
    <row r="8124" spans="1:2" ht="12.5" x14ac:dyDescent="0.25">
      <c r="A8124" t="str">
        <f ca="1">IFERROR(__xludf.DUMMYFUNCTION("""COMPUTED_VALUE"""),"Spiromesifen")</f>
        <v>Spiromesifen</v>
      </c>
      <c r="B8124" t="str">
        <f ca="1">IFERROR(__xludf.DUMMYFUNCTION("""COMPUTED_VALUE"""),"RF-0395-001-PPP")</f>
        <v>RF-0395-001-PPP</v>
      </c>
    </row>
    <row r="8125" spans="1:2" ht="12.5" x14ac:dyDescent="0.25">
      <c r="A8125" t="str">
        <f ca="1">IFERROR(__xludf.DUMMYFUNCTION("""COMPUTED_VALUE"""),"Spirotetramat (spirotetramat and its metabolite BYI08330-enol expressed as spirotetramat)")</f>
        <v>Spirotetramat (spirotetramat and its metabolite BYI08330-enol expressed as spirotetramat)</v>
      </c>
      <c r="B8125" t="str">
        <f ca="1">IFERROR(__xludf.DUMMYFUNCTION("""COMPUTED_VALUE"""),"RF-00000030-PAR")</f>
        <v>RF-00000030-PAR</v>
      </c>
    </row>
    <row r="8126" spans="1:2" ht="12.5" x14ac:dyDescent="0.25">
      <c r="A8126" t="str">
        <f ca="1">IFERROR(__xludf.DUMMYFUNCTION("""COMPUTED_VALUE"""),"Spirotetramat and its 4 metabolites BYI08330-enol, BYI08330-ketohydroxy, BYI08330-monohydroxy, and BYI08330 enol-glucoside, expressed as spirotetramat")</f>
        <v>Spirotetramat and its 4 metabolites BYI08330-enol, BYI08330-ketohydroxy, BYI08330-monohydroxy, and BYI08330 enol-glucoside, expressed as spirotetramat</v>
      </c>
      <c r="B8126" t="str">
        <f ca="1">IFERROR(__xludf.DUMMYFUNCTION("""COMPUTED_VALUE"""),"RF-0396-001-PPP")</f>
        <v>RF-0396-001-PPP</v>
      </c>
    </row>
    <row r="8127" spans="1:2" ht="12.5" x14ac:dyDescent="0.25">
      <c r="A8127" t="str">
        <f ca="1">IFERROR(__xludf.DUMMYFUNCTION("""COMPUTED_VALUE"""),"Spiroxamine")</f>
        <v>Spiroxamine</v>
      </c>
      <c r="B8127" t="str">
        <f ca="1">IFERROR(__xludf.DUMMYFUNCTION("""COMPUTED_VALUE"""),"RF-0397-001-PPP")</f>
        <v>RF-0397-001-PPP</v>
      </c>
    </row>
    <row r="8128" spans="1:2" ht="12.5" x14ac:dyDescent="0.25">
      <c r="A8128" t="str">
        <f ca="1">IFERROR(__xludf.DUMMYFUNCTION("""COMPUTED_VALUE"""),"Spiroxamine carboxylic acid expressed as spiroxamine")</f>
        <v>Spiroxamine carboxylic acid expressed as spiroxamine</v>
      </c>
      <c r="B8128" t="str">
        <f ca="1">IFERROR(__xludf.DUMMYFUNCTION("""COMPUTED_VALUE"""),"RF-1006-001-PPP")</f>
        <v>RF-1006-001-PPP</v>
      </c>
    </row>
    <row r="8129" spans="1:2" ht="12.5" x14ac:dyDescent="0.25">
      <c r="A8129" t="str">
        <f ca="1">IFERROR(__xludf.DUMMYFUNCTION("""COMPUTED_VALUE"""),"stachyose")</f>
        <v>stachyose</v>
      </c>
      <c r="B8129" t="str">
        <f ca="1">IFERROR(__xludf.DUMMYFUNCTION("""COMPUTED_VALUE"""),"RF-00000398-NTR")</f>
        <v>RF-00000398-NTR</v>
      </c>
    </row>
    <row r="8130" spans="1:2" ht="12.5" x14ac:dyDescent="0.25">
      <c r="A8130" t="str">
        <f ca="1">IFERROR(__xludf.DUMMYFUNCTION("""COMPUTED_VALUE"""),"Stanozolol")</f>
        <v>Stanozolol</v>
      </c>
      <c r="B8130" t="str">
        <f ca="1">IFERROR(__xludf.DUMMYFUNCTION("""COMPUTED_VALUE"""),"RF-00000415-VET")</f>
        <v>RF-00000415-VET</v>
      </c>
    </row>
    <row r="8131" spans="1:2" ht="12.5" x14ac:dyDescent="0.25">
      <c r="A8131" t="str">
        <f ca="1">IFERROR(__xludf.DUMMYFUNCTION("""COMPUTED_VALUE"""),"Stanozolol-16-Beta-Hydroxy")</f>
        <v>Stanozolol-16-Beta-Hydroxy</v>
      </c>
      <c r="B8131" t="str">
        <f ca="1">IFERROR(__xludf.DUMMYFUNCTION("""COMPUTED_VALUE"""),"RF-00000332-VET")</f>
        <v>RF-00000332-VET</v>
      </c>
    </row>
    <row r="8132" spans="1:2" ht="12.5" x14ac:dyDescent="0.25">
      <c r="A8132" t="str">
        <f ca="1">IFERROR(__xludf.DUMMYFUNCTION("""COMPUTED_VALUE"""),"Stanozolol-3-Hydroxy")</f>
        <v>Stanozolol-3-Hydroxy</v>
      </c>
      <c r="B8132" t="str">
        <f ca="1">IFERROR(__xludf.DUMMYFUNCTION("""COMPUTED_VALUE"""),"RF-00000335-VET")</f>
        <v>RF-00000335-VET</v>
      </c>
    </row>
    <row r="8133" spans="1:2" ht="12.5" x14ac:dyDescent="0.25">
      <c r="A8133" t="str">
        <f ca="1">IFERROR(__xludf.DUMMYFUNCTION("""COMPUTED_VALUE"""),"Stanozolol-4-Beta-Hydroxy")</f>
        <v>Stanozolol-4-Beta-Hydroxy</v>
      </c>
      <c r="B8133" t="str">
        <f ca="1">IFERROR(__xludf.DUMMYFUNCTION("""COMPUTED_VALUE"""),"RF-00000337-VET")</f>
        <v>RF-00000337-VET</v>
      </c>
    </row>
    <row r="8134" spans="1:2" ht="12.5" x14ac:dyDescent="0.25">
      <c r="A8134" t="str">
        <f ca="1">IFERROR(__xludf.DUMMYFUNCTION("""COMPUTED_VALUE"""),"Staphylococcal enterotoxins")</f>
        <v>Staphylococcal enterotoxins</v>
      </c>
      <c r="B8134" t="str">
        <f ca="1">IFERROR(__xludf.DUMMYFUNCTION("""COMPUTED_VALUE"""),"RF-00002485-MCG")</f>
        <v>RF-00002485-MCG</v>
      </c>
    </row>
    <row r="8135" spans="1:2" ht="12.5" x14ac:dyDescent="0.25">
      <c r="A8135" t="str">
        <f ca="1">IFERROR(__xludf.DUMMYFUNCTION("""COMPUTED_VALUE"""),"Staphylococcal enterotoxins - Enterotoxin A")</f>
        <v>Staphylococcal enterotoxins - Enterotoxin A</v>
      </c>
      <c r="B8135" t="str">
        <f ca="1">IFERROR(__xludf.DUMMYFUNCTION("""COMPUTED_VALUE"""),"RF-00003909-MCG")</f>
        <v>RF-00003909-MCG</v>
      </c>
    </row>
    <row r="8136" spans="1:2" ht="12.5" x14ac:dyDescent="0.25">
      <c r="A8136" t="str">
        <f ca="1">IFERROR(__xludf.DUMMYFUNCTION("""COMPUTED_VALUE"""),"Staphylococcal enterotoxins - Enterotoxin B")</f>
        <v>Staphylococcal enterotoxins - Enterotoxin B</v>
      </c>
      <c r="B8136" t="str">
        <f ca="1">IFERROR(__xludf.DUMMYFUNCTION("""COMPUTED_VALUE"""),"RF-00003910-MCG")</f>
        <v>RF-00003910-MCG</v>
      </c>
    </row>
    <row r="8137" spans="1:2" ht="12.5" x14ac:dyDescent="0.25">
      <c r="A8137" t="str">
        <f ca="1">IFERROR(__xludf.DUMMYFUNCTION("""COMPUTED_VALUE"""),"Staphylococcal enterotoxins - Enterotoxin C")</f>
        <v>Staphylococcal enterotoxins - Enterotoxin C</v>
      </c>
      <c r="B8137" t="str">
        <f ca="1">IFERROR(__xludf.DUMMYFUNCTION("""COMPUTED_VALUE"""),"RF-00003911-MCG")</f>
        <v>RF-00003911-MCG</v>
      </c>
    </row>
    <row r="8138" spans="1:2" ht="12.5" x14ac:dyDescent="0.25">
      <c r="A8138" t="str">
        <f ca="1">IFERROR(__xludf.DUMMYFUNCTION("""COMPUTED_VALUE"""),"Staphylococcal enterotoxins - Enterotoxin D")</f>
        <v>Staphylococcal enterotoxins - Enterotoxin D</v>
      </c>
      <c r="B8138" t="str">
        <f ca="1">IFERROR(__xludf.DUMMYFUNCTION("""COMPUTED_VALUE"""),"RF-00003912-MCG")</f>
        <v>RF-00003912-MCG</v>
      </c>
    </row>
    <row r="8139" spans="1:2" ht="12.5" x14ac:dyDescent="0.25">
      <c r="A8139" t="str">
        <f ca="1">IFERROR(__xludf.DUMMYFUNCTION("""COMPUTED_VALUE"""),"Staphylococcal enterotoxins - Enterotoxin E")</f>
        <v>Staphylococcal enterotoxins - Enterotoxin E</v>
      </c>
      <c r="B8139" t="str">
        <f ca="1">IFERROR(__xludf.DUMMYFUNCTION("""COMPUTED_VALUE"""),"RF-00003913-MCG")</f>
        <v>RF-00003913-MCG</v>
      </c>
    </row>
    <row r="8140" spans="1:2" ht="12.5" x14ac:dyDescent="0.25">
      <c r="A8140" t="str">
        <f ca="1">IFERROR(__xludf.DUMMYFUNCTION("""COMPUTED_VALUE"""),"Staphylococcal enterotoxins - Enterotoxin H")</f>
        <v>Staphylococcal enterotoxins - Enterotoxin H</v>
      </c>
      <c r="B8140" t="str">
        <f ca="1">IFERROR(__xludf.DUMMYFUNCTION("""COMPUTED_VALUE"""),"RF-00003914-MCG")</f>
        <v>RF-00003914-MCG</v>
      </c>
    </row>
    <row r="8141" spans="1:2" ht="12.5" x14ac:dyDescent="0.25">
      <c r="A8141" t="str">
        <f ca="1">IFERROR(__xludf.DUMMYFUNCTION("""COMPUTED_VALUE"""),"Staphylococcal enterotoxins - Enterotoxin, unspecified")</f>
        <v>Staphylococcal enterotoxins - Enterotoxin, unspecified</v>
      </c>
      <c r="B8141" t="str">
        <f ca="1">IFERROR(__xludf.DUMMYFUNCTION("""COMPUTED_VALUE"""),"RF-00003915-MCG")</f>
        <v>RF-00003915-MCG</v>
      </c>
    </row>
    <row r="8142" spans="1:2" ht="12.5" x14ac:dyDescent="0.25">
      <c r="A8142" t="str">
        <f ca="1">IFERROR(__xludf.DUMMYFUNCTION("""COMPUTED_VALUE"""),"Staphylococcus")</f>
        <v>Staphylococcus</v>
      </c>
      <c r="B8142" t="str">
        <f ca="1">IFERROR(__xludf.DUMMYFUNCTION("""COMPUTED_VALUE"""),"RF-00002492-MCG")</f>
        <v>RF-00002492-MCG</v>
      </c>
    </row>
    <row r="8143" spans="1:2" ht="12.5" x14ac:dyDescent="0.25">
      <c r="A8143" t="str">
        <f ca="1">IFERROR(__xludf.DUMMYFUNCTION("""COMPUTED_VALUE"""),"Staphylococcus - S. aureus")</f>
        <v>Staphylococcus - S. aureus</v>
      </c>
      <c r="B8143" t="str">
        <f ca="1">IFERROR(__xludf.DUMMYFUNCTION("""COMPUTED_VALUE"""),"RF-00003852-MCG")</f>
        <v>RF-00003852-MCG</v>
      </c>
    </row>
    <row r="8144" spans="1:2" ht="12.5" x14ac:dyDescent="0.25">
      <c r="A8144" t="str">
        <f ca="1">IFERROR(__xludf.DUMMYFUNCTION("""COMPUTED_VALUE"""),"Staphylococcus - S. aureus, methicillin resistant (MRSA)")</f>
        <v>Staphylococcus - S. aureus, methicillin resistant (MRSA)</v>
      </c>
      <c r="B8144" t="str">
        <f ca="1">IFERROR(__xludf.DUMMYFUNCTION("""COMPUTED_VALUE"""),"RF-00003853-MCG")</f>
        <v>RF-00003853-MCG</v>
      </c>
    </row>
    <row r="8145" spans="1:2" ht="12.5" x14ac:dyDescent="0.25">
      <c r="A8145" t="str">
        <f ca="1">IFERROR(__xludf.DUMMYFUNCTION("""COMPUTED_VALUE"""),"Staphylococcus - S. aureus, meticillin resistant (MRSA) - MRSA, unspecified")</f>
        <v>Staphylococcus - S. aureus, meticillin resistant (MRSA) - MRSA, unspecified</v>
      </c>
      <c r="B8145" t="str">
        <f ca="1">IFERROR(__xludf.DUMMYFUNCTION("""COMPUTED_VALUE"""),"RF-00003855-MCG")</f>
        <v>RF-00003855-MCG</v>
      </c>
    </row>
    <row r="8146" spans="1:2" ht="12.5" x14ac:dyDescent="0.25">
      <c r="A8146" t="str">
        <f ca="1">IFERROR(__xludf.DUMMYFUNCTION("""COMPUTED_VALUE"""),"Staphylococcus - S. aureus, meticillin resistant (MRSA) - spa-type t002")</f>
        <v>Staphylococcus - S. aureus, meticillin resistant (MRSA) - spa-type t002</v>
      </c>
      <c r="B8146" t="str">
        <f ca="1">IFERROR(__xludf.DUMMYFUNCTION("""COMPUTED_VALUE"""),"RF-00003856-MCG")</f>
        <v>RF-00003856-MCG</v>
      </c>
    </row>
    <row r="8147" spans="1:2" ht="12.5" x14ac:dyDescent="0.25">
      <c r="A8147" t="str">
        <f ca="1">IFERROR(__xludf.DUMMYFUNCTION("""COMPUTED_VALUE"""),"Staphylococcus - S. aureus, meticillin resistant (MRSA) - spa-type t007")</f>
        <v>Staphylococcus - S. aureus, meticillin resistant (MRSA) - spa-type t007</v>
      </c>
      <c r="B8147" t="str">
        <f ca="1">IFERROR(__xludf.DUMMYFUNCTION("""COMPUTED_VALUE"""),"RF-00003857-MCG")</f>
        <v>RF-00003857-MCG</v>
      </c>
    </row>
    <row r="8148" spans="1:2" ht="12.5" x14ac:dyDescent="0.25">
      <c r="A8148" t="str">
        <f ca="1">IFERROR(__xludf.DUMMYFUNCTION("""COMPUTED_VALUE"""),"Staphylococcus - S. aureus, meticillin resistant (MRSA) - spa-type t008")</f>
        <v>Staphylococcus - S. aureus, meticillin resistant (MRSA) - spa-type t008</v>
      </c>
      <c r="B8148" t="str">
        <f ca="1">IFERROR(__xludf.DUMMYFUNCTION("""COMPUTED_VALUE"""),"RF-00003858-MCG")</f>
        <v>RF-00003858-MCG</v>
      </c>
    </row>
    <row r="8149" spans="1:2" ht="12.5" x14ac:dyDescent="0.25">
      <c r="A8149" t="str">
        <f ca="1">IFERROR(__xludf.DUMMYFUNCTION("""COMPUTED_VALUE"""),"Staphylococcus - S. aureus, meticillin resistant (MRSA) - spa-type t011")</f>
        <v>Staphylococcus - S. aureus, meticillin resistant (MRSA) - spa-type t011</v>
      </c>
      <c r="B8149" t="str">
        <f ca="1">IFERROR(__xludf.DUMMYFUNCTION("""COMPUTED_VALUE"""),"RF-00003859-MCG")</f>
        <v>RF-00003859-MCG</v>
      </c>
    </row>
    <row r="8150" spans="1:2" ht="12.5" x14ac:dyDescent="0.25">
      <c r="A8150" t="str">
        <f ca="1">IFERROR(__xludf.DUMMYFUNCTION("""COMPUTED_VALUE"""),"Staphylococcus - S. aureus, meticillin resistant (MRSA) - spa-type t034")</f>
        <v>Staphylococcus - S. aureus, meticillin resistant (MRSA) - spa-type t034</v>
      </c>
      <c r="B8150" t="str">
        <f ca="1">IFERROR(__xludf.DUMMYFUNCTION("""COMPUTED_VALUE"""),"RF-00003860-MCG")</f>
        <v>RF-00003860-MCG</v>
      </c>
    </row>
    <row r="8151" spans="1:2" ht="12.5" x14ac:dyDescent="0.25">
      <c r="A8151" t="str">
        <f ca="1">IFERROR(__xludf.DUMMYFUNCTION("""COMPUTED_VALUE"""),"Staphylococcus - S. aureus, meticillin resistant (MRSA) - spa-type t108")</f>
        <v>Staphylococcus - S. aureus, meticillin resistant (MRSA) - spa-type t108</v>
      </c>
      <c r="B8151" t="str">
        <f ca="1">IFERROR(__xludf.DUMMYFUNCTION("""COMPUTED_VALUE"""),"RF-00003861-MCG")</f>
        <v>RF-00003861-MCG</v>
      </c>
    </row>
    <row r="8152" spans="1:2" ht="12.5" x14ac:dyDescent="0.25">
      <c r="A8152" t="str">
        <f ca="1">IFERROR(__xludf.DUMMYFUNCTION("""COMPUTED_VALUE"""),"Staphylococcus - S. aureus, meticillin resistant (MRSA) - spa-type t1197")</f>
        <v>Staphylococcus - S. aureus, meticillin resistant (MRSA) - spa-type t1197</v>
      </c>
      <c r="B8152" t="str">
        <f ca="1">IFERROR(__xludf.DUMMYFUNCTION("""COMPUTED_VALUE"""),"RF-00003862-MCG")</f>
        <v>RF-00003862-MCG</v>
      </c>
    </row>
    <row r="8153" spans="1:2" ht="12.5" x14ac:dyDescent="0.25">
      <c r="A8153" t="str">
        <f ca="1">IFERROR(__xludf.DUMMYFUNCTION("""COMPUTED_VALUE"""),"Staphylococcus - S. aureus, meticillin resistant (MRSA) - spa-type t1250")</f>
        <v>Staphylococcus - S. aureus, meticillin resistant (MRSA) - spa-type t1250</v>
      </c>
      <c r="B8153" t="str">
        <f ca="1">IFERROR(__xludf.DUMMYFUNCTION("""COMPUTED_VALUE"""),"RF-00003863-MCG")</f>
        <v>RF-00003863-MCG</v>
      </c>
    </row>
    <row r="8154" spans="1:2" ht="12.5" x14ac:dyDescent="0.25">
      <c r="A8154" t="str">
        <f ca="1">IFERROR(__xludf.DUMMYFUNCTION("""COMPUTED_VALUE"""),"Staphylococcus - S. aureus, meticillin resistant (MRSA) - spa-type t1255")</f>
        <v>Staphylococcus - S. aureus, meticillin resistant (MRSA) - spa-type t1255</v>
      </c>
      <c r="B8154" t="str">
        <f ca="1">IFERROR(__xludf.DUMMYFUNCTION("""COMPUTED_VALUE"""),"RF-00003864-MCG")</f>
        <v>RF-00003864-MCG</v>
      </c>
    </row>
    <row r="8155" spans="1:2" ht="12.5" x14ac:dyDescent="0.25">
      <c r="A8155" t="str">
        <f ca="1">IFERROR(__xludf.DUMMYFUNCTION("""COMPUTED_VALUE"""),"Staphylococcus - S. aureus, meticillin resistant (MRSA) - spa-type t127")</f>
        <v>Staphylococcus - S. aureus, meticillin resistant (MRSA) - spa-type t127</v>
      </c>
      <c r="B8155" t="str">
        <f ca="1">IFERROR(__xludf.DUMMYFUNCTION("""COMPUTED_VALUE"""),"RF-00003865-MCG")</f>
        <v>RF-00003865-MCG</v>
      </c>
    </row>
    <row r="8156" spans="1:2" ht="12.5" x14ac:dyDescent="0.25">
      <c r="A8156" t="str">
        <f ca="1">IFERROR(__xludf.DUMMYFUNCTION("""COMPUTED_VALUE"""),"Staphylococcus - S. aureus, meticillin resistant (MRSA) - spa-type t1344")</f>
        <v>Staphylococcus - S. aureus, meticillin resistant (MRSA) - spa-type t1344</v>
      </c>
      <c r="B8156" t="str">
        <f ca="1">IFERROR(__xludf.DUMMYFUNCTION("""COMPUTED_VALUE"""),"RF-00003866-MCG")</f>
        <v>RF-00003866-MCG</v>
      </c>
    </row>
    <row r="8157" spans="1:2" ht="12.5" x14ac:dyDescent="0.25">
      <c r="A8157" t="str">
        <f ca="1">IFERROR(__xludf.DUMMYFUNCTION("""COMPUTED_VALUE"""),"Staphylococcus - S. aureus, meticillin resistant (MRSA) - spa-type t1403")</f>
        <v>Staphylococcus - S. aureus, meticillin resistant (MRSA) - spa-type t1403</v>
      </c>
      <c r="B8157" t="str">
        <f ca="1">IFERROR(__xludf.DUMMYFUNCTION("""COMPUTED_VALUE"""),"RF-00003867-MCG")</f>
        <v>RF-00003867-MCG</v>
      </c>
    </row>
    <row r="8158" spans="1:2" ht="12.5" x14ac:dyDescent="0.25">
      <c r="A8158" t="str">
        <f ca="1">IFERROR(__xludf.DUMMYFUNCTION("""COMPUTED_VALUE"""),"Staphylococcus - S. aureus, meticillin resistant (MRSA) - spa-type t1430")</f>
        <v>Staphylococcus - S. aureus, meticillin resistant (MRSA) - spa-type t1430</v>
      </c>
      <c r="B8158" t="str">
        <f ca="1">IFERROR(__xludf.DUMMYFUNCTION("""COMPUTED_VALUE"""),"RF-00003868-MCG")</f>
        <v>RF-00003868-MCG</v>
      </c>
    </row>
    <row r="8159" spans="1:2" ht="12.5" x14ac:dyDescent="0.25">
      <c r="A8159" t="str">
        <f ca="1">IFERROR(__xludf.DUMMYFUNCTION("""COMPUTED_VALUE"""),"Staphylococcus - S. aureus, meticillin resistant (MRSA) - spa-type t1451")</f>
        <v>Staphylococcus - S. aureus, meticillin resistant (MRSA) - spa-type t1451</v>
      </c>
      <c r="B8159" t="str">
        <f ca="1">IFERROR(__xludf.DUMMYFUNCTION("""COMPUTED_VALUE"""),"RF-00003869-MCG")</f>
        <v>RF-00003869-MCG</v>
      </c>
    </row>
    <row r="8160" spans="1:2" ht="12.5" x14ac:dyDescent="0.25">
      <c r="A8160" t="str">
        <f ca="1">IFERROR(__xludf.DUMMYFUNCTION("""COMPUTED_VALUE"""),"Staphylococcus - S. aureus, meticillin resistant (MRSA) - spa-type t1456")</f>
        <v>Staphylococcus - S. aureus, meticillin resistant (MRSA) - spa-type t1456</v>
      </c>
      <c r="B8160" t="str">
        <f ca="1">IFERROR(__xludf.DUMMYFUNCTION("""COMPUTED_VALUE"""),"RF-00003870-MCG")</f>
        <v>RF-00003870-MCG</v>
      </c>
    </row>
    <row r="8161" spans="1:2" ht="12.5" x14ac:dyDescent="0.25">
      <c r="A8161" t="str">
        <f ca="1">IFERROR(__xludf.DUMMYFUNCTION("""COMPUTED_VALUE"""),"Staphylococcus - S. aureus, meticillin resistant (MRSA) - spa-type t1457")</f>
        <v>Staphylococcus - S. aureus, meticillin resistant (MRSA) - spa-type t1457</v>
      </c>
      <c r="B8161" t="str">
        <f ca="1">IFERROR(__xludf.DUMMYFUNCTION("""COMPUTED_VALUE"""),"RF-00003871-MCG")</f>
        <v>RF-00003871-MCG</v>
      </c>
    </row>
    <row r="8162" spans="1:2" ht="12.5" x14ac:dyDescent="0.25">
      <c r="A8162" t="str">
        <f ca="1">IFERROR(__xludf.DUMMYFUNCTION("""COMPUTED_VALUE"""),"Staphylococcus - S. aureus, meticillin resistant (MRSA) - spa-type t1730")</f>
        <v>Staphylococcus - S. aureus, meticillin resistant (MRSA) - spa-type t1730</v>
      </c>
      <c r="B8162" t="str">
        <f ca="1">IFERROR(__xludf.DUMMYFUNCTION("""COMPUTED_VALUE"""),"RF-00003872-MCG")</f>
        <v>RF-00003872-MCG</v>
      </c>
    </row>
    <row r="8163" spans="1:2" ht="12.5" x14ac:dyDescent="0.25">
      <c r="A8163" t="str">
        <f ca="1">IFERROR(__xludf.DUMMYFUNCTION("""COMPUTED_VALUE"""),"Staphylococcus - S. aureus, meticillin resistant (MRSA) - spa-type t1793")</f>
        <v>Staphylococcus - S. aureus, meticillin resistant (MRSA) - spa-type t1793</v>
      </c>
      <c r="B8163" t="str">
        <f ca="1">IFERROR(__xludf.DUMMYFUNCTION("""COMPUTED_VALUE"""),"RF-00003873-MCG")</f>
        <v>RF-00003873-MCG</v>
      </c>
    </row>
    <row r="8164" spans="1:2" ht="12.5" x14ac:dyDescent="0.25">
      <c r="A8164" t="str">
        <f ca="1">IFERROR(__xludf.DUMMYFUNCTION("""COMPUTED_VALUE"""),"Staphylococcus - S. aureus, meticillin resistant (MRSA) - spa-type t1939")</f>
        <v>Staphylococcus - S. aureus, meticillin resistant (MRSA) - spa-type t1939</v>
      </c>
      <c r="B8164" t="str">
        <f ca="1">IFERROR(__xludf.DUMMYFUNCTION("""COMPUTED_VALUE"""),"RF-00003874-MCG")</f>
        <v>RF-00003874-MCG</v>
      </c>
    </row>
    <row r="8165" spans="1:2" ht="12.5" x14ac:dyDescent="0.25">
      <c r="A8165" t="str">
        <f ca="1">IFERROR(__xludf.DUMMYFUNCTION("""COMPUTED_VALUE"""),"Staphylococcus - S. aureus, meticillin resistant (MRSA) - spa-type t2112")</f>
        <v>Staphylococcus - S. aureus, meticillin resistant (MRSA) - spa-type t2112</v>
      </c>
      <c r="B8165" t="str">
        <f ca="1">IFERROR(__xludf.DUMMYFUNCTION("""COMPUTED_VALUE"""),"RF-00003875-MCG")</f>
        <v>RF-00003875-MCG</v>
      </c>
    </row>
    <row r="8166" spans="1:2" ht="12.5" x14ac:dyDescent="0.25">
      <c r="A8166" t="str">
        <f ca="1">IFERROR(__xludf.DUMMYFUNCTION("""COMPUTED_VALUE"""),"Staphylococcus - S. aureus, meticillin resistant (MRSA) - spa-type t2329")</f>
        <v>Staphylococcus - S. aureus, meticillin resistant (MRSA) - spa-type t2329</v>
      </c>
      <c r="B8166" t="str">
        <f ca="1">IFERROR(__xludf.DUMMYFUNCTION("""COMPUTED_VALUE"""),"RF-00003876-MCG")</f>
        <v>RF-00003876-MCG</v>
      </c>
    </row>
    <row r="8167" spans="1:2" ht="12.5" x14ac:dyDescent="0.25">
      <c r="A8167" t="str">
        <f ca="1">IFERROR(__xludf.DUMMYFUNCTION("""COMPUTED_VALUE"""),"Staphylococcus - S. aureus, meticillin resistant (MRSA) - spa-type t2330")</f>
        <v>Staphylococcus - S. aureus, meticillin resistant (MRSA) - spa-type t2330</v>
      </c>
      <c r="B8167" t="str">
        <f ca="1">IFERROR(__xludf.DUMMYFUNCTION("""COMPUTED_VALUE"""),"RF-00003877-MCG")</f>
        <v>RF-00003877-MCG</v>
      </c>
    </row>
    <row r="8168" spans="1:2" ht="12.5" x14ac:dyDescent="0.25">
      <c r="A8168" t="str">
        <f ca="1">IFERROR(__xludf.DUMMYFUNCTION("""COMPUTED_VALUE"""),"Staphylococcus - S. aureus, meticillin resistant (MRSA) - spa-type t2346")</f>
        <v>Staphylococcus - S. aureus, meticillin resistant (MRSA) - spa-type t2346</v>
      </c>
      <c r="B8168" t="str">
        <f ca="1">IFERROR(__xludf.DUMMYFUNCTION("""COMPUTED_VALUE"""),"RF-00003878-MCG")</f>
        <v>RF-00003878-MCG</v>
      </c>
    </row>
    <row r="8169" spans="1:2" ht="12.5" x14ac:dyDescent="0.25">
      <c r="A8169" t="str">
        <f ca="1">IFERROR(__xludf.DUMMYFUNCTION("""COMPUTED_VALUE"""),"Staphylococcus - S. aureus, meticillin resistant (MRSA) - spa-type t2370")</f>
        <v>Staphylococcus - S. aureus, meticillin resistant (MRSA) - spa-type t2370</v>
      </c>
      <c r="B8169" t="str">
        <f ca="1">IFERROR(__xludf.DUMMYFUNCTION("""COMPUTED_VALUE"""),"RF-00003879-MCG")</f>
        <v>RF-00003879-MCG</v>
      </c>
    </row>
    <row r="8170" spans="1:2" ht="12.5" x14ac:dyDescent="0.25">
      <c r="A8170" t="str">
        <f ca="1">IFERROR(__xludf.DUMMYFUNCTION("""COMPUTED_VALUE"""),"Staphylococcus - S. aureus, meticillin resistant (MRSA) - spa-type t2510")</f>
        <v>Staphylococcus - S. aureus, meticillin resistant (MRSA) - spa-type t2510</v>
      </c>
      <c r="B8170" t="str">
        <f ca="1">IFERROR(__xludf.DUMMYFUNCTION("""COMPUTED_VALUE"""),"RF-00003880-MCG")</f>
        <v>RF-00003880-MCG</v>
      </c>
    </row>
    <row r="8171" spans="1:2" ht="12.5" x14ac:dyDescent="0.25">
      <c r="A8171" t="str">
        <f ca="1">IFERROR(__xludf.DUMMYFUNCTION("""COMPUTED_VALUE"""),"Staphylococcus - S. aureus, meticillin resistant (MRSA) - spa-type t2922")</f>
        <v>Staphylococcus - S. aureus, meticillin resistant (MRSA) - spa-type t2922</v>
      </c>
      <c r="B8171" t="str">
        <f ca="1">IFERROR(__xludf.DUMMYFUNCTION("""COMPUTED_VALUE"""),"RF-00003881-MCG")</f>
        <v>RF-00003881-MCG</v>
      </c>
    </row>
    <row r="8172" spans="1:2" ht="12.5" x14ac:dyDescent="0.25">
      <c r="A8172" t="str">
        <f ca="1">IFERROR(__xludf.DUMMYFUNCTION("""COMPUTED_VALUE"""),"Staphylococcus - S. aureus, meticillin resistant (MRSA) - spa-type t3479")</f>
        <v>Staphylococcus - S. aureus, meticillin resistant (MRSA) - spa-type t3479</v>
      </c>
      <c r="B8172" t="str">
        <f ca="1">IFERROR(__xludf.DUMMYFUNCTION("""COMPUTED_VALUE"""),"RF-00003882-MCG")</f>
        <v>RF-00003882-MCG</v>
      </c>
    </row>
    <row r="8173" spans="1:2" ht="12.5" x14ac:dyDescent="0.25">
      <c r="A8173" t="str">
        <f ca="1">IFERROR(__xludf.DUMMYFUNCTION("""COMPUTED_VALUE"""),"Staphylococcus - S. aureus, meticillin resistant (MRSA) - spa-type t3992")</f>
        <v>Staphylococcus - S. aureus, meticillin resistant (MRSA) - spa-type t3992</v>
      </c>
      <c r="B8173" t="str">
        <f ca="1">IFERROR(__xludf.DUMMYFUNCTION("""COMPUTED_VALUE"""),"RF-00003883-MCG")</f>
        <v>RF-00003883-MCG</v>
      </c>
    </row>
    <row r="8174" spans="1:2" ht="12.5" x14ac:dyDescent="0.25">
      <c r="A8174" t="str">
        <f ca="1">IFERROR(__xludf.DUMMYFUNCTION("""COMPUTED_VALUE"""),"Staphylococcus - S. aureus, meticillin resistant (MRSA) - spa-type t426")</f>
        <v>Staphylococcus - S. aureus, meticillin resistant (MRSA) - spa-type t426</v>
      </c>
      <c r="B8174" t="str">
        <f ca="1">IFERROR(__xludf.DUMMYFUNCTION("""COMPUTED_VALUE"""),"RF-00003884-MCG")</f>
        <v>RF-00003884-MCG</v>
      </c>
    </row>
    <row r="8175" spans="1:2" ht="12.5" x14ac:dyDescent="0.25">
      <c r="A8175" t="str">
        <f ca="1">IFERROR(__xludf.DUMMYFUNCTION("""COMPUTED_VALUE"""),"Staphylococcus - S. aureus, meticillin resistant (MRSA) - spa-type t4659")</f>
        <v>Staphylococcus - S. aureus, meticillin resistant (MRSA) - spa-type t4659</v>
      </c>
      <c r="B8175" t="str">
        <f ca="1">IFERROR(__xludf.DUMMYFUNCTION("""COMPUTED_VALUE"""),"RF-00003885-MCG")</f>
        <v>RF-00003885-MCG</v>
      </c>
    </row>
    <row r="8176" spans="1:2" ht="12.5" x14ac:dyDescent="0.25">
      <c r="A8176" t="str">
        <f ca="1">IFERROR(__xludf.DUMMYFUNCTION("""COMPUTED_VALUE"""),"Staphylococcus - S. aureus, meticillin resistant (MRSA) - spa-type t4838")</f>
        <v>Staphylococcus - S. aureus, meticillin resistant (MRSA) - spa-type t4838</v>
      </c>
      <c r="B8176" t="str">
        <f ca="1">IFERROR(__xludf.DUMMYFUNCTION("""COMPUTED_VALUE"""),"RF-00003886-MCG")</f>
        <v>RF-00003886-MCG</v>
      </c>
    </row>
    <row r="8177" spans="1:2" ht="12.5" x14ac:dyDescent="0.25">
      <c r="A8177" t="str">
        <f ca="1">IFERROR(__xludf.DUMMYFUNCTION("""COMPUTED_VALUE"""),"Staphylococcus - S. aureus, meticillin resistant (MRSA) - spa-type t4854")</f>
        <v>Staphylococcus - S. aureus, meticillin resistant (MRSA) - spa-type t4854</v>
      </c>
      <c r="B8177" t="str">
        <f ca="1">IFERROR(__xludf.DUMMYFUNCTION("""COMPUTED_VALUE"""),"RF-00003887-MCG")</f>
        <v>RF-00003887-MCG</v>
      </c>
    </row>
    <row r="8178" spans="1:2" ht="12.5" x14ac:dyDescent="0.25">
      <c r="A8178" t="str">
        <f ca="1">IFERROR(__xludf.DUMMYFUNCTION("""COMPUTED_VALUE"""),"Staphylococcus - S. aureus, meticillin resistant (MRSA) - spa-type t4872")</f>
        <v>Staphylococcus - S. aureus, meticillin resistant (MRSA) - spa-type t4872</v>
      </c>
      <c r="B8178" t="str">
        <f ca="1">IFERROR(__xludf.DUMMYFUNCTION("""COMPUTED_VALUE"""),"RF-00003888-MCG")</f>
        <v>RF-00003888-MCG</v>
      </c>
    </row>
    <row r="8179" spans="1:2" ht="12.5" x14ac:dyDescent="0.25">
      <c r="A8179" t="str">
        <f ca="1">IFERROR(__xludf.DUMMYFUNCTION("""COMPUTED_VALUE"""),"Staphylococcus - S. aureus, meticillin resistant (MRSA) - spa-type t5487")</f>
        <v>Staphylococcus - S. aureus, meticillin resistant (MRSA) - spa-type t5487</v>
      </c>
      <c r="B8179" t="str">
        <f ca="1">IFERROR(__xludf.DUMMYFUNCTION("""COMPUTED_VALUE"""),"RF-00003889-MCG")</f>
        <v>RF-00003889-MCG</v>
      </c>
    </row>
    <row r="8180" spans="1:2" ht="12.5" x14ac:dyDescent="0.25">
      <c r="A8180" t="str">
        <f ca="1">IFERROR(__xludf.DUMMYFUNCTION("""COMPUTED_VALUE"""),"Staphylococcus - S. aureus, meticillin resistant (MRSA) - spa-type t567")</f>
        <v>Staphylococcus - S. aureus, meticillin resistant (MRSA) - spa-type t567</v>
      </c>
      <c r="B8180" t="str">
        <f ca="1">IFERROR(__xludf.DUMMYFUNCTION("""COMPUTED_VALUE"""),"RF-00003890-MCG")</f>
        <v>RF-00003890-MCG</v>
      </c>
    </row>
    <row r="8181" spans="1:2" ht="12.5" x14ac:dyDescent="0.25">
      <c r="A8181" t="str">
        <f ca="1">IFERROR(__xludf.DUMMYFUNCTION("""COMPUTED_VALUE"""),"Staphylococcus - S. aureus, meticillin resistant (MRSA) - spa-type t571")</f>
        <v>Staphylococcus - S. aureus, meticillin resistant (MRSA) - spa-type t571</v>
      </c>
      <c r="B8181" t="str">
        <f ca="1">IFERROR(__xludf.DUMMYFUNCTION("""COMPUTED_VALUE"""),"RF-00003891-MCG")</f>
        <v>RF-00003891-MCG</v>
      </c>
    </row>
    <row r="8182" spans="1:2" ht="12.5" x14ac:dyDescent="0.25">
      <c r="A8182" t="str">
        <f ca="1">IFERROR(__xludf.DUMMYFUNCTION("""COMPUTED_VALUE"""),"Staphylococcus - S. aureus, meticillin resistant (MRSA) - spa-type t899")</f>
        <v>Staphylococcus - S. aureus, meticillin resistant (MRSA) - spa-type t899</v>
      </c>
      <c r="B8182" t="str">
        <f ca="1">IFERROR(__xludf.DUMMYFUNCTION("""COMPUTED_VALUE"""),"RF-00003892-MCG")</f>
        <v>RF-00003892-MCG</v>
      </c>
    </row>
    <row r="8183" spans="1:2" ht="12.5" x14ac:dyDescent="0.25">
      <c r="A8183" t="str">
        <f ca="1">IFERROR(__xludf.DUMMYFUNCTION("""COMPUTED_VALUE"""),"Staphylococcus - S. pseudintermedius, meticillin resistant (MRSP)")</f>
        <v>Staphylococcus - S. pseudintermedius, meticillin resistant (MRSP)</v>
      </c>
      <c r="B8183" t="str">
        <f ca="1">IFERROR(__xludf.DUMMYFUNCTION("""COMPUTED_VALUE"""),"RF-00003854-MCG")</f>
        <v>RF-00003854-MCG</v>
      </c>
    </row>
    <row r="8184" spans="1:2" ht="12.5" x14ac:dyDescent="0.25">
      <c r="A8184" t="str">
        <f ca="1">IFERROR(__xludf.DUMMYFUNCTION("""COMPUTED_VALUE"""),"Staphylococcus aureus enterotoxins")</f>
        <v>Staphylococcus aureus enterotoxins</v>
      </c>
      <c r="B8184" t="str">
        <f ca="1">IFERROR(__xludf.DUMMYFUNCTION("""COMPUTED_VALUE"""),"RF-00000007-TOX")</f>
        <v>RF-00000007-TOX</v>
      </c>
    </row>
    <row r="8185" spans="1:2" ht="12.5" x14ac:dyDescent="0.25">
      <c r="A8185" t="str">
        <f ca="1">IFERROR(__xludf.DUMMYFUNCTION("""COMPUTED_VALUE"""),"Staphylococcus enterotoxins")</f>
        <v>Staphylococcus enterotoxins</v>
      </c>
      <c r="B8185" t="str">
        <f ca="1">IFERROR(__xludf.DUMMYFUNCTION("""COMPUTED_VALUE"""),"RF-00000008-TOX")</f>
        <v>RF-00000008-TOX</v>
      </c>
    </row>
    <row r="8186" spans="1:2" ht="12.5" x14ac:dyDescent="0.25">
      <c r="A8186" t="str">
        <f ca="1">IFERROR(__xludf.DUMMYFUNCTION("""COMPUTED_VALUE"""),"Staphylococcus enterotoxins")</f>
        <v>Staphylococcus enterotoxins</v>
      </c>
      <c r="B8186" t="str">
        <f ca="1">IFERROR(__xludf.DUMMYFUNCTION("""COMPUTED_VALUE"""),"RF-00002504-MCG")</f>
        <v>RF-00002504-MCG</v>
      </c>
    </row>
    <row r="8187" spans="1:2" ht="12.5" x14ac:dyDescent="0.25">
      <c r="A8187" t="str">
        <f ca="1">IFERROR(__xludf.DUMMYFUNCTION("""COMPUTED_VALUE"""),"Staphylococcus intermedius")</f>
        <v>Staphylococcus intermedius</v>
      </c>
      <c r="B8187" t="str">
        <f ca="1">IFERROR(__xludf.DUMMYFUNCTION("""COMPUTED_VALUE"""),"RF-00002502-MCG")</f>
        <v>RF-00002502-MCG</v>
      </c>
    </row>
    <row r="8188" spans="1:2" ht="12.5" x14ac:dyDescent="0.25">
      <c r="A8188" t="str">
        <f ca="1">IFERROR(__xludf.DUMMYFUNCTION("""COMPUTED_VALUE"""),"Staphylococcus S.aureus, meticillin resistant (MRSA) spa-type t002 CC5")</f>
        <v>Staphylococcus S.aureus, meticillin resistant (MRSA) spa-type t002 CC5</v>
      </c>
      <c r="B8188" t="str">
        <f ca="1">IFERROR(__xludf.DUMMYFUNCTION("""COMPUTED_VALUE"""),"RF-00000129-PAR")</f>
        <v>RF-00000129-PAR</v>
      </c>
    </row>
    <row r="8189" spans="1:2" ht="12.5" x14ac:dyDescent="0.25">
      <c r="A8189" t="str">
        <f ca="1">IFERROR(__xludf.DUMMYFUNCTION("""COMPUTED_VALUE"""),"Staphylococcus S.aureus, meticillin resistant (MRSA) spa-type t002 CC5 ST5")</f>
        <v>Staphylococcus S.aureus, meticillin resistant (MRSA) spa-type t002 CC5 ST5</v>
      </c>
      <c r="B8189" t="str">
        <f ca="1">IFERROR(__xludf.DUMMYFUNCTION("""COMPUTED_VALUE"""),"RF-00000130-PAR")</f>
        <v>RF-00000130-PAR</v>
      </c>
    </row>
    <row r="8190" spans="1:2" ht="12.5" x14ac:dyDescent="0.25">
      <c r="A8190" t="str">
        <f ca="1">IFERROR(__xludf.DUMMYFUNCTION("""COMPUTED_VALUE"""),"Staphylococcus S.aureus, meticillin resistant (MRSA) spa-type t007 CC30")</f>
        <v>Staphylococcus S.aureus, meticillin resistant (MRSA) spa-type t007 CC30</v>
      </c>
      <c r="B8190" t="str">
        <f ca="1">IFERROR(__xludf.DUMMYFUNCTION("""COMPUTED_VALUE"""),"RF-00000127-PAR")</f>
        <v>RF-00000127-PAR</v>
      </c>
    </row>
    <row r="8191" spans="1:2" ht="12.5" x14ac:dyDescent="0.25">
      <c r="A8191" t="str">
        <f ca="1">IFERROR(__xludf.DUMMYFUNCTION("""COMPUTED_VALUE"""),"Staphylococcus S.aureus, meticillin resistant (MRSA) spa-type t007 CC30 ST39")</f>
        <v>Staphylococcus S.aureus, meticillin resistant (MRSA) spa-type t007 CC30 ST39</v>
      </c>
      <c r="B8191" t="str">
        <f ca="1">IFERROR(__xludf.DUMMYFUNCTION("""COMPUTED_VALUE"""),"RF-00000128-PAR")</f>
        <v>RF-00000128-PAR</v>
      </c>
    </row>
    <row r="8192" spans="1:2" ht="12.5" x14ac:dyDescent="0.25">
      <c r="A8192" t="str">
        <f ca="1">IFERROR(__xludf.DUMMYFUNCTION("""COMPUTED_VALUE"""),"Staphylococcus S.aureus, meticillin resistant (MRSA) spa-type t008 CC8")</f>
        <v>Staphylococcus S.aureus, meticillin resistant (MRSA) spa-type t008 CC8</v>
      </c>
      <c r="B8192" t="str">
        <f ca="1">IFERROR(__xludf.DUMMYFUNCTION("""COMPUTED_VALUE"""),"RF-00000131-PAR")</f>
        <v>RF-00000131-PAR</v>
      </c>
    </row>
    <row r="8193" spans="1:2" ht="12.5" x14ac:dyDescent="0.25">
      <c r="A8193" t="str">
        <f ca="1">IFERROR(__xludf.DUMMYFUNCTION("""COMPUTED_VALUE"""),"Staphylococcus S.aureus, meticillin resistant (MRSA) spa-type t008 CC8 ST8")</f>
        <v>Staphylococcus S.aureus, meticillin resistant (MRSA) spa-type t008 CC8 ST8</v>
      </c>
      <c r="B8193" t="str">
        <f ca="1">IFERROR(__xludf.DUMMYFUNCTION("""COMPUTED_VALUE"""),"RF-00000132-PAR")</f>
        <v>RF-00000132-PAR</v>
      </c>
    </row>
    <row r="8194" spans="1:2" ht="12.5" x14ac:dyDescent="0.25">
      <c r="A8194" t="str">
        <f ca="1">IFERROR(__xludf.DUMMYFUNCTION("""COMPUTED_VALUE"""),"Staphylococcus S.aureus, meticillin resistant (MRSA) spa-type t011 CC398")</f>
        <v>Staphylococcus S.aureus, meticillin resistant (MRSA) spa-type t011 CC398</v>
      </c>
      <c r="B8194" t="str">
        <f ca="1">IFERROR(__xludf.DUMMYFUNCTION("""COMPUTED_VALUE"""),"RF-00000033-PAR")</f>
        <v>RF-00000033-PAR</v>
      </c>
    </row>
    <row r="8195" spans="1:2" ht="12.5" x14ac:dyDescent="0.25">
      <c r="A8195" t="str">
        <f ca="1">IFERROR(__xludf.DUMMYFUNCTION("""COMPUTED_VALUE"""),"Staphylococcus S.aureus, meticillin resistant (MRSA) spa-type t011 CC398 ST398")</f>
        <v>Staphylococcus S.aureus, meticillin resistant (MRSA) spa-type t011 CC398 ST398</v>
      </c>
      <c r="B8195" t="str">
        <f ca="1">IFERROR(__xludf.DUMMYFUNCTION("""COMPUTED_VALUE"""),"RF-00000034-PAR")</f>
        <v>RF-00000034-PAR</v>
      </c>
    </row>
    <row r="8196" spans="1:2" ht="12.5" x14ac:dyDescent="0.25">
      <c r="A8196" t="str">
        <f ca="1">IFERROR(__xludf.DUMMYFUNCTION("""COMPUTED_VALUE"""),"Staphylococcus S.aureus, meticillin resistant (MRSA) spa-type t034 CC398")</f>
        <v>Staphylococcus S.aureus, meticillin resistant (MRSA) spa-type t034 CC398</v>
      </c>
      <c r="B8196" t="str">
        <f ca="1">IFERROR(__xludf.DUMMYFUNCTION("""COMPUTED_VALUE"""),"RF-00000035-PAR")</f>
        <v>RF-00000035-PAR</v>
      </c>
    </row>
    <row r="8197" spans="1:2" ht="12.5" x14ac:dyDescent="0.25">
      <c r="A8197" t="str">
        <f ca="1">IFERROR(__xludf.DUMMYFUNCTION("""COMPUTED_VALUE"""),"Staphylococcus S.aureus, meticillin resistant (MRSA) spa-type t034 CC398 ST398")</f>
        <v>Staphylococcus S.aureus, meticillin resistant (MRSA) spa-type t034 CC398 ST398</v>
      </c>
      <c r="B8197" t="str">
        <f ca="1">IFERROR(__xludf.DUMMYFUNCTION("""COMPUTED_VALUE"""),"RF-00000036-PAR")</f>
        <v>RF-00000036-PAR</v>
      </c>
    </row>
    <row r="8198" spans="1:2" ht="12.5" x14ac:dyDescent="0.25">
      <c r="A8198" t="str">
        <f ca="1">IFERROR(__xludf.DUMMYFUNCTION("""COMPUTED_VALUE"""),"Staphylococcus S.aureus, meticillin resistant (MRSA) spa-type t108 CC398")</f>
        <v>Staphylococcus S.aureus, meticillin resistant (MRSA) spa-type t108 CC398</v>
      </c>
      <c r="B8198" t="str">
        <f ca="1">IFERROR(__xludf.DUMMYFUNCTION("""COMPUTED_VALUE"""),"RF-00000037-PAR")</f>
        <v>RF-00000037-PAR</v>
      </c>
    </row>
    <row r="8199" spans="1:2" ht="12.5" x14ac:dyDescent="0.25">
      <c r="A8199" t="str">
        <f ca="1">IFERROR(__xludf.DUMMYFUNCTION("""COMPUTED_VALUE"""),"Staphylococcus S.aureus, meticillin resistant (MRSA) spa-type t108 CC398 ST398")</f>
        <v>Staphylococcus S.aureus, meticillin resistant (MRSA) spa-type t108 CC398 ST398</v>
      </c>
      <c r="B8199" t="str">
        <f ca="1">IFERROR(__xludf.DUMMYFUNCTION("""COMPUTED_VALUE"""),"RF-00000038-PAR")</f>
        <v>RF-00000038-PAR</v>
      </c>
    </row>
    <row r="8200" spans="1:2" ht="12.5" x14ac:dyDescent="0.25">
      <c r="A8200" t="str">
        <f ca="1">IFERROR(__xludf.DUMMYFUNCTION("""COMPUTED_VALUE"""),"Staphylococcus S.aureus, meticillin resistant (MRSA) spa-type t1197 CC398")</f>
        <v>Staphylococcus S.aureus, meticillin resistant (MRSA) spa-type t1197 CC398</v>
      </c>
      <c r="B8200" t="str">
        <f ca="1">IFERROR(__xludf.DUMMYFUNCTION("""COMPUTED_VALUE"""),"RF-00000039-PAR")</f>
        <v>RF-00000039-PAR</v>
      </c>
    </row>
    <row r="8201" spans="1:2" ht="12.5" x14ac:dyDescent="0.25">
      <c r="A8201" t="str">
        <f ca="1">IFERROR(__xludf.DUMMYFUNCTION("""COMPUTED_VALUE"""),"Staphylococcus S.aureus, meticillin resistant (MRSA) spa-type t1197 CC398 ST398")</f>
        <v>Staphylococcus S.aureus, meticillin resistant (MRSA) spa-type t1197 CC398 ST398</v>
      </c>
      <c r="B8201" t="str">
        <f ca="1">IFERROR(__xludf.DUMMYFUNCTION("""COMPUTED_VALUE"""),"RF-00000040-PAR")</f>
        <v>RF-00000040-PAR</v>
      </c>
    </row>
    <row r="8202" spans="1:2" ht="12.5" x14ac:dyDescent="0.25">
      <c r="A8202" t="str">
        <f ca="1">IFERROR(__xludf.DUMMYFUNCTION("""COMPUTED_VALUE"""),"Staphylococcus S.aureus, meticillin resistant (MRSA) spa-type t1250 CC398")</f>
        <v>Staphylococcus S.aureus, meticillin resistant (MRSA) spa-type t1250 CC398</v>
      </c>
      <c r="B8202" t="str">
        <f ca="1">IFERROR(__xludf.DUMMYFUNCTION("""COMPUTED_VALUE"""),"RF-00000041-PAR")</f>
        <v>RF-00000041-PAR</v>
      </c>
    </row>
    <row r="8203" spans="1:2" ht="12.5" x14ac:dyDescent="0.25">
      <c r="A8203" t="str">
        <f ca="1">IFERROR(__xludf.DUMMYFUNCTION("""COMPUTED_VALUE"""),"Staphylococcus S.aureus, meticillin resistant (MRSA) spa-type t1250 CC398 ST398")</f>
        <v>Staphylococcus S.aureus, meticillin resistant (MRSA) spa-type t1250 CC398 ST398</v>
      </c>
      <c r="B8203" t="str">
        <f ca="1">IFERROR(__xludf.DUMMYFUNCTION("""COMPUTED_VALUE"""),"RF-00000042-PAR")</f>
        <v>RF-00000042-PAR</v>
      </c>
    </row>
    <row r="8204" spans="1:2" ht="12.5" x14ac:dyDescent="0.25">
      <c r="A8204" t="str">
        <f ca="1">IFERROR(__xludf.DUMMYFUNCTION("""COMPUTED_VALUE"""),"Staphylococcus S.aureus, meticillin resistant (MRSA) spa-type t1254")</f>
        <v>Staphylococcus S.aureus, meticillin resistant (MRSA) spa-type t1254</v>
      </c>
      <c r="B8204" t="str">
        <f ca="1">IFERROR(__xludf.DUMMYFUNCTION("""COMPUTED_VALUE"""),"RF-00000043-PAR")</f>
        <v>RF-00000043-PAR</v>
      </c>
    </row>
    <row r="8205" spans="1:2" ht="12.5" x14ac:dyDescent="0.25">
      <c r="A8205" t="str">
        <f ca="1">IFERROR(__xludf.DUMMYFUNCTION("""COMPUTED_VALUE"""),"Staphylococcus S.aureus, meticillin resistant (MRSA) spa-type t1254 CC398")</f>
        <v>Staphylococcus S.aureus, meticillin resistant (MRSA) spa-type t1254 CC398</v>
      </c>
      <c r="B8205" t="str">
        <f ca="1">IFERROR(__xludf.DUMMYFUNCTION("""COMPUTED_VALUE"""),"RF-00000044-PAR")</f>
        <v>RF-00000044-PAR</v>
      </c>
    </row>
    <row r="8206" spans="1:2" ht="12.5" x14ac:dyDescent="0.25">
      <c r="A8206" t="str">
        <f ca="1">IFERROR(__xludf.DUMMYFUNCTION("""COMPUTED_VALUE"""),"Staphylococcus S.aureus, meticillin resistant (MRSA) spa-type t1254 CC398 ST398")</f>
        <v>Staphylococcus S.aureus, meticillin resistant (MRSA) spa-type t1254 CC398 ST398</v>
      </c>
      <c r="B8206" t="str">
        <f ca="1">IFERROR(__xludf.DUMMYFUNCTION("""COMPUTED_VALUE"""),"RF-00000045-PAR")</f>
        <v>RF-00000045-PAR</v>
      </c>
    </row>
    <row r="8207" spans="1:2" ht="12.5" x14ac:dyDescent="0.25">
      <c r="A8207" t="str">
        <f ca="1">IFERROR(__xludf.DUMMYFUNCTION("""COMPUTED_VALUE"""),"Staphylococcus S.aureus, meticillin resistant (MRSA) spa-type t1255 CC398")</f>
        <v>Staphylococcus S.aureus, meticillin resistant (MRSA) spa-type t1255 CC398</v>
      </c>
      <c r="B8207" t="str">
        <f ca="1">IFERROR(__xludf.DUMMYFUNCTION("""COMPUTED_VALUE"""),"RF-00000046-PAR")</f>
        <v>RF-00000046-PAR</v>
      </c>
    </row>
    <row r="8208" spans="1:2" ht="12.5" x14ac:dyDescent="0.25">
      <c r="A8208" t="str">
        <f ca="1">IFERROR(__xludf.DUMMYFUNCTION("""COMPUTED_VALUE"""),"Staphylococcus S.aureus, meticillin resistant (MRSA) spa-type t1255 CC398 ST398")</f>
        <v>Staphylococcus S.aureus, meticillin resistant (MRSA) spa-type t1255 CC398 ST398</v>
      </c>
      <c r="B8208" t="str">
        <f ca="1">IFERROR(__xludf.DUMMYFUNCTION("""COMPUTED_VALUE"""),"RF-00000047-PAR")</f>
        <v>RF-00000047-PAR</v>
      </c>
    </row>
    <row r="8209" spans="1:2" ht="12.5" x14ac:dyDescent="0.25">
      <c r="A8209" t="str">
        <f ca="1">IFERROR(__xludf.DUMMYFUNCTION("""COMPUTED_VALUE"""),"Staphylococcus S.aureus, meticillin resistant (MRSA) spa-type t127 CC1")</f>
        <v>Staphylococcus S.aureus, meticillin resistant (MRSA) spa-type t127 CC1</v>
      </c>
      <c r="B8209" t="str">
        <f ca="1">IFERROR(__xludf.DUMMYFUNCTION("""COMPUTED_VALUE"""),"RF-00000115-PAR")</f>
        <v>RF-00000115-PAR</v>
      </c>
    </row>
    <row r="8210" spans="1:2" ht="12.5" x14ac:dyDescent="0.25">
      <c r="A8210" t="str">
        <f ca="1">IFERROR(__xludf.DUMMYFUNCTION("""COMPUTED_VALUE"""),"Staphylococcus S.aureus, meticillin resistant (MRSA) spa-type t127 CC1 ST1")</f>
        <v>Staphylococcus S.aureus, meticillin resistant (MRSA) spa-type t127 CC1 ST1</v>
      </c>
      <c r="B8210" t="str">
        <f ca="1">IFERROR(__xludf.DUMMYFUNCTION("""COMPUTED_VALUE"""),"RF-00000116-PAR")</f>
        <v>RF-00000116-PAR</v>
      </c>
    </row>
    <row r="8211" spans="1:2" ht="12.5" x14ac:dyDescent="0.25">
      <c r="A8211" t="str">
        <f ca="1">IFERROR(__xludf.DUMMYFUNCTION("""COMPUTED_VALUE"""),"Staphylococcus S.aureus, meticillin resistant (MRSA) spa-type t1344 CC398")</f>
        <v>Staphylococcus S.aureus, meticillin resistant (MRSA) spa-type t1344 CC398</v>
      </c>
      <c r="B8211" t="str">
        <f ca="1">IFERROR(__xludf.DUMMYFUNCTION("""COMPUTED_VALUE"""),"RF-00000048-PAR")</f>
        <v>RF-00000048-PAR</v>
      </c>
    </row>
    <row r="8212" spans="1:2" ht="12.5" x14ac:dyDescent="0.25">
      <c r="A8212" t="str">
        <f ca="1">IFERROR(__xludf.DUMMYFUNCTION("""COMPUTED_VALUE"""),"Staphylococcus S.aureus, meticillin resistant (MRSA) spa-type t1344 CC398 ST398")</f>
        <v>Staphylococcus S.aureus, meticillin resistant (MRSA) spa-type t1344 CC398 ST398</v>
      </c>
      <c r="B8212" t="str">
        <f ca="1">IFERROR(__xludf.DUMMYFUNCTION("""COMPUTED_VALUE"""),"RF-00000049-PAR")</f>
        <v>RF-00000049-PAR</v>
      </c>
    </row>
    <row r="8213" spans="1:2" ht="12.5" x14ac:dyDescent="0.25">
      <c r="A8213" t="str">
        <f ca="1">IFERROR(__xludf.DUMMYFUNCTION("""COMPUTED_VALUE"""),"Staphylococcus S.aureus, meticillin resistant (MRSA) spa-type t1403 CC133")</f>
        <v>Staphylococcus S.aureus, meticillin resistant (MRSA) spa-type t1403 CC133</v>
      </c>
      <c r="B8213" t="str">
        <f ca="1">IFERROR(__xludf.DUMMYFUNCTION("""COMPUTED_VALUE"""),"RF-00000133-PAR")</f>
        <v>RF-00000133-PAR</v>
      </c>
    </row>
    <row r="8214" spans="1:2" ht="12.5" x14ac:dyDescent="0.25">
      <c r="A8214" t="str">
        <f ca="1">IFERROR(__xludf.DUMMYFUNCTION("""COMPUTED_VALUE"""),"Staphylococcus S.aureus, meticillin resistant (MRSA) spa-type t1403 CC133 ST132")</f>
        <v>Staphylococcus S.aureus, meticillin resistant (MRSA) spa-type t1403 CC133 ST132</v>
      </c>
      <c r="B8214" t="str">
        <f ca="1">IFERROR(__xludf.DUMMYFUNCTION("""COMPUTED_VALUE"""),"RF-00000134-PAR")</f>
        <v>RF-00000134-PAR</v>
      </c>
    </row>
    <row r="8215" spans="1:2" ht="12.5" x14ac:dyDescent="0.25">
      <c r="A8215" t="str">
        <f ca="1">IFERROR(__xludf.DUMMYFUNCTION("""COMPUTED_VALUE"""),"Staphylococcus S.aureus, meticillin resistant (MRSA) spa-type t1430 CC9")</f>
        <v>Staphylococcus S.aureus, meticillin resistant (MRSA) spa-type t1430 CC9</v>
      </c>
      <c r="B8215" t="str">
        <f ca="1">IFERROR(__xludf.DUMMYFUNCTION("""COMPUTED_VALUE"""),"RF-00000135-PAR")</f>
        <v>RF-00000135-PAR</v>
      </c>
    </row>
    <row r="8216" spans="1:2" ht="12.5" x14ac:dyDescent="0.25">
      <c r="A8216" t="str">
        <f ca="1">IFERROR(__xludf.DUMMYFUNCTION("""COMPUTED_VALUE"""),"Staphylococcus S.aureus, meticillin resistant (MRSA) spa-type t1430 CC9 ST9")</f>
        <v>Staphylococcus S.aureus, meticillin resistant (MRSA) spa-type t1430 CC9 ST9</v>
      </c>
      <c r="B8216" t="str">
        <f ca="1">IFERROR(__xludf.DUMMYFUNCTION("""COMPUTED_VALUE"""),"RF-00000136-PAR")</f>
        <v>RF-00000136-PAR</v>
      </c>
    </row>
    <row r="8217" spans="1:2" ht="12.5" x14ac:dyDescent="0.25">
      <c r="A8217" t="str">
        <f ca="1">IFERROR(__xludf.DUMMYFUNCTION("""COMPUTED_VALUE"""),"Staphylococcus S.aureus, meticillin resistant (MRSA) spa-type t1451 CC398")</f>
        <v>Staphylococcus S.aureus, meticillin resistant (MRSA) spa-type t1451 CC398</v>
      </c>
      <c r="B8217" t="str">
        <f ca="1">IFERROR(__xludf.DUMMYFUNCTION("""COMPUTED_VALUE"""),"RF-00000050-PAR")</f>
        <v>RF-00000050-PAR</v>
      </c>
    </row>
    <row r="8218" spans="1:2" ht="12.5" x14ac:dyDescent="0.25">
      <c r="A8218" t="str">
        <f ca="1">IFERROR(__xludf.DUMMYFUNCTION("""COMPUTED_VALUE"""),"Staphylococcus S.aureus, meticillin resistant (MRSA) spa-type t1451 CC398 ST398")</f>
        <v>Staphylococcus S.aureus, meticillin resistant (MRSA) spa-type t1451 CC398 ST398</v>
      </c>
      <c r="B8218" t="str">
        <f ca="1">IFERROR(__xludf.DUMMYFUNCTION("""COMPUTED_VALUE"""),"RF-00000051-PAR")</f>
        <v>RF-00000051-PAR</v>
      </c>
    </row>
    <row r="8219" spans="1:2" ht="12.5" x14ac:dyDescent="0.25">
      <c r="A8219" t="str">
        <f ca="1">IFERROR(__xludf.DUMMYFUNCTION("""COMPUTED_VALUE"""),"Staphylococcus S.aureus, meticillin resistant (MRSA) spa-type t1456 CC398")</f>
        <v>Staphylococcus S.aureus, meticillin resistant (MRSA) spa-type t1456 CC398</v>
      </c>
      <c r="B8219" t="str">
        <f ca="1">IFERROR(__xludf.DUMMYFUNCTION("""COMPUTED_VALUE"""),"RF-00000052-PAR")</f>
        <v>RF-00000052-PAR</v>
      </c>
    </row>
    <row r="8220" spans="1:2" ht="12.5" x14ac:dyDescent="0.25">
      <c r="A8220" t="str">
        <f ca="1">IFERROR(__xludf.DUMMYFUNCTION("""COMPUTED_VALUE"""),"Staphylococcus S.aureus, meticillin resistant (MRSA) spa-type t1456 CC398 ST398")</f>
        <v>Staphylococcus S.aureus, meticillin resistant (MRSA) spa-type t1456 CC398 ST398</v>
      </c>
      <c r="B8220" t="str">
        <f ca="1">IFERROR(__xludf.DUMMYFUNCTION("""COMPUTED_VALUE"""),"RF-00000053-PAR")</f>
        <v>RF-00000053-PAR</v>
      </c>
    </row>
    <row r="8221" spans="1:2" ht="12.5" x14ac:dyDescent="0.25">
      <c r="A8221" t="str">
        <f ca="1">IFERROR(__xludf.DUMMYFUNCTION("""COMPUTED_VALUE"""),"Staphylococcus S.aureus, meticillin resistant (MRSA) spa-type t1457 CC398")</f>
        <v>Staphylococcus S.aureus, meticillin resistant (MRSA) spa-type t1457 CC398</v>
      </c>
      <c r="B8221" t="str">
        <f ca="1">IFERROR(__xludf.DUMMYFUNCTION("""COMPUTED_VALUE"""),"RF-00000054-PAR")</f>
        <v>RF-00000054-PAR</v>
      </c>
    </row>
    <row r="8222" spans="1:2" ht="12.5" x14ac:dyDescent="0.25">
      <c r="A8222" t="str">
        <f ca="1">IFERROR(__xludf.DUMMYFUNCTION("""COMPUTED_VALUE"""),"Staphylococcus S.aureus, meticillin resistant (MRSA) spa-type t1457 CC398 ST398")</f>
        <v>Staphylococcus S.aureus, meticillin resistant (MRSA) spa-type t1457 CC398 ST398</v>
      </c>
      <c r="B8222" t="str">
        <f ca="1">IFERROR(__xludf.DUMMYFUNCTION("""COMPUTED_VALUE"""),"RF-00000055-PAR")</f>
        <v>RF-00000055-PAR</v>
      </c>
    </row>
    <row r="8223" spans="1:2" ht="12.5" x14ac:dyDescent="0.25">
      <c r="A8223" t="str">
        <f ca="1">IFERROR(__xludf.DUMMYFUNCTION("""COMPUTED_VALUE"""),"Staphylococcus S.aureus, meticillin resistant (MRSA) spa-type t1730 CC97")</f>
        <v>Staphylococcus S.aureus, meticillin resistant (MRSA) spa-type t1730 CC97</v>
      </c>
      <c r="B8223" t="str">
        <f ca="1">IFERROR(__xludf.DUMMYFUNCTION("""COMPUTED_VALUE"""),"RF-00000119-PAR")</f>
        <v>RF-00000119-PAR</v>
      </c>
    </row>
    <row r="8224" spans="1:2" ht="12.5" x14ac:dyDescent="0.25">
      <c r="A8224" t="str">
        <f ca="1">IFERROR(__xludf.DUMMYFUNCTION("""COMPUTED_VALUE"""),"Staphylococcus S.aureus, meticillin resistant (MRSA) spa-type t1730 CC97 ST97")</f>
        <v>Staphylococcus S.aureus, meticillin resistant (MRSA) spa-type t1730 CC97 ST97</v>
      </c>
      <c r="B8224" t="str">
        <f ca="1">IFERROR(__xludf.DUMMYFUNCTION("""COMPUTED_VALUE"""),"RF-00000120-PAR")</f>
        <v>RF-00000120-PAR</v>
      </c>
    </row>
    <row r="8225" spans="1:2" ht="12.5" x14ac:dyDescent="0.25">
      <c r="A8225" t="str">
        <f ca="1">IFERROR(__xludf.DUMMYFUNCTION("""COMPUTED_VALUE"""),"Staphylococcus S.aureus, meticillin resistant (MRSA) spa-type t1793 CC398")</f>
        <v>Staphylococcus S.aureus, meticillin resistant (MRSA) spa-type t1793 CC398</v>
      </c>
      <c r="B8225" t="str">
        <f ca="1">IFERROR(__xludf.DUMMYFUNCTION("""COMPUTED_VALUE"""),"RF-00000056-PAR")</f>
        <v>RF-00000056-PAR</v>
      </c>
    </row>
    <row r="8226" spans="1:2" ht="12.5" x14ac:dyDescent="0.25">
      <c r="A8226" t="str">
        <f ca="1">IFERROR(__xludf.DUMMYFUNCTION("""COMPUTED_VALUE"""),"Staphylococcus S.aureus, meticillin resistant (MRSA) spa-type t1793 CC398 ST398")</f>
        <v>Staphylococcus S.aureus, meticillin resistant (MRSA) spa-type t1793 CC398 ST398</v>
      </c>
      <c r="B8226" t="str">
        <f ca="1">IFERROR(__xludf.DUMMYFUNCTION("""COMPUTED_VALUE"""),"RF-00000057-PAR")</f>
        <v>RF-00000057-PAR</v>
      </c>
    </row>
    <row r="8227" spans="1:2" ht="12.5" x14ac:dyDescent="0.25">
      <c r="A8227" t="str">
        <f ca="1">IFERROR(__xludf.DUMMYFUNCTION("""COMPUTED_VALUE"""),"Staphylococcus S.aureus, meticillin resistant (MRSA) spa-type t1939 CC398")</f>
        <v>Staphylococcus S.aureus, meticillin resistant (MRSA) spa-type t1939 CC398</v>
      </c>
      <c r="B8227" t="str">
        <f ca="1">IFERROR(__xludf.DUMMYFUNCTION("""COMPUTED_VALUE"""),"RF-00000058-PAR")</f>
        <v>RF-00000058-PAR</v>
      </c>
    </row>
    <row r="8228" spans="1:2" ht="12.5" x14ac:dyDescent="0.25">
      <c r="A8228" t="str">
        <f ca="1">IFERROR(__xludf.DUMMYFUNCTION("""COMPUTED_VALUE"""),"Staphylococcus S.aureus, meticillin resistant (MRSA) spa-type t1939 CC398 ST398")</f>
        <v>Staphylococcus S.aureus, meticillin resistant (MRSA) spa-type t1939 CC398 ST398</v>
      </c>
      <c r="B8228" t="str">
        <f ca="1">IFERROR(__xludf.DUMMYFUNCTION("""COMPUTED_VALUE"""),"RF-00000059-PAR")</f>
        <v>RF-00000059-PAR</v>
      </c>
    </row>
    <row r="8229" spans="1:2" ht="12.5" x14ac:dyDescent="0.25">
      <c r="A8229" t="str">
        <f ca="1">IFERROR(__xludf.DUMMYFUNCTION("""COMPUTED_VALUE"""),"Staphylococcus S.aureus, meticillin resistant (MRSA) spa-type t208")</f>
        <v>Staphylococcus S.aureus, meticillin resistant (MRSA) spa-type t208</v>
      </c>
      <c r="B8229" t="str">
        <f ca="1">IFERROR(__xludf.DUMMYFUNCTION("""COMPUTED_VALUE"""),"RF-00000138-PAR")</f>
        <v>RF-00000138-PAR</v>
      </c>
    </row>
    <row r="8230" spans="1:2" ht="12.5" x14ac:dyDescent="0.25">
      <c r="A8230" t="str">
        <f ca="1">IFERROR(__xludf.DUMMYFUNCTION("""COMPUTED_VALUE"""),"Staphylococcus S.aureus, meticillin resistant (MRSA) spa-type t208 unspecified")</f>
        <v>Staphylococcus S.aureus, meticillin resistant (MRSA) spa-type t208 unspecified</v>
      </c>
      <c r="B8230" t="str">
        <f ca="1">IFERROR(__xludf.DUMMYFUNCTION("""COMPUTED_VALUE"""),"RF-00000139-PAR")</f>
        <v>RF-00000139-PAR</v>
      </c>
    </row>
    <row r="8231" spans="1:2" ht="12.5" x14ac:dyDescent="0.25">
      <c r="A8231" t="str">
        <f ca="1">IFERROR(__xludf.DUMMYFUNCTION("""COMPUTED_VALUE"""),"Staphylococcus S.aureus, meticillin resistant (MRSA) spa-type t208 unspecified ST49")</f>
        <v>Staphylococcus S.aureus, meticillin resistant (MRSA) spa-type t208 unspecified ST49</v>
      </c>
      <c r="B8231" t="str">
        <f ca="1">IFERROR(__xludf.DUMMYFUNCTION("""COMPUTED_VALUE"""),"RF-00000140-PAR")</f>
        <v>RF-00000140-PAR</v>
      </c>
    </row>
    <row r="8232" spans="1:2" ht="12.5" x14ac:dyDescent="0.25">
      <c r="A8232" t="str">
        <f ca="1">IFERROR(__xludf.DUMMYFUNCTION("""COMPUTED_VALUE"""),"Staphylococcus S.aureus, meticillin resistant (MRSA) spa-type t2112 CC97")</f>
        <v>Staphylococcus S.aureus, meticillin resistant (MRSA) spa-type t2112 CC97</v>
      </c>
      <c r="B8232" t="str">
        <f ca="1">IFERROR(__xludf.DUMMYFUNCTION("""COMPUTED_VALUE"""),"RF-00000121-PAR")</f>
        <v>RF-00000121-PAR</v>
      </c>
    </row>
    <row r="8233" spans="1:2" ht="12.5" x14ac:dyDescent="0.25">
      <c r="A8233" t="str">
        <f ca="1">IFERROR(__xludf.DUMMYFUNCTION("""COMPUTED_VALUE"""),"Staphylococcus S.aureus, meticillin resistant (MRSA) spa-type t2112 CC97 ST97")</f>
        <v>Staphylococcus S.aureus, meticillin resistant (MRSA) spa-type t2112 CC97 ST97</v>
      </c>
      <c r="B8233" t="str">
        <f ca="1">IFERROR(__xludf.DUMMYFUNCTION("""COMPUTED_VALUE"""),"RF-00000122-PAR")</f>
        <v>RF-00000122-PAR</v>
      </c>
    </row>
    <row r="8234" spans="1:2" ht="12.5" x14ac:dyDescent="0.25">
      <c r="A8234" t="str">
        <f ca="1">IFERROR(__xludf.DUMMYFUNCTION("""COMPUTED_VALUE"""),"Staphylococcus S.aureus, meticillin resistant (MRSA) spa-type t2279")</f>
        <v>Staphylococcus S.aureus, meticillin resistant (MRSA) spa-type t2279</v>
      </c>
      <c r="B8234" t="str">
        <f ca="1">IFERROR(__xludf.DUMMYFUNCTION("""COMPUTED_VALUE"""),"RF-00000137-PAR")</f>
        <v>RF-00000137-PAR</v>
      </c>
    </row>
    <row r="8235" spans="1:2" ht="12.5" x14ac:dyDescent="0.25">
      <c r="A8235" t="str">
        <f ca="1">IFERROR(__xludf.DUMMYFUNCTION("""COMPUTED_VALUE"""),"Staphylococcus S.aureus, meticillin resistant (MRSA) spa-type t2329 CC398")</f>
        <v>Staphylococcus S.aureus, meticillin resistant (MRSA) spa-type t2329 CC398</v>
      </c>
      <c r="B8235" t="str">
        <f ca="1">IFERROR(__xludf.DUMMYFUNCTION("""COMPUTED_VALUE"""),"RF-00000060-PAR")</f>
        <v>RF-00000060-PAR</v>
      </c>
    </row>
    <row r="8236" spans="1:2" ht="12.5" x14ac:dyDescent="0.25">
      <c r="A8236" t="str">
        <f ca="1">IFERROR(__xludf.DUMMYFUNCTION("""COMPUTED_VALUE"""),"Staphylococcus S.aureus, meticillin resistant (MRSA) spa-type t2329 CC398 ST398")</f>
        <v>Staphylococcus S.aureus, meticillin resistant (MRSA) spa-type t2329 CC398 ST398</v>
      </c>
      <c r="B8236" t="str">
        <f ca="1">IFERROR(__xludf.DUMMYFUNCTION("""COMPUTED_VALUE"""),"RF-00000061-PAR")</f>
        <v>RF-00000061-PAR</v>
      </c>
    </row>
    <row r="8237" spans="1:2" ht="12.5" x14ac:dyDescent="0.25">
      <c r="A8237" t="str">
        <f ca="1">IFERROR(__xludf.DUMMYFUNCTION("""COMPUTED_VALUE"""),"Staphylococcus S.aureus, meticillin resistant (MRSA) spa-type t2330 CC398")</f>
        <v>Staphylococcus S.aureus, meticillin resistant (MRSA) spa-type t2330 CC398</v>
      </c>
      <c r="B8237" t="str">
        <f ca="1">IFERROR(__xludf.DUMMYFUNCTION("""COMPUTED_VALUE"""),"RF-00000062-PAR")</f>
        <v>RF-00000062-PAR</v>
      </c>
    </row>
    <row r="8238" spans="1:2" ht="12.5" x14ac:dyDescent="0.25">
      <c r="A8238" t="str">
        <f ca="1">IFERROR(__xludf.DUMMYFUNCTION("""COMPUTED_VALUE"""),"Staphylococcus S.aureus, meticillin resistant (MRSA) spa-type t2330 CC398 ST398")</f>
        <v>Staphylococcus S.aureus, meticillin resistant (MRSA) spa-type t2330 CC398 ST398</v>
      </c>
      <c r="B8238" t="str">
        <f ca="1">IFERROR(__xludf.DUMMYFUNCTION("""COMPUTED_VALUE"""),"RF-00000063-PAR")</f>
        <v>RF-00000063-PAR</v>
      </c>
    </row>
    <row r="8239" spans="1:2" ht="12.5" x14ac:dyDescent="0.25">
      <c r="A8239" t="str">
        <f ca="1">IFERROR(__xludf.DUMMYFUNCTION("""COMPUTED_VALUE"""),"Staphylococcus S.aureus, meticillin resistant (MRSA) spa-type t2346 CC398")</f>
        <v>Staphylococcus S.aureus, meticillin resistant (MRSA) spa-type t2346 CC398</v>
      </c>
      <c r="B8239" t="str">
        <f ca="1">IFERROR(__xludf.DUMMYFUNCTION("""COMPUTED_VALUE"""),"RF-00000064-PAR")</f>
        <v>RF-00000064-PAR</v>
      </c>
    </row>
    <row r="8240" spans="1:2" ht="12.5" x14ac:dyDescent="0.25">
      <c r="A8240" t="str">
        <f ca="1">IFERROR(__xludf.DUMMYFUNCTION("""COMPUTED_VALUE"""),"Staphylococcus S.aureus, meticillin resistant (MRSA) spa-type t2346 CC398 ST398")</f>
        <v>Staphylococcus S.aureus, meticillin resistant (MRSA) spa-type t2346 CC398 ST398</v>
      </c>
      <c r="B8240" t="str">
        <f ca="1">IFERROR(__xludf.DUMMYFUNCTION("""COMPUTED_VALUE"""),"RF-00000065-PAR")</f>
        <v>RF-00000065-PAR</v>
      </c>
    </row>
    <row r="8241" spans="1:2" ht="12.5" x14ac:dyDescent="0.25">
      <c r="A8241" t="str">
        <f ca="1">IFERROR(__xludf.DUMMYFUNCTION("""COMPUTED_VALUE"""),"Staphylococcus S.aureus, meticillin resistant (MRSA) spa-type t2370 CC398")</f>
        <v>Staphylococcus S.aureus, meticillin resistant (MRSA) spa-type t2370 CC398</v>
      </c>
      <c r="B8241" t="str">
        <f ca="1">IFERROR(__xludf.DUMMYFUNCTION("""COMPUTED_VALUE"""),"RF-00000069-PAR")</f>
        <v>RF-00000069-PAR</v>
      </c>
    </row>
    <row r="8242" spans="1:2" ht="12.5" x14ac:dyDescent="0.25">
      <c r="A8242" t="str">
        <f ca="1">IFERROR(__xludf.DUMMYFUNCTION("""COMPUTED_VALUE"""),"Staphylococcus S.aureus, meticillin resistant (MRSA) spa-type t2370 CC398 ST398")</f>
        <v>Staphylococcus S.aureus, meticillin resistant (MRSA) spa-type t2370 CC398 ST398</v>
      </c>
      <c r="B8242" t="str">
        <f ca="1">IFERROR(__xludf.DUMMYFUNCTION("""COMPUTED_VALUE"""),"RF-00000070-PAR")</f>
        <v>RF-00000070-PAR</v>
      </c>
    </row>
    <row r="8243" spans="1:2" ht="12.5" x14ac:dyDescent="0.25">
      <c r="A8243" t="str">
        <f ca="1">IFERROR(__xludf.DUMMYFUNCTION("""COMPUTED_VALUE"""),"Staphylococcus S.aureus, meticillin resistant (MRSA) spa-type t2383")</f>
        <v>Staphylococcus S.aureus, meticillin resistant (MRSA) spa-type t2383</v>
      </c>
      <c r="B8243" t="str">
        <f ca="1">IFERROR(__xludf.DUMMYFUNCTION("""COMPUTED_VALUE"""),"RF-00000066-PAR")</f>
        <v>RF-00000066-PAR</v>
      </c>
    </row>
    <row r="8244" spans="1:2" ht="12.5" x14ac:dyDescent="0.25">
      <c r="A8244" t="str">
        <f ca="1">IFERROR(__xludf.DUMMYFUNCTION("""COMPUTED_VALUE"""),"Staphylococcus S.aureus, meticillin resistant (MRSA) spa-type t2383 CC398")</f>
        <v>Staphylococcus S.aureus, meticillin resistant (MRSA) spa-type t2383 CC398</v>
      </c>
      <c r="B8244" t="str">
        <f ca="1">IFERROR(__xludf.DUMMYFUNCTION("""COMPUTED_VALUE"""),"RF-00000067-PAR")</f>
        <v>RF-00000067-PAR</v>
      </c>
    </row>
    <row r="8245" spans="1:2" ht="12.5" x14ac:dyDescent="0.25">
      <c r="A8245" t="str">
        <f ca="1">IFERROR(__xludf.DUMMYFUNCTION("""COMPUTED_VALUE"""),"Staphylococcus S.aureus, meticillin resistant (MRSA) spa-type t2383 CC398 ST398")</f>
        <v>Staphylococcus S.aureus, meticillin resistant (MRSA) spa-type t2383 CC398 ST398</v>
      </c>
      <c r="B8245" t="str">
        <f ca="1">IFERROR(__xludf.DUMMYFUNCTION("""COMPUTED_VALUE"""),"RF-00000068-PAR")</f>
        <v>RF-00000068-PAR</v>
      </c>
    </row>
    <row r="8246" spans="1:2" ht="12.5" x14ac:dyDescent="0.25">
      <c r="A8246" t="str">
        <f ca="1">IFERROR(__xludf.DUMMYFUNCTION("""COMPUTED_VALUE"""),"Staphylococcus S.aureus, meticillin resistant (MRSA) spa-type t2510 CC398")</f>
        <v>Staphylococcus S.aureus, meticillin resistant (MRSA) spa-type t2510 CC398</v>
      </c>
      <c r="B8246" t="str">
        <f ca="1">IFERROR(__xludf.DUMMYFUNCTION("""COMPUTED_VALUE"""),"RF-00000071-PAR")</f>
        <v>RF-00000071-PAR</v>
      </c>
    </row>
    <row r="8247" spans="1:2" ht="12.5" x14ac:dyDescent="0.25">
      <c r="A8247" t="str">
        <f ca="1">IFERROR(__xludf.DUMMYFUNCTION("""COMPUTED_VALUE"""),"Staphylococcus S.aureus, meticillin resistant (MRSA) spa-type t2510 CC398 ST398")</f>
        <v>Staphylococcus S.aureus, meticillin resistant (MRSA) spa-type t2510 CC398 ST398</v>
      </c>
      <c r="B8247" t="str">
        <f ca="1">IFERROR(__xludf.DUMMYFUNCTION("""COMPUTED_VALUE"""),"RF-00000072-PAR")</f>
        <v>RF-00000072-PAR</v>
      </c>
    </row>
    <row r="8248" spans="1:2" ht="12.5" x14ac:dyDescent="0.25">
      <c r="A8248" t="str">
        <f ca="1">IFERROR(__xludf.DUMMYFUNCTION("""COMPUTED_VALUE"""),"Staphylococcus S.aureus, meticillin resistant (MRSA) spa-type t2922 CC398")</f>
        <v>Staphylococcus S.aureus, meticillin resistant (MRSA) spa-type t2922 CC398</v>
      </c>
      <c r="B8248" t="str">
        <f ca="1">IFERROR(__xludf.DUMMYFUNCTION("""COMPUTED_VALUE"""),"RF-00000073-PAR")</f>
        <v>RF-00000073-PAR</v>
      </c>
    </row>
    <row r="8249" spans="1:2" ht="12.5" x14ac:dyDescent="0.25">
      <c r="A8249" t="str">
        <f ca="1">IFERROR(__xludf.DUMMYFUNCTION("""COMPUTED_VALUE"""),"Staphylococcus S.aureus, meticillin resistant (MRSA) spa-type t2922 CC398 ST398")</f>
        <v>Staphylococcus S.aureus, meticillin resistant (MRSA) spa-type t2922 CC398 ST398</v>
      </c>
      <c r="B8249" t="str">
        <f ca="1">IFERROR(__xludf.DUMMYFUNCTION("""COMPUTED_VALUE"""),"RF-00000074-PAR")</f>
        <v>RF-00000074-PAR</v>
      </c>
    </row>
    <row r="8250" spans="1:2" ht="12.5" x14ac:dyDescent="0.25">
      <c r="A8250" t="str">
        <f ca="1">IFERROR(__xludf.DUMMYFUNCTION("""COMPUTED_VALUE"""),"Staphylococcus S.aureus, meticillin resistant (MRSA) spa-type t2970")</f>
        <v>Staphylococcus S.aureus, meticillin resistant (MRSA) spa-type t2970</v>
      </c>
      <c r="B8250" t="str">
        <f ca="1">IFERROR(__xludf.DUMMYFUNCTION("""COMPUTED_VALUE"""),"RF-00000075-PAR")</f>
        <v>RF-00000075-PAR</v>
      </c>
    </row>
    <row r="8251" spans="1:2" ht="12.5" x14ac:dyDescent="0.25">
      <c r="A8251" t="str">
        <f ca="1">IFERROR(__xludf.DUMMYFUNCTION("""COMPUTED_VALUE"""),"Staphylococcus S.aureus, meticillin resistant (MRSA) spa-type t2970 CC398")</f>
        <v>Staphylococcus S.aureus, meticillin resistant (MRSA) spa-type t2970 CC398</v>
      </c>
      <c r="B8251" t="str">
        <f ca="1">IFERROR(__xludf.DUMMYFUNCTION("""COMPUTED_VALUE"""),"RF-00000076-PAR")</f>
        <v>RF-00000076-PAR</v>
      </c>
    </row>
    <row r="8252" spans="1:2" ht="12.5" x14ac:dyDescent="0.25">
      <c r="A8252" t="str">
        <f ca="1">IFERROR(__xludf.DUMMYFUNCTION("""COMPUTED_VALUE"""),"Staphylococcus S.aureus, meticillin resistant (MRSA) spa-type t2970 CC398 ST398")</f>
        <v>Staphylococcus S.aureus, meticillin resistant (MRSA) spa-type t2970 CC398 ST398</v>
      </c>
      <c r="B8252" t="str">
        <f ca="1">IFERROR(__xludf.DUMMYFUNCTION("""COMPUTED_VALUE"""),"RF-00000077-PAR")</f>
        <v>RF-00000077-PAR</v>
      </c>
    </row>
    <row r="8253" spans="1:2" ht="12.5" x14ac:dyDescent="0.25">
      <c r="A8253" t="str">
        <f ca="1">IFERROR(__xludf.DUMMYFUNCTION("""COMPUTED_VALUE"""),"Staphylococcus S.aureus, meticillin resistant (MRSA) spa-type t3015")</f>
        <v>Staphylococcus S.aureus, meticillin resistant (MRSA) spa-type t3015</v>
      </c>
      <c r="B8253" t="str">
        <f ca="1">IFERROR(__xludf.DUMMYFUNCTION("""COMPUTED_VALUE"""),"RF-00000078-PAR")</f>
        <v>RF-00000078-PAR</v>
      </c>
    </row>
    <row r="8254" spans="1:2" ht="12.5" x14ac:dyDescent="0.25">
      <c r="A8254" t="str">
        <f ca="1">IFERROR(__xludf.DUMMYFUNCTION("""COMPUTED_VALUE"""),"Staphylococcus S.aureus, meticillin resistant (MRSA) spa-type t3015 CC398")</f>
        <v>Staphylococcus S.aureus, meticillin resistant (MRSA) spa-type t3015 CC398</v>
      </c>
      <c r="B8254" t="str">
        <f ca="1">IFERROR(__xludf.DUMMYFUNCTION("""COMPUTED_VALUE"""),"RF-00000079-PAR")</f>
        <v>RF-00000079-PAR</v>
      </c>
    </row>
    <row r="8255" spans="1:2" ht="12.5" x14ac:dyDescent="0.25">
      <c r="A8255" t="str">
        <f ca="1">IFERROR(__xludf.DUMMYFUNCTION("""COMPUTED_VALUE"""),"Staphylococcus S.aureus, meticillin resistant (MRSA) spa-type t3015 CC398 ST398")</f>
        <v>Staphylococcus S.aureus, meticillin resistant (MRSA) spa-type t3015 CC398 ST398</v>
      </c>
      <c r="B8255" t="str">
        <f ca="1">IFERROR(__xludf.DUMMYFUNCTION("""COMPUTED_VALUE"""),"RF-00000080-PAR")</f>
        <v>RF-00000080-PAR</v>
      </c>
    </row>
    <row r="8256" spans="1:2" ht="12.5" x14ac:dyDescent="0.25">
      <c r="A8256" t="str">
        <f ca="1">IFERROR(__xludf.DUMMYFUNCTION("""COMPUTED_VALUE"""),"Staphylococcus S.aureus, meticillin resistant (MRSA) spa-type t3119")</f>
        <v>Staphylococcus S.aureus, meticillin resistant (MRSA) spa-type t3119</v>
      </c>
      <c r="B8256" t="str">
        <f ca="1">IFERROR(__xludf.DUMMYFUNCTION("""COMPUTED_VALUE"""),"RF-00000081-PAR")</f>
        <v>RF-00000081-PAR</v>
      </c>
    </row>
    <row r="8257" spans="1:2" ht="12.5" x14ac:dyDescent="0.25">
      <c r="A8257" t="str">
        <f ca="1">IFERROR(__xludf.DUMMYFUNCTION("""COMPUTED_VALUE"""),"Staphylococcus S.aureus, meticillin resistant (MRSA) spa-type t3119 CC398")</f>
        <v>Staphylococcus S.aureus, meticillin resistant (MRSA) spa-type t3119 CC398</v>
      </c>
      <c r="B8257" t="str">
        <f ca="1">IFERROR(__xludf.DUMMYFUNCTION("""COMPUTED_VALUE"""),"RF-00000082-PAR")</f>
        <v>RF-00000082-PAR</v>
      </c>
    </row>
    <row r="8258" spans="1:2" ht="12.5" x14ac:dyDescent="0.25">
      <c r="A8258" t="str">
        <f ca="1">IFERROR(__xludf.DUMMYFUNCTION("""COMPUTED_VALUE"""),"Staphylococcus S.aureus, meticillin resistant (MRSA) spa-type t3119 CC398 ST398")</f>
        <v>Staphylococcus S.aureus, meticillin resistant (MRSA) spa-type t3119 CC398 ST398</v>
      </c>
      <c r="B8258" t="str">
        <f ca="1">IFERROR(__xludf.DUMMYFUNCTION("""COMPUTED_VALUE"""),"RF-00000083-PAR")</f>
        <v>RF-00000083-PAR</v>
      </c>
    </row>
    <row r="8259" spans="1:2" ht="12.5" x14ac:dyDescent="0.25">
      <c r="A8259" t="str">
        <f ca="1">IFERROR(__xludf.DUMMYFUNCTION("""COMPUTED_VALUE"""),"Staphylococcus S.aureus, meticillin resistant (MRSA) spa-type t337")</f>
        <v>Staphylococcus S.aureus, meticillin resistant (MRSA) spa-type t337</v>
      </c>
      <c r="B8259" t="str">
        <f ca="1">IFERROR(__xludf.DUMMYFUNCTION("""COMPUTED_VALUE"""),"RF-00000086-PAR")</f>
        <v>RF-00000086-PAR</v>
      </c>
    </row>
    <row r="8260" spans="1:2" ht="12.5" x14ac:dyDescent="0.25">
      <c r="A8260" t="str">
        <f ca="1">IFERROR(__xludf.DUMMYFUNCTION("""COMPUTED_VALUE"""),"Staphylococcus S.aureus, meticillin resistant (MRSA) spa-type t337 CC398")</f>
        <v>Staphylococcus S.aureus, meticillin resistant (MRSA) spa-type t337 CC398</v>
      </c>
      <c r="B8260" t="str">
        <f ca="1">IFERROR(__xludf.DUMMYFUNCTION("""COMPUTED_VALUE"""),"RF-00000087-PAR")</f>
        <v>RF-00000087-PAR</v>
      </c>
    </row>
    <row r="8261" spans="1:2" ht="12.5" x14ac:dyDescent="0.25">
      <c r="A8261" t="str">
        <f ca="1">IFERROR(__xludf.DUMMYFUNCTION("""COMPUTED_VALUE"""),"Staphylococcus S.aureus, meticillin resistant (MRSA) spa-type t337 CC398 ST398")</f>
        <v>Staphylococcus S.aureus, meticillin resistant (MRSA) spa-type t337 CC398 ST398</v>
      </c>
      <c r="B8261" t="str">
        <f ca="1">IFERROR(__xludf.DUMMYFUNCTION("""COMPUTED_VALUE"""),"RF-00000088-PAR")</f>
        <v>RF-00000088-PAR</v>
      </c>
    </row>
    <row r="8262" spans="1:2" ht="12.5" x14ac:dyDescent="0.25">
      <c r="A8262" t="str">
        <f ca="1">IFERROR(__xludf.DUMMYFUNCTION("""COMPUTED_VALUE"""),"Staphylococcus S.aureus, meticillin resistant (MRSA) spa-type t3479 CC398")</f>
        <v>Staphylococcus S.aureus, meticillin resistant (MRSA) spa-type t3479 CC398</v>
      </c>
      <c r="B8262" t="str">
        <f ca="1">IFERROR(__xludf.DUMMYFUNCTION("""COMPUTED_VALUE"""),"RF-00000084-PAR")</f>
        <v>RF-00000084-PAR</v>
      </c>
    </row>
    <row r="8263" spans="1:2" ht="12.5" x14ac:dyDescent="0.25">
      <c r="A8263" t="str">
        <f ca="1">IFERROR(__xludf.DUMMYFUNCTION("""COMPUTED_VALUE"""),"Staphylococcus S.aureus, meticillin resistant (MRSA) spa-type t3479 CC398 ST398")</f>
        <v>Staphylococcus S.aureus, meticillin resistant (MRSA) spa-type t3479 CC398 ST398</v>
      </c>
      <c r="B8263" t="str">
        <f ca="1">IFERROR(__xludf.DUMMYFUNCTION("""COMPUTED_VALUE"""),"RF-00000085-PAR")</f>
        <v>RF-00000085-PAR</v>
      </c>
    </row>
    <row r="8264" spans="1:2" ht="12.5" x14ac:dyDescent="0.25">
      <c r="A8264" t="str">
        <f ca="1">IFERROR(__xludf.DUMMYFUNCTION("""COMPUTED_VALUE"""),"Staphylococcus S.aureus, meticillin resistant (MRSA) spa-type t3992 CC97")</f>
        <v>Staphylococcus S.aureus, meticillin resistant (MRSA) spa-type t3992 CC97</v>
      </c>
      <c r="B8264" t="str">
        <f ca="1">IFERROR(__xludf.DUMMYFUNCTION("""COMPUTED_VALUE"""),"RF-00000123-PAR")</f>
        <v>RF-00000123-PAR</v>
      </c>
    </row>
    <row r="8265" spans="1:2" ht="12.5" x14ac:dyDescent="0.25">
      <c r="A8265" t="str">
        <f ca="1">IFERROR(__xludf.DUMMYFUNCTION("""COMPUTED_VALUE"""),"Staphylococcus S.aureus, meticillin resistant (MRSA) spa-type t3992 CC97 ST97")</f>
        <v>Staphylococcus S.aureus, meticillin resistant (MRSA) spa-type t3992 CC97 ST97</v>
      </c>
      <c r="B8265" t="str">
        <f ca="1">IFERROR(__xludf.DUMMYFUNCTION("""COMPUTED_VALUE"""),"RF-00000124-PAR")</f>
        <v>RF-00000124-PAR</v>
      </c>
    </row>
    <row r="8266" spans="1:2" ht="12.5" x14ac:dyDescent="0.25">
      <c r="A8266" t="str">
        <f ca="1">IFERROR(__xludf.DUMMYFUNCTION("""COMPUTED_VALUE"""),"Staphylococcus S.aureus, meticillin resistant (MRSA) spa-type t4208")</f>
        <v>Staphylococcus S.aureus, meticillin resistant (MRSA) spa-type t4208</v>
      </c>
      <c r="B8266" t="str">
        <f ca="1">IFERROR(__xludf.DUMMYFUNCTION("""COMPUTED_VALUE"""),"RF-00000089-PAR")</f>
        <v>RF-00000089-PAR</v>
      </c>
    </row>
    <row r="8267" spans="1:2" ht="12.5" x14ac:dyDescent="0.25">
      <c r="A8267" t="str">
        <f ca="1">IFERROR(__xludf.DUMMYFUNCTION("""COMPUTED_VALUE"""),"Staphylococcus S.aureus, meticillin resistant (MRSA) spa-type t4208 CC398")</f>
        <v>Staphylococcus S.aureus, meticillin resistant (MRSA) spa-type t4208 CC398</v>
      </c>
      <c r="B8267" t="str">
        <f ca="1">IFERROR(__xludf.DUMMYFUNCTION("""COMPUTED_VALUE"""),"RF-00000090-PAR")</f>
        <v>RF-00000090-PAR</v>
      </c>
    </row>
    <row r="8268" spans="1:2" ht="12.5" x14ac:dyDescent="0.25">
      <c r="A8268" t="str">
        <f ca="1">IFERROR(__xludf.DUMMYFUNCTION("""COMPUTED_VALUE"""),"Staphylococcus S.aureus, meticillin resistant (MRSA) spa-type t4208 CC398 ST398")</f>
        <v>Staphylococcus S.aureus, meticillin resistant (MRSA) spa-type t4208 CC398 ST398</v>
      </c>
      <c r="B8268" t="str">
        <f ca="1">IFERROR(__xludf.DUMMYFUNCTION("""COMPUTED_VALUE"""),"RF-00000091-PAR")</f>
        <v>RF-00000091-PAR</v>
      </c>
    </row>
    <row r="8269" spans="1:2" ht="12.5" x14ac:dyDescent="0.25">
      <c r="A8269" t="str">
        <f ca="1">IFERROR(__xludf.DUMMYFUNCTION("""COMPUTED_VALUE"""),"Staphylococcus S.aureus, meticillin resistant (MRSA) spa-type t426 CC97")</f>
        <v>Staphylococcus S.aureus, meticillin resistant (MRSA) spa-type t426 CC97</v>
      </c>
      <c r="B8269" t="str">
        <f ca="1">IFERROR(__xludf.DUMMYFUNCTION("""COMPUTED_VALUE"""),"RF-00000117-PAR")</f>
        <v>RF-00000117-PAR</v>
      </c>
    </row>
    <row r="8270" spans="1:2" ht="12.5" x14ac:dyDescent="0.25">
      <c r="A8270" t="str">
        <f ca="1">IFERROR(__xludf.DUMMYFUNCTION("""COMPUTED_VALUE"""),"Staphylococcus S.aureus, meticillin resistant (MRSA) spa-type t426 CC97 ST97")</f>
        <v>Staphylococcus S.aureus, meticillin resistant (MRSA) spa-type t426 CC97 ST97</v>
      </c>
      <c r="B8270" t="str">
        <f ca="1">IFERROR(__xludf.DUMMYFUNCTION("""COMPUTED_VALUE"""),"RF-00000118-PAR")</f>
        <v>RF-00000118-PAR</v>
      </c>
    </row>
    <row r="8271" spans="1:2" ht="12.5" x14ac:dyDescent="0.25">
      <c r="A8271" t="str">
        <f ca="1">IFERROR(__xludf.DUMMYFUNCTION("""COMPUTED_VALUE"""),"Staphylococcus S.aureus, meticillin resistant (MRSA) spa-type t4659 CC398")</f>
        <v>Staphylococcus S.aureus, meticillin resistant (MRSA) spa-type t4659 CC398</v>
      </c>
      <c r="B8271" t="str">
        <f ca="1">IFERROR(__xludf.DUMMYFUNCTION("""COMPUTED_VALUE"""),"RF-00000092-PAR")</f>
        <v>RF-00000092-PAR</v>
      </c>
    </row>
    <row r="8272" spans="1:2" ht="12.5" x14ac:dyDescent="0.25">
      <c r="A8272" t="str">
        <f ca="1">IFERROR(__xludf.DUMMYFUNCTION("""COMPUTED_VALUE"""),"Staphylococcus S.aureus, meticillin resistant (MRSA) spa-type t4659 CC398 ST398")</f>
        <v>Staphylococcus S.aureus, meticillin resistant (MRSA) spa-type t4659 CC398 ST398</v>
      </c>
      <c r="B8272" t="str">
        <f ca="1">IFERROR(__xludf.DUMMYFUNCTION("""COMPUTED_VALUE"""),"RF-00000093-PAR")</f>
        <v>RF-00000093-PAR</v>
      </c>
    </row>
    <row r="8273" spans="1:2" ht="12.5" x14ac:dyDescent="0.25">
      <c r="A8273" t="str">
        <f ca="1">IFERROR(__xludf.DUMMYFUNCTION("""COMPUTED_VALUE"""),"Staphylococcus S.aureus, meticillin resistant (MRSA) spa-type t4838 CC398")</f>
        <v>Staphylococcus S.aureus, meticillin resistant (MRSA) spa-type t4838 CC398</v>
      </c>
      <c r="B8273" t="str">
        <f ca="1">IFERROR(__xludf.DUMMYFUNCTION("""COMPUTED_VALUE"""),"RF-00000094-PAR")</f>
        <v>RF-00000094-PAR</v>
      </c>
    </row>
    <row r="8274" spans="1:2" ht="12.5" x14ac:dyDescent="0.25">
      <c r="A8274" t="str">
        <f ca="1">IFERROR(__xludf.DUMMYFUNCTION("""COMPUTED_VALUE"""),"Staphylococcus S.aureus, meticillin resistant (MRSA) spa-type t4838 CC398 ST398")</f>
        <v>Staphylococcus S.aureus, meticillin resistant (MRSA) spa-type t4838 CC398 ST398</v>
      </c>
      <c r="B8274" t="str">
        <f ca="1">IFERROR(__xludf.DUMMYFUNCTION("""COMPUTED_VALUE"""),"RF-00000095-PAR")</f>
        <v>RF-00000095-PAR</v>
      </c>
    </row>
    <row r="8275" spans="1:2" ht="12.5" x14ac:dyDescent="0.25">
      <c r="A8275" t="str">
        <f ca="1">IFERROR(__xludf.DUMMYFUNCTION("""COMPUTED_VALUE"""),"Staphylococcus S.aureus, meticillin resistant (MRSA) spa-type t4854 CC398")</f>
        <v>Staphylococcus S.aureus, meticillin resistant (MRSA) spa-type t4854 CC398</v>
      </c>
      <c r="B8275" t="str">
        <f ca="1">IFERROR(__xludf.DUMMYFUNCTION("""COMPUTED_VALUE"""),"RF-00000096-PAR")</f>
        <v>RF-00000096-PAR</v>
      </c>
    </row>
    <row r="8276" spans="1:2" ht="12.5" x14ac:dyDescent="0.25">
      <c r="A8276" t="str">
        <f ca="1">IFERROR(__xludf.DUMMYFUNCTION("""COMPUTED_VALUE"""),"Staphylococcus S.aureus, meticillin resistant (MRSA) spa-type t4854 CC398 ST398")</f>
        <v>Staphylococcus S.aureus, meticillin resistant (MRSA) spa-type t4854 CC398 ST398</v>
      </c>
      <c r="B8276" t="str">
        <f ca="1">IFERROR(__xludf.DUMMYFUNCTION("""COMPUTED_VALUE"""),"RF-00000097-PAR")</f>
        <v>RF-00000097-PAR</v>
      </c>
    </row>
    <row r="8277" spans="1:2" ht="12.5" x14ac:dyDescent="0.25">
      <c r="A8277" t="str">
        <f ca="1">IFERROR(__xludf.DUMMYFUNCTION("""COMPUTED_VALUE"""),"Staphylococcus S.aureus, meticillin resistant (MRSA) spa-type t4872 CC398")</f>
        <v>Staphylococcus S.aureus, meticillin resistant (MRSA) spa-type t4872 CC398</v>
      </c>
      <c r="B8277" t="str">
        <f ca="1">IFERROR(__xludf.DUMMYFUNCTION("""COMPUTED_VALUE"""),"RF-00000098-PAR")</f>
        <v>RF-00000098-PAR</v>
      </c>
    </row>
    <row r="8278" spans="1:2" ht="12.5" x14ac:dyDescent="0.25">
      <c r="A8278" t="str">
        <f ca="1">IFERROR(__xludf.DUMMYFUNCTION("""COMPUTED_VALUE"""),"Staphylococcus S.aureus, meticillin resistant (MRSA) spa-type t4872 CC398 ST398")</f>
        <v>Staphylococcus S.aureus, meticillin resistant (MRSA) spa-type t4872 CC398 ST398</v>
      </c>
      <c r="B8278" t="str">
        <f ca="1">IFERROR(__xludf.DUMMYFUNCTION("""COMPUTED_VALUE"""),"RF-00000099-PAR")</f>
        <v>RF-00000099-PAR</v>
      </c>
    </row>
    <row r="8279" spans="1:2" ht="12.5" x14ac:dyDescent="0.25">
      <c r="A8279" t="str">
        <f ca="1">IFERROR(__xludf.DUMMYFUNCTION("""COMPUTED_VALUE"""),"Staphylococcus S.aureus, meticillin resistant (MRSA) spa-type t5487 CC97")</f>
        <v>Staphylococcus S.aureus, meticillin resistant (MRSA) spa-type t5487 CC97</v>
      </c>
      <c r="B8279" t="str">
        <f ca="1">IFERROR(__xludf.DUMMYFUNCTION("""COMPUTED_VALUE"""),"RF-00000125-PAR")</f>
        <v>RF-00000125-PAR</v>
      </c>
    </row>
    <row r="8280" spans="1:2" ht="12.5" x14ac:dyDescent="0.25">
      <c r="A8280" t="str">
        <f ca="1">IFERROR(__xludf.DUMMYFUNCTION("""COMPUTED_VALUE"""),"Staphylococcus S.aureus, meticillin resistant (MRSA) spa-type t5487 CC97 ST97")</f>
        <v>Staphylococcus S.aureus, meticillin resistant (MRSA) spa-type t5487 CC97 ST97</v>
      </c>
      <c r="B8280" t="str">
        <f ca="1">IFERROR(__xludf.DUMMYFUNCTION("""COMPUTED_VALUE"""),"RF-00000126-PAR")</f>
        <v>RF-00000126-PAR</v>
      </c>
    </row>
    <row r="8281" spans="1:2" ht="12.5" x14ac:dyDescent="0.25">
      <c r="A8281" t="str">
        <f ca="1">IFERROR(__xludf.DUMMYFUNCTION("""COMPUTED_VALUE"""),"Staphylococcus S.aureus, meticillin resistant (MRSA) spa-type t567 CC398")</f>
        <v>Staphylococcus S.aureus, meticillin resistant (MRSA) spa-type t567 CC398</v>
      </c>
      <c r="B8281" t="str">
        <f ca="1">IFERROR(__xludf.DUMMYFUNCTION("""COMPUTED_VALUE"""),"RF-00000100-PAR")</f>
        <v>RF-00000100-PAR</v>
      </c>
    </row>
    <row r="8282" spans="1:2" ht="12.5" x14ac:dyDescent="0.25">
      <c r="A8282" t="str">
        <f ca="1">IFERROR(__xludf.DUMMYFUNCTION("""COMPUTED_VALUE"""),"Staphylococcus S.aureus, meticillin resistant (MRSA) spa-type t567 CC398 ST398")</f>
        <v>Staphylococcus S.aureus, meticillin resistant (MRSA) spa-type t567 CC398 ST398</v>
      </c>
      <c r="B8282" t="str">
        <f ca="1">IFERROR(__xludf.DUMMYFUNCTION("""COMPUTED_VALUE"""),"RF-00000101-PAR")</f>
        <v>RF-00000101-PAR</v>
      </c>
    </row>
    <row r="8283" spans="1:2" ht="12.5" x14ac:dyDescent="0.25">
      <c r="A8283" t="str">
        <f ca="1">IFERROR(__xludf.DUMMYFUNCTION("""COMPUTED_VALUE"""),"Staphylococcus S.aureus, meticillin resistant (MRSA) spa-type t571 CC398")</f>
        <v>Staphylococcus S.aureus, meticillin resistant (MRSA) spa-type t571 CC398</v>
      </c>
      <c r="B8283" t="str">
        <f ca="1">IFERROR(__xludf.DUMMYFUNCTION("""COMPUTED_VALUE"""),"RF-00000102-PAR")</f>
        <v>RF-00000102-PAR</v>
      </c>
    </row>
    <row r="8284" spans="1:2" ht="12.5" x14ac:dyDescent="0.25">
      <c r="A8284" t="str">
        <f ca="1">IFERROR(__xludf.DUMMYFUNCTION("""COMPUTED_VALUE"""),"Staphylococcus S.aureus, meticillin resistant (MRSA) spa-type t571 CC398 ST398")</f>
        <v>Staphylococcus S.aureus, meticillin resistant (MRSA) spa-type t571 CC398 ST398</v>
      </c>
      <c r="B8284" t="str">
        <f ca="1">IFERROR(__xludf.DUMMYFUNCTION("""COMPUTED_VALUE"""),"RF-00000103-PAR")</f>
        <v>RF-00000103-PAR</v>
      </c>
    </row>
    <row r="8285" spans="1:2" ht="12.5" x14ac:dyDescent="0.25">
      <c r="A8285" t="str">
        <f ca="1">IFERROR(__xludf.DUMMYFUNCTION("""COMPUTED_VALUE"""),"Staphylococcus S.aureus, meticillin resistant (MRSA) spa-type t779")</f>
        <v>Staphylococcus S.aureus, meticillin resistant (MRSA) spa-type t779</v>
      </c>
      <c r="B8285" t="str">
        <f ca="1">IFERROR(__xludf.DUMMYFUNCTION("""COMPUTED_VALUE"""),"RF-00000104-PAR")</f>
        <v>RF-00000104-PAR</v>
      </c>
    </row>
    <row r="8286" spans="1:2" ht="12.5" x14ac:dyDescent="0.25">
      <c r="A8286" t="str">
        <f ca="1">IFERROR(__xludf.DUMMYFUNCTION("""COMPUTED_VALUE"""),"Staphylococcus S.aureus, meticillin resistant (MRSA) spa-type t779 CC398")</f>
        <v>Staphylococcus S.aureus, meticillin resistant (MRSA) spa-type t779 CC398</v>
      </c>
      <c r="B8286" t="str">
        <f ca="1">IFERROR(__xludf.DUMMYFUNCTION("""COMPUTED_VALUE"""),"RF-00000105-PAR")</f>
        <v>RF-00000105-PAR</v>
      </c>
    </row>
    <row r="8287" spans="1:2" ht="12.5" x14ac:dyDescent="0.25">
      <c r="A8287" t="str">
        <f ca="1">IFERROR(__xludf.DUMMYFUNCTION("""COMPUTED_VALUE"""),"Staphylococcus S.aureus, meticillin resistant (MRSA) spa-type t779 CC398 ST398")</f>
        <v>Staphylococcus S.aureus, meticillin resistant (MRSA) spa-type t779 CC398 ST398</v>
      </c>
      <c r="B8287" t="str">
        <f ca="1">IFERROR(__xludf.DUMMYFUNCTION("""COMPUTED_VALUE"""),"RF-00000106-PAR")</f>
        <v>RF-00000106-PAR</v>
      </c>
    </row>
    <row r="8288" spans="1:2" ht="12.5" x14ac:dyDescent="0.25">
      <c r="A8288" t="str">
        <f ca="1">IFERROR(__xludf.DUMMYFUNCTION("""COMPUTED_VALUE"""),"Staphylococcus S.aureus, meticillin resistant (MRSA) spa-type t898")</f>
        <v>Staphylococcus S.aureus, meticillin resistant (MRSA) spa-type t898</v>
      </c>
      <c r="B8288" t="str">
        <f ca="1">IFERROR(__xludf.DUMMYFUNCTION("""COMPUTED_VALUE"""),"RF-00000107-PAR")</f>
        <v>RF-00000107-PAR</v>
      </c>
    </row>
    <row r="8289" spans="1:2" ht="12.5" x14ac:dyDescent="0.25">
      <c r="A8289" t="str">
        <f ca="1">IFERROR(__xludf.DUMMYFUNCTION("""COMPUTED_VALUE"""),"Staphylococcus S.aureus, meticillin resistant (MRSA) spa-type t898 CC398")</f>
        <v>Staphylococcus S.aureus, meticillin resistant (MRSA) spa-type t898 CC398</v>
      </c>
      <c r="B8289" t="str">
        <f ca="1">IFERROR(__xludf.DUMMYFUNCTION("""COMPUTED_VALUE"""),"RF-00000108-PAR")</f>
        <v>RF-00000108-PAR</v>
      </c>
    </row>
    <row r="8290" spans="1:2" ht="12.5" x14ac:dyDescent="0.25">
      <c r="A8290" t="str">
        <f ca="1">IFERROR(__xludf.DUMMYFUNCTION("""COMPUTED_VALUE"""),"Staphylococcus S.aureus, meticillin resistant (MRSA) spa-type t898 CC398 ST398")</f>
        <v>Staphylococcus S.aureus, meticillin resistant (MRSA) spa-type t898 CC398 ST398</v>
      </c>
      <c r="B8290" t="str">
        <f ca="1">IFERROR(__xludf.DUMMYFUNCTION("""COMPUTED_VALUE"""),"RF-00000109-PAR")</f>
        <v>RF-00000109-PAR</v>
      </c>
    </row>
    <row r="8291" spans="1:2" ht="12.5" x14ac:dyDescent="0.25">
      <c r="A8291" t="str">
        <f ca="1">IFERROR(__xludf.DUMMYFUNCTION("""COMPUTED_VALUE"""),"Staphylococcus S.aureus, meticillin resistant (MRSA) spa-type t899 CC398")</f>
        <v>Staphylococcus S.aureus, meticillin resistant (MRSA) spa-type t899 CC398</v>
      </c>
      <c r="B8291" t="str">
        <f ca="1">IFERROR(__xludf.DUMMYFUNCTION("""COMPUTED_VALUE"""),"RF-00000110-PAR")</f>
        <v>RF-00000110-PAR</v>
      </c>
    </row>
    <row r="8292" spans="1:2" ht="12.5" x14ac:dyDescent="0.25">
      <c r="A8292" t="str">
        <f ca="1">IFERROR(__xludf.DUMMYFUNCTION("""COMPUTED_VALUE"""),"Staphylococcus S.aureus, meticillin resistant (MRSA) spa-type t899 CC398 ST398")</f>
        <v>Staphylococcus S.aureus, meticillin resistant (MRSA) spa-type t899 CC398 ST398</v>
      </c>
      <c r="B8292" t="str">
        <f ca="1">IFERROR(__xludf.DUMMYFUNCTION("""COMPUTED_VALUE"""),"RF-00000111-PAR")</f>
        <v>RF-00000111-PAR</v>
      </c>
    </row>
    <row r="8293" spans="1:2" ht="12.5" x14ac:dyDescent="0.25">
      <c r="A8293" t="str">
        <f ca="1">IFERROR(__xludf.DUMMYFUNCTION("""COMPUTED_VALUE"""),"Staphylococcus S.aureus, meticillin resistant (MRSA) spa-type t943")</f>
        <v>Staphylococcus S.aureus, meticillin resistant (MRSA) spa-type t943</v>
      </c>
      <c r="B8293" t="str">
        <f ca="1">IFERROR(__xludf.DUMMYFUNCTION("""COMPUTED_VALUE"""),"RF-00000112-PAR")</f>
        <v>RF-00000112-PAR</v>
      </c>
    </row>
    <row r="8294" spans="1:2" ht="12.5" x14ac:dyDescent="0.25">
      <c r="A8294" t="str">
        <f ca="1">IFERROR(__xludf.DUMMYFUNCTION("""COMPUTED_VALUE"""),"Staphylococcus S.aureus, meticillin resistant (MRSA) spa-type t943 CC398")</f>
        <v>Staphylococcus S.aureus, meticillin resistant (MRSA) spa-type t943 CC398</v>
      </c>
      <c r="B8294" t="str">
        <f ca="1">IFERROR(__xludf.DUMMYFUNCTION("""COMPUTED_VALUE"""),"RF-00000113-PAR")</f>
        <v>RF-00000113-PAR</v>
      </c>
    </row>
    <row r="8295" spans="1:2" ht="12.5" x14ac:dyDescent="0.25">
      <c r="A8295" t="str">
        <f ca="1">IFERROR(__xludf.DUMMYFUNCTION("""COMPUTED_VALUE"""),"Staphylococcus S.aureus, meticillin resistant (MRSA) spa-type t943 CC398 ST398")</f>
        <v>Staphylococcus S.aureus, meticillin resistant (MRSA) spa-type t943 CC398 ST398</v>
      </c>
      <c r="B8295" t="str">
        <f ca="1">IFERROR(__xludf.DUMMYFUNCTION("""COMPUTED_VALUE"""),"RF-00000114-PAR")</f>
        <v>RF-00000114-PAR</v>
      </c>
    </row>
    <row r="8296" spans="1:2" ht="12.5" x14ac:dyDescent="0.25">
      <c r="A8296" t="str">
        <f ca="1">IFERROR(__xludf.DUMMYFUNCTION("""COMPUTED_VALUE"""),"Staphylococcus spp., unspecified")</f>
        <v>Staphylococcus spp., unspecified</v>
      </c>
      <c r="B8296" t="str">
        <f ca="1">IFERROR(__xludf.DUMMYFUNCTION("""COMPUTED_VALUE"""),"RF-00002501-MCG")</f>
        <v>RF-00002501-MCG</v>
      </c>
    </row>
    <row r="8297" spans="1:2" ht="12.5" x14ac:dyDescent="0.25">
      <c r="A8297" t="str">
        <f ca="1">IFERROR(__xludf.DUMMYFUNCTION("""COMPUTED_VALUE"""),"Staphylococcus suis")</f>
        <v>Staphylococcus suis</v>
      </c>
      <c r="B8297" t="str">
        <f ca="1">IFERROR(__xludf.DUMMYFUNCTION("""COMPUTED_VALUE"""),"RF-00002505-MCG")</f>
        <v>RF-00002505-MCG</v>
      </c>
    </row>
    <row r="8298" spans="1:2" ht="12.5" x14ac:dyDescent="0.25">
      <c r="A8298" t="str">
        <f ca="1">IFERROR(__xludf.DUMMYFUNCTION("""COMPUTED_VALUE"""),"Staphylococcus zooepidemicus")</f>
        <v>Staphylococcus zooepidemicus</v>
      </c>
      <c r="B8298" t="str">
        <f ca="1">IFERROR(__xludf.DUMMYFUNCTION("""COMPUTED_VALUE"""),"RF-00002503-MCG")</f>
        <v>RF-00002503-MCG</v>
      </c>
    </row>
    <row r="8299" spans="1:2" ht="12.5" x14ac:dyDescent="0.25">
      <c r="A8299" t="str">
        <f ca="1">IFERROR(__xludf.DUMMYFUNCTION("""COMPUTED_VALUE"""),"Starch aluminium octenyl succinate")</f>
        <v>Starch aluminium octenyl succinate</v>
      </c>
      <c r="B8299" t="str">
        <f ca="1">IFERROR(__xludf.DUMMYFUNCTION("""COMPUTED_VALUE"""),"RF-00000313-ADD")</f>
        <v>RF-00000313-ADD</v>
      </c>
    </row>
    <row r="8300" spans="1:2" ht="12.5" x14ac:dyDescent="0.25">
      <c r="A8300" t="str">
        <f ca="1">IFERROR(__xludf.DUMMYFUNCTION("""COMPUTED_VALUE"""),"Starch sodium octenyl succinate")</f>
        <v>Starch sodium octenyl succinate</v>
      </c>
      <c r="B8300" t="str">
        <f ca="1">IFERROR(__xludf.DUMMYFUNCTION("""COMPUTED_VALUE"""),"RF-00000314-ADD")</f>
        <v>RF-00000314-ADD</v>
      </c>
    </row>
    <row r="8301" spans="1:2" ht="12.5" x14ac:dyDescent="0.25">
      <c r="A8301" t="str">
        <f ca="1">IFERROR(__xludf.DUMMYFUNCTION("""COMPUTED_VALUE"""),"starch, resistant")</f>
        <v>starch, resistant</v>
      </c>
      <c r="B8301" t="str">
        <f ca="1">IFERROR(__xludf.DUMMYFUNCTION("""COMPUTED_VALUE"""),"RF-00000399-NTR")</f>
        <v>RF-00000399-NTR</v>
      </c>
    </row>
    <row r="8302" spans="1:2" ht="12.5" x14ac:dyDescent="0.25">
      <c r="A8302" t="str">
        <f ca="1">IFERROR(__xludf.DUMMYFUNCTION("""COMPUTED_VALUE"""),"starch, total")</f>
        <v>starch, total</v>
      </c>
      <c r="B8302" t="str">
        <f ca="1">IFERROR(__xludf.DUMMYFUNCTION("""COMPUTED_VALUE"""),"RF-00000400-NTR")</f>
        <v>RF-00000400-NTR</v>
      </c>
    </row>
    <row r="8303" spans="1:2" ht="12.5" x14ac:dyDescent="0.25">
      <c r="A8303" t="str">
        <f ca="1">IFERROR(__xludf.DUMMYFUNCTION("""COMPUTED_VALUE"""),"Stearyl tartrate")</f>
        <v>Stearyl tartrate</v>
      </c>
      <c r="B8303" t="str">
        <f ca="1">IFERROR(__xludf.DUMMYFUNCTION("""COMPUTED_VALUE"""),"RF-00000315-ADD")</f>
        <v>RF-00000315-ADD</v>
      </c>
    </row>
    <row r="8304" spans="1:2" ht="12.5" x14ac:dyDescent="0.25">
      <c r="A8304" t="str">
        <f ca="1">IFERROR(__xludf.DUMMYFUNCTION("""COMPUTED_VALUE"""),"Stemphyltoxin III")</f>
        <v>Stemphyltoxin III</v>
      </c>
      <c r="B8304" t="str">
        <f ca="1">IFERROR(__xludf.DUMMYFUNCTION("""COMPUTED_VALUE"""),"RF-00000205-TOX")</f>
        <v>RF-00000205-TOX</v>
      </c>
    </row>
    <row r="8305" spans="1:2" ht="12.5" x14ac:dyDescent="0.25">
      <c r="A8305" t="str">
        <f ca="1">IFERROR(__xludf.DUMMYFUNCTION("""COMPUTED_VALUE"""),"Sterigmatocystin")</f>
        <v>Sterigmatocystin</v>
      </c>
      <c r="B8305" t="str">
        <f ca="1">IFERROR(__xludf.DUMMYFUNCTION("""COMPUTED_VALUE"""),"RF-00000195-TOX")</f>
        <v>RF-00000195-TOX</v>
      </c>
    </row>
    <row r="8306" spans="1:2" ht="12.5" x14ac:dyDescent="0.25">
      <c r="A8306" t="str">
        <f ca="1">IFERROR(__xludf.DUMMYFUNCTION("""COMPUTED_VALUE"""),"Sterigmatocystins")</f>
        <v>Sterigmatocystins</v>
      </c>
      <c r="B8306" t="str">
        <f ca="1">IFERROR(__xludf.DUMMYFUNCTION("""COMPUTED_VALUE"""),"RF-00000187-TOX")</f>
        <v>RF-00000187-TOX</v>
      </c>
    </row>
    <row r="8307" spans="1:2" ht="12.5" x14ac:dyDescent="0.25">
      <c r="A8307" t="str">
        <f ca="1">IFERROR(__xludf.DUMMYFUNCTION("""COMPUTED_VALUE"""),"Steroids")</f>
        <v>Steroids</v>
      </c>
      <c r="B8307" t="str">
        <f ca="1">IFERROR(__xludf.DUMMYFUNCTION("""COMPUTED_VALUE"""),"RF-00000309-VET")</f>
        <v>RF-00000309-VET</v>
      </c>
    </row>
    <row r="8308" spans="1:2" ht="12.5" x14ac:dyDescent="0.25">
      <c r="A8308" t="str">
        <f ca="1">IFERROR(__xludf.DUMMYFUNCTION("""COMPUTED_VALUE"""),"sterols, other")</f>
        <v>sterols, other</v>
      </c>
      <c r="B8308" t="str">
        <f ca="1">IFERROR(__xludf.DUMMYFUNCTION("""COMPUTED_VALUE"""),"RF-00000401-NTR")</f>
        <v>RF-00000401-NTR</v>
      </c>
    </row>
    <row r="8309" spans="1:2" ht="12.5" x14ac:dyDescent="0.25">
      <c r="A8309" t="str">
        <f ca="1">IFERROR(__xludf.DUMMYFUNCTION("""COMPUTED_VALUE"""),"sterols, total")</f>
        <v>sterols, total</v>
      </c>
      <c r="B8309" t="str">
        <f ca="1">IFERROR(__xludf.DUMMYFUNCTION("""COMPUTED_VALUE"""),"RF-00000402-NTR")</f>
        <v>RF-00000402-NTR</v>
      </c>
    </row>
    <row r="8310" spans="1:2" ht="12.5" x14ac:dyDescent="0.25">
      <c r="A8310" t="str">
        <f ca="1">IFERROR(__xludf.DUMMYFUNCTION("""COMPUTED_VALUE"""),"Steviol")</f>
        <v>Steviol</v>
      </c>
      <c r="B8310" t="str">
        <f ca="1">IFERROR(__xludf.DUMMYFUNCTION("""COMPUTED_VALUE"""),"RF-00000015-ADD")</f>
        <v>RF-00000015-ADD</v>
      </c>
    </row>
    <row r="8311" spans="1:2" ht="12.5" x14ac:dyDescent="0.25">
      <c r="A8311" t="str">
        <f ca="1">IFERROR(__xludf.DUMMYFUNCTION("""COMPUTED_VALUE"""),"Steviolbioside")</f>
        <v>Steviolbioside</v>
      </c>
      <c r="B8311" t="str">
        <f ca="1">IFERROR(__xludf.DUMMYFUNCTION("""COMPUTED_VALUE"""),"RF-00000016-ADD")</f>
        <v>RF-00000016-ADD</v>
      </c>
    </row>
    <row r="8312" spans="1:2" ht="12.5" x14ac:dyDescent="0.25">
      <c r="A8312" t="str">
        <f ca="1">IFERROR(__xludf.DUMMYFUNCTION("""COMPUTED_VALUE"""),"Stevioside")</f>
        <v>Stevioside</v>
      </c>
      <c r="B8312" t="str">
        <f ca="1">IFERROR(__xludf.DUMMYFUNCTION("""COMPUTED_VALUE"""),"RF-00000017-ADD")</f>
        <v>RF-00000017-ADD</v>
      </c>
    </row>
    <row r="8313" spans="1:2" ht="12.5" x14ac:dyDescent="0.25">
      <c r="A8313" t="str">
        <f ca="1">IFERROR(__xludf.DUMMYFUNCTION("""COMPUTED_VALUE"""),"stigmasterol")</f>
        <v>stigmasterol</v>
      </c>
      <c r="B8313" t="str">
        <f ca="1">IFERROR(__xludf.DUMMYFUNCTION("""COMPUTED_VALUE"""),"RF-00000403-NTR")</f>
        <v>RF-00000403-NTR</v>
      </c>
    </row>
    <row r="8314" spans="1:2" ht="12.5" x14ac:dyDescent="0.25">
      <c r="A8314" t="str">
        <f ca="1">IFERROR(__xludf.DUMMYFUNCTION("""COMPUTED_VALUE"""),"Stilbenes, stilbene derivatives")</f>
        <v>Stilbenes, stilbene derivatives</v>
      </c>
      <c r="B8314" t="str">
        <f ca="1">IFERROR(__xludf.DUMMYFUNCTION("""COMPUTED_VALUE"""),"RF-00000284-VET")</f>
        <v>RF-00000284-VET</v>
      </c>
    </row>
    <row r="8315" spans="1:2" ht="12.5" x14ac:dyDescent="0.25">
      <c r="A8315" t="str">
        <f ca="1">IFERROR(__xludf.DUMMYFUNCTION("""COMPUTED_VALUE"""),"Streptococcus")</f>
        <v>Streptococcus</v>
      </c>
      <c r="B8315" t="str">
        <f ca="1">IFERROR(__xludf.DUMMYFUNCTION("""COMPUTED_VALUE"""),"RF-00002499-MCG")</f>
        <v>RF-00002499-MCG</v>
      </c>
    </row>
    <row r="8316" spans="1:2" ht="12.5" x14ac:dyDescent="0.25">
      <c r="A8316" t="str">
        <f ca="1">IFERROR(__xludf.DUMMYFUNCTION("""COMPUTED_VALUE"""),"Streptococcus spp., unspecified")</f>
        <v>Streptococcus spp., unspecified</v>
      </c>
      <c r="B8316" t="str">
        <f ca="1">IFERROR(__xludf.DUMMYFUNCTION("""COMPUTED_VALUE"""),"RF-00002500-MCG")</f>
        <v>RF-00002500-MCG</v>
      </c>
    </row>
    <row r="8317" spans="1:2" ht="12.5" x14ac:dyDescent="0.25">
      <c r="A8317" t="str">
        <f ca="1">IFERROR(__xludf.DUMMYFUNCTION("""COMPUTED_VALUE"""),"Streptogramins")</f>
        <v>Streptogramins</v>
      </c>
      <c r="B8317" t="str">
        <f ca="1">IFERROR(__xludf.DUMMYFUNCTION("""COMPUTED_VALUE"""),"RF-00000773-VET")</f>
        <v>RF-00000773-VET</v>
      </c>
    </row>
    <row r="8318" spans="1:2" ht="12.5" x14ac:dyDescent="0.25">
      <c r="A8318" t="str">
        <f ca="1">IFERROR(__xludf.DUMMYFUNCTION("""COMPUTED_VALUE"""),"Streptomycin")</f>
        <v>Streptomycin</v>
      </c>
      <c r="B8318" t="str">
        <f ca="1">IFERROR(__xludf.DUMMYFUNCTION("""COMPUTED_VALUE"""),"RF-0899-001-PPP")</f>
        <v>RF-0899-001-PPP</v>
      </c>
    </row>
    <row r="8319" spans="1:2" ht="12.5" x14ac:dyDescent="0.25">
      <c r="A8319" t="str">
        <f ca="1">IFERROR(__xludf.DUMMYFUNCTION("""COMPUTED_VALUE"""),"Streptomycin")</f>
        <v>Streptomycin</v>
      </c>
      <c r="B8319" t="str">
        <f ca="1">IFERROR(__xludf.DUMMYFUNCTION("""COMPUTED_VALUE"""),"RF-00000645-VET")</f>
        <v>RF-00000645-VET</v>
      </c>
    </row>
    <row r="8320" spans="1:2" ht="12.5" x14ac:dyDescent="0.25">
      <c r="A8320" t="str">
        <f ca="1">IFERROR(__xludf.DUMMYFUNCTION("""COMPUTED_VALUE"""),"Strongyloide spp., unspecified")</f>
        <v>Strongyloide spp., unspecified</v>
      </c>
      <c r="B8320" t="str">
        <f ca="1">IFERROR(__xludf.DUMMYFUNCTION("""COMPUTED_VALUE"""),"RF-00002508-MCG")</f>
        <v>RF-00002508-MCG</v>
      </c>
    </row>
    <row r="8321" spans="1:2" ht="12.5" x14ac:dyDescent="0.25">
      <c r="A8321" t="str">
        <f ca="1">IFERROR(__xludf.DUMMYFUNCTION("""COMPUTED_VALUE"""),"Strongyloides")</f>
        <v>Strongyloides</v>
      </c>
      <c r="B8321" t="str">
        <f ca="1">IFERROR(__xludf.DUMMYFUNCTION("""COMPUTED_VALUE"""),"RF-00002506-MCG")</f>
        <v>RF-00002506-MCG</v>
      </c>
    </row>
    <row r="8322" spans="1:2" ht="12.5" x14ac:dyDescent="0.25">
      <c r="A8322" t="str">
        <f ca="1">IFERROR(__xludf.DUMMYFUNCTION("""COMPUTED_VALUE"""),"Strongyloides stercoralis")</f>
        <v>Strongyloides stercoralis</v>
      </c>
      <c r="B8322" t="str">
        <f ca="1">IFERROR(__xludf.DUMMYFUNCTION("""COMPUTED_VALUE"""),"RF-00002507-MCG")</f>
        <v>RF-00002507-MCG</v>
      </c>
    </row>
    <row r="8323" spans="1:2" ht="12.5" x14ac:dyDescent="0.25">
      <c r="A8323" t="str">
        <f ca="1">IFERROR(__xludf.DUMMYFUNCTION("""COMPUTED_VALUE"""),"Strontium (Sr)")</f>
        <v>Strontium (Sr)</v>
      </c>
      <c r="B8323" t="str">
        <f ca="1">IFERROR(__xludf.DUMMYFUNCTION("""COMPUTED_VALUE"""),"RF-00000189-CHE")</f>
        <v>RF-00000189-CHE</v>
      </c>
    </row>
    <row r="8324" spans="1:2" ht="12.5" x14ac:dyDescent="0.25">
      <c r="A8324" t="str">
        <f ca="1">IFERROR(__xludf.DUMMYFUNCTION("""COMPUTED_VALUE"""),"Strontium 91")</f>
        <v>Strontium 91</v>
      </c>
      <c r="B8324" t="str">
        <f ca="1">IFERROR(__xludf.DUMMYFUNCTION("""COMPUTED_VALUE"""),"RF-00000011-RAD")</f>
        <v>RF-00000011-RAD</v>
      </c>
    </row>
    <row r="8325" spans="1:2" ht="12.5" x14ac:dyDescent="0.25">
      <c r="A8325" t="str">
        <f ca="1">IFERROR(__xludf.DUMMYFUNCTION("""COMPUTED_VALUE"""),"Strontium and derivatives")</f>
        <v>Strontium and derivatives</v>
      </c>
      <c r="B8325" t="str">
        <f ca="1">IFERROR(__xludf.DUMMYFUNCTION("""COMPUTED_VALUE"""),"RF-00000188-CHE")</f>
        <v>RF-00000188-CHE</v>
      </c>
    </row>
    <row r="8326" spans="1:2" ht="12.5" x14ac:dyDescent="0.25">
      <c r="A8326" t="str">
        <f ca="1">IFERROR(__xludf.DUMMYFUNCTION("""COMPUTED_VALUE"""),"Succinic acid")</f>
        <v>Succinic acid</v>
      </c>
      <c r="B8326" t="str">
        <f ca="1">IFERROR(__xludf.DUMMYFUNCTION("""COMPUTED_VALUE"""),"RF-00000319-ADD")</f>
        <v>RF-00000319-ADD</v>
      </c>
    </row>
    <row r="8327" spans="1:2" ht="12.5" x14ac:dyDescent="0.25">
      <c r="A8327" t="str">
        <f ca="1">IFERROR(__xludf.DUMMYFUNCTION("""COMPUTED_VALUE"""),"Succinylsulfathiazol")</f>
        <v>Succinylsulfathiazol</v>
      </c>
      <c r="B8327" t="str">
        <f ca="1">IFERROR(__xludf.DUMMYFUNCTION("""COMPUTED_VALUE"""),"RF-00000646-VET")</f>
        <v>RF-00000646-VET</v>
      </c>
    </row>
    <row r="8328" spans="1:2" ht="12.5" x14ac:dyDescent="0.25">
      <c r="A8328" t="str">
        <f ca="1">IFERROR(__xludf.DUMMYFUNCTION("""COMPUTED_VALUE"""),"Sucralose")</f>
        <v>Sucralose</v>
      </c>
      <c r="B8328" t="str">
        <f ca="1">IFERROR(__xludf.DUMMYFUNCTION("""COMPUTED_VALUE"""),"RF-00000018-ADD")</f>
        <v>RF-00000018-ADD</v>
      </c>
    </row>
    <row r="8329" spans="1:2" ht="12.5" x14ac:dyDescent="0.25">
      <c r="A8329" t="str">
        <f ca="1">IFERROR(__xludf.DUMMYFUNCTION("""COMPUTED_VALUE"""),"Sucroglycerides")</f>
        <v>Sucroglycerides</v>
      </c>
      <c r="B8329" t="str">
        <f ca="1">IFERROR(__xludf.DUMMYFUNCTION("""COMPUTED_VALUE"""),"RF-00000320-ADD")</f>
        <v>RF-00000320-ADD</v>
      </c>
    </row>
    <row r="8330" spans="1:2" ht="12.5" x14ac:dyDescent="0.25">
      <c r="A8330" t="str">
        <f ca="1">IFERROR(__xludf.DUMMYFUNCTION("""COMPUTED_VALUE"""),"sucrose")</f>
        <v>sucrose</v>
      </c>
      <c r="B8330" t="str">
        <f ca="1">IFERROR(__xludf.DUMMYFUNCTION("""COMPUTED_VALUE"""),"RF-00000404-NTR")</f>
        <v>RF-00000404-NTR</v>
      </c>
    </row>
    <row r="8331" spans="1:2" ht="12.5" x14ac:dyDescent="0.25">
      <c r="A8331" t="str">
        <f ca="1">IFERROR(__xludf.DUMMYFUNCTION("""COMPUTED_VALUE"""),"Sucrose acetate isobutyrate")</f>
        <v>Sucrose acetate isobutyrate</v>
      </c>
      <c r="B8331" t="str">
        <f ca="1">IFERROR(__xludf.DUMMYFUNCTION("""COMPUTED_VALUE"""),"RF-00000321-ADD")</f>
        <v>RF-00000321-ADD</v>
      </c>
    </row>
    <row r="8332" spans="1:2" ht="12.5" x14ac:dyDescent="0.25">
      <c r="A8332" t="str">
        <f ca="1">IFERROR(__xludf.DUMMYFUNCTION("""COMPUTED_VALUE"""),"Sucrose esters of fatty acids")</f>
        <v>Sucrose esters of fatty acids</v>
      </c>
      <c r="B8332" t="str">
        <f ca="1">IFERROR(__xludf.DUMMYFUNCTION("""COMPUTED_VALUE"""),"RF-00000322-ADD")</f>
        <v>RF-00000322-ADD</v>
      </c>
    </row>
    <row r="8333" spans="1:2" ht="12.5" x14ac:dyDescent="0.25">
      <c r="A8333" t="str">
        <f ca="1">IFERROR(__xludf.DUMMYFUNCTION("""COMPUTED_VALUE"""),"Sudan colour")</f>
        <v>Sudan colour</v>
      </c>
      <c r="B8333" t="str">
        <f ca="1">IFERROR(__xludf.DUMMYFUNCTION("""COMPUTED_VALUE"""),"RF-00000448-ORG")</f>
        <v>RF-00000448-ORG</v>
      </c>
    </row>
    <row r="8334" spans="1:2" ht="12.5" x14ac:dyDescent="0.25">
      <c r="A8334" t="str">
        <f ca="1">IFERROR(__xludf.DUMMYFUNCTION("""COMPUTED_VALUE"""),"sugar, added")</f>
        <v>sugar, added</v>
      </c>
      <c r="B8334" t="str">
        <f ca="1">IFERROR(__xludf.DUMMYFUNCTION("""COMPUTED_VALUE"""),"RF-00000405-NTR")</f>
        <v>RF-00000405-NTR</v>
      </c>
    </row>
    <row r="8335" spans="1:2" ht="12.5" x14ac:dyDescent="0.25">
      <c r="A8335" t="str">
        <f ca="1">IFERROR(__xludf.DUMMYFUNCTION("""COMPUTED_VALUE"""),"sugar, natural")</f>
        <v>sugar, natural</v>
      </c>
      <c r="B8335" t="str">
        <f ca="1">IFERROR(__xludf.DUMMYFUNCTION("""COMPUTED_VALUE"""),"RF-00000406-NTR")</f>
        <v>RF-00000406-NTR</v>
      </c>
    </row>
    <row r="8336" spans="1:2" ht="12.5" x14ac:dyDescent="0.25">
      <c r="A8336" t="str">
        <f ca="1">IFERROR(__xludf.DUMMYFUNCTION("""COMPUTED_VALUE"""),"sugars, total")</f>
        <v>sugars, total</v>
      </c>
      <c r="B8336" t="str">
        <f ca="1">IFERROR(__xludf.DUMMYFUNCTION("""COMPUTED_VALUE"""),"RF-00000407-NTR")</f>
        <v>RF-00000407-NTR</v>
      </c>
    </row>
    <row r="8337" spans="1:2" ht="12.5" x14ac:dyDescent="0.25">
      <c r="A8337" t="str">
        <f ca="1">IFERROR(__xludf.DUMMYFUNCTION("""COMPUTED_VALUE"""),"Sulcotrione")</f>
        <v>Sulcotrione</v>
      </c>
      <c r="B8337" t="str">
        <f ca="1">IFERROR(__xludf.DUMMYFUNCTION("""COMPUTED_VALUE"""),"RF-0398-001-PPP")</f>
        <v>RF-0398-001-PPP</v>
      </c>
    </row>
    <row r="8338" spans="1:2" ht="12.5" x14ac:dyDescent="0.25">
      <c r="A8338" t="str">
        <f ca="1">IFERROR(__xludf.DUMMYFUNCTION("""COMPUTED_VALUE"""),"Sulfabenzamide")</f>
        <v>Sulfabenzamide</v>
      </c>
      <c r="B8338" t="str">
        <f ca="1">IFERROR(__xludf.DUMMYFUNCTION("""COMPUTED_VALUE"""),"RF-00000647-VET")</f>
        <v>RF-00000647-VET</v>
      </c>
    </row>
    <row r="8339" spans="1:2" ht="12.5" x14ac:dyDescent="0.25">
      <c r="A8339" t="str">
        <f ca="1">IFERROR(__xludf.DUMMYFUNCTION("""COMPUTED_VALUE"""),"Sulfabromomethazin")</f>
        <v>Sulfabromomethazin</v>
      </c>
      <c r="B8339" t="str">
        <f ca="1">IFERROR(__xludf.DUMMYFUNCTION("""COMPUTED_VALUE"""),"RF-00000779-VET")</f>
        <v>RF-00000779-VET</v>
      </c>
    </row>
    <row r="8340" spans="1:2" ht="12.5" x14ac:dyDescent="0.25">
      <c r="A8340" t="str">
        <f ca="1">IFERROR(__xludf.DUMMYFUNCTION("""COMPUTED_VALUE"""),"Sulfacetamide")</f>
        <v>Sulfacetamide</v>
      </c>
      <c r="B8340" t="str">
        <f ca="1">IFERROR(__xludf.DUMMYFUNCTION("""COMPUTED_VALUE"""),"RF-00000648-VET")</f>
        <v>RF-00000648-VET</v>
      </c>
    </row>
    <row r="8341" spans="1:2" ht="12.5" x14ac:dyDescent="0.25">
      <c r="A8341" t="str">
        <f ca="1">IFERROR(__xludf.DUMMYFUNCTION("""COMPUTED_VALUE"""),"Sulfachlorpyrazine")</f>
        <v>Sulfachlorpyrazine</v>
      </c>
      <c r="B8341" t="str">
        <f ca="1">IFERROR(__xludf.DUMMYFUNCTION("""COMPUTED_VALUE"""),"RF-00000613-VET")</f>
        <v>RF-00000613-VET</v>
      </c>
    </row>
    <row r="8342" spans="1:2" ht="12.5" x14ac:dyDescent="0.25">
      <c r="A8342" t="str">
        <f ca="1">IFERROR(__xludf.DUMMYFUNCTION("""COMPUTED_VALUE"""),"Sulfachlorpyridazine")</f>
        <v>Sulfachlorpyridazine</v>
      </c>
      <c r="B8342" t="str">
        <f ca="1">IFERROR(__xludf.DUMMYFUNCTION("""COMPUTED_VALUE"""),"RF-00000638-VET")</f>
        <v>RF-00000638-VET</v>
      </c>
    </row>
    <row r="8343" spans="1:2" ht="12.5" x14ac:dyDescent="0.25">
      <c r="A8343" t="str">
        <f ca="1">IFERROR(__xludf.DUMMYFUNCTION("""COMPUTED_VALUE"""),"Sulfadiazine")</f>
        <v>Sulfadiazine</v>
      </c>
      <c r="B8343" t="str">
        <f ca="1">IFERROR(__xludf.DUMMYFUNCTION("""COMPUTED_VALUE"""),"RF-00000601-VET")</f>
        <v>RF-00000601-VET</v>
      </c>
    </row>
    <row r="8344" spans="1:2" ht="12.5" x14ac:dyDescent="0.25">
      <c r="A8344" t="str">
        <f ca="1">IFERROR(__xludf.DUMMYFUNCTION("""COMPUTED_VALUE"""),"Sulfadimethoxine")</f>
        <v>Sulfadimethoxine</v>
      </c>
      <c r="B8344" t="str">
        <f ca="1">IFERROR(__xludf.DUMMYFUNCTION("""COMPUTED_VALUE"""),"RF-00000602-VET")</f>
        <v>RF-00000602-VET</v>
      </c>
    </row>
    <row r="8345" spans="1:2" ht="12.5" x14ac:dyDescent="0.25">
      <c r="A8345" t="str">
        <f ca="1">IFERROR(__xludf.DUMMYFUNCTION("""COMPUTED_VALUE"""),"Sulfadimidine")</f>
        <v>Sulfadimidine</v>
      </c>
      <c r="B8345" t="str">
        <f ca="1">IFERROR(__xludf.DUMMYFUNCTION("""COMPUTED_VALUE"""),"RF-00000603-VET")</f>
        <v>RF-00000603-VET</v>
      </c>
    </row>
    <row r="8346" spans="1:2" ht="12.5" x14ac:dyDescent="0.25">
      <c r="A8346" t="str">
        <f ca="1">IFERROR(__xludf.DUMMYFUNCTION("""COMPUTED_VALUE"""),"Sulfadoxin")</f>
        <v>Sulfadoxin</v>
      </c>
      <c r="B8346" t="str">
        <f ca="1">IFERROR(__xludf.DUMMYFUNCTION("""COMPUTED_VALUE"""),"RF-00000604-VET")</f>
        <v>RF-00000604-VET</v>
      </c>
    </row>
    <row r="8347" spans="1:2" ht="12.5" x14ac:dyDescent="0.25">
      <c r="A8347" t="str">
        <f ca="1">IFERROR(__xludf.DUMMYFUNCTION("""COMPUTED_VALUE"""),"Sulfaethoxypyridazin")</f>
        <v>Sulfaethoxypyridazin</v>
      </c>
      <c r="B8347" t="str">
        <f ca="1">IFERROR(__xludf.DUMMYFUNCTION("""COMPUTED_VALUE"""),"RF-00000605-VET")</f>
        <v>RF-00000605-VET</v>
      </c>
    </row>
    <row r="8348" spans="1:2" ht="12.5" x14ac:dyDescent="0.25">
      <c r="A8348" t="str">
        <f ca="1">IFERROR(__xludf.DUMMYFUNCTION("""COMPUTED_VALUE"""),"Sulfaguanidine")</f>
        <v>Sulfaguanidine</v>
      </c>
      <c r="B8348" t="str">
        <f ca="1">IFERROR(__xludf.DUMMYFUNCTION("""COMPUTED_VALUE"""),"RF-00000606-VET")</f>
        <v>RF-00000606-VET</v>
      </c>
    </row>
    <row r="8349" spans="1:2" ht="12.5" x14ac:dyDescent="0.25">
      <c r="A8349" t="str">
        <f ca="1">IFERROR(__xludf.DUMMYFUNCTION("""COMPUTED_VALUE"""),"Sulfalen")</f>
        <v>Sulfalen</v>
      </c>
      <c r="B8349" t="str">
        <f ca="1">IFERROR(__xludf.DUMMYFUNCTION("""COMPUTED_VALUE"""),"RF-00000607-VET")</f>
        <v>RF-00000607-VET</v>
      </c>
    </row>
    <row r="8350" spans="1:2" ht="12.5" x14ac:dyDescent="0.25">
      <c r="A8350" t="str">
        <f ca="1">IFERROR(__xludf.DUMMYFUNCTION("""COMPUTED_VALUE"""),"Sulfallate")</f>
        <v>Sulfallate</v>
      </c>
      <c r="B8350" t="str">
        <f ca="1">IFERROR(__xludf.DUMMYFUNCTION("""COMPUTED_VALUE"""),"RF-1040-001-PPP")</f>
        <v>RF-1040-001-PPP</v>
      </c>
    </row>
    <row r="8351" spans="1:2" ht="12.5" x14ac:dyDescent="0.25">
      <c r="A8351" t="str">
        <f ca="1">IFERROR(__xludf.DUMMYFUNCTION("""COMPUTED_VALUE"""),"Sulfamerazine")</f>
        <v>Sulfamerazine</v>
      </c>
      <c r="B8351" t="str">
        <f ca="1">IFERROR(__xludf.DUMMYFUNCTION("""COMPUTED_VALUE"""),"RF-00000608-VET")</f>
        <v>RF-00000608-VET</v>
      </c>
    </row>
    <row r="8352" spans="1:2" ht="12.5" x14ac:dyDescent="0.25">
      <c r="A8352" t="str">
        <f ca="1">IFERROR(__xludf.DUMMYFUNCTION("""COMPUTED_VALUE"""),"Sulfameter")</f>
        <v>Sulfameter</v>
      </c>
      <c r="B8352" t="str">
        <f ca="1">IFERROR(__xludf.DUMMYFUNCTION("""COMPUTED_VALUE"""),"RF-00000610-VET")</f>
        <v>RF-00000610-VET</v>
      </c>
    </row>
    <row r="8353" spans="1:2" ht="12.5" x14ac:dyDescent="0.25">
      <c r="A8353" t="str">
        <f ca="1">IFERROR(__xludf.DUMMYFUNCTION("""COMPUTED_VALUE"""),"Sulfamethazin (sulfadimidin)")</f>
        <v>Sulfamethazin (sulfadimidin)</v>
      </c>
      <c r="B8353" t="str">
        <f ca="1">IFERROR(__xludf.DUMMYFUNCTION("""COMPUTED_VALUE"""),"RF-00000781-VET")</f>
        <v>RF-00000781-VET</v>
      </c>
    </row>
    <row r="8354" spans="1:2" ht="12.5" x14ac:dyDescent="0.25">
      <c r="A8354" t="str">
        <f ca="1">IFERROR(__xludf.DUMMYFUNCTION("""COMPUTED_VALUE"""),"Sulfamethizol")</f>
        <v>Sulfamethizol</v>
      </c>
      <c r="B8354" t="str">
        <f ca="1">IFERROR(__xludf.DUMMYFUNCTION("""COMPUTED_VALUE"""),"RF-00000624-VET")</f>
        <v>RF-00000624-VET</v>
      </c>
    </row>
    <row r="8355" spans="1:2" ht="12.5" x14ac:dyDescent="0.25">
      <c r="A8355" t="str">
        <f ca="1">IFERROR(__xludf.DUMMYFUNCTION("""COMPUTED_VALUE"""),"Sulfamethoxazole")</f>
        <v>Sulfamethoxazole</v>
      </c>
      <c r="B8355" t="str">
        <f ca="1">IFERROR(__xludf.DUMMYFUNCTION("""COMPUTED_VALUE"""),"RF-00000612-VET")</f>
        <v>RF-00000612-VET</v>
      </c>
    </row>
    <row r="8356" spans="1:2" ht="12.5" x14ac:dyDescent="0.25">
      <c r="A8356" t="str">
        <f ca="1">IFERROR(__xludf.DUMMYFUNCTION("""COMPUTED_VALUE"""),"Sulfamethoxypyridazine")</f>
        <v>Sulfamethoxypyridazine</v>
      </c>
      <c r="B8356" t="str">
        <f ca="1">IFERROR(__xludf.DUMMYFUNCTION("""COMPUTED_VALUE"""),"RF-00000600-VET")</f>
        <v>RF-00000600-VET</v>
      </c>
    </row>
    <row r="8357" spans="1:2" ht="12.5" x14ac:dyDescent="0.25">
      <c r="A8357" t="str">
        <f ca="1">IFERROR(__xludf.DUMMYFUNCTION("""COMPUTED_VALUE"""),"Sulfamonomethoxine")</f>
        <v>Sulfamonomethoxine</v>
      </c>
      <c r="B8357" t="str">
        <f ca="1">IFERROR(__xludf.DUMMYFUNCTION("""COMPUTED_VALUE"""),"RF-00000614-VET")</f>
        <v>RF-00000614-VET</v>
      </c>
    </row>
    <row r="8358" spans="1:2" ht="12.5" x14ac:dyDescent="0.25">
      <c r="A8358" t="str">
        <f ca="1">IFERROR(__xludf.DUMMYFUNCTION("""COMPUTED_VALUE"""),"Sulfamoxol")</f>
        <v>Sulfamoxol</v>
      </c>
      <c r="B8358" t="str">
        <f ca="1">IFERROR(__xludf.DUMMYFUNCTION("""COMPUTED_VALUE"""),"RF-00000615-VET")</f>
        <v>RF-00000615-VET</v>
      </c>
    </row>
    <row r="8359" spans="1:2" ht="12.5" x14ac:dyDescent="0.25">
      <c r="A8359" t="str">
        <f ca="1">IFERROR(__xludf.DUMMYFUNCTION("""COMPUTED_VALUE"""),"Sulfanilamide")</f>
        <v>Sulfanilamide</v>
      </c>
      <c r="B8359" t="str">
        <f ca="1">IFERROR(__xludf.DUMMYFUNCTION("""COMPUTED_VALUE"""),"RF-00000617-VET")</f>
        <v>RF-00000617-VET</v>
      </c>
    </row>
    <row r="8360" spans="1:2" ht="12.5" x14ac:dyDescent="0.25">
      <c r="A8360" t="str">
        <f ca="1">IFERROR(__xludf.DUMMYFUNCTION("""COMPUTED_VALUE"""),"Sulfanitran")</f>
        <v>Sulfanitran</v>
      </c>
      <c r="B8360" t="str">
        <f ca="1">IFERROR(__xludf.DUMMYFUNCTION("""COMPUTED_VALUE"""),"RF-00000619-VET")</f>
        <v>RF-00000619-VET</v>
      </c>
    </row>
    <row r="8361" spans="1:2" ht="12.5" x14ac:dyDescent="0.25">
      <c r="A8361" t="str">
        <f ca="1">IFERROR(__xludf.DUMMYFUNCTION("""COMPUTED_VALUE"""),"Sulfaphenazol")</f>
        <v>Sulfaphenazol</v>
      </c>
      <c r="B8361" t="str">
        <f ca="1">IFERROR(__xludf.DUMMYFUNCTION("""COMPUTED_VALUE"""),"RF-00000649-VET")</f>
        <v>RF-00000649-VET</v>
      </c>
    </row>
    <row r="8362" spans="1:2" ht="12.5" x14ac:dyDescent="0.25">
      <c r="A8362" t="str">
        <f ca="1">IFERROR(__xludf.DUMMYFUNCTION("""COMPUTED_VALUE"""),"Sulfapyrazol")</f>
        <v>Sulfapyrazol</v>
      </c>
      <c r="B8362" t="str">
        <f ca="1">IFERROR(__xludf.DUMMYFUNCTION("""COMPUTED_VALUE"""),"RF-00000621-VET")</f>
        <v>RF-00000621-VET</v>
      </c>
    </row>
    <row r="8363" spans="1:2" ht="12.5" x14ac:dyDescent="0.25">
      <c r="A8363" t="str">
        <f ca="1">IFERROR(__xludf.DUMMYFUNCTION("""COMPUTED_VALUE"""),"Sulfapyridin")</f>
        <v>Sulfapyridin</v>
      </c>
      <c r="B8363" t="str">
        <f ca="1">IFERROR(__xludf.DUMMYFUNCTION("""COMPUTED_VALUE"""),"RF-00000622-VET")</f>
        <v>RF-00000622-VET</v>
      </c>
    </row>
    <row r="8364" spans="1:2" ht="12.5" x14ac:dyDescent="0.25">
      <c r="A8364" t="str">
        <f ca="1">IFERROR(__xludf.DUMMYFUNCTION("""COMPUTED_VALUE"""),"Sulfaquinoxaline")</f>
        <v>Sulfaquinoxaline</v>
      </c>
      <c r="B8364" t="str">
        <f ca="1">IFERROR(__xludf.DUMMYFUNCTION("""COMPUTED_VALUE"""),"RF-00000611-VET")</f>
        <v>RF-00000611-VET</v>
      </c>
    </row>
    <row r="8365" spans="1:2" ht="12.5" x14ac:dyDescent="0.25">
      <c r="A8365" t="str">
        <f ca="1">IFERROR(__xludf.DUMMYFUNCTION("""COMPUTED_VALUE"""),"Sulfasomidin")</f>
        <v>Sulfasomidin</v>
      </c>
      <c r="B8365" t="str">
        <f ca="1">IFERROR(__xludf.DUMMYFUNCTION("""COMPUTED_VALUE"""),"RF-00000782-VET")</f>
        <v>RF-00000782-VET</v>
      </c>
    </row>
    <row r="8366" spans="1:2" ht="12.5" x14ac:dyDescent="0.25">
      <c r="A8366" t="str">
        <f ca="1">IFERROR(__xludf.DUMMYFUNCTION("""COMPUTED_VALUE"""),"Sulfates")</f>
        <v>Sulfates</v>
      </c>
      <c r="B8366" t="str">
        <f ca="1">IFERROR(__xludf.DUMMYFUNCTION("""COMPUTED_VALUE"""),"RF-00000112-CHE")</f>
        <v>RF-00000112-CHE</v>
      </c>
    </row>
    <row r="8367" spans="1:2" ht="12.5" x14ac:dyDescent="0.25">
      <c r="A8367" t="str">
        <f ca="1">IFERROR(__xludf.DUMMYFUNCTION("""COMPUTED_VALUE"""),"Sulfathiazole")</f>
        <v>Sulfathiazole</v>
      </c>
      <c r="B8367" t="str">
        <f ca="1">IFERROR(__xludf.DUMMYFUNCTION("""COMPUTED_VALUE"""),"RF-00000687-VET")</f>
        <v>RF-00000687-VET</v>
      </c>
    </row>
    <row r="8368" spans="1:2" ht="12.5" x14ac:dyDescent="0.25">
      <c r="A8368" t="str">
        <f ca="1">IFERROR(__xludf.DUMMYFUNCTION("""COMPUTED_VALUE"""),"Sulfathiazole")</f>
        <v>Sulfathiazole</v>
      </c>
      <c r="B8368" t="str">
        <f ca="1">IFERROR(__xludf.DUMMYFUNCTION("""COMPUTED_VALUE"""),"RF-0900-001-PPP")</f>
        <v>RF-0900-001-PPP</v>
      </c>
    </row>
    <row r="8369" spans="1:2" ht="12.5" x14ac:dyDescent="0.25">
      <c r="A8369" t="str">
        <f ca="1">IFERROR(__xludf.DUMMYFUNCTION("""COMPUTED_VALUE"""),"Sulfatolamide")</f>
        <v>Sulfatolamide</v>
      </c>
      <c r="B8369" t="str">
        <f ca="1">IFERROR(__xludf.DUMMYFUNCTION("""COMPUTED_VALUE"""),"RF-00000685-VET")</f>
        <v>RF-00000685-VET</v>
      </c>
    </row>
    <row r="8370" spans="1:2" ht="12.5" x14ac:dyDescent="0.25">
      <c r="A8370" t="str">
        <f ca="1">IFERROR(__xludf.DUMMYFUNCTION("""COMPUTED_VALUE"""),"Sulfatroxazol")</f>
        <v>Sulfatroxazol</v>
      </c>
      <c r="B8370" t="str">
        <f ca="1">IFERROR(__xludf.DUMMYFUNCTION("""COMPUTED_VALUE"""),"RF-00000682-VET")</f>
        <v>RF-00000682-VET</v>
      </c>
    </row>
    <row r="8371" spans="1:2" ht="12.5" x14ac:dyDescent="0.25">
      <c r="A8371" t="str">
        <f ca="1">IFERROR(__xludf.DUMMYFUNCTION("""COMPUTED_VALUE"""),"Sulfentrazone")</f>
        <v>Sulfentrazone</v>
      </c>
      <c r="B8371" t="str">
        <f ca="1">IFERROR(__xludf.DUMMYFUNCTION("""COMPUTED_VALUE"""),"RF-0901-001-PPP")</f>
        <v>RF-0901-001-PPP</v>
      </c>
    </row>
    <row r="8372" spans="1:2" ht="12.5" x14ac:dyDescent="0.25">
      <c r="A8372" t="str">
        <f ca="1">IFERROR(__xludf.DUMMYFUNCTION("""COMPUTED_VALUE"""),"Sulfides")</f>
        <v>Sulfides</v>
      </c>
      <c r="B8372" t="str">
        <f ca="1">IFERROR(__xludf.DUMMYFUNCTION("""COMPUTED_VALUE"""),"RF-00000117-CHE")</f>
        <v>RF-00000117-CHE</v>
      </c>
    </row>
    <row r="8373" spans="1:2" ht="12.5" x14ac:dyDescent="0.25">
      <c r="A8373" t="str">
        <f ca="1">IFERROR(__xludf.DUMMYFUNCTION("""COMPUTED_VALUE"""),"Sulfisomidin")</f>
        <v>Sulfisomidin</v>
      </c>
      <c r="B8373" t="str">
        <f ca="1">IFERROR(__xludf.DUMMYFUNCTION("""COMPUTED_VALUE"""),"RF-00000681-VET")</f>
        <v>RF-00000681-VET</v>
      </c>
    </row>
    <row r="8374" spans="1:2" ht="12.5" x14ac:dyDescent="0.25">
      <c r="A8374" t="str">
        <f ca="1">IFERROR(__xludf.DUMMYFUNCTION("""COMPUTED_VALUE"""),"Sulfisoxazol")</f>
        <v>Sulfisoxazol</v>
      </c>
      <c r="B8374" t="str">
        <f ca="1">IFERROR(__xludf.DUMMYFUNCTION("""COMPUTED_VALUE"""),"RF-00000679-VET")</f>
        <v>RF-00000679-VET</v>
      </c>
    </row>
    <row r="8375" spans="1:2" ht="12.5" x14ac:dyDescent="0.25">
      <c r="A8375" t="str">
        <f ca="1">IFERROR(__xludf.DUMMYFUNCTION("""COMPUTED_VALUE"""),"Sulfisoxazol (sulfafurazol)")</f>
        <v>Sulfisoxazol (sulfafurazol)</v>
      </c>
      <c r="B8375" t="str">
        <f ca="1">IFERROR(__xludf.DUMMYFUNCTION("""COMPUTED_VALUE"""),"RF-00000783-VET")</f>
        <v>RF-00000783-VET</v>
      </c>
    </row>
    <row r="8376" spans="1:2" ht="12.5" x14ac:dyDescent="0.25">
      <c r="A8376" t="str">
        <f ca="1">IFERROR(__xludf.DUMMYFUNCTION("""COMPUTED_VALUE"""),"Sulfites")</f>
        <v>Sulfites</v>
      </c>
      <c r="B8376" t="str">
        <f ca="1">IFERROR(__xludf.DUMMYFUNCTION("""COMPUTED_VALUE"""),"RF-00000113-CHE")</f>
        <v>RF-00000113-CHE</v>
      </c>
    </row>
    <row r="8377" spans="1:2" ht="12.5" x14ac:dyDescent="0.25">
      <c r="A8377" t="str">
        <f ca="1">IFERROR(__xludf.DUMMYFUNCTION("""COMPUTED_VALUE"""),"Sulfometuron-Methyl")</f>
        <v>Sulfometuron-Methyl</v>
      </c>
      <c r="B8377" t="str">
        <f ca="1">IFERROR(__xludf.DUMMYFUNCTION("""COMPUTED_VALUE"""),"RF-0902-001-PPP")</f>
        <v>RF-0902-001-PPP</v>
      </c>
    </row>
    <row r="8378" spans="1:2" ht="12.5" x14ac:dyDescent="0.25">
      <c r="A8378" t="str">
        <f ca="1">IFERROR(__xludf.DUMMYFUNCTION("""COMPUTED_VALUE"""),"Sulfonamides")</f>
        <v>Sulfonamides</v>
      </c>
      <c r="B8378" t="str">
        <f ca="1">IFERROR(__xludf.DUMMYFUNCTION("""COMPUTED_VALUE"""),"RF-00000690-VET")</f>
        <v>RF-00000690-VET</v>
      </c>
    </row>
    <row r="8379" spans="1:2" ht="12.5" x14ac:dyDescent="0.25">
      <c r="A8379" t="str">
        <f ca="1">IFERROR(__xludf.DUMMYFUNCTION("""COMPUTED_VALUE"""),"Sulfonamides combinations")</f>
        <v>Sulfonamides combinations</v>
      </c>
      <c r="B8379" t="str">
        <f ca="1">IFERROR(__xludf.DUMMYFUNCTION("""COMPUTED_VALUE"""),"RF-00000805-VET")</f>
        <v>RF-00000805-VET</v>
      </c>
    </row>
    <row r="8380" spans="1:2" ht="12.5" x14ac:dyDescent="0.25">
      <c r="A8380" t="str">
        <f ca="1">IFERROR(__xludf.DUMMYFUNCTION("""COMPUTED_VALUE"""),"Sulfosulfuron")</f>
        <v>Sulfosulfuron</v>
      </c>
      <c r="B8380" t="str">
        <f ca="1">IFERROR(__xludf.DUMMYFUNCTION("""COMPUTED_VALUE"""),"RF-0399-001-PPP")</f>
        <v>RF-0399-001-PPP</v>
      </c>
    </row>
    <row r="8381" spans="1:2" ht="12.5" x14ac:dyDescent="0.25">
      <c r="A8381" t="str">
        <f ca="1">IFERROR(__xludf.DUMMYFUNCTION("""COMPUTED_VALUE"""),"Sulfotep")</f>
        <v>Sulfotep</v>
      </c>
      <c r="B8381" t="str">
        <f ca="1">IFERROR(__xludf.DUMMYFUNCTION("""COMPUTED_VALUE"""),"RF-0903-001-PPP")</f>
        <v>RF-0903-001-PPP</v>
      </c>
    </row>
    <row r="8382" spans="1:2" ht="12.5" x14ac:dyDescent="0.25">
      <c r="A8382" t="str">
        <f ca="1">IFERROR(__xludf.DUMMYFUNCTION("""COMPUTED_VALUE"""),"Sulfur (S)")</f>
        <v>Sulfur (S)</v>
      </c>
      <c r="B8382" t="str">
        <f ca="1">IFERROR(__xludf.DUMMYFUNCTION("""COMPUTED_VALUE"""),"RF-00000111-CHE")</f>
        <v>RF-00000111-CHE</v>
      </c>
    </row>
    <row r="8383" spans="1:2" ht="12.5" x14ac:dyDescent="0.25">
      <c r="A8383" t="str">
        <f ca="1">IFERROR(__xludf.DUMMYFUNCTION("""COMPUTED_VALUE"""),"Sulfur and derivatives")</f>
        <v>Sulfur and derivatives</v>
      </c>
      <c r="B8383" t="str">
        <f ca="1">IFERROR(__xludf.DUMMYFUNCTION("""COMPUTED_VALUE"""),"RF-00000110-CHE")</f>
        <v>RF-00000110-CHE</v>
      </c>
    </row>
    <row r="8384" spans="1:2" ht="12.5" x14ac:dyDescent="0.25">
      <c r="A8384" t="str">
        <f ca="1">IFERROR(__xludf.DUMMYFUNCTION("""COMPUTED_VALUE"""),"Sulfur Dioxide")</f>
        <v>Sulfur Dioxide</v>
      </c>
      <c r="B8384" t="str">
        <f ca="1">IFERROR(__xludf.DUMMYFUNCTION("""COMPUTED_VALUE"""),"RF-00000122-CHE")</f>
        <v>RF-00000122-CHE</v>
      </c>
    </row>
    <row r="8385" spans="1:2" ht="12.5" x14ac:dyDescent="0.25">
      <c r="A8385" t="str">
        <f ca="1">IFERROR(__xludf.DUMMYFUNCTION("""COMPUTED_VALUE"""),"Sulfur soluble in water")</f>
        <v>Sulfur soluble in water</v>
      </c>
      <c r="B8385" t="str">
        <f ca="1">IFERROR(__xludf.DUMMYFUNCTION("""COMPUTED_VALUE"""),"RF-00000119-CHE")</f>
        <v>RF-00000119-CHE</v>
      </c>
    </row>
    <row r="8386" spans="1:2" ht="12.5" x14ac:dyDescent="0.25">
      <c r="A8386" t="str">
        <f ca="1">IFERROR(__xludf.DUMMYFUNCTION("""COMPUTED_VALUE"""),"Sulfur soluble in water, present as sulphates")</f>
        <v>Sulfur soluble in water, present as sulphates</v>
      </c>
      <c r="B8386" t="str">
        <f ca="1">IFERROR(__xludf.DUMMYFUNCTION("""COMPUTED_VALUE"""),"RF-00000114-CHE")</f>
        <v>RF-00000114-CHE</v>
      </c>
    </row>
    <row r="8387" spans="1:2" ht="12.5" x14ac:dyDescent="0.25">
      <c r="A8387" t="str">
        <f ca="1">IFERROR(__xludf.DUMMYFUNCTION("""COMPUTED_VALUE"""),"Sulfuryl fluoride")</f>
        <v>Sulfuryl fluoride</v>
      </c>
      <c r="B8387" t="str">
        <f ca="1">IFERROR(__xludf.DUMMYFUNCTION("""COMPUTED_VALUE"""),"RF-0400-001-PPP")</f>
        <v>RF-0400-001-PPP</v>
      </c>
    </row>
    <row r="8388" spans="1:2" ht="12.5" x14ac:dyDescent="0.25">
      <c r="A8388" t="str">
        <f ca="1">IFERROR(__xludf.DUMMYFUNCTION("""COMPUTED_VALUE"""),"Sulindac")</f>
        <v>Sulindac</v>
      </c>
      <c r="B8388" t="str">
        <f ca="1">IFERROR(__xludf.DUMMYFUNCTION("""COMPUTED_VALUE"""),"RF-00000220-VET")</f>
        <v>RF-00000220-VET</v>
      </c>
    </row>
    <row r="8389" spans="1:2" ht="12.5" x14ac:dyDescent="0.25">
      <c r="A8389" t="str">
        <f ca="1">IFERROR(__xludf.DUMMYFUNCTION("""COMPUTED_VALUE"""),"Sulphite ammonia caramel")</f>
        <v>Sulphite ammonia caramel</v>
      </c>
      <c r="B8389" t="str">
        <f ca="1">IFERROR(__xludf.DUMMYFUNCTION("""COMPUTED_VALUE"""),"RF-00000323-ADD")</f>
        <v>RF-00000323-ADD</v>
      </c>
    </row>
    <row r="8390" spans="1:2" ht="12.5" x14ac:dyDescent="0.25">
      <c r="A8390" t="str">
        <f ca="1">IFERROR(__xludf.DUMMYFUNCTION("""COMPUTED_VALUE"""),"Sulphur")</f>
        <v>Sulphur</v>
      </c>
      <c r="B8390" t="str">
        <f ca="1">IFERROR(__xludf.DUMMYFUNCTION("""COMPUTED_VALUE"""),"RF-0401-001-PPP")</f>
        <v>RF-0401-001-PPP</v>
      </c>
    </row>
    <row r="8391" spans="1:2" ht="12.5" x14ac:dyDescent="0.25">
      <c r="A8391" t="str">
        <f ca="1">IFERROR(__xludf.DUMMYFUNCTION("""COMPUTED_VALUE"""),"Sulphur dioxide")</f>
        <v>Sulphur dioxide</v>
      </c>
      <c r="B8391" t="str">
        <f ca="1">IFERROR(__xludf.DUMMYFUNCTION("""COMPUTED_VALUE"""),"RF-00000324-ADD")</f>
        <v>RF-00000324-ADD</v>
      </c>
    </row>
    <row r="8392" spans="1:2" ht="12.5" x14ac:dyDescent="0.25">
      <c r="A8392" t="str">
        <f ca="1">IFERROR(__xludf.DUMMYFUNCTION("""COMPUTED_VALUE"""),"Sulphuric acid")</f>
        <v>Sulphuric acid</v>
      </c>
      <c r="B8392" t="str">
        <f ca="1">IFERROR(__xludf.DUMMYFUNCTION("""COMPUTED_VALUE"""),"RF-00000325-ADD")</f>
        <v>RF-00000325-ADD</v>
      </c>
    </row>
    <row r="8393" spans="1:2" ht="12.5" x14ac:dyDescent="0.25">
      <c r="A8393" t="str">
        <f ca="1">IFERROR(__xludf.DUMMYFUNCTION("""COMPUTED_VALUE"""),"Sulprofos")</f>
        <v>Sulprofos</v>
      </c>
      <c r="B8393" t="str">
        <f ca="1">IFERROR(__xludf.DUMMYFUNCTION("""COMPUTED_VALUE"""),"RF-0905-001-PPP")</f>
        <v>RF-0905-001-PPP</v>
      </c>
    </row>
    <row r="8394" spans="1:2" ht="12.5" x14ac:dyDescent="0.25">
      <c r="A8394" t="str">
        <f ca="1">IFERROR(__xludf.DUMMYFUNCTION("""COMPUTED_VALUE"""),"Sum ergosine + ergosinine")</f>
        <v>Sum ergosine + ergosinine</v>
      </c>
      <c r="B8394" t="str">
        <f ca="1">IFERROR(__xludf.DUMMYFUNCTION("""COMPUTED_VALUE"""),"RF-00000458-TOX")</f>
        <v>RF-00000458-TOX</v>
      </c>
    </row>
    <row r="8395" spans="1:2" ht="12.5" x14ac:dyDescent="0.25">
      <c r="A8395" t="str">
        <f ca="1">IFERROR(__xludf.DUMMYFUNCTION("""COMPUTED_VALUE"""),"Sum ergotamine + ergotaminine")</f>
        <v>Sum ergotamine + ergotaminine</v>
      </c>
      <c r="B8395" t="str">
        <f ca="1">IFERROR(__xludf.DUMMYFUNCTION("""COMPUTED_VALUE"""),"RF-00000459-TOX")</f>
        <v>RF-00000459-TOX</v>
      </c>
    </row>
    <row r="8396" spans="1:2" ht="12.5" x14ac:dyDescent="0.25">
      <c r="A8396" t="str">
        <f ca="1">IFERROR(__xludf.DUMMYFUNCTION("""COMPUTED_VALUE"""),"Sum of 6 PCB indicators")</f>
        <v>Sum of 6 PCB indicators</v>
      </c>
      <c r="B8396" t="str">
        <f ca="1">IFERROR(__xludf.DUMMYFUNCTION("""COMPUTED_VALUE"""),"RF-00000460-ORG")</f>
        <v>RF-00000460-ORG</v>
      </c>
    </row>
    <row r="8397" spans="1:2" ht="12.5" x14ac:dyDescent="0.25">
      <c r="A8397" t="str">
        <f ca="1">IFERROR(__xludf.DUMMYFUNCTION("""COMPUTED_VALUE"""),"Sum of glucosinolates")</f>
        <v>Sum of glucosinolates</v>
      </c>
      <c r="B8397" t="str">
        <f ca="1">IFERROR(__xludf.DUMMYFUNCTION("""COMPUTED_VALUE"""),"RF-00000331-TOX")</f>
        <v>RF-00000331-TOX</v>
      </c>
    </row>
    <row r="8398" spans="1:2" ht="12.5" x14ac:dyDescent="0.25">
      <c r="A8398" t="str">
        <f ca="1">IFERROR(__xludf.DUMMYFUNCTION("""COMPUTED_VALUE"""),"Sum T-2 and HT-2")</f>
        <v>Sum T-2 and HT-2</v>
      </c>
      <c r="B8398" t="str">
        <f ca="1">IFERROR(__xludf.DUMMYFUNCTION("""COMPUTED_VALUE"""),"RF-00000320-TOX")</f>
        <v>RF-00000320-TOX</v>
      </c>
    </row>
    <row r="8399" spans="1:2" ht="12.5" x14ac:dyDescent="0.25">
      <c r="A8399" t="str">
        <f ca="1">IFERROR(__xludf.DUMMYFUNCTION("""COMPUTED_VALUE"""),"Sunset Yellow FCF-Orange Yellow S")</f>
        <v>Sunset Yellow FCF-Orange Yellow S</v>
      </c>
      <c r="B8399" t="str">
        <f ca="1">IFERROR(__xludf.DUMMYFUNCTION("""COMPUTED_VALUE"""),"RF-00000326-ADD")</f>
        <v>RF-00000326-ADD</v>
      </c>
    </row>
    <row r="8400" spans="1:2" ht="12.5" x14ac:dyDescent="0.25">
      <c r="A8400" t="str">
        <f ca="1">IFERROR(__xludf.DUMMYFUNCTION("""COMPUTED_VALUE"""),"Supinine")</f>
        <v>Supinine</v>
      </c>
      <c r="B8400" t="str">
        <f ca="1">IFERROR(__xludf.DUMMYFUNCTION("""COMPUTED_VALUE"""),"RF-00000302-TOX")</f>
        <v>RF-00000302-TOX</v>
      </c>
    </row>
    <row r="8401" spans="1:2" ht="12.5" x14ac:dyDescent="0.25">
      <c r="A8401" t="str">
        <f ca="1">IFERROR(__xludf.DUMMYFUNCTION("""COMPUTED_VALUE"""),"Suxibuzone")</f>
        <v>Suxibuzone</v>
      </c>
      <c r="B8401" t="str">
        <f ca="1">IFERROR(__xludf.DUMMYFUNCTION("""COMPUTED_VALUE"""),"RF-00000228-VET")</f>
        <v>RF-00000228-VET</v>
      </c>
    </row>
    <row r="8402" spans="1:2" ht="12.5" x14ac:dyDescent="0.25">
      <c r="A8402" t="str">
        <f ca="1">IFERROR(__xludf.DUMMYFUNCTION("""COMPUTED_VALUE"""),"Sweeteners")</f>
        <v>Sweeteners</v>
      </c>
      <c r="B8402" t="str">
        <f ca="1">IFERROR(__xludf.DUMMYFUNCTION("""COMPUTED_VALUE"""),"RF-00000002-ADD")</f>
        <v>RF-00000002-ADD</v>
      </c>
    </row>
    <row r="8403" spans="1:2" ht="12.5" x14ac:dyDescent="0.25">
      <c r="A8403" t="str">
        <f ca="1">IFERROR(__xludf.DUMMYFUNCTION("""COMPUTED_VALUE"""),"Symlandine")</f>
        <v>Symlandine</v>
      </c>
      <c r="B8403" t="str">
        <f ca="1">IFERROR(__xludf.DUMMYFUNCTION("""COMPUTED_VALUE"""),"RF-00000303-TOX")</f>
        <v>RF-00000303-TOX</v>
      </c>
    </row>
    <row r="8404" spans="1:2" ht="12.5" x14ac:dyDescent="0.25">
      <c r="A8404" t="str">
        <f ca="1">IFERROR(__xludf.DUMMYFUNCTION("""COMPUTED_VALUE"""),"Symphytine")</f>
        <v>Symphytine</v>
      </c>
      <c r="B8404" t="str">
        <f ca="1">IFERROR(__xludf.DUMMYFUNCTION("""COMPUTED_VALUE"""),"RF-00000229-TOX")</f>
        <v>RF-00000229-TOX</v>
      </c>
    </row>
    <row r="8405" spans="1:2" ht="12.5" x14ac:dyDescent="0.25">
      <c r="A8405" t="str">
        <f ca="1">IFERROR(__xludf.DUMMYFUNCTION("""COMPUTED_VALUE"""),"Symviridine")</f>
        <v>Symviridine</v>
      </c>
      <c r="B8405" t="str">
        <f ca="1">IFERROR(__xludf.DUMMYFUNCTION("""COMPUTED_VALUE"""),"RF-00000304-TOX")</f>
        <v>RF-00000304-TOX</v>
      </c>
    </row>
    <row r="8406" spans="1:2" ht="12.5" x14ac:dyDescent="0.25">
      <c r="A8406" t="str">
        <f ca="1">IFERROR(__xludf.DUMMYFUNCTION("""COMPUTED_VALUE"""),"T-2 toxin")</f>
        <v>T-2 toxin</v>
      </c>
      <c r="B8406" t="str">
        <f ca="1">IFERROR(__xludf.DUMMYFUNCTION("""COMPUTED_VALUE"""),"RF-00000161-TOX")</f>
        <v>RF-00000161-TOX</v>
      </c>
    </row>
    <row r="8407" spans="1:2" ht="12.5" x14ac:dyDescent="0.25">
      <c r="A8407" t="str">
        <f ca="1">IFERROR(__xludf.DUMMYFUNCTION("""COMPUTED_VALUE"""),"T-2-HT-2 toxins")</f>
        <v>T-2-HT-2 toxins</v>
      </c>
      <c r="B8407" t="str">
        <f ca="1">IFERROR(__xludf.DUMMYFUNCTION("""COMPUTED_VALUE"""),"RF-00000432-TOX")</f>
        <v>RF-00000432-TOX</v>
      </c>
    </row>
    <row r="8408" spans="1:2" ht="12.5" x14ac:dyDescent="0.25">
      <c r="A8408" t="str">
        <f ca="1">IFERROR(__xludf.DUMMYFUNCTION("""COMPUTED_VALUE"""),"Talc")</f>
        <v>Talc</v>
      </c>
      <c r="B8408" t="str">
        <f ca="1">IFERROR(__xludf.DUMMYFUNCTION("""COMPUTED_VALUE"""),"RF-00000327-ADD")</f>
        <v>RF-00000327-ADD</v>
      </c>
    </row>
    <row r="8409" spans="1:2" ht="12.5" x14ac:dyDescent="0.25">
      <c r="A8409" t="str">
        <f ca="1">IFERROR(__xludf.DUMMYFUNCTION("""COMPUTED_VALUE"""),"tannin")</f>
        <v>tannin</v>
      </c>
      <c r="B8409" t="str">
        <f ca="1">IFERROR(__xludf.DUMMYFUNCTION("""COMPUTED_VALUE"""),"RF-00000408-NTR")</f>
        <v>RF-00000408-NTR</v>
      </c>
    </row>
    <row r="8410" spans="1:2" ht="12.5" x14ac:dyDescent="0.25">
      <c r="A8410" t="str">
        <f ca="1">IFERROR(__xludf.DUMMYFUNCTION("""COMPUTED_VALUE"""),"Tara gum")</f>
        <v>Tara gum</v>
      </c>
      <c r="B8410" t="str">
        <f ca="1">IFERROR(__xludf.DUMMYFUNCTION("""COMPUTED_VALUE"""),"RF-00000328-ADD")</f>
        <v>RF-00000328-ADD</v>
      </c>
    </row>
    <row r="8411" spans="1:2" ht="12.5" x14ac:dyDescent="0.25">
      <c r="A8411" t="str">
        <f ca="1">IFERROR(__xludf.DUMMYFUNCTION("""COMPUTED_VALUE"""),"Tartaric acid (L(+)-)")</f>
        <v>Tartaric acid (L(+)-)</v>
      </c>
      <c r="B8411" t="str">
        <f ca="1">IFERROR(__xludf.DUMMYFUNCTION("""COMPUTED_VALUE"""),"RF-00000409-NTR")</f>
        <v>RF-00000409-NTR</v>
      </c>
    </row>
    <row r="8412" spans="1:2" ht="12.5" x14ac:dyDescent="0.25">
      <c r="A8412" t="str">
        <f ca="1">IFERROR(__xludf.DUMMYFUNCTION("""COMPUTED_VALUE"""),"Tartaric acid esters of mono- and diglycerides of fatty acids")</f>
        <v>Tartaric acid esters of mono- and diglycerides of fatty acids</v>
      </c>
      <c r="B8412" t="str">
        <f ca="1">IFERROR(__xludf.DUMMYFUNCTION("""COMPUTED_VALUE"""),"RF-00000330-ADD")</f>
        <v>RF-00000330-ADD</v>
      </c>
    </row>
    <row r="8413" spans="1:2" ht="12.5" x14ac:dyDescent="0.25">
      <c r="A8413" t="str">
        <f ca="1">IFERROR(__xludf.DUMMYFUNCTION("""COMPUTED_VALUE"""),"Tartrazine")</f>
        <v>Tartrazine</v>
      </c>
      <c r="B8413" t="str">
        <f ca="1">IFERROR(__xludf.DUMMYFUNCTION("""COMPUTED_VALUE"""),"RF-00000331-ADD")</f>
        <v>RF-00000331-ADD</v>
      </c>
    </row>
    <row r="8414" spans="1:2" ht="12.5" x14ac:dyDescent="0.25">
      <c r="A8414" t="str">
        <f ca="1">IFERROR(__xludf.DUMMYFUNCTION("""COMPUTED_VALUE"""),"tau-Fluvalinate")</f>
        <v>tau-Fluvalinate</v>
      </c>
      <c r="B8414" t="str">
        <f ca="1">IFERROR(__xludf.DUMMYFUNCTION("""COMPUTED_VALUE"""),"RF-0402-001-PPP")</f>
        <v>RF-0402-001-PPP</v>
      </c>
    </row>
    <row r="8415" spans="1:2" ht="12.5" x14ac:dyDescent="0.25">
      <c r="A8415" t="str">
        <f ca="1">IFERROR(__xludf.DUMMYFUNCTION("""COMPUTED_VALUE"""),"TCMTB")</f>
        <v>TCMTB</v>
      </c>
      <c r="B8415" t="str">
        <f ca="1">IFERROR(__xludf.DUMMYFUNCTION("""COMPUTED_VALUE"""),"RF-0906-001-PPP")</f>
        <v>RF-0906-001-PPP</v>
      </c>
    </row>
    <row r="8416" spans="1:2" ht="12.5" x14ac:dyDescent="0.25">
      <c r="A8416" t="str">
        <f ca="1">IFERROR(__xludf.DUMMYFUNCTION("""COMPUTED_VALUE"""),"Tebuconazole")</f>
        <v>Tebuconazole</v>
      </c>
      <c r="B8416" t="str">
        <f ca="1">IFERROR(__xludf.DUMMYFUNCTION("""COMPUTED_VALUE"""),"RF-0403-001-PPP")</f>
        <v>RF-0403-001-PPP</v>
      </c>
    </row>
    <row r="8417" spans="1:2" ht="12.5" x14ac:dyDescent="0.25">
      <c r="A8417" t="str">
        <f ca="1">IFERROR(__xludf.DUMMYFUNCTION("""COMPUTED_VALUE"""),"Tebufenozide")</f>
        <v>Tebufenozide</v>
      </c>
      <c r="B8417" t="str">
        <f ca="1">IFERROR(__xludf.DUMMYFUNCTION("""COMPUTED_VALUE"""),"RF-0404-001-PPP")</f>
        <v>RF-0404-001-PPP</v>
      </c>
    </row>
    <row r="8418" spans="1:2" ht="12.5" x14ac:dyDescent="0.25">
      <c r="A8418" t="str">
        <f ca="1">IFERROR(__xludf.DUMMYFUNCTION("""COMPUTED_VALUE"""),"Tebufenpyrad")</f>
        <v>Tebufenpyrad</v>
      </c>
      <c r="B8418" t="str">
        <f ca="1">IFERROR(__xludf.DUMMYFUNCTION("""COMPUTED_VALUE"""),"RF-0405-001-PPP")</f>
        <v>RF-0405-001-PPP</v>
      </c>
    </row>
    <row r="8419" spans="1:2" ht="12.5" x14ac:dyDescent="0.25">
      <c r="A8419" t="str">
        <f ca="1">IFERROR(__xludf.DUMMYFUNCTION("""COMPUTED_VALUE"""),"Tebupirimphos")</f>
        <v>Tebupirimphos</v>
      </c>
      <c r="B8419" t="str">
        <f ca="1">IFERROR(__xludf.DUMMYFUNCTION("""COMPUTED_VALUE"""),"RF-0907-001-PPP")</f>
        <v>RF-0907-001-PPP</v>
      </c>
    </row>
    <row r="8420" spans="1:2" ht="12.5" x14ac:dyDescent="0.25">
      <c r="A8420" t="str">
        <f ca="1">IFERROR(__xludf.DUMMYFUNCTION("""COMPUTED_VALUE"""),"Tebutam")</f>
        <v>Tebutam</v>
      </c>
      <c r="B8420" t="str">
        <f ca="1">IFERROR(__xludf.DUMMYFUNCTION("""COMPUTED_VALUE"""),"RF-0908-001-PPP")</f>
        <v>RF-0908-001-PPP</v>
      </c>
    </row>
    <row r="8421" spans="1:2" ht="12.5" x14ac:dyDescent="0.25">
      <c r="A8421" t="str">
        <f ca="1">IFERROR(__xludf.DUMMYFUNCTION("""COMPUTED_VALUE"""),"Tebuthiuron")</f>
        <v>Tebuthiuron</v>
      </c>
      <c r="B8421" t="str">
        <f ca="1">IFERROR(__xludf.DUMMYFUNCTION("""COMPUTED_VALUE"""),"RF-0909-001-PPP")</f>
        <v>RF-0909-001-PPP</v>
      </c>
    </row>
    <row r="8422" spans="1:2" ht="12.5" x14ac:dyDescent="0.25">
      <c r="A8422" t="str">
        <f ca="1">IFERROR(__xludf.DUMMYFUNCTION("""COMPUTED_VALUE"""),"Tecloftalam")</f>
        <v>Tecloftalam</v>
      </c>
      <c r="B8422" t="str">
        <f ca="1">IFERROR(__xludf.DUMMYFUNCTION("""COMPUTED_VALUE"""),"RF-0910-001-PPP")</f>
        <v>RF-0910-001-PPP</v>
      </c>
    </row>
    <row r="8423" spans="1:2" ht="12.5" x14ac:dyDescent="0.25">
      <c r="A8423" t="str">
        <f ca="1">IFERROR(__xludf.DUMMYFUNCTION("""COMPUTED_VALUE"""),"Tecnazene")</f>
        <v>Tecnazene</v>
      </c>
      <c r="B8423" t="str">
        <f ca="1">IFERROR(__xludf.DUMMYFUNCTION("""COMPUTED_VALUE"""),"RF-0406-001-PPP")</f>
        <v>RF-0406-001-PPP</v>
      </c>
    </row>
    <row r="8424" spans="1:2" ht="12.5" x14ac:dyDescent="0.25">
      <c r="A8424" t="str">
        <f ca="1">IFERROR(__xludf.DUMMYFUNCTION("""COMPUTED_VALUE"""),"Teflubenzuron")</f>
        <v>Teflubenzuron</v>
      </c>
      <c r="B8424" t="str">
        <f ca="1">IFERROR(__xludf.DUMMYFUNCTION("""COMPUTED_VALUE"""),"RF-00000262-VET")</f>
        <v>RF-00000262-VET</v>
      </c>
    </row>
    <row r="8425" spans="1:2" ht="12.5" x14ac:dyDescent="0.25">
      <c r="A8425" t="str">
        <f ca="1">IFERROR(__xludf.DUMMYFUNCTION("""COMPUTED_VALUE"""),"Teflubenzuron")</f>
        <v>Teflubenzuron</v>
      </c>
      <c r="B8425" t="str">
        <f ca="1">IFERROR(__xludf.DUMMYFUNCTION("""COMPUTED_VALUE"""),"RF-0407-001-PPP")</f>
        <v>RF-0407-001-PPP</v>
      </c>
    </row>
    <row r="8426" spans="1:2" ht="12.5" x14ac:dyDescent="0.25">
      <c r="A8426" t="str">
        <f ca="1">IFERROR(__xludf.DUMMYFUNCTION("""COMPUTED_VALUE"""),"Tefluthrin")</f>
        <v>Tefluthrin</v>
      </c>
      <c r="B8426" t="str">
        <f ca="1">IFERROR(__xludf.DUMMYFUNCTION("""COMPUTED_VALUE"""),"RF-00000155-VET")</f>
        <v>RF-00000155-VET</v>
      </c>
    </row>
    <row r="8427" spans="1:2" ht="12.5" x14ac:dyDescent="0.25">
      <c r="A8427" t="str">
        <f ca="1">IFERROR(__xludf.DUMMYFUNCTION("""COMPUTED_VALUE"""),"Tefluthrin")</f>
        <v>Tefluthrin</v>
      </c>
      <c r="B8427" t="str">
        <f ca="1">IFERROR(__xludf.DUMMYFUNCTION("""COMPUTED_VALUE"""),"RF-0408-001-PPP")</f>
        <v>RF-0408-001-PPP</v>
      </c>
    </row>
    <row r="8428" spans="1:2" ht="12.5" x14ac:dyDescent="0.25">
      <c r="A8428" t="str">
        <f ca="1">IFERROR(__xludf.DUMMYFUNCTION("""COMPUTED_VALUE"""),"Teicoplanin")</f>
        <v>Teicoplanin</v>
      </c>
      <c r="B8428" t="str">
        <f ca="1">IFERROR(__xludf.DUMMYFUNCTION("""COMPUTED_VALUE"""),"RF-00000659-VET")</f>
        <v>RF-00000659-VET</v>
      </c>
    </row>
    <row r="8429" spans="1:2" ht="12.5" x14ac:dyDescent="0.25">
      <c r="A8429" t="str">
        <f ca="1">IFERROR(__xludf.DUMMYFUNCTION("""COMPUTED_VALUE"""),"TEM")</f>
        <v>TEM</v>
      </c>
      <c r="B8429" t="str">
        <f ca="1">IFERROR(__xludf.DUMMYFUNCTION("""COMPUTED_VALUE"""),"RF-00000507-PAR")</f>
        <v>RF-00000507-PAR</v>
      </c>
    </row>
    <row r="8430" spans="1:2" ht="12.5" x14ac:dyDescent="0.25">
      <c r="A8430" t="str">
        <f ca="1">IFERROR(__xludf.DUMMYFUNCTION("""COMPUTED_VALUE"""),"TEM-1")</f>
        <v>TEM-1</v>
      </c>
      <c r="B8430" t="str">
        <f ca="1">IFERROR(__xludf.DUMMYFUNCTION("""COMPUTED_VALUE"""),"RF-00000508-PAR")</f>
        <v>RF-00000508-PAR</v>
      </c>
    </row>
    <row r="8431" spans="1:2" ht="12.5" x14ac:dyDescent="0.25">
      <c r="A8431" t="str">
        <f ca="1">IFERROR(__xludf.DUMMYFUNCTION("""COMPUTED_VALUE"""),"TEM-10")</f>
        <v>TEM-10</v>
      </c>
      <c r="B8431" t="str">
        <f ca="1">IFERROR(__xludf.DUMMYFUNCTION("""COMPUTED_VALUE"""),"RF-00000517-PAR")</f>
        <v>RF-00000517-PAR</v>
      </c>
    </row>
    <row r="8432" spans="1:2" ht="12.5" x14ac:dyDescent="0.25">
      <c r="A8432" t="str">
        <f ca="1">IFERROR(__xludf.DUMMYFUNCTION("""COMPUTED_VALUE"""),"TEM-100")</f>
        <v>TEM-100</v>
      </c>
      <c r="B8432" t="str">
        <f ca="1">IFERROR(__xludf.DUMMYFUNCTION("""COMPUTED_VALUE"""),"RF-00000607-PAR")</f>
        <v>RF-00000607-PAR</v>
      </c>
    </row>
    <row r="8433" spans="1:2" ht="12.5" x14ac:dyDescent="0.25">
      <c r="A8433" t="str">
        <f ca="1">IFERROR(__xludf.DUMMYFUNCTION("""COMPUTED_VALUE"""),"TEM-101")</f>
        <v>TEM-101</v>
      </c>
      <c r="B8433" t="str">
        <f ca="1">IFERROR(__xludf.DUMMYFUNCTION("""COMPUTED_VALUE"""),"RF-00000608-PAR")</f>
        <v>RF-00000608-PAR</v>
      </c>
    </row>
    <row r="8434" spans="1:2" ht="12.5" x14ac:dyDescent="0.25">
      <c r="A8434" t="str">
        <f ca="1">IFERROR(__xludf.DUMMYFUNCTION("""COMPUTED_VALUE"""),"TEM-102")</f>
        <v>TEM-102</v>
      </c>
      <c r="B8434" t="str">
        <f ca="1">IFERROR(__xludf.DUMMYFUNCTION("""COMPUTED_VALUE"""),"RF-00000609-PAR")</f>
        <v>RF-00000609-PAR</v>
      </c>
    </row>
    <row r="8435" spans="1:2" ht="12.5" x14ac:dyDescent="0.25">
      <c r="A8435" t="str">
        <f ca="1">IFERROR(__xludf.DUMMYFUNCTION("""COMPUTED_VALUE"""),"TEM-103")</f>
        <v>TEM-103</v>
      </c>
      <c r="B8435" t="str">
        <f ca="1">IFERROR(__xludf.DUMMYFUNCTION("""COMPUTED_VALUE"""),"RF-00000610-PAR")</f>
        <v>RF-00000610-PAR</v>
      </c>
    </row>
    <row r="8436" spans="1:2" ht="12.5" x14ac:dyDescent="0.25">
      <c r="A8436" t="str">
        <f ca="1">IFERROR(__xludf.DUMMYFUNCTION("""COMPUTED_VALUE"""),"TEM-104")</f>
        <v>TEM-104</v>
      </c>
      <c r="B8436" t="str">
        <f ca="1">IFERROR(__xludf.DUMMYFUNCTION("""COMPUTED_VALUE"""),"RF-00000611-PAR")</f>
        <v>RF-00000611-PAR</v>
      </c>
    </row>
    <row r="8437" spans="1:2" ht="12.5" x14ac:dyDescent="0.25">
      <c r="A8437" t="str">
        <f ca="1">IFERROR(__xludf.DUMMYFUNCTION("""COMPUTED_VALUE"""),"TEM-105")</f>
        <v>TEM-105</v>
      </c>
      <c r="B8437" t="str">
        <f ca="1">IFERROR(__xludf.DUMMYFUNCTION("""COMPUTED_VALUE"""),"RF-00000612-PAR")</f>
        <v>RF-00000612-PAR</v>
      </c>
    </row>
    <row r="8438" spans="1:2" ht="12.5" x14ac:dyDescent="0.25">
      <c r="A8438" t="str">
        <f ca="1">IFERROR(__xludf.DUMMYFUNCTION("""COMPUTED_VALUE"""),"TEM-106")</f>
        <v>TEM-106</v>
      </c>
      <c r="B8438" t="str">
        <f ca="1">IFERROR(__xludf.DUMMYFUNCTION("""COMPUTED_VALUE"""),"RF-00000613-PAR")</f>
        <v>RF-00000613-PAR</v>
      </c>
    </row>
    <row r="8439" spans="1:2" ht="12.5" x14ac:dyDescent="0.25">
      <c r="A8439" t="str">
        <f ca="1">IFERROR(__xludf.DUMMYFUNCTION("""COMPUTED_VALUE"""),"TEM-107")</f>
        <v>TEM-107</v>
      </c>
      <c r="B8439" t="str">
        <f ca="1">IFERROR(__xludf.DUMMYFUNCTION("""COMPUTED_VALUE"""),"RF-00000614-PAR")</f>
        <v>RF-00000614-PAR</v>
      </c>
    </row>
    <row r="8440" spans="1:2" ht="12.5" x14ac:dyDescent="0.25">
      <c r="A8440" t="str">
        <f ca="1">IFERROR(__xludf.DUMMYFUNCTION("""COMPUTED_VALUE"""),"TEM-108")</f>
        <v>TEM-108</v>
      </c>
      <c r="B8440" t="str">
        <f ca="1">IFERROR(__xludf.DUMMYFUNCTION("""COMPUTED_VALUE"""),"RF-00000615-PAR")</f>
        <v>RF-00000615-PAR</v>
      </c>
    </row>
    <row r="8441" spans="1:2" ht="12.5" x14ac:dyDescent="0.25">
      <c r="A8441" t="str">
        <f ca="1">IFERROR(__xludf.DUMMYFUNCTION("""COMPUTED_VALUE"""),"TEM-109")</f>
        <v>TEM-109</v>
      </c>
      <c r="B8441" t="str">
        <f ca="1">IFERROR(__xludf.DUMMYFUNCTION("""COMPUTED_VALUE"""),"RF-00000616-PAR")</f>
        <v>RF-00000616-PAR</v>
      </c>
    </row>
    <row r="8442" spans="1:2" ht="12.5" x14ac:dyDescent="0.25">
      <c r="A8442" t="str">
        <f ca="1">IFERROR(__xludf.DUMMYFUNCTION("""COMPUTED_VALUE"""),"TEM-11")</f>
        <v>TEM-11</v>
      </c>
      <c r="B8442" t="str">
        <f ca="1">IFERROR(__xludf.DUMMYFUNCTION("""COMPUTED_VALUE"""),"RF-00000518-PAR")</f>
        <v>RF-00000518-PAR</v>
      </c>
    </row>
    <row r="8443" spans="1:2" ht="12.5" x14ac:dyDescent="0.25">
      <c r="A8443" t="str">
        <f ca="1">IFERROR(__xludf.DUMMYFUNCTION("""COMPUTED_VALUE"""),"TEM-110")</f>
        <v>TEM-110</v>
      </c>
      <c r="B8443" t="str">
        <f ca="1">IFERROR(__xludf.DUMMYFUNCTION("""COMPUTED_VALUE"""),"RF-00000617-PAR")</f>
        <v>RF-00000617-PAR</v>
      </c>
    </row>
    <row r="8444" spans="1:2" ht="12.5" x14ac:dyDescent="0.25">
      <c r="A8444" t="str">
        <f ca="1">IFERROR(__xludf.DUMMYFUNCTION("""COMPUTED_VALUE"""),"TEM-111")</f>
        <v>TEM-111</v>
      </c>
      <c r="B8444" t="str">
        <f ca="1">IFERROR(__xludf.DUMMYFUNCTION("""COMPUTED_VALUE"""),"RF-00000618-PAR")</f>
        <v>RF-00000618-PAR</v>
      </c>
    </row>
    <row r="8445" spans="1:2" ht="12.5" x14ac:dyDescent="0.25">
      <c r="A8445" t="str">
        <f ca="1">IFERROR(__xludf.DUMMYFUNCTION("""COMPUTED_VALUE"""),"TEM-112")</f>
        <v>TEM-112</v>
      </c>
      <c r="B8445" t="str">
        <f ca="1">IFERROR(__xludf.DUMMYFUNCTION("""COMPUTED_VALUE"""),"RF-00000619-PAR")</f>
        <v>RF-00000619-PAR</v>
      </c>
    </row>
    <row r="8446" spans="1:2" ht="12.5" x14ac:dyDescent="0.25">
      <c r="A8446" t="str">
        <f ca="1">IFERROR(__xludf.DUMMYFUNCTION("""COMPUTED_VALUE"""),"TEM-113")</f>
        <v>TEM-113</v>
      </c>
      <c r="B8446" t="str">
        <f ca="1">IFERROR(__xludf.DUMMYFUNCTION("""COMPUTED_VALUE"""),"RF-00000620-PAR")</f>
        <v>RF-00000620-PAR</v>
      </c>
    </row>
    <row r="8447" spans="1:2" ht="12.5" x14ac:dyDescent="0.25">
      <c r="A8447" t="str">
        <f ca="1">IFERROR(__xludf.DUMMYFUNCTION("""COMPUTED_VALUE"""),"TEM-114")</f>
        <v>TEM-114</v>
      </c>
      <c r="B8447" t="str">
        <f ca="1">IFERROR(__xludf.DUMMYFUNCTION("""COMPUTED_VALUE"""),"RF-00000621-PAR")</f>
        <v>RF-00000621-PAR</v>
      </c>
    </row>
    <row r="8448" spans="1:2" ht="12.5" x14ac:dyDescent="0.25">
      <c r="A8448" t="str">
        <f ca="1">IFERROR(__xludf.DUMMYFUNCTION("""COMPUTED_VALUE"""),"TEM-115")</f>
        <v>TEM-115</v>
      </c>
      <c r="B8448" t="str">
        <f ca="1">IFERROR(__xludf.DUMMYFUNCTION("""COMPUTED_VALUE"""),"RF-00000622-PAR")</f>
        <v>RF-00000622-PAR</v>
      </c>
    </row>
    <row r="8449" spans="1:2" ht="12.5" x14ac:dyDescent="0.25">
      <c r="A8449" t="str">
        <f ca="1">IFERROR(__xludf.DUMMYFUNCTION("""COMPUTED_VALUE"""),"TEM-116")</f>
        <v>TEM-116</v>
      </c>
      <c r="B8449" t="str">
        <f ca="1">IFERROR(__xludf.DUMMYFUNCTION("""COMPUTED_VALUE"""),"RF-00000623-PAR")</f>
        <v>RF-00000623-PAR</v>
      </c>
    </row>
    <row r="8450" spans="1:2" ht="12.5" x14ac:dyDescent="0.25">
      <c r="A8450" t="str">
        <f ca="1">IFERROR(__xludf.DUMMYFUNCTION("""COMPUTED_VALUE"""),"TEM-117")</f>
        <v>TEM-117</v>
      </c>
      <c r="B8450" t="str">
        <f ca="1">IFERROR(__xludf.DUMMYFUNCTION("""COMPUTED_VALUE"""),"RF-00000624-PAR")</f>
        <v>RF-00000624-PAR</v>
      </c>
    </row>
    <row r="8451" spans="1:2" ht="12.5" x14ac:dyDescent="0.25">
      <c r="A8451" t="str">
        <f ca="1">IFERROR(__xludf.DUMMYFUNCTION("""COMPUTED_VALUE"""),"TEM-118")</f>
        <v>TEM-118</v>
      </c>
      <c r="B8451" t="str">
        <f ca="1">IFERROR(__xludf.DUMMYFUNCTION("""COMPUTED_VALUE"""),"RF-00000625-PAR")</f>
        <v>RF-00000625-PAR</v>
      </c>
    </row>
    <row r="8452" spans="1:2" ht="12.5" x14ac:dyDescent="0.25">
      <c r="A8452" t="str">
        <f ca="1">IFERROR(__xludf.DUMMYFUNCTION("""COMPUTED_VALUE"""),"TEM-119")</f>
        <v>TEM-119</v>
      </c>
      <c r="B8452" t="str">
        <f ca="1">IFERROR(__xludf.DUMMYFUNCTION("""COMPUTED_VALUE"""),"RF-00000626-PAR")</f>
        <v>RF-00000626-PAR</v>
      </c>
    </row>
    <row r="8453" spans="1:2" ht="12.5" x14ac:dyDescent="0.25">
      <c r="A8453" t="str">
        <f ca="1">IFERROR(__xludf.DUMMYFUNCTION("""COMPUTED_VALUE"""),"TEM-12")</f>
        <v>TEM-12</v>
      </c>
      <c r="B8453" t="str">
        <f ca="1">IFERROR(__xludf.DUMMYFUNCTION("""COMPUTED_VALUE"""),"RF-00000519-PAR")</f>
        <v>RF-00000519-PAR</v>
      </c>
    </row>
    <row r="8454" spans="1:2" ht="12.5" x14ac:dyDescent="0.25">
      <c r="A8454" t="str">
        <f ca="1">IFERROR(__xludf.DUMMYFUNCTION("""COMPUTED_VALUE"""),"TEM-120")</f>
        <v>TEM-120</v>
      </c>
      <c r="B8454" t="str">
        <f ca="1">IFERROR(__xludf.DUMMYFUNCTION("""COMPUTED_VALUE"""),"RF-00000627-PAR")</f>
        <v>RF-00000627-PAR</v>
      </c>
    </row>
    <row r="8455" spans="1:2" ht="12.5" x14ac:dyDescent="0.25">
      <c r="A8455" t="str">
        <f ca="1">IFERROR(__xludf.DUMMYFUNCTION("""COMPUTED_VALUE"""),"TEM-121")</f>
        <v>TEM-121</v>
      </c>
      <c r="B8455" t="str">
        <f ca="1">IFERROR(__xludf.DUMMYFUNCTION("""COMPUTED_VALUE"""),"RF-00000628-PAR")</f>
        <v>RF-00000628-PAR</v>
      </c>
    </row>
    <row r="8456" spans="1:2" ht="12.5" x14ac:dyDescent="0.25">
      <c r="A8456" t="str">
        <f ca="1">IFERROR(__xludf.DUMMYFUNCTION("""COMPUTED_VALUE"""),"TEM-122")</f>
        <v>TEM-122</v>
      </c>
      <c r="B8456" t="str">
        <f ca="1">IFERROR(__xludf.DUMMYFUNCTION("""COMPUTED_VALUE"""),"RF-00000629-PAR")</f>
        <v>RF-00000629-PAR</v>
      </c>
    </row>
    <row r="8457" spans="1:2" ht="12.5" x14ac:dyDescent="0.25">
      <c r="A8457" t="str">
        <f ca="1">IFERROR(__xludf.DUMMYFUNCTION("""COMPUTED_VALUE"""),"TEM-123")</f>
        <v>TEM-123</v>
      </c>
      <c r="B8457" t="str">
        <f ca="1">IFERROR(__xludf.DUMMYFUNCTION("""COMPUTED_VALUE"""),"RF-00000630-PAR")</f>
        <v>RF-00000630-PAR</v>
      </c>
    </row>
    <row r="8458" spans="1:2" ht="12.5" x14ac:dyDescent="0.25">
      <c r="A8458" t="str">
        <f ca="1">IFERROR(__xludf.DUMMYFUNCTION("""COMPUTED_VALUE"""),"TEM-124")</f>
        <v>TEM-124</v>
      </c>
      <c r="B8458" t="str">
        <f ca="1">IFERROR(__xludf.DUMMYFUNCTION("""COMPUTED_VALUE"""),"RF-00000631-PAR")</f>
        <v>RF-00000631-PAR</v>
      </c>
    </row>
    <row r="8459" spans="1:2" ht="12.5" x14ac:dyDescent="0.25">
      <c r="A8459" t="str">
        <f ca="1">IFERROR(__xludf.DUMMYFUNCTION("""COMPUTED_VALUE"""),"TEM-125")</f>
        <v>TEM-125</v>
      </c>
      <c r="B8459" t="str">
        <f ca="1">IFERROR(__xludf.DUMMYFUNCTION("""COMPUTED_VALUE"""),"RF-00000632-PAR")</f>
        <v>RF-00000632-PAR</v>
      </c>
    </row>
    <row r="8460" spans="1:2" ht="12.5" x14ac:dyDescent="0.25">
      <c r="A8460" t="str">
        <f ca="1">IFERROR(__xludf.DUMMYFUNCTION("""COMPUTED_VALUE"""),"TEM-126")</f>
        <v>TEM-126</v>
      </c>
      <c r="B8460" t="str">
        <f ca="1">IFERROR(__xludf.DUMMYFUNCTION("""COMPUTED_VALUE"""),"RF-00000633-PAR")</f>
        <v>RF-00000633-PAR</v>
      </c>
    </row>
    <row r="8461" spans="1:2" ht="12.5" x14ac:dyDescent="0.25">
      <c r="A8461" t="str">
        <f ca="1">IFERROR(__xludf.DUMMYFUNCTION("""COMPUTED_VALUE"""),"TEM-127")</f>
        <v>TEM-127</v>
      </c>
      <c r="B8461" t="str">
        <f ca="1">IFERROR(__xludf.DUMMYFUNCTION("""COMPUTED_VALUE"""),"RF-00000634-PAR")</f>
        <v>RF-00000634-PAR</v>
      </c>
    </row>
    <row r="8462" spans="1:2" ht="12.5" x14ac:dyDescent="0.25">
      <c r="A8462" t="str">
        <f ca="1">IFERROR(__xludf.DUMMYFUNCTION("""COMPUTED_VALUE"""),"TEM-128")</f>
        <v>TEM-128</v>
      </c>
      <c r="B8462" t="str">
        <f ca="1">IFERROR(__xludf.DUMMYFUNCTION("""COMPUTED_VALUE"""),"RF-00000635-PAR")</f>
        <v>RF-00000635-PAR</v>
      </c>
    </row>
    <row r="8463" spans="1:2" ht="12.5" x14ac:dyDescent="0.25">
      <c r="A8463" t="str">
        <f ca="1">IFERROR(__xludf.DUMMYFUNCTION("""COMPUTED_VALUE"""),"TEM-129")</f>
        <v>TEM-129</v>
      </c>
      <c r="B8463" t="str">
        <f ca="1">IFERROR(__xludf.DUMMYFUNCTION("""COMPUTED_VALUE"""),"RF-00000636-PAR")</f>
        <v>RF-00000636-PAR</v>
      </c>
    </row>
    <row r="8464" spans="1:2" ht="12.5" x14ac:dyDescent="0.25">
      <c r="A8464" t="str">
        <f ca="1">IFERROR(__xludf.DUMMYFUNCTION("""COMPUTED_VALUE"""),"TEM-13")</f>
        <v>TEM-13</v>
      </c>
      <c r="B8464" t="str">
        <f ca="1">IFERROR(__xludf.DUMMYFUNCTION("""COMPUTED_VALUE"""),"RF-00000520-PAR")</f>
        <v>RF-00000520-PAR</v>
      </c>
    </row>
    <row r="8465" spans="1:2" ht="12.5" x14ac:dyDescent="0.25">
      <c r="A8465" t="str">
        <f ca="1">IFERROR(__xludf.DUMMYFUNCTION("""COMPUTED_VALUE"""),"TEM-130")</f>
        <v>TEM-130</v>
      </c>
      <c r="B8465" t="str">
        <f ca="1">IFERROR(__xludf.DUMMYFUNCTION("""COMPUTED_VALUE"""),"RF-00000637-PAR")</f>
        <v>RF-00000637-PAR</v>
      </c>
    </row>
    <row r="8466" spans="1:2" ht="12.5" x14ac:dyDescent="0.25">
      <c r="A8466" t="str">
        <f ca="1">IFERROR(__xludf.DUMMYFUNCTION("""COMPUTED_VALUE"""),"TEM-131")</f>
        <v>TEM-131</v>
      </c>
      <c r="B8466" t="str">
        <f ca="1">IFERROR(__xludf.DUMMYFUNCTION("""COMPUTED_VALUE"""),"RF-00000638-PAR")</f>
        <v>RF-00000638-PAR</v>
      </c>
    </row>
    <row r="8467" spans="1:2" ht="12.5" x14ac:dyDescent="0.25">
      <c r="A8467" t="str">
        <f ca="1">IFERROR(__xludf.DUMMYFUNCTION("""COMPUTED_VALUE"""),"TEM-132")</f>
        <v>TEM-132</v>
      </c>
      <c r="B8467" t="str">
        <f ca="1">IFERROR(__xludf.DUMMYFUNCTION("""COMPUTED_VALUE"""),"RF-00000639-PAR")</f>
        <v>RF-00000639-PAR</v>
      </c>
    </row>
    <row r="8468" spans="1:2" ht="12.5" x14ac:dyDescent="0.25">
      <c r="A8468" t="str">
        <f ca="1">IFERROR(__xludf.DUMMYFUNCTION("""COMPUTED_VALUE"""),"TEM-133")</f>
        <v>TEM-133</v>
      </c>
      <c r="B8468" t="str">
        <f ca="1">IFERROR(__xludf.DUMMYFUNCTION("""COMPUTED_VALUE"""),"RF-00000640-PAR")</f>
        <v>RF-00000640-PAR</v>
      </c>
    </row>
    <row r="8469" spans="1:2" ht="12.5" x14ac:dyDescent="0.25">
      <c r="A8469" t="str">
        <f ca="1">IFERROR(__xludf.DUMMYFUNCTION("""COMPUTED_VALUE"""),"TEM-134")</f>
        <v>TEM-134</v>
      </c>
      <c r="B8469" t="str">
        <f ca="1">IFERROR(__xludf.DUMMYFUNCTION("""COMPUTED_VALUE"""),"RF-00000641-PAR")</f>
        <v>RF-00000641-PAR</v>
      </c>
    </row>
    <row r="8470" spans="1:2" ht="12.5" x14ac:dyDescent="0.25">
      <c r="A8470" t="str">
        <f ca="1">IFERROR(__xludf.DUMMYFUNCTION("""COMPUTED_VALUE"""),"TEM-135")</f>
        <v>TEM-135</v>
      </c>
      <c r="B8470" t="str">
        <f ca="1">IFERROR(__xludf.DUMMYFUNCTION("""COMPUTED_VALUE"""),"RF-00000642-PAR")</f>
        <v>RF-00000642-PAR</v>
      </c>
    </row>
    <row r="8471" spans="1:2" ht="12.5" x14ac:dyDescent="0.25">
      <c r="A8471" t="str">
        <f ca="1">IFERROR(__xludf.DUMMYFUNCTION("""COMPUTED_VALUE"""),"TEM-136")</f>
        <v>TEM-136</v>
      </c>
      <c r="B8471" t="str">
        <f ca="1">IFERROR(__xludf.DUMMYFUNCTION("""COMPUTED_VALUE"""),"RF-00000643-PAR")</f>
        <v>RF-00000643-PAR</v>
      </c>
    </row>
    <row r="8472" spans="1:2" ht="12.5" x14ac:dyDescent="0.25">
      <c r="A8472" t="str">
        <f ca="1">IFERROR(__xludf.DUMMYFUNCTION("""COMPUTED_VALUE"""),"TEM-137")</f>
        <v>TEM-137</v>
      </c>
      <c r="B8472" t="str">
        <f ca="1">IFERROR(__xludf.DUMMYFUNCTION("""COMPUTED_VALUE"""),"RF-00000644-PAR")</f>
        <v>RF-00000644-PAR</v>
      </c>
    </row>
    <row r="8473" spans="1:2" ht="12.5" x14ac:dyDescent="0.25">
      <c r="A8473" t="str">
        <f ca="1">IFERROR(__xludf.DUMMYFUNCTION("""COMPUTED_VALUE"""),"TEM-138")</f>
        <v>TEM-138</v>
      </c>
      <c r="B8473" t="str">
        <f ca="1">IFERROR(__xludf.DUMMYFUNCTION("""COMPUTED_VALUE"""),"RF-00000645-PAR")</f>
        <v>RF-00000645-PAR</v>
      </c>
    </row>
    <row r="8474" spans="1:2" ht="12.5" x14ac:dyDescent="0.25">
      <c r="A8474" t="str">
        <f ca="1">IFERROR(__xludf.DUMMYFUNCTION("""COMPUTED_VALUE"""),"TEM-139")</f>
        <v>TEM-139</v>
      </c>
      <c r="B8474" t="str">
        <f ca="1">IFERROR(__xludf.DUMMYFUNCTION("""COMPUTED_VALUE"""),"RF-00000646-PAR")</f>
        <v>RF-00000646-PAR</v>
      </c>
    </row>
    <row r="8475" spans="1:2" ht="12.5" x14ac:dyDescent="0.25">
      <c r="A8475" t="str">
        <f ca="1">IFERROR(__xludf.DUMMYFUNCTION("""COMPUTED_VALUE"""),"TEM-14")</f>
        <v>TEM-14</v>
      </c>
      <c r="B8475" t="str">
        <f ca="1">IFERROR(__xludf.DUMMYFUNCTION("""COMPUTED_VALUE"""),"RF-00000521-PAR")</f>
        <v>RF-00000521-PAR</v>
      </c>
    </row>
    <row r="8476" spans="1:2" ht="12.5" x14ac:dyDescent="0.25">
      <c r="A8476" t="str">
        <f ca="1">IFERROR(__xludf.DUMMYFUNCTION("""COMPUTED_VALUE"""),"TEM-140")</f>
        <v>TEM-140</v>
      </c>
      <c r="B8476" t="str">
        <f ca="1">IFERROR(__xludf.DUMMYFUNCTION("""COMPUTED_VALUE"""),"RF-00000647-PAR")</f>
        <v>RF-00000647-PAR</v>
      </c>
    </row>
    <row r="8477" spans="1:2" ht="12.5" x14ac:dyDescent="0.25">
      <c r="A8477" t="str">
        <f ca="1">IFERROR(__xludf.DUMMYFUNCTION("""COMPUTED_VALUE"""),"TEM-141")</f>
        <v>TEM-141</v>
      </c>
      <c r="B8477" t="str">
        <f ca="1">IFERROR(__xludf.DUMMYFUNCTION("""COMPUTED_VALUE"""),"RF-00000648-PAR")</f>
        <v>RF-00000648-PAR</v>
      </c>
    </row>
    <row r="8478" spans="1:2" ht="12.5" x14ac:dyDescent="0.25">
      <c r="A8478" t="str">
        <f ca="1">IFERROR(__xludf.DUMMYFUNCTION("""COMPUTED_VALUE"""),"TEM-142")</f>
        <v>TEM-142</v>
      </c>
      <c r="B8478" t="str">
        <f ca="1">IFERROR(__xludf.DUMMYFUNCTION("""COMPUTED_VALUE"""),"RF-00000649-PAR")</f>
        <v>RF-00000649-PAR</v>
      </c>
    </row>
    <row r="8479" spans="1:2" ht="12.5" x14ac:dyDescent="0.25">
      <c r="A8479" t="str">
        <f ca="1">IFERROR(__xludf.DUMMYFUNCTION("""COMPUTED_VALUE"""),"TEM-143")</f>
        <v>TEM-143</v>
      </c>
      <c r="B8479" t="str">
        <f ca="1">IFERROR(__xludf.DUMMYFUNCTION("""COMPUTED_VALUE"""),"RF-00000650-PAR")</f>
        <v>RF-00000650-PAR</v>
      </c>
    </row>
    <row r="8480" spans="1:2" ht="12.5" x14ac:dyDescent="0.25">
      <c r="A8480" t="str">
        <f ca="1">IFERROR(__xludf.DUMMYFUNCTION("""COMPUTED_VALUE"""),"TEM-144")</f>
        <v>TEM-144</v>
      </c>
      <c r="B8480" t="str">
        <f ca="1">IFERROR(__xludf.DUMMYFUNCTION("""COMPUTED_VALUE"""),"RF-00000651-PAR")</f>
        <v>RF-00000651-PAR</v>
      </c>
    </row>
    <row r="8481" spans="1:2" ht="12.5" x14ac:dyDescent="0.25">
      <c r="A8481" t="str">
        <f ca="1">IFERROR(__xludf.DUMMYFUNCTION("""COMPUTED_VALUE"""),"TEM-145")</f>
        <v>TEM-145</v>
      </c>
      <c r="B8481" t="str">
        <f ca="1">IFERROR(__xludf.DUMMYFUNCTION("""COMPUTED_VALUE"""),"RF-00000652-PAR")</f>
        <v>RF-00000652-PAR</v>
      </c>
    </row>
    <row r="8482" spans="1:2" ht="12.5" x14ac:dyDescent="0.25">
      <c r="A8482" t="str">
        <f ca="1">IFERROR(__xludf.DUMMYFUNCTION("""COMPUTED_VALUE"""),"TEM-146")</f>
        <v>TEM-146</v>
      </c>
      <c r="B8482" t="str">
        <f ca="1">IFERROR(__xludf.DUMMYFUNCTION("""COMPUTED_VALUE"""),"RF-00000653-PAR")</f>
        <v>RF-00000653-PAR</v>
      </c>
    </row>
    <row r="8483" spans="1:2" ht="12.5" x14ac:dyDescent="0.25">
      <c r="A8483" t="str">
        <f ca="1">IFERROR(__xludf.DUMMYFUNCTION("""COMPUTED_VALUE"""),"TEM-147")</f>
        <v>TEM-147</v>
      </c>
      <c r="B8483" t="str">
        <f ca="1">IFERROR(__xludf.DUMMYFUNCTION("""COMPUTED_VALUE"""),"RF-00000654-PAR")</f>
        <v>RF-00000654-PAR</v>
      </c>
    </row>
    <row r="8484" spans="1:2" ht="12.5" x14ac:dyDescent="0.25">
      <c r="A8484" t="str">
        <f ca="1">IFERROR(__xludf.DUMMYFUNCTION("""COMPUTED_VALUE"""),"TEM-148")</f>
        <v>TEM-148</v>
      </c>
      <c r="B8484" t="str">
        <f ca="1">IFERROR(__xludf.DUMMYFUNCTION("""COMPUTED_VALUE"""),"RF-00000655-PAR")</f>
        <v>RF-00000655-PAR</v>
      </c>
    </row>
    <row r="8485" spans="1:2" ht="12.5" x14ac:dyDescent="0.25">
      <c r="A8485" t="str">
        <f ca="1">IFERROR(__xludf.DUMMYFUNCTION("""COMPUTED_VALUE"""),"TEM-149")</f>
        <v>TEM-149</v>
      </c>
      <c r="B8485" t="str">
        <f ca="1">IFERROR(__xludf.DUMMYFUNCTION("""COMPUTED_VALUE"""),"RF-00000656-PAR")</f>
        <v>RF-00000656-PAR</v>
      </c>
    </row>
    <row r="8486" spans="1:2" ht="12.5" x14ac:dyDescent="0.25">
      <c r="A8486" t="str">
        <f ca="1">IFERROR(__xludf.DUMMYFUNCTION("""COMPUTED_VALUE"""),"TEM-15")</f>
        <v>TEM-15</v>
      </c>
      <c r="B8486" t="str">
        <f ca="1">IFERROR(__xludf.DUMMYFUNCTION("""COMPUTED_VALUE"""),"RF-00000522-PAR")</f>
        <v>RF-00000522-PAR</v>
      </c>
    </row>
    <row r="8487" spans="1:2" ht="12.5" x14ac:dyDescent="0.25">
      <c r="A8487" t="str">
        <f ca="1">IFERROR(__xludf.DUMMYFUNCTION("""COMPUTED_VALUE"""),"TEM-150")</f>
        <v>TEM-150</v>
      </c>
      <c r="B8487" t="str">
        <f ca="1">IFERROR(__xludf.DUMMYFUNCTION("""COMPUTED_VALUE"""),"RF-00000657-PAR")</f>
        <v>RF-00000657-PAR</v>
      </c>
    </row>
    <row r="8488" spans="1:2" ht="12.5" x14ac:dyDescent="0.25">
      <c r="A8488" t="str">
        <f ca="1">IFERROR(__xludf.DUMMYFUNCTION("""COMPUTED_VALUE"""),"TEM-151")</f>
        <v>TEM-151</v>
      </c>
      <c r="B8488" t="str">
        <f ca="1">IFERROR(__xludf.DUMMYFUNCTION("""COMPUTED_VALUE"""),"RF-00000658-PAR")</f>
        <v>RF-00000658-PAR</v>
      </c>
    </row>
    <row r="8489" spans="1:2" ht="12.5" x14ac:dyDescent="0.25">
      <c r="A8489" t="str">
        <f ca="1">IFERROR(__xludf.DUMMYFUNCTION("""COMPUTED_VALUE"""),"TEM-152")</f>
        <v>TEM-152</v>
      </c>
      <c r="B8489" t="str">
        <f ca="1">IFERROR(__xludf.DUMMYFUNCTION("""COMPUTED_VALUE"""),"RF-00000659-PAR")</f>
        <v>RF-00000659-PAR</v>
      </c>
    </row>
    <row r="8490" spans="1:2" ht="12.5" x14ac:dyDescent="0.25">
      <c r="A8490" t="str">
        <f ca="1">IFERROR(__xludf.DUMMYFUNCTION("""COMPUTED_VALUE"""),"TEM-153")</f>
        <v>TEM-153</v>
      </c>
      <c r="B8490" t="str">
        <f ca="1">IFERROR(__xludf.DUMMYFUNCTION("""COMPUTED_VALUE"""),"RF-00000660-PAR")</f>
        <v>RF-00000660-PAR</v>
      </c>
    </row>
    <row r="8491" spans="1:2" ht="12.5" x14ac:dyDescent="0.25">
      <c r="A8491" t="str">
        <f ca="1">IFERROR(__xludf.DUMMYFUNCTION("""COMPUTED_VALUE"""),"TEM-154")</f>
        <v>TEM-154</v>
      </c>
      <c r="B8491" t="str">
        <f ca="1">IFERROR(__xludf.DUMMYFUNCTION("""COMPUTED_VALUE"""),"RF-00000661-PAR")</f>
        <v>RF-00000661-PAR</v>
      </c>
    </row>
    <row r="8492" spans="1:2" ht="12.5" x14ac:dyDescent="0.25">
      <c r="A8492" t="str">
        <f ca="1">IFERROR(__xludf.DUMMYFUNCTION("""COMPUTED_VALUE"""),"TEM-155")</f>
        <v>TEM-155</v>
      </c>
      <c r="B8492" t="str">
        <f ca="1">IFERROR(__xludf.DUMMYFUNCTION("""COMPUTED_VALUE"""),"RF-00000662-PAR")</f>
        <v>RF-00000662-PAR</v>
      </c>
    </row>
    <row r="8493" spans="1:2" ht="12.5" x14ac:dyDescent="0.25">
      <c r="A8493" t="str">
        <f ca="1">IFERROR(__xludf.DUMMYFUNCTION("""COMPUTED_VALUE"""),"TEM-156")</f>
        <v>TEM-156</v>
      </c>
      <c r="B8493" t="str">
        <f ca="1">IFERROR(__xludf.DUMMYFUNCTION("""COMPUTED_VALUE"""),"RF-00000663-PAR")</f>
        <v>RF-00000663-PAR</v>
      </c>
    </row>
    <row r="8494" spans="1:2" ht="12.5" x14ac:dyDescent="0.25">
      <c r="A8494" t="str">
        <f ca="1">IFERROR(__xludf.DUMMYFUNCTION("""COMPUTED_VALUE"""),"TEM-157")</f>
        <v>TEM-157</v>
      </c>
      <c r="B8494" t="str">
        <f ca="1">IFERROR(__xludf.DUMMYFUNCTION("""COMPUTED_VALUE"""),"RF-00000664-PAR")</f>
        <v>RF-00000664-PAR</v>
      </c>
    </row>
    <row r="8495" spans="1:2" ht="12.5" x14ac:dyDescent="0.25">
      <c r="A8495" t="str">
        <f ca="1">IFERROR(__xludf.DUMMYFUNCTION("""COMPUTED_VALUE"""),"TEM-158 (CMT-9)")</f>
        <v>TEM-158 (CMT-9)</v>
      </c>
      <c r="B8495" t="str">
        <f ca="1">IFERROR(__xludf.DUMMYFUNCTION("""COMPUTED_VALUE"""),"RF-00000665-PAR")</f>
        <v>RF-00000665-PAR</v>
      </c>
    </row>
    <row r="8496" spans="1:2" ht="12.5" x14ac:dyDescent="0.25">
      <c r="A8496" t="str">
        <f ca="1">IFERROR(__xludf.DUMMYFUNCTION("""COMPUTED_VALUE"""),"TEM-159")</f>
        <v>TEM-159</v>
      </c>
      <c r="B8496" t="str">
        <f ca="1">IFERROR(__xludf.DUMMYFUNCTION("""COMPUTED_VALUE"""),"RF-00000666-PAR")</f>
        <v>RF-00000666-PAR</v>
      </c>
    </row>
    <row r="8497" spans="1:2" ht="12.5" x14ac:dyDescent="0.25">
      <c r="A8497" t="str">
        <f ca="1">IFERROR(__xludf.DUMMYFUNCTION("""COMPUTED_VALUE"""),"TEM-16")</f>
        <v>TEM-16</v>
      </c>
      <c r="B8497" t="str">
        <f ca="1">IFERROR(__xludf.DUMMYFUNCTION("""COMPUTED_VALUE"""),"RF-00000523-PAR")</f>
        <v>RF-00000523-PAR</v>
      </c>
    </row>
    <row r="8498" spans="1:2" ht="12.5" x14ac:dyDescent="0.25">
      <c r="A8498" t="str">
        <f ca="1">IFERROR(__xludf.DUMMYFUNCTION("""COMPUTED_VALUE"""),"TEM-160")</f>
        <v>TEM-160</v>
      </c>
      <c r="B8498" t="str">
        <f ca="1">IFERROR(__xludf.DUMMYFUNCTION("""COMPUTED_VALUE"""),"RF-00000667-PAR")</f>
        <v>RF-00000667-PAR</v>
      </c>
    </row>
    <row r="8499" spans="1:2" ht="12.5" x14ac:dyDescent="0.25">
      <c r="A8499" t="str">
        <f ca="1">IFERROR(__xludf.DUMMYFUNCTION("""COMPUTED_VALUE"""),"TEM-161")</f>
        <v>TEM-161</v>
      </c>
      <c r="B8499" t="str">
        <f ca="1">IFERROR(__xludf.DUMMYFUNCTION("""COMPUTED_VALUE"""),"RF-00000668-PAR")</f>
        <v>RF-00000668-PAR</v>
      </c>
    </row>
    <row r="8500" spans="1:2" ht="12.5" x14ac:dyDescent="0.25">
      <c r="A8500" t="str">
        <f ca="1">IFERROR(__xludf.DUMMYFUNCTION("""COMPUTED_VALUE"""),"TEM-162")</f>
        <v>TEM-162</v>
      </c>
      <c r="B8500" t="str">
        <f ca="1">IFERROR(__xludf.DUMMYFUNCTION("""COMPUTED_VALUE"""),"RF-00000669-PAR")</f>
        <v>RF-00000669-PAR</v>
      </c>
    </row>
    <row r="8501" spans="1:2" ht="12.5" x14ac:dyDescent="0.25">
      <c r="A8501" t="str">
        <f ca="1">IFERROR(__xludf.DUMMYFUNCTION("""COMPUTED_VALUE"""),"TEM-163")</f>
        <v>TEM-163</v>
      </c>
      <c r="B8501" t="str">
        <f ca="1">IFERROR(__xludf.DUMMYFUNCTION("""COMPUTED_VALUE"""),"RF-00000670-PAR")</f>
        <v>RF-00000670-PAR</v>
      </c>
    </row>
    <row r="8502" spans="1:2" ht="12.5" x14ac:dyDescent="0.25">
      <c r="A8502" t="str">
        <f ca="1">IFERROR(__xludf.DUMMYFUNCTION("""COMPUTED_VALUE"""),"TEM-164")</f>
        <v>TEM-164</v>
      </c>
      <c r="B8502" t="str">
        <f ca="1">IFERROR(__xludf.DUMMYFUNCTION("""COMPUTED_VALUE"""),"RF-00000671-PAR")</f>
        <v>RF-00000671-PAR</v>
      </c>
    </row>
    <row r="8503" spans="1:2" ht="12.5" x14ac:dyDescent="0.25">
      <c r="A8503" t="str">
        <f ca="1">IFERROR(__xludf.DUMMYFUNCTION("""COMPUTED_VALUE"""),"TEM-165")</f>
        <v>TEM-165</v>
      </c>
      <c r="B8503" t="str">
        <f ca="1">IFERROR(__xludf.DUMMYFUNCTION("""COMPUTED_VALUE"""),"RF-00000672-PAR")</f>
        <v>RF-00000672-PAR</v>
      </c>
    </row>
    <row r="8504" spans="1:2" ht="12.5" x14ac:dyDescent="0.25">
      <c r="A8504" t="str">
        <f ca="1">IFERROR(__xludf.DUMMYFUNCTION("""COMPUTED_VALUE"""),"TEM-166")</f>
        <v>TEM-166</v>
      </c>
      <c r="B8504" t="str">
        <f ca="1">IFERROR(__xludf.DUMMYFUNCTION("""COMPUTED_VALUE"""),"RF-00000673-PAR")</f>
        <v>RF-00000673-PAR</v>
      </c>
    </row>
    <row r="8505" spans="1:2" ht="12.5" x14ac:dyDescent="0.25">
      <c r="A8505" t="str">
        <f ca="1">IFERROR(__xludf.DUMMYFUNCTION("""COMPUTED_VALUE"""),"TEM-167")</f>
        <v>TEM-167</v>
      </c>
      <c r="B8505" t="str">
        <f ca="1">IFERROR(__xludf.DUMMYFUNCTION("""COMPUTED_VALUE"""),"RF-00000674-PAR")</f>
        <v>RF-00000674-PAR</v>
      </c>
    </row>
    <row r="8506" spans="1:2" ht="12.5" x14ac:dyDescent="0.25">
      <c r="A8506" t="str">
        <f ca="1">IFERROR(__xludf.DUMMYFUNCTION("""COMPUTED_VALUE"""),"TEM-168")</f>
        <v>TEM-168</v>
      </c>
      <c r="B8506" t="str">
        <f ca="1">IFERROR(__xludf.DUMMYFUNCTION("""COMPUTED_VALUE"""),"RF-00000675-PAR")</f>
        <v>RF-00000675-PAR</v>
      </c>
    </row>
    <row r="8507" spans="1:2" ht="12.5" x14ac:dyDescent="0.25">
      <c r="A8507" t="str">
        <f ca="1">IFERROR(__xludf.DUMMYFUNCTION("""COMPUTED_VALUE"""),"TEM-169")</f>
        <v>TEM-169</v>
      </c>
      <c r="B8507" t="str">
        <f ca="1">IFERROR(__xludf.DUMMYFUNCTION("""COMPUTED_VALUE"""),"RF-00000676-PAR")</f>
        <v>RF-00000676-PAR</v>
      </c>
    </row>
    <row r="8508" spans="1:2" ht="12.5" x14ac:dyDescent="0.25">
      <c r="A8508" t="str">
        <f ca="1">IFERROR(__xludf.DUMMYFUNCTION("""COMPUTED_VALUE"""),"TEM-17")</f>
        <v>TEM-17</v>
      </c>
      <c r="B8508" t="str">
        <f ca="1">IFERROR(__xludf.DUMMYFUNCTION("""COMPUTED_VALUE"""),"RF-00000524-PAR")</f>
        <v>RF-00000524-PAR</v>
      </c>
    </row>
    <row r="8509" spans="1:2" ht="12.5" x14ac:dyDescent="0.25">
      <c r="A8509" t="str">
        <f ca="1">IFERROR(__xludf.DUMMYFUNCTION("""COMPUTED_VALUE"""),"TEM-170")</f>
        <v>TEM-170</v>
      </c>
      <c r="B8509" t="str">
        <f ca="1">IFERROR(__xludf.DUMMYFUNCTION("""COMPUTED_VALUE"""),"RF-00000677-PAR")</f>
        <v>RF-00000677-PAR</v>
      </c>
    </row>
    <row r="8510" spans="1:2" ht="12.5" x14ac:dyDescent="0.25">
      <c r="A8510" t="str">
        <f ca="1">IFERROR(__xludf.DUMMYFUNCTION("""COMPUTED_VALUE"""),"TEM-171")</f>
        <v>TEM-171</v>
      </c>
      <c r="B8510" t="str">
        <f ca="1">IFERROR(__xludf.DUMMYFUNCTION("""COMPUTED_VALUE"""),"RF-00000678-PAR")</f>
        <v>RF-00000678-PAR</v>
      </c>
    </row>
    <row r="8511" spans="1:2" ht="12.5" x14ac:dyDescent="0.25">
      <c r="A8511" t="str">
        <f ca="1">IFERROR(__xludf.DUMMYFUNCTION("""COMPUTED_VALUE"""),"TEM-172")</f>
        <v>TEM-172</v>
      </c>
      <c r="B8511" t="str">
        <f ca="1">IFERROR(__xludf.DUMMYFUNCTION("""COMPUTED_VALUE"""),"RF-00000679-PAR")</f>
        <v>RF-00000679-PAR</v>
      </c>
    </row>
    <row r="8512" spans="1:2" ht="12.5" x14ac:dyDescent="0.25">
      <c r="A8512" t="str">
        <f ca="1">IFERROR(__xludf.DUMMYFUNCTION("""COMPUTED_VALUE"""),"TEM-173")</f>
        <v>TEM-173</v>
      </c>
      <c r="B8512" t="str">
        <f ca="1">IFERROR(__xludf.DUMMYFUNCTION("""COMPUTED_VALUE"""),"RF-00000680-PAR")</f>
        <v>RF-00000680-PAR</v>
      </c>
    </row>
    <row r="8513" spans="1:2" ht="12.5" x14ac:dyDescent="0.25">
      <c r="A8513" t="str">
        <f ca="1">IFERROR(__xludf.DUMMYFUNCTION("""COMPUTED_VALUE"""),"TEM-174")</f>
        <v>TEM-174</v>
      </c>
      <c r="B8513" t="str">
        <f ca="1">IFERROR(__xludf.DUMMYFUNCTION("""COMPUTED_VALUE"""),"RF-00000681-PAR")</f>
        <v>RF-00000681-PAR</v>
      </c>
    </row>
    <row r="8514" spans="1:2" ht="12.5" x14ac:dyDescent="0.25">
      <c r="A8514" t="str">
        <f ca="1">IFERROR(__xludf.DUMMYFUNCTION("""COMPUTED_VALUE"""),"TEM-175")</f>
        <v>TEM-175</v>
      </c>
      <c r="B8514" t="str">
        <f ca="1">IFERROR(__xludf.DUMMYFUNCTION("""COMPUTED_VALUE"""),"RF-00000682-PAR")</f>
        <v>RF-00000682-PAR</v>
      </c>
    </row>
    <row r="8515" spans="1:2" ht="12.5" x14ac:dyDescent="0.25">
      <c r="A8515" t="str">
        <f ca="1">IFERROR(__xludf.DUMMYFUNCTION("""COMPUTED_VALUE"""),"TEM-176")</f>
        <v>TEM-176</v>
      </c>
      <c r="B8515" t="str">
        <f ca="1">IFERROR(__xludf.DUMMYFUNCTION("""COMPUTED_VALUE"""),"RF-00000683-PAR")</f>
        <v>RF-00000683-PAR</v>
      </c>
    </row>
    <row r="8516" spans="1:2" ht="12.5" x14ac:dyDescent="0.25">
      <c r="A8516" t="str">
        <f ca="1">IFERROR(__xludf.DUMMYFUNCTION("""COMPUTED_VALUE"""),"TEM-177")</f>
        <v>TEM-177</v>
      </c>
      <c r="B8516" t="str">
        <f ca="1">IFERROR(__xludf.DUMMYFUNCTION("""COMPUTED_VALUE"""),"RF-00000684-PAR")</f>
        <v>RF-00000684-PAR</v>
      </c>
    </row>
    <row r="8517" spans="1:2" ht="12.5" x14ac:dyDescent="0.25">
      <c r="A8517" t="str">
        <f ca="1">IFERROR(__xludf.DUMMYFUNCTION("""COMPUTED_VALUE"""),"TEM-178")</f>
        <v>TEM-178</v>
      </c>
      <c r="B8517" t="str">
        <f ca="1">IFERROR(__xludf.DUMMYFUNCTION("""COMPUTED_VALUE"""),"RF-00000685-PAR")</f>
        <v>RF-00000685-PAR</v>
      </c>
    </row>
    <row r="8518" spans="1:2" ht="12.5" x14ac:dyDescent="0.25">
      <c r="A8518" t="str">
        <f ca="1">IFERROR(__xludf.DUMMYFUNCTION("""COMPUTED_VALUE"""),"TEM-179")</f>
        <v>TEM-179</v>
      </c>
      <c r="B8518" t="str">
        <f ca="1">IFERROR(__xludf.DUMMYFUNCTION("""COMPUTED_VALUE"""),"RF-00000686-PAR")</f>
        <v>RF-00000686-PAR</v>
      </c>
    </row>
    <row r="8519" spans="1:2" ht="12.5" x14ac:dyDescent="0.25">
      <c r="A8519" t="str">
        <f ca="1">IFERROR(__xludf.DUMMYFUNCTION("""COMPUTED_VALUE"""),"TEM-18")</f>
        <v>TEM-18</v>
      </c>
      <c r="B8519" t="str">
        <f ca="1">IFERROR(__xludf.DUMMYFUNCTION("""COMPUTED_VALUE"""),"RF-00000525-PAR")</f>
        <v>RF-00000525-PAR</v>
      </c>
    </row>
    <row r="8520" spans="1:2" ht="12.5" x14ac:dyDescent="0.25">
      <c r="A8520" t="str">
        <f ca="1">IFERROR(__xludf.DUMMYFUNCTION("""COMPUTED_VALUE"""),"TEM-180")</f>
        <v>TEM-180</v>
      </c>
      <c r="B8520" t="str">
        <f ca="1">IFERROR(__xludf.DUMMYFUNCTION("""COMPUTED_VALUE"""),"RF-00000687-PAR")</f>
        <v>RF-00000687-PAR</v>
      </c>
    </row>
    <row r="8521" spans="1:2" ht="12.5" x14ac:dyDescent="0.25">
      <c r="A8521" t="str">
        <f ca="1">IFERROR(__xludf.DUMMYFUNCTION("""COMPUTED_VALUE"""),"TEM-181")</f>
        <v>TEM-181</v>
      </c>
      <c r="B8521" t="str">
        <f ca="1">IFERROR(__xludf.DUMMYFUNCTION("""COMPUTED_VALUE"""),"RF-00000688-PAR")</f>
        <v>RF-00000688-PAR</v>
      </c>
    </row>
    <row r="8522" spans="1:2" ht="12.5" x14ac:dyDescent="0.25">
      <c r="A8522" t="str">
        <f ca="1">IFERROR(__xludf.DUMMYFUNCTION("""COMPUTED_VALUE"""),"TEM-182")</f>
        <v>TEM-182</v>
      </c>
      <c r="B8522" t="str">
        <f ca="1">IFERROR(__xludf.DUMMYFUNCTION("""COMPUTED_VALUE"""),"RF-00000689-PAR")</f>
        <v>RF-00000689-PAR</v>
      </c>
    </row>
    <row r="8523" spans="1:2" ht="12.5" x14ac:dyDescent="0.25">
      <c r="A8523" t="str">
        <f ca="1">IFERROR(__xludf.DUMMYFUNCTION("""COMPUTED_VALUE"""),"TEM-183")</f>
        <v>TEM-183</v>
      </c>
      <c r="B8523" t="str">
        <f ca="1">IFERROR(__xludf.DUMMYFUNCTION("""COMPUTED_VALUE"""),"RF-00000690-PAR")</f>
        <v>RF-00000690-PAR</v>
      </c>
    </row>
    <row r="8524" spans="1:2" ht="12.5" x14ac:dyDescent="0.25">
      <c r="A8524" t="str">
        <f ca="1">IFERROR(__xludf.DUMMYFUNCTION("""COMPUTED_VALUE"""),"TEM-184")</f>
        <v>TEM-184</v>
      </c>
      <c r="B8524" t="str">
        <f ca="1">IFERROR(__xludf.DUMMYFUNCTION("""COMPUTED_VALUE"""),"RF-00000691-PAR")</f>
        <v>RF-00000691-PAR</v>
      </c>
    </row>
    <row r="8525" spans="1:2" ht="12.5" x14ac:dyDescent="0.25">
      <c r="A8525" t="str">
        <f ca="1">IFERROR(__xludf.DUMMYFUNCTION("""COMPUTED_VALUE"""),"TEM-185")</f>
        <v>TEM-185</v>
      </c>
      <c r="B8525" t="str">
        <f ca="1">IFERROR(__xludf.DUMMYFUNCTION("""COMPUTED_VALUE"""),"RF-00000692-PAR")</f>
        <v>RF-00000692-PAR</v>
      </c>
    </row>
    <row r="8526" spans="1:2" ht="12.5" x14ac:dyDescent="0.25">
      <c r="A8526" t="str">
        <f ca="1">IFERROR(__xludf.DUMMYFUNCTION("""COMPUTED_VALUE"""),"TEM-186")</f>
        <v>TEM-186</v>
      </c>
      <c r="B8526" t="str">
        <f ca="1">IFERROR(__xludf.DUMMYFUNCTION("""COMPUTED_VALUE"""),"RF-00000693-PAR")</f>
        <v>RF-00000693-PAR</v>
      </c>
    </row>
    <row r="8527" spans="1:2" ht="12.5" x14ac:dyDescent="0.25">
      <c r="A8527" t="str">
        <f ca="1">IFERROR(__xludf.DUMMYFUNCTION("""COMPUTED_VALUE"""),"TEM-187")</f>
        <v>TEM-187</v>
      </c>
      <c r="B8527" t="str">
        <f ca="1">IFERROR(__xludf.DUMMYFUNCTION("""COMPUTED_VALUE"""),"RF-00000694-PAR")</f>
        <v>RF-00000694-PAR</v>
      </c>
    </row>
    <row r="8528" spans="1:2" ht="12.5" x14ac:dyDescent="0.25">
      <c r="A8528" t="str">
        <f ca="1">IFERROR(__xludf.DUMMYFUNCTION("""COMPUTED_VALUE"""),"TEM-188")</f>
        <v>TEM-188</v>
      </c>
      <c r="B8528" t="str">
        <f ca="1">IFERROR(__xludf.DUMMYFUNCTION("""COMPUTED_VALUE"""),"RF-00000695-PAR")</f>
        <v>RF-00000695-PAR</v>
      </c>
    </row>
    <row r="8529" spans="1:2" ht="12.5" x14ac:dyDescent="0.25">
      <c r="A8529" t="str">
        <f ca="1">IFERROR(__xludf.DUMMYFUNCTION("""COMPUTED_VALUE"""),"TEM-189")</f>
        <v>TEM-189</v>
      </c>
      <c r="B8529" t="str">
        <f ca="1">IFERROR(__xludf.DUMMYFUNCTION("""COMPUTED_VALUE"""),"RF-00000696-PAR")</f>
        <v>RF-00000696-PAR</v>
      </c>
    </row>
    <row r="8530" spans="1:2" ht="12.5" x14ac:dyDescent="0.25">
      <c r="A8530" t="str">
        <f ca="1">IFERROR(__xludf.DUMMYFUNCTION("""COMPUTED_VALUE"""),"TEM-19")</f>
        <v>TEM-19</v>
      </c>
      <c r="B8530" t="str">
        <f ca="1">IFERROR(__xludf.DUMMYFUNCTION("""COMPUTED_VALUE"""),"RF-00000526-PAR")</f>
        <v>RF-00000526-PAR</v>
      </c>
    </row>
    <row r="8531" spans="1:2" ht="12.5" x14ac:dyDescent="0.25">
      <c r="A8531" t="str">
        <f ca="1">IFERROR(__xludf.DUMMYFUNCTION("""COMPUTED_VALUE"""),"TEM-190")</f>
        <v>TEM-190</v>
      </c>
      <c r="B8531" t="str">
        <f ca="1">IFERROR(__xludf.DUMMYFUNCTION("""COMPUTED_VALUE"""),"RF-00000697-PAR")</f>
        <v>RF-00000697-PAR</v>
      </c>
    </row>
    <row r="8532" spans="1:2" ht="12.5" x14ac:dyDescent="0.25">
      <c r="A8532" t="str">
        <f ca="1">IFERROR(__xludf.DUMMYFUNCTION("""COMPUTED_VALUE"""),"TEM-191")</f>
        <v>TEM-191</v>
      </c>
      <c r="B8532" t="str">
        <f ca="1">IFERROR(__xludf.DUMMYFUNCTION("""COMPUTED_VALUE"""),"RF-00000698-PAR")</f>
        <v>RF-00000698-PAR</v>
      </c>
    </row>
    <row r="8533" spans="1:2" ht="12.5" x14ac:dyDescent="0.25">
      <c r="A8533" t="str">
        <f ca="1">IFERROR(__xludf.DUMMYFUNCTION("""COMPUTED_VALUE"""),"TEM-192")</f>
        <v>TEM-192</v>
      </c>
      <c r="B8533" t="str">
        <f ca="1">IFERROR(__xludf.DUMMYFUNCTION("""COMPUTED_VALUE"""),"RF-00000699-PAR")</f>
        <v>RF-00000699-PAR</v>
      </c>
    </row>
    <row r="8534" spans="1:2" ht="12.5" x14ac:dyDescent="0.25">
      <c r="A8534" t="str">
        <f ca="1">IFERROR(__xludf.DUMMYFUNCTION("""COMPUTED_VALUE"""),"TEM-193")</f>
        <v>TEM-193</v>
      </c>
      <c r="B8534" t="str">
        <f ca="1">IFERROR(__xludf.DUMMYFUNCTION("""COMPUTED_VALUE"""),"RF-00000700-PAR")</f>
        <v>RF-00000700-PAR</v>
      </c>
    </row>
    <row r="8535" spans="1:2" ht="12.5" x14ac:dyDescent="0.25">
      <c r="A8535" t="str">
        <f ca="1">IFERROR(__xludf.DUMMYFUNCTION("""COMPUTED_VALUE"""),"TEM-194")</f>
        <v>TEM-194</v>
      </c>
      <c r="B8535" t="str">
        <f ca="1">IFERROR(__xludf.DUMMYFUNCTION("""COMPUTED_VALUE"""),"RF-00000701-PAR")</f>
        <v>RF-00000701-PAR</v>
      </c>
    </row>
    <row r="8536" spans="1:2" ht="12.5" x14ac:dyDescent="0.25">
      <c r="A8536" t="str">
        <f ca="1">IFERROR(__xludf.DUMMYFUNCTION("""COMPUTED_VALUE"""),"TEM-195")</f>
        <v>TEM-195</v>
      </c>
      <c r="B8536" t="str">
        <f ca="1">IFERROR(__xludf.DUMMYFUNCTION("""COMPUTED_VALUE"""),"RF-00000702-PAR")</f>
        <v>RF-00000702-PAR</v>
      </c>
    </row>
    <row r="8537" spans="1:2" ht="12.5" x14ac:dyDescent="0.25">
      <c r="A8537" t="str">
        <f ca="1">IFERROR(__xludf.DUMMYFUNCTION("""COMPUTED_VALUE"""),"TEM-196")</f>
        <v>TEM-196</v>
      </c>
      <c r="B8537" t="str">
        <f ca="1">IFERROR(__xludf.DUMMYFUNCTION("""COMPUTED_VALUE"""),"RF-00000703-PAR")</f>
        <v>RF-00000703-PAR</v>
      </c>
    </row>
    <row r="8538" spans="1:2" ht="12.5" x14ac:dyDescent="0.25">
      <c r="A8538" t="str">
        <f ca="1">IFERROR(__xludf.DUMMYFUNCTION("""COMPUTED_VALUE"""),"TEM-197")</f>
        <v>TEM-197</v>
      </c>
      <c r="B8538" t="str">
        <f ca="1">IFERROR(__xludf.DUMMYFUNCTION("""COMPUTED_VALUE"""),"RF-00000704-PAR")</f>
        <v>RF-00000704-PAR</v>
      </c>
    </row>
    <row r="8539" spans="1:2" ht="12.5" x14ac:dyDescent="0.25">
      <c r="A8539" t="str">
        <f ca="1">IFERROR(__xludf.DUMMYFUNCTION("""COMPUTED_VALUE"""),"TEM-198")</f>
        <v>TEM-198</v>
      </c>
      <c r="B8539" t="str">
        <f ca="1">IFERROR(__xludf.DUMMYFUNCTION("""COMPUTED_VALUE"""),"RF-00000705-PAR")</f>
        <v>RF-00000705-PAR</v>
      </c>
    </row>
    <row r="8540" spans="1:2" ht="12.5" x14ac:dyDescent="0.25">
      <c r="A8540" t="str">
        <f ca="1">IFERROR(__xludf.DUMMYFUNCTION("""COMPUTED_VALUE"""),"TEM-199")</f>
        <v>TEM-199</v>
      </c>
      <c r="B8540" t="str">
        <f ca="1">IFERROR(__xludf.DUMMYFUNCTION("""COMPUTED_VALUE"""),"RF-00000706-PAR")</f>
        <v>RF-00000706-PAR</v>
      </c>
    </row>
    <row r="8541" spans="1:2" ht="12.5" x14ac:dyDescent="0.25">
      <c r="A8541" t="str">
        <f ca="1">IFERROR(__xludf.DUMMYFUNCTION("""COMPUTED_VALUE"""),"TEM-2")</f>
        <v>TEM-2</v>
      </c>
      <c r="B8541" t="str">
        <f ca="1">IFERROR(__xludf.DUMMYFUNCTION("""COMPUTED_VALUE"""),"RF-00000509-PAR")</f>
        <v>RF-00000509-PAR</v>
      </c>
    </row>
    <row r="8542" spans="1:2" ht="12.5" x14ac:dyDescent="0.25">
      <c r="A8542" t="str">
        <f ca="1">IFERROR(__xludf.DUMMYFUNCTION("""COMPUTED_VALUE"""),"TEM-20")</f>
        <v>TEM-20</v>
      </c>
      <c r="B8542" t="str">
        <f ca="1">IFERROR(__xludf.DUMMYFUNCTION("""COMPUTED_VALUE"""),"RF-00000527-PAR")</f>
        <v>RF-00000527-PAR</v>
      </c>
    </row>
    <row r="8543" spans="1:2" ht="12.5" x14ac:dyDescent="0.25">
      <c r="A8543" t="str">
        <f ca="1">IFERROR(__xludf.DUMMYFUNCTION("""COMPUTED_VALUE"""),"TEM-200")</f>
        <v>TEM-200</v>
      </c>
      <c r="B8543" t="str">
        <f ca="1">IFERROR(__xludf.DUMMYFUNCTION("""COMPUTED_VALUE"""),"RF-00000707-PAR")</f>
        <v>RF-00000707-PAR</v>
      </c>
    </row>
    <row r="8544" spans="1:2" ht="12.5" x14ac:dyDescent="0.25">
      <c r="A8544" t="str">
        <f ca="1">IFERROR(__xludf.DUMMYFUNCTION("""COMPUTED_VALUE"""),"TEM-201")</f>
        <v>TEM-201</v>
      </c>
      <c r="B8544" t="str">
        <f ca="1">IFERROR(__xludf.DUMMYFUNCTION("""COMPUTED_VALUE"""),"RF-00000708-PAR")</f>
        <v>RF-00000708-PAR</v>
      </c>
    </row>
    <row r="8545" spans="1:2" ht="12.5" x14ac:dyDescent="0.25">
      <c r="A8545" t="str">
        <f ca="1">IFERROR(__xludf.DUMMYFUNCTION("""COMPUTED_VALUE"""),"TEM-202")</f>
        <v>TEM-202</v>
      </c>
      <c r="B8545" t="str">
        <f ca="1">IFERROR(__xludf.DUMMYFUNCTION("""COMPUTED_VALUE"""),"RF-00000709-PAR")</f>
        <v>RF-00000709-PAR</v>
      </c>
    </row>
    <row r="8546" spans="1:2" ht="12.5" x14ac:dyDescent="0.25">
      <c r="A8546" t="str">
        <f ca="1">IFERROR(__xludf.DUMMYFUNCTION("""COMPUTED_VALUE"""),"TEM-203")</f>
        <v>TEM-203</v>
      </c>
      <c r="B8546" t="str">
        <f ca="1">IFERROR(__xludf.DUMMYFUNCTION("""COMPUTED_VALUE"""),"RF-00000710-PAR")</f>
        <v>RF-00000710-PAR</v>
      </c>
    </row>
    <row r="8547" spans="1:2" ht="12.5" x14ac:dyDescent="0.25">
      <c r="A8547" t="str">
        <f ca="1">IFERROR(__xludf.DUMMYFUNCTION("""COMPUTED_VALUE"""),"TEM-204")</f>
        <v>TEM-204</v>
      </c>
      <c r="B8547" t="str">
        <f ca="1">IFERROR(__xludf.DUMMYFUNCTION("""COMPUTED_VALUE"""),"RF-00000711-PAR")</f>
        <v>RF-00000711-PAR</v>
      </c>
    </row>
    <row r="8548" spans="1:2" ht="12.5" x14ac:dyDescent="0.25">
      <c r="A8548" t="str">
        <f ca="1">IFERROR(__xludf.DUMMYFUNCTION("""COMPUTED_VALUE"""),"TEM-205")</f>
        <v>TEM-205</v>
      </c>
      <c r="B8548" t="str">
        <f ca="1">IFERROR(__xludf.DUMMYFUNCTION("""COMPUTED_VALUE"""),"RF-00000712-PAR")</f>
        <v>RF-00000712-PAR</v>
      </c>
    </row>
    <row r="8549" spans="1:2" ht="12.5" x14ac:dyDescent="0.25">
      <c r="A8549" t="str">
        <f ca="1">IFERROR(__xludf.DUMMYFUNCTION("""COMPUTED_VALUE"""),"TEM-21")</f>
        <v>TEM-21</v>
      </c>
      <c r="B8549" t="str">
        <f ca="1">IFERROR(__xludf.DUMMYFUNCTION("""COMPUTED_VALUE"""),"RF-00000528-PAR")</f>
        <v>RF-00000528-PAR</v>
      </c>
    </row>
    <row r="8550" spans="1:2" ht="12.5" x14ac:dyDescent="0.25">
      <c r="A8550" t="str">
        <f ca="1">IFERROR(__xludf.DUMMYFUNCTION("""COMPUTED_VALUE"""),"TEM-22")</f>
        <v>TEM-22</v>
      </c>
      <c r="B8550" t="str">
        <f ca="1">IFERROR(__xludf.DUMMYFUNCTION("""COMPUTED_VALUE"""),"RF-00000529-PAR")</f>
        <v>RF-00000529-PAR</v>
      </c>
    </row>
    <row r="8551" spans="1:2" ht="12.5" x14ac:dyDescent="0.25">
      <c r="A8551" t="str">
        <f ca="1">IFERROR(__xludf.DUMMYFUNCTION("""COMPUTED_VALUE"""),"TEM-23")</f>
        <v>TEM-23</v>
      </c>
      <c r="B8551" t="str">
        <f ca="1">IFERROR(__xludf.DUMMYFUNCTION("""COMPUTED_VALUE"""),"RF-00000530-PAR")</f>
        <v>RF-00000530-PAR</v>
      </c>
    </row>
    <row r="8552" spans="1:2" ht="12.5" x14ac:dyDescent="0.25">
      <c r="A8552" t="str">
        <f ca="1">IFERROR(__xludf.DUMMYFUNCTION("""COMPUTED_VALUE"""),"TEM-24")</f>
        <v>TEM-24</v>
      </c>
      <c r="B8552" t="str">
        <f ca="1">IFERROR(__xludf.DUMMYFUNCTION("""COMPUTED_VALUE"""),"RF-00000531-PAR")</f>
        <v>RF-00000531-PAR</v>
      </c>
    </row>
    <row r="8553" spans="1:2" ht="12.5" x14ac:dyDescent="0.25">
      <c r="A8553" t="str">
        <f ca="1">IFERROR(__xludf.DUMMYFUNCTION("""COMPUTED_VALUE"""),"TEM-25")</f>
        <v>TEM-25</v>
      </c>
      <c r="B8553" t="str">
        <f ca="1">IFERROR(__xludf.DUMMYFUNCTION("""COMPUTED_VALUE"""),"RF-00000532-PAR")</f>
        <v>RF-00000532-PAR</v>
      </c>
    </row>
    <row r="8554" spans="1:2" ht="12.5" x14ac:dyDescent="0.25">
      <c r="A8554" t="str">
        <f ca="1">IFERROR(__xludf.DUMMYFUNCTION("""COMPUTED_VALUE"""),"TEM-26")</f>
        <v>TEM-26</v>
      </c>
      <c r="B8554" t="str">
        <f ca="1">IFERROR(__xludf.DUMMYFUNCTION("""COMPUTED_VALUE"""),"RF-00000533-PAR")</f>
        <v>RF-00000533-PAR</v>
      </c>
    </row>
    <row r="8555" spans="1:2" ht="12.5" x14ac:dyDescent="0.25">
      <c r="A8555" t="str">
        <f ca="1">IFERROR(__xludf.DUMMYFUNCTION("""COMPUTED_VALUE"""),"TEM-27")</f>
        <v>TEM-27</v>
      </c>
      <c r="B8555" t="str">
        <f ca="1">IFERROR(__xludf.DUMMYFUNCTION("""COMPUTED_VALUE"""),"RF-00000534-PAR")</f>
        <v>RF-00000534-PAR</v>
      </c>
    </row>
    <row r="8556" spans="1:2" ht="12.5" x14ac:dyDescent="0.25">
      <c r="A8556" t="str">
        <f ca="1">IFERROR(__xludf.DUMMYFUNCTION("""COMPUTED_VALUE"""),"TEM-28")</f>
        <v>TEM-28</v>
      </c>
      <c r="B8556" t="str">
        <f ca="1">IFERROR(__xludf.DUMMYFUNCTION("""COMPUTED_VALUE"""),"RF-00000535-PAR")</f>
        <v>RF-00000535-PAR</v>
      </c>
    </row>
    <row r="8557" spans="1:2" ht="12.5" x14ac:dyDescent="0.25">
      <c r="A8557" t="str">
        <f ca="1">IFERROR(__xludf.DUMMYFUNCTION("""COMPUTED_VALUE"""),"TEM-29")</f>
        <v>TEM-29</v>
      </c>
      <c r="B8557" t="str">
        <f ca="1">IFERROR(__xludf.DUMMYFUNCTION("""COMPUTED_VALUE"""),"RF-00000536-PAR")</f>
        <v>RF-00000536-PAR</v>
      </c>
    </row>
    <row r="8558" spans="1:2" ht="12.5" x14ac:dyDescent="0.25">
      <c r="A8558" t="str">
        <f ca="1">IFERROR(__xludf.DUMMYFUNCTION("""COMPUTED_VALUE"""),"TEM-3")</f>
        <v>TEM-3</v>
      </c>
      <c r="B8558" t="str">
        <f ca="1">IFERROR(__xludf.DUMMYFUNCTION("""COMPUTED_VALUE"""),"RF-00000510-PAR")</f>
        <v>RF-00000510-PAR</v>
      </c>
    </row>
    <row r="8559" spans="1:2" ht="12.5" x14ac:dyDescent="0.25">
      <c r="A8559" t="str">
        <f ca="1">IFERROR(__xludf.DUMMYFUNCTION("""COMPUTED_VALUE"""),"TEM-30 (IRT-2)")</f>
        <v>TEM-30 (IRT-2)</v>
      </c>
      <c r="B8559" t="str">
        <f ca="1">IFERROR(__xludf.DUMMYFUNCTION("""COMPUTED_VALUE"""),"RF-00000537-PAR")</f>
        <v>RF-00000537-PAR</v>
      </c>
    </row>
    <row r="8560" spans="1:2" ht="12.5" x14ac:dyDescent="0.25">
      <c r="A8560" t="str">
        <f ca="1">IFERROR(__xludf.DUMMYFUNCTION("""COMPUTED_VALUE"""),"TEM-31 (IRT-1)")</f>
        <v>TEM-31 (IRT-1)</v>
      </c>
      <c r="B8560" t="str">
        <f ca="1">IFERROR(__xludf.DUMMYFUNCTION("""COMPUTED_VALUE"""),"RF-00000538-PAR")</f>
        <v>RF-00000538-PAR</v>
      </c>
    </row>
    <row r="8561" spans="1:2" ht="12.5" x14ac:dyDescent="0.25">
      <c r="A8561" t="str">
        <f ca="1">IFERROR(__xludf.DUMMYFUNCTION("""COMPUTED_VALUE"""),"TEM-32")</f>
        <v>TEM-32</v>
      </c>
      <c r="B8561" t="str">
        <f ca="1">IFERROR(__xludf.DUMMYFUNCTION("""COMPUTED_VALUE"""),"RF-00000539-PAR")</f>
        <v>RF-00000539-PAR</v>
      </c>
    </row>
    <row r="8562" spans="1:2" ht="12.5" x14ac:dyDescent="0.25">
      <c r="A8562" t="str">
        <f ca="1">IFERROR(__xludf.DUMMYFUNCTION("""COMPUTED_VALUE"""),"TEM-33")</f>
        <v>TEM-33</v>
      </c>
      <c r="B8562" t="str">
        <f ca="1">IFERROR(__xludf.DUMMYFUNCTION("""COMPUTED_VALUE"""),"RF-00000540-PAR")</f>
        <v>RF-00000540-PAR</v>
      </c>
    </row>
    <row r="8563" spans="1:2" ht="12.5" x14ac:dyDescent="0.25">
      <c r="A8563" t="str">
        <f ca="1">IFERROR(__xludf.DUMMYFUNCTION("""COMPUTED_VALUE"""),"TEM-34")</f>
        <v>TEM-34</v>
      </c>
      <c r="B8563" t="str">
        <f ca="1">IFERROR(__xludf.DUMMYFUNCTION("""COMPUTED_VALUE"""),"RF-00000541-PAR")</f>
        <v>RF-00000541-PAR</v>
      </c>
    </row>
    <row r="8564" spans="1:2" ht="12.5" x14ac:dyDescent="0.25">
      <c r="A8564" t="str">
        <f ca="1">IFERROR(__xludf.DUMMYFUNCTION("""COMPUTED_VALUE"""),"TEM-35")</f>
        <v>TEM-35</v>
      </c>
      <c r="B8564" t="str">
        <f ca="1">IFERROR(__xludf.DUMMYFUNCTION("""COMPUTED_VALUE"""),"RF-00000542-PAR")</f>
        <v>RF-00000542-PAR</v>
      </c>
    </row>
    <row r="8565" spans="1:2" ht="12.5" x14ac:dyDescent="0.25">
      <c r="A8565" t="str">
        <f ca="1">IFERROR(__xludf.DUMMYFUNCTION("""COMPUTED_VALUE"""),"TEM-36")</f>
        <v>TEM-36</v>
      </c>
      <c r="B8565" t="str">
        <f ca="1">IFERROR(__xludf.DUMMYFUNCTION("""COMPUTED_VALUE"""),"RF-00000543-PAR")</f>
        <v>RF-00000543-PAR</v>
      </c>
    </row>
    <row r="8566" spans="1:2" ht="12.5" x14ac:dyDescent="0.25">
      <c r="A8566" t="str">
        <f ca="1">IFERROR(__xludf.DUMMYFUNCTION("""COMPUTED_VALUE"""),"TEM-37")</f>
        <v>TEM-37</v>
      </c>
      <c r="B8566" t="str">
        <f ca="1">IFERROR(__xludf.DUMMYFUNCTION("""COMPUTED_VALUE"""),"RF-00000544-PAR")</f>
        <v>RF-00000544-PAR</v>
      </c>
    </row>
    <row r="8567" spans="1:2" ht="12.5" x14ac:dyDescent="0.25">
      <c r="A8567" t="str">
        <f ca="1">IFERROR(__xludf.DUMMYFUNCTION("""COMPUTED_VALUE"""),"TEM-38")</f>
        <v>TEM-38</v>
      </c>
      <c r="B8567" t="str">
        <f ca="1">IFERROR(__xludf.DUMMYFUNCTION("""COMPUTED_VALUE"""),"RF-00000545-PAR")</f>
        <v>RF-00000545-PAR</v>
      </c>
    </row>
    <row r="8568" spans="1:2" ht="12.5" x14ac:dyDescent="0.25">
      <c r="A8568" t="str">
        <f ca="1">IFERROR(__xludf.DUMMYFUNCTION("""COMPUTED_VALUE"""),"TEM-39")</f>
        <v>TEM-39</v>
      </c>
      <c r="B8568" t="str">
        <f ca="1">IFERROR(__xludf.DUMMYFUNCTION("""COMPUTED_VALUE"""),"RF-00000546-PAR")</f>
        <v>RF-00000546-PAR</v>
      </c>
    </row>
    <row r="8569" spans="1:2" ht="12.5" x14ac:dyDescent="0.25">
      <c r="A8569" t="str">
        <f ca="1">IFERROR(__xludf.DUMMYFUNCTION("""COMPUTED_VALUE"""),"TEM-4")</f>
        <v>TEM-4</v>
      </c>
      <c r="B8569" t="str">
        <f ca="1">IFERROR(__xludf.DUMMYFUNCTION("""COMPUTED_VALUE"""),"RF-00000511-PAR")</f>
        <v>RF-00000511-PAR</v>
      </c>
    </row>
    <row r="8570" spans="1:2" ht="12.5" x14ac:dyDescent="0.25">
      <c r="A8570" t="str">
        <f ca="1">IFERROR(__xludf.DUMMYFUNCTION("""COMPUTED_VALUE"""),"TEM-40")</f>
        <v>TEM-40</v>
      </c>
      <c r="B8570" t="str">
        <f ca="1">IFERROR(__xludf.DUMMYFUNCTION("""COMPUTED_VALUE"""),"RF-00000547-PAR")</f>
        <v>RF-00000547-PAR</v>
      </c>
    </row>
    <row r="8571" spans="1:2" ht="12.5" x14ac:dyDescent="0.25">
      <c r="A8571" t="str">
        <f ca="1">IFERROR(__xludf.DUMMYFUNCTION("""COMPUTED_VALUE"""),"TEM-41")</f>
        <v>TEM-41</v>
      </c>
      <c r="B8571" t="str">
        <f ca="1">IFERROR(__xludf.DUMMYFUNCTION("""COMPUTED_VALUE"""),"RF-00000548-PAR")</f>
        <v>RF-00000548-PAR</v>
      </c>
    </row>
    <row r="8572" spans="1:2" ht="12.5" x14ac:dyDescent="0.25">
      <c r="A8572" t="str">
        <f ca="1">IFERROR(__xludf.DUMMYFUNCTION("""COMPUTED_VALUE"""),"TEM-42")</f>
        <v>TEM-42</v>
      </c>
      <c r="B8572" t="str">
        <f ca="1">IFERROR(__xludf.DUMMYFUNCTION("""COMPUTED_VALUE"""),"RF-00000549-PAR")</f>
        <v>RF-00000549-PAR</v>
      </c>
    </row>
    <row r="8573" spans="1:2" ht="12.5" x14ac:dyDescent="0.25">
      <c r="A8573" t="str">
        <f ca="1">IFERROR(__xludf.DUMMYFUNCTION("""COMPUTED_VALUE"""),"TEM-43")</f>
        <v>TEM-43</v>
      </c>
      <c r="B8573" t="str">
        <f ca="1">IFERROR(__xludf.DUMMYFUNCTION("""COMPUTED_VALUE"""),"RF-00000550-PAR")</f>
        <v>RF-00000550-PAR</v>
      </c>
    </row>
    <row r="8574" spans="1:2" ht="12.5" x14ac:dyDescent="0.25">
      <c r="A8574" t="str">
        <f ca="1">IFERROR(__xludf.DUMMYFUNCTION("""COMPUTED_VALUE"""),"TEM-44")</f>
        <v>TEM-44</v>
      </c>
      <c r="B8574" t="str">
        <f ca="1">IFERROR(__xludf.DUMMYFUNCTION("""COMPUTED_VALUE"""),"RF-00000551-PAR")</f>
        <v>RF-00000551-PAR</v>
      </c>
    </row>
    <row r="8575" spans="1:2" ht="12.5" x14ac:dyDescent="0.25">
      <c r="A8575" t="str">
        <f ca="1">IFERROR(__xludf.DUMMYFUNCTION("""COMPUTED_VALUE"""),"TEM-45")</f>
        <v>TEM-45</v>
      </c>
      <c r="B8575" t="str">
        <f ca="1">IFERROR(__xludf.DUMMYFUNCTION("""COMPUTED_VALUE"""),"RF-00000552-PAR")</f>
        <v>RF-00000552-PAR</v>
      </c>
    </row>
    <row r="8576" spans="1:2" ht="12.5" x14ac:dyDescent="0.25">
      <c r="A8576" t="str">
        <f ca="1">IFERROR(__xludf.DUMMYFUNCTION("""COMPUTED_VALUE"""),"TEM-46")</f>
        <v>TEM-46</v>
      </c>
      <c r="B8576" t="str">
        <f ca="1">IFERROR(__xludf.DUMMYFUNCTION("""COMPUTED_VALUE"""),"RF-00000553-PAR")</f>
        <v>RF-00000553-PAR</v>
      </c>
    </row>
    <row r="8577" spans="1:2" ht="12.5" x14ac:dyDescent="0.25">
      <c r="A8577" t="str">
        <f ca="1">IFERROR(__xludf.DUMMYFUNCTION("""COMPUTED_VALUE"""),"TEM-47")</f>
        <v>TEM-47</v>
      </c>
      <c r="B8577" t="str">
        <f ca="1">IFERROR(__xludf.DUMMYFUNCTION("""COMPUTED_VALUE"""),"RF-00000554-PAR")</f>
        <v>RF-00000554-PAR</v>
      </c>
    </row>
    <row r="8578" spans="1:2" ht="12.5" x14ac:dyDescent="0.25">
      <c r="A8578" t="str">
        <f ca="1">IFERROR(__xludf.DUMMYFUNCTION("""COMPUTED_VALUE"""),"TEM-48")</f>
        <v>TEM-48</v>
      </c>
      <c r="B8578" t="str">
        <f ca="1">IFERROR(__xludf.DUMMYFUNCTION("""COMPUTED_VALUE"""),"RF-00000555-PAR")</f>
        <v>RF-00000555-PAR</v>
      </c>
    </row>
    <row r="8579" spans="1:2" ht="12.5" x14ac:dyDescent="0.25">
      <c r="A8579" t="str">
        <f ca="1">IFERROR(__xludf.DUMMYFUNCTION("""COMPUTED_VALUE"""),"TEM-49")</f>
        <v>TEM-49</v>
      </c>
      <c r="B8579" t="str">
        <f ca="1">IFERROR(__xludf.DUMMYFUNCTION("""COMPUTED_VALUE"""),"RF-00000556-PAR")</f>
        <v>RF-00000556-PAR</v>
      </c>
    </row>
    <row r="8580" spans="1:2" ht="12.5" x14ac:dyDescent="0.25">
      <c r="A8580" t="str">
        <f ca="1">IFERROR(__xludf.DUMMYFUNCTION("""COMPUTED_VALUE"""),"TEM-5")</f>
        <v>TEM-5</v>
      </c>
      <c r="B8580" t="str">
        <f ca="1">IFERROR(__xludf.DUMMYFUNCTION("""COMPUTED_VALUE"""),"RF-00000512-PAR")</f>
        <v>RF-00000512-PAR</v>
      </c>
    </row>
    <row r="8581" spans="1:2" ht="12.5" x14ac:dyDescent="0.25">
      <c r="A8581" t="str">
        <f ca="1">IFERROR(__xludf.DUMMYFUNCTION("""COMPUTED_VALUE"""),"TEM-50 (CMT-1)")</f>
        <v>TEM-50 (CMT-1)</v>
      </c>
      <c r="B8581" t="str">
        <f ca="1">IFERROR(__xludf.DUMMYFUNCTION("""COMPUTED_VALUE"""),"RF-00000557-PAR")</f>
        <v>RF-00000557-PAR</v>
      </c>
    </row>
    <row r="8582" spans="1:2" ht="12.5" x14ac:dyDescent="0.25">
      <c r="A8582" t="str">
        <f ca="1">IFERROR(__xludf.DUMMYFUNCTION("""COMPUTED_VALUE"""),"TEM-51")</f>
        <v>TEM-51</v>
      </c>
      <c r="B8582" t="str">
        <f ca="1">IFERROR(__xludf.DUMMYFUNCTION("""COMPUTED_VALUE"""),"RF-00000558-PAR")</f>
        <v>RF-00000558-PAR</v>
      </c>
    </row>
    <row r="8583" spans="1:2" ht="12.5" x14ac:dyDescent="0.25">
      <c r="A8583" t="str">
        <f ca="1">IFERROR(__xludf.DUMMYFUNCTION("""COMPUTED_VALUE"""),"TEM-52")</f>
        <v>TEM-52</v>
      </c>
      <c r="B8583" t="str">
        <f ca="1">IFERROR(__xludf.DUMMYFUNCTION("""COMPUTED_VALUE"""),"RF-00000559-PAR")</f>
        <v>RF-00000559-PAR</v>
      </c>
    </row>
    <row r="8584" spans="1:2" ht="12.5" x14ac:dyDescent="0.25">
      <c r="A8584" t="str">
        <f ca="1">IFERROR(__xludf.DUMMYFUNCTION("""COMPUTED_VALUE"""),"TEM-53")</f>
        <v>TEM-53</v>
      </c>
      <c r="B8584" t="str">
        <f ca="1">IFERROR(__xludf.DUMMYFUNCTION("""COMPUTED_VALUE"""),"RF-00000560-PAR")</f>
        <v>RF-00000560-PAR</v>
      </c>
    </row>
    <row r="8585" spans="1:2" ht="12.5" x14ac:dyDescent="0.25">
      <c r="A8585" t="str">
        <f ca="1">IFERROR(__xludf.DUMMYFUNCTION("""COMPUTED_VALUE"""),"TEM-54")</f>
        <v>TEM-54</v>
      </c>
      <c r="B8585" t="str">
        <f ca="1">IFERROR(__xludf.DUMMYFUNCTION("""COMPUTED_VALUE"""),"RF-00000561-PAR")</f>
        <v>RF-00000561-PAR</v>
      </c>
    </row>
    <row r="8586" spans="1:2" ht="12.5" x14ac:dyDescent="0.25">
      <c r="A8586" t="str">
        <f ca="1">IFERROR(__xludf.DUMMYFUNCTION("""COMPUTED_VALUE"""),"TEM-55")</f>
        <v>TEM-55</v>
      </c>
      <c r="B8586" t="str">
        <f ca="1">IFERROR(__xludf.DUMMYFUNCTION("""COMPUTED_VALUE"""),"RF-00000562-PAR")</f>
        <v>RF-00000562-PAR</v>
      </c>
    </row>
    <row r="8587" spans="1:2" ht="12.5" x14ac:dyDescent="0.25">
      <c r="A8587" t="str">
        <f ca="1">IFERROR(__xludf.DUMMYFUNCTION("""COMPUTED_VALUE"""),"TEM-56")</f>
        <v>TEM-56</v>
      </c>
      <c r="B8587" t="str">
        <f ca="1">IFERROR(__xludf.DUMMYFUNCTION("""COMPUTED_VALUE"""),"RF-00000563-PAR")</f>
        <v>RF-00000563-PAR</v>
      </c>
    </row>
    <row r="8588" spans="1:2" ht="12.5" x14ac:dyDescent="0.25">
      <c r="A8588" t="str">
        <f ca="1">IFERROR(__xludf.DUMMYFUNCTION("""COMPUTED_VALUE"""),"TEM-57")</f>
        <v>TEM-57</v>
      </c>
      <c r="B8588" t="str">
        <f ca="1">IFERROR(__xludf.DUMMYFUNCTION("""COMPUTED_VALUE"""),"RF-00000564-PAR")</f>
        <v>RF-00000564-PAR</v>
      </c>
    </row>
    <row r="8589" spans="1:2" ht="12.5" x14ac:dyDescent="0.25">
      <c r="A8589" t="str">
        <f ca="1">IFERROR(__xludf.DUMMYFUNCTION("""COMPUTED_VALUE"""),"TEM-58")</f>
        <v>TEM-58</v>
      </c>
      <c r="B8589" t="str">
        <f ca="1">IFERROR(__xludf.DUMMYFUNCTION("""COMPUTED_VALUE"""),"RF-00000565-PAR")</f>
        <v>RF-00000565-PAR</v>
      </c>
    </row>
    <row r="8590" spans="1:2" ht="12.5" x14ac:dyDescent="0.25">
      <c r="A8590" t="str">
        <f ca="1">IFERROR(__xludf.DUMMYFUNCTION("""COMPUTED_VALUE"""),"TEM-59")</f>
        <v>TEM-59</v>
      </c>
      <c r="B8590" t="str">
        <f ca="1">IFERROR(__xludf.DUMMYFUNCTION("""COMPUTED_VALUE"""),"RF-00000566-PAR")</f>
        <v>RF-00000566-PAR</v>
      </c>
    </row>
    <row r="8591" spans="1:2" ht="12.5" x14ac:dyDescent="0.25">
      <c r="A8591" t="str">
        <f ca="1">IFERROR(__xludf.DUMMYFUNCTION("""COMPUTED_VALUE"""),"TEM-6")</f>
        <v>TEM-6</v>
      </c>
      <c r="B8591" t="str">
        <f ca="1">IFERROR(__xludf.DUMMYFUNCTION("""COMPUTED_VALUE"""),"RF-00000513-PAR")</f>
        <v>RF-00000513-PAR</v>
      </c>
    </row>
    <row r="8592" spans="1:2" ht="12.5" x14ac:dyDescent="0.25">
      <c r="A8592" t="str">
        <f ca="1">IFERROR(__xludf.DUMMYFUNCTION("""COMPUTED_VALUE"""),"TEM-60")</f>
        <v>TEM-60</v>
      </c>
      <c r="B8592" t="str">
        <f ca="1">IFERROR(__xludf.DUMMYFUNCTION("""COMPUTED_VALUE"""),"RF-00000567-PAR")</f>
        <v>RF-00000567-PAR</v>
      </c>
    </row>
    <row r="8593" spans="1:2" ht="12.5" x14ac:dyDescent="0.25">
      <c r="A8593" t="str">
        <f ca="1">IFERROR(__xludf.DUMMYFUNCTION("""COMPUTED_VALUE"""),"TEM-61")</f>
        <v>TEM-61</v>
      </c>
      <c r="B8593" t="str">
        <f ca="1">IFERROR(__xludf.DUMMYFUNCTION("""COMPUTED_VALUE"""),"RF-00000568-PAR")</f>
        <v>RF-00000568-PAR</v>
      </c>
    </row>
    <row r="8594" spans="1:2" ht="12.5" x14ac:dyDescent="0.25">
      <c r="A8594" t="str">
        <f ca="1">IFERROR(__xludf.DUMMYFUNCTION("""COMPUTED_VALUE"""),"TEM-62")</f>
        <v>TEM-62</v>
      </c>
      <c r="B8594" t="str">
        <f ca="1">IFERROR(__xludf.DUMMYFUNCTION("""COMPUTED_VALUE"""),"RF-00000569-PAR")</f>
        <v>RF-00000569-PAR</v>
      </c>
    </row>
    <row r="8595" spans="1:2" ht="12.5" x14ac:dyDescent="0.25">
      <c r="A8595" t="str">
        <f ca="1">IFERROR(__xludf.DUMMYFUNCTION("""COMPUTED_VALUE"""),"TEM-63")</f>
        <v>TEM-63</v>
      </c>
      <c r="B8595" t="str">
        <f ca="1">IFERROR(__xludf.DUMMYFUNCTION("""COMPUTED_VALUE"""),"RF-00000570-PAR")</f>
        <v>RF-00000570-PAR</v>
      </c>
    </row>
    <row r="8596" spans="1:2" ht="12.5" x14ac:dyDescent="0.25">
      <c r="A8596" t="str">
        <f ca="1">IFERROR(__xludf.DUMMYFUNCTION("""COMPUTED_VALUE"""),"TEM-64")</f>
        <v>TEM-64</v>
      </c>
      <c r="B8596" t="str">
        <f ca="1">IFERROR(__xludf.DUMMYFUNCTION("""COMPUTED_VALUE"""),"RF-00000571-PAR")</f>
        <v>RF-00000571-PAR</v>
      </c>
    </row>
    <row r="8597" spans="1:2" ht="12.5" x14ac:dyDescent="0.25">
      <c r="A8597" t="str">
        <f ca="1">IFERROR(__xludf.DUMMYFUNCTION("""COMPUTED_VALUE"""),"TEM-65")</f>
        <v>TEM-65</v>
      </c>
      <c r="B8597" t="str">
        <f ca="1">IFERROR(__xludf.DUMMYFUNCTION("""COMPUTED_VALUE"""),"RF-00000572-PAR")</f>
        <v>RF-00000572-PAR</v>
      </c>
    </row>
    <row r="8598" spans="1:2" ht="12.5" x14ac:dyDescent="0.25">
      <c r="A8598" t="str">
        <f ca="1">IFERROR(__xludf.DUMMYFUNCTION("""COMPUTED_VALUE"""),"TEM-66")</f>
        <v>TEM-66</v>
      </c>
      <c r="B8598" t="str">
        <f ca="1">IFERROR(__xludf.DUMMYFUNCTION("""COMPUTED_VALUE"""),"RF-00000573-PAR")</f>
        <v>RF-00000573-PAR</v>
      </c>
    </row>
    <row r="8599" spans="1:2" ht="12.5" x14ac:dyDescent="0.25">
      <c r="A8599" t="str">
        <f ca="1">IFERROR(__xludf.DUMMYFUNCTION("""COMPUTED_VALUE"""),"TEM-67")</f>
        <v>TEM-67</v>
      </c>
      <c r="B8599" t="str">
        <f ca="1">IFERROR(__xludf.DUMMYFUNCTION("""COMPUTED_VALUE"""),"RF-00000574-PAR")</f>
        <v>RF-00000574-PAR</v>
      </c>
    </row>
    <row r="8600" spans="1:2" ht="12.5" x14ac:dyDescent="0.25">
      <c r="A8600" t="str">
        <f ca="1">IFERROR(__xludf.DUMMYFUNCTION("""COMPUTED_VALUE"""),"TEM-68")</f>
        <v>TEM-68</v>
      </c>
      <c r="B8600" t="str">
        <f ca="1">IFERROR(__xludf.DUMMYFUNCTION("""COMPUTED_VALUE"""),"RF-00000575-PAR")</f>
        <v>RF-00000575-PAR</v>
      </c>
    </row>
    <row r="8601" spans="1:2" ht="12.5" x14ac:dyDescent="0.25">
      <c r="A8601" t="str">
        <f ca="1">IFERROR(__xludf.DUMMYFUNCTION("""COMPUTED_VALUE"""),"TEM-69")</f>
        <v>TEM-69</v>
      </c>
      <c r="B8601" t="str">
        <f ca="1">IFERROR(__xludf.DUMMYFUNCTION("""COMPUTED_VALUE"""),"RF-00000576-PAR")</f>
        <v>RF-00000576-PAR</v>
      </c>
    </row>
    <row r="8602" spans="1:2" ht="12.5" x14ac:dyDescent="0.25">
      <c r="A8602" t="str">
        <f ca="1">IFERROR(__xludf.DUMMYFUNCTION("""COMPUTED_VALUE"""),"TEM-7")</f>
        <v>TEM-7</v>
      </c>
      <c r="B8602" t="str">
        <f ca="1">IFERROR(__xludf.DUMMYFUNCTION("""COMPUTED_VALUE"""),"RF-00000514-PAR")</f>
        <v>RF-00000514-PAR</v>
      </c>
    </row>
    <row r="8603" spans="1:2" ht="12.5" x14ac:dyDescent="0.25">
      <c r="A8603" t="str">
        <f ca="1">IFERROR(__xludf.DUMMYFUNCTION("""COMPUTED_VALUE"""),"TEM-70")</f>
        <v>TEM-70</v>
      </c>
      <c r="B8603" t="str">
        <f ca="1">IFERROR(__xludf.DUMMYFUNCTION("""COMPUTED_VALUE"""),"RF-00000577-PAR")</f>
        <v>RF-00000577-PAR</v>
      </c>
    </row>
    <row r="8604" spans="1:2" ht="12.5" x14ac:dyDescent="0.25">
      <c r="A8604" t="str">
        <f ca="1">IFERROR(__xludf.DUMMYFUNCTION("""COMPUTED_VALUE"""),"TEM-71")</f>
        <v>TEM-71</v>
      </c>
      <c r="B8604" t="str">
        <f ca="1">IFERROR(__xludf.DUMMYFUNCTION("""COMPUTED_VALUE"""),"RF-00000578-PAR")</f>
        <v>RF-00000578-PAR</v>
      </c>
    </row>
    <row r="8605" spans="1:2" ht="12.5" x14ac:dyDescent="0.25">
      <c r="A8605" t="str">
        <f ca="1">IFERROR(__xludf.DUMMYFUNCTION("""COMPUTED_VALUE"""),"TEM-72")</f>
        <v>TEM-72</v>
      </c>
      <c r="B8605" t="str">
        <f ca="1">IFERROR(__xludf.DUMMYFUNCTION("""COMPUTED_VALUE"""),"RF-00000579-PAR")</f>
        <v>RF-00000579-PAR</v>
      </c>
    </row>
    <row r="8606" spans="1:2" ht="12.5" x14ac:dyDescent="0.25">
      <c r="A8606" t="str">
        <f ca="1">IFERROR(__xludf.DUMMYFUNCTION("""COMPUTED_VALUE"""),"TEM-73")</f>
        <v>TEM-73</v>
      </c>
      <c r="B8606" t="str">
        <f ca="1">IFERROR(__xludf.DUMMYFUNCTION("""COMPUTED_VALUE"""),"RF-00000580-PAR")</f>
        <v>RF-00000580-PAR</v>
      </c>
    </row>
    <row r="8607" spans="1:2" ht="12.5" x14ac:dyDescent="0.25">
      <c r="A8607" t="str">
        <f ca="1">IFERROR(__xludf.DUMMYFUNCTION("""COMPUTED_VALUE"""),"TEM-74")</f>
        <v>TEM-74</v>
      </c>
      <c r="B8607" t="str">
        <f ca="1">IFERROR(__xludf.DUMMYFUNCTION("""COMPUTED_VALUE"""),"RF-00000581-PAR")</f>
        <v>RF-00000581-PAR</v>
      </c>
    </row>
    <row r="8608" spans="1:2" ht="12.5" x14ac:dyDescent="0.25">
      <c r="A8608" t="str">
        <f ca="1">IFERROR(__xludf.DUMMYFUNCTION("""COMPUTED_VALUE"""),"TEM-75")</f>
        <v>TEM-75</v>
      </c>
      <c r="B8608" t="str">
        <f ca="1">IFERROR(__xludf.DUMMYFUNCTION("""COMPUTED_VALUE"""),"RF-00000582-PAR")</f>
        <v>RF-00000582-PAR</v>
      </c>
    </row>
    <row r="8609" spans="1:2" ht="12.5" x14ac:dyDescent="0.25">
      <c r="A8609" t="str">
        <f ca="1">IFERROR(__xludf.DUMMYFUNCTION("""COMPUTED_VALUE"""),"TEM-76")</f>
        <v>TEM-76</v>
      </c>
      <c r="B8609" t="str">
        <f ca="1">IFERROR(__xludf.DUMMYFUNCTION("""COMPUTED_VALUE"""),"RF-00000583-PAR")</f>
        <v>RF-00000583-PAR</v>
      </c>
    </row>
    <row r="8610" spans="1:2" ht="12.5" x14ac:dyDescent="0.25">
      <c r="A8610" t="str">
        <f ca="1">IFERROR(__xludf.DUMMYFUNCTION("""COMPUTED_VALUE"""),"TEM-77")</f>
        <v>TEM-77</v>
      </c>
      <c r="B8610" t="str">
        <f ca="1">IFERROR(__xludf.DUMMYFUNCTION("""COMPUTED_VALUE"""),"RF-00000584-PAR")</f>
        <v>RF-00000584-PAR</v>
      </c>
    </row>
    <row r="8611" spans="1:2" ht="12.5" x14ac:dyDescent="0.25">
      <c r="A8611" t="str">
        <f ca="1">IFERROR(__xludf.DUMMYFUNCTION("""COMPUTED_VALUE"""),"TEM-78")</f>
        <v>TEM-78</v>
      </c>
      <c r="B8611" t="str">
        <f ca="1">IFERROR(__xludf.DUMMYFUNCTION("""COMPUTED_VALUE"""),"RF-00000585-PAR")</f>
        <v>RF-00000585-PAR</v>
      </c>
    </row>
    <row r="8612" spans="1:2" ht="12.5" x14ac:dyDescent="0.25">
      <c r="A8612" t="str">
        <f ca="1">IFERROR(__xludf.DUMMYFUNCTION("""COMPUTED_VALUE"""),"TEM-79")</f>
        <v>TEM-79</v>
      </c>
      <c r="B8612" t="str">
        <f ca="1">IFERROR(__xludf.DUMMYFUNCTION("""COMPUTED_VALUE"""),"RF-00000586-PAR")</f>
        <v>RF-00000586-PAR</v>
      </c>
    </row>
    <row r="8613" spans="1:2" ht="12.5" x14ac:dyDescent="0.25">
      <c r="A8613" t="str">
        <f ca="1">IFERROR(__xludf.DUMMYFUNCTION("""COMPUTED_VALUE"""),"TEM-8")</f>
        <v>TEM-8</v>
      </c>
      <c r="B8613" t="str">
        <f ca="1">IFERROR(__xludf.DUMMYFUNCTION("""COMPUTED_VALUE"""),"RF-00000515-PAR")</f>
        <v>RF-00000515-PAR</v>
      </c>
    </row>
    <row r="8614" spans="1:2" ht="12.5" x14ac:dyDescent="0.25">
      <c r="A8614" t="str">
        <f ca="1">IFERROR(__xludf.DUMMYFUNCTION("""COMPUTED_VALUE"""),"TEM-80")</f>
        <v>TEM-80</v>
      </c>
      <c r="B8614" t="str">
        <f ca="1">IFERROR(__xludf.DUMMYFUNCTION("""COMPUTED_VALUE"""),"RF-00000587-PAR")</f>
        <v>RF-00000587-PAR</v>
      </c>
    </row>
    <row r="8615" spans="1:2" ht="12.5" x14ac:dyDescent="0.25">
      <c r="A8615" t="str">
        <f ca="1">IFERROR(__xludf.DUMMYFUNCTION("""COMPUTED_VALUE"""),"TEM-81")</f>
        <v>TEM-81</v>
      </c>
      <c r="B8615" t="str">
        <f ca="1">IFERROR(__xludf.DUMMYFUNCTION("""COMPUTED_VALUE"""),"RF-00000588-PAR")</f>
        <v>RF-00000588-PAR</v>
      </c>
    </row>
    <row r="8616" spans="1:2" ht="12.5" x14ac:dyDescent="0.25">
      <c r="A8616" t="str">
        <f ca="1">IFERROR(__xludf.DUMMYFUNCTION("""COMPUTED_VALUE"""),"TEM-82")</f>
        <v>TEM-82</v>
      </c>
      <c r="B8616" t="str">
        <f ca="1">IFERROR(__xludf.DUMMYFUNCTION("""COMPUTED_VALUE"""),"RF-00000589-PAR")</f>
        <v>RF-00000589-PAR</v>
      </c>
    </row>
    <row r="8617" spans="1:2" ht="12.5" x14ac:dyDescent="0.25">
      <c r="A8617" t="str">
        <f ca="1">IFERROR(__xludf.DUMMYFUNCTION("""COMPUTED_VALUE"""),"TEM-83")</f>
        <v>TEM-83</v>
      </c>
      <c r="B8617" t="str">
        <f ca="1">IFERROR(__xludf.DUMMYFUNCTION("""COMPUTED_VALUE"""),"RF-00000590-PAR")</f>
        <v>RF-00000590-PAR</v>
      </c>
    </row>
    <row r="8618" spans="1:2" ht="12.5" x14ac:dyDescent="0.25">
      <c r="A8618" t="str">
        <f ca="1">IFERROR(__xludf.DUMMYFUNCTION("""COMPUTED_VALUE"""),"TEM-84")</f>
        <v>TEM-84</v>
      </c>
      <c r="B8618" t="str">
        <f ca="1">IFERROR(__xludf.DUMMYFUNCTION("""COMPUTED_VALUE"""),"RF-00000591-PAR")</f>
        <v>RF-00000591-PAR</v>
      </c>
    </row>
    <row r="8619" spans="1:2" ht="12.5" x14ac:dyDescent="0.25">
      <c r="A8619" t="str">
        <f ca="1">IFERROR(__xludf.DUMMYFUNCTION("""COMPUTED_VALUE"""),"TEM-85")</f>
        <v>TEM-85</v>
      </c>
      <c r="B8619" t="str">
        <f ca="1">IFERROR(__xludf.DUMMYFUNCTION("""COMPUTED_VALUE"""),"RF-00000592-PAR")</f>
        <v>RF-00000592-PAR</v>
      </c>
    </row>
    <row r="8620" spans="1:2" ht="12.5" x14ac:dyDescent="0.25">
      <c r="A8620" t="str">
        <f ca="1">IFERROR(__xludf.DUMMYFUNCTION("""COMPUTED_VALUE"""),"TEM-86")</f>
        <v>TEM-86</v>
      </c>
      <c r="B8620" t="str">
        <f ca="1">IFERROR(__xludf.DUMMYFUNCTION("""COMPUTED_VALUE"""),"RF-00000593-PAR")</f>
        <v>RF-00000593-PAR</v>
      </c>
    </row>
    <row r="8621" spans="1:2" ht="12.5" x14ac:dyDescent="0.25">
      <c r="A8621" t="str">
        <f ca="1">IFERROR(__xludf.DUMMYFUNCTION("""COMPUTED_VALUE"""),"TEM-87")</f>
        <v>TEM-87</v>
      </c>
      <c r="B8621" t="str">
        <f ca="1">IFERROR(__xludf.DUMMYFUNCTION("""COMPUTED_VALUE"""),"RF-00000594-PAR")</f>
        <v>RF-00000594-PAR</v>
      </c>
    </row>
    <row r="8622" spans="1:2" ht="12.5" x14ac:dyDescent="0.25">
      <c r="A8622" t="str">
        <f ca="1">IFERROR(__xludf.DUMMYFUNCTION("""COMPUTED_VALUE"""),"TEM-88")</f>
        <v>TEM-88</v>
      </c>
      <c r="B8622" t="str">
        <f ca="1">IFERROR(__xludf.DUMMYFUNCTION("""COMPUTED_VALUE"""),"RF-00000595-PAR")</f>
        <v>RF-00000595-PAR</v>
      </c>
    </row>
    <row r="8623" spans="1:2" ht="12.5" x14ac:dyDescent="0.25">
      <c r="A8623" t="str">
        <f ca="1">IFERROR(__xludf.DUMMYFUNCTION("""COMPUTED_VALUE"""),"TEM-89")</f>
        <v>TEM-89</v>
      </c>
      <c r="B8623" t="str">
        <f ca="1">IFERROR(__xludf.DUMMYFUNCTION("""COMPUTED_VALUE"""),"RF-00000596-PAR")</f>
        <v>RF-00000596-PAR</v>
      </c>
    </row>
    <row r="8624" spans="1:2" ht="12.5" x14ac:dyDescent="0.25">
      <c r="A8624" t="str">
        <f ca="1">IFERROR(__xludf.DUMMYFUNCTION("""COMPUTED_VALUE"""),"TEM-9")</f>
        <v>TEM-9</v>
      </c>
      <c r="B8624" t="str">
        <f ca="1">IFERROR(__xludf.DUMMYFUNCTION("""COMPUTED_VALUE"""),"RF-00000516-PAR")</f>
        <v>RF-00000516-PAR</v>
      </c>
    </row>
    <row r="8625" spans="1:2" ht="12.5" x14ac:dyDescent="0.25">
      <c r="A8625" t="str">
        <f ca="1">IFERROR(__xludf.DUMMYFUNCTION("""COMPUTED_VALUE"""),"TEM-90")</f>
        <v>TEM-90</v>
      </c>
      <c r="B8625" t="str">
        <f ca="1">IFERROR(__xludf.DUMMYFUNCTION("""COMPUTED_VALUE"""),"RF-00000597-PAR")</f>
        <v>RF-00000597-PAR</v>
      </c>
    </row>
    <row r="8626" spans="1:2" ht="12.5" x14ac:dyDescent="0.25">
      <c r="A8626" t="str">
        <f ca="1">IFERROR(__xludf.DUMMYFUNCTION("""COMPUTED_VALUE"""),"TEM-91")</f>
        <v>TEM-91</v>
      </c>
      <c r="B8626" t="str">
        <f ca="1">IFERROR(__xludf.DUMMYFUNCTION("""COMPUTED_VALUE"""),"RF-00000598-PAR")</f>
        <v>RF-00000598-PAR</v>
      </c>
    </row>
    <row r="8627" spans="1:2" ht="12.5" x14ac:dyDescent="0.25">
      <c r="A8627" t="str">
        <f ca="1">IFERROR(__xludf.DUMMYFUNCTION("""COMPUTED_VALUE"""),"TEM-92")</f>
        <v>TEM-92</v>
      </c>
      <c r="B8627" t="str">
        <f ca="1">IFERROR(__xludf.DUMMYFUNCTION("""COMPUTED_VALUE"""),"RF-00000599-PAR")</f>
        <v>RF-00000599-PAR</v>
      </c>
    </row>
    <row r="8628" spans="1:2" ht="12.5" x14ac:dyDescent="0.25">
      <c r="A8628" t="str">
        <f ca="1">IFERROR(__xludf.DUMMYFUNCTION("""COMPUTED_VALUE"""),"TEM-93")</f>
        <v>TEM-93</v>
      </c>
      <c r="B8628" t="str">
        <f ca="1">IFERROR(__xludf.DUMMYFUNCTION("""COMPUTED_VALUE"""),"RF-00000600-PAR")</f>
        <v>RF-00000600-PAR</v>
      </c>
    </row>
    <row r="8629" spans="1:2" ht="12.5" x14ac:dyDescent="0.25">
      <c r="A8629" t="str">
        <f ca="1">IFERROR(__xludf.DUMMYFUNCTION("""COMPUTED_VALUE"""),"TEM-94")</f>
        <v>TEM-94</v>
      </c>
      <c r="B8629" t="str">
        <f ca="1">IFERROR(__xludf.DUMMYFUNCTION("""COMPUTED_VALUE"""),"RF-00000601-PAR")</f>
        <v>RF-00000601-PAR</v>
      </c>
    </row>
    <row r="8630" spans="1:2" ht="12.5" x14ac:dyDescent="0.25">
      <c r="A8630" t="str">
        <f ca="1">IFERROR(__xludf.DUMMYFUNCTION("""COMPUTED_VALUE"""),"TEM-95")</f>
        <v>TEM-95</v>
      </c>
      <c r="B8630" t="str">
        <f ca="1">IFERROR(__xludf.DUMMYFUNCTION("""COMPUTED_VALUE"""),"RF-00000602-PAR")</f>
        <v>RF-00000602-PAR</v>
      </c>
    </row>
    <row r="8631" spans="1:2" ht="12.5" x14ac:dyDescent="0.25">
      <c r="A8631" t="str">
        <f ca="1">IFERROR(__xludf.DUMMYFUNCTION("""COMPUTED_VALUE"""),"TEM-96")</f>
        <v>TEM-96</v>
      </c>
      <c r="B8631" t="str">
        <f ca="1">IFERROR(__xludf.DUMMYFUNCTION("""COMPUTED_VALUE"""),"RF-00000603-PAR")</f>
        <v>RF-00000603-PAR</v>
      </c>
    </row>
    <row r="8632" spans="1:2" ht="12.5" x14ac:dyDescent="0.25">
      <c r="A8632" t="str">
        <f ca="1">IFERROR(__xludf.DUMMYFUNCTION("""COMPUTED_VALUE"""),"TEM-97")</f>
        <v>TEM-97</v>
      </c>
      <c r="B8632" t="str">
        <f ca="1">IFERROR(__xludf.DUMMYFUNCTION("""COMPUTED_VALUE"""),"RF-00000604-PAR")</f>
        <v>RF-00000604-PAR</v>
      </c>
    </row>
    <row r="8633" spans="1:2" ht="12.5" x14ac:dyDescent="0.25">
      <c r="A8633" t="str">
        <f ca="1">IFERROR(__xludf.DUMMYFUNCTION("""COMPUTED_VALUE"""),"TEM-98")</f>
        <v>TEM-98</v>
      </c>
      <c r="B8633" t="str">
        <f ca="1">IFERROR(__xludf.DUMMYFUNCTION("""COMPUTED_VALUE"""),"RF-00000605-PAR")</f>
        <v>RF-00000605-PAR</v>
      </c>
    </row>
    <row r="8634" spans="1:2" ht="12.5" x14ac:dyDescent="0.25">
      <c r="A8634" t="str">
        <f ca="1">IFERROR(__xludf.DUMMYFUNCTION("""COMPUTED_VALUE"""),"TEM-99")</f>
        <v>TEM-99</v>
      </c>
      <c r="B8634" t="str">
        <f ca="1">IFERROR(__xludf.DUMMYFUNCTION("""COMPUTED_VALUE"""),"RF-00000606-PAR")</f>
        <v>RF-00000606-PAR</v>
      </c>
    </row>
    <row r="8635" spans="1:2" ht="12.5" x14ac:dyDescent="0.25">
      <c r="A8635" t="str">
        <f ca="1">IFERROR(__xludf.DUMMYFUNCTION("""COMPUTED_VALUE"""),"Temazepam")</f>
        <v>Temazepam</v>
      </c>
      <c r="B8635" t="str">
        <f ca="1">IFERROR(__xludf.DUMMYFUNCTION("""COMPUTED_VALUE"""),"RF-00000186-VET")</f>
        <v>RF-00000186-VET</v>
      </c>
    </row>
    <row r="8636" spans="1:2" ht="12.5" x14ac:dyDescent="0.25">
      <c r="A8636" t="str">
        <f ca="1">IFERROR(__xludf.DUMMYFUNCTION("""COMPUTED_VALUE"""),"Tembotrione")</f>
        <v>Tembotrione</v>
      </c>
      <c r="B8636" t="str">
        <f ca="1">IFERROR(__xludf.DUMMYFUNCTION("""COMPUTED_VALUE"""),"RF-0409-001-PPP")</f>
        <v>RF-0409-001-PPP</v>
      </c>
    </row>
    <row r="8637" spans="1:2" ht="12.5" x14ac:dyDescent="0.25">
      <c r="A8637" t="str">
        <f ca="1">IFERROR(__xludf.DUMMYFUNCTION("""COMPUTED_VALUE"""),"Temephos")</f>
        <v>Temephos</v>
      </c>
      <c r="B8637" t="str">
        <f ca="1">IFERROR(__xludf.DUMMYFUNCTION("""COMPUTED_VALUE"""),"RF-0911-001-PPP")</f>
        <v>RF-0911-001-PPP</v>
      </c>
    </row>
    <row r="8638" spans="1:2" ht="12.5" x14ac:dyDescent="0.25">
      <c r="A8638" t="str">
        <f ca="1">IFERROR(__xludf.DUMMYFUNCTION("""COMPUTED_VALUE"""),"Tentoxin")</f>
        <v>Tentoxin</v>
      </c>
      <c r="B8638" t="str">
        <f ca="1">IFERROR(__xludf.DUMMYFUNCTION("""COMPUTED_VALUE"""),"RF-00000372-TOX")</f>
        <v>RF-00000372-TOX</v>
      </c>
    </row>
    <row r="8639" spans="1:2" ht="12.5" x14ac:dyDescent="0.25">
      <c r="A8639" t="str">
        <f ca="1">IFERROR(__xludf.DUMMYFUNCTION("""COMPUTED_VALUE"""),"Tenuazonic acid")</f>
        <v>Tenuazonic acid</v>
      </c>
      <c r="B8639" t="str">
        <f ca="1">IFERROR(__xludf.DUMMYFUNCTION("""COMPUTED_VALUE"""),"RF-00000194-TOX")</f>
        <v>RF-00000194-TOX</v>
      </c>
    </row>
    <row r="8640" spans="1:2" ht="12.5" x14ac:dyDescent="0.25">
      <c r="A8640" t="str">
        <f ca="1">IFERROR(__xludf.DUMMYFUNCTION("""COMPUTED_VALUE"""),"TEPP")</f>
        <v>TEPP</v>
      </c>
      <c r="B8640" t="str">
        <f ca="1">IFERROR(__xludf.DUMMYFUNCTION("""COMPUTED_VALUE"""),"RF-0410-001-PPP")</f>
        <v>RF-0410-001-PPP</v>
      </c>
    </row>
    <row r="8641" spans="1:2" ht="12.5" x14ac:dyDescent="0.25">
      <c r="A8641" t="str">
        <f ca="1">IFERROR(__xludf.DUMMYFUNCTION("""COMPUTED_VALUE"""),"Tepraloxydim")</f>
        <v>Tepraloxydim</v>
      </c>
      <c r="B8641" t="str">
        <f ca="1">IFERROR(__xludf.DUMMYFUNCTION("""COMPUTED_VALUE"""),"RF-0411-001-PPP")</f>
        <v>RF-0411-001-PPP</v>
      </c>
    </row>
    <row r="8642" spans="1:2" ht="12.5" x14ac:dyDescent="0.25">
      <c r="A8642" t="str">
        <f ca="1">IFERROR(__xludf.DUMMYFUNCTION("""COMPUTED_VALUE"""),"TEQ Dioxin-like PCBs LB")</f>
        <v>TEQ Dioxin-like PCBs LB</v>
      </c>
      <c r="B8642" t="str">
        <f ca="1">IFERROR(__xludf.DUMMYFUNCTION("""COMPUTED_VALUE"""),"RF-00000463-ORG")</f>
        <v>RF-00000463-ORG</v>
      </c>
    </row>
    <row r="8643" spans="1:2" ht="12.5" x14ac:dyDescent="0.25">
      <c r="A8643" t="str">
        <f ca="1">IFERROR(__xludf.DUMMYFUNCTION("""COMPUTED_VALUE"""),"TEQ Dioxin-like PCBs MB")</f>
        <v>TEQ Dioxin-like PCBs MB</v>
      </c>
      <c r="B8643" t="str">
        <f ca="1">IFERROR(__xludf.DUMMYFUNCTION("""COMPUTED_VALUE"""),"RF-00000464-ORG")</f>
        <v>RF-00000464-ORG</v>
      </c>
    </row>
    <row r="8644" spans="1:2" ht="12.5" x14ac:dyDescent="0.25">
      <c r="A8644" t="str">
        <f ca="1">IFERROR(__xludf.DUMMYFUNCTION("""COMPUTED_VALUE"""),"TEQ Dioxin-like PCBs UB")</f>
        <v>TEQ Dioxin-like PCBs UB</v>
      </c>
      <c r="B8644" t="str">
        <f ca="1">IFERROR(__xludf.DUMMYFUNCTION("""COMPUTED_VALUE"""),"RF-00000465-ORG")</f>
        <v>RF-00000465-ORG</v>
      </c>
    </row>
    <row r="8645" spans="1:2" ht="12.5" x14ac:dyDescent="0.25">
      <c r="A8645" t="str">
        <f ca="1">IFERROR(__xludf.DUMMYFUNCTION("""COMPUTED_VALUE"""),"TEQ dioxins (PCDD and PCDF) LB")</f>
        <v>TEQ dioxins (PCDD and PCDF) LB</v>
      </c>
      <c r="B8645" t="str">
        <f ca="1">IFERROR(__xludf.DUMMYFUNCTION("""COMPUTED_VALUE"""),"RF-00000381-ORG")</f>
        <v>RF-00000381-ORG</v>
      </c>
    </row>
    <row r="8646" spans="1:2" ht="12.5" x14ac:dyDescent="0.25">
      <c r="A8646" t="str">
        <f ca="1">IFERROR(__xludf.DUMMYFUNCTION("""COMPUTED_VALUE"""),"TEQ dioxins (PCDD and PCDF) UB")</f>
        <v>TEQ dioxins (PCDD and PCDF) UB</v>
      </c>
      <c r="B8646" t="str">
        <f ca="1">IFERROR(__xludf.DUMMYFUNCTION("""COMPUTED_VALUE"""),"RF-00000382-ORG")</f>
        <v>RF-00000382-ORG</v>
      </c>
    </row>
    <row r="8647" spans="1:2" ht="12.5" x14ac:dyDescent="0.25">
      <c r="A8647" t="str">
        <f ca="1">IFERROR(__xludf.DUMMYFUNCTION("""COMPUTED_VALUE"""),"TEQ dioxins and dioxin-like PCBs LB")</f>
        <v>TEQ dioxins and dioxin-like PCBs LB</v>
      </c>
      <c r="B8647" t="str">
        <f ca="1">IFERROR(__xludf.DUMMYFUNCTION("""COMPUTED_VALUE"""),"RF-00000383-ORG")</f>
        <v>RF-00000383-ORG</v>
      </c>
    </row>
    <row r="8648" spans="1:2" ht="12.5" x14ac:dyDescent="0.25">
      <c r="A8648" t="str">
        <f ca="1">IFERROR(__xludf.DUMMYFUNCTION("""COMPUTED_VALUE"""),"TEQ Dioxins and dioxin-like PCBs MB")</f>
        <v>TEQ Dioxins and dioxin-like PCBs MB</v>
      </c>
      <c r="B8648" t="str">
        <f ca="1">IFERROR(__xludf.DUMMYFUNCTION("""COMPUTED_VALUE"""),"RF-00000466-ORG")</f>
        <v>RF-00000466-ORG</v>
      </c>
    </row>
    <row r="8649" spans="1:2" ht="12.5" x14ac:dyDescent="0.25">
      <c r="A8649" t="str">
        <f ca="1">IFERROR(__xludf.DUMMYFUNCTION("""COMPUTED_VALUE"""),"TEQ dioxins and dioxin-like PCBs UB")</f>
        <v>TEQ dioxins and dioxin-like PCBs UB</v>
      </c>
      <c r="B8649" t="str">
        <f ca="1">IFERROR(__xludf.DUMMYFUNCTION("""COMPUTED_VALUE"""),"RF-00000395-ORG")</f>
        <v>RF-00000395-ORG</v>
      </c>
    </row>
    <row r="8650" spans="1:2" ht="12.5" x14ac:dyDescent="0.25">
      <c r="A8650" t="str">
        <f ca="1">IFERROR(__xludf.DUMMYFUNCTION("""COMPUTED_VALUE"""),"Terbacil")</f>
        <v>Terbacil</v>
      </c>
      <c r="B8650" t="str">
        <f ca="1">IFERROR(__xludf.DUMMYFUNCTION("""COMPUTED_VALUE"""),"RF-0912-001-PPP")</f>
        <v>RF-0912-001-PPP</v>
      </c>
    </row>
    <row r="8651" spans="1:2" ht="12.5" x14ac:dyDescent="0.25">
      <c r="A8651" t="str">
        <f ca="1">IFERROR(__xludf.DUMMYFUNCTION("""COMPUTED_VALUE"""),"Terbucarb")</f>
        <v>Terbucarb</v>
      </c>
      <c r="B8651" t="str">
        <f ca="1">IFERROR(__xludf.DUMMYFUNCTION("""COMPUTED_VALUE"""),"RF-0913-001-PPP")</f>
        <v>RF-0913-001-PPP</v>
      </c>
    </row>
    <row r="8652" spans="1:2" ht="12.5" x14ac:dyDescent="0.25">
      <c r="A8652" t="str">
        <f ca="1">IFERROR(__xludf.DUMMYFUNCTION("""COMPUTED_VALUE"""),"Terbufos")</f>
        <v>Terbufos</v>
      </c>
      <c r="B8652" t="str">
        <f ca="1">IFERROR(__xludf.DUMMYFUNCTION("""COMPUTED_VALUE"""),"RF-0412-002-PPP")</f>
        <v>RF-0412-002-PPP</v>
      </c>
    </row>
    <row r="8653" spans="1:2" ht="12.5" x14ac:dyDescent="0.25">
      <c r="A8653" t="str">
        <f ca="1">IFERROR(__xludf.DUMMYFUNCTION("""COMPUTED_VALUE"""),"Terbufos (sum of terbufos, its sulfoxide and sulfone, expressed as terbufos)")</f>
        <v>Terbufos (sum of terbufos, its sulfoxide and sulfone, expressed as terbufos)</v>
      </c>
      <c r="B8653" t="str">
        <f ca="1">IFERROR(__xludf.DUMMYFUNCTION("""COMPUTED_VALUE"""),"RF-0412-001-PPP")</f>
        <v>RF-0412-001-PPP</v>
      </c>
    </row>
    <row r="8654" spans="1:2" ht="12.5" x14ac:dyDescent="0.25">
      <c r="A8654" t="str">
        <f ca="1">IFERROR(__xludf.DUMMYFUNCTION("""COMPUTED_VALUE"""),"Terbufos Sulfone")</f>
        <v>Terbufos Sulfone</v>
      </c>
      <c r="B8654" t="str">
        <f ca="1">IFERROR(__xludf.DUMMYFUNCTION("""COMPUTED_VALUE"""),"RF-0412-003-PPP")</f>
        <v>RF-0412-003-PPP</v>
      </c>
    </row>
    <row r="8655" spans="1:2" ht="12.5" x14ac:dyDescent="0.25">
      <c r="A8655" t="str">
        <f ca="1">IFERROR(__xludf.DUMMYFUNCTION("""COMPUTED_VALUE"""),"Terbufos Sulfoxide")</f>
        <v>Terbufos Sulfoxide</v>
      </c>
      <c r="B8655" t="str">
        <f ca="1">IFERROR(__xludf.DUMMYFUNCTION("""COMPUTED_VALUE"""),"RF-0412-004-PPP")</f>
        <v>RF-0412-004-PPP</v>
      </c>
    </row>
    <row r="8656" spans="1:2" ht="12.5" x14ac:dyDescent="0.25">
      <c r="A8656" t="str">
        <f ca="1">IFERROR(__xludf.DUMMYFUNCTION("""COMPUTED_VALUE"""),"Terbufos-oxon")</f>
        <v>Terbufos-oxon</v>
      </c>
      <c r="B8656" t="str">
        <f ca="1">IFERROR(__xludf.DUMMYFUNCTION("""COMPUTED_VALUE"""),"RF-0412-006-PPP")</f>
        <v>RF-0412-006-PPP</v>
      </c>
    </row>
    <row r="8657" spans="1:2" ht="12.5" x14ac:dyDescent="0.25">
      <c r="A8657" t="str">
        <f ca="1">IFERROR(__xludf.DUMMYFUNCTION("""COMPUTED_VALUE"""),"Terbufos-oxon-sulfone")</f>
        <v>Terbufos-oxon-sulfone</v>
      </c>
      <c r="B8657" t="str">
        <f ca="1">IFERROR(__xludf.DUMMYFUNCTION("""COMPUTED_VALUE"""),"RF-0412-005-PPP")</f>
        <v>RF-0412-005-PPP</v>
      </c>
    </row>
    <row r="8658" spans="1:2" ht="12.5" x14ac:dyDescent="0.25">
      <c r="A8658" t="str">
        <f ca="1">IFERROR(__xludf.DUMMYFUNCTION("""COMPUTED_VALUE"""),"Terbufos-oxon-sulfoxide")</f>
        <v>Terbufos-oxon-sulfoxide</v>
      </c>
      <c r="B8658" t="str">
        <f ca="1">IFERROR(__xludf.DUMMYFUNCTION("""COMPUTED_VALUE"""),"RF-0412-007-PPP")</f>
        <v>RF-0412-007-PPP</v>
      </c>
    </row>
    <row r="8659" spans="1:2" ht="12.5" x14ac:dyDescent="0.25">
      <c r="A8659" t="str">
        <f ca="1">IFERROR(__xludf.DUMMYFUNCTION("""COMPUTED_VALUE"""),"Terbumeton")</f>
        <v>Terbumeton</v>
      </c>
      <c r="B8659" t="str">
        <f ca="1">IFERROR(__xludf.DUMMYFUNCTION("""COMPUTED_VALUE"""),"RF-0916-001-PPP")</f>
        <v>RF-0916-001-PPP</v>
      </c>
    </row>
    <row r="8660" spans="1:2" ht="12.5" x14ac:dyDescent="0.25">
      <c r="A8660" t="str">
        <f ca="1">IFERROR(__xludf.DUMMYFUNCTION("""COMPUTED_VALUE"""),"Terbutaline")</f>
        <v>Terbutaline</v>
      </c>
      <c r="B8660" t="str">
        <f ca="1">IFERROR(__xludf.DUMMYFUNCTION("""COMPUTED_VALUE"""),"RF-00000487-VET")</f>
        <v>RF-00000487-VET</v>
      </c>
    </row>
    <row r="8661" spans="1:2" ht="12.5" x14ac:dyDescent="0.25">
      <c r="A8661" t="str">
        <f ca="1">IFERROR(__xludf.DUMMYFUNCTION("""COMPUTED_VALUE"""),"Terbuthylazine")</f>
        <v>Terbuthylazine</v>
      </c>
      <c r="B8661" t="str">
        <f ca="1">IFERROR(__xludf.DUMMYFUNCTION("""COMPUTED_VALUE"""),"RF-0413-001-PPP")</f>
        <v>RF-0413-001-PPP</v>
      </c>
    </row>
    <row r="8662" spans="1:2" ht="12.5" x14ac:dyDescent="0.25">
      <c r="A8662" t="str">
        <f ca="1">IFERROR(__xludf.DUMMYFUNCTION("""COMPUTED_VALUE"""),"Terbuthylazine, 2-Hydroxy-")</f>
        <v>Terbuthylazine, 2-Hydroxy-</v>
      </c>
      <c r="B8662" t="str">
        <f ca="1">IFERROR(__xludf.DUMMYFUNCTION("""COMPUTED_VALUE"""),"RF-0917-001-PPP")</f>
        <v>RF-0917-001-PPP</v>
      </c>
    </row>
    <row r="8663" spans="1:2" ht="12.5" x14ac:dyDescent="0.25">
      <c r="A8663" t="str">
        <f ca="1">IFERROR(__xludf.DUMMYFUNCTION("""COMPUTED_VALUE"""),"Terbuthylazine, Desethyl-")</f>
        <v>Terbuthylazine, Desethyl-</v>
      </c>
      <c r="B8663" t="str">
        <f ca="1">IFERROR(__xludf.DUMMYFUNCTION("""COMPUTED_VALUE"""),"RF-0918-001-PPP")</f>
        <v>RF-0918-001-PPP</v>
      </c>
    </row>
    <row r="8664" spans="1:2" ht="12.5" x14ac:dyDescent="0.25">
      <c r="A8664" t="str">
        <f ca="1">IFERROR(__xludf.DUMMYFUNCTION("""COMPUTED_VALUE"""),"Terbutryn")</f>
        <v>Terbutryn</v>
      </c>
      <c r="B8664" t="str">
        <f ca="1">IFERROR(__xludf.DUMMYFUNCTION("""COMPUTED_VALUE"""),"RF-0919-001-PPP")</f>
        <v>RF-0919-001-PPP</v>
      </c>
    </row>
    <row r="8665" spans="1:2" ht="12.5" x14ac:dyDescent="0.25">
      <c r="A8665" t="str">
        <f ca="1">IFERROR(__xludf.DUMMYFUNCTION("""COMPUTED_VALUE"""),"Ternidazole")</f>
        <v>Ternidazole</v>
      </c>
      <c r="B8665" t="str">
        <f ca="1">IFERROR(__xludf.DUMMYFUNCTION("""COMPUTED_VALUE"""),"RF-00000084-VET")</f>
        <v>RF-00000084-VET</v>
      </c>
    </row>
    <row r="8666" spans="1:2" ht="12.5" x14ac:dyDescent="0.25">
      <c r="A8666" t="str">
        <f ca="1">IFERROR(__xludf.DUMMYFUNCTION("""COMPUTED_VALUE"""),"Tertiary-butyl hydroquinone (TBHQ)")</f>
        <v>Tertiary-butyl hydroquinone (TBHQ)</v>
      </c>
      <c r="B8666" t="str">
        <f ca="1">IFERROR(__xludf.DUMMYFUNCTION("""COMPUTED_VALUE"""),"RF-00000332-ADD")</f>
        <v>RF-00000332-ADD</v>
      </c>
    </row>
    <row r="8667" spans="1:2" ht="12.5" x14ac:dyDescent="0.25">
      <c r="A8667" t="str">
        <f ca="1">IFERROR(__xludf.DUMMYFUNCTION("""COMPUTED_VALUE"""),"Testosterone 17-chloral Hemiacetate")</f>
        <v>Testosterone 17-chloral Hemiacetate</v>
      </c>
      <c r="B8667" t="str">
        <f ca="1">IFERROR(__xludf.DUMMYFUNCTION("""COMPUTED_VALUE"""),"RF-00000421-VET")</f>
        <v>RF-00000421-VET</v>
      </c>
    </row>
    <row r="8668" spans="1:2" ht="12.5" x14ac:dyDescent="0.25">
      <c r="A8668" t="str">
        <f ca="1">IFERROR(__xludf.DUMMYFUNCTION("""COMPUTED_VALUE"""),"Testosterone acetate")</f>
        <v>Testosterone acetate</v>
      </c>
      <c r="B8668" t="str">
        <f ca="1">IFERROR(__xludf.DUMMYFUNCTION("""COMPUTED_VALUE"""),"RF-00000420-VET")</f>
        <v>RF-00000420-VET</v>
      </c>
    </row>
    <row r="8669" spans="1:2" ht="12.5" x14ac:dyDescent="0.25">
      <c r="A8669" t="str">
        <f ca="1">IFERROR(__xludf.DUMMYFUNCTION("""COMPUTED_VALUE"""),"Testosterone cypionate")</f>
        <v>Testosterone cypionate</v>
      </c>
      <c r="B8669" t="str">
        <f ca="1">IFERROR(__xludf.DUMMYFUNCTION("""COMPUTED_VALUE"""),"RF-00000419-VET")</f>
        <v>RF-00000419-VET</v>
      </c>
    </row>
    <row r="8670" spans="1:2" ht="12.5" x14ac:dyDescent="0.25">
      <c r="A8670" t="str">
        <f ca="1">IFERROR(__xludf.DUMMYFUNCTION("""COMPUTED_VALUE"""),"Testosterone decanoate (Testosteronecaprinate)")</f>
        <v>Testosterone decanoate (Testosteronecaprinate)</v>
      </c>
      <c r="B8670" t="str">
        <f ca="1">IFERROR(__xludf.DUMMYFUNCTION("""COMPUTED_VALUE"""),"RF-00000418-VET")</f>
        <v>RF-00000418-VET</v>
      </c>
    </row>
    <row r="8671" spans="1:2" ht="12.5" x14ac:dyDescent="0.25">
      <c r="A8671" t="str">
        <f ca="1">IFERROR(__xludf.DUMMYFUNCTION("""COMPUTED_VALUE"""),"Testosterone isocaproate")</f>
        <v>Testosterone isocaproate</v>
      </c>
      <c r="B8671" t="str">
        <f ca="1">IFERROR(__xludf.DUMMYFUNCTION("""COMPUTED_VALUE"""),"RF-00000417-VET")</f>
        <v>RF-00000417-VET</v>
      </c>
    </row>
    <row r="8672" spans="1:2" ht="12.5" x14ac:dyDescent="0.25">
      <c r="A8672" t="str">
        <f ca="1">IFERROR(__xludf.DUMMYFUNCTION("""COMPUTED_VALUE"""),"Testosterone nanthate")</f>
        <v>Testosterone nanthate</v>
      </c>
      <c r="B8672" t="str">
        <f ca="1">IFERROR(__xludf.DUMMYFUNCTION("""COMPUTED_VALUE"""),"RF-00000416-VET")</f>
        <v>RF-00000416-VET</v>
      </c>
    </row>
    <row r="8673" spans="1:2" ht="12.5" x14ac:dyDescent="0.25">
      <c r="A8673" t="str">
        <f ca="1">IFERROR(__xludf.DUMMYFUNCTION("""COMPUTED_VALUE"""),"Testosterone nicotinate")</f>
        <v>Testosterone nicotinate</v>
      </c>
      <c r="B8673" t="str">
        <f ca="1">IFERROR(__xludf.DUMMYFUNCTION("""COMPUTED_VALUE"""),"RF-00000401-VET")</f>
        <v>RF-00000401-VET</v>
      </c>
    </row>
    <row r="8674" spans="1:2" ht="12.5" x14ac:dyDescent="0.25">
      <c r="A8674" t="str">
        <f ca="1">IFERROR(__xludf.DUMMYFUNCTION("""COMPUTED_VALUE"""),"Testosterone phenylacetate")</f>
        <v>Testosterone phenylacetate</v>
      </c>
      <c r="B8674" t="str">
        <f ca="1">IFERROR(__xludf.DUMMYFUNCTION("""COMPUTED_VALUE"""),"RF-00000414-VET")</f>
        <v>RF-00000414-VET</v>
      </c>
    </row>
    <row r="8675" spans="1:2" ht="12.5" x14ac:dyDescent="0.25">
      <c r="A8675" t="str">
        <f ca="1">IFERROR(__xludf.DUMMYFUNCTION("""COMPUTED_VALUE"""),"Testosterone phenylpropionate")</f>
        <v>Testosterone phenylpropionate</v>
      </c>
      <c r="B8675" t="str">
        <f ca="1">IFERROR(__xludf.DUMMYFUNCTION("""COMPUTED_VALUE"""),"RF-00000427-VET")</f>
        <v>RF-00000427-VET</v>
      </c>
    </row>
    <row r="8676" spans="1:2" ht="12.5" x14ac:dyDescent="0.25">
      <c r="A8676" t="str">
        <f ca="1">IFERROR(__xludf.DUMMYFUNCTION("""COMPUTED_VALUE"""),"Testosterone propionate")</f>
        <v>Testosterone propionate</v>
      </c>
      <c r="B8676" t="str">
        <f ca="1">IFERROR(__xludf.DUMMYFUNCTION("""COMPUTED_VALUE"""),"RF-00000412-VET")</f>
        <v>RF-00000412-VET</v>
      </c>
    </row>
    <row r="8677" spans="1:2" ht="12.5" x14ac:dyDescent="0.25">
      <c r="A8677" t="str">
        <f ca="1">IFERROR(__xludf.DUMMYFUNCTION("""COMPUTED_VALUE"""),"Testosterone-17-Alpha")</f>
        <v>Testosterone-17-Alpha</v>
      </c>
      <c r="B8677" t="str">
        <f ca="1">IFERROR(__xludf.DUMMYFUNCTION("""COMPUTED_VALUE"""),"RF-00000411-VET")</f>
        <v>RF-00000411-VET</v>
      </c>
    </row>
    <row r="8678" spans="1:2" ht="12.5" x14ac:dyDescent="0.25">
      <c r="A8678" t="str">
        <f ca="1">IFERROR(__xludf.DUMMYFUNCTION("""COMPUTED_VALUE"""),"Testosterone-17-Beta")</f>
        <v>Testosterone-17-Beta</v>
      </c>
      <c r="B8678" t="str">
        <f ca="1">IFERROR(__xludf.DUMMYFUNCTION("""COMPUTED_VALUE"""),"RF-00000410-VET")</f>
        <v>RF-00000410-VET</v>
      </c>
    </row>
    <row r="8679" spans="1:2" ht="12.5" x14ac:dyDescent="0.25">
      <c r="A8679" t="str">
        <f ca="1">IFERROR(__xludf.DUMMYFUNCTION("""COMPUTED_VALUE"""),"Testosterone-Dehydrochloromethyl")</f>
        <v>Testosterone-Dehydrochloromethyl</v>
      </c>
      <c r="B8679" t="str">
        <f ca="1">IFERROR(__xludf.DUMMYFUNCTION("""COMPUTED_VALUE"""),"RF-00000409-VET")</f>
        <v>RF-00000409-VET</v>
      </c>
    </row>
    <row r="8680" spans="1:2" ht="12.5" x14ac:dyDescent="0.25">
      <c r="A8680" t="str">
        <f ca="1">IFERROR(__xludf.DUMMYFUNCTION("""COMPUTED_VALUE"""),"Tetrabromobisphenol-A")</f>
        <v>Tetrabromobisphenol-A</v>
      </c>
      <c r="B8680" t="str">
        <f ca="1">IFERROR(__xludf.DUMMYFUNCTION("""COMPUTED_VALUE"""),"RF-00000075-ORG")</f>
        <v>RF-00000075-ORG</v>
      </c>
    </row>
    <row r="8681" spans="1:2" ht="12.5" x14ac:dyDescent="0.25">
      <c r="A8681" t="str">
        <f ca="1">IFERROR(__xludf.DUMMYFUNCTION("""COMPUTED_VALUE"""),"Tetrachlorethylene")</f>
        <v>Tetrachlorethylene</v>
      </c>
      <c r="B8681" t="str">
        <f ca="1">IFERROR(__xludf.DUMMYFUNCTION("""COMPUTED_VALUE"""),"RF-00000034-ORG")</f>
        <v>RF-00000034-ORG</v>
      </c>
    </row>
    <row r="8682" spans="1:2" ht="12.5" x14ac:dyDescent="0.25">
      <c r="A8682" t="str">
        <f ca="1">IFERROR(__xludf.DUMMYFUNCTION("""COMPUTED_VALUE"""),"Tetrachloroaniline, 2,3,4,5-")</f>
        <v>Tetrachloroaniline, 2,3,4,5-</v>
      </c>
      <c r="B8682" t="str">
        <f ca="1">IFERROR(__xludf.DUMMYFUNCTION("""COMPUTED_VALUE"""),"RF-1075-001-PPP")</f>
        <v>RF-1075-001-PPP</v>
      </c>
    </row>
    <row r="8683" spans="1:2" ht="12.5" x14ac:dyDescent="0.25">
      <c r="A8683" t="str">
        <f ca="1">IFERROR(__xludf.DUMMYFUNCTION("""COMPUTED_VALUE"""),"Tetrachloroanilline, 2,3,5,6-")</f>
        <v>Tetrachloroanilline, 2,3,5,6-</v>
      </c>
      <c r="B8683" t="str">
        <f ca="1">IFERROR(__xludf.DUMMYFUNCTION("""COMPUTED_VALUE"""),"RF-1075-002-PPP")</f>
        <v>RF-1075-002-PPP</v>
      </c>
    </row>
    <row r="8684" spans="1:2" ht="12.5" x14ac:dyDescent="0.25">
      <c r="A8684" t="str">
        <f ca="1">IFERROR(__xludf.DUMMYFUNCTION("""COMPUTED_VALUE"""),"Tetrachlorvinphos")</f>
        <v>Tetrachlorvinphos</v>
      </c>
      <c r="B8684" t="str">
        <f ca="1">IFERROR(__xludf.DUMMYFUNCTION("""COMPUTED_VALUE"""),"RF-0920-001-PPP")</f>
        <v>RF-0920-001-PPP</v>
      </c>
    </row>
    <row r="8685" spans="1:2" ht="12.5" x14ac:dyDescent="0.25">
      <c r="A8685" t="str">
        <f ca="1">IFERROR(__xludf.DUMMYFUNCTION("""COMPUTED_VALUE"""),"Tetraconazole")</f>
        <v>Tetraconazole</v>
      </c>
      <c r="B8685" t="str">
        <f ca="1">IFERROR(__xludf.DUMMYFUNCTION("""COMPUTED_VALUE"""),"RF-0414-001-PPP")</f>
        <v>RF-0414-001-PPP</v>
      </c>
    </row>
    <row r="8686" spans="1:2" ht="12.5" x14ac:dyDescent="0.25">
      <c r="A8686" t="str">
        <f ca="1">IFERROR(__xludf.DUMMYFUNCTION("""COMPUTED_VALUE"""),"Tetracycline")</f>
        <v>Tetracycline</v>
      </c>
      <c r="B8686" t="str">
        <f ca="1">IFERROR(__xludf.DUMMYFUNCTION("""COMPUTED_VALUE"""),"RF-00000670-VET")</f>
        <v>RF-00000670-VET</v>
      </c>
    </row>
    <row r="8687" spans="1:2" ht="12.5" x14ac:dyDescent="0.25">
      <c r="A8687" t="str">
        <f ca="1">IFERROR(__xludf.DUMMYFUNCTION("""COMPUTED_VALUE"""),"Tetracyclines")</f>
        <v>Tetracyclines</v>
      </c>
      <c r="B8687" t="str">
        <f ca="1">IFERROR(__xludf.DUMMYFUNCTION("""COMPUTED_VALUE"""),"RF-00000672-VET")</f>
        <v>RF-00000672-VET</v>
      </c>
    </row>
    <row r="8688" spans="1:2" ht="12.5" x14ac:dyDescent="0.25">
      <c r="A8688" t="str">
        <f ca="1">IFERROR(__xludf.DUMMYFUNCTION("""COMPUTED_VALUE"""),"Tetradifon")</f>
        <v>Tetradifon</v>
      </c>
      <c r="B8688" t="str">
        <f ca="1">IFERROR(__xludf.DUMMYFUNCTION("""COMPUTED_VALUE"""),"RF-0415-001-PPP")</f>
        <v>RF-0415-001-PPP</v>
      </c>
    </row>
    <row r="8689" spans="1:2" ht="12.5" x14ac:dyDescent="0.25">
      <c r="A8689" t="str">
        <f ca="1">IFERROR(__xludf.DUMMYFUNCTION("""COMPUTED_VALUE"""),"Tetrahydrophthalimide")</f>
        <v>Tetrahydrophthalimide</v>
      </c>
      <c r="B8689" t="str">
        <f ca="1">IFERROR(__xludf.DUMMYFUNCTION("""COMPUTED_VALUE"""),"RF-0921-001-PPP")</f>
        <v>RF-0921-001-PPP</v>
      </c>
    </row>
    <row r="8690" spans="1:2" ht="12.5" x14ac:dyDescent="0.25">
      <c r="A8690" t="str">
        <f ca="1">IFERROR(__xludf.DUMMYFUNCTION("""COMPUTED_VALUE"""),"Tetramethrin")</f>
        <v>Tetramethrin</v>
      </c>
      <c r="B8690" t="str">
        <f ca="1">IFERROR(__xludf.DUMMYFUNCTION("""COMPUTED_VALUE"""),"RF-00000157-VET")</f>
        <v>RF-00000157-VET</v>
      </c>
    </row>
    <row r="8691" spans="1:2" ht="12.5" x14ac:dyDescent="0.25">
      <c r="A8691" t="str">
        <f ca="1">IFERROR(__xludf.DUMMYFUNCTION("""COMPUTED_VALUE"""),"Tetramethrin")</f>
        <v>Tetramethrin</v>
      </c>
      <c r="B8691" t="str">
        <f ca="1">IFERROR(__xludf.DUMMYFUNCTION("""COMPUTED_VALUE"""),"RF-0922-001-PPP")</f>
        <v>RF-0922-001-PPP</v>
      </c>
    </row>
    <row r="8692" spans="1:2" ht="12.5" x14ac:dyDescent="0.25">
      <c r="A8692" t="str">
        <f ca="1">IFERROR(__xludf.DUMMYFUNCTION("""COMPUTED_VALUE"""),"Tetramisol")</f>
        <v>Tetramisol</v>
      </c>
      <c r="B8692" t="str">
        <f ca="1">IFERROR(__xludf.DUMMYFUNCTION("""COMPUTED_VALUE"""),"RF-00000009-VET")</f>
        <v>RF-00000009-VET</v>
      </c>
    </row>
    <row r="8693" spans="1:2" ht="12.5" x14ac:dyDescent="0.25">
      <c r="A8693" t="str">
        <f ca="1">IFERROR(__xludf.DUMMYFUNCTION("""COMPUTED_VALUE"""),"Tetrasul")</f>
        <v>Tetrasul</v>
      </c>
      <c r="B8693" t="str">
        <f ca="1">IFERROR(__xludf.DUMMYFUNCTION("""COMPUTED_VALUE"""),"RF-0923-001-PPP")</f>
        <v>RF-0923-001-PPP</v>
      </c>
    </row>
    <row r="8694" spans="1:2" ht="12.5" x14ac:dyDescent="0.25">
      <c r="A8694" t="str">
        <f ca="1">IFERROR(__xludf.DUMMYFUNCTION("""COMPUTED_VALUE"""),"Thallium (Tl)")</f>
        <v>Thallium (Tl)</v>
      </c>
      <c r="B8694" t="str">
        <f ca="1">IFERROR(__xludf.DUMMYFUNCTION("""COMPUTED_VALUE"""),"RF-00000191-CHE")</f>
        <v>RF-00000191-CHE</v>
      </c>
    </row>
    <row r="8695" spans="1:2" ht="12.5" x14ac:dyDescent="0.25">
      <c r="A8695" t="str">
        <f ca="1">IFERROR(__xludf.DUMMYFUNCTION("""COMPUTED_VALUE"""),"Thallium and derivatives")</f>
        <v>Thallium and derivatives</v>
      </c>
      <c r="B8695" t="str">
        <f ca="1">IFERROR(__xludf.DUMMYFUNCTION("""COMPUTED_VALUE"""),"RF-00000190-CHE")</f>
        <v>RF-00000190-CHE</v>
      </c>
    </row>
    <row r="8696" spans="1:2" ht="12.5" x14ac:dyDescent="0.25">
      <c r="A8696" t="str">
        <f ca="1">IFERROR(__xludf.DUMMYFUNCTION("""COMPUTED_VALUE"""),"Thaumatin")</f>
        <v>Thaumatin</v>
      </c>
      <c r="B8696" t="str">
        <f ca="1">IFERROR(__xludf.DUMMYFUNCTION("""COMPUTED_VALUE"""),"RF-00000333-ADD")</f>
        <v>RF-00000333-ADD</v>
      </c>
    </row>
    <row r="8697" spans="1:2" ht="12.5" x14ac:dyDescent="0.25">
      <c r="A8697" t="str">
        <f ca="1">IFERROR(__xludf.DUMMYFUNCTION("""COMPUTED_VALUE"""),"Thebaine")</f>
        <v>Thebaine</v>
      </c>
      <c r="B8697" t="str">
        <f ca="1">IFERROR(__xludf.DUMMYFUNCTION("""COMPUTED_VALUE"""),"RF-00000254-TOX")</f>
        <v>RF-00000254-TOX</v>
      </c>
    </row>
    <row r="8698" spans="1:2" ht="12.5" x14ac:dyDescent="0.25">
      <c r="A8698" t="str">
        <f ca="1">IFERROR(__xludf.DUMMYFUNCTION("""COMPUTED_VALUE"""),"Theileria")</f>
        <v>Theileria</v>
      </c>
      <c r="B8698" t="str">
        <f ca="1">IFERROR(__xludf.DUMMYFUNCTION("""COMPUTED_VALUE"""),"RF-00002770-MCG")</f>
        <v>RF-00002770-MCG</v>
      </c>
    </row>
    <row r="8699" spans="1:2" ht="12.5" x14ac:dyDescent="0.25">
      <c r="A8699" t="str">
        <f ca="1">IFERROR(__xludf.DUMMYFUNCTION("""COMPUTED_VALUE"""),"Theileria annulata")</f>
        <v>Theileria annulata</v>
      </c>
      <c r="B8699" t="str">
        <f ca="1">IFERROR(__xludf.DUMMYFUNCTION("""COMPUTED_VALUE"""),"RF-00002772-MCG")</f>
        <v>RF-00002772-MCG</v>
      </c>
    </row>
    <row r="8700" spans="1:2" ht="12.5" x14ac:dyDescent="0.25">
      <c r="A8700" t="str">
        <f ca="1">IFERROR(__xludf.DUMMYFUNCTION("""COMPUTED_VALUE"""),"Theileria buffeli")</f>
        <v>Theileria buffeli</v>
      </c>
      <c r="B8700" t="str">
        <f ca="1">IFERROR(__xludf.DUMMYFUNCTION("""COMPUTED_VALUE"""),"RF-00002773-MCG")</f>
        <v>RF-00002773-MCG</v>
      </c>
    </row>
    <row r="8701" spans="1:2" ht="12.5" x14ac:dyDescent="0.25">
      <c r="A8701" t="str">
        <f ca="1">IFERROR(__xludf.DUMMYFUNCTION("""COMPUTED_VALUE"""),"Theileria cervi")</f>
        <v>Theileria cervi</v>
      </c>
      <c r="B8701" t="str">
        <f ca="1">IFERROR(__xludf.DUMMYFUNCTION("""COMPUTED_VALUE"""),"RF-00002774-MCG")</f>
        <v>RF-00002774-MCG</v>
      </c>
    </row>
    <row r="8702" spans="1:2" ht="12.5" x14ac:dyDescent="0.25">
      <c r="A8702" t="str">
        <f ca="1">IFERROR(__xludf.DUMMYFUNCTION("""COMPUTED_VALUE"""),"Theileria equi")</f>
        <v>Theileria equi</v>
      </c>
      <c r="B8702" t="str">
        <f ca="1">IFERROR(__xludf.DUMMYFUNCTION("""COMPUTED_VALUE"""),"RF-00003923-MCG")</f>
        <v>RF-00003923-MCG</v>
      </c>
    </row>
    <row r="8703" spans="1:2" ht="12.5" x14ac:dyDescent="0.25">
      <c r="A8703" t="str">
        <f ca="1">IFERROR(__xludf.DUMMYFUNCTION("""COMPUTED_VALUE"""),"Theileria hirci")</f>
        <v>Theileria hirci</v>
      </c>
      <c r="B8703" t="str">
        <f ca="1">IFERROR(__xludf.DUMMYFUNCTION("""COMPUTED_VALUE"""),"RF-00002775-MCG")</f>
        <v>RF-00002775-MCG</v>
      </c>
    </row>
    <row r="8704" spans="1:2" ht="12.5" x14ac:dyDescent="0.25">
      <c r="A8704" t="str">
        <f ca="1">IFERROR(__xludf.DUMMYFUNCTION("""COMPUTED_VALUE"""),"Theileria lawrencei")</f>
        <v>Theileria lawrencei</v>
      </c>
      <c r="B8704" t="str">
        <f ca="1">IFERROR(__xludf.DUMMYFUNCTION("""COMPUTED_VALUE"""),"RF-00002776-MCG")</f>
        <v>RF-00002776-MCG</v>
      </c>
    </row>
    <row r="8705" spans="1:2" ht="12.5" x14ac:dyDescent="0.25">
      <c r="A8705" t="str">
        <f ca="1">IFERROR(__xludf.DUMMYFUNCTION("""COMPUTED_VALUE"""),"Theileria lestoquardi")</f>
        <v>Theileria lestoquardi</v>
      </c>
      <c r="B8705" t="str">
        <f ca="1">IFERROR(__xludf.DUMMYFUNCTION("""COMPUTED_VALUE"""),"RF-00003922-MCG")</f>
        <v>RF-00003922-MCG</v>
      </c>
    </row>
    <row r="8706" spans="1:2" ht="12.5" x14ac:dyDescent="0.25">
      <c r="A8706" t="str">
        <f ca="1">IFERROR(__xludf.DUMMYFUNCTION("""COMPUTED_VALUE"""),"Theileria mutans")</f>
        <v>Theileria mutans</v>
      </c>
      <c r="B8706" t="str">
        <f ca="1">IFERROR(__xludf.DUMMYFUNCTION("""COMPUTED_VALUE"""),"RF-00002777-MCG")</f>
        <v>RF-00002777-MCG</v>
      </c>
    </row>
    <row r="8707" spans="1:2" ht="12.5" x14ac:dyDescent="0.25">
      <c r="A8707" t="str">
        <f ca="1">IFERROR(__xludf.DUMMYFUNCTION("""COMPUTED_VALUE"""),"Theileria orientalis")</f>
        <v>Theileria orientalis</v>
      </c>
      <c r="B8707" t="str">
        <f ca="1">IFERROR(__xludf.DUMMYFUNCTION("""COMPUTED_VALUE"""),"RF-00002778-MCG")</f>
        <v>RF-00002778-MCG</v>
      </c>
    </row>
    <row r="8708" spans="1:2" ht="12.5" x14ac:dyDescent="0.25">
      <c r="A8708" t="str">
        <f ca="1">IFERROR(__xludf.DUMMYFUNCTION("""COMPUTED_VALUE"""),"Theileria ovis")</f>
        <v>Theileria ovis</v>
      </c>
      <c r="B8708" t="str">
        <f ca="1">IFERROR(__xludf.DUMMYFUNCTION("""COMPUTED_VALUE"""),"RF-00002779-MCG")</f>
        <v>RF-00002779-MCG</v>
      </c>
    </row>
    <row r="8709" spans="1:2" ht="12.5" x14ac:dyDescent="0.25">
      <c r="A8709" t="str">
        <f ca="1">IFERROR(__xludf.DUMMYFUNCTION("""COMPUTED_VALUE"""),"Theileria parva")</f>
        <v>Theileria parva</v>
      </c>
      <c r="B8709" t="str">
        <f ca="1">IFERROR(__xludf.DUMMYFUNCTION("""COMPUTED_VALUE"""),"RF-00002780-MCG")</f>
        <v>RF-00002780-MCG</v>
      </c>
    </row>
    <row r="8710" spans="1:2" ht="12.5" x14ac:dyDescent="0.25">
      <c r="A8710" t="str">
        <f ca="1">IFERROR(__xludf.DUMMYFUNCTION("""COMPUTED_VALUE"""),"Theileria recondita")</f>
        <v>Theileria recondita</v>
      </c>
      <c r="B8710" t="str">
        <f ca="1">IFERROR(__xludf.DUMMYFUNCTION("""COMPUTED_VALUE"""),"RF-00002781-MCG")</f>
        <v>RF-00002781-MCG</v>
      </c>
    </row>
    <row r="8711" spans="1:2" ht="12.5" x14ac:dyDescent="0.25">
      <c r="A8711" t="str">
        <f ca="1">IFERROR(__xludf.DUMMYFUNCTION("""COMPUTED_VALUE"""),"Theileria sergenti")</f>
        <v>Theileria sergenti</v>
      </c>
      <c r="B8711" t="str">
        <f ca="1">IFERROR(__xludf.DUMMYFUNCTION("""COMPUTED_VALUE"""),"RF-00002782-MCG")</f>
        <v>RF-00002782-MCG</v>
      </c>
    </row>
    <row r="8712" spans="1:2" ht="12.5" x14ac:dyDescent="0.25">
      <c r="A8712" t="str">
        <f ca="1">IFERROR(__xludf.DUMMYFUNCTION("""COMPUTED_VALUE"""),"Theileria spp., unidentified")</f>
        <v>Theileria spp., unidentified</v>
      </c>
      <c r="B8712" t="str">
        <f ca="1">IFERROR(__xludf.DUMMYFUNCTION("""COMPUTED_VALUE"""),"RF-00002771-MCG")</f>
        <v>RF-00002771-MCG</v>
      </c>
    </row>
    <row r="8713" spans="1:2" ht="12.5" x14ac:dyDescent="0.25">
      <c r="A8713" t="str">
        <f ca="1">IFERROR(__xludf.DUMMYFUNCTION("""COMPUTED_VALUE"""),"Theileria taurotragi")</f>
        <v>Theileria taurotragi</v>
      </c>
      <c r="B8713" t="str">
        <f ca="1">IFERROR(__xludf.DUMMYFUNCTION("""COMPUTED_VALUE"""),"RF-00002783-MCG")</f>
        <v>RF-00002783-MCG</v>
      </c>
    </row>
    <row r="8714" spans="1:2" ht="12.5" x14ac:dyDescent="0.25">
      <c r="A8714" t="str">
        <f ca="1">IFERROR(__xludf.DUMMYFUNCTION("""COMPUTED_VALUE"""),"Theileria velifera")</f>
        <v>Theileria velifera</v>
      </c>
      <c r="B8714" t="str">
        <f ca="1">IFERROR(__xludf.DUMMYFUNCTION("""COMPUTED_VALUE"""),"RF-00002784-MCG")</f>
        <v>RF-00002784-MCG</v>
      </c>
    </row>
    <row r="8715" spans="1:2" ht="12.5" x14ac:dyDescent="0.25">
      <c r="A8715" t="str">
        <f ca="1">IFERROR(__xludf.DUMMYFUNCTION("""COMPUTED_VALUE"""),"Thenylchlor")</f>
        <v>Thenylchlor</v>
      </c>
      <c r="B8715" t="str">
        <f ca="1">IFERROR(__xludf.DUMMYFUNCTION("""COMPUTED_VALUE"""),"RF-0924-001-PPP")</f>
        <v>RF-0924-001-PPP</v>
      </c>
    </row>
    <row r="8716" spans="1:2" ht="12.5" x14ac:dyDescent="0.25">
      <c r="A8716" t="str">
        <f ca="1">IFERROR(__xludf.DUMMYFUNCTION("""COMPUTED_VALUE"""),"Theobromine")</f>
        <v>Theobromine</v>
      </c>
      <c r="B8716" t="str">
        <f ca="1">IFERROR(__xludf.DUMMYFUNCTION("""COMPUTED_VALUE"""),"RF-00000334-TOX")</f>
        <v>RF-00000334-TOX</v>
      </c>
    </row>
    <row r="8717" spans="1:2" ht="12.5" x14ac:dyDescent="0.25">
      <c r="A8717" t="str">
        <f ca="1">IFERROR(__xludf.DUMMYFUNCTION("""COMPUTED_VALUE"""),"theobromine")</f>
        <v>theobromine</v>
      </c>
      <c r="B8717" t="str">
        <f ca="1">IFERROR(__xludf.DUMMYFUNCTION("""COMPUTED_VALUE"""),"RF-00000410-NTR")</f>
        <v>RF-00000410-NTR</v>
      </c>
    </row>
    <row r="8718" spans="1:2" ht="12.5" x14ac:dyDescent="0.25">
      <c r="A8718" t="str">
        <f ca="1">IFERROR(__xludf.DUMMYFUNCTION("""COMPUTED_VALUE"""),"Thermally oxidised soya bean oil interacted with mono- and diglycerides of fatty acids")</f>
        <v>Thermally oxidised soya bean oil interacted with mono- and diglycerides of fatty acids</v>
      </c>
      <c r="B8718" t="str">
        <f ca="1">IFERROR(__xludf.DUMMYFUNCTION("""COMPUTED_VALUE"""),"RF-00000334-ADD")</f>
        <v>RF-00000334-ADD</v>
      </c>
    </row>
    <row r="8719" spans="1:2" ht="12.5" x14ac:dyDescent="0.25">
      <c r="A8719" t="str">
        <f ca="1">IFERROR(__xludf.DUMMYFUNCTION("""COMPUTED_VALUE"""),"Thermophilic Campylobacter spp., unspecified")</f>
        <v>Thermophilic Campylobacter spp., unspecified</v>
      </c>
      <c r="B8719" t="str">
        <f ca="1">IFERROR(__xludf.DUMMYFUNCTION("""COMPUTED_VALUE"""),"RF-00000052-MCG")</f>
        <v>RF-00000052-MCG</v>
      </c>
    </row>
    <row r="8720" spans="1:2" ht="12.5" x14ac:dyDescent="0.25">
      <c r="A8720" t="str">
        <f ca="1">IFERROR(__xludf.DUMMYFUNCTION("""COMPUTED_VALUE"""),"Thiabendazole")</f>
        <v>Thiabendazole</v>
      </c>
      <c r="B8720" t="str">
        <f ca="1">IFERROR(__xludf.DUMMYFUNCTION("""COMPUTED_VALUE"""),"RF-00000044-VET")</f>
        <v>RF-00000044-VET</v>
      </c>
    </row>
    <row r="8721" spans="1:2" ht="12.5" x14ac:dyDescent="0.25">
      <c r="A8721" t="str">
        <f ca="1">IFERROR(__xludf.DUMMYFUNCTION("""COMPUTED_VALUE"""),"Thiabendazole")</f>
        <v>Thiabendazole</v>
      </c>
      <c r="B8721" t="str">
        <f ca="1">IFERROR(__xludf.DUMMYFUNCTION("""COMPUTED_VALUE"""),"RF-0416-001-PPP")</f>
        <v>RF-0416-001-PPP</v>
      </c>
    </row>
    <row r="8722" spans="1:2" ht="12.5" x14ac:dyDescent="0.25">
      <c r="A8722" t="str">
        <f ca="1">IFERROR(__xludf.DUMMYFUNCTION("""COMPUTED_VALUE"""),"Thiabendazole (sum of thiabendazole and 5-hydroxythiabendazole)")</f>
        <v>Thiabendazole (sum of thiabendazole and 5-hydroxythiabendazole)</v>
      </c>
      <c r="B8722" t="str">
        <f ca="1">IFERROR(__xludf.DUMMYFUNCTION("""COMPUTED_VALUE"""),"RF-0416-002-PPP")</f>
        <v>RF-0416-002-PPP</v>
      </c>
    </row>
    <row r="8723" spans="1:2" ht="12.5" x14ac:dyDescent="0.25">
      <c r="A8723" t="str">
        <f ca="1">IFERROR(__xludf.DUMMYFUNCTION("""COMPUTED_VALUE"""),"Thiabendazole-5-Hydroxy")</f>
        <v>Thiabendazole-5-Hydroxy</v>
      </c>
      <c r="B8723" t="str">
        <f ca="1">IFERROR(__xludf.DUMMYFUNCTION("""COMPUTED_VALUE"""),"RF-00000050-VET")</f>
        <v>RF-00000050-VET</v>
      </c>
    </row>
    <row r="8724" spans="1:2" ht="12.5" x14ac:dyDescent="0.25">
      <c r="A8724" t="str">
        <f ca="1">IFERROR(__xludf.DUMMYFUNCTION("""COMPUTED_VALUE"""),"Thiabendazole, 5-Hydroxy-")</f>
        <v>Thiabendazole, 5-Hydroxy-</v>
      </c>
      <c r="B8724" t="str">
        <f ca="1">IFERROR(__xludf.DUMMYFUNCTION("""COMPUTED_VALUE"""),"RF-0926-001-PPP")</f>
        <v>RF-0926-001-PPP</v>
      </c>
    </row>
    <row r="8725" spans="1:2" ht="12.5" x14ac:dyDescent="0.25">
      <c r="A8725" t="str">
        <f ca="1">IFERROR(__xludf.DUMMYFUNCTION("""COMPUTED_VALUE"""),"Thiacloprid")</f>
        <v>Thiacloprid</v>
      </c>
      <c r="B8725" t="str">
        <f ca="1">IFERROR(__xludf.DUMMYFUNCTION("""COMPUTED_VALUE"""),"RF-0417-001-PPP")</f>
        <v>RF-0417-001-PPP</v>
      </c>
    </row>
    <row r="8726" spans="1:2" ht="12.5" x14ac:dyDescent="0.25">
      <c r="A8726" t="str">
        <f ca="1">IFERROR(__xludf.DUMMYFUNCTION("""COMPUTED_VALUE"""),"Thiametoxam")</f>
        <v>Thiametoxam</v>
      </c>
      <c r="B8726" t="str">
        <f ca="1">IFERROR(__xludf.DUMMYFUNCTION("""COMPUTED_VALUE"""),"RF-0418-001-PPP")</f>
        <v>RF-0418-001-PPP</v>
      </c>
    </row>
    <row r="8727" spans="1:2" ht="12.5" x14ac:dyDescent="0.25">
      <c r="A8727" t="str">
        <f ca="1">IFERROR(__xludf.DUMMYFUNCTION("""COMPUTED_VALUE"""),"Thiametoxam (sum of thiametoxam and clothianidin expressed as thiametoxam)")</f>
        <v>Thiametoxam (sum of thiametoxam and clothianidin expressed as thiametoxam)</v>
      </c>
      <c r="B8727" t="str">
        <f ca="1">IFERROR(__xludf.DUMMYFUNCTION("""COMPUTED_VALUE"""),"RF-0418-002-PPP")</f>
        <v>RF-0418-002-PPP</v>
      </c>
    </row>
    <row r="8728" spans="1:2" ht="12.5" x14ac:dyDescent="0.25">
      <c r="A8728" t="str">
        <f ca="1">IFERROR(__xludf.DUMMYFUNCTION("""COMPUTED_VALUE"""),"thiamin")</f>
        <v>thiamin</v>
      </c>
      <c r="B8728" t="str">
        <f ca="1">IFERROR(__xludf.DUMMYFUNCTION("""COMPUTED_VALUE"""),"RF-00000411-NTR")</f>
        <v>RF-00000411-NTR</v>
      </c>
    </row>
    <row r="8729" spans="1:2" ht="12.5" x14ac:dyDescent="0.25">
      <c r="A8729" t="str">
        <f ca="1">IFERROR(__xludf.DUMMYFUNCTION("""COMPUTED_VALUE"""),"Thiamphenicol")</f>
        <v>Thiamphenicol</v>
      </c>
      <c r="B8729" t="str">
        <f ca="1">IFERROR(__xludf.DUMMYFUNCTION("""COMPUTED_VALUE"""),"RF-00000555-VET")</f>
        <v>RF-00000555-VET</v>
      </c>
    </row>
    <row r="8730" spans="1:2" ht="12.5" x14ac:dyDescent="0.25">
      <c r="A8730" t="str">
        <f ca="1">IFERROR(__xludf.DUMMYFUNCTION("""COMPUTED_VALUE"""),"Thiazafluron")</f>
        <v>Thiazafluron</v>
      </c>
      <c r="B8730" t="str">
        <f ca="1">IFERROR(__xludf.DUMMYFUNCTION("""COMPUTED_VALUE"""),"RF-0927-001-PPP")</f>
        <v>RF-0927-001-PPP</v>
      </c>
    </row>
    <row r="8731" spans="1:2" ht="12.5" x14ac:dyDescent="0.25">
      <c r="A8731" t="str">
        <f ca="1">IFERROR(__xludf.DUMMYFUNCTION("""COMPUTED_VALUE"""),"Thiazopyr")</f>
        <v>Thiazopyr</v>
      </c>
      <c r="B8731" t="str">
        <f ca="1">IFERROR(__xludf.DUMMYFUNCTION("""COMPUTED_VALUE"""),"RF-0928-001-PPP")</f>
        <v>RF-0928-001-PPP</v>
      </c>
    </row>
    <row r="8732" spans="1:2" ht="12.5" x14ac:dyDescent="0.25">
      <c r="A8732" t="str">
        <f ca="1">IFERROR(__xludf.DUMMYFUNCTION("""COMPUTED_VALUE"""),"Thidiazuron")</f>
        <v>Thidiazuron</v>
      </c>
      <c r="B8732" t="str">
        <f ca="1">IFERROR(__xludf.DUMMYFUNCTION("""COMPUTED_VALUE"""),"RF-0929-001-PPP")</f>
        <v>RF-0929-001-PPP</v>
      </c>
    </row>
    <row r="8733" spans="1:2" ht="12.5" x14ac:dyDescent="0.25">
      <c r="A8733" t="str">
        <f ca="1">IFERROR(__xludf.DUMMYFUNCTION("""COMPUTED_VALUE"""),"Thifensulfuron")</f>
        <v>Thifensulfuron</v>
      </c>
      <c r="B8733" t="str">
        <f ca="1">IFERROR(__xludf.DUMMYFUNCTION("""COMPUTED_VALUE"""),"RF-0930-001-PPP")</f>
        <v>RF-0930-001-PPP</v>
      </c>
    </row>
    <row r="8734" spans="1:2" ht="12.5" x14ac:dyDescent="0.25">
      <c r="A8734" t="str">
        <f ca="1">IFERROR(__xludf.DUMMYFUNCTION("""COMPUTED_VALUE"""),"Thifensulfuron-methyl")</f>
        <v>Thifensulfuron-methyl</v>
      </c>
      <c r="B8734" t="str">
        <f ca="1">IFERROR(__xludf.DUMMYFUNCTION("""COMPUTED_VALUE"""),"RF-0419-001-PPP")</f>
        <v>RF-0419-001-PPP</v>
      </c>
    </row>
    <row r="8735" spans="1:2" ht="12.5" x14ac:dyDescent="0.25">
      <c r="A8735" t="str">
        <f ca="1">IFERROR(__xludf.DUMMYFUNCTION("""COMPUTED_VALUE"""),"Thifluzamide")</f>
        <v>Thifluzamide</v>
      </c>
      <c r="B8735" t="str">
        <f ca="1">IFERROR(__xludf.DUMMYFUNCTION("""COMPUTED_VALUE"""),"RF-0931-001-PPP")</f>
        <v>RF-0931-001-PPP</v>
      </c>
    </row>
    <row r="8736" spans="1:2" ht="12.5" x14ac:dyDescent="0.25">
      <c r="A8736" t="str">
        <f ca="1">IFERROR(__xludf.DUMMYFUNCTION("""COMPUTED_VALUE"""),"Thiobencarb")</f>
        <v>Thiobencarb</v>
      </c>
      <c r="B8736" t="str">
        <f ca="1">IFERROR(__xludf.DUMMYFUNCTION("""COMPUTED_VALUE"""),"RF-0420-001-PPP")</f>
        <v>RF-0420-001-PPP</v>
      </c>
    </row>
    <row r="8737" spans="1:2" ht="12.5" x14ac:dyDescent="0.25">
      <c r="A8737" t="str">
        <f ca="1">IFERROR(__xludf.DUMMYFUNCTION("""COMPUTED_VALUE"""),"Thiocyclam")</f>
        <v>Thiocyclam</v>
      </c>
      <c r="B8737" t="str">
        <f ca="1">IFERROR(__xludf.DUMMYFUNCTION("""COMPUTED_VALUE"""),"RF-0932-001-PPP")</f>
        <v>RF-0932-001-PPP</v>
      </c>
    </row>
    <row r="8738" spans="1:2" ht="12.5" x14ac:dyDescent="0.25">
      <c r="A8738" t="str">
        <f ca="1">IFERROR(__xludf.DUMMYFUNCTION("""COMPUTED_VALUE"""),"Thiocyclam hydrogen oxalate")</f>
        <v>Thiocyclam hydrogen oxalate</v>
      </c>
      <c r="B8738" t="str">
        <f ca="1">IFERROR(__xludf.DUMMYFUNCTION("""COMPUTED_VALUE"""),"RF-1076-001-PPP")</f>
        <v>RF-1076-001-PPP</v>
      </c>
    </row>
    <row r="8739" spans="1:2" ht="12.5" x14ac:dyDescent="0.25">
      <c r="A8739" t="str">
        <f ca="1">IFERROR(__xludf.DUMMYFUNCTION("""COMPUTED_VALUE"""),"Thiodicarb")</f>
        <v>Thiodicarb</v>
      </c>
      <c r="B8739" t="str">
        <f ca="1">IFERROR(__xludf.DUMMYFUNCTION("""COMPUTED_VALUE"""),"RF-00000137-VET")</f>
        <v>RF-00000137-VET</v>
      </c>
    </row>
    <row r="8740" spans="1:2" ht="12.5" x14ac:dyDescent="0.25">
      <c r="A8740" t="str">
        <f ca="1">IFERROR(__xludf.DUMMYFUNCTION("""COMPUTED_VALUE"""),"Thiodicarb")</f>
        <v>Thiodicarb</v>
      </c>
      <c r="B8740" t="str">
        <f ca="1">IFERROR(__xludf.DUMMYFUNCTION("""COMPUTED_VALUE"""),"RF-0293-002-PPP")</f>
        <v>RF-0293-002-PPP</v>
      </c>
    </row>
    <row r="8741" spans="1:2" ht="12.5" x14ac:dyDescent="0.25">
      <c r="A8741" t="str">
        <f ca="1">IFERROR(__xludf.DUMMYFUNCTION("""COMPUTED_VALUE"""),"Thiofanox")</f>
        <v>Thiofanox</v>
      </c>
      <c r="B8741" t="str">
        <f ca="1">IFERROR(__xludf.DUMMYFUNCTION("""COMPUTED_VALUE"""),"RF-0933-001-PPP")</f>
        <v>RF-0933-001-PPP</v>
      </c>
    </row>
    <row r="8742" spans="1:2" ht="12.5" x14ac:dyDescent="0.25">
      <c r="A8742" t="str">
        <f ca="1">IFERROR(__xludf.DUMMYFUNCTION("""COMPUTED_VALUE"""),"Thiofanox-Sulfon")</f>
        <v>Thiofanox-Sulfon</v>
      </c>
      <c r="B8742" t="str">
        <f ca="1">IFERROR(__xludf.DUMMYFUNCTION("""COMPUTED_VALUE"""),"RF-0934-001-PPP")</f>
        <v>RF-0934-001-PPP</v>
      </c>
    </row>
    <row r="8743" spans="1:2" ht="12.5" x14ac:dyDescent="0.25">
      <c r="A8743" t="str">
        <f ca="1">IFERROR(__xludf.DUMMYFUNCTION("""COMPUTED_VALUE"""),"Thiofanox-Sulfoxid")</f>
        <v>Thiofanox-Sulfoxid</v>
      </c>
      <c r="B8743" t="str">
        <f ca="1">IFERROR(__xludf.DUMMYFUNCTION("""COMPUTED_VALUE"""),"RF-0935-001-PPP")</f>
        <v>RF-0935-001-PPP</v>
      </c>
    </row>
    <row r="8744" spans="1:2" ht="12.5" x14ac:dyDescent="0.25">
      <c r="A8744" t="str">
        <f ca="1">IFERROR(__xludf.DUMMYFUNCTION("""COMPUTED_VALUE"""),"Thiomethon sulphone")</f>
        <v>Thiomethon sulphone</v>
      </c>
      <c r="B8744" t="str">
        <f ca="1">IFERROR(__xludf.DUMMYFUNCTION("""COMPUTED_VALUE"""),"RF-0976-001-PPP")</f>
        <v>RF-0976-001-PPP</v>
      </c>
    </row>
    <row r="8745" spans="1:2" ht="12.5" x14ac:dyDescent="0.25">
      <c r="A8745" t="str">
        <f ca="1">IFERROR(__xludf.DUMMYFUNCTION("""COMPUTED_VALUE"""),"Thiometon")</f>
        <v>Thiometon</v>
      </c>
      <c r="B8745" t="str">
        <f ca="1">IFERROR(__xludf.DUMMYFUNCTION("""COMPUTED_VALUE"""),"RF-0936-001-PPP")</f>
        <v>RF-0936-001-PPP</v>
      </c>
    </row>
    <row r="8746" spans="1:2" ht="12.5" x14ac:dyDescent="0.25">
      <c r="A8746" t="str">
        <f ca="1">IFERROR(__xludf.DUMMYFUNCTION("""COMPUTED_VALUE"""),"Thiometon sulfoxide")</f>
        <v>Thiometon sulfoxide</v>
      </c>
      <c r="B8746" t="str">
        <f ca="1">IFERROR(__xludf.DUMMYFUNCTION("""COMPUTED_VALUE"""),"RF-1077-001-PPP")</f>
        <v>RF-1077-001-PPP</v>
      </c>
    </row>
    <row r="8747" spans="1:2" ht="12.5" x14ac:dyDescent="0.25">
      <c r="A8747" t="str">
        <f ca="1">IFERROR(__xludf.DUMMYFUNCTION("""COMPUTED_VALUE"""),"Thionazin")</f>
        <v>Thionazin</v>
      </c>
      <c r="B8747" t="str">
        <f ca="1">IFERROR(__xludf.DUMMYFUNCTION("""COMPUTED_VALUE"""),"RF-0937-001-PPP")</f>
        <v>RF-0937-001-PPP</v>
      </c>
    </row>
    <row r="8748" spans="1:2" ht="12.5" x14ac:dyDescent="0.25">
      <c r="A8748" t="str">
        <f ca="1">IFERROR(__xludf.DUMMYFUNCTION("""COMPUTED_VALUE"""),"Thiophanate-Ethyl")</f>
        <v>Thiophanate-Ethyl</v>
      </c>
      <c r="B8748" t="str">
        <f ca="1">IFERROR(__xludf.DUMMYFUNCTION("""COMPUTED_VALUE"""),"RF-0938-001-PPP")</f>
        <v>RF-0938-001-PPP</v>
      </c>
    </row>
    <row r="8749" spans="1:2" ht="12.5" x14ac:dyDescent="0.25">
      <c r="A8749" t="str">
        <f ca="1">IFERROR(__xludf.DUMMYFUNCTION("""COMPUTED_VALUE"""),"Thiophanate-methyl")</f>
        <v>Thiophanate-methyl</v>
      </c>
      <c r="B8749" t="str">
        <f ca="1">IFERROR(__xludf.DUMMYFUNCTION("""COMPUTED_VALUE"""),"RF-0422-001-PPP")</f>
        <v>RF-0422-001-PPP</v>
      </c>
    </row>
    <row r="8750" spans="1:2" ht="12.5" x14ac:dyDescent="0.25">
      <c r="A8750" t="str">
        <f ca="1">IFERROR(__xludf.DUMMYFUNCTION("""COMPUTED_VALUE"""),"Thioquinox")</f>
        <v>Thioquinox</v>
      </c>
      <c r="B8750" t="str">
        <f ca="1">IFERROR(__xludf.DUMMYFUNCTION("""COMPUTED_VALUE"""),"RF-0939-001-PPP")</f>
        <v>RF-0939-001-PPP</v>
      </c>
    </row>
    <row r="8751" spans="1:2" ht="12.5" x14ac:dyDescent="0.25">
      <c r="A8751" t="str">
        <f ca="1">IFERROR(__xludf.DUMMYFUNCTION("""COMPUTED_VALUE"""),"Thiosultap")</f>
        <v>Thiosultap</v>
      </c>
      <c r="B8751" t="str">
        <f ca="1">IFERROR(__xludf.DUMMYFUNCTION("""COMPUTED_VALUE"""),"RF-0940-001-PPP")</f>
        <v>RF-0940-001-PPP</v>
      </c>
    </row>
    <row r="8752" spans="1:2" ht="12.5" x14ac:dyDescent="0.25">
      <c r="A8752" t="str">
        <f ca="1">IFERROR(__xludf.DUMMYFUNCTION("""COMPUTED_VALUE"""),"Thiouracil")</f>
        <v>Thiouracil</v>
      </c>
      <c r="B8752" t="str">
        <f ca="1">IFERROR(__xludf.DUMMYFUNCTION("""COMPUTED_VALUE"""),"RF-00000299-VET")</f>
        <v>RF-00000299-VET</v>
      </c>
    </row>
    <row r="8753" spans="1:2" ht="12.5" x14ac:dyDescent="0.25">
      <c r="A8753" t="str">
        <f ca="1">IFERROR(__xludf.DUMMYFUNCTION("""COMPUTED_VALUE"""),"Thiourea")</f>
        <v>Thiourea</v>
      </c>
      <c r="B8753" t="str">
        <f ca="1">IFERROR(__xludf.DUMMYFUNCTION("""COMPUTED_VALUE"""),"RF-00000307-VET")</f>
        <v>RF-00000307-VET</v>
      </c>
    </row>
    <row r="8754" spans="1:2" ht="12.5" x14ac:dyDescent="0.25">
      <c r="A8754" t="str">
        <f ca="1">IFERROR(__xludf.DUMMYFUNCTION("""COMPUTED_VALUE"""),"Thiram (expressed as thiram)")</f>
        <v>Thiram (expressed as thiram)</v>
      </c>
      <c r="B8754" t="str">
        <f ca="1">IFERROR(__xludf.DUMMYFUNCTION("""COMPUTED_VALUE"""),"RF-0423-001-PPP")</f>
        <v>RF-0423-001-PPP</v>
      </c>
    </row>
    <row r="8755" spans="1:2" ht="12.5" x14ac:dyDescent="0.25">
      <c r="A8755" t="str">
        <f ca="1">IFERROR(__xludf.DUMMYFUNCTION("""COMPUTED_VALUE"""),"threonine")</f>
        <v>threonine</v>
      </c>
      <c r="B8755" t="str">
        <f ca="1">IFERROR(__xludf.DUMMYFUNCTION("""COMPUTED_VALUE"""),"RF-00000412-NTR")</f>
        <v>RF-00000412-NTR</v>
      </c>
    </row>
    <row r="8756" spans="1:2" ht="12.5" x14ac:dyDescent="0.25">
      <c r="A8756" t="str">
        <f ca="1">IFERROR(__xludf.DUMMYFUNCTION("""COMPUTED_VALUE"""),"Thymol")</f>
        <v>Thymol</v>
      </c>
      <c r="B8756" t="str">
        <f ca="1">IFERROR(__xludf.DUMMYFUNCTION("""COMPUTED_VALUE"""),"RF-0941-001-PPP")</f>
        <v>RF-0941-001-PPP</v>
      </c>
    </row>
    <row r="8757" spans="1:2" ht="12.5" x14ac:dyDescent="0.25">
      <c r="A8757" t="str">
        <f ca="1">IFERROR(__xludf.DUMMYFUNCTION("""COMPUTED_VALUE"""),"Tiamulin")</f>
        <v>Tiamulin</v>
      </c>
      <c r="B8757" t="str">
        <f ca="1">IFERROR(__xludf.DUMMYFUNCTION("""COMPUTED_VALUE"""),"RF-00000582-VET")</f>
        <v>RF-00000582-VET</v>
      </c>
    </row>
    <row r="8758" spans="1:2" ht="12.5" x14ac:dyDescent="0.25">
      <c r="A8758" t="str">
        <f ca="1">IFERROR(__xludf.DUMMYFUNCTION("""COMPUTED_VALUE"""),"Tick-borne encephalitis virus (TBE)")</f>
        <v>Tick-borne encephalitis virus (TBE)</v>
      </c>
      <c r="B8758" t="str">
        <f ca="1">IFERROR(__xludf.DUMMYFUNCTION("""COMPUTED_VALUE"""),"RF-00000218-MCG")</f>
        <v>RF-00000218-MCG</v>
      </c>
    </row>
    <row r="8759" spans="1:2" ht="12.5" x14ac:dyDescent="0.25">
      <c r="A8759" t="str">
        <f ca="1">IFERROR(__xludf.DUMMYFUNCTION("""COMPUTED_VALUE"""),"Tigecycline")</f>
        <v>Tigecycline</v>
      </c>
      <c r="B8759" t="str">
        <f ca="1">IFERROR(__xludf.DUMMYFUNCTION("""COMPUTED_VALUE"""),"RF-00000745-VET")</f>
        <v>RF-00000745-VET</v>
      </c>
    </row>
    <row r="8760" spans="1:2" ht="12.5" x14ac:dyDescent="0.25">
      <c r="A8760" t="str">
        <f ca="1">IFERROR(__xludf.DUMMYFUNCTION("""COMPUTED_VALUE"""),"Tilmicosin")</f>
        <v>Tilmicosin</v>
      </c>
      <c r="B8760" t="str">
        <f ca="1">IFERROR(__xludf.DUMMYFUNCTION("""COMPUTED_VALUE"""),"RF-00000584-VET")</f>
        <v>RF-00000584-VET</v>
      </c>
    </row>
    <row r="8761" spans="1:2" ht="12.5" x14ac:dyDescent="0.25">
      <c r="A8761" t="str">
        <f ca="1">IFERROR(__xludf.DUMMYFUNCTION("""COMPUTED_VALUE"""),"Tin (II) chloride")</f>
        <v>Tin (II) chloride</v>
      </c>
      <c r="B8761" t="str">
        <f ca="1">IFERROR(__xludf.DUMMYFUNCTION("""COMPUTED_VALUE"""),"RF-00000254-CHE")</f>
        <v>RF-00000254-CHE</v>
      </c>
    </row>
    <row r="8762" spans="1:2" ht="12.5" x14ac:dyDescent="0.25">
      <c r="A8762" t="str">
        <f ca="1">IFERROR(__xludf.DUMMYFUNCTION("""COMPUTED_VALUE"""),"Tin (II) difluoroborate")</f>
        <v>Tin (II) difluoroborate</v>
      </c>
      <c r="B8762" t="str">
        <f ca="1">IFERROR(__xludf.DUMMYFUNCTION("""COMPUTED_VALUE"""),"RF-00000264-CHE")</f>
        <v>RF-00000264-CHE</v>
      </c>
    </row>
    <row r="8763" spans="1:2" ht="12.5" x14ac:dyDescent="0.25">
      <c r="A8763" t="str">
        <f ca="1">IFERROR(__xludf.DUMMYFUNCTION("""COMPUTED_VALUE"""),"Tin (II) fluoride")</f>
        <v>Tin (II) fluoride</v>
      </c>
      <c r="B8763" t="str">
        <f ca="1">IFERROR(__xludf.DUMMYFUNCTION("""COMPUTED_VALUE"""),"RF-00000259-CHE")</f>
        <v>RF-00000259-CHE</v>
      </c>
    </row>
    <row r="8764" spans="1:2" ht="12.5" x14ac:dyDescent="0.25">
      <c r="A8764" t="str">
        <f ca="1">IFERROR(__xludf.DUMMYFUNCTION("""COMPUTED_VALUE"""),"Tin (II) oxide")</f>
        <v>Tin (II) oxide</v>
      </c>
      <c r="B8764" t="str">
        <f ca="1">IFERROR(__xludf.DUMMYFUNCTION("""COMPUTED_VALUE"""),"RF-00000257-CHE")</f>
        <v>RF-00000257-CHE</v>
      </c>
    </row>
    <row r="8765" spans="1:2" ht="12.5" x14ac:dyDescent="0.25">
      <c r="A8765" t="str">
        <f ca="1">IFERROR(__xludf.DUMMYFUNCTION("""COMPUTED_VALUE"""),"Tin (II) pyrophosphate")</f>
        <v>Tin (II) pyrophosphate</v>
      </c>
      <c r="B8765" t="str">
        <f ca="1">IFERROR(__xludf.DUMMYFUNCTION("""COMPUTED_VALUE"""),"RF-00000265-CHE")</f>
        <v>RF-00000265-CHE</v>
      </c>
    </row>
    <row r="8766" spans="1:2" ht="12.5" x14ac:dyDescent="0.25">
      <c r="A8766" t="str">
        <f ca="1">IFERROR(__xludf.DUMMYFUNCTION("""COMPUTED_VALUE"""),"Tin (IV) chloride")</f>
        <v>Tin (IV) chloride</v>
      </c>
      <c r="B8766" t="str">
        <f ca="1">IFERROR(__xludf.DUMMYFUNCTION("""COMPUTED_VALUE"""),"RF-00000255-CHE")</f>
        <v>RF-00000255-CHE</v>
      </c>
    </row>
    <row r="8767" spans="1:2" ht="12.5" x14ac:dyDescent="0.25">
      <c r="A8767" t="str">
        <f ca="1">IFERROR(__xludf.DUMMYFUNCTION("""COMPUTED_VALUE"""),"Tin (IV) oxide")</f>
        <v>Tin (IV) oxide</v>
      </c>
      <c r="B8767" t="str">
        <f ca="1">IFERROR(__xludf.DUMMYFUNCTION("""COMPUTED_VALUE"""),"RF-00000258-CHE")</f>
        <v>RF-00000258-CHE</v>
      </c>
    </row>
    <row r="8768" spans="1:2" ht="12.5" x14ac:dyDescent="0.25">
      <c r="A8768" t="str">
        <f ca="1">IFERROR(__xludf.DUMMYFUNCTION("""COMPUTED_VALUE"""),"Tin (Sn) (Total)")</f>
        <v>Tin (Sn) (Total)</v>
      </c>
      <c r="B8768" t="str">
        <f ca="1">IFERROR(__xludf.DUMMYFUNCTION("""COMPUTED_VALUE"""),"RF-00000193-CHE")</f>
        <v>RF-00000193-CHE</v>
      </c>
    </row>
    <row r="8769" spans="1:2" ht="12.5" x14ac:dyDescent="0.25">
      <c r="A8769" t="str">
        <f ca="1">IFERROR(__xludf.DUMMYFUNCTION("""COMPUTED_VALUE"""),"Tin and derivatives")</f>
        <v>Tin and derivatives</v>
      </c>
      <c r="B8769" t="str">
        <f ca="1">IFERROR(__xludf.DUMMYFUNCTION("""COMPUTED_VALUE"""),"RF-00000192-CHE")</f>
        <v>RF-00000192-CHE</v>
      </c>
    </row>
    <row r="8770" spans="1:2" ht="12.5" x14ac:dyDescent="0.25">
      <c r="A8770" t="str">
        <f ca="1">IFERROR(__xludf.DUMMYFUNCTION("""COMPUTED_VALUE"""),"Tinidazole")</f>
        <v>Tinidazole</v>
      </c>
      <c r="B8770" t="str">
        <f ca="1">IFERROR(__xludf.DUMMYFUNCTION("""COMPUTED_VALUE"""),"RF-00000086-VET")</f>
        <v>RF-00000086-VET</v>
      </c>
    </row>
    <row r="8771" spans="1:2" ht="12.5" x14ac:dyDescent="0.25">
      <c r="A8771" t="str">
        <f ca="1">IFERROR(__xludf.DUMMYFUNCTION("""COMPUTED_VALUE"""),"Tiocarbazil")</f>
        <v>Tiocarbazil</v>
      </c>
      <c r="B8771" t="str">
        <f ca="1">IFERROR(__xludf.DUMMYFUNCTION("""COMPUTED_VALUE"""),"RF-0942-001-PPP")</f>
        <v>RF-0942-001-PPP</v>
      </c>
    </row>
    <row r="8772" spans="1:2" ht="12.5" x14ac:dyDescent="0.25">
      <c r="A8772" t="str">
        <f ca="1">IFERROR(__xludf.DUMMYFUNCTION("""COMPUTED_VALUE"""),"Titanium (Ti)")</f>
        <v>Titanium (Ti)</v>
      </c>
      <c r="B8772" t="str">
        <f ca="1">IFERROR(__xludf.DUMMYFUNCTION("""COMPUTED_VALUE"""),"RF-00000195-CHE")</f>
        <v>RF-00000195-CHE</v>
      </c>
    </row>
    <row r="8773" spans="1:2" ht="12.5" x14ac:dyDescent="0.25">
      <c r="A8773" t="str">
        <f ca="1">IFERROR(__xludf.DUMMYFUNCTION("""COMPUTED_VALUE"""),"Titanium and derivatives")</f>
        <v>Titanium and derivatives</v>
      </c>
      <c r="B8773" t="str">
        <f ca="1">IFERROR(__xludf.DUMMYFUNCTION("""COMPUTED_VALUE"""),"RF-00000194-CHE")</f>
        <v>RF-00000194-CHE</v>
      </c>
    </row>
    <row r="8774" spans="1:2" ht="12.5" x14ac:dyDescent="0.25">
      <c r="A8774" t="str">
        <f ca="1">IFERROR(__xludf.DUMMYFUNCTION("""COMPUTED_VALUE"""),"Titanium dioxide")</f>
        <v>Titanium dioxide</v>
      </c>
      <c r="B8774" t="str">
        <f ca="1">IFERROR(__xludf.DUMMYFUNCTION("""COMPUTED_VALUE"""),"RF-00000335-ADD")</f>
        <v>RF-00000335-ADD</v>
      </c>
    </row>
    <row r="8775" spans="1:2" ht="12.5" x14ac:dyDescent="0.25">
      <c r="A8775" t="str">
        <f ca="1">IFERROR(__xludf.DUMMYFUNCTION("""COMPUTED_VALUE"""),"Tobramycin")</f>
        <v>Tobramycin</v>
      </c>
      <c r="B8775" t="str">
        <f ca="1">IFERROR(__xludf.DUMMYFUNCTION("""COMPUTED_VALUE"""),"RF-00000704-VET")</f>
        <v>RF-00000704-VET</v>
      </c>
    </row>
    <row r="8776" spans="1:2" ht="12.5" x14ac:dyDescent="0.25">
      <c r="A8776" t="str">
        <f ca="1">IFERROR(__xludf.DUMMYFUNCTION("""COMPUTED_VALUE"""),"Tocopherol-rich extract")</f>
        <v>Tocopherol-rich extract</v>
      </c>
      <c r="B8776" t="str">
        <f ca="1">IFERROR(__xludf.DUMMYFUNCTION("""COMPUTED_VALUE"""),"RF-00000336-ADD")</f>
        <v>RF-00000336-ADD</v>
      </c>
    </row>
    <row r="8777" spans="1:2" ht="12.5" x14ac:dyDescent="0.25">
      <c r="A8777" t="str">
        <f ca="1">IFERROR(__xludf.DUMMYFUNCTION("""COMPUTED_VALUE"""),"tocopherols, total")</f>
        <v>tocopherols, total</v>
      </c>
      <c r="B8777" t="str">
        <f ca="1">IFERROR(__xludf.DUMMYFUNCTION("""COMPUTED_VALUE"""),"RF-00000413-NTR")</f>
        <v>RF-00000413-NTR</v>
      </c>
    </row>
    <row r="8778" spans="1:2" ht="12.5" x14ac:dyDescent="0.25">
      <c r="A8778" t="str">
        <f ca="1">IFERROR(__xludf.DUMMYFUNCTION("""COMPUTED_VALUE"""),"tocotrienols, total")</f>
        <v>tocotrienols, total</v>
      </c>
      <c r="B8778" t="str">
        <f ca="1">IFERROR(__xludf.DUMMYFUNCTION("""COMPUTED_VALUE"""),"RF-00000414-NTR")</f>
        <v>RF-00000414-NTR</v>
      </c>
    </row>
    <row r="8779" spans="1:2" ht="12.5" x14ac:dyDescent="0.25">
      <c r="A8779" t="str">
        <f ca="1">IFERROR(__xludf.DUMMYFUNCTION("""COMPUTED_VALUE"""),"Tolclofos-methyl")</f>
        <v>Tolclofos-methyl</v>
      </c>
      <c r="B8779" t="str">
        <f ca="1">IFERROR(__xludf.DUMMYFUNCTION("""COMPUTED_VALUE"""),"RF-0424-001-PPP")</f>
        <v>RF-0424-001-PPP</v>
      </c>
    </row>
    <row r="8780" spans="1:2" ht="12.5" x14ac:dyDescent="0.25">
      <c r="A8780" t="str">
        <f ca="1">IFERROR(__xludf.DUMMYFUNCTION("""COMPUTED_VALUE"""),"Tolfenamic acid")</f>
        <v>Tolfenamic acid</v>
      </c>
      <c r="B8780" t="str">
        <f ca="1">IFERROR(__xludf.DUMMYFUNCTION("""COMPUTED_VALUE"""),"RF-00000235-VET")</f>
        <v>RF-00000235-VET</v>
      </c>
    </row>
    <row r="8781" spans="1:2" ht="12.5" x14ac:dyDescent="0.25">
      <c r="A8781" t="str">
        <f ca="1">IFERROR(__xludf.DUMMYFUNCTION("""COMPUTED_VALUE"""),"Tolfenpyrad")</f>
        <v>Tolfenpyrad</v>
      </c>
      <c r="B8781" t="str">
        <f ca="1">IFERROR(__xludf.DUMMYFUNCTION("""COMPUTED_VALUE"""),"RF-0943-001-PPP")</f>
        <v>RF-0943-001-PPP</v>
      </c>
    </row>
    <row r="8782" spans="1:2" ht="12.5" x14ac:dyDescent="0.25">
      <c r="A8782" t="str">
        <f ca="1">IFERROR(__xludf.DUMMYFUNCTION("""COMPUTED_VALUE"""),"Tolmetin")</f>
        <v>Tolmetin</v>
      </c>
      <c r="B8782" t="str">
        <f ca="1">IFERROR(__xludf.DUMMYFUNCTION("""COMPUTED_VALUE"""),"RF-00000208-VET")</f>
        <v>RF-00000208-VET</v>
      </c>
    </row>
    <row r="8783" spans="1:2" ht="12.5" x14ac:dyDescent="0.25">
      <c r="A8783" t="str">
        <f ca="1">IFERROR(__xludf.DUMMYFUNCTION("""COMPUTED_VALUE"""),"Toltrazuril")</f>
        <v>Toltrazuril</v>
      </c>
      <c r="B8783" t="str">
        <f ca="1">IFERROR(__xludf.DUMMYFUNCTION("""COMPUTED_VALUE"""),"RF-00000064-VET")</f>
        <v>RF-00000064-VET</v>
      </c>
    </row>
    <row r="8784" spans="1:2" ht="12.5" x14ac:dyDescent="0.25">
      <c r="A8784" t="str">
        <f ca="1">IFERROR(__xludf.DUMMYFUNCTION("""COMPUTED_VALUE"""),"Toltrazuril sulfoxide")</f>
        <v>Toltrazuril sulfoxide</v>
      </c>
      <c r="B8784" t="str">
        <f ca="1">IFERROR(__xludf.DUMMYFUNCTION("""COMPUTED_VALUE"""),"RF-00000063-VET")</f>
        <v>RF-00000063-VET</v>
      </c>
    </row>
    <row r="8785" spans="1:2" ht="12.5" x14ac:dyDescent="0.25">
      <c r="A8785" t="str">
        <f ca="1">IFERROR(__xludf.DUMMYFUNCTION("""COMPUTED_VALUE"""),"Toltrazurilsulfon")</f>
        <v>Toltrazurilsulfon</v>
      </c>
      <c r="B8785" t="str">
        <f ca="1">IFERROR(__xludf.DUMMYFUNCTION("""COMPUTED_VALUE"""),"RF-00000061-VET")</f>
        <v>RF-00000061-VET</v>
      </c>
    </row>
    <row r="8786" spans="1:2" ht="12.5" x14ac:dyDescent="0.25">
      <c r="A8786" t="str">
        <f ca="1">IFERROR(__xludf.DUMMYFUNCTION("""COMPUTED_VALUE"""),"Tolylfluanid")</f>
        <v>Tolylfluanid</v>
      </c>
      <c r="B8786" t="str">
        <f ca="1">IFERROR(__xludf.DUMMYFUNCTION("""COMPUTED_VALUE"""),"RF-0425-002-PPP")</f>
        <v>RF-0425-002-PPP</v>
      </c>
    </row>
    <row r="8787" spans="1:2" ht="12.5" x14ac:dyDescent="0.25">
      <c r="A8787" t="str">
        <f ca="1">IFERROR(__xludf.DUMMYFUNCTION("""COMPUTED_VALUE"""),"Tolylfluanid (Sum of tolylfluanid and dimethylaminosulfotoluidide expressed as tolylfluanid)")</f>
        <v>Tolylfluanid (Sum of tolylfluanid and dimethylaminosulfotoluidide expressed as tolylfluanid)</v>
      </c>
      <c r="B8787" t="str">
        <f ca="1">IFERROR(__xludf.DUMMYFUNCTION("""COMPUTED_VALUE"""),"RF-0425-001-PPP")</f>
        <v>RF-0425-001-PPP</v>
      </c>
    </row>
    <row r="8788" spans="1:2" ht="12.5" x14ac:dyDescent="0.25">
      <c r="A8788" t="str">
        <f ca="1">IFERROR(__xludf.DUMMYFUNCTION("""COMPUTED_VALUE"""),"Tolylfluanid analysed as dimethylaminosulfotoluidide and expressed as tolylfluanid")</f>
        <v>Tolylfluanid analysed as dimethylaminosulfotoluidide and expressed as tolylfluanid</v>
      </c>
      <c r="B8788" t="str">
        <f ca="1">IFERROR(__xludf.DUMMYFUNCTION("""COMPUTED_VALUE"""),"RF-1007-001-PPP")</f>
        <v>RF-1007-001-PPP</v>
      </c>
    </row>
    <row r="8789" spans="1:2" ht="12.5" x14ac:dyDescent="0.25">
      <c r="A8789" t="str">
        <f ca="1">IFERROR(__xludf.DUMMYFUNCTION("""COMPUTED_VALUE"""),"Topramezone  (BAS 670H)")</f>
        <v>Topramezone  (BAS 670H)</v>
      </c>
      <c r="B8789" t="str">
        <f ca="1">IFERROR(__xludf.DUMMYFUNCTION("""COMPUTED_VALUE"""),"RF-0426-001-PPP")</f>
        <v>RF-0426-001-PPP</v>
      </c>
    </row>
    <row r="8790" spans="1:2" ht="12.5" x14ac:dyDescent="0.25">
      <c r="A8790" t="str">
        <f ca="1">IFERROR(__xludf.DUMMYFUNCTION("""COMPUTED_VALUE"""),"Total Arsenic")</f>
        <v>Total Arsenic</v>
      </c>
      <c r="B8790" t="str">
        <f ca="1">IFERROR(__xludf.DUMMYFUNCTION("""COMPUTED_VALUE"""),"RF-00000129-CHE")</f>
        <v>RF-00000129-CHE</v>
      </c>
    </row>
    <row r="8791" spans="1:2" ht="12.5" x14ac:dyDescent="0.25">
      <c r="A8791" t="str">
        <f ca="1">IFERROR(__xludf.DUMMYFUNCTION("""COMPUTED_VALUE"""),"Total boron")</f>
        <v>Total boron</v>
      </c>
      <c r="B8791" t="str">
        <f ca="1">IFERROR(__xludf.DUMMYFUNCTION("""COMPUTED_VALUE"""),"RF-00000148-CHE")</f>
        <v>RF-00000148-CHE</v>
      </c>
    </row>
    <row r="8792" spans="1:2" ht="12.5" x14ac:dyDescent="0.25">
      <c r="A8792" t="str">
        <f ca="1">IFERROR(__xludf.DUMMYFUNCTION("""COMPUTED_VALUE"""),"Total calcium")</f>
        <v>Total calcium</v>
      </c>
      <c r="B8792" t="str">
        <f ca="1">IFERROR(__xludf.DUMMYFUNCTION("""COMPUTED_VALUE"""),"RF-00000011-CHE")</f>
        <v>RF-00000011-CHE</v>
      </c>
    </row>
    <row r="8793" spans="1:2" ht="12.5" x14ac:dyDescent="0.25">
      <c r="A8793" t="str">
        <f ca="1">IFERROR(__xludf.DUMMYFUNCTION("""COMPUTED_VALUE"""),"Total Chromium")</f>
        <v>Total Chromium</v>
      </c>
      <c r="B8793" t="str">
        <f ca="1">IFERROR(__xludf.DUMMYFUNCTION("""COMPUTED_VALUE"""),"RF-00000154-CHE")</f>
        <v>RF-00000154-CHE</v>
      </c>
    </row>
    <row r="8794" spans="1:2" ht="12.5" x14ac:dyDescent="0.25">
      <c r="A8794" t="str">
        <f ca="1">IFERROR(__xludf.DUMMYFUNCTION("""COMPUTED_VALUE"""),"Total copper")</f>
        <v>Total copper</v>
      </c>
      <c r="B8794" t="str">
        <f ca="1">IFERROR(__xludf.DUMMYFUNCTION("""COMPUTED_VALUE"""),"RF-00000168-CHE")</f>
        <v>RF-00000168-CHE</v>
      </c>
    </row>
    <row r="8795" spans="1:2" ht="12.5" x14ac:dyDescent="0.25">
      <c r="A8795" t="str">
        <f ca="1">IFERROR(__xludf.DUMMYFUNCTION("""COMPUTED_VALUE"""),"Total iron")</f>
        <v>Total iron</v>
      </c>
      <c r="B8795" t="str">
        <f ca="1">IFERROR(__xludf.DUMMYFUNCTION("""COMPUTED_VALUE"""),"RF-00000165-CHE")</f>
        <v>RF-00000165-CHE</v>
      </c>
    </row>
    <row r="8796" spans="1:2" ht="12.5" x14ac:dyDescent="0.25">
      <c r="A8796" t="str">
        <f ca="1">IFERROR(__xludf.DUMMYFUNCTION("""COMPUTED_VALUE"""),"Total magnesium")</f>
        <v>Total magnesium</v>
      </c>
      <c r="B8796" t="str">
        <f ca="1">IFERROR(__xludf.DUMMYFUNCTION("""COMPUTED_VALUE"""),"RF-00000064-CHE")</f>
        <v>RF-00000064-CHE</v>
      </c>
    </row>
    <row r="8797" spans="1:2" ht="12.5" x14ac:dyDescent="0.25">
      <c r="A8797" t="str">
        <f ca="1">IFERROR(__xludf.DUMMYFUNCTION("""COMPUTED_VALUE"""),"Total manganese")</f>
        <v>Total manganese</v>
      </c>
      <c r="B8797" t="str">
        <f ca="1">IFERROR(__xludf.DUMMYFUNCTION("""COMPUTED_VALUE"""),"RF-00000177-CHE")</f>
        <v>RF-00000177-CHE</v>
      </c>
    </row>
    <row r="8798" spans="1:2" ht="12.5" x14ac:dyDescent="0.25">
      <c r="A8798" t="str">
        <f ca="1">IFERROR(__xludf.DUMMYFUNCTION("""COMPUTED_VALUE"""),"Total mercury")</f>
        <v>Total mercury</v>
      </c>
      <c r="B8798" t="str">
        <f ca="1">IFERROR(__xludf.DUMMYFUNCTION("""COMPUTED_VALUE"""),"RF-00000170-CHE")</f>
        <v>RF-00000170-CHE</v>
      </c>
    </row>
    <row r="8799" spans="1:2" ht="12.5" x14ac:dyDescent="0.25">
      <c r="A8799" t="str">
        <f ca="1">IFERROR(__xludf.DUMMYFUNCTION("""COMPUTED_VALUE"""),"Total Molybdenum")</f>
        <v>Total Molybdenum</v>
      </c>
      <c r="B8799" t="str">
        <f ca="1">IFERROR(__xludf.DUMMYFUNCTION("""COMPUTED_VALUE"""),"RF-00000180-CHE")</f>
        <v>RF-00000180-CHE</v>
      </c>
    </row>
    <row r="8800" spans="1:2" ht="12.5" x14ac:dyDescent="0.25">
      <c r="A8800" t="str">
        <f ca="1">IFERROR(__xludf.DUMMYFUNCTION("""COMPUTED_VALUE"""),"Total nitrogen")</f>
        <v>Total nitrogen</v>
      </c>
      <c r="B8800" t="str">
        <f ca="1">IFERROR(__xludf.DUMMYFUNCTION("""COMPUTED_VALUE"""),"RF-00000096-CHE")</f>
        <v>RF-00000096-CHE</v>
      </c>
    </row>
    <row r="8801" spans="1:2" ht="12.5" x14ac:dyDescent="0.25">
      <c r="A8801" t="str">
        <f ca="1">IFERROR(__xludf.DUMMYFUNCTION("""COMPUTED_VALUE"""),"Total Phosphorus")</f>
        <v>Total Phosphorus</v>
      </c>
      <c r="B8801" t="str">
        <f ca="1">IFERROR(__xludf.DUMMYFUNCTION("""COMPUTED_VALUE"""),"RF-00000045-CHE")</f>
        <v>RF-00000045-CHE</v>
      </c>
    </row>
    <row r="8802" spans="1:2" ht="12.5" x14ac:dyDescent="0.25">
      <c r="A8802" t="str">
        <f ca="1">IFERROR(__xludf.DUMMYFUNCTION("""COMPUTED_VALUE"""),"Total Potassium")</f>
        <v>Total Potassium</v>
      </c>
      <c r="B8802" t="str">
        <f ca="1">IFERROR(__xludf.DUMMYFUNCTION("""COMPUTED_VALUE"""),"RF-00000057-CHE")</f>
        <v>RF-00000057-CHE</v>
      </c>
    </row>
    <row r="8803" spans="1:2" ht="12.5" x14ac:dyDescent="0.25">
      <c r="A8803" t="str">
        <f ca="1">IFERROR(__xludf.DUMMYFUNCTION("""COMPUTED_VALUE"""),"Total Selenium")</f>
        <v>Total Selenium</v>
      </c>
      <c r="B8803" t="str">
        <f ca="1">IFERROR(__xludf.DUMMYFUNCTION("""COMPUTED_VALUE"""),"RF-00000186-CHE")</f>
        <v>RF-00000186-CHE</v>
      </c>
    </row>
    <row r="8804" spans="1:2" ht="12.5" x14ac:dyDescent="0.25">
      <c r="A8804" t="str">
        <f ca="1">IFERROR(__xludf.DUMMYFUNCTION("""COMPUTED_VALUE"""),"Total silicon")</f>
        <v>Total silicon</v>
      </c>
      <c r="B8804" t="str">
        <f ca="1">IFERROR(__xludf.DUMMYFUNCTION("""COMPUTED_VALUE"""),"RF-00000073-CHE")</f>
        <v>RF-00000073-CHE</v>
      </c>
    </row>
    <row r="8805" spans="1:2" ht="12.5" x14ac:dyDescent="0.25">
      <c r="A8805" t="str">
        <f ca="1">IFERROR(__xludf.DUMMYFUNCTION("""COMPUTED_VALUE"""),"Total silicon oxide")</f>
        <v>Total silicon oxide</v>
      </c>
      <c r="B8805" t="str">
        <f ca="1">IFERROR(__xludf.DUMMYFUNCTION("""COMPUTED_VALUE"""),"RF-00000074-CHE")</f>
        <v>RF-00000074-CHE</v>
      </c>
    </row>
    <row r="8806" spans="1:2" ht="12.5" x14ac:dyDescent="0.25">
      <c r="A8806" t="str">
        <f ca="1">IFERROR(__xludf.DUMMYFUNCTION("""COMPUTED_VALUE"""),"Total sodium")</f>
        <v>Total sodium</v>
      </c>
      <c r="B8806" t="str">
        <f ca="1">IFERROR(__xludf.DUMMYFUNCTION("""COMPUTED_VALUE"""),"RF-00000070-CHE")</f>
        <v>RF-00000070-CHE</v>
      </c>
    </row>
    <row r="8807" spans="1:2" ht="12.5" x14ac:dyDescent="0.25">
      <c r="A8807" t="str">
        <f ca="1">IFERROR(__xludf.DUMMYFUNCTION("""COMPUTED_VALUE"""),"Total sulfur")</f>
        <v>Total sulfur</v>
      </c>
      <c r="B8807" t="str">
        <f ca="1">IFERROR(__xludf.DUMMYFUNCTION("""COMPUTED_VALUE"""),"RF-00000116-CHE")</f>
        <v>RF-00000116-CHE</v>
      </c>
    </row>
    <row r="8808" spans="1:2" ht="12.5" x14ac:dyDescent="0.25">
      <c r="A8808" t="str">
        <f ca="1">IFERROR(__xludf.DUMMYFUNCTION("""COMPUTED_VALUE"""),"Total sulfur present in various forms")</f>
        <v>Total sulfur present in various forms</v>
      </c>
      <c r="B8808" t="str">
        <f ca="1">IFERROR(__xludf.DUMMYFUNCTION("""COMPUTED_VALUE"""),"RF-00000115-CHE")</f>
        <v>RF-00000115-CHE</v>
      </c>
    </row>
    <row r="8809" spans="1:2" ht="12.5" x14ac:dyDescent="0.25">
      <c r="A8809" t="str">
        <f ca="1">IFERROR(__xludf.DUMMYFUNCTION("""COMPUTED_VALUE"""),"Total sulfur soluble in water, present as sulphates")</f>
        <v>Total sulfur soluble in water, present as sulphates</v>
      </c>
      <c r="B8809" t="str">
        <f ca="1">IFERROR(__xludf.DUMMYFUNCTION("""COMPUTED_VALUE"""),"RF-00000120-CHE")</f>
        <v>RF-00000120-CHE</v>
      </c>
    </row>
    <row r="8810" spans="1:2" ht="12.5" x14ac:dyDescent="0.25">
      <c r="A8810" t="str">
        <f ca="1">IFERROR(__xludf.DUMMYFUNCTION("""COMPUTED_VALUE"""),"TOTAL TEQ Dioxin-like PCB L")</f>
        <v>TOTAL TEQ Dioxin-like PCB L</v>
      </c>
      <c r="B8810" t="str">
        <f ca="1">IFERROR(__xludf.DUMMYFUNCTION("""COMPUTED_VALUE"""),"RF-00000467-ORG")</f>
        <v>RF-00000467-ORG</v>
      </c>
    </row>
    <row r="8811" spans="1:2" ht="12.5" x14ac:dyDescent="0.25">
      <c r="A8811" t="str">
        <f ca="1">IFERROR(__xludf.DUMMYFUNCTION("""COMPUTED_VALUE"""),"TOTAL TEQ Dioxin-like PCB U")</f>
        <v>TOTAL TEQ Dioxin-like PCB U</v>
      </c>
      <c r="B8811" t="str">
        <f ca="1">IFERROR(__xludf.DUMMYFUNCTION("""COMPUTED_VALUE"""),"RF-00000468-ORG")</f>
        <v>RF-00000468-ORG</v>
      </c>
    </row>
    <row r="8812" spans="1:2" ht="12.5" x14ac:dyDescent="0.25">
      <c r="A8812" t="str">
        <f ca="1">IFERROR(__xludf.DUMMYFUNCTION("""COMPUTED_VALUE"""),"Total zinc")</f>
        <v>Total zinc</v>
      </c>
      <c r="B8812" t="str">
        <f ca="1">IFERROR(__xludf.DUMMYFUNCTION("""COMPUTED_VALUE"""),"RF-00000206-CHE")</f>
        <v>RF-00000206-CHE</v>
      </c>
    </row>
    <row r="8813" spans="1:2" ht="12.5" x14ac:dyDescent="0.25">
      <c r="A8813" t="str">
        <f ca="1">IFERROR(__xludf.DUMMYFUNCTION("""COMPUTED_VALUE"""),"toxigenic V. cholerae")</f>
        <v>toxigenic V. cholerae</v>
      </c>
      <c r="B8813" t="str">
        <f ca="1">IFERROR(__xludf.DUMMYFUNCTION("""COMPUTED_VALUE"""),"RF-00002529-MCG")</f>
        <v>RF-00002529-MCG</v>
      </c>
    </row>
    <row r="8814" spans="1:2" ht="12.5" x14ac:dyDescent="0.25">
      <c r="A8814" t="str">
        <f ca="1">IFERROR(__xludf.DUMMYFUNCTION("""COMPUTED_VALUE"""),"toxigenic V. parahaemolyticus")</f>
        <v>toxigenic V. parahaemolyticus</v>
      </c>
      <c r="B8814" t="str">
        <f ca="1">IFERROR(__xludf.DUMMYFUNCTION("""COMPUTED_VALUE"""),"RF-00002527-MCG")</f>
        <v>RF-00002527-MCG</v>
      </c>
    </row>
    <row r="8815" spans="1:2" ht="12.5" x14ac:dyDescent="0.25">
      <c r="A8815" t="str">
        <f ca="1">IFERROR(__xludf.DUMMYFUNCTION("""COMPUTED_VALUE"""),"Toxins")</f>
        <v>Toxins</v>
      </c>
      <c r="B8815" t="str">
        <f ca="1">IFERROR(__xludf.DUMMYFUNCTION("""COMPUTED_VALUE"""),"RF-00000001-TOX")</f>
        <v>RF-00000001-TOX</v>
      </c>
    </row>
    <row r="8816" spans="1:2" ht="12.5" x14ac:dyDescent="0.25">
      <c r="A8816" t="str">
        <f ca="1">IFERROR(__xludf.DUMMYFUNCTION("""COMPUTED_VALUE"""),"Toxins, unspecified")</f>
        <v>Toxins, unspecified</v>
      </c>
      <c r="B8816" t="str">
        <f ca="1">IFERROR(__xludf.DUMMYFUNCTION("""COMPUTED_VALUE"""),"RF-00000454-TOX")</f>
        <v>RF-00000454-TOX</v>
      </c>
    </row>
    <row r="8817" spans="1:2" ht="12.5" x14ac:dyDescent="0.25">
      <c r="A8817" t="str">
        <f ca="1">IFERROR(__xludf.DUMMYFUNCTION("""COMPUTED_VALUE"""),"Toxocara")</f>
        <v>Toxocara</v>
      </c>
      <c r="B8817" t="str">
        <f ca="1">IFERROR(__xludf.DUMMYFUNCTION("""COMPUTED_VALUE"""),"RF-00002509-MCG")</f>
        <v>RF-00002509-MCG</v>
      </c>
    </row>
    <row r="8818" spans="1:2" ht="12.5" x14ac:dyDescent="0.25">
      <c r="A8818" t="str">
        <f ca="1">IFERROR(__xludf.DUMMYFUNCTION("""COMPUTED_VALUE"""),"Toxocara canis")</f>
        <v>Toxocara canis</v>
      </c>
      <c r="B8818" t="str">
        <f ca="1">IFERROR(__xludf.DUMMYFUNCTION("""COMPUTED_VALUE"""),"RF-00002511-MCG")</f>
        <v>RF-00002511-MCG</v>
      </c>
    </row>
    <row r="8819" spans="1:2" ht="12.5" x14ac:dyDescent="0.25">
      <c r="A8819" t="str">
        <f ca="1">IFERROR(__xludf.DUMMYFUNCTION("""COMPUTED_VALUE"""),"Toxocara spp., unspecified")</f>
        <v>Toxocara spp., unspecified</v>
      </c>
      <c r="B8819" t="str">
        <f ca="1">IFERROR(__xludf.DUMMYFUNCTION("""COMPUTED_VALUE"""),"RF-00002510-MCG")</f>
        <v>RF-00002510-MCG</v>
      </c>
    </row>
    <row r="8820" spans="1:2" ht="12.5" x14ac:dyDescent="0.25">
      <c r="A8820" t="str">
        <f ca="1">IFERROR(__xludf.DUMMYFUNCTION("""COMPUTED_VALUE"""),"Toxoplasma")</f>
        <v>Toxoplasma</v>
      </c>
      <c r="B8820" t="str">
        <f ca="1">IFERROR(__xludf.DUMMYFUNCTION("""COMPUTED_VALUE"""),"RF-00002512-MCG")</f>
        <v>RF-00002512-MCG</v>
      </c>
    </row>
    <row r="8821" spans="1:2" ht="12.5" x14ac:dyDescent="0.25">
      <c r="A8821" t="str">
        <f ca="1">IFERROR(__xludf.DUMMYFUNCTION("""COMPUTED_VALUE"""),"Toxoplasma gondii")</f>
        <v>Toxoplasma gondii</v>
      </c>
      <c r="B8821" t="str">
        <f ca="1">IFERROR(__xludf.DUMMYFUNCTION("""COMPUTED_VALUE"""),"RF-00002514-MCG")</f>
        <v>RF-00002514-MCG</v>
      </c>
    </row>
    <row r="8822" spans="1:2" ht="12.5" x14ac:dyDescent="0.25">
      <c r="A8822" t="str">
        <f ca="1">IFERROR(__xludf.DUMMYFUNCTION("""COMPUTED_VALUE"""),"Toxoplasma spp., unspecified")</f>
        <v>Toxoplasma spp., unspecified</v>
      </c>
      <c r="B8822" t="str">
        <f ca="1">IFERROR(__xludf.DUMMYFUNCTION("""COMPUTED_VALUE"""),"RF-00002513-MCG")</f>
        <v>RF-00002513-MCG</v>
      </c>
    </row>
    <row r="8823" spans="1:2" ht="12.5" x14ac:dyDescent="0.25">
      <c r="A8823" t="str">
        <f ca="1">IFERROR(__xludf.DUMMYFUNCTION("""COMPUTED_VALUE"""),"Trachelanthamine")</f>
        <v>Trachelanthamine</v>
      </c>
      <c r="B8823" t="str">
        <f ca="1">IFERROR(__xludf.DUMMYFUNCTION("""COMPUTED_VALUE"""),"RF-00000305-TOX")</f>
        <v>RF-00000305-TOX</v>
      </c>
    </row>
    <row r="8824" spans="1:2" ht="12.5" x14ac:dyDescent="0.25">
      <c r="A8824" t="str">
        <f ca="1">IFERROR(__xludf.DUMMYFUNCTION("""COMPUTED_VALUE"""),"Tragacanth")</f>
        <v>Tragacanth</v>
      </c>
      <c r="B8824" t="str">
        <f ca="1">IFERROR(__xludf.DUMMYFUNCTION("""COMPUTED_VALUE"""),"RF-00000337-ADD")</f>
        <v>RF-00000337-ADD</v>
      </c>
    </row>
    <row r="8825" spans="1:2" ht="12.5" x14ac:dyDescent="0.25">
      <c r="A8825" t="str">
        <f ca="1">IFERROR(__xludf.DUMMYFUNCTION("""COMPUTED_VALUE"""),"Tralkoxydim")</f>
        <v>Tralkoxydim</v>
      </c>
      <c r="B8825" t="str">
        <f ca="1">IFERROR(__xludf.DUMMYFUNCTION("""COMPUTED_VALUE"""),"RF-0427-001-PPP")</f>
        <v>RF-0427-001-PPP</v>
      </c>
    </row>
    <row r="8826" spans="1:2" ht="12.5" x14ac:dyDescent="0.25">
      <c r="A8826" t="str">
        <f ca="1">IFERROR(__xludf.DUMMYFUNCTION("""COMPUTED_VALUE"""),"Tralomethrin")</f>
        <v>Tralomethrin</v>
      </c>
      <c r="B8826" t="str">
        <f ca="1">IFERROR(__xludf.DUMMYFUNCTION("""COMPUTED_VALUE"""),"RF-0944-001-PPP")</f>
        <v>RF-0944-001-PPP</v>
      </c>
    </row>
    <row r="8827" spans="1:2" ht="12.5" x14ac:dyDescent="0.25">
      <c r="A8827" t="str">
        <f ca="1">IFERROR(__xludf.DUMMYFUNCTION("""COMPUTED_VALUE"""),"Trans-permethrin")</f>
        <v>Trans-permethrin</v>
      </c>
      <c r="B8827" t="str">
        <f ca="1">IFERROR(__xludf.DUMMYFUNCTION("""COMPUTED_VALUE"""),"RF-0975-001-PPP")</f>
        <v>RF-0975-001-PPP</v>
      </c>
    </row>
    <row r="8828" spans="1:2" ht="12.5" x14ac:dyDescent="0.25">
      <c r="A8828" t="str">
        <f ca="1">IFERROR(__xludf.DUMMYFUNCTION("""COMPUTED_VALUE"""),"Transfluthrin")</f>
        <v>Transfluthrin</v>
      </c>
      <c r="B8828" t="str">
        <f ca="1">IFERROR(__xludf.DUMMYFUNCTION("""COMPUTED_VALUE"""),"RF-0945-001-PPP")</f>
        <v>RF-0945-001-PPP</v>
      </c>
    </row>
    <row r="8829" spans="1:2" ht="12.5" x14ac:dyDescent="0.25">
      <c r="A8829" t="str">
        <f ca="1">IFERROR(__xludf.DUMMYFUNCTION("""COMPUTED_VALUE"""),"trehalose")</f>
        <v>trehalose</v>
      </c>
      <c r="B8829" t="str">
        <f ca="1">IFERROR(__xludf.DUMMYFUNCTION("""COMPUTED_VALUE"""),"RF-00000415-NTR")</f>
        <v>RF-00000415-NTR</v>
      </c>
    </row>
    <row r="8830" spans="1:2" ht="12.5" x14ac:dyDescent="0.25">
      <c r="A8830" t="str">
        <f ca="1">IFERROR(__xludf.DUMMYFUNCTION("""COMPUTED_VALUE"""),"Trenbolone")</f>
        <v>Trenbolone</v>
      </c>
      <c r="B8830" t="str">
        <f ca="1">IFERROR(__xludf.DUMMYFUNCTION("""COMPUTED_VALUE"""),"RF-00000430-VET")</f>
        <v>RF-00000430-VET</v>
      </c>
    </row>
    <row r="8831" spans="1:2" ht="12.5" x14ac:dyDescent="0.25">
      <c r="A8831" t="str">
        <f ca="1">IFERROR(__xludf.DUMMYFUNCTION("""COMPUTED_VALUE"""),"Trenbolone acetate")</f>
        <v>Trenbolone acetate</v>
      </c>
      <c r="B8831" t="str">
        <f ca="1">IFERROR(__xludf.DUMMYFUNCTION("""COMPUTED_VALUE"""),"RF-00000432-VET")</f>
        <v>RF-00000432-VET</v>
      </c>
    </row>
    <row r="8832" spans="1:2" ht="12.5" x14ac:dyDescent="0.25">
      <c r="A8832" t="str">
        <f ca="1">IFERROR(__xludf.DUMMYFUNCTION("""COMPUTED_VALUE"""),"Tri-allate")</f>
        <v>Tri-allate</v>
      </c>
      <c r="B8832" t="str">
        <f ca="1">IFERROR(__xludf.DUMMYFUNCTION("""COMPUTED_VALUE"""),"RF-0430-001-PPP")</f>
        <v>RF-0430-001-PPP</v>
      </c>
    </row>
    <row r="8833" spans="1:2" ht="12.5" x14ac:dyDescent="0.25">
      <c r="A8833" t="str">
        <f ca="1">IFERROR(__xludf.DUMMYFUNCTION("""COMPUTED_VALUE"""),"Triadimefon")</f>
        <v>Triadimefon</v>
      </c>
      <c r="B8833" t="str">
        <f ca="1">IFERROR(__xludf.DUMMYFUNCTION("""COMPUTED_VALUE"""),"RF-0428-003-PPP")</f>
        <v>RF-0428-003-PPP</v>
      </c>
    </row>
    <row r="8834" spans="1:2" ht="12.5" x14ac:dyDescent="0.25">
      <c r="A8834" t="str">
        <f ca="1">IFERROR(__xludf.DUMMYFUNCTION("""COMPUTED_VALUE"""),"Triadimefon and triadimenol (sum of triadimefon and triadimenol)")</f>
        <v>Triadimefon and triadimenol (sum of triadimefon and triadimenol)</v>
      </c>
      <c r="B8834" t="str">
        <f ca="1">IFERROR(__xludf.DUMMYFUNCTION("""COMPUTED_VALUE"""),"RF-0428-001-PPP")</f>
        <v>RF-0428-001-PPP</v>
      </c>
    </row>
    <row r="8835" spans="1:2" ht="12.5" x14ac:dyDescent="0.25">
      <c r="A8835" t="str">
        <f ca="1">IFERROR(__xludf.DUMMYFUNCTION("""COMPUTED_VALUE"""),"Triadimenol")</f>
        <v>Triadimenol</v>
      </c>
      <c r="B8835" t="str">
        <f ca="1">IFERROR(__xludf.DUMMYFUNCTION("""COMPUTED_VALUE"""),"RF-0428-002-PPP")</f>
        <v>RF-0428-002-PPP</v>
      </c>
    </row>
    <row r="8836" spans="1:2" ht="12.5" x14ac:dyDescent="0.25">
      <c r="A8836" t="str">
        <f ca="1">IFERROR(__xludf.DUMMYFUNCTION("""COMPUTED_VALUE"""),"Triallate")</f>
        <v>Triallate</v>
      </c>
      <c r="B8836" t="str">
        <f ca="1">IFERROR(__xludf.DUMMYFUNCTION("""COMPUTED_VALUE"""),"RF-00000118-VET")</f>
        <v>RF-00000118-VET</v>
      </c>
    </row>
    <row r="8837" spans="1:2" ht="12.5" x14ac:dyDescent="0.25">
      <c r="A8837" t="str">
        <f ca="1">IFERROR(__xludf.DUMMYFUNCTION("""COMPUTED_VALUE"""),"Triamcinolone")</f>
        <v>Triamcinolone</v>
      </c>
      <c r="B8837" t="str">
        <f ca="1">IFERROR(__xludf.DUMMYFUNCTION("""COMPUTED_VALUE"""),"RF-00000266-VET")</f>
        <v>RF-00000266-VET</v>
      </c>
    </row>
    <row r="8838" spans="1:2" ht="12.5" x14ac:dyDescent="0.25">
      <c r="A8838" t="str">
        <f ca="1">IFERROR(__xludf.DUMMYFUNCTION("""COMPUTED_VALUE"""),"Triamcinolone acetonide")</f>
        <v>Triamcinolone acetonide</v>
      </c>
      <c r="B8838" t="str">
        <f ca="1">IFERROR(__xludf.DUMMYFUNCTION("""COMPUTED_VALUE"""),"RF-00000264-VET")</f>
        <v>RF-00000264-VET</v>
      </c>
    </row>
    <row r="8839" spans="1:2" ht="12.5" x14ac:dyDescent="0.25">
      <c r="A8839" t="str">
        <f ca="1">IFERROR(__xludf.DUMMYFUNCTION("""COMPUTED_VALUE"""),"Triamcinolone diacetate")</f>
        <v>Triamcinolone diacetate</v>
      </c>
      <c r="B8839" t="str">
        <f ca="1">IFERROR(__xludf.DUMMYFUNCTION("""COMPUTED_VALUE"""),"RF-00000263-VET")</f>
        <v>RF-00000263-VET</v>
      </c>
    </row>
    <row r="8840" spans="1:2" ht="12.5" x14ac:dyDescent="0.25">
      <c r="A8840" t="str">
        <f ca="1">IFERROR(__xludf.DUMMYFUNCTION("""COMPUTED_VALUE"""),"Triamiphos")</f>
        <v>Triamiphos</v>
      </c>
      <c r="B8840" t="str">
        <f ca="1">IFERROR(__xludf.DUMMYFUNCTION("""COMPUTED_VALUE"""),"RF-0946-001-PPP")</f>
        <v>RF-0946-001-PPP</v>
      </c>
    </row>
    <row r="8841" spans="1:2" ht="12.5" x14ac:dyDescent="0.25">
      <c r="A8841" t="str">
        <f ca="1">IFERROR(__xludf.DUMMYFUNCTION("""COMPUTED_VALUE"""),"Triammonium citrate")</f>
        <v>Triammonium citrate</v>
      </c>
      <c r="B8841" t="str">
        <f ca="1">IFERROR(__xludf.DUMMYFUNCTION("""COMPUTED_VALUE"""),"RF-00000338-ADD")</f>
        <v>RF-00000338-ADD</v>
      </c>
    </row>
    <row r="8842" spans="1:2" ht="12.5" x14ac:dyDescent="0.25">
      <c r="A8842" t="str">
        <f ca="1">IFERROR(__xludf.DUMMYFUNCTION("""COMPUTED_VALUE"""),"Triangularine")</f>
        <v>Triangularine</v>
      </c>
      <c r="B8842" t="str">
        <f ca="1">IFERROR(__xludf.DUMMYFUNCTION("""COMPUTED_VALUE"""),"RF-00000231-TOX")</f>
        <v>RF-00000231-TOX</v>
      </c>
    </row>
    <row r="8843" spans="1:2" ht="12.5" x14ac:dyDescent="0.25">
      <c r="A8843" t="str">
        <f ca="1">IFERROR(__xludf.DUMMYFUNCTION("""COMPUTED_VALUE"""),"Triapenthenol")</f>
        <v>Triapenthenol</v>
      </c>
      <c r="B8843" t="str">
        <f ca="1">IFERROR(__xludf.DUMMYFUNCTION("""COMPUTED_VALUE"""),"RF-0947-001-PPP")</f>
        <v>RF-0947-001-PPP</v>
      </c>
    </row>
    <row r="8844" spans="1:2" ht="12.5" x14ac:dyDescent="0.25">
      <c r="A8844" t="str">
        <f ca="1">IFERROR(__xludf.DUMMYFUNCTION("""COMPUTED_VALUE"""),"Triasulfuron")</f>
        <v>Triasulfuron</v>
      </c>
      <c r="B8844" t="str">
        <f ca="1">IFERROR(__xludf.DUMMYFUNCTION("""COMPUTED_VALUE"""),"RF-0431-001-PPP")</f>
        <v>RF-0431-001-PPP</v>
      </c>
    </row>
    <row r="8845" spans="1:2" ht="12.5" x14ac:dyDescent="0.25">
      <c r="A8845" t="str">
        <f ca="1">IFERROR(__xludf.DUMMYFUNCTION("""COMPUTED_VALUE"""),"Triazamate")</f>
        <v>Triazamate</v>
      </c>
      <c r="B8845" t="str">
        <f ca="1">IFERROR(__xludf.DUMMYFUNCTION("""COMPUTED_VALUE"""),"RF-0948-001-PPP")</f>
        <v>RF-0948-001-PPP</v>
      </c>
    </row>
    <row r="8846" spans="1:2" ht="12.5" x14ac:dyDescent="0.25">
      <c r="A8846" t="str">
        <f ca="1">IFERROR(__xludf.DUMMYFUNCTION("""COMPUTED_VALUE"""),"Triazolam")</f>
        <v>Triazolam</v>
      </c>
      <c r="B8846" t="str">
        <f ca="1">IFERROR(__xludf.DUMMYFUNCTION("""COMPUTED_VALUE"""),"RF-00000191-VET")</f>
        <v>RF-00000191-VET</v>
      </c>
    </row>
    <row r="8847" spans="1:2" ht="12.5" x14ac:dyDescent="0.25">
      <c r="A8847" t="str">
        <f ca="1">IFERROR(__xludf.DUMMYFUNCTION("""COMPUTED_VALUE"""),"Triazole acetic acid")</f>
        <v>Triazole acetic acid</v>
      </c>
      <c r="B8847" t="str">
        <f ca="1">IFERROR(__xludf.DUMMYFUNCTION("""COMPUTED_VALUE"""),"RF-0949-002-PPP")</f>
        <v>RF-0949-002-PPP</v>
      </c>
    </row>
    <row r="8848" spans="1:2" ht="12.5" x14ac:dyDescent="0.25">
      <c r="A8848" t="str">
        <f ca="1">IFERROR(__xludf.DUMMYFUNCTION("""COMPUTED_VALUE"""),"Triazole alanine")</f>
        <v>Triazole alanine</v>
      </c>
      <c r="B8848" t="str">
        <f ca="1">IFERROR(__xludf.DUMMYFUNCTION("""COMPUTED_VALUE"""),"RF-0949-003-PPP")</f>
        <v>RF-0949-003-PPP</v>
      </c>
    </row>
    <row r="8849" spans="1:2" ht="12.5" x14ac:dyDescent="0.25">
      <c r="A8849" t="str">
        <f ca="1">IFERROR(__xludf.DUMMYFUNCTION("""COMPUTED_VALUE"""),"Triazole lactic acid")</f>
        <v>Triazole lactic acid</v>
      </c>
      <c r="B8849" t="str">
        <f ca="1">IFERROR(__xludf.DUMMYFUNCTION("""COMPUTED_VALUE"""),"RF-0949-004-PPP")</f>
        <v>RF-0949-004-PPP</v>
      </c>
    </row>
    <row r="8850" spans="1:2" ht="12.5" x14ac:dyDescent="0.25">
      <c r="A8850" t="str">
        <f ca="1">IFERROR(__xludf.DUMMYFUNCTION("""COMPUTED_VALUE"""),"Triazole, 1,2,4-")</f>
        <v>Triazole, 1,2,4-</v>
      </c>
      <c r="B8850" t="str">
        <f ca="1">IFERROR(__xludf.DUMMYFUNCTION("""COMPUTED_VALUE"""),"RF-0949-001-PPP")</f>
        <v>RF-0949-001-PPP</v>
      </c>
    </row>
    <row r="8851" spans="1:2" ht="12.5" x14ac:dyDescent="0.25">
      <c r="A8851" t="str">
        <f ca="1">IFERROR(__xludf.DUMMYFUNCTION("""COMPUTED_VALUE"""),"Triazophos")</f>
        <v>Triazophos</v>
      </c>
      <c r="B8851" t="str">
        <f ca="1">IFERROR(__xludf.DUMMYFUNCTION("""COMPUTED_VALUE"""),"RF-0432-001-PPP")</f>
        <v>RF-0432-001-PPP</v>
      </c>
    </row>
    <row r="8852" spans="1:2" ht="12.5" x14ac:dyDescent="0.25">
      <c r="A8852" t="str">
        <f ca="1">IFERROR(__xludf.DUMMYFUNCTION("""COMPUTED_VALUE"""),"Triazoxide")</f>
        <v>Triazoxide</v>
      </c>
      <c r="B8852" t="str">
        <f ca="1">IFERROR(__xludf.DUMMYFUNCTION("""COMPUTED_VALUE"""),"RF-0433-001-PPP")</f>
        <v>RF-0433-001-PPP</v>
      </c>
    </row>
    <row r="8853" spans="1:2" ht="12.5" x14ac:dyDescent="0.25">
      <c r="A8853" t="str">
        <f ca="1">IFERROR(__xludf.DUMMYFUNCTION("""COMPUTED_VALUE"""),"Tribenuron")</f>
        <v>Tribenuron</v>
      </c>
      <c r="B8853" t="str">
        <f ca="1">IFERROR(__xludf.DUMMYFUNCTION("""COMPUTED_VALUE"""),"RF-0950-001-PPP")</f>
        <v>RF-0950-001-PPP</v>
      </c>
    </row>
    <row r="8854" spans="1:2" ht="12.5" x14ac:dyDescent="0.25">
      <c r="A8854" t="str">
        <f ca="1">IFERROR(__xludf.DUMMYFUNCTION("""COMPUTED_VALUE"""),"Tribenuron-methyl")</f>
        <v>Tribenuron-methyl</v>
      </c>
      <c r="B8854" t="str">
        <f ca="1">IFERROR(__xludf.DUMMYFUNCTION("""COMPUTED_VALUE"""),"RF-0434-001-PPP")</f>
        <v>RF-0434-001-PPP</v>
      </c>
    </row>
    <row r="8855" spans="1:2" ht="12.5" x14ac:dyDescent="0.25">
      <c r="A8855" t="str">
        <f ca="1">IFERROR(__xludf.DUMMYFUNCTION("""COMPUTED_VALUE"""),"Tribromoanisole, 2,4,6-")</f>
        <v>Tribromoanisole, 2,4,6-</v>
      </c>
      <c r="B8855" t="str">
        <f ca="1">IFERROR(__xludf.DUMMYFUNCTION("""COMPUTED_VALUE"""),"RF-0951-001-PPP")</f>
        <v>RF-0951-001-PPP</v>
      </c>
    </row>
    <row r="8856" spans="1:2" ht="12.5" x14ac:dyDescent="0.25">
      <c r="A8856" t="str">
        <f ca="1">IFERROR(__xludf.DUMMYFUNCTION("""COMPUTED_VALUE"""),"Tribromophenol, 2,4,6-")</f>
        <v>Tribromophenol, 2,4,6-</v>
      </c>
      <c r="B8856" t="str">
        <f ca="1">IFERROR(__xludf.DUMMYFUNCTION("""COMPUTED_VALUE"""),"RF-0952-001-PPP")</f>
        <v>RF-0952-001-PPP</v>
      </c>
    </row>
    <row r="8857" spans="1:2" ht="12.5" x14ac:dyDescent="0.25">
      <c r="A8857" t="str">
        <f ca="1">IFERROR(__xludf.DUMMYFUNCTION("""COMPUTED_VALUE"""),"Tribufos (s,s,s-tributyl-phosphorotrithioate)")</f>
        <v>Tribufos (s,s,s-tributyl-phosphorotrithioate)</v>
      </c>
      <c r="B8857" t="str">
        <f ca="1">IFERROR(__xludf.DUMMYFUNCTION("""COMPUTED_VALUE"""),"RF-0974-001-PPP")</f>
        <v>RF-0974-001-PPP</v>
      </c>
    </row>
    <row r="8858" spans="1:2" ht="12.5" x14ac:dyDescent="0.25">
      <c r="A8858" t="str">
        <f ca="1">IFERROR(__xludf.DUMMYFUNCTION("""COMPUTED_VALUE"""),"Tributylphosphate")</f>
        <v>Tributylphosphate</v>
      </c>
      <c r="B8858" t="str">
        <f ca="1">IFERROR(__xludf.DUMMYFUNCTION("""COMPUTED_VALUE"""),"RF-0953-001-PPP")</f>
        <v>RF-0953-001-PPP</v>
      </c>
    </row>
    <row r="8859" spans="1:2" ht="12.5" x14ac:dyDescent="0.25">
      <c r="A8859" t="str">
        <f ca="1">IFERROR(__xludf.DUMMYFUNCTION("""COMPUTED_VALUE"""),"Tributyltin")</f>
        <v>Tributyltin</v>
      </c>
      <c r="B8859" t="str">
        <f ca="1">IFERROR(__xludf.DUMMYFUNCTION("""COMPUTED_VALUE"""),"RF-00000269-CHE")</f>
        <v>RF-00000269-CHE</v>
      </c>
    </row>
    <row r="8860" spans="1:2" ht="12.5" x14ac:dyDescent="0.25">
      <c r="A8860" t="str">
        <f ca="1">IFERROR(__xludf.DUMMYFUNCTION("""COMPUTED_VALUE"""),"Tributyltin Oxide")</f>
        <v>Tributyltin Oxide</v>
      </c>
      <c r="B8860" t="str">
        <f ca="1">IFERROR(__xludf.DUMMYFUNCTION("""COMPUTED_VALUE"""),"RF-0954-001-PPP")</f>
        <v>RF-0954-001-PPP</v>
      </c>
    </row>
    <row r="8861" spans="1:2" ht="12.5" x14ac:dyDescent="0.25">
      <c r="A8861" t="str">
        <f ca="1">IFERROR(__xludf.DUMMYFUNCTION("""COMPUTED_VALUE"""),"Trichinella")</f>
        <v>Trichinella</v>
      </c>
      <c r="B8861" t="str">
        <f ca="1">IFERROR(__xludf.DUMMYFUNCTION("""COMPUTED_VALUE"""),"RF-00002515-MCG")</f>
        <v>RF-00002515-MCG</v>
      </c>
    </row>
    <row r="8862" spans="1:2" ht="12.5" x14ac:dyDescent="0.25">
      <c r="A8862" t="str">
        <f ca="1">IFERROR(__xludf.DUMMYFUNCTION("""COMPUTED_VALUE"""),"Trichinella britovi")</f>
        <v>Trichinella britovi</v>
      </c>
      <c r="B8862" t="str">
        <f ca="1">IFERROR(__xludf.DUMMYFUNCTION("""COMPUTED_VALUE"""),"RF-00002521-MCG")</f>
        <v>RF-00002521-MCG</v>
      </c>
    </row>
    <row r="8863" spans="1:2" ht="12.5" x14ac:dyDescent="0.25">
      <c r="A8863" t="str">
        <f ca="1">IFERROR(__xludf.DUMMYFUNCTION("""COMPUTED_VALUE"""),"Trichinella nativa")</f>
        <v>Trichinella nativa</v>
      </c>
      <c r="B8863" t="str">
        <f ca="1">IFERROR(__xludf.DUMMYFUNCTION("""COMPUTED_VALUE"""),"RF-00002519-MCG")</f>
        <v>RF-00002519-MCG</v>
      </c>
    </row>
    <row r="8864" spans="1:2" ht="12.5" x14ac:dyDescent="0.25">
      <c r="A8864" t="str">
        <f ca="1">IFERROR(__xludf.DUMMYFUNCTION("""COMPUTED_VALUE"""),"Trichinella pseudospiralis")</f>
        <v>Trichinella pseudospiralis</v>
      </c>
      <c r="B8864" t="str">
        <f ca="1">IFERROR(__xludf.DUMMYFUNCTION("""COMPUTED_VALUE"""),"RF-00002518-MCG")</f>
        <v>RF-00002518-MCG</v>
      </c>
    </row>
    <row r="8865" spans="1:2" ht="12.5" x14ac:dyDescent="0.25">
      <c r="A8865" t="str">
        <f ca="1">IFERROR(__xludf.DUMMYFUNCTION("""COMPUTED_VALUE"""),"Trichinella spiralis")</f>
        <v>Trichinella spiralis</v>
      </c>
      <c r="B8865" t="str">
        <f ca="1">IFERROR(__xludf.DUMMYFUNCTION("""COMPUTED_VALUE"""),"RF-00002516-MCG")</f>
        <v>RF-00002516-MCG</v>
      </c>
    </row>
    <row r="8866" spans="1:2" ht="12.5" x14ac:dyDescent="0.25">
      <c r="A8866" t="str">
        <f ca="1">IFERROR(__xludf.DUMMYFUNCTION("""COMPUTED_VALUE"""),"Trichinella spp., unspecified")</f>
        <v>Trichinella spp., unspecified</v>
      </c>
      <c r="B8866" t="str">
        <f ca="1">IFERROR(__xludf.DUMMYFUNCTION("""COMPUTED_VALUE"""),"RF-00002517-MCG")</f>
        <v>RF-00002517-MCG</v>
      </c>
    </row>
    <row r="8867" spans="1:2" ht="12.5" x14ac:dyDescent="0.25">
      <c r="A8867" t="str">
        <f ca="1">IFERROR(__xludf.DUMMYFUNCTION("""COMPUTED_VALUE"""),"Trichinella T6")</f>
        <v>Trichinella T6</v>
      </c>
      <c r="B8867" t="str">
        <f ca="1">IFERROR(__xludf.DUMMYFUNCTION("""COMPUTED_VALUE"""),"RF-00002520-MCG")</f>
        <v>RF-00002520-MCG</v>
      </c>
    </row>
    <row r="8868" spans="1:2" ht="12.5" x14ac:dyDescent="0.25">
      <c r="A8868" t="str">
        <f ca="1">IFERROR(__xludf.DUMMYFUNCTION("""COMPUTED_VALUE"""),"Trichlamide")</f>
        <v>Trichlamide</v>
      </c>
      <c r="B8868" t="str">
        <f ca="1">IFERROR(__xludf.DUMMYFUNCTION("""COMPUTED_VALUE"""),"RF-0955-001-PPP")</f>
        <v>RF-0955-001-PPP</v>
      </c>
    </row>
    <row r="8869" spans="1:2" ht="12.5" x14ac:dyDescent="0.25">
      <c r="A8869" t="str">
        <f ca="1">IFERROR(__xludf.DUMMYFUNCTION("""COMPUTED_VALUE"""),"Trichlophenidine")</f>
        <v>Trichlophenidine</v>
      </c>
      <c r="B8869" t="str">
        <f ca="1">IFERROR(__xludf.DUMMYFUNCTION("""COMPUTED_VALUE"""),"RF-1041-001-PPP")</f>
        <v>RF-1041-001-PPP</v>
      </c>
    </row>
    <row r="8870" spans="1:2" ht="12.5" x14ac:dyDescent="0.25">
      <c r="A8870" t="str">
        <f ca="1">IFERROR(__xludf.DUMMYFUNCTION("""COMPUTED_VALUE"""),"Trichlorethylene")</f>
        <v>Trichlorethylene</v>
      </c>
      <c r="B8870" t="str">
        <f ca="1">IFERROR(__xludf.DUMMYFUNCTION("""COMPUTED_VALUE"""),"RF-00000035-ORG")</f>
        <v>RF-00000035-ORG</v>
      </c>
    </row>
    <row r="8871" spans="1:2" ht="12.5" x14ac:dyDescent="0.25">
      <c r="A8871" t="str">
        <f ca="1">IFERROR(__xludf.DUMMYFUNCTION("""COMPUTED_VALUE"""),"Trichlorfon")</f>
        <v>Trichlorfon</v>
      </c>
      <c r="B8871" t="str">
        <f ca="1">IFERROR(__xludf.DUMMYFUNCTION("""COMPUTED_VALUE"""),"RF-0435-001-PPP")</f>
        <v>RF-0435-001-PPP</v>
      </c>
    </row>
    <row r="8872" spans="1:2" ht="12.5" x14ac:dyDescent="0.25">
      <c r="A8872" t="str">
        <f ca="1">IFERROR(__xludf.DUMMYFUNCTION("""COMPUTED_VALUE"""),"Trichlorobenzoic acid, 2,3,6-")</f>
        <v>Trichlorobenzoic acid, 2,3,6-</v>
      </c>
      <c r="B8872" t="str">
        <f ca="1">IFERROR(__xludf.DUMMYFUNCTION("""COMPUTED_VALUE"""),"RF-0956-001-PPP")</f>
        <v>RF-0956-001-PPP</v>
      </c>
    </row>
    <row r="8873" spans="1:2" ht="12.5" x14ac:dyDescent="0.25">
      <c r="A8873" t="str">
        <f ca="1">IFERROR(__xludf.DUMMYFUNCTION("""COMPUTED_VALUE"""),"Trichloronat")</f>
        <v>Trichloronat</v>
      </c>
      <c r="B8873" t="str">
        <f ca="1">IFERROR(__xludf.DUMMYFUNCTION("""COMPUTED_VALUE"""),"RF-0957-001-PPP")</f>
        <v>RF-0957-001-PPP</v>
      </c>
    </row>
    <row r="8874" spans="1:2" ht="12.5" x14ac:dyDescent="0.25">
      <c r="A8874" t="str">
        <f ca="1">IFERROR(__xludf.DUMMYFUNCTION("""COMPUTED_VALUE"""),"Trichlorophenol, 2,4,6-")</f>
        <v>Trichlorophenol, 2,4,6-</v>
      </c>
      <c r="B8874" t="str">
        <f ca="1">IFERROR(__xludf.DUMMYFUNCTION("""COMPUTED_VALUE"""),"RF-0993-001-PPP")</f>
        <v>RF-0993-001-PPP</v>
      </c>
    </row>
    <row r="8875" spans="1:2" ht="12.5" x14ac:dyDescent="0.25">
      <c r="A8875" t="str">
        <f ca="1">IFERROR(__xludf.DUMMYFUNCTION("""COMPUTED_VALUE"""),"Trichodesmine")</f>
        <v>Trichodesmine</v>
      </c>
      <c r="B8875" t="str">
        <f ca="1">IFERROR(__xludf.DUMMYFUNCTION("""COMPUTED_VALUE"""),"RF-00000306-TOX")</f>
        <v>RF-00000306-TOX</v>
      </c>
    </row>
    <row r="8876" spans="1:2" ht="12.5" x14ac:dyDescent="0.25">
      <c r="A8876" t="str">
        <f ca="1">IFERROR(__xludf.DUMMYFUNCTION("""COMPUTED_VALUE"""),"Trichodesmine-N-oxide")</f>
        <v>Trichodesmine-N-oxide</v>
      </c>
      <c r="B8876" t="str">
        <f ca="1">IFERROR(__xludf.DUMMYFUNCTION("""COMPUTED_VALUE"""),"RF-00000416-TOX")</f>
        <v>RF-00000416-TOX</v>
      </c>
    </row>
    <row r="8877" spans="1:2" ht="12.5" x14ac:dyDescent="0.25">
      <c r="A8877" t="str">
        <f ca="1">IFERROR(__xludf.DUMMYFUNCTION("""COMPUTED_VALUE"""),"Trichophyton")</f>
        <v>Trichophyton</v>
      </c>
      <c r="B8877" t="str">
        <f ca="1">IFERROR(__xludf.DUMMYFUNCTION("""COMPUTED_VALUE"""),"RF-00002522-MCG")</f>
        <v>RF-00002522-MCG</v>
      </c>
    </row>
    <row r="8878" spans="1:2" ht="12.5" x14ac:dyDescent="0.25">
      <c r="A8878" t="str">
        <f ca="1">IFERROR(__xludf.DUMMYFUNCTION("""COMPUTED_VALUE"""),"Trichophyton mentagrophytes")</f>
        <v>Trichophyton mentagrophytes</v>
      </c>
      <c r="B8878" t="str">
        <f ca="1">IFERROR(__xludf.DUMMYFUNCTION("""COMPUTED_VALUE"""),"RF-00002523-MCG")</f>
        <v>RF-00002523-MCG</v>
      </c>
    </row>
    <row r="8879" spans="1:2" ht="12.5" x14ac:dyDescent="0.25">
      <c r="A8879" t="str">
        <f ca="1">IFERROR(__xludf.DUMMYFUNCTION("""COMPUTED_VALUE"""),"Trichophyton spp., unspecified")</f>
        <v>Trichophyton spp., unspecified</v>
      </c>
      <c r="B8879" t="str">
        <f ca="1">IFERROR(__xludf.DUMMYFUNCTION("""COMPUTED_VALUE"""),"RF-00002525-MCG")</f>
        <v>RF-00002525-MCG</v>
      </c>
    </row>
    <row r="8880" spans="1:2" ht="12.5" x14ac:dyDescent="0.25">
      <c r="A8880" t="str">
        <f ca="1">IFERROR(__xludf.DUMMYFUNCTION("""COMPUTED_VALUE"""),"Trichophyton verrucosum")</f>
        <v>Trichophyton verrucosum</v>
      </c>
      <c r="B8880" t="str">
        <f ca="1">IFERROR(__xludf.DUMMYFUNCTION("""COMPUTED_VALUE"""),"RF-00002524-MCG")</f>
        <v>RF-00002524-MCG</v>
      </c>
    </row>
    <row r="8881" spans="1:2" ht="12.5" x14ac:dyDescent="0.25">
      <c r="A8881" t="str">
        <f ca="1">IFERROR(__xludf.DUMMYFUNCTION("""COMPUTED_VALUE"""),"Trichothecenes")</f>
        <v>Trichothecenes</v>
      </c>
      <c r="B8881" t="str">
        <f ca="1">IFERROR(__xludf.DUMMYFUNCTION("""COMPUTED_VALUE"""),"RF-00000159-TOX")</f>
        <v>RF-00000159-TOX</v>
      </c>
    </row>
    <row r="8882" spans="1:2" ht="12.5" x14ac:dyDescent="0.25">
      <c r="A8882" t="str">
        <f ca="1">IFERROR(__xludf.DUMMYFUNCTION("""COMPUTED_VALUE"""),"Trichothecenes A")</f>
        <v>Trichothecenes A</v>
      </c>
      <c r="B8882" t="str">
        <f ca="1">IFERROR(__xludf.DUMMYFUNCTION("""COMPUTED_VALUE"""),"RF-00000160-TOX")</f>
        <v>RF-00000160-TOX</v>
      </c>
    </row>
    <row r="8883" spans="1:2" ht="12.5" x14ac:dyDescent="0.25">
      <c r="A8883" t="str">
        <f ca="1">IFERROR(__xludf.DUMMYFUNCTION("""COMPUTED_VALUE"""),"Trichothecenes B")</f>
        <v>Trichothecenes B</v>
      </c>
      <c r="B8883" t="str">
        <f ca="1">IFERROR(__xludf.DUMMYFUNCTION("""COMPUTED_VALUE"""),"RF-00000164-TOX")</f>
        <v>RF-00000164-TOX</v>
      </c>
    </row>
    <row r="8884" spans="1:2" ht="12.5" x14ac:dyDescent="0.25">
      <c r="A8884" t="str">
        <f ca="1">IFERROR(__xludf.DUMMYFUNCTION("""COMPUTED_VALUE"""),"Triclabendazole")</f>
        <v>Triclabendazole</v>
      </c>
      <c r="B8884" t="str">
        <f ca="1">IFERROR(__xludf.DUMMYFUNCTION("""COMPUTED_VALUE"""),"RF-00000043-VET")</f>
        <v>RF-00000043-VET</v>
      </c>
    </row>
    <row r="8885" spans="1:2" ht="12.5" x14ac:dyDescent="0.25">
      <c r="A8885" t="str">
        <f ca="1">IFERROR(__xludf.DUMMYFUNCTION("""COMPUTED_VALUE"""),"Triclabendazolsulfon")</f>
        <v>Triclabendazolsulfon</v>
      </c>
      <c r="B8885" t="str">
        <f ca="1">IFERROR(__xludf.DUMMYFUNCTION("""COMPUTED_VALUE"""),"RF-00000038-VET")</f>
        <v>RF-00000038-VET</v>
      </c>
    </row>
    <row r="8886" spans="1:2" ht="12.5" x14ac:dyDescent="0.25">
      <c r="A8886" t="str">
        <f ca="1">IFERROR(__xludf.DUMMYFUNCTION("""COMPUTED_VALUE"""),"Triclabenzolsulfoxide")</f>
        <v>Triclabenzolsulfoxide</v>
      </c>
      <c r="B8886" t="str">
        <f ca="1">IFERROR(__xludf.DUMMYFUNCTION("""COMPUTED_VALUE"""),"RF-00000037-VET")</f>
        <v>RF-00000037-VET</v>
      </c>
    </row>
    <row r="8887" spans="1:2" ht="12.5" x14ac:dyDescent="0.25">
      <c r="A8887" t="str">
        <f ca="1">IFERROR(__xludf.DUMMYFUNCTION("""COMPUTED_VALUE"""),"Triclopyr")</f>
        <v>Triclopyr</v>
      </c>
      <c r="B8887" t="str">
        <f ca="1">IFERROR(__xludf.DUMMYFUNCTION("""COMPUTED_VALUE"""),"RF-0436-001-PPP")</f>
        <v>RF-0436-001-PPP</v>
      </c>
    </row>
    <row r="8888" spans="1:2" ht="12.5" x14ac:dyDescent="0.25">
      <c r="A8888" t="str">
        <f ca="1">IFERROR(__xludf.DUMMYFUNCTION("""COMPUTED_VALUE"""),"Triclopyr (Sum of triclopyr and 3,5,6 trichloro-2-pyridinol)")</f>
        <v>Triclopyr (Sum of triclopyr and 3,5,6 trichloro-2-pyridinol)</v>
      </c>
      <c r="B8888" t="str">
        <f ca="1">IFERROR(__xludf.DUMMYFUNCTION("""COMPUTED_VALUE"""),"RF-0436-002-PPP")</f>
        <v>RF-0436-002-PPP</v>
      </c>
    </row>
    <row r="8889" spans="1:2" ht="12.5" x14ac:dyDescent="0.25">
      <c r="A8889" t="str">
        <f ca="1">IFERROR(__xludf.DUMMYFUNCTION("""COMPUTED_VALUE"""),"Tricresyl phosphate")</f>
        <v>Tricresyl phosphate</v>
      </c>
      <c r="B8889" t="str">
        <f ca="1">IFERROR(__xludf.DUMMYFUNCTION("""COMPUTED_VALUE"""),"RF-00000031-PAR")</f>
        <v>RF-00000031-PAR</v>
      </c>
    </row>
    <row r="8890" spans="1:2" ht="12.5" x14ac:dyDescent="0.25">
      <c r="A8890" t="str">
        <f ca="1">IFERROR(__xludf.DUMMYFUNCTION("""COMPUTED_VALUE"""),"Tricyclazole")</f>
        <v>Tricyclazole</v>
      </c>
      <c r="B8890" t="str">
        <f ca="1">IFERROR(__xludf.DUMMYFUNCTION("""COMPUTED_VALUE"""),"RF-0437-001-PPP")</f>
        <v>RF-0437-001-PPP</v>
      </c>
    </row>
    <row r="8891" spans="1:2" ht="12.5" x14ac:dyDescent="0.25">
      <c r="A8891" t="str">
        <f ca="1">IFERROR(__xludf.DUMMYFUNCTION("""COMPUTED_VALUE"""),"Tridemorph")</f>
        <v>Tridemorph</v>
      </c>
      <c r="B8891" t="str">
        <f ca="1">IFERROR(__xludf.DUMMYFUNCTION("""COMPUTED_VALUE"""),"RF-0438-001-PPP")</f>
        <v>RF-0438-001-PPP</v>
      </c>
    </row>
    <row r="8892" spans="1:2" ht="12.5" x14ac:dyDescent="0.25">
      <c r="A8892" t="str">
        <f ca="1">IFERROR(__xludf.DUMMYFUNCTION("""COMPUTED_VALUE"""),"Tridiphane")</f>
        <v>Tridiphane</v>
      </c>
      <c r="B8892" t="str">
        <f ca="1">IFERROR(__xludf.DUMMYFUNCTION("""COMPUTED_VALUE"""),"RF-0958-001-PPP")</f>
        <v>RF-0958-001-PPP</v>
      </c>
    </row>
    <row r="8893" spans="1:2" ht="12.5" x14ac:dyDescent="0.25">
      <c r="A8893" t="str">
        <f ca="1">IFERROR(__xludf.DUMMYFUNCTION("""COMPUTED_VALUE"""),"Trietazine")</f>
        <v>Trietazine</v>
      </c>
      <c r="B8893" t="str">
        <f ca="1">IFERROR(__xludf.DUMMYFUNCTION("""COMPUTED_VALUE"""),"RF-0959-001-PPP")</f>
        <v>RF-0959-001-PPP</v>
      </c>
    </row>
    <row r="8894" spans="1:2" ht="12.5" x14ac:dyDescent="0.25">
      <c r="A8894" t="str">
        <f ca="1">IFERROR(__xludf.DUMMYFUNCTION("""COMPUTED_VALUE"""),"Triethyl citrate")</f>
        <v>Triethyl citrate</v>
      </c>
      <c r="B8894" t="str">
        <f ca="1">IFERROR(__xludf.DUMMYFUNCTION("""COMPUTED_VALUE"""),"RF-00000339-ADD")</f>
        <v>RF-00000339-ADD</v>
      </c>
    </row>
    <row r="8895" spans="1:2" ht="12.5" x14ac:dyDescent="0.25">
      <c r="A8895" t="str">
        <f ca="1">IFERROR(__xludf.DUMMYFUNCTION("""COMPUTED_VALUE"""),"Trifenmorph")</f>
        <v>Trifenmorph</v>
      </c>
      <c r="B8895" t="str">
        <f ca="1">IFERROR(__xludf.DUMMYFUNCTION("""COMPUTED_VALUE"""),"RF-1042-001-PPP")</f>
        <v>RF-1042-001-PPP</v>
      </c>
    </row>
    <row r="8896" spans="1:2" ht="12.5" x14ac:dyDescent="0.25">
      <c r="A8896" t="str">
        <f ca="1">IFERROR(__xludf.DUMMYFUNCTION("""COMPUTED_VALUE"""),"Trifloxystrobin")</f>
        <v>Trifloxystrobin</v>
      </c>
      <c r="B8896" t="str">
        <f ca="1">IFERROR(__xludf.DUMMYFUNCTION("""COMPUTED_VALUE"""),"RF-0439-001-PPP")</f>
        <v>RF-0439-001-PPP</v>
      </c>
    </row>
    <row r="8897" spans="1:2" ht="12.5" x14ac:dyDescent="0.25">
      <c r="A8897" t="str">
        <f ca="1">IFERROR(__xludf.DUMMYFUNCTION("""COMPUTED_VALUE"""),"Trifloxystrobin (sum of trifloxystrobin and its metabolite (E, E)-methoxyimino- {2-[1-(3-trifluoromethyl-phenyl)-ethylideneamino-oxymethyl]-phenyl}-acetic acid (CGA 321113))")</f>
        <v>Trifloxystrobin (sum of trifloxystrobin and its metabolite (E, E)-methoxyimino- {2-[1-(3-trifluoromethyl-phenyl)-ethylideneamino-oxymethyl]-phenyl}-acetic acid (CGA 321113))</v>
      </c>
      <c r="B8897" t="str">
        <f ca="1">IFERROR(__xludf.DUMMYFUNCTION("""COMPUTED_VALUE"""),"RF-00000032-PAR")</f>
        <v>RF-00000032-PAR</v>
      </c>
    </row>
    <row r="8898" spans="1:2" ht="12.5" x14ac:dyDescent="0.25">
      <c r="A8898" t="str">
        <f ca="1">IFERROR(__xludf.DUMMYFUNCTION("""COMPUTED_VALUE"""),"Trifloxysulfuron")</f>
        <v>Trifloxysulfuron</v>
      </c>
      <c r="B8898" t="str">
        <f ca="1">IFERROR(__xludf.DUMMYFUNCTION("""COMPUTED_VALUE"""),"RF-0960-001-PPP")</f>
        <v>RF-0960-001-PPP</v>
      </c>
    </row>
    <row r="8899" spans="1:2" ht="12.5" x14ac:dyDescent="0.25">
      <c r="A8899" t="str">
        <f ca="1">IFERROR(__xludf.DUMMYFUNCTION("""COMPUTED_VALUE"""),"Triflumizole")</f>
        <v>Triflumizole</v>
      </c>
      <c r="B8899" t="str">
        <f ca="1">IFERROR(__xludf.DUMMYFUNCTION("""COMPUTED_VALUE"""),"RF-0440-002-PPP")</f>
        <v>RF-0440-002-PPP</v>
      </c>
    </row>
    <row r="8900" spans="1:2" ht="12.5" x14ac:dyDescent="0.25">
      <c r="A8900" t="str">
        <f ca="1">IFERROR(__xludf.DUMMYFUNCTION("""COMPUTED_VALUE"""),"Triflumizole Triflumizole and metabolite FM-6-1(N-(4-chloro-2-trifluoromethylphenyl)-n-propoxyacetamidine), expressed as Triflumizole")</f>
        <v>Triflumizole Triflumizole and metabolite FM-6-1(N-(4-chloro-2-trifluoromethylphenyl)-n-propoxyacetamidine), expressed as Triflumizole</v>
      </c>
      <c r="B8900" t="str">
        <f ca="1">IFERROR(__xludf.DUMMYFUNCTION("""COMPUTED_VALUE"""),"RF-0440-001-PPP")</f>
        <v>RF-0440-001-PPP</v>
      </c>
    </row>
    <row r="8901" spans="1:2" ht="12.5" x14ac:dyDescent="0.25">
      <c r="A8901" t="str">
        <f ca="1">IFERROR(__xludf.DUMMYFUNCTION("""COMPUTED_VALUE"""),"Triflumuron")</f>
        <v>Triflumuron</v>
      </c>
      <c r="B8901" t="str">
        <f ca="1">IFERROR(__xludf.DUMMYFUNCTION("""COMPUTED_VALUE"""),"RF-0441-001-PPP")</f>
        <v>RF-0441-001-PPP</v>
      </c>
    </row>
    <row r="8902" spans="1:2" ht="12.5" x14ac:dyDescent="0.25">
      <c r="A8902" t="str">
        <f ca="1">IFERROR(__xludf.DUMMYFUNCTION("""COMPUTED_VALUE"""),"Trifluralin")</f>
        <v>Trifluralin</v>
      </c>
      <c r="B8902" t="str">
        <f ca="1">IFERROR(__xludf.DUMMYFUNCTION("""COMPUTED_VALUE"""),"RF-0442-001-PPP")</f>
        <v>RF-0442-001-PPP</v>
      </c>
    </row>
    <row r="8903" spans="1:2" ht="12.5" x14ac:dyDescent="0.25">
      <c r="A8903" t="str">
        <f ca="1">IFERROR(__xludf.DUMMYFUNCTION("""COMPUTED_VALUE"""),"Triflusulfuron")</f>
        <v>Triflusulfuron</v>
      </c>
      <c r="B8903" t="str">
        <f ca="1">IFERROR(__xludf.DUMMYFUNCTION("""COMPUTED_VALUE"""),"RF-0443-001-PPP")</f>
        <v>RF-0443-001-PPP</v>
      </c>
    </row>
    <row r="8904" spans="1:2" ht="12.5" x14ac:dyDescent="0.25">
      <c r="A8904" t="str">
        <f ca="1">IFERROR(__xludf.DUMMYFUNCTION("""COMPUTED_VALUE"""),"Triflusulfuron-Methyl")</f>
        <v>Triflusulfuron-Methyl</v>
      </c>
      <c r="B8904" t="str">
        <f ca="1">IFERROR(__xludf.DUMMYFUNCTION("""COMPUTED_VALUE"""),"RF-0961-001-PPP")</f>
        <v>RF-0961-001-PPP</v>
      </c>
    </row>
    <row r="8905" spans="1:2" ht="12.5" x14ac:dyDescent="0.25">
      <c r="A8905" t="str">
        <f ca="1">IFERROR(__xludf.DUMMYFUNCTION("""COMPUTED_VALUE"""),"Triforine")</f>
        <v>Triforine</v>
      </c>
      <c r="B8905" t="str">
        <f ca="1">IFERROR(__xludf.DUMMYFUNCTION("""COMPUTED_VALUE"""),"RF-0444-001-PPP")</f>
        <v>RF-0444-001-PPP</v>
      </c>
    </row>
    <row r="8906" spans="1:2" ht="12.5" x14ac:dyDescent="0.25">
      <c r="A8906" t="str">
        <f ca="1">IFERROR(__xludf.DUMMYFUNCTION("""COMPUTED_VALUE"""),"Trimethacarb")</f>
        <v>Trimethacarb</v>
      </c>
      <c r="B8906" t="str">
        <f ca="1">IFERROR(__xludf.DUMMYFUNCTION("""COMPUTED_VALUE"""),"RF-0962-001-PPP")</f>
        <v>RF-0962-001-PPP</v>
      </c>
    </row>
    <row r="8907" spans="1:2" ht="12.5" x14ac:dyDescent="0.25">
      <c r="A8907" t="str">
        <f ca="1">IFERROR(__xludf.DUMMYFUNCTION("""COMPUTED_VALUE"""),"Trimethoprim")</f>
        <v>Trimethoprim</v>
      </c>
      <c r="B8907" t="str">
        <f ca="1">IFERROR(__xludf.DUMMYFUNCTION("""COMPUTED_VALUE"""),"RF-00000562-VET")</f>
        <v>RF-00000562-VET</v>
      </c>
    </row>
    <row r="8908" spans="1:2" ht="12.5" x14ac:dyDescent="0.25">
      <c r="A8908" t="str">
        <f ca="1">IFERROR(__xludf.DUMMYFUNCTION("""COMPUTED_VALUE"""),"Trimethoprim + Sulfabromomethazin")</f>
        <v>Trimethoprim + Sulfabromomethazin</v>
      </c>
      <c r="B8908" t="str">
        <f ca="1">IFERROR(__xludf.DUMMYFUNCTION("""COMPUTED_VALUE"""),"RF-00000785-VET")</f>
        <v>RF-00000785-VET</v>
      </c>
    </row>
    <row r="8909" spans="1:2" ht="12.5" x14ac:dyDescent="0.25">
      <c r="A8909" t="str">
        <f ca="1">IFERROR(__xludf.DUMMYFUNCTION("""COMPUTED_VALUE"""),"Trimethoprim + Sulfachlorpyridazin")</f>
        <v>Trimethoprim + Sulfachlorpyridazin</v>
      </c>
      <c r="B8909" t="str">
        <f ca="1">IFERROR(__xludf.DUMMYFUNCTION("""COMPUTED_VALUE"""),"RF-00000786-VET")</f>
        <v>RF-00000786-VET</v>
      </c>
    </row>
    <row r="8910" spans="1:2" ht="12.5" x14ac:dyDescent="0.25">
      <c r="A8910" t="str">
        <f ca="1">IFERROR(__xludf.DUMMYFUNCTION("""COMPUTED_VALUE"""),"Trimethoprim + Sulfadiazin")</f>
        <v>Trimethoprim + Sulfadiazin</v>
      </c>
      <c r="B8910" t="str">
        <f ca="1">IFERROR(__xludf.DUMMYFUNCTION("""COMPUTED_VALUE"""),"RF-00000787-VET")</f>
        <v>RF-00000787-VET</v>
      </c>
    </row>
    <row r="8911" spans="1:2" ht="12.5" x14ac:dyDescent="0.25">
      <c r="A8911" t="str">
        <f ca="1">IFERROR(__xludf.DUMMYFUNCTION("""COMPUTED_VALUE"""),"Trimethoprim + Sulfadimethoxin")</f>
        <v>Trimethoprim + Sulfadimethoxin</v>
      </c>
      <c r="B8911" t="str">
        <f ca="1">IFERROR(__xludf.DUMMYFUNCTION("""COMPUTED_VALUE"""),"RF-00000788-VET")</f>
        <v>RF-00000788-VET</v>
      </c>
    </row>
    <row r="8912" spans="1:2" ht="12.5" x14ac:dyDescent="0.25">
      <c r="A8912" t="str">
        <f ca="1">IFERROR(__xludf.DUMMYFUNCTION("""COMPUTED_VALUE"""),"Trimethoprim + Sulfadimidin")</f>
        <v>Trimethoprim + Sulfadimidin</v>
      </c>
      <c r="B8912" t="str">
        <f ca="1">IFERROR(__xludf.DUMMYFUNCTION("""COMPUTED_VALUE"""),"RF-00000789-VET")</f>
        <v>RF-00000789-VET</v>
      </c>
    </row>
    <row r="8913" spans="1:2" ht="12.5" x14ac:dyDescent="0.25">
      <c r="A8913" t="str">
        <f ca="1">IFERROR(__xludf.DUMMYFUNCTION("""COMPUTED_VALUE"""),"Trimethoprim + Sulfadoxin")</f>
        <v>Trimethoprim + Sulfadoxin</v>
      </c>
      <c r="B8913" t="str">
        <f ca="1">IFERROR(__xludf.DUMMYFUNCTION("""COMPUTED_VALUE"""),"RF-00000790-VET")</f>
        <v>RF-00000790-VET</v>
      </c>
    </row>
    <row r="8914" spans="1:2" ht="12.5" x14ac:dyDescent="0.25">
      <c r="A8914" t="str">
        <f ca="1">IFERROR(__xludf.DUMMYFUNCTION("""COMPUTED_VALUE"""),"Trimethoprim + Sulfaethoxypyridazin")</f>
        <v>Trimethoprim + Sulfaethoxypyridazin</v>
      </c>
      <c r="B8914" t="str">
        <f ca="1">IFERROR(__xludf.DUMMYFUNCTION("""COMPUTED_VALUE"""),"RF-00000791-VET")</f>
        <v>RF-00000791-VET</v>
      </c>
    </row>
    <row r="8915" spans="1:2" ht="12.5" x14ac:dyDescent="0.25">
      <c r="A8915" t="str">
        <f ca="1">IFERROR(__xludf.DUMMYFUNCTION("""COMPUTED_VALUE"""),"Trimethoprim + Sulfamerazin")</f>
        <v>Trimethoprim + Sulfamerazin</v>
      </c>
      <c r="B8915" t="str">
        <f ca="1">IFERROR(__xludf.DUMMYFUNCTION("""COMPUTED_VALUE"""),"RF-00000792-VET")</f>
        <v>RF-00000792-VET</v>
      </c>
    </row>
    <row r="8916" spans="1:2" ht="12.5" x14ac:dyDescent="0.25">
      <c r="A8916" t="str">
        <f ca="1">IFERROR(__xludf.DUMMYFUNCTION("""COMPUTED_VALUE"""),"Trimethoprim + Sulfamethazin (sulfadimidin)")</f>
        <v>Trimethoprim + Sulfamethazin (sulfadimidin)</v>
      </c>
      <c r="B8916" t="str">
        <f ca="1">IFERROR(__xludf.DUMMYFUNCTION("""COMPUTED_VALUE"""),"RF-00000793-VET")</f>
        <v>RF-00000793-VET</v>
      </c>
    </row>
    <row r="8917" spans="1:2" ht="12.5" x14ac:dyDescent="0.25">
      <c r="A8917" t="str">
        <f ca="1">IFERROR(__xludf.DUMMYFUNCTION("""COMPUTED_VALUE"""),"Trimethoprim + Sulfamethoxazol")</f>
        <v>Trimethoprim + Sulfamethoxazol</v>
      </c>
      <c r="B8917" t="str">
        <f ca="1">IFERROR(__xludf.DUMMYFUNCTION("""COMPUTED_VALUE"""),"RF-00000794-VET")</f>
        <v>RF-00000794-VET</v>
      </c>
    </row>
    <row r="8918" spans="1:2" ht="12.5" x14ac:dyDescent="0.25">
      <c r="A8918" t="str">
        <f ca="1">IFERROR(__xludf.DUMMYFUNCTION("""COMPUTED_VALUE"""),"Trimethoprim + Sulfamethoxypyridazin")</f>
        <v>Trimethoprim + Sulfamethoxypyridazin</v>
      </c>
      <c r="B8918" t="str">
        <f ca="1">IFERROR(__xludf.DUMMYFUNCTION("""COMPUTED_VALUE"""),"RF-00000795-VET")</f>
        <v>RF-00000795-VET</v>
      </c>
    </row>
    <row r="8919" spans="1:2" ht="12.5" x14ac:dyDescent="0.25">
      <c r="A8919" t="str">
        <f ca="1">IFERROR(__xludf.DUMMYFUNCTION("""COMPUTED_VALUE"""),"Trimethoprim + Sulfapyridin")</f>
        <v>Trimethoprim + Sulfapyridin</v>
      </c>
      <c r="B8919" t="str">
        <f ca="1">IFERROR(__xludf.DUMMYFUNCTION("""COMPUTED_VALUE"""),"RF-00000796-VET")</f>
        <v>RF-00000796-VET</v>
      </c>
    </row>
    <row r="8920" spans="1:2" ht="12.5" x14ac:dyDescent="0.25">
      <c r="A8920" t="str">
        <f ca="1">IFERROR(__xludf.DUMMYFUNCTION("""COMPUTED_VALUE"""),"Trimethoprim + Sulfasomidin")</f>
        <v>Trimethoprim + Sulfasomidin</v>
      </c>
      <c r="B8920" t="str">
        <f ca="1">IFERROR(__xludf.DUMMYFUNCTION("""COMPUTED_VALUE"""),"RF-00000797-VET")</f>
        <v>RF-00000797-VET</v>
      </c>
    </row>
    <row r="8921" spans="1:2" ht="12.5" x14ac:dyDescent="0.25">
      <c r="A8921" t="str">
        <f ca="1">IFERROR(__xludf.DUMMYFUNCTION("""COMPUTED_VALUE"""),"Trimethoprim + Sulfathiazol")</f>
        <v>Trimethoprim + Sulfathiazol</v>
      </c>
      <c r="B8921" t="str">
        <f ca="1">IFERROR(__xludf.DUMMYFUNCTION("""COMPUTED_VALUE"""),"RF-00000798-VET")</f>
        <v>RF-00000798-VET</v>
      </c>
    </row>
    <row r="8922" spans="1:2" ht="12.5" x14ac:dyDescent="0.25">
      <c r="A8922" t="str">
        <f ca="1">IFERROR(__xludf.DUMMYFUNCTION("""COMPUTED_VALUE"""),"Trimethoprim + Sulfisoxazol (sulfafurazol)")</f>
        <v>Trimethoprim + Sulfisoxazol (sulfafurazol)</v>
      </c>
      <c r="B8922" t="str">
        <f ca="1">IFERROR(__xludf.DUMMYFUNCTION("""COMPUTED_VALUE"""),"RF-00000799-VET")</f>
        <v>RF-00000799-VET</v>
      </c>
    </row>
    <row r="8923" spans="1:2" ht="12.5" x14ac:dyDescent="0.25">
      <c r="A8923" t="str">
        <f ca="1">IFERROR(__xludf.DUMMYFUNCTION("""COMPUTED_VALUE"""),"Trimethoprim + Sulfonamide")</f>
        <v>Trimethoprim + Sulfonamide</v>
      </c>
      <c r="B8923" t="str">
        <f ca="1">IFERROR(__xludf.DUMMYFUNCTION("""COMPUTED_VALUE"""),"RF-00000800-VET")</f>
        <v>RF-00000800-VET</v>
      </c>
    </row>
    <row r="8924" spans="1:2" ht="12.5" x14ac:dyDescent="0.25">
      <c r="A8924" t="str">
        <f ca="1">IFERROR(__xludf.DUMMYFUNCTION("""COMPUTED_VALUE"""),"Trimethoprim + Sulphonamides")</f>
        <v>Trimethoprim + Sulphonamides</v>
      </c>
      <c r="B8924" t="str">
        <f ca="1">IFERROR(__xludf.DUMMYFUNCTION("""COMPUTED_VALUE"""),"RF-00000784-VET")</f>
        <v>RF-00000784-VET</v>
      </c>
    </row>
    <row r="8925" spans="1:2" ht="12.5" x14ac:dyDescent="0.25">
      <c r="A8925" t="str">
        <f ca="1">IFERROR(__xludf.DUMMYFUNCTION("""COMPUTED_VALUE"""),"Trimethyl-sulfonium cation, resulting from the use of glyphosate")</f>
        <v>Trimethyl-sulfonium cation, resulting from the use of glyphosate</v>
      </c>
      <c r="B8925" t="str">
        <f ca="1">IFERROR(__xludf.DUMMYFUNCTION("""COMPUTED_VALUE"""),"RF-0445-001-PPP")</f>
        <v>RF-0445-001-PPP</v>
      </c>
    </row>
    <row r="8926" spans="1:2" ht="12.5" x14ac:dyDescent="0.25">
      <c r="A8926" t="str">
        <f ca="1">IFERROR(__xludf.DUMMYFUNCTION("""COMPUTED_VALUE"""),"Trimethylarsine")</f>
        <v>Trimethylarsine</v>
      </c>
      <c r="B8926" t="str">
        <f ca="1">IFERROR(__xludf.DUMMYFUNCTION("""COMPUTED_VALUE"""),"RF-00000130-CHE")</f>
        <v>RF-00000130-CHE</v>
      </c>
    </row>
    <row r="8927" spans="1:2" ht="12.5" x14ac:dyDescent="0.25">
      <c r="A8927" t="str">
        <f ca="1">IFERROR(__xludf.DUMMYFUNCTION("""COMPUTED_VALUE"""),"Trimethylarsine oxide")</f>
        <v>Trimethylarsine oxide</v>
      </c>
      <c r="B8927" t="str">
        <f ca="1">IFERROR(__xludf.DUMMYFUNCTION("""COMPUTED_VALUE"""),"RF-00000131-CHE")</f>
        <v>RF-00000131-CHE</v>
      </c>
    </row>
    <row r="8928" spans="1:2" ht="12.5" x14ac:dyDescent="0.25">
      <c r="A8928" t="str">
        <f ca="1">IFERROR(__xludf.DUMMYFUNCTION("""COMPUTED_VALUE"""),"Trinexapac")</f>
        <v>Trinexapac</v>
      </c>
      <c r="B8928" t="str">
        <f ca="1">IFERROR(__xludf.DUMMYFUNCTION("""COMPUTED_VALUE"""),"RF-0446-001-PPP")</f>
        <v>RF-0446-001-PPP</v>
      </c>
    </row>
    <row r="8929" spans="1:2" ht="12.5" x14ac:dyDescent="0.25">
      <c r="A8929" t="str">
        <f ca="1">IFERROR(__xludf.DUMMYFUNCTION("""COMPUTED_VALUE"""),"Trinexapac-Ethyl")</f>
        <v>Trinexapac-Ethyl</v>
      </c>
      <c r="B8929" t="str">
        <f ca="1">IFERROR(__xludf.DUMMYFUNCTION("""COMPUTED_VALUE"""),"RF-0963-001-PPP")</f>
        <v>RF-0963-001-PPP</v>
      </c>
    </row>
    <row r="8930" spans="1:2" ht="12.5" x14ac:dyDescent="0.25">
      <c r="A8930" t="str">
        <f ca="1">IFERROR(__xludf.DUMMYFUNCTION("""COMPUTED_VALUE"""),"Triphenylmethane")</f>
        <v>Triphenylmethane</v>
      </c>
      <c r="B8930" t="str">
        <f ca="1">IFERROR(__xludf.DUMMYFUNCTION("""COMPUTED_VALUE"""),"RF-0964-001-PPP")</f>
        <v>RF-0964-001-PPP</v>
      </c>
    </row>
    <row r="8931" spans="1:2" ht="12.5" x14ac:dyDescent="0.25">
      <c r="A8931" t="str">
        <f ca="1">IFERROR(__xludf.DUMMYFUNCTION("""COMPUTED_VALUE"""),"Triphenylphosphate")</f>
        <v>Triphenylphosphate</v>
      </c>
      <c r="B8931" t="str">
        <f ca="1">IFERROR(__xludf.DUMMYFUNCTION("""COMPUTED_VALUE"""),"RF-0965-001-PPP")</f>
        <v>RF-0965-001-PPP</v>
      </c>
    </row>
    <row r="8932" spans="1:2" ht="12.5" x14ac:dyDescent="0.25">
      <c r="A8932" t="str">
        <f ca="1">IFERROR(__xludf.DUMMYFUNCTION("""COMPUTED_VALUE"""),"Triphenyltin")</f>
        <v>Triphenyltin</v>
      </c>
      <c r="B8932" t="str">
        <f ca="1">IFERROR(__xludf.DUMMYFUNCTION("""COMPUTED_VALUE"""),"RF-00000272-CHE")</f>
        <v>RF-00000272-CHE</v>
      </c>
    </row>
    <row r="8933" spans="1:2" ht="12.5" x14ac:dyDescent="0.25">
      <c r="A8933" t="str">
        <f ca="1">IFERROR(__xludf.DUMMYFUNCTION("""COMPUTED_VALUE"""),"Triphosphates")</f>
        <v>Triphosphates</v>
      </c>
      <c r="B8933" t="str">
        <f ca="1">IFERROR(__xludf.DUMMYFUNCTION("""COMPUTED_VALUE"""),"RF-00000340-ADD")</f>
        <v>RF-00000340-ADD</v>
      </c>
    </row>
    <row r="8934" spans="1:2" ht="12.5" x14ac:dyDescent="0.25">
      <c r="A8934" t="str">
        <f ca="1">IFERROR(__xludf.DUMMYFUNCTION("""COMPUTED_VALUE"""),"Triticonazole")</f>
        <v>Triticonazole</v>
      </c>
      <c r="B8934" t="str">
        <f ca="1">IFERROR(__xludf.DUMMYFUNCTION("""COMPUTED_VALUE"""),"RF-0447-001-PPP")</f>
        <v>RF-0447-001-PPP</v>
      </c>
    </row>
    <row r="8935" spans="1:2" ht="12.5" x14ac:dyDescent="0.25">
      <c r="A8935" t="str">
        <f ca="1">IFERROR(__xludf.DUMMYFUNCTION("""COMPUTED_VALUE"""),"Tritium")</f>
        <v>Tritium</v>
      </c>
      <c r="B8935" t="str">
        <f ca="1">IFERROR(__xludf.DUMMYFUNCTION("""COMPUTED_VALUE"""),"RF-00000012-RAD")</f>
        <v>RF-00000012-RAD</v>
      </c>
    </row>
    <row r="8936" spans="1:2" ht="12.5" x14ac:dyDescent="0.25">
      <c r="A8936" t="str">
        <f ca="1">IFERROR(__xludf.DUMMYFUNCTION("""COMPUTED_VALUE"""),"Tritosulfuron")</f>
        <v>Tritosulfuron</v>
      </c>
      <c r="B8936" t="str">
        <f ca="1">IFERROR(__xludf.DUMMYFUNCTION("""COMPUTED_VALUE"""),"RF-0448-001-PPP")</f>
        <v>RF-0448-001-PPP</v>
      </c>
    </row>
    <row r="8937" spans="1:2" ht="12.5" x14ac:dyDescent="0.25">
      <c r="A8937" t="str">
        <f ca="1">IFERROR(__xludf.DUMMYFUNCTION("""COMPUTED_VALUE"""),"Tropane alkaloids")</f>
        <v>Tropane alkaloids</v>
      </c>
      <c r="B8937" t="str">
        <f ca="1">IFERROR(__xludf.DUMMYFUNCTION("""COMPUTED_VALUE"""),"RF-00000245-TOX")</f>
        <v>RF-00000245-TOX</v>
      </c>
    </row>
    <row r="8938" spans="1:2" ht="12.5" x14ac:dyDescent="0.25">
      <c r="A8938" t="str">
        <f ca="1">IFERROR(__xludf.DUMMYFUNCTION("""COMPUTED_VALUE"""),"Trovafloxacin")</f>
        <v>Trovafloxacin</v>
      </c>
      <c r="B8938" t="str">
        <f ca="1">IFERROR(__xludf.DUMMYFUNCTION("""COMPUTED_VALUE"""),"RF-00000563-VET")</f>
        <v>RF-00000563-VET</v>
      </c>
    </row>
    <row r="8939" spans="1:2" ht="12.5" x14ac:dyDescent="0.25">
      <c r="A8939" t="str">
        <f ca="1">IFERROR(__xludf.DUMMYFUNCTION("""COMPUTED_VALUE"""),"Tryptamine")</f>
        <v>Tryptamine</v>
      </c>
      <c r="B8939" t="str">
        <f ca="1">IFERROR(__xludf.DUMMYFUNCTION("""COMPUTED_VALUE"""),"RF-00000009-BGA")</f>
        <v>RF-00000009-BGA</v>
      </c>
    </row>
    <row r="8940" spans="1:2" ht="12.5" x14ac:dyDescent="0.25">
      <c r="A8940" t="str">
        <f ca="1">IFERROR(__xludf.DUMMYFUNCTION("""COMPUTED_VALUE"""),"tryptophan")</f>
        <v>tryptophan</v>
      </c>
      <c r="B8940" t="str">
        <f ca="1">IFERROR(__xludf.DUMMYFUNCTION("""COMPUTED_VALUE"""),"RF-00000416-NTR")</f>
        <v>RF-00000416-NTR</v>
      </c>
    </row>
    <row r="8941" spans="1:2" ht="12.5" x14ac:dyDescent="0.25">
      <c r="A8941" t="str">
        <f ca="1">IFERROR(__xludf.DUMMYFUNCTION("""COMPUTED_VALUE"""),"Tulathromycin")</f>
        <v>Tulathromycin</v>
      </c>
      <c r="B8941" t="str">
        <f ca="1">IFERROR(__xludf.DUMMYFUNCTION("""COMPUTED_VALUE"""),"RF-00000564-VET")</f>
        <v>RF-00000564-VET</v>
      </c>
    </row>
    <row r="8942" spans="1:2" ht="12.5" x14ac:dyDescent="0.25">
      <c r="A8942" t="str">
        <f ca="1">IFERROR(__xludf.DUMMYFUNCTION("""COMPUTED_VALUE"""),"Tulobuterol")</f>
        <v>Tulobuterol</v>
      </c>
      <c r="B8942" t="str">
        <f ca="1">IFERROR(__xludf.DUMMYFUNCTION("""COMPUTED_VALUE"""),"RF-00000471-VET")</f>
        <v>RF-00000471-VET</v>
      </c>
    </row>
    <row r="8943" spans="1:2" ht="12.5" x14ac:dyDescent="0.25">
      <c r="A8943" t="str">
        <f ca="1">IFERROR(__xludf.DUMMYFUNCTION("""COMPUTED_VALUE"""),"Tulobuterol hydrochloride")</f>
        <v>Tulobuterol hydrochloride</v>
      </c>
      <c r="B8943" t="str">
        <f ca="1">IFERROR(__xludf.DUMMYFUNCTION("""COMPUTED_VALUE"""),"RF-00000469-VET")</f>
        <v>RF-00000469-VET</v>
      </c>
    </row>
    <row r="8944" spans="1:2" ht="12.5" x14ac:dyDescent="0.25">
      <c r="A8944" t="str">
        <f ca="1">IFERROR(__xludf.DUMMYFUNCTION("""COMPUTED_VALUE"""),"Tungsten (W)")</f>
        <v>Tungsten (W)</v>
      </c>
      <c r="B8944" t="str">
        <f ca="1">IFERROR(__xludf.DUMMYFUNCTION("""COMPUTED_VALUE"""),"RF-00000201-CHE")</f>
        <v>RF-00000201-CHE</v>
      </c>
    </row>
    <row r="8945" spans="1:2" ht="12.5" x14ac:dyDescent="0.25">
      <c r="A8945" t="str">
        <f ca="1">IFERROR(__xludf.DUMMYFUNCTION("""COMPUTED_VALUE"""),"Tungsten and derivatives")</f>
        <v>Tungsten and derivatives</v>
      </c>
      <c r="B8945" t="str">
        <f ca="1">IFERROR(__xludf.DUMMYFUNCTION("""COMPUTED_VALUE"""),"RF-00000200-CHE")</f>
        <v>RF-00000200-CHE</v>
      </c>
    </row>
    <row r="8946" spans="1:2" ht="12.5" x14ac:dyDescent="0.25">
      <c r="A8946" t="str">
        <f ca="1">IFERROR(__xludf.DUMMYFUNCTION("""COMPUTED_VALUE"""),"Tussilagine")</f>
        <v>Tussilagine</v>
      </c>
      <c r="B8946" t="str">
        <f ca="1">IFERROR(__xludf.DUMMYFUNCTION("""COMPUTED_VALUE"""),"RF-00000307-TOX")</f>
        <v>RF-00000307-TOX</v>
      </c>
    </row>
    <row r="8947" spans="1:2" ht="12.5" x14ac:dyDescent="0.25">
      <c r="A8947" t="str">
        <f ca="1">IFERROR(__xludf.DUMMYFUNCTION("""COMPUTED_VALUE"""),"Tussilaginine")</f>
        <v>Tussilaginine</v>
      </c>
      <c r="B8947" t="str">
        <f ca="1">IFERROR(__xludf.DUMMYFUNCTION("""COMPUTED_VALUE"""),"RF-00000308-TOX")</f>
        <v>RF-00000308-TOX</v>
      </c>
    </row>
    <row r="8948" spans="1:2" ht="12.5" x14ac:dyDescent="0.25">
      <c r="A8948" t="str">
        <f ca="1">IFERROR(__xludf.DUMMYFUNCTION("""COMPUTED_VALUE"""),"Tylon (Tylosin, Tylosin A)")</f>
        <v>Tylon (Tylosin, Tylosin A)</v>
      </c>
      <c r="B8948" t="str">
        <f ca="1">IFERROR(__xludf.DUMMYFUNCTION("""COMPUTED_VALUE"""),"RF-00000565-VET")</f>
        <v>RF-00000565-VET</v>
      </c>
    </row>
    <row r="8949" spans="1:2" ht="12.5" x14ac:dyDescent="0.25">
      <c r="A8949" t="str">
        <f ca="1">IFERROR(__xludf.DUMMYFUNCTION("""COMPUTED_VALUE"""),"Tylosine")</f>
        <v>Tylosine</v>
      </c>
      <c r="B8949" t="str">
        <f ca="1">IFERROR(__xludf.DUMMYFUNCTION("""COMPUTED_VALUE"""),"RF-00000747-VET")</f>
        <v>RF-00000747-VET</v>
      </c>
    </row>
    <row r="8950" spans="1:2" ht="12.5" x14ac:dyDescent="0.25">
      <c r="A8950" t="str">
        <f ca="1">IFERROR(__xludf.DUMMYFUNCTION("""COMPUTED_VALUE"""),"Tyramine")</f>
        <v>Tyramine</v>
      </c>
      <c r="B8950" t="str">
        <f ca="1">IFERROR(__xludf.DUMMYFUNCTION("""COMPUTED_VALUE"""),"RF-00000007-BGA")</f>
        <v>RF-00000007-BGA</v>
      </c>
    </row>
    <row r="8951" spans="1:2" ht="12.5" x14ac:dyDescent="0.25">
      <c r="A8951" t="str">
        <f ca="1">IFERROR(__xludf.DUMMYFUNCTION("""COMPUTED_VALUE"""),"tyrosine")</f>
        <v>tyrosine</v>
      </c>
      <c r="B8951" t="str">
        <f ca="1">IFERROR(__xludf.DUMMYFUNCTION("""COMPUTED_VALUE"""),"RF-00000417-NTR")</f>
        <v>RF-00000417-NTR</v>
      </c>
    </row>
    <row r="8952" spans="1:2" ht="12.5" x14ac:dyDescent="0.25">
      <c r="A8952" t="str">
        <f ca="1">IFERROR(__xludf.DUMMYFUNCTION("""COMPUTED_VALUE"""),"Uniconazole")</f>
        <v>Uniconazole</v>
      </c>
      <c r="B8952" t="str">
        <f ca="1">IFERROR(__xludf.DUMMYFUNCTION("""COMPUTED_VALUE"""),"RF-0967-001-PPP")</f>
        <v>RF-0967-001-PPP</v>
      </c>
    </row>
    <row r="8953" spans="1:2" ht="12.5" x14ac:dyDescent="0.25">
      <c r="A8953" t="str">
        <f ca="1">IFERROR(__xludf.DUMMYFUNCTION("""COMPUTED_VALUE"""),"Unknown")</f>
        <v>Unknown</v>
      </c>
      <c r="B8953" t="str">
        <f ca="1">IFERROR(__xludf.DUMMYFUNCTION("""COMPUTED_VALUE"""),"RF-XXXX-XXX-X01")</f>
        <v>RF-XXXX-XXX-X01</v>
      </c>
    </row>
    <row r="8954" spans="1:2" ht="12.5" x14ac:dyDescent="0.25">
      <c r="A8954" t="str">
        <f ca="1">IFERROR(__xludf.DUMMYFUNCTION("""COMPUTED_VALUE"""),"Unspecified")</f>
        <v>Unspecified</v>
      </c>
      <c r="B8954" t="str">
        <f ca="1">IFERROR(__xludf.DUMMYFUNCTION("""COMPUTED_VALUE"""),"RF-XXXX-XXX-X02")</f>
        <v>RF-XXXX-XXX-X02</v>
      </c>
    </row>
    <row r="8955" spans="1:2" ht="12.5" x14ac:dyDescent="0.25">
      <c r="A8955" t="str">
        <f ca="1">IFERROR(__xludf.DUMMYFUNCTION("""COMPUTED_VALUE"""),"Unspecified Lyssavirus")</f>
        <v>Unspecified Lyssavirus</v>
      </c>
      <c r="B8955" t="str">
        <f ca="1">IFERROR(__xludf.DUMMYFUNCTION("""COMPUTED_VALUE"""),"RF-00000264-MCG")</f>
        <v>RF-00000264-MCG</v>
      </c>
    </row>
    <row r="8956" spans="1:2" ht="12.5" x14ac:dyDescent="0.25">
      <c r="A8956" t="str">
        <f ca="1">IFERROR(__xludf.DUMMYFUNCTION("""COMPUTED_VALUE"""),"Unspecified Microsporum")</f>
        <v>Unspecified Microsporum</v>
      </c>
      <c r="B8956" t="str">
        <f ca="1">IFERROR(__xludf.DUMMYFUNCTION("""COMPUTED_VALUE"""),"RF-00000271-MCG")</f>
        <v>RF-00000271-MCG</v>
      </c>
    </row>
    <row r="8957" spans="1:2" ht="12.5" x14ac:dyDescent="0.25">
      <c r="A8957" t="str">
        <f ca="1">IFERROR(__xludf.DUMMYFUNCTION("""COMPUTED_VALUE"""),"Uplandicine")</f>
        <v>Uplandicine</v>
      </c>
      <c r="B8957" t="str">
        <f ca="1">IFERROR(__xludf.DUMMYFUNCTION("""COMPUTED_VALUE"""),"RF-00000309-TOX")</f>
        <v>RF-00000309-TOX</v>
      </c>
    </row>
    <row r="8958" spans="1:2" ht="12.5" x14ac:dyDescent="0.25">
      <c r="A8958" t="str">
        <f ca="1">IFERROR(__xludf.DUMMYFUNCTION("""COMPUTED_VALUE"""),"Uranium (U)")</f>
        <v>Uranium (U)</v>
      </c>
      <c r="B8958" t="str">
        <f ca="1">IFERROR(__xludf.DUMMYFUNCTION("""COMPUTED_VALUE"""),"RF-00000197-CHE")</f>
        <v>RF-00000197-CHE</v>
      </c>
    </row>
    <row r="8959" spans="1:2" ht="12.5" x14ac:dyDescent="0.25">
      <c r="A8959" t="str">
        <f ca="1">IFERROR(__xludf.DUMMYFUNCTION("""COMPUTED_VALUE"""),"Uranium and derivatives")</f>
        <v>Uranium and derivatives</v>
      </c>
      <c r="B8959" t="str">
        <f ca="1">IFERROR(__xludf.DUMMYFUNCTION("""COMPUTED_VALUE"""),"RF-00000196-CHE")</f>
        <v>RF-00000196-CHE</v>
      </c>
    </row>
    <row r="8960" spans="1:2" ht="12.5" x14ac:dyDescent="0.25">
      <c r="A8960" t="str">
        <f ca="1">IFERROR(__xludf.DUMMYFUNCTION("""COMPUTED_VALUE"""),"Urea")</f>
        <v>Urea</v>
      </c>
      <c r="B8960" t="str">
        <f ca="1">IFERROR(__xludf.DUMMYFUNCTION("""COMPUTED_VALUE"""),"RF-00000104-CHE")</f>
        <v>RF-00000104-CHE</v>
      </c>
    </row>
    <row r="8961" spans="1:2" ht="12.5" x14ac:dyDescent="0.25">
      <c r="A8961" t="str">
        <f ca="1">IFERROR(__xludf.DUMMYFUNCTION("""COMPUTED_VALUE"""),"Urea and derivatives")</f>
        <v>Urea and derivatives</v>
      </c>
      <c r="B8961" t="str">
        <f ca="1">IFERROR(__xludf.DUMMYFUNCTION("""COMPUTED_VALUE"""),"RF-00000103-CHE")</f>
        <v>RF-00000103-CHE</v>
      </c>
    </row>
    <row r="8962" spans="1:2" ht="12.5" x14ac:dyDescent="0.25">
      <c r="A8962" t="str">
        <f ca="1">IFERROR(__xludf.DUMMYFUNCTION("""COMPUTED_VALUE"""),"Urea phosphate")</f>
        <v>Urea phosphate</v>
      </c>
      <c r="B8962" t="str">
        <f ca="1">IFERROR(__xludf.DUMMYFUNCTION("""COMPUTED_VALUE"""),"RF-00000097-CHE")</f>
        <v>RF-00000097-CHE</v>
      </c>
    </row>
    <row r="8963" spans="1:2" ht="12.5" x14ac:dyDescent="0.25">
      <c r="A8963" t="str">
        <f ca="1">IFERROR(__xludf.DUMMYFUNCTION("""COMPUTED_VALUE"""),"Uric acid")</f>
        <v>Uric acid</v>
      </c>
      <c r="B8963" t="str">
        <f ca="1">IFERROR(__xludf.DUMMYFUNCTION("""COMPUTED_VALUE"""),"RF-00000107-CHE")</f>
        <v>RF-00000107-CHE</v>
      </c>
    </row>
    <row r="8964" spans="1:2" ht="12.5" x14ac:dyDescent="0.25">
      <c r="A8964" t="str">
        <f ca="1">IFERROR(__xludf.DUMMYFUNCTION("""COMPUTED_VALUE"""),"Usaramine-N-oxide")</f>
        <v>Usaramine-N-oxide</v>
      </c>
      <c r="B8964" t="str">
        <f ca="1">IFERROR(__xludf.DUMMYFUNCTION("""COMPUTED_VALUE"""),"RF-00000420-TOX")</f>
        <v>RF-00000420-TOX</v>
      </c>
    </row>
    <row r="8965" spans="1:2" ht="12.5" x14ac:dyDescent="0.25">
      <c r="A8965" t="str">
        <f ca="1">IFERROR(__xludf.DUMMYFUNCTION("""COMPUTED_VALUE"""),"usual portion")</f>
        <v>usual portion</v>
      </c>
      <c r="B8965" t="str">
        <f ca="1">IFERROR(__xludf.DUMMYFUNCTION("""COMPUTED_VALUE"""),"RF-00000418-NTR")</f>
        <v>RF-00000418-NTR</v>
      </c>
    </row>
    <row r="8966" spans="1:2" ht="12.5" x14ac:dyDescent="0.25">
      <c r="A8966" t="str">
        <f ca="1">IFERROR(__xludf.DUMMYFUNCTION("""COMPUTED_VALUE"""),"Usuramine")</f>
        <v>Usuramine</v>
      </c>
      <c r="B8966" t="str">
        <f ca="1">IFERROR(__xludf.DUMMYFUNCTION("""COMPUTED_VALUE"""),"RF-00000310-TOX")</f>
        <v>RF-00000310-TOX</v>
      </c>
    </row>
    <row r="8967" spans="1:2" ht="12.5" x14ac:dyDescent="0.25">
      <c r="A8967" t="str">
        <f ca="1">IFERROR(__xludf.DUMMYFUNCTION("""COMPUTED_VALUE"""),"Validamycin")</f>
        <v>Validamycin</v>
      </c>
      <c r="B8967" t="str">
        <f ca="1">IFERROR(__xludf.DUMMYFUNCTION("""COMPUTED_VALUE"""),"RF-0968-001-PPP")</f>
        <v>RF-0968-001-PPP</v>
      </c>
    </row>
    <row r="8968" spans="1:2" ht="12.5" x14ac:dyDescent="0.25">
      <c r="A8968" t="str">
        <f ca="1">IFERROR(__xludf.DUMMYFUNCTION("""COMPUTED_VALUE"""),"Valifenalate")</f>
        <v>Valifenalate</v>
      </c>
      <c r="B8968" t="str">
        <f ca="1">IFERROR(__xludf.DUMMYFUNCTION("""COMPUTED_VALUE"""),"RF-1057-001-PPP")</f>
        <v>RF-1057-001-PPP</v>
      </c>
    </row>
    <row r="8969" spans="1:2" ht="12.5" x14ac:dyDescent="0.25">
      <c r="A8969" t="str">
        <f ca="1">IFERROR(__xludf.DUMMYFUNCTION("""COMPUTED_VALUE"""),"valine")</f>
        <v>valine</v>
      </c>
      <c r="B8969" t="str">
        <f ca="1">IFERROR(__xludf.DUMMYFUNCTION("""COMPUTED_VALUE"""),"RF-00000419-NTR")</f>
        <v>RF-00000419-NTR</v>
      </c>
    </row>
    <row r="8970" spans="1:2" ht="12.5" x14ac:dyDescent="0.25">
      <c r="A8970" t="str">
        <f ca="1">IFERROR(__xludf.DUMMYFUNCTION("""COMPUTED_VALUE"""),"Valiphenal")</f>
        <v>Valiphenal</v>
      </c>
      <c r="B8970" t="str">
        <f ca="1">IFERROR(__xludf.DUMMYFUNCTION("""COMPUTED_VALUE"""),"RF-0449-001-PPP")</f>
        <v>RF-0449-001-PPP</v>
      </c>
    </row>
    <row r="8971" spans="1:2" ht="12.5" x14ac:dyDescent="0.25">
      <c r="A8971" t="str">
        <f ca="1">IFERROR(__xludf.DUMMYFUNCTION("""COMPUTED_VALUE"""),"Valnemulin")</f>
        <v>Valnemulin</v>
      </c>
      <c r="B8971" t="str">
        <f ca="1">IFERROR(__xludf.DUMMYFUNCTION("""COMPUTED_VALUE"""),"RF-00000557-VET")</f>
        <v>RF-00000557-VET</v>
      </c>
    </row>
    <row r="8972" spans="1:2" ht="12.5" x14ac:dyDescent="0.25">
      <c r="A8972" t="str">
        <f ca="1">IFERROR(__xludf.DUMMYFUNCTION("""COMPUTED_VALUE"""),"Vamidothion")</f>
        <v>Vamidothion</v>
      </c>
      <c r="B8972" t="str">
        <f ca="1">IFERROR(__xludf.DUMMYFUNCTION("""COMPUTED_VALUE"""),"RF-0969-001-PPP")</f>
        <v>RF-0969-001-PPP</v>
      </c>
    </row>
    <row r="8973" spans="1:2" ht="12.5" x14ac:dyDescent="0.25">
      <c r="A8973" t="str">
        <f ca="1">IFERROR(__xludf.DUMMYFUNCTION("""COMPUTED_VALUE"""),"Vamidothion (sum of Vamidothion, Vamidothion-sulfone and Vamidothion-sulfoxide expressed as Vamidothion)")</f>
        <v>Vamidothion (sum of Vamidothion, Vamidothion-sulfone and Vamidothion-sulfoxide expressed as Vamidothion)</v>
      </c>
      <c r="B8973" t="str">
        <f ca="1">IFERROR(__xludf.DUMMYFUNCTION("""COMPUTED_VALUE"""),"RF-0969-002-PPP")</f>
        <v>RF-0969-002-PPP</v>
      </c>
    </row>
    <row r="8974" spans="1:2" ht="12.5" x14ac:dyDescent="0.25">
      <c r="A8974" t="str">
        <f ca="1">IFERROR(__xludf.DUMMYFUNCTION("""COMPUTED_VALUE"""),"Vamidothion sulfone")</f>
        <v>Vamidothion sulfone</v>
      </c>
      <c r="B8974" t="str">
        <f ca="1">IFERROR(__xludf.DUMMYFUNCTION("""COMPUTED_VALUE"""),"RF-0969-003-PPP")</f>
        <v>RF-0969-003-PPP</v>
      </c>
    </row>
    <row r="8975" spans="1:2" ht="12.5" x14ac:dyDescent="0.25">
      <c r="A8975" t="str">
        <f ca="1">IFERROR(__xludf.DUMMYFUNCTION("""COMPUTED_VALUE"""),"Vamidothion sulfoxide")</f>
        <v>Vamidothion sulfoxide</v>
      </c>
      <c r="B8975" t="str">
        <f ca="1">IFERROR(__xludf.DUMMYFUNCTION("""COMPUTED_VALUE"""),"RF-0969-004-PPP")</f>
        <v>RF-0969-004-PPP</v>
      </c>
    </row>
    <row r="8976" spans="1:2" ht="12.5" x14ac:dyDescent="0.25">
      <c r="A8976" t="str">
        <f ca="1">IFERROR(__xludf.DUMMYFUNCTION("""COMPUTED_VALUE"""),"Vanadium (V)")</f>
        <v>Vanadium (V)</v>
      </c>
      <c r="B8976" t="str">
        <f ca="1">IFERROR(__xludf.DUMMYFUNCTION("""COMPUTED_VALUE"""),"RF-00000199-CHE")</f>
        <v>RF-00000199-CHE</v>
      </c>
    </row>
    <row r="8977" spans="1:2" ht="12.5" x14ac:dyDescent="0.25">
      <c r="A8977" t="str">
        <f ca="1">IFERROR(__xludf.DUMMYFUNCTION("""COMPUTED_VALUE"""),"Vanadium and derivatives")</f>
        <v>Vanadium and derivatives</v>
      </c>
      <c r="B8977" t="str">
        <f ca="1">IFERROR(__xludf.DUMMYFUNCTION("""COMPUTED_VALUE"""),"RF-00000198-CHE")</f>
        <v>RF-00000198-CHE</v>
      </c>
    </row>
    <row r="8978" spans="1:2" ht="12.5" x14ac:dyDescent="0.25">
      <c r="A8978" t="str">
        <f ca="1">IFERROR(__xludf.DUMMYFUNCTION("""COMPUTED_VALUE"""),"Vancomycin")</f>
        <v>Vancomycin</v>
      </c>
      <c r="B8978" t="str">
        <f ca="1">IFERROR(__xludf.DUMMYFUNCTION("""COMPUTED_VALUE"""),"RF-00000569-VET")</f>
        <v>RF-00000569-VET</v>
      </c>
    </row>
    <row r="8979" spans="1:2" ht="12.5" x14ac:dyDescent="0.25">
      <c r="A8979" t="str">
        <f ca="1">IFERROR(__xludf.DUMMYFUNCTION("""COMPUTED_VALUE"""),"VEB")</f>
        <v>VEB</v>
      </c>
      <c r="B8979" t="str">
        <f ca="1">IFERROR(__xludf.DUMMYFUNCTION("""COMPUTED_VALUE"""),"RF-00000167-PAR")</f>
        <v>RF-00000167-PAR</v>
      </c>
    </row>
    <row r="8980" spans="1:2" ht="12.5" x14ac:dyDescent="0.25">
      <c r="A8980" t="str">
        <f ca="1">IFERROR(__xludf.DUMMYFUNCTION("""COMPUTED_VALUE"""),"VEB-1")</f>
        <v>VEB-1</v>
      </c>
      <c r="B8980" t="str">
        <f ca="1">IFERROR(__xludf.DUMMYFUNCTION("""COMPUTED_VALUE"""),"RF-00000168-PAR")</f>
        <v>RF-00000168-PAR</v>
      </c>
    </row>
    <row r="8981" spans="1:2" ht="12.5" x14ac:dyDescent="0.25">
      <c r="A8981" t="str">
        <f ca="1">IFERROR(__xludf.DUMMYFUNCTION("""COMPUTED_VALUE"""),"VEB-2")</f>
        <v>VEB-2</v>
      </c>
      <c r="B8981" t="str">
        <f ca="1">IFERROR(__xludf.DUMMYFUNCTION("""COMPUTED_VALUE"""),"RF-00000169-PAR")</f>
        <v>RF-00000169-PAR</v>
      </c>
    </row>
    <row r="8982" spans="1:2" ht="12.5" x14ac:dyDescent="0.25">
      <c r="A8982" t="str">
        <f ca="1">IFERROR(__xludf.DUMMYFUNCTION("""COMPUTED_VALUE"""),"VEB-3")</f>
        <v>VEB-3</v>
      </c>
      <c r="B8982" t="str">
        <f ca="1">IFERROR(__xludf.DUMMYFUNCTION("""COMPUTED_VALUE"""),"RF-00000170-PAR")</f>
        <v>RF-00000170-PAR</v>
      </c>
    </row>
    <row r="8983" spans="1:2" ht="12.5" x14ac:dyDescent="0.25">
      <c r="A8983" t="str">
        <f ca="1">IFERROR(__xludf.DUMMYFUNCTION("""COMPUTED_VALUE"""),"VEB-4")</f>
        <v>VEB-4</v>
      </c>
      <c r="B8983" t="str">
        <f ca="1">IFERROR(__xludf.DUMMYFUNCTION("""COMPUTED_VALUE"""),"RF-00000171-PAR")</f>
        <v>RF-00000171-PAR</v>
      </c>
    </row>
    <row r="8984" spans="1:2" ht="12.5" x14ac:dyDescent="0.25">
      <c r="A8984" t="str">
        <f ca="1">IFERROR(__xludf.DUMMYFUNCTION("""COMPUTED_VALUE"""),"VEB-5")</f>
        <v>VEB-5</v>
      </c>
      <c r="B8984" t="str">
        <f ca="1">IFERROR(__xludf.DUMMYFUNCTION("""COMPUTED_VALUE"""),"RF-00000172-PAR")</f>
        <v>RF-00000172-PAR</v>
      </c>
    </row>
    <row r="8985" spans="1:2" ht="12.5" x14ac:dyDescent="0.25">
      <c r="A8985" t="str">
        <f ca="1">IFERROR(__xludf.DUMMYFUNCTION("""COMPUTED_VALUE"""),"VEB-6")</f>
        <v>VEB-6</v>
      </c>
      <c r="B8985" t="str">
        <f ca="1">IFERROR(__xludf.DUMMYFUNCTION("""COMPUTED_VALUE"""),"RF-00000173-PAR")</f>
        <v>RF-00000173-PAR</v>
      </c>
    </row>
    <row r="8986" spans="1:2" ht="12.5" x14ac:dyDescent="0.25">
      <c r="A8986" t="str">
        <f ca="1">IFERROR(__xludf.DUMMYFUNCTION("""COMPUTED_VALUE"""),"VEB-7")</f>
        <v>VEB-7</v>
      </c>
      <c r="B8986" t="str">
        <f ca="1">IFERROR(__xludf.DUMMYFUNCTION("""COMPUTED_VALUE"""),"RF-00000174-PAR")</f>
        <v>RF-00000174-PAR</v>
      </c>
    </row>
    <row r="8987" spans="1:2" ht="12.5" x14ac:dyDescent="0.25">
      <c r="A8987" t="str">
        <f ca="1">IFERROR(__xludf.DUMMYFUNCTION("""COMPUTED_VALUE"""),"VEB-8")</f>
        <v>VEB-8</v>
      </c>
      <c r="B8987" t="str">
        <f ca="1">IFERROR(__xludf.DUMMYFUNCTION("""COMPUTED_VALUE"""),"RF-00000175-PAR")</f>
        <v>RF-00000175-PAR</v>
      </c>
    </row>
    <row r="8988" spans="1:2" ht="12.5" x14ac:dyDescent="0.25">
      <c r="A8988" t="str">
        <f ca="1">IFERROR(__xludf.DUMMYFUNCTION("""COMPUTED_VALUE"""),"VEB-9")</f>
        <v>VEB-9</v>
      </c>
      <c r="B8988" t="str">
        <f ca="1">IFERROR(__xludf.DUMMYFUNCTION("""COMPUTED_VALUE"""),"RF-00000176-PAR")</f>
        <v>RF-00000176-PAR</v>
      </c>
    </row>
    <row r="8989" spans="1:2" ht="12.5" x14ac:dyDescent="0.25">
      <c r="A8989" t="str">
        <f ca="1">IFERROR(__xludf.DUMMYFUNCTION("""COMPUTED_VALUE"""),"Vedaprofen")</f>
        <v>Vedaprofen</v>
      </c>
      <c r="B8989" t="str">
        <f ca="1">IFERROR(__xludf.DUMMYFUNCTION("""COMPUTED_VALUE"""),"RF-00000225-VET")</f>
        <v>RF-00000225-VET</v>
      </c>
    </row>
    <row r="8990" spans="1:2" ht="12.5" x14ac:dyDescent="0.25">
      <c r="A8990" t="str">
        <f ca="1">IFERROR(__xludf.DUMMYFUNCTION("""COMPUTED_VALUE"""),"Vegetable carbon Black")</f>
        <v>Vegetable carbon Black</v>
      </c>
      <c r="B8990" t="str">
        <f ca="1">IFERROR(__xludf.DUMMYFUNCTION("""COMPUTED_VALUE"""),"RF-00000341-ADD")</f>
        <v>RF-00000341-ADD</v>
      </c>
    </row>
    <row r="8991" spans="1:2" ht="12.5" x14ac:dyDescent="0.25">
      <c r="A8991" t="str">
        <f ca="1">IFERROR(__xludf.DUMMYFUNCTION("""COMPUTED_VALUE"""),"Ventide")</f>
        <v>Ventide</v>
      </c>
      <c r="B8991" t="str">
        <f ca="1">IFERROR(__xludf.DUMMYFUNCTION("""COMPUTED_VALUE"""),"RF-00000489-VET")</f>
        <v>RF-00000489-VET</v>
      </c>
    </row>
    <row r="8992" spans="1:2" ht="12.5" x14ac:dyDescent="0.25">
      <c r="A8992" t="str">
        <f ca="1">IFERROR(__xludf.DUMMYFUNCTION("""COMPUTED_VALUE"""),"Vernolate")</f>
        <v>Vernolate</v>
      </c>
      <c r="B8992" t="str">
        <f ca="1">IFERROR(__xludf.DUMMYFUNCTION("""COMPUTED_VALUE"""),"RF-0970-001-PPP")</f>
        <v>RF-0970-001-PPP</v>
      </c>
    </row>
    <row r="8993" spans="1:2" ht="12.5" x14ac:dyDescent="0.25">
      <c r="A8993" t="str">
        <f ca="1">IFERROR(__xludf.DUMMYFUNCTION("""COMPUTED_VALUE"""),"Vesiculovirus")</f>
        <v>Vesiculovirus</v>
      </c>
      <c r="B8993" t="str">
        <f ca="1">IFERROR(__xludf.DUMMYFUNCTION("""COMPUTED_VALUE"""),"RF-00002627-MCG")</f>
        <v>RF-00002627-MCG</v>
      </c>
    </row>
    <row r="8994" spans="1:2" ht="12.5" x14ac:dyDescent="0.25">
      <c r="A8994" t="str">
        <f ca="1">IFERROR(__xludf.DUMMYFUNCTION("""COMPUTED_VALUE"""),"Vesiculovirus Chandipura virus")</f>
        <v>Vesiculovirus Chandipura virus</v>
      </c>
      <c r="B8994" t="str">
        <f ca="1">IFERROR(__xludf.DUMMYFUNCTION("""COMPUTED_VALUE"""),"RF-00002629-MCG")</f>
        <v>RF-00002629-MCG</v>
      </c>
    </row>
    <row r="8995" spans="1:2" ht="12.5" x14ac:dyDescent="0.25">
      <c r="A8995" t="str">
        <f ca="1">IFERROR(__xludf.DUMMYFUNCTION("""COMPUTED_VALUE"""),"Vesiculovirus spp., unidentified")</f>
        <v>Vesiculovirus spp., unidentified</v>
      </c>
      <c r="B8995" t="str">
        <f ca="1">IFERROR(__xludf.DUMMYFUNCTION("""COMPUTED_VALUE"""),"RF-00002628-MCG")</f>
        <v>RF-00002628-MCG</v>
      </c>
    </row>
    <row r="8996" spans="1:2" ht="12.5" x14ac:dyDescent="0.25">
      <c r="A8996" t="str">
        <f ca="1">IFERROR(__xludf.DUMMYFUNCTION("""COMPUTED_VALUE"""),"Vesiculovirus Vesicular stomatitis virus")</f>
        <v>Vesiculovirus Vesicular stomatitis virus</v>
      </c>
      <c r="B8996" t="str">
        <f ca="1">IFERROR(__xludf.DUMMYFUNCTION("""COMPUTED_VALUE"""),"RF-00002630-MCG")</f>
        <v>RF-00002630-MCG</v>
      </c>
    </row>
    <row r="8997" spans="1:2" ht="12.5" x14ac:dyDescent="0.25">
      <c r="A8997" t="str">
        <f ca="1">IFERROR(__xludf.DUMMYFUNCTION("""COMPUTED_VALUE"""),"Veterinary drugs")</f>
        <v>Veterinary drugs</v>
      </c>
      <c r="B8997" t="str">
        <f ca="1">IFERROR(__xludf.DUMMYFUNCTION("""COMPUTED_VALUE"""),"RF-00000001-VET")</f>
        <v>RF-00000001-VET</v>
      </c>
    </row>
    <row r="8998" spans="1:2" ht="12.5" x14ac:dyDescent="0.25">
      <c r="A8998" t="str">
        <f ca="1">IFERROR(__xludf.DUMMYFUNCTION("""COMPUTED_VALUE"""),"Vibrio")</f>
        <v>Vibrio</v>
      </c>
      <c r="B8998" t="str">
        <f ca="1">IFERROR(__xludf.DUMMYFUNCTION("""COMPUTED_VALUE"""),"RF-00002526-MCG")</f>
        <v>RF-00002526-MCG</v>
      </c>
    </row>
    <row r="8999" spans="1:2" ht="12.5" x14ac:dyDescent="0.25">
      <c r="A8999" t="str">
        <f ca="1">IFERROR(__xludf.DUMMYFUNCTION("""COMPUTED_VALUE"""),"Vibrio - V. cholerae")</f>
        <v>Vibrio - V. cholerae</v>
      </c>
      <c r="B8999" t="str">
        <f ca="1">IFERROR(__xludf.DUMMYFUNCTION("""COMPUTED_VALUE"""),"RF-00003893-MCG")</f>
        <v>RF-00003893-MCG</v>
      </c>
    </row>
    <row r="9000" spans="1:2" ht="12.5" x14ac:dyDescent="0.25">
      <c r="A9000" t="str">
        <f ca="1">IFERROR(__xludf.DUMMYFUNCTION("""COMPUTED_VALUE"""),"Vibrio - V. parahaemolyticus")</f>
        <v>Vibrio - V. parahaemolyticus</v>
      </c>
      <c r="B9000" t="str">
        <f ca="1">IFERROR(__xludf.DUMMYFUNCTION("""COMPUTED_VALUE"""),"RF-00003894-MCG")</f>
        <v>RF-00003894-MCG</v>
      </c>
    </row>
    <row r="9001" spans="1:2" ht="12.5" x14ac:dyDescent="0.25">
      <c r="A9001" t="str">
        <f ca="1">IFERROR(__xludf.DUMMYFUNCTION("""COMPUTED_VALUE"""),"Vibrio spp., unspecified")</f>
        <v>Vibrio spp., unspecified</v>
      </c>
      <c r="B9001" t="str">
        <f ca="1">IFERROR(__xludf.DUMMYFUNCTION("""COMPUTED_VALUE"""),"RF-00002530-MCG")</f>
        <v>RF-00002530-MCG</v>
      </c>
    </row>
    <row r="9002" spans="1:2" ht="12.5" x14ac:dyDescent="0.25">
      <c r="A9002" t="str">
        <f ca="1">IFERROR(__xludf.DUMMYFUNCTION("""COMPUTED_VALUE"""),"Vibrio vulnificus")</f>
        <v>Vibrio vulnificus</v>
      </c>
      <c r="B9002" t="str">
        <f ca="1">IFERROR(__xludf.DUMMYFUNCTION("""COMPUTED_VALUE"""),"RF-00002528-MCG")</f>
        <v>RF-00002528-MCG</v>
      </c>
    </row>
    <row r="9003" spans="1:2" ht="12.5" x14ac:dyDescent="0.25">
      <c r="A9003" t="str">
        <f ca="1">IFERROR(__xludf.DUMMYFUNCTION("""COMPUTED_VALUE"""),"VIM")</f>
        <v>VIM</v>
      </c>
      <c r="B9003" t="str">
        <f ca="1">IFERROR(__xludf.DUMMYFUNCTION("""COMPUTED_VALUE"""),"RF-00000926-PAR")</f>
        <v>RF-00000926-PAR</v>
      </c>
    </row>
    <row r="9004" spans="1:2" ht="12.5" x14ac:dyDescent="0.25">
      <c r="A9004" t="str">
        <f ca="1">IFERROR(__xludf.DUMMYFUNCTION("""COMPUTED_VALUE"""),"VIM-1")</f>
        <v>VIM-1</v>
      </c>
      <c r="B9004" t="str">
        <f ca="1">IFERROR(__xludf.DUMMYFUNCTION("""COMPUTED_VALUE"""),"RF-00000927-PAR")</f>
        <v>RF-00000927-PAR</v>
      </c>
    </row>
    <row r="9005" spans="1:2" ht="12.5" x14ac:dyDescent="0.25">
      <c r="A9005" t="str">
        <f ca="1">IFERROR(__xludf.DUMMYFUNCTION("""COMPUTED_VALUE"""),"VIM-10")</f>
        <v>VIM-10</v>
      </c>
      <c r="B9005" t="str">
        <f ca="1">IFERROR(__xludf.DUMMYFUNCTION("""COMPUTED_VALUE"""),"RF-00000936-PAR")</f>
        <v>RF-00000936-PAR</v>
      </c>
    </row>
    <row r="9006" spans="1:2" ht="12.5" x14ac:dyDescent="0.25">
      <c r="A9006" t="str">
        <f ca="1">IFERROR(__xludf.DUMMYFUNCTION("""COMPUTED_VALUE"""),"VIM-11")</f>
        <v>VIM-11</v>
      </c>
      <c r="B9006" t="str">
        <f ca="1">IFERROR(__xludf.DUMMYFUNCTION("""COMPUTED_VALUE"""),"RF-00000937-PAR")</f>
        <v>RF-00000937-PAR</v>
      </c>
    </row>
    <row r="9007" spans="1:2" ht="12.5" x14ac:dyDescent="0.25">
      <c r="A9007" t="str">
        <f ca="1">IFERROR(__xludf.DUMMYFUNCTION("""COMPUTED_VALUE"""),"VIM-12")</f>
        <v>VIM-12</v>
      </c>
      <c r="B9007" t="str">
        <f ca="1">IFERROR(__xludf.DUMMYFUNCTION("""COMPUTED_VALUE"""),"RF-00000938-PAR")</f>
        <v>RF-00000938-PAR</v>
      </c>
    </row>
    <row r="9008" spans="1:2" ht="12.5" x14ac:dyDescent="0.25">
      <c r="A9008" t="str">
        <f ca="1">IFERROR(__xludf.DUMMYFUNCTION("""COMPUTED_VALUE"""),"VIM-13")</f>
        <v>VIM-13</v>
      </c>
      <c r="B9008" t="str">
        <f ca="1">IFERROR(__xludf.DUMMYFUNCTION("""COMPUTED_VALUE"""),"RF-00000939-PAR")</f>
        <v>RF-00000939-PAR</v>
      </c>
    </row>
    <row r="9009" spans="1:2" ht="12.5" x14ac:dyDescent="0.25">
      <c r="A9009" t="str">
        <f ca="1">IFERROR(__xludf.DUMMYFUNCTION("""COMPUTED_VALUE"""),"VIM-14")</f>
        <v>VIM-14</v>
      </c>
      <c r="B9009" t="str">
        <f ca="1">IFERROR(__xludf.DUMMYFUNCTION("""COMPUTED_VALUE"""),"RF-00000940-PAR")</f>
        <v>RF-00000940-PAR</v>
      </c>
    </row>
    <row r="9010" spans="1:2" ht="12.5" x14ac:dyDescent="0.25">
      <c r="A9010" t="str">
        <f ca="1">IFERROR(__xludf.DUMMYFUNCTION("""COMPUTED_VALUE"""),"VIM-15")</f>
        <v>VIM-15</v>
      </c>
      <c r="B9010" t="str">
        <f ca="1">IFERROR(__xludf.DUMMYFUNCTION("""COMPUTED_VALUE"""),"RF-00000941-PAR")</f>
        <v>RF-00000941-PAR</v>
      </c>
    </row>
    <row r="9011" spans="1:2" ht="12.5" x14ac:dyDescent="0.25">
      <c r="A9011" t="str">
        <f ca="1">IFERROR(__xludf.DUMMYFUNCTION("""COMPUTED_VALUE"""),"VIM-16")</f>
        <v>VIM-16</v>
      </c>
      <c r="B9011" t="str">
        <f ca="1">IFERROR(__xludf.DUMMYFUNCTION("""COMPUTED_VALUE"""),"RF-00000942-PAR")</f>
        <v>RF-00000942-PAR</v>
      </c>
    </row>
    <row r="9012" spans="1:2" ht="12.5" x14ac:dyDescent="0.25">
      <c r="A9012" t="str">
        <f ca="1">IFERROR(__xludf.DUMMYFUNCTION("""COMPUTED_VALUE"""),"VIM-17")</f>
        <v>VIM-17</v>
      </c>
      <c r="B9012" t="str">
        <f ca="1">IFERROR(__xludf.DUMMYFUNCTION("""COMPUTED_VALUE"""),"RF-00000943-PAR")</f>
        <v>RF-00000943-PAR</v>
      </c>
    </row>
    <row r="9013" spans="1:2" ht="12.5" x14ac:dyDescent="0.25">
      <c r="A9013" t="str">
        <f ca="1">IFERROR(__xludf.DUMMYFUNCTION("""COMPUTED_VALUE"""),"VIM-18")</f>
        <v>VIM-18</v>
      </c>
      <c r="B9013" t="str">
        <f ca="1">IFERROR(__xludf.DUMMYFUNCTION("""COMPUTED_VALUE"""),"RF-00000944-PAR")</f>
        <v>RF-00000944-PAR</v>
      </c>
    </row>
    <row r="9014" spans="1:2" ht="12.5" x14ac:dyDescent="0.25">
      <c r="A9014" t="str">
        <f ca="1">IFERROR(__xludf.DUMMYFUNCTION("""COMPUTED_VALUE"""),"VIM-19")</f>
        <v>VIM-19</v>
      </c>
      <c r="B9014" t="str">
        <f ca="1">IFERROR(__xludf.DUMMYFUNCTION("""COMPUTED_VALUE"""),"RF-00000945-PAR")</f>
        <v>RF-00000945-PAR</v>
      </c>
    </row>
    <row r="9015" spans="1:2" ht="12.5" x14ac:dyDescent="0.25">
      <c r="A9015" t="str">
        <f ca="1">IFERROR(__xludf.DUMMYFUNCTION("""COMPUTED_VALUE"""),"VIM-2")</f>
        <v>VIM-2</v>
      </c>
      <c r="B9015" t="str">
        <f ca="1">IFERROR(__xludf.DUMMYFUNCTION("""COMPUTED_VALUE"""),"RF-00000928-PAR")</f>
        <v>RF-00000928-PAR</v>
      </c>
    </row>
    <row r="9016" spans="1:2" ht="12.5" x14ac:dyDescent="0.25">
      <c r="A9016" t="str">
        <f ca="1">IFERROR(__xludf.DUMMYFUNCTION("""COMPUTED_VALUE"""),"VIM-20")</f>
        <v>VIM-20</v>
      </c>
      <c r="B9016" t="str">
        <f ca="1">IFERROR(__xludf.DUMMYFUNCTION("""COMPUTED_VALUE"""),"RF-00000946-PAR")</f>
        <v>RF-00000946-PAR</v>
      </c>
    </row>
    <row r="9017" spans="1:2" ht="12.5" x14ac:dyDescent="0.25">
      <c r="A9017" t="str">
        <f ca="1">IFERROR(__xludf.DUMMYFUNCTION("""COMPUTED_VALUE"""),"VIM-21")</f>
        <v>VIM-21</v>
      </c>
      <c r="B9017" t="str">
        <f ca="1">IFERROR(__xludf.DUMMYFUNCTION("""COMPUTED_VALUE"""),"RF-00000947-PAR")</f>
        <v>RF-00000947-PAR</v>
      </c>
    </row>
    <row r="9018" spans="1:2" ht="12.5" x14ac:dyDescent="0.25">
      <c r="A9018" t="str">
        <f ca="1">IFERROR(__xludf.DUMMYFUNCTION("""COMPUTED_VALUE"""),"VIM-22")</f>
        <v>VIM-22</v>
      </c>
      <c r="B9018" t="str">
        <f ca="1">IFERROR(__xludf.DUMMYFUNCTION("""COMPUTED_VALUE"""),"RF-00000948-PAR")</f>
        <v>RF-00000948-PAR</v>
      </c>
    </row>
    <row r="9019" spans="1:2" ht="12.5" x14ac:dyDescent="0.25">
      <c r="A9019" t="str">
        <f ca="1">IFERROR(__xludf.DUMMYFUNCTION("""COMPUTED_VALUE"""),"VIM-23")</f>
        <v>VIM-23</v>
      </c>
      <c r="B9019" t="str">
        <f ca="1">IFERROR(__xludf.DUMMYFUNCTION("""COMPUTED_VALUE"""),"RF-00000949-PAR")</f>
        <v>RF-00000949-PAR</v>
      </c>
    </row>
    <row r="9020" spans="1:2" ht="12.5" x14ac:dyDescent="0.25">
      <c r="A9020" t="str">
        <f ca="1">IFERROR(__xludf.DUMMYFUNCTION("""COMPUTED_VALUE"""),"VIM-24")</f>
        <v>VIM-24</v>
      </c>
      <c r="B9020" t="str">
        <f ca="1">IFERROR(__xludf.DUMMYFUNCTION("""COMPUTED_VALUE"""),"RF-00000950-PAR")</f>
        <v>RF-00000950-PAR</v>
      </c>
    </row>
    <row r="9021" spans="1:2" ht="12.5" x14ac:dyDescent="0.25">
      <c r="A9021" t="str">
        <f ca="1">IFERROR(__xludf.DUMMYFUNCTION("""COMPUTED_VALUE"""),"VIM-25")</f>
        <v>VIM-25</v>
      </c>
      <c r="B9021" t="str">
        <f ca="1">IFERROR(__xludf.DUMMYFUNCTION("""COMPUTED_VALUE"""),"RF-00000951-PAR")</f>
        <v>RF-00000951-PAR</v>
      </c>
    </row>
    <row r="9022" spans="1:2" ht="12.5" x14ac:dyDescent="0.25">
      <c r="A9022" t="str">
        <f ca="1">IFERROR(__xludf.DUMMYFUNCTION("""COMPUTED_VALUE"""),"VIM-26")</f>
        <v>VIM-26</v>
      </c>
      <c r="B9022" t="str">
        <f ca="1">IFERROR(__xludf.DUMMYFUNCTION("""COMPUTED_VALUE"""),"RF-00000952-PAR")</f>
        <v>RF-00000952-PAR</v>
      </c>
    </row>
    <row r="9023" spans="1:2" ht="12.5" x14ac:dyDescent="0.25">
      <c r="A9023" t="str">
        <f ca="1">IFERROR(__xludf.DUMMYFUNCTION("""COMPUTED_VALUE"""),"VIM-27")</f>
        <v>VIM-27</v>
      </c>
      <c r="B9023" t="str">
        <f ca="1">IFERROR(__xludf.DUMMYFUNCTION("""COMPUTED_VALUE"""),"RF-00000953-PAR")</f>
        <v>RF-00000953-PAR</v>
      </c>
    </row>
    <row r="9024" spans="1:2" ht="12.5" x14ac:dyDescent="0.25">
      <c r="A9024" t="str">
        <f ca="1">IFERROR(__xludf.DUMMYFUNCTION("""COMPUTED_VALUE"""),"VIM-28")</f>
        <v>VIM-28</v>
      </c>
      <c r="B9024" t="str">
        <f ca="1">IFERROR(__xludf.DUMMYFUNCTION("""COMPUTED_VALUE"""),"RF-00000954-PAR")</f>
        <v>RF-00000954-PAR</v>
      </c>
    </row>
    <row r="9025" spans="1:2" ht="12.5" x14ac:dyDescent="0.25">
      <c r="A9025" t="str">
        <f ca="1">IFERROR(__xludf.DUMMYFUNCTION("""COMPUTED_VALUE"""),"VIM-29")</f>
        <v>VIM-29</v>
      </c>
      <c r="B9025" t="str">
        <f ca="1">IFERROR(__xludf.DUMMYFUNCTION("""COMPUTED_VALUE"""),"RF-00000955-PAR")</f>
        <v>RF-00000955-PAR</v>
      </c>
    </row>
    <row r="9026" spans="1:2" ht="12.5" x14ac:dyDescent="0.25">
      <c r="A9026" t="str">
        <f ca="1">IFERROR(__xludf.DUMMYFUNCTION("""COMPUTED_VALUE"""),"VIM-3")</f>
        <v>VIM-3</v>
      </c>
      <c r="B9026" t="str">
        <f ca="1">IFERROR(__xludf.DUMMYFUNCTION("""COMPUTED_VALUE"""),"RF-00000929-PAR")</f>
        <v>RF-00000929-PAR</v>
      </c>
    </row>
    <row r="9027" spans="1:2" ht="12.5" x14ac:dyDescent="0.25">
      <c r="A9027" t="str">
        <f ca="1">IFERROR(__xludf.DUMMYFUNCTION("""COMPUTED_VALUE"""),"VIM-30")</f>
        <v>VIM-30</v>
      </c>
      <c r="B9027" t="str">
        <f ca="1">IFERROR(__xludf.DUMMYFUNCTION("""COMPUTED_VALUE"""),"RF-00000956-PAR")</f>
        <v>RF-00000956-PAR</v>
      </c>
    </row>
    <row r="9028" spans="1:2" ht="12.5" x14ac:dyDescent="0.25">
      <c r="A9028" t="str">
        <f ca="1">IFERROR(__xludf.DUMMYFUNCTION("""COMPUTED_VALUE"""),"VIM-31")</f>
        <v>VIM-31</v>
      </c>
      <c r="B9028" t="str">
        <f ca="1">IFERROR(__xludf.DUMMYFUNCTION("""COMPUTED_VALUE"""),"RF-00000957-PAR")</f>
        <v>RF-00000957-PAR</v>
      </c>
    </row>
    <row r="9029" spans="1:2" ht="12.5" x14ac:dyDescent="0.25">
      <c r="A9029" t="str">
        <f ca="1">IFERROR(__xludf.DUMMYFUNCTION("""COMPUTED_VALUE"""),"VIM-32")</f>
        <v>VIM-32</v>
      </c>
      <c r="B9029" t="str">
        <f ca="1">IFERROR(__xludf.DUMMYFUNCTION("""COMPUTED_VALUE"""),"RF-00000958-PAR")</f>
        <v>RF-00000958-PAR</v>
      </c>
    </row>
    <row r="9030" spans="1:2" ht="12.5" x14ac:dyDescent="0.25">
      <c r="A9030" t="str">
        <f ca="1">IFERROR(__xludf.DUMMYFUNCTION("""COMPUTED_VALUE"""),"VIM-33")</f>
        <v>VIM-33</v>
      </c>
      <c r="B9030" t="str">
        <f ca="1">IFERROR(__xludf.DUMMYFUNCTION("""COMPUTED_VALUE"""),"RF-00000959-PAR")</f>
        <v>RF-00000959-PAR</v>
      </c>
    </row>
    <row r="9031" spans="1:2" ht="12.5" x14ac:dyDescent="0.25">
      <c r="A9031" t="str">
        <f ca="1">IFERROR(__xludf.DUMMYFUNCTION("""COMPUTED_VALUE"""),"VIM-34")</f>
        <v>VIM-34</v>
      </c>
      <c r="B9031" t="str">
        <f ca="1">IFERROR(__xludf.DUMMYFUNCTION("""COMPUTED_VALUE"""),"RF-00000960-PAR")</f>
        <v>RF-00000960-PAR</v>
      </c>
    </row>
    <row r="9032" spans="1:2" ht="12.5" x14ac:dyDescent="0.25">
      <c r="A9032" t="str">
        <f ca="1">IFERROR(__xludf.DUMMYFUNCTION("""COMPUTED_VALUE"""),"VIM-35")</f>
        <v>VIM-35</v>
      </c>
      <c r="B9032" t="str">
        <f ca="1">IFERROR(__xludf.DUMMYFUNCTION("""COMPUTED_VALUE"""),"RF-00000961-PAR")</f>
        <v>RF-00000961-PAR</v>
      </c>
    </row>
    <row r="9033" spans="1:2" ht="12.5" x14ac:dyDescent="0.25">
      <c r="A9033" t="str">
        <f ca="1">IFERROR(__xludf.DUMMYFUNCTION("""COMPUTED_VALUE"""),"VIM-36")</f>
        <v>VIM-36</v>
      </c>
      <c r="B9033" t="str">
        <f ca="1">IFERROR(__xludf.DUMMYFUNCTION("""COMPUTED_VALUE"""),"RF-00000962-PAR")</f>
        <v>RF-00000962-PAR</v>
      </c>
    </row>
    <row r="9034" spans="1:2" ht="12.5" x14ac:dyDescent="0.25">
      <c r="A9034" t="str">
        <f ca="1">IFERROR(__xludf.DUMMYFUNCTION("""COMPUTED_VALUE"""),"VIM-37")</f>
        <v>VIM-37</v>
      </c>
      <c r="B9034" t="str">
        <f ca="1">IFERROR(__xludf.DUMMYFUNCTION("""COMPUTED_VALUE"""),"RF-00000963-PAR")</f>
        <v>RF-00000963-PAR</v>
      </c>
    </row>
    <row r="9035" spans="1:2" ht="12.5" x14ac:dyDescent="0.25">
      <c r="A9035" t="str">
        <f ca="1">IFERROR(__xludf.DUMMYFUNCTION("""COMPUTED_VALUE"""),"VIM-4")</f>
        <v>VIM-4</v>
      </c>
      <c r="B9035" t="str">
        <f ca="1">IFERROR(__xludf.DUMMYFUNCTION("""COMPUTED_VALUE"""),"RF-00000930-PAR")</f>
        <v>RF-00000930-PAR</v>
      </c>
    </row>
    <row r="9036" spans="1:2" ht="12.5" x14ac:dyDescent="0.25">
      <c r="A9036" t="str">
        <f ca="1">IFERROR(__xludf.DUMMYFUNCTION("""COMPUTED_VALUE"""),"VIM-5")</f>
        <v>VIM-5</v>
      </c>
      <c r="B9036" t="str">
        <f ca="1">IFERROR(__xludf.DUMMYFUNCTION("""COMPUTED_VALUE"""),"RF-00000931-PAR")</f>
        <v>RF-00000931-PAR</v>
      </c>
    </row>
    <row r="9037" spans="1:2" ht="12.5" x14ac:dyDescent="0.25">
      <c r="A9037" t="str">
        <f ca="1">IFERROR(__xludf.DUMMYFUNCTION("""COMPUTED_VALUE"""),"VIM-6")</f>
        <v>VIM-6</v>
      </c>
      <c r="B9037" t="str">
        <f ca="1">IFERROR(__xludf.DUMMYFUNCTION("""COMPUTED_VALUE"""),"RF-00000932-PAR")</f>
        <v>RF-00000932-PAR</v>
      </c>
    </row>
    <row r="9038" spans="1:2" ht="12.5" x14ac:dyDescent="0.25">
      <c r="A9038" t="str">
        <f ca="1">IFERROR(__xludf.DUMMYFUNCTION("""COMPUTED_VALUE"""),"VIM-7")</f>
        <v>VIM-7</v>
      </c>
      <c r="B9038" t="str">
        <f ca="1">IFERROR(__xludf.DUMMYFUNCTION("""COMPUTED_VALUE"""),"RF-00000933-PAR")</f>
        <v>RF-00000933-PAR</v>
      </c>
    </row>
    <row r="9039" spans="1:2" ht="12.5" x14ac:dyDescent="0.25">
      <c r="A9039" t="str">
        <f ca="1">IFERROR(__xludf.DUMMYFUNCTION("""COMPUTED_VALUE"""),"VIM-8")</f>
        <v>VIM-8</v>
      </c>
      <c r="B9039" t="str">
        <f ca="1">IFERROR(__xludf.DUMMYFUNCTION("""COMPUTED_VALUE"""),"RF-00000934-PAR")</f>
        <v>RF-00000934-PAR</v>
      </c>
    </row>
    <row r="9040" spans="1:2" ht="12.5" x14ac:dyDescent="0.25">
      <c r="A9040" t="str">
        <f ca="1">IFERROR(__xludf.DUMMYFUNCTION("""COMPUTED_VALUE"""),"VIM-9")</f>
        <v>VIM-9</v>
      </c>
      <c r="B9040" t="str">
        <f ca="1">IFERROR(__xludf.DUMMYFUNCTION("""COMPUTED_VALUE"""),"RF-00000935-PAR")</f>
        <v>RF-00000935-PAR</v>
      </c>
    </row>
    <row r="9041" spans="1:2" ht="12.5" x14ac:dyDescent="0.25">
      <c r="A9041" t="str">
        <f ca="1">IFERROR(__xludf.DUMMYFUNCTION("""COMPUTED_VALUE"""),"Vinclozolin")</f>
        <v>Vinclozolin</v>
      </c>
      <c r="B9041" t="str">
        <f ca="1">IFERROR(__xludf.DUMMYFUNCTION("""COMPUTED_VALUE"""),"RF-0450-003-PPP")</f>
        <v>RF-0450-003-PPP</v>
      </c>
    </row>
    <row r="9042" spans="1:2" ht="12.5" x14ac:dyDescent="0.25">
      <c r="A9042" t="str">
        <f ca="1">IFERROR(__xludf.DUMMYFUNCTION("""COMPUTED_VALUE"""),"Vinclozolin (sum of Vinclozolin and all metabolites containing the 3,5-dichloraniline moiety, expressed as Vinclozolin)")</f>
        <v>Vinclozolin (sum of Vinclozolin and all metabolites containing the 3,5-dichloraniline moiety, expressed as Vinclozolin)</v>
      </c>
      <c r="B9042" t="str">
        <f ca="1">IFERROR(__xludf.DUMMYFUNCTION("""COMPUTED_VALUE"""),"RF-0450-001-PPP")</f>
        <v>RF-0450-001-PPP</v>
      </c>
    </row>
    <row r="9043" spans="1:2" ht="12.5" x14ac:dyDescent="0.25">
      <c r="A9043" t="str">
        <f ca="1">IFERROR(__xludf.DUMMYFUNCTION("""COMPUTED_VALUE"""),"Vinclozolin, iprodione, procymidone, sum of compounds and all metabolites containing the 3,5-dichloroaniline moiety expressed as 3,5 dichloroaniline")</f>
        <v>Vinclozolin, iprodione, procymidone, sum of compounds and all metabolites containing the 3,5-dichloroaniline moiety expressed as 3,5 dichloroaniline</v>
      </c>
      <c r="B9043" t="str">
        <f ca="1">IFERROR(__xludf.DUMMYFUNCTION("""COMPUTED_VALUE"""),"RF-1003-001-PPP")</f>
        <v>RF-1003-001-PPP</v>
      </c>
    </row>
    <row r="9044" spans="1:2" ht="12.5" x14ac:dyDescent="0.25">
      <c r="A9044" t="str">
        <f ca="1">IFERROR(__xludf.DUMMYFUNCTION("""COMPUTED_VALUE"""),"Vinylestradiol")</f>
        <v>Vinylestradiol</v>
      </c>
      <c r="B9044" t="str">
        <f ca="1">IFERROR(__xludf.DUMMYFUNCTION("""COMPUTED_VALUE"""),"RF-00000380-VET")</f>
        <v>RF-00000380-VET</v>
      </c>
    </row>
    <row r="9045" spans="1:2" ht="12.5" x14ac:dyDescent="0.25">
      <c r="A9045" t="str">
        <f ca="1">IFERROR(__xludf.DUMMYFUNCTION("""COMPUTED_VALUE"""),"Virginiamycin (M1+S1)")</f>
        <v>Virginiamycin (M1+S1)</v>
      </c>
      <c r="B9045" t="str">
        <f ca="1">IFERROR(__xludf.DUMMYFUNCTION("""COMPUTED_VALUE"""),"RF-00000572-VET")</f>
        <v>RF-00000572-VET</v>
      </c>
    </row>
    <row r="9046" spans="1:2" ht="12.5" x14ac:dyDescent="0.25">
      <c r="A9046" t="str">
        <f ca="1">IFERROR(__xludf.DUMMYFUNCTION("""COMPUTED_VALUE"""),"Virginiamycin-M1")</f>
        <v>Virginiamycin-M1</v>
      </c>
      <c r="B9046" t="str">
        <f ca="1">IFERROR(__xludf.DUMMYFUNCTION("""COMPUTED_VALUE"""),"RF-00000573-VET")</f>
        <v>RF-00000573-VET</v>
      </c>
    </row>
    <row r="9047" spans="1:2" ht="12.5" x14ac:dyDescent="0.25">
      <c r="A9047" t="str">
        <f ca="1">IFERROR(__xludf.DUMMYFUNCTION("""COMPUTED_VALUE"""),"Virginiamycin-S1")</f>
        <v>Virginiamycin-S1</v>
      </c>
      <c r="B9047" t="str">
        <f ca="1">IFERROR(__xludf.DUMMYFUNCTION("""COMPUTED_VALUE"""),"RF-00000574-VET")</f>
        <v>RF-00000574-VET</v>
      </c>
    </row>
    <row r="9048" spans="1:2" ht="12.5" x14ac:dyDescent="0.25">
      <c r="A9048" t="str">
        <f ca="1">IFERROR(__xludf.DUMMYFUNCTION("""COMPUTED_VALUE"""),"Viridiflorine")</f>
        <v>Viridiflorine</v>
      </c>
      <c r="B9048" t="str">
        <f ca="1">IFERROR(__xludf.DUMMYFUNCTION("""COMPUTED_VALUE"""),"RF-00000311-TOX")</f>
        <v>RF-00000311-TOX</v>
      </c>
    </row>
    <row r="9049" spans="1:2" ht="12.5" x14ac:dyDescent="0.25">
      <c r="A9049" t="str">
        <f ca="1">IFERROR(__xludf.DUMMYFUNCTION("""COMPUTED_VALUE"""),"Viruses")</f>
        <v>Viruses</v>
      </c>
      <c r="B9049" t="str">
        <f ca="1">IFERROR(__xludf.DUMMYFUNCTION("""COMPUTED_VALUE"""),"RF-00002792-MCG")</f>
        <v>RF-00002792-MCG</v>
      </c>
    </row>
    <row r="9050" spans="1:2" ht="12.5" x14ac:dyDescent="0.25">
      <c r="A9050" t="str">
        <f ca="1">IFERROR(__xludf.DUMMYFUNCTION("""COMPUTED_VALUE"""),"vitamin A acetate")</f>
        <v>vitamin A acetate</v>
      </c>
      <c r="B9050" t="str">
        <f ca="1">IFERROR(__xludf.DUMMYFUNCTION("""COMPUTED_VALUE"""),"RF-00000421-NTR")</f>
        <v>RF-00000421-NTR</v>
      </c>
    </row>
    <row r="9051" spans="1:2" ht="12.5" x14ac:dyDescent="0.25">
      <c r="A9051" t="str">
        <f ca="1">IFERROR(__xludf.DUMMYFUNCTION("""COMPUTED_VALUE"""),"vitamin A palmitate")</f>
        <v>vitamin A palmitate</v>
      </c>
      <c r="B9051" t="str">
        <f ca="1">IFERROR(__xludf.DUMMYFUNCTION("""COMPUTED_VALUE"""),"RF-00000422-NTR")</f>
        <v>RF-00000422-NTR</v>
      </c>
    </row>
    <row r="9052" spans="1:2" ht="12.5" x14ac:dyDescent="0.25">
      <c r="A9052" t="str">
        <f ca="1">IFERROR(__xludf.DUMMYFUNCTION("""COMPUTED_VALUE"""),"vitamin A; retinol equiv from retinol and carotenoid activities")</f>
        <v>vitamin A; retinol equiv from retinol and carotenoid activities</v>
      </c>
      <c r="B9052" t="str">
        <f ca="1">IFERROR(__xludf.DUMMYFUNCTION("""COMPUTED_VALUE"""),"RF-00000423-NTR")</f>
        <v>RF-00000423-NTR</v>
      </c>
    </row>
    <row r="9053" spans="1:2" ht="12.5" x14ac:dyDescent="0.25">
      <c r="A9053" t="str">
        <f ca="1">IFERROR(__xludf.DUMMYFUNCTION("""COMPUTED_VALUE"""),"vitamin B-12")</f>
        <v>vitamin B-12</v>
      </c>
      <c r="B9053" t="str">
        <f ca="1">IFERROR(__xludf.DUMMYFUNCTION("""COMPUTED_VALUE"""),"RF-00000424-NTR")</f>
        <v>RF-00000424-NTR</v>
      </c>
    </row>
    <row r="9054" spans="1:2" ht="12.5" x14ac:dyDescent="0.25">
      <c r="A9054" t="str">
        <f ca="1">IFERROR(__xludf.DUMMYFUNCTION("""COMPUTED_VALUE"""),"vitamin B-6, total")</f>
        <v>vitamin B-6, total</v>
      </c>
      <c r="B9054" t="str">
        <f ca="1">IFERROR(__xludf.DUMMYFUNCTION("""COMPUTED_VALUE"""),"RF-00000425-NTR")</f>
        <v>RF-00000425-NTR</v>
      </c>
    </row>
    <row r="9055" spans="1:2" ht="12.5" x14ac:dyDescent="0.25">
      <c r="A9055" t="str">
        <f ca="1">IFERROR(__xludf.DUMMYFUNCTION("""COMPUTED_VALUE"""),"vitamin C (ascorbic acid)")</f>
        <v>vitamin C (ascorbic acid)</v>
      </c>
      <c r="B9055" t="str">
        <f ca="1">IFERROR(__xludf.DUMMYFUNCTION("""COMPUTED_VALUE"""),"RF-00000426-NTR")</f>
        <v>RF-00000426-NTR</v>
      </c>
    </row>
    <row r="9056" spans="1:2" ht="12.5" x14ac:dyDescent="0.25">
      <c r="A9056" t="str">
        <f ca="1">IFERROR(__xludf.DUMMYFUNCTION("""COMPUTED_VALUE"""),"vitamin D")</f>
        <v>vitamin D</v>
      </c>
      <c r="B9056" t="str">
        <f ca="1">IFERROR(__xludf.DUMMYFUNCTION("""COMPUTED_VALUE"""),"RF-00000427-NTR")</f>
        <v>RF-00000427-NTR</v>
      </c>
    </row>
    <row r="9057" spans="1:2" ht="12.5" x14ac:dyDescent="0.25">
      <c r="A9057" t="str">
        <f ca="1">IFERROR(__xludf.DUMMYFUNCTION("""COMPUTED_VALUE"""),"vitamin E; alpha-tocopherol equiv from E vitamer activities")</f>
        <v>vitamin E; alpha-tocopherol equiv from E vitamer activities</v>
      </c>
      <c r="B9057" t="str">
        <f ca="1">IFERROR(__xludf.DUMMYFUNCTION("""COMPUTED_VALUE"""),"RF-00000428-NTR")</f>
        <v>RF-00000428-NTR</v>
      </c>
    </row>
    <row r="9058" spans="1:2" ht="12.5" x14ac:dyDescent="0.25">
      <c r="A9058" t="str">
        <f ca="1">IFERROR(__xludf.DUMMYFUNCTION("""COMPUTED_VALUE"""),"vitamin K-1")</f>
        <v>vitamin K-1</v>
      </c>
      <c r="B9058" t="str">
        <f ca="1">IFERROR(__xludf.DUMMYFUNCTION("""COMPUTED_VALUE"""),"RF-00000430-NTR")</f>
        <v>RF-00000430-NTR</v>
      </c>
    </row>
    <row r="9059" spans="1:2" ht="12.5" x14ac:dyDescent="0.25">
      <c r="A9059" t="str">
        <f ca="1">IFERROR(__xludf.DUMMYFUNCTION("""COMPUTED_VALUE"""),"vitamin K-2 (menakinone)")</f>
        <v>vitamin K-2 (menakinone)</v>
      </c>
      <c r="B9059" t="str">
        <f ca="1">IFERROR(__xludf.DUMMYFUNCTION("""COMPUTED_VALUE"""),"RF-00000431-NTR")</f>
        <v>RF-00000431-NTR</v>
      </c>
    </row>
    <row r="9060" spans="1:2" ht="12.5" x14ac:dyDescent="0.25">
      <c r="A9060" t="str">
        <f ca="1">IFERROR(__xludf.DUMMYFUNCTION("""COMPUTED_VALUE"""),"vitamin K, total")</f>
        <v>vitamin K, total</v>
      </c>
      <c r="B9060" t="str">
        <f ca="1">IFERROR(__xludf.DUMMYFUNCTION("""COMPUTED_VALUE"""),"RF-00000429-NTR")</f>
        <v>RF-00000429-NTR</v>
      </c>
    </row>
    <row r="9061" spans="1:2" ht="12.5" x14ac:dyDescent="0.25">
      <c r="A9061" t="str">
        <f ca="1">IFERROR(__xludf.DUMMYFUNCTION("""COMPUTED_VALUE"""),"vitamins and derivates")</f>
        <v>vitamins and derivates</v>
      </c>
      <c r="B9061" t="str">
        <f ca="1">IFERROR(__xludf.DUMMYFUNCTION("""COMPUTED_VALUE"""),"RF-00000420-NTR")</f>
        <v>RF-00000420-NTR</v>
      </c>
    </row>
    <row r="9062" spans="1:2" ht="12.5" x14ac:dyDescent="0.25">
      <c r="A9062" t="str">
        <f ca="1">IFERROR(__xludf.DUMMYFUNCTION("""COMPUTED_VALUE"""),"Volatile PFAS")</f>
        <v>Volatile PFAS</v>
      </c>
      <c r="B9062" t="str">
        <f ca="1">IFERROR(__xludf.DUMMYFUNCTION("""COMPUTED_VALUE"""),"RF-00000371-ORG")</f>
        <v>RF-00000371-ORG</v>
      </c>
    </row>
    <row r="9063" spans="1:2" ht="12.5" x14ac:dyDescent="0.25">
      <c r="A9063" t="str">
        <f ca="1">IFERROR(__xludf.DUMMYFUNCTION("""COMPUTED_VALUE"""),"Warfarin")</f>
        <v>Warfarin</v>
      </c>
      <c r="B9063" t="str">
        <f ca="1">IFERROR(__xludf.DUMMYFUNCTION("""COMPUTED_VALUE"""),"RF-1043-001-PPP")</f>
        <v>RF-1043-001-PPP</v>
      </c>
    </row>
    <row r="9064" spans="1:2" ht="12.5" x14ac:dyDescent="0.25">
      <c r="A9064" t="str">
        <f ca="1">IFERROR(__xludf.DUMMYFUNCTION("""COMPUTED_VALUE"""),"waste")</f>
        <v>waste</v>
      </c>
      <c r="B9064" t="str">
        <f ca="1">IFERROR(__xludf.DUMMYFUNCTION("""COMPUTED_VALUE"""),"RF-00000432-NTR")</f>
        <v>RF-00000432-NTR</v>
      </c>
    </row>
    <row r="9065" spans="1:2" ht="12.5" x14ac:dyDescent="0.25">
      <c r="A9065" t="str">
        <f ca="1">IFERROR(__xludf.DUMMYFUNCTION("""COMPUTED_VALUE"""),"water (moisture)")</f>
        <v>water (moisture)</v>
      </c>
      <c r="B9065" t="str">
        <f ca="1">IFERROR(__xludf.DUMMYFUNCTION("""COMPUTED_VALUE"""),"RF-00000433-NTR")</f>
        <v>RF-00000433-NTR</v>
      </c>
    </row>
    <row r="9066" spans="1:2" ht="12.5" x14ac:dyDescent="0.25">
      <c r="A9066" t="str">
        <f ca="1">IFERROR(__xludf.DUMMYFUNCTION("""COMPUTED_VALUE"""),"Wax esters (from fish)")</f>
        <v>Wax esters (from fish)</v>
      </c>
      <c r="B9066" t="str">
        <f ca="1">IFERROR(__xludf.DUMMYFUNCTION("""COMPUTED_VALUE"""),"RF-00000480-ORG")</f>
        <v>RF-00000480-ORG</v>
      </c>
    </row>
    <row r="9067" spans="1:2" ht="12.5" x14ac:dyDescent="0.25">
      <c r="A9067" t="str">
        <f ca="1">IFERROR(__xludf.DUMMYFUNCTION("""COMPUTED_VALUE"""),"WHO-PCB-TEQ")</f>
        <v>WHO-PCB-TEQ</v>
      </c>
      <c r="B9067" t="str">
        <f ca="1">IFERROR(__xludf.DUMMYFUNCTION("""COMPUTED_VALUE"""),"RF-00000470-ORG")</f>
        <v>RF-00000470-ORG</v>
      </c>
    </row>
    <row r="9068" spans="1:2" ht="12.5" x14ac:dyDescent="0.25">
      <c r="A9068" t="str">
        <f ca="1">IFERROR(__xludf.DUMMYFUNCTION("""COMPUTED_VALUE"""),"WHO-PCDD-F-PCB-TEQ")</f>
        <v>WHO-PCDD-F-PCB-TEQ</v>
      </c>
      <c r="B9068" t="str">
        <f ca="1">IFERROR(__xludf.DUMMYFUNCTION("""COMPUTED_VALUE"""),"RF-00000471-ORG")</f>
        <v>RF-00000471-ORG</v>
      </c>
    </row>
    <row r="9069" spans="1:2" ht="12.5" x14ac:dyDescent="0.25">
      <c r="A9069" t="str">
        <f ca="1">IFERROR(__xludf.DUMMYFUNCTION("""COMPUTED_VALUE"""),"WHO-PCDD-F-TEQ")</f>
        <v>WHO-PCDD-F-TEQ</v>
      </c>
      <c r="B9069" t="str">
        <f ca="1">IFERROR(__xludf.DUMMYFUNCTION("""COMPUTED_VALUE"""),"RF-00000472-ORG")</f>
        <v>RF-00000472-ORG</v>
      </c>
    </row>
    <row r="9070" spans="1:2" ht="12.5" x14ac:dyDescent="0.25">
      <c r="A9070" t="str">
        <f ca="1">IFERROR(__xludf.DUMMYFUNCTION("""COMPUTED_VALUE"""),"Xanthan gum")</f>
        <v>Xanthan gum</v>
      </c>
      <c r="B9070" t="str">
        <f ca="1">IFERROR(__xludf.DUMMYFUNCTION("""COMPUTED_VALUE"""),"RF-00000342-ADD")</f>
        <v>RF-00000342-ADD</v>
      </c>
    </row>
    <row r="9071" spans="1:2" ht="12.5" x14ac:dyDescent="0.25">
      <c r="A9071" t="str">
        <f ca="1">IFERROR(__xludf.DUMMYFUNCTION("""COMPUTED_VALUE"""),"XMC")</f>
        <v>XMC</v>
      </c>
      <c r="B9071" t="str">
        <f ca="1">IFERROR(__xludf.DUMMYFUNCTION("""COMPUTED_VALUE"""),"RF-0971-001-PPP")</f>
        <v>RF-0971-001-PPP</v>
      </c>
    </row>
    <row r="9072" spans="1:2" ht="12.5" x14ac:dyDescent="0.25">
      <c r="A9072" t="str">
        <f ca="1">IFERROR(__xludf.DUMMYFUNCTION("""COMPUTED_VALUE"""),"Xylazine")</f>
        <v>Xylazine</v>
      </c>
      <c r="B9072" t="str">
        <f ca="1">IFERROR(__xludf.DUMMYFUNCTION("""COMPUTED_VALUE"""),"RF-00000177-VET")</f>
        <v>RF-00000177-VET</v>
      </c>
    </row>
    <row r="9073" spans="1:2" ht="12.5" x14ac:dyDescent="0.25">
      <c r="A9073" t="str">
        <f ca="1">IFERROR(__xludf.DUMMYFUNCTION("""COMPUTED_VALUE"""),"Xylidine")</f>
        <v>Xylidine</v>
      </c>
      <c r="B9073" t="str">
        <f ca="1">IFERROR(__xludf.DUMMYFUNCTION("""COMPUTED_VALUE"""),"RF-00000270-VET")</f>
        <v>RF-00000270-VET</v>
      </c>
    </row>
    <row r="9074" spans="1:2" ht="12.5" x14ac:dyDescent="0.25">
      <c r="A9074" t="str">
        <f ca="1">IFERROR(__xludf.DUMMYFUNCTION("""COMPUTED_VALUE"""),"Xylitol")</f>
        <v>Xylitol</v>
      </c>
      <c r="B9074" t="str">
        <f ca="1">IFERROR(__xludf.DUMMYFUNCTION("""COMPUTED_VALUE"""),"RF-00000343-ADD")</f>
        <v>RF-00000343-ADD</v>
      </c>
    </row>
    <row r="9075" spans="1:2" ht="12.5" x14ac:dyDescent="0.25">
      <c r="A9075" t="str">
        <f ca="1">IFERROR(__xludf.DUMMYFUNCTION("""COMPUTED_VALUE"""),"xylose")</f>
        <v>xylose</v>
      </c>
      <c r="B9075" t="str">
        <f ca="1">IFERROR(__xludf.DUMMYFUNCTION("""COMPUTED_VALUE"""),"RF-00000434-NTR")</f>
        <v>RF-00000434-NTR</v>
      </c>
    </row>
    <row r="9076" spans="1:2" ht="12.5" x14ac:dyDescent="0.25">
      <c r="A9076" t="str">
        <f ca="1">IFERROR(__xludf.DUMMYFUNCTION("""COMPUTED_VALUE"""),"Yersinia")</f>
        <v>Yersinia</v>
      </c>
      <c r="B9076" t="str">
        <f ca="1">IFERROR(__xludf.DUMMYFUNCTION("""COMPUTED_VALUE"""),"RF-00002531-MCG")</f>
        <v>RF-00002531-MCG</v>
      </c>
    </row>
    <row r="9077" spans="1:2" ht="12.5" x14ac:dyDescent="0.25">
      <c r="A9077" t="str">
        <f ca="1">IFERROR(__xludf.DUMMYFUNCTION("""COMPUTED_VALUE"""),"Yersinia - Y. enterocolitica - biotype 1A")</f>
        <v>Yersinia - Y. enterocolitica - biotype 1A</v>
      </c>
      <c r="B9077" t="str">
        <f ca="1">IFERROR(__xludf.DUMMYFUNCTION("""COMPUTED_VALUE"""),"RF-00003527-MCG")</f>
        <v>RF-00003527-MCG</v>
      </c>
    </row>
    <row r="9078" spans="1:2" ht="12.5" x14ac:dyDescent="0.25">
      <c r="A9078" t="str">
        <f ca="1">IFERROR(__xludf.DUMMYFUNCTION("""COMPUTED_VALUE"""),"Yersinia - Y. enterocolitica - biotype 1B")</f>
        <v>Yersinia - Y. enterocolitica - biotype 1B</v>
      </c>
      <c r="B9078" t="str">
        <f ca="1">IFERROR(__xludf.DUMMYFUNCTION("""COMPUTED_VALUE"""),"RF-00003528-MCG")</f>
        <v>RF-00003528-MCG</v>
      </c>
    </row>
    <row r="9079" spans="1:2" ht="12.5" x14ac:dyDescent="0.25">
      <c r="A9079" t="str">
        <f ca="1">IFERROR(__xludf.DUMMYFUNCTION("""COMPUTED_VALUE"""),"Yersinia - Y. enterocolitica - biotype 1B-O:13")</f>
        <v>Yersinia - Y. enterocolitica - biotype 1B-O:13</v>
      </c>
      <c r="B9079" t="str">
        <f ca="1">IFERROR(__xludf.DUMMYFUNCTION("""COMPUTED_VALUE"""),"RF-00003529-MCG")</f>
        <v>RF-00003529-MCG</v>
      </c>
    </row>
    <row r="9080" spans="1:2" ht="12.5" x14ac:dyDescent="0.25">
      <c r="A9080" t="str">
        <f ca="1">IFERROR(__xludf.DUMMYFUNCTION("""COMPUTED_VALUE"""),"Yersinia - Y. enterocolitica - biotype 1B-O:21")</f>
        <v>Yersinia - Y. enterocolitica - biotype 1B-O:21</v>
      </c>
      <c r="B9080" t="str">
        <f ca="1">IFERROR(__xludf.DUMMYFUNCTION("""COMPUTED_VALUE"""),"RF-00003530-MCG")</f>
        <v>RF-00003530-MCG</v>
      </c>
    </row>
    <row r="9081" spans="1:2" ht="12.5" x14ac:dyDescent="0.25">
      <c r="A9081" t="str">
        <f ca="1">IFERROR(__xludf.DUMMYFUNCTION("""COMPUTED_VALUE"""),"Yersinia - Y. enterocolitica - biotype 1B-O:7")</f>
        <v>Yersinia - Y. enterocolitica - biotype 1B-O:7</v>
      </c>
      <c r="B9081" t="str">
        <f ca="1">IFERROR(__xludf.DUMMYFUNCTION("""COMPUTED_VALUE"""),"RF-00003531-MCG")</f>
        <v>RF-00003531-MCG</v>
      </c>
    </row>
    <row r="9082" spans="1:2" ht="12.5" x14ac:dyDescent="0.25">
      <c r="A9082" t="str">
        <f ca="1">IFERROR(__xludf.DUMMYFUNCTION("""COMPUTED_VALUE"""),"Yersinia - Y. enterocolitica - biotype 1B-O:8")</f>
        <v>Yersinia - Y. enterocolitica - biotype 1B-O:8</v>
      </c>
      <c r="B9082" t="str">
        <f ca="1">IFERROR(__xludf.DUMMYFUNCTION("""COMPUTED_VALUE"""),"RF-00003532-MCG")</f>
        <v>RF-00003532-MCG</v>
      </c>
    </row>
    <row r="9083" spans="1:2" ht="12.5" x14ac:dyDescent="0.25">
      <c r="A9083" t="str">
        <f ca="1">IFERROR(__xludf.DUMMYFUNCTION("""COMPUTED_VALUE"""),"Yersinia - Y. enterocolitica - biotype 2")</f>
        <v>Yersinia - Y. enterocolitica - biotype 2</v>
      </c>
      <c r="B9083" t="str">
        <f ca="1">IFERROR(__xludf.DUMMYFUNCTION("""COMPUTED_VALUE"""),"RF-00003533-MCG")</f>
        <v>RF-00003533-MCG</v>
      </c>
    </row>
    <row r="9084" spans="1:2" ht="12.5" x14ac:dyDescent="0.25">
      <c r="A9084" t="str">
        <f ca="1">IFERROR(__xludf.DUMMYFUNCTION("""COMPUTED_VALUE"""),"Yersinia - Y. enterocolitica - biotype 2-O:5,27")</f>
        <v>Yersinia - Y. enterocolitica - biotype 2-O:5,27</v>
      </c>
      <c r="B9084" t="str">
        <f ca="1">IFERROR(__xludf.DUMMYFUNCTION("""COMPUTED_VALUE"""),"RF-00003534-MCG")</f>
        <v>RF-00003534-MCG</v>
      </c>
    </row>
    <row r="9085" spans="1:2" ht="12.5" x14ac:dyDescent="0.25">
      <c r="A9085" t="str">
        <f ca="1">IFERROR(__xludf.DUMMYFUNCTION("""COMPUTED_VALUE"""),"Yersinia - Y. enterocolitica - biotype 2-O:9")</f>
        <v>Yersinia - Y. enterocolitica - biotype 2-O:9</v>
      </c>
      <c r="B9085" t="str">
        <f ca="1">IFERROR(__xludf.DUMMYFUNCTION("""COMPUTED_VALUE"""),"RF-00003535-MCG")</f>
        <v>RF-00003535-MCG</v>
      </c>
    </row>
    <row r="9086" spans="1:2" ht="12.5" x14ac:dyDescent="0.25">
      <c r="A9086" t="str">
        <f ca="1">IFERROR(__xludf.DUMMYFUNCTION("""COMPUTED_VALUE"""),"Yersinia - Y. enterocolitica - biotype 3")</f>
        <v>Yersinia - Y. enterocolitica - biotype 3</v>
      </c>
      <c r="B9086" t="str">
        <f ca="1">IFERROR(__xludf.DUMMYFUNCTION("""COMPUTED_VALUE"""),"RF-00003536-MCG")</f>
        <v>RF-00003536-MCG</v>
      </c>
    </row>
    <row r="9087" spans="1:2" ht="12.5" x14ac:dyDescent="0.25">
      <c r="A9087" t="str">
        <f ca="1">IFERROR(__xludf.DUMMYFUNCTION("""COMPUTED_VALUE"""),"Yersinia - Y. enterocolitica - biotype 3-O:3")</f>
        <v>Yersinia - Y. enterocolitica - biotype 3-O:3</v>
      </c>
      <c r="B9087" t="str">
        <f ca="1">IFERROR(__xludf.DUMMYFUNCTION("""COMPUTED_VALUE"""),"RF-00003537-MCG")</f>
        <v>RF-00003537-MCG</v>
      </c>
    </row>
    <row r="9088" spans="1:2" ht="12.5" x14ac:dyDescent="0.25">
      <c r="A9088" t="str">
        <f ca="1">IFERROR(__xludf.DUMMYFUNCTION("""COMPUTED_VALUE"""),"Yersinia - Y. enterocolitica - biotype 3-O:5,27")</f>
        <v>Yersinia - Y. enterocolitica - biotype 3-O:5,27</v>
      </c>
      <c r="B9088" t="str">
        <f ca="1">IFERROR(__xludf.DUMMYFUNCTION("""COMPUTED_VALUE"""),"RF-00003538-MCG")</f>
        <v>RF-00003538-MCG</v>
      </c>
    </row>
    <row r="9089" spans="1:2" ht="12.5" x14ac:dyDescent="0.25">
      <c r="A9089" t="str">
        <f ca="1">IFERROR(__xludf.DUMMYFUNCTION("""COMPUTED_VALUE"""),"Yersinia - Y. enterocolitica - biotype 4")</f>
        <v>Yersinia - Y. enterocolitica - biotype 4</v>
      </c>
      <c r="B9089" t="str">
        <f ca="1">IFERROR(__xludf.DUMMYFUNCTION("""COMPUTED_VALUE"""),"RF-00003539-MCG")</f>
        <v>RF-00003539-MCG</v>
      </c>
    </row>
    <row r="9090" spans="1:2" ht="12.5" x14ac:dyDescent="0.25">
      <c r="A9090" t="str">
        <f ca="1">IFERROR(__xludf.DUMMYFUNCTION("""COMPUTED_VALUE"""),"Yersinia - Y. enterocolitica - biotype 4-O:3")</f>
        <v>Yersinia - Y. enterocolitica - biotype 4-O:3</v>
      </c>
      <c r="B9090" t="str">
        <f ca="1">IFERROR(__xludf.DUMMYFUNCTION("""COMPUTED_VALUE"""),"RF-00003540-MCG")</f>
        <v>RF-00003540-MCG</v>
      </c>
    </row>
    <row r="9091" spans="1:2" ht="12.5" x14ac:dyDescent="0.25">
      <c r="A9091" t="str">
        <f ca="1">IFERROR(__xludf.DUMMYFUNCTION("""COMPUTED_VALUE"""),"Yersinia - Y. enterocolitica - biotype 5")</f>
        <v>Yersinia - Y. enterocolitica - biotype 5</v>
      </c>
      <c r="B9091" t="str">
        <f ca="1">IFERROR(__xludf.DUMMYFUNCTION("""COMPUTED_VALUE"""),"RF-00003541-MCG")</f>
        <v>RF-00003541-MCG</v>
      </c>
    </row>
    <row r="9092" spans="1:2" ht="12.5" x14ac:dyDescent="0.25">
      <c r="A9092" t="str">
        <f ca="1">IFERROR(__xludf.DUMMYFUNCTION("""COMPUTED_VALUE"""),"Yersinia - Y. enterocolitica - biotype 5-O:1,2,3")</f>
        <v>Yersinia - Y. enterocolitica - biotype 5-O:1,2,3</v>
      </c>
      <c r="B9092" t="str">
        <f ca="1">IFERROR(__xludf.DUMMYFUNCTION("""COMPUTED_VALUE"""),"RF-00003542-MCG")</f>
        <v>RF-00003542-MCG</v>
      </c>
    </row>
    <row r="9093" spans="1:2" ht="12.5" x14ac:dyDescent="0.25">
      <c r="A9093" t="str">
        <f ca="1">IFERROR(__xludf.DUMMYFUNCTION("""COMPUTED_VALUE"""),"Yersinia - Y. enterocolitica - biotype 5-O:2,3")</f>
        <v>Yersinia - Y. enterocolitica - biotype 5-O:2,3</v>
      </c>
      <c r="B9093" t="str">
        <f ca="1">IFERROR(__xludf.DUMMYFUNCTION("""COMPUTED_VALUE"""),"RF-00003543-MCG")</f>
        <v>RF-00003543-MCG</v>
      </c>
    </row>
    <row r="9094" spans="1:2" ht="12.5" x14ac:dyDescent="0.25">
      <c r="A9094" t="str">
        <f ca="1">IFERROR(__xludf.DUMMYFUNCTION("""COMPUTED_VALUE"""),"Yersinia - Y. enterocolitica - biotype 5-O:3")</f>
        <v>Yersinia - Y. enterocolitica - biotype 5-O:3</v>
      </c>
      <c r="B9094" t="str">
        <f ca="1">IFERROR(__xludf.DUMMYFUNCTION("""COMPUTED_VALUE"""),"RF-00003544-MCG")</f>
        <v>RF-00003544-MCG</v>
      </c>
    </row>
    <row r="9095" spans="1:2" ht="12.5" x14ac:dyDescent="0.25">
      <c r="A9095" t="str">
        <f ca="1">IFERROR(__xludf.DUMMYFUNCTION("""COMPUTED_VALUE"""),"Yersinia - Y. enterocolitica - O:1,2,3")</f>
        <v>Yersinia - Y. enterocolitica - O:1,2,3</v>
      </c>
      <c r="B9095" t="str">
        <f ca="1">IFERROR(__xludf.DUMMYFUNCTION("""COMPUTED_VALUE"""),"RF-00003522-MCG")</f>
        <v>RF-00003522-MCG</v>
      </c>
    </row>
    <row r="9096" spans="1:2" ht="12.5" x14ac:dyDescent="0.25">
      <c r="A9096" t="str">
        <f ca="1">IFERROR(__xludf.DUMMYFUNCTION("""COMPUTED_VALUE"""),"Yersinia - Y. enterocolitica - O:13")</f>
        <v>Yersinia - Y. enterocolitica - O:13</v>
      </c>
      <c r="B9096" t="str">
        <f ca="1">IFERROR(__xludf.DUMMYFUNCTION("""COMPUTED_VALUE"""),"RF-00003523-MCG")</f>
        <v>RF-00003523-MCG</v>
      </c>
    </row>
    <row r="9097" spans="1:2" ht="12.5" x14ac:dyDescent="0.25">
      <c r="A9097" t="str">
        <f ca="1">IFERROR(__xludf.DUMMYFUNCTION("""COMPUTED_VALUE"""),"Yersinia - Y. enterocolitica - O:21")</f>
        <v>Yersinia - Y. enterocolitica - O:21</v>
      </c>
      <c r="B9097" t="str">
        <f ca="1">IFERROR(__xludf.DUMMYFUNCTION("""COMPUTED_VALUE"""),"RF-00003524-MCG")</f>
        <v>RF-00003524-MCG</v>
      </c>
    </row>
    <row r="9098" spans="1:2" ht="12.5" x14ac:dyDescent="0.25">
      <c r="A9098" t="str">
        <f ca="1">IFERROR(__xludf.DUMMYFUNCTION("""COMPUTED_VALUE"""),"Yersinia - Y. enterocolitica - O:7")</f>
        <v>Yersinia - Y. enterocolitica - O:7</v>
      </c>
      <c r="B9098" t="str">
        <f ca="1">IFERROR(__xludf.DUMMYFUNCTION("""COMPUTED_VALUE"""),"RF-00003525-MCG")</f>
        <v>RF-00003525-MCG</v>
      </c>
    </row>
    <row r="9099" spans="1:2" ht="12.5" x14ac:dyDescent="0.25">
      <c r="A9099" t="str">
        <f ca="1">IFERROR(__xludf.DUMMYFUNCTION("""COMPUTED_VALUE"""),"Yersinia - Y. enterocolitica - O:8")</f>
        <v>Yersinia - Y. enterocolitica - O:8</v>
      </c>
      <c r="B9099" t="str">
        <f ca="1">IFERROR(__xludf.DUMMYFUNCTION("""COMPUTED_VALUE"""),"RF-00003526-MCG")</f>
        <v>RF-00003526-MCG</v>
      </c>
    </row>
    <row r="9100" spans="1:2" ht="12.5" x14ac:dyDescent="0.25">
      <c r="A9100" t="str">
        <f ca="1">IFERROR(__xludf.DUMMYFUNCTION("""COMPUTED_VALUE"""),"Yersinia enterocolitica")</f>
        <v>Yersinia enterocolitica</v>
      </c>
      <c r="B9100" t="str">
        <f ca="1">IFERROR(__xludf.DUMMYFUNCTION("""COMPUTED_VALUE"""),"RF-00002538-MCG")</f>
        <v>RF-00002538-MCG</v>
      </c>
    </row>
    <row r="9101" spans="1:2" ht="12.5" x14ac:dyDescent="0.25">
      <c r="A9101" t="str">
        <f ca="1">IFERROR(__xludf.DUMMYFUNCTION("""COMPUTED_VALUE"""),"Yersinia enterocolitica non typable")</f>
        <v>Yersinia enterocolitica non typable</v>
      </c>
      <c r="B9101" t="str">
        <f ca="1">IFERROR(__xludf.DUMMYFUNCTION("""COMPUTED_VALUE"""),"RF-00002546-MCG")</f>
        <v>RF-00002546-MCG</v>
      </c>
    </row>
    <row r="9102" spans="1:2" ht="12.5" x14ac:dyDescent="0.25">
      <c r="A9102" t="str">
        <f ca="1">IFERROR(__xludf.DUMMYFUNCTION("""COMPUTED_VALUE"""),"Yersinia enterocolitica O:1")</f>
        <v>Yersinia enterocolitica O:1</v>
      </c>
      <c r="B9102" t="str">
        <f ca="1">IFERROR(__xludf.DUMMYFUNCTION("""COMPUTED_VALUE"""),"RF-00002547-MCG")</f>
        <v>RF-00002547-MCG</v>
      </c>
    </row>
    <row r="9103" spans="1:2" ht="12.5" x14ac:dyDescent="0.25">
      <c r="A9103" t="str">
        <f ca="1">IFERROR(__xludf.DUMMYFUNCTION("""COMPUTED_VALUE"""),"Yersinia enterocolitica O:2,3")</f>
        <v>Yersinia enterocolitica O:2,3</v>
      </c>
      <c r="B9103" t="str">
        <f ca="1">IFERROR(__xludf.DUMMYFUNCTION("""COMPUTED_VALUE"""),"RF-00002545-MCG")</f>
        <v>RF-00002545-MCG</v>
      </c>
    </row>
    <row r="9104" spans="1:2" ht="12.5" x14ac:dyDescent="0.25">
      <c r="A9104" t="str">
        <f ca="1">IFERROR(__xludf.DUMMYFUNCTION("""COMPUTED_VALUE"""),"Yersinia enterocolitica O:3")</f>
        <v>Yersinia enterocolitica O:3</v>
      </c>
      <c r="B9104" t="str">
        <f ca="1">IFERROR(__xludf.DUMMYFUNCTION("""COMPUTED_VALUE"""),"RF-00002544-MCG")</f>
        <v>RF-00002544-MCG</v>
      </c>
    </row>
    <row r="9105" spans="1:2" ht="12.5" x14ac:dyDescent="0.25">
      <c r="A9105" t="str">
        <f ca="1">IFERROR(__xludf.DUMMYFUNCTION("""COMPUTED_VALUE"""),"Yersinia enterocolitica O:5")</f>
        <v>Yersinia enterocolitica O:5</v>
      </c>
      <c r="B9105" t="str">
        <f ca="1">IFERROR(__xludf.DUMMYFUNCTION("""COMPUTED_VALUE"""),"RF-00002539-MCG")</f>
        <v>RF-00002539-MCG</v>
      </c>
    </row>
    <row r="9106" spans="1:2" ht="12.5" x14ac:dyDescent="0.25">
      <c r="A9106" t="str">
        <f ca="1">IFERROR(__xludf.DUMMYFUNCTION("""COMPUTED_VALUE"""),"Yersinia enterocolitica O:5,27")</f>
        <v>Yersinia enterocolitica O:5,27</v>
      </c>
      <c r="B9106" t="str">
        <f ca="1">IFERROR(__xludf.DUMMYFUNCTION("""COMPUTED_VALUE"""),"RF-00002542-MCG")</f>
        <v>RF-00002542-MCG</v>
      </c>
    </row>
    <row r="9107" spans="1:2" ht="12.5" x14ac:dyDescent="0.25">
      <c r="A9107" t="str">
        <f ca="1">IFERROR(__xludf.DUMMYFUNCTION("""COMPUTED_VALUE"""),"Yersinia enterocolitica O:6")</f>
        <v>Yersinia enterocolitica O:6</v>
      </c>
      <c r="B9107" t="str">
        <f ca="1">IFERROR(__xludf.DUMMYFUNCTION("""COMPUTED_VALUE"""),"RF-00002541-MCG")</f>
        <v>RF-00002541-MCG</v>
      </c>
    </row>
    <row r="9108" spans="1:2" ht="12.5" x14ac:dyDescent="0.25">
      <c r="A9108" t="str">
        <f ca="1">IFERROR(__xludf.DUMMYFUNCTION("""COMPUTED_VALUE"""),"Yersinia enterocolitica O:9")</f>
        <v>Yersinia enterocolitica O:9</v>
      </c>
      <c r="B9108" t="str">
        <f ca="1">IFERROR(__xludf.DUMMYFUNCTION("""COMPUTED_VALUE"""),"RF-00002540-MCG")</f>
        <v>RF-00002540-MCG</v>
      </c>
    </row>
    <row r="9109" spans="1:2" ht="12.5" x14ac:dyDescent="0.25">
      <c r="A9109" t="str">
        <f ca="1">IFERROR(__xludf.DUMMYFUNCTION("""COMPUTED_VALUE"""),"Yersinia enterocolitica unspecified")</f>
        <v>Yersinia enterocolitica unspecified</v>
      </c>
      <c r="B9109" t="str">
        <f ca="1">IFERROR(__xludf.DUMMYFUNCTION("""COMPUTED_VALUE"""),"RF-00002543-MCG")</f>
        <v>RF-00002543-MCG</v>
      </c>
    </row>
    <row r="9110" spans="1:2" ht="12.5" x14ac:dyDescent="0.25">
      <c r="A9110" t="str">
        <f ca="1">IFERROR(__xludf.DUMMYFUNCTION("""COMPUTED_VALUE"""),"Yersinia frederiksenii")</f>
        <v>Yersinia frederiksenii</v>
      </c>
      <c r="B9110" t="str">
        <f ca="1">IFERROR(__xludf.DUMMYFUNCTION("""COMPUTED_VALUE"""),"RF-00002532-MCG")</f>
        <v>RF-00002532-MCG</v>
      </c>
    </row>
    <row r="9111" spans="1:2" ht="12.5" x14ac:dyDescent="0.25">
      <c r="A9111" t="str">
        <f ca="1">IFERROR(__xludf.DUMMYFUNCTION("""COMPUTED_VALUE"""),"Yersinia intermedia")</f>
        <v>Yersinia intermedia</v>
      </c>
      <c r="B9111" t="str">
        <f ca="1">IFERROR(__xludf.DUMMYFUNCTION("""COMPUTED_VALUE"""),"RF-00002533-MCG")</f>
        <v>RF-00002533-MCG</v>
      </c>
    </row>
    <row r="9112" spans="1:2" ht="12.5" x14ac:dyDescent="0.25">
      <c r="A9112" t="str">
        <f ca="1">IFERROR(__xludf.DUMMYFUNCTION("""COMPUTED_VALUE"""),"Yersinia kristensenii")</f>
        <v>Yersinia kristensenii</v>
      </c>
      <c r="B9112" t="str">
        <f ca="1">IFERROR(__xludf.DUMMYFUNCTION("""COMPUTED_VALUE"""),"RF-00002534-MCG")</f>
        <v>RF-00002534-MCG</v>
      </c>
    </row>
    <row r="9113" spans="1:2" ht="12.5" x14ac:dyDescent="0.25">
      <c r="A9113" t="str">
        <f ca="1">IFERROR(__xludf.DUMMYFUNCTION("""COMPUTED_VALUE"""),"Yersinia molaretti")</f>
        <v>Yersinia molaretti</v>
      </c>
      <c r="B9113" t="str">
        <f ca="1">IFERROR(__xludf.DUMMYFUNCTION("""COMPUTED_VALUE"""),"RF-00002535-MCG")</f>
        <v>RF-00002535-MCG</v>
      </c>
    </row>
    <row r="9114" spans="1:2" ht="12.5" x14ac:dyDescent="0.25">
      <c r="A9114" t="str">
        <f ca="1">IFERROR(__xludf.DUMMYFUNCTION("""COMPUTED_VALUE"""),"Yersinia pseudotuberculosis")</f>
        <v>Yersinia pseudotuberculosis</v>
      </c>
      <c r="B9114" t="str">
        <f ca="1">IFERROR(__xludf.DUMMYFUNCTION("""COMPUTED_VALUE"""),"RF-00002536-MCG")</f>
        <v>RF-00002536-MCG</v>
      </c>
    </row>
    <row r="9115" spans="1:2" ht="12.5" x14ac:dyDescent="0.25">
      <c r="A9115" t="str">
        <f ca="1">IFERROR(__xludf.DUMMYFUNCTION("""COMPUTED_VALUE"""),"Yersinia spp., unspecified")</f>
        <v>Yersinia spp., unspecified</v>
      </c>
      <c r="B9115" t="str">
        <f ca="1">IFERROR(__xludf.DUMMYFUNCTION("""COMPUTED_VALUE"""),"RF-00002537-MCG")</f>
        <v>RF-00002537-MCG</v>
      </c>
    </row>
    <row r="9116" spans="1:2" ht="12.5" x14ac:dyDescent="0.25">
      <c r="A9116" t="str">
        <f ca="1">IFERROR(__xludf.DUMMYFUNCTION("""COMPUTED_VALUE"""),"Yessotoxin group toxins")</f>
        <v>Yessotoxin group toxins</v>
      </c>
      <c r="B9116" t="str">
        <f ca="1">IFERROR(__xludf.DUMMYFUNCTION("""COMPUTED_VALUE"""),"RF-00000116-TOX")</f>
        <v>RF-00000116-TOX</v>
      </c>
    </row>
    <row r="9117" spans="1:2" ht="12.5" x14ac:dyDescent="0.25">
      <c r="A9117" t="str">
        <f ca="1">IFERROR(__xludf.DUMMYFUNCTION("""COMPUTED_VALUE"""),"YTX")</f>
        <v>YTX</v>
      </c>
      <c r="B9117" t="str">
        <f ca="1">IFERROR(__xludf.DUMMYFUNCTION("""COMPUTED_VALUE"""),"RF-00000117-TOX")</f>
        <v>RF-00000117-TOX</v>
      </c>
    </row>
    <row r="9118" spans="1:2" ht="12.5" x14ac:dyDescent="0.25">
      <c r="A9118" t="str">
        <f ca="1">IFERROR(__xludf.DUMMYFUNCTION("""COMPUTED_VALUE"""),"Zearalanol")</f>
        <v>Zearalanol</v>
      </c>
      <c r="B9118" t="str">
        <f ca="1">IFERROR(__xludf.DUMMYFUNCTION("""COMPUTED_VALUE"""),"RF-00000183-TOX")</f>
        <v>RF-00000183-TOX</v>
      </c>
    </row>
    <row r="9119" spans="1:2" ht="12.5" x14ac:dyDescent="0.25">
      <c r="A9119" t="str">
        <f ca="1">IFERROR(__xludf.DUMMYFUNCTION("""COMPUTED_VALUE"""),"Zearalanol alpha")</f>
        <v>Zearalanol alpha</v>
      </c>
      <c r="B9119" t="str">
        <f ca="1">IFERROR(__xludf.DUMMYFUNCTION("""COMPUTED_VALUE"""),"RF-00000184-TOX")</f>
        <v>RF-00000184-TOX</v>
      </c>
    </row>
    <row r="9120" spans="1:2" ht="12.5" x14ac:dyDescent="0.25">
      <c r="A9120" t="str">
        <f ca="1">IFERROR(__xludf.DUMMYFUNCTION("""COMPUTED_VALUE"""),"Zearalanol beta (Taleranol)")</f>
        <v>Zearalanol beta (Taleranol)</v>
      </c>
      <c r="B9120" t="str">
        <f ca="1">IFERROR(__xludf.DUMMYFUNCTION("""COMPUTED_VALUE"""),"RF-00000185-TOX")</f>
        <v>RF-00000185-TOX</v>
      </c>
    </row>
    <row r="9121" spans="1:2" ht="12.5" x14ac:dyDescent="0.25">
      <c r="A9121" t="str">
        <f ca="1">IFERROR(__xludf.DUMMYFUNCTION("""COMPUTED_VALUE"""),"Zearalanone")</f>
        <v>Zearalanone</v>
      </c>
      <c r="B9121" t="str">
        <f ca="1">IFERROR(__xludf.DUMMYFUNCTION("""COMPUTED_VALUE"""),"RF-00000182-TOX")</f>
        <v>RF-00000182-TOX</v>
      </c>
    </row>
    <row r="9122" spans="1:2" ht="12.5" x14ac:dyDescent="0.25">
      <c r="A9122" t="str">
        <f ca="1">IFERROR(__xludf.DUMMYFUNCTION("""COMPUTED_VALUE"""),"Zearalanone")</f>
        <v>Zearalanone</v>
      </c>
      <c r="B9122" t="str">
        <f ca="1">IFERROR(__xludf.DUMMYFUNCTION("""COMPUTED_VALUE"""),"RF-00000450-VET")</f>
        <v>RF-00000450-VET</v>
      </c>
    </row>
    <row r="9123" spans="1:2" ht="12.5" x14ac:dyDescent="0.25">
      <c r="A9123" t="str">
        <f ca="1">IFERROR(__xludf.DUMMYFUNCTION("""COMPUTED_VALUE"""),"Zearalenol")</f>
        <v>Zearalenol</v>
      </c>
      <c r="B9123" t="str">
        <f ca="1">IFERROR(__xludf.DUMMYFUNCTION("""COMPUTED_VALUE"""),"RF-00000171-TOX")</f>
        <v>RF-00000171-TOX</v>
      </c>
    </row>
    <row r="9124" spans="1:2" ht="12.5" x14ac:dyDescent="0.25">
      <c r="A9124" t="str">
        <f ca="1">IFERROR(__xludf.DUMMYFUNCTION("""COMPUTED_VALUE"""),"Zearalenol alpha")</f>
        <v>Zearalenol alpha</v>
      </c>
      <c r="B9124" t="str">
        <f ca="1">IFERROR(__xludf.DUMMYFUNCTION("""COMPUTED_VALUE"""),"RF-00000172-TOX")</f>
        <v>RF-00000172-TOX</v>
      </c>
    </row>
    <row r="9125" spans="1:2" ht="12.5" x14ac:dyDescent="0.25">
      <c r="A9125" t="str">
        <f ca="1">IFERROR(__xludf.DUMMYFUNCTION("""COMPUTED_VALUE"""),"Zearalenol beta")</f>
        <v>Zearalenol beta</v>
      </c>
      <c r="B9125" t="str">
        <f ca="1">IFERROR(__xludf.DUMMYFUNCTION("""COMPUTED_VALUE"""),"RF-00000173-TOX")</f>
        <v>RF-00000173-TOX</v>
      </c>
    </row>
    <row r="9126" spans="1:2" ht="12.5" x14ac:dyDescent="0.25">
      <c r="A9126" t="str">
        <f ca="1">IFERROR(__xludf.DUMMYFUNCTION("""COMPUTED_VALUE"""),"Zearalenone")</f>
        <v>Zearalenone</v>
      </c>
      <c r="B9126" t="str">
        <f ca="1">IFERROR(__xludf.DUMMYFUNCTION("""COMPUTED_VALUE"""),"RF-00000170-TOX")</f>
        <v>RF-00000170-TOX</v>
      </c>
    </row>
    <row r="9127" spans="1:2" ht="12.5" x14ac:dyDescent="0.25">
      <c r="A9127" t="str">
        <f ca="1">IFERROR(__xludf.DUMMYFUNCTION("""COMPUTED_VALUE"""),"Zearalenone and derivatives")</f>
        <v>Zearalenone and derivatives</v>
      </c>
      <c r="B9127" t="str">
        <f ca="1">IFERROR(__xludf.DUMMYFUNCTION("""COMPUTED_VALUE"""),"RF-00000440-TOX")</f>
        <v>RF-00000440-TOX</v>
      </c>
    </row>
    <row r="9128" spans="1:2" ht="12.5" x14ac:dyDescent="0.25">
      <c r="A9128" t="str">
        <f ca="1">IFERROR(__xludf.DUMMYFUNCTION("""COMPUTED_VALUE"""),"zeaxanthin")</f>
        <v>zeaxanthin</v>
      </c>
      <c r="B9128" t="str">
        <f ca="1">IFERROR(__xludf.DUMMYFUNCTION("""COMPUTED_VALUE"""),"RF-00000435-NTR")</f>
        <v>RF-00000435-NTR</v>
      </c>
    </row>
    <row r="9129" spans="1:2" ht="12.5" x14ac:dyDescent="0.25">
      <c r="A9129" t="str">
        <f ca="1">IFERROR(__xludf.DUMMYFUNCTION("""COMPUTED_VALUE"""),"Zeta-Cypermethrin")</f>
        <v>Zeta-Cypermethrin</v>
      </c>
      <c r="B9129" t="str">
        <f ca="1">IFERROR(__xludf.DUMMYFUNCTION("""COMPUTED_VALUE"""),"RF-0112-005-PPP")</f>
        <v>RF-0112-005-PPP</v>
      </c>
    </row>
    <row r="9130" spans="1:2" ht="12.5" x14ac:dyDescent="0.25">
      <c r="A9130" t="str">
        <f ca="1">IFERROR(__xludf.DUMMYFUNCTION("""COMPUTED_VALUE"""),"Zilpaterol")</f>
        <v>Zilpaterol</v>
      </c>
      <c r="B9130" t="str">
        <f ca="1">IFERROR(__xludf.DUMMYFUNCTION("""COMPUTED_VALUE"""),"RF-00000493-VET")</f>
        <v>RF-00000493-VET</v>
      </c>
    </row>
    <row r="9131" spans="1:2" ht="12.5" x14ac:dyDescent="0.25">
      <c r="A9131" t="str">
        <f ca="1">IFERROR(__xludf.DUMMYFUNCTION("""COMPUTED_VALUE"""),"Zinc acetate")</f>
        <v>Zinc acetate</v>
      </c>
      <c r="B9131" t="str">
        <f ca="1">IFERROR(__xludf.DUMMYFUNCTION("""COMPUTED_VALUE"""),"RF-00000344-ADD")</f>
        <v>RF-00000344-ADD</v>
      </c>
    </row>
    <row r="9132" spans="1:2" ht="12.5" x14ac:dyDescent="0.25">
      <c r="A9132" t="str">
        <f ca="1">IFERROR(__xludf.DUMMYFUNCTION("""COMPUTED_VALUE"""),"Zineb")</f>
        <v>Zineb</v>
      </c>
      <c r="B9132" t="str">
        <f ca="1">IFERROR(__xludf.DUMMYFUNCTION("""COMPUTED_VALUE"""),"RF-0972-001-PPP")</f>
        <v>RF-0972-001-PPP</v>
      </c>
    </row>
    <row r="9133" spans="1:2" ht="12.5" x14ac:dyDescent="0.25">
      <c r="A9133" t="str">
        <f ca="1">IFERROR(__xludf.DUMMYFUNCTION("""COMPUTED_VALUE"""),"Zink (Zn)")</f>
        <v>Zink (Zn)</v>
      </c>
      <c r="B9133" t="str">
        <f ca="1">IFERROR(__xludf.DUMMYFUNCTION("""COMPUTED_VALUE"""),"RF-00000205-CHE")</f>
        <v>RF-00000205-CHE</v>
      </c>
    </row>
    <row r="9134" spans="1:2" ht="12.5" x14ac:dyDescent="0.25">
      <c r="A9134" t="str">
        <f ca="1">IFERROR(__xludf.DUMMYFUNCTION("""COMPUTED_VALUE"""),"Zink and derivatives")</f>
        <v>Zink and derivatives</v>
      </c>
      <c r="B9134" t="str">
        <f ca="1">IFERROR(__xludf.DUMMYFUNCTION("""COMPUTED_VALUE"""),"RF-00000204-CHE")</f>
        <v>RF-00000204-CHE</v>
      </c>
    </row>
    <row r="9135" spans="1:2" ht="12.5" x14ac:dyDescent="0.25">
      <c r="A9135" t="str">
        <f ca="1">IFERROR(__xludf.DUMMYFUNCTION("""COMPUTED_VALUE"""),"Ziram")</f>
        <v>Ziram</v>
      </c>
      <c r="B9135" t="str">
        <f ca="1">IFERROR(__xludf.DUMMYFUNCTION("""COMPUTED_VALUE"""),"RF-0451-001-PPP")</f>
        <v>RF-0451-001-PPP</v>
      </c>
    </row>
    <row r="9136" spans="1:2" ht="12.5" x14ac:dyDescent="0.25">
      <c r="A9136" t="str">
        <f ca="1">IFERROR(__xludf.DUMMYFUNCTION("""COMPUTED_VALUE"""),"Zoxamide")</f>
        <v>Zoxamide</v>
      </c>
      <c r="B9136" t="str">
        <f ca="1">IFERROR(__xludf.DUMMYFUNCTION("""COMPUTED_VALUE"""),"RF-0452-001-PPP")</f>
        <v>RF-0452-001-PPP</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7"/>
  <sheetViews>
    <sheetView workbookViewId="0"/>
  </sheetViews>
  <sheetFormatPr defaultColWidth="14.453125" defaultRowHeight="15.75" customHeight="1" x14ac:dyDescent="0.25"/>
  <cols>
    <col min="1" max="1" width="30.453125" customWidth="1"/>
  </cols>
  <sheetData>
    <row r="1" spans="1:3" ht="15.75" customHeight="1" x14ac:dyDescent="0.3">
      <c r="A1" s="22" t="str">
        <f ca="1">IFERROR(__xludf.DUMMYFUNCTION("importrange(""https://docs.google.com/spreadsheets/d/1C6N4-YWX9OMmNStd2rYlSUaVys-aiJGLj00cD44aVc8/edit#gid=1894320575"",""Product treatment!A1:O500"")"),"Value")</f>
        <v>Value</v>
      </c>
      <c r="B1" t="str">
        <f ca="1">IFERROR(__xludf.DUMMYFUNCTION("""COMPUTED_VALUE"""),"ID")</f>
        <v>ID</v>
      </c>
      <c r="C1" t="str">
        <f ca="1">IFERROR(__xludf.DUMMYFUNCTION("""COMPUTED_VALUE"""),"Comment")</f>
        <v>Comment</v>
      </c>
    </row>
    <row r="2" spans="1:3" ht="12.5" x14ac:dyDescent="0.25">
      <c r="A2" t="str">
        <f ca="1">IFERROR(__xludf.DUMMYFUNCTION("""COMPUTED_VALUE"""),"Canning")</f>
        <v>Canning</v>
      </c>
      <c r="B2" t="str">
        <f ca="1">IFERROR(__xludf.DUMMYFUNCTION("""COMPUTED_VALUE"""),"T120A")</f>
        <v>T120A</v>
      </c>
      <c r="C2" t="str">
        <f ca="1">IFERROR(__xludf.DUMMYFUNCTION("""COMPUTED_VALUE"""),"Canning of fruit or vegetables (applies to pears, pineapple, peach, carrots, peas etc)")</f>
        <v>Canning of fruit or vegetables (applies to pears, pineapple, peach, carrots, peas etc)</v>
      </c>
    </row>
    <row r="3" spans="1:3" ht="12.5" x14ac:dyDescent="0.25">
      <c r="A3" t="str">
        <f ca="1">IFERROR(__xludf.DUMMYFUNCTION("""COMPUTED_VALUE"""),"Churning")</f>
        <v>Churning</v>
      </c>
      <c r="B3" t="str">
        <f ca="1">IFERROR(__xludf.DUMMYFUNCTION("""COMPUTED_VALUE"""),"T134A")</f>
        <v>T134A</v>
      </c>
      <c r="C3" t="str">
        <f ca="1">IFERROR(__xludf.DUMMYFUNCTION("""COMPUTED_VALUE"""),"Processing dairy products (applies to butter, cheese etc)")</f>
        <v>Processing dairy products (applies to butter, cheese etc)</v>
      </c>
    </row>
    <row r="4" spans="1:3" ht="12.5" x14ac:dyDescent="0.25">
      <c r="A4" t="str">
        <f ca="1">IFERROR(__xludf.DUMMYFUNCTION("""COMPUTED_VALUE"""),"Concentration")</f>
        <v>Concentration</v>
      </c>
      <c r="B4" t="str">
        <f ca="1">IFERROR(__xludf.DUMMYFUNCTION("""COMPUTED_VALUE"""),"T136A")</f>
        <v>T136A</v>
      </c>
      <c r="C4" t="str">
        <f ca="1">IFERROR(__xludf.DUMMYFUNCTION("""COMPUTED_VALUE"""),"Increase in certain contents by removing water or other constituents")</f>
        <v>Increase in certain contents by removing water or other constituents</v>
      </c>
    </row>
    <row r="5" spans="1:3" ht="12.5" x14ac:dyDescent="0.25">
      <c r="A5" t="str">
        <f ca="1">IFERROR(__xludf.DUMMYFUNCTION("""COMPUTED_VALUE"""),"Cooking")</f>
        <v>Cooking</v>
      </c>
      <c r="B5" t="str">
        <f ca="1">IFERROR(__xludf.DUMMYFUNCTION("""COMPUTED_VALUE"""),"T127A")</f>
        <v>T127A</v>
      </c>
      <c r="C5" t="str">
        <f ca="1">IFERROR(__xludf.DUMMYFUNCTION("""COMPUTED_VALUE"""),"Application of heat to a product")</f>
        <v>Application of heat to a product</v>
      </c>
    </row>
    <row r="6" spans="1:3" ht="12.5" x14ac:dyDescent="0.25">
      <c r="A6" t="str">
        <f ca="1">IFERROR(__xludf.DUMMYFUNCTION("""COMPUTED_VALUE"""),"Cooking in air (Baking)")</f>
        <v>Cooking in air (Baking)</v>
      </c>
      <c r="B6" t="str">
        <f ca="1">IFERROR(__xludf.DUMMYFUNCTION("""COMPUTED_VALUE"""),"T130A")</f>
        <v>T130A</v>
      </c>
      <c r="C6" t="str">
        <f ca="1">IFERROR(__xludf.DUMMYFUNCTION("""COMPUTED_VALUE"""),"Cooking at a high temperature in air (applies to potatoes, bread)")</f>
        <v>Cooking at a high temperature in air (applies to potatoes, bread)</v>
      </c>
    </row>
    <row r="7" spans="1:3" ht="12.5" x14ac:dyDescent="0.25">
      <c r="A7" t="str">
        <f ca="1">IFERROR(__xludf.DUMMYFUNCTION("""COMPUTED_VALUE"""),"Cooking in oil (Frying)")</f>
        <v>Cooking in oil (Frying)</v>
      </c>
      <c r="B7" t="str">
        <f ca="1">IFERROR(__xludf.DUMMYFUNCTION("""COMPUTED_VALUE"""),"T129A")</f>
        <v>T129A</v>
      </c>
      <c r="C7" t="str">
        <f ca="1">IFERROR(__xludf.DUMMYFUNCTION("""COMPUTED_VALUE"""),"Cooking in hot oil (applies to potatoes etc)")</f>
        <v>Cooking in hot oil (applies to potatoes etc)</v>
      </c>
    </row>
    <row r="8" spans="1:3" ht="12.5" x14ac:dyDescent="0.25">
      <c r="A8" t="str">
        <f ca="1">IFERROR(__xludf.DUMMYFUNCTION("""COMPUTED_VALUE"""),"Cooking in water")</f>
        <v>Cooking in water</v>
      </c>
      <c r="B8" t="str">
        <f ca="1">IFERROR(__xludf.DUMMYFUNCTION("""COMPUTED_VALUE"""),"T128A")</f>
        <v>T128A</v>
      </c>
      <c r="C8" t="str">
        <f ca="1">IFERROR(__xludf.DUMMYFUNCTION("""COMPUTED_VALUE"""),"Boiling, Poaching of products (applies to potatoes, pulses etc)")</f>
        <v>Boiling, Poaching of products (applies to potatoes, pulses etc)</v>
      </c>
    </row>
    <row r="9" spans="1:3" ht="12.5" x14ac:dyDescent="0.25">
      <c r="A9" t="str">
        <f ca="1">IFERROR(__xludf.DUMMYFUNCTION("""COMPUTED_VALUE"""),"Crushing")</f>
        <v>Crushing</v>
      </c>
      <c r="B9" t="str">
        <f ca="1">IFERROR(__xludf.DUMMYFUNCTION("""COMPUTED_VALUE"""),"T146A")</f>
        <v>T146A</v>
      </c>
      <c r="C9" t="str">
        <f ca="1">IFERROR(__xludf.DUMMYFUNCTION("""COMPUTED_VALUE"""),"Mechanical processing of grain or other feed materials to
reduce their size")</f>
        <v>Mechanical processing of grain or other feed materials to
reduce their size</v>
      </c>
    </row>
    <row r="10" spans="1:3" ht="12.5" x14ac:dyDescent="0.25">
      <c r="A10" t="str">
        <f ca="1">IFERROR(__xludf.DUMMYFUNCTION("""COMPUTED_VALUE"""),"Decortication")</f>
        <v>Decortication</v>
      </c>
      <c r="B10" t="str">
        <f ca="1">IFERROR(__xludf.DUMMYFUNCTION("""COMPUTED_VALUE"""),"T137A")</f>
        <v>T137A</v>
      </c>
      <c r="C10" t="str">
        <f ca="1">IFERROR(__xludf.DUMMYFUNCTION("""COMPUTED_VALUE"""),"Complete or partial removal of outer layers from grains, seeds, fruits, nuts and others")</f>
        <v>Complete or partial removal of outer layers from grains, seeds, fruits, nuts and others</v>
      </c>
    </row>
    <row r="11" spans="1:3" ht="12.5" x14ac:dyDescent="0.25">
      <c r="A11" t="str">
        <f ca="1">IFERROR(__xludf.DUMMYFUNCTION("""COMPUTED_VALUE"""),"Dehydration")</f>
        <v>Dehydration</v>
      </c>
      <c r="B11" t="str">
        <f ca="1">IFERROR(__xludf.DUMMYFUNCTION("""COMPUTED_VALUE"""),"T131A")</f>
        <v>T131A</v>
      </c>
      <c r="C11" t="str">
        <f ca="1">IFERROR(__xludf.DUMMYFUNCTION("""COMPUTED_VALUE"""),"The removal of water (applies to plums, apricots, grapes, dates, potatoes, fungi etc)")</f>
        <v>The removal of water (applies to plums, apricots, grapes, dates, potatoes, fungi etc)</v>
      </c>
    </row>
    <row r="12" spans="1:3" ht="12.5" x14ac:dyDescent="0.25">
      <c r="A12" t="str">
        <f ca="1">IFERROR(__xludf.DUMMYFUNCTION("""COMPUTED_VALUE"""),"Desugaring")</f>
        <v>Desugaring</v>
      </c>
      <c r="B12" t="str">
        <f ca="1">IFERROR(__xludf.DUMMYFUNCTION("""COMPUTED_VALUE"""),"T147A")</f>
        <v>T147A</v>
      </c>
      <c r="C12" t="str">
        <f ca="1">IFERROR(__xludf.DUMMYFUNCTION("""COMPUTED_VALUE"""),"Complete or partial removal of mono- and disaccharides from molasses and other material containing sugar by chemical or physical means")</f>
        <v>Complete or partial removal of mono- and disaccharides from molasses and other material containing sugar by chemical or physical means</v>
      </c>
    </row>
    <row r="13" spans="1:3" ht="12.5" x14ac:dyDescent="0.25">
      <c r="A13" t="str">
        <f ca="1">IFERROR(__xludf.DUMMYFUNCTION("""COMPUTED_VALUE"""),"Extrusion")</f>
        <v>Extrusion</v>
      </c>
      <c r="B13" t="str">
        <f ca="1">IFERROR(__xludf.DUMMYFUNCTION("""COMPUTED_VALUE"""),"T138A")</f>
        <v>T138A</v>
      </c>
      <c r="C13" t="str">
        <f ca="1">IFERROR(__xludf.DUMMYFUNCTION("""COMPUTED_VALUE"""),"Pressing of material through an orifice under pressure.")</f>
        <v>Pressing of material through an orifice under pressure.</v>
      </c>
    </row>
    <row r="14" spans="1:3" ht="12.5" x14ac:dyDescent="0.25">
      <c r="A14" t="str">
        <f ca="1">IFERROR(__xludf.DUMMYFUNCTION("""COMPUTED_VALUE"""),"Fermentation")</f>
        <v>Fermentation</v>
      </c>
      <c r="B14" t="str">
        <f ca="1">IFERROR(__xludf.DUMMYFUNCTION("""COMPUTED_VALUE"""),"T132A")</f>
        <v>T132A</v>
      </c>
      <c r="C14" t="str">
        <f ca="1">IFERROR(__xludf.DUMMYFUNCTION("""COMPUTED_VALUE"""),"Fermentation for purposes other than the production of alcoholic beverages (applies to cabbage, soya, rice etc)")</f>
        <v>Fermentation for purposes other than the production of alcoholic beverages (applies to cabbage, soya, rice etc)</v>
      </c>
    </row>
    <row r="15" spans="1:3" ht="12.5" x14ac:dyDescent="0.25">
      <c r="A15" t="str">
        <f ca="1">IFERROR(__xludf.DUMMYFUNCTION("""COMPUTED_VALUE"""),"Flaking")</f>
        <v>Flaking</v>
      </c>
      <c r="B15" t="str">
        <f ca="1">IFERROR(__xludf.DUMMYFUNCTION("""COMPUTED_VALUE"""),"T139A")</f>
        <v>T139A</v>
      </c>
      <c r="C15" t="str">
        <f ca="1">IFERROR(__xludf.DUMMYFUNCTION("""COMPUTED_VALUE"""),"Rolling of moist heat-treated material")</f>
        <v>Rolling of moist heat-treated material</v>
      </c>
    </row>
    <row r="16" spans="1:3" ht="12.5" x14ac:dyDescent="0.25">
      <c r="A16" t="str">
        <f ca="1">IFERROR(__xludf.DUMMYFUNCTION("""COMPUTED_VALUE"""),"Freezing")</f>
        <v>Freezing</v>
      </c>
      <c r="B16" t="str">
        <f ca="1">IFERROR(__xludf.DUMMYFUNCTION("""COMPUTED_VALUE"""),"T998A")</f>
        <v>T998A</v>
      </c>
      <c r="C16" t="str">
        <f ca="1">IFERROR(__xludf.DUMMYFUNCTION("""COMPUTED_VALUE"""),"Freezing of harvested products")</f>
        <v>Freezing of harvested products</v>
      </c>
    </row>
    <row r="17" spans="1:3" ht="12.5" x14ac:dyDescent="0.25">
      <c r="A17" t="str">
        <f ca="1">IFERROR(__xludf.DUMMYFUNCTION("""COMPUTED_VALUE"""),"Heating")</f>
        <v>Heating</v>
      </c>
      <c r="B17" t="str">
        <f ca="1">IFERROR(__xludf.DUMMYFUNCTION("""COMPUTED_VALUE"""),"T140A")</f>
        <v>T140A</v>
      </c>
      <c r="C17" t="str">
        <f ca="1">IFERROR(__xludf.DUMMYFUNCTION("""COMPUTED_VALUE"""),"General term covering a number of heat treatments carried out under specific conditions to influence the nutritional value or the structure of the material")</f>
        <v>General term covering a number of heat treatments carried out under specific conditions to influence the nutritional value or the structure of the material</v>
      </c>
    </row>
    <row r="18" spans="1:3" ht="12.5" x14ac:dyDescent="0.25">
      <c r="A18" t="str">
        <f ca="1">IFERROR(__xludf.DUMMYFUNCTION("""COMPUTED_VALUE"""),"Hydrogenation")</f>
        <v>Hydrogenation</v>
      </c>
      <c r="B18" t="str">
        <f ca="1">IFERROR(__xludf.DUMMYFUNCTION("""COMPUTED_VALUE"""),"T141A")</f>
        <v>T141A</v>
      </c>
      <c r="C18" t="str">
        <f ca="1">IFERROR(__xludf.DUMMYFUNCTION("""COMPUTED_VALUE"""),"Transformation of unsaturated glycerides into saturated glycerides (of oils and fats)")</f>
        <v>Transformation of unsaturated glycerides into saturated glycerides (of oils and fats)</v>
      </c>
    </row>
    <row r="19" spans="1:3" ht="12.5" x14ac:dyDescent="0.25">
      <c r="A19" t="str">
        <f ca="1">IFERROR(__xludf.DUMMYFUNCTION("""COMPUTED_VALUE"""),"Hydrolysis")</f>
        <v>Hydrolysis</v>
      </c>
      <c r="B19" t="str">
        <f ca="1">IFERROR(__xludf.DUMMYFUNCTION("""COMPUTED_VALUE"""),"T142A")</f>
        <v>T142A</v>
      </c>
      <c r="C19" t="str">
        <f ca="1">IFERROR(__xludf.DUMMYFUNCTION("""COMPUTED_VALUE"""),"Breakdown into simpler chemical constituents by appropriate treatment with water and possibly either enzymes or acid/alkali")</f>
        <v>Breakdown into simpler chemical constituents by appropriate treatment with water and possibly either enzymes or acid/alkali</v>
      </c>
    </row>
    <row r="20" spans="1:3" ht="12.5" x14ac:dyDescent="0.25">
      <c r="A20" t="str">
        <f ca="1">IFERROR(__xludf.DUMMYFUNCTION("""COMPUTED_VALUE"""),"Infusion / extractions")</f>
        <v>Infusion / extractions</v>
      </c>
      <c r="B20" t="str">
        <f ca="1">IFERROR(__xludf.DUMMYFUNCTION("""COMPUTED_VALUE"""),"T119A")</f>
        <v>T119A</v>
      </c>
      <c r="C20" t="str">
        <f ca="1">IFERROR(__xludf.DUMMYFUNCTION("""COMPUTED_VALUE"""),"Infusions, roasting and extraction (applies to coffee, cacao, tea etc)")</f>
        <v>Infusions, roasting and extraction (applies to coffee, cacao, tea etc)</v>
      </c>
    </row>
    <row r="21" spans="1:3" ht="12.5" x14ac:dyDescent="0.25">
      <c r="A21" t="str">
        <f ca="1">IFERROR(__xludf.DUMMYFUNCTION("""COMPUTED_VALUE"""),"Juicing")</f>
        <v>Juicing</v>
      </c>
      <c r="B21" t="str">
        <f ca="1">IFERROR(__xludf.DUMMYFUNCTION("""COMPUTED_VALUE"""),"T103A")</f>
        <v>T103A</v>
      </c>
      <c r="C21" t="str">
        <f ca="1">IFERROR(__xludf.DUMMYFUNCTION("""COMPUTED_VALUE"""),"Production of juice from fruit or vegetables include pulp and puree (applies to citrus fruits etc)")</f>
        <v>Production of juice from fruit or vegetables include pulp and puree (applies to citrus fruits etc)</v>
      </c>
    </row>
    <row r="22" spans="1:3" ht="12.5" x14ac:dyDescent="0.25">
      <c r="A22" t="str">
        <f ca="1">IFERROR(__xludf.DUMMYFUNCTION("""COMPUTED_VALUE"""),"Milk pasteurisation")</f>
        <v>Milk pasteurisation</v>
      </c>
      <c r="B22" t="str">
        <f ca="1">IFERROR(__xludf.DUMMYFUNCTION("""COMPUTED_VALUE"""),"T150A")</f>
        <v>T150A</v>
      </c>
      <c r="C22" t="str">
        <f ca="1">IFERROR(__xludf.DUMMYFUNCTION("""COMPUTED_VALUE"""),"Pasteurisation, filtration, sterilisation or other treatments of raw milk with the purpose of extending the shelfs-life of milk.")</f>
        <v>Pasteurisation, filtration, sterilisation or other treatments of raw milk with the purpose of extending the shelfs-life of milk.</v>
      </c>
    </row>
    <row r="23" spans="1:3" ht="12.5" x14ac:dyDescent="0.25">
      <c r="A23" t="str">
        <f ca="1">IFERROR(__xludf.DUMMYFUNCTION("""COMPUTED_VALUE"""),"Milling")</f>
        <v>Milling</v>
      </c>
      <c r="B23" t="str">
        <f ca="1">IFERROR(__xludf.DUMMYFUNCTION("""COMPUTED_VALUE"""),"T110A")</f>
        <v>T110A</v>
      </c>
      <c r="C23" t="str">
        <f ca="1">IFERROR(__xludf.DUMMYFUNCTION("""COMPUTED_VALUE"""),"Production of flour, bran, germ, gluten, polished from cereal (applies to wheat, rice, maize etc)")</f>
        <v>Production of flour, bran, germ, gluten, polished from cereal (applies to wheat, rice, maize etc)</v>
      </c>
    </row>
    <row r="24" spans="1:3" ht="12.5" x14ac:dyDescent="0.25">
      <c r="A24" t="str">
        <f ca="1">IFERROR(__xludf.DUMMYFUNCTION("""COMPUTED_VALUE"""),"Milling - bran production")</f>
        <v>Milling - bran production</v>
      </c>
      <c r="B24" t="str">
        <f ca="1">IFERROR(__xludf.DUMMYFUNCTION("""COMPUTED_VALUE"""),"T113A")</f>
        <v>T113A</v>
      </c>
      <c r="C24" t="str">
        <f ca="1">IFERROR(__xludf.DUMMYFUNCTION("""COMPUTED_VALUE"""),"Production of cereal bran")</f>
        <v>Production of cereal bran</v>
      </c>
    </row>
    <row r="25" spans="1:3" ht="12.5" x14ac:dyDescent="0.25">
      <c r="A25" t="str">
        <f ca="1">IFERROR(__xludf.DUMMYFUNCTION("""COMPUTED_VALUE"""),"Milling - refined flour")</f>
        <v>Milling - refined flour</v>
      </c>
      <c r="B25" t="str">
        <f ca="1">IFERROR(__xludf.DUMMYFUNCTION("""COMPUTED_VALUE"""),"T112A")</f>
        <v>T112A</v>
      </c>
      <c r="C25" t="str">
        <f ca="1">IFERROR(__xludf.DUMMYFUNCTION("""COMPUTED_VALUE"""),"Production of refined (white) flour")</f>
        <v>Production of refined (white) flour</v>
      </c>
    </row>
    <row r="26" spans="1:3" ht="12.5" x14ac:dyDescent="0.25">
      <c r="A26" t="str">
        <f ca="1">IFERROR(__xludf.DUMMYFUNCTION("""COMPUTED_VALUE"""),"Milling - unprocessed flour")</f>
        <v>Milling - unprocessed flour</v>
      </c>
      <c r="B26" t="str">
        <f ca="1">IFERROR(__xludf.DUMMYFUNCTION("""COMPUTED_VALUE"""),"T111A")</f>
        <v>T111A</v>
      </c>
      <c r="C26" t="str">
        <f ca="1">IFERROR(__xludf.DUMMYFUNCTION("""COMPUTED_VALUE"""),"Production of wholemeal flours")</f>
        <v>Production of wholemeal flours</v>
      </c>
    </row>
    <row r="27" spans="1:3" ht="12.5" x14ac:dyDescent="0.25">
      <c r="A27" t="str">
        <f ca="1">IFERROR(__xludf.DUMMYFUNCTION("""COMPUTED_VALUE"""),"Oil production")</f>
        <v>Oil production</v>
      </c>
      <c r="B27" t="str">
        <f ca="1">IFERROR(__xludf.DUMMYFUNCTION("""COMPUTED_VALUE"""),"T104A")</f>
        <v>T104A</v>
      </c>
      <c r="C27" t="str">
        <f ca="1">IFERROR(__xludf.DUMMYFUNCTION("""COMPUTED_VALUE"""),"Oil production by pressing or extraction including meal or press cake used as animal feed")</f>
        <v>Oil production by pressing or extraction including meal or press cake used as animal feed</v>
      </c>
    </row>
    <row r="28" spans="1:3" ht="12.5" x14ac:dyDescent="0.25">
      <c r="A28" t="str">
        <f ca="1">IFERROR(__xludf.DUMMYFUNCTION("""COMPUTED_VALUE"""),"Oil production - Cold press")</f>
        <v>Oil production - Cold press</v>
      </c>
      <c r="B28" t="str">
        <f ca="1">IFERROR(__xludf.DUMMYFUNCTION("""COMPUTED_VALUE"""),"T106A")</f>
        <v>T106A</v>
      </c>
      <c r="C28" t="str">
        <f ca="1">IFERROR(__xludf.DUMMYFUNCTION("""COMPUTED_VALUE"""),"Oil production using cold pressing (applies to olive, rapeseed, peanuts, sunflower etc)")</f>
        <v>Oil production using cold pressing (applies to olive, rapeseed, peanuts, sunflower etc)</v>
      </c>
    </row>
    <row r="29" spans="1:3" ht="12.5" x14ac:dyDescent="0.25">
      <c r="A29" t="str">
        <f ca="1">IFERROR(__xludf.DUMMYFUNCTION("""COMPUTED_VALUE"""),"Oil production - refined oils")</f>
        <v>Oil production - refined oils</v>
      </c>
      <c r="B29" t="str">
        <f ca="1">IFERROR(__xludf.DUMMYFUNCTION("""COMPUTED_VALUE"""),"T108A")</f>
        <v>T108A</v>
      </c>
      <c r="C29" t="str">
        <f ca="1">IFERROR(__xludf.DUMMYFUNCTION("""COMPUTED_VALUE"""),"Refined oil production using warm pressing (applies to olive, rapeseed, peanuts, sunflower etc)")</f>
        <v>Refined oil production using warm pressing (applies to olive, rapeseed, peanuts, sunflower etc)</v>
      </c>
    </row>
    <row r="30" spans="1:3" ht="12.5" x14ac:dyDescent="0.25">
      <c r="A30" t="str">
        <f ca="1">IFERROR(__xludf.DUMMYFUNCTION("""COMPUTED_VALUE"""),"Oil production - Solvent Extraction")</f>
        <v>Oil production - Solvent Extraction</v>
      </c>
      <c r="B30" t="str">
        <f ca="1">IFERROR(__xludf.DUMMYFUNCTION("""COMPUTED_VALUE"""),"T109A")</f>
        <v>T109A</v>
      </c>
      <c r="C30" t="str">
        <f ca="1">IFERROR(__xludf.DUMMYFUNCTION("""COMPUTED_VALUE"""),"Oil production involving crushing and solvent extraction (applies to soybean, sunflower, linseed etc)")</f>
        <v>Oil production involving crushing and solvent extraction (applies to soybean, sunflower, linseed etc)</v>
      </c>
    </row>
    <row r="31" spans="1:3" ht="12.5" x14ac:dyDescent="0.25">
      <c r="A31" t="str">
        <f ca="1">IFERROR(__xludf.DUMMYFUNCTION("""COMPUTED_VALUE"""),"Oil production - Virgin oil after cold press")</f>
        <v>Oil production - Virgin oil after cold press</v>
      </c>
      <c r="B31" t="str">
        <f ca="1">IFERROR(__xludf.DUMMYFUNCTION("""COMPUTED_VALUE"""),"T105A")</f>
        <v>T105A</v>
      </c>
      <c r="C31" t="str">
        <f ca="1">IFERROR(__xludf.DUMMYFUNCTION("""COMPUTED_VALUE"""),"Oil production using cold pressing (applies to olive)")</f>
        <v>Oil production using cold pressing (applies to olive)</v>
      </c>
    </row>
    <row r="32" spans="1:3" ht="12.5" x14ac:dyDescent="0.25">
      <c r="A32" t="str">
        <f ca="1">IFERROR(__xludf.DUMMYFUNCTION("""COMPUTED_VALUE"""),"Oil production - Warm press")</f>
        <v>Oil production - Warm press</v>
      </c>
      <c r="B32" t="str">
        <f ca="1">IFERROR(__xludf.DUMMYFUNCTION("""COMPUTED_VALUE"""),"T107A")</f>
        <v>T107A</v>
      </c>
      <c r="C32" t="str">
        <f ca="1">IFERROR(__xludf.DUMMYFUNCTION("""COMPUTED_VALUE"""),"Oil production using warm pressing (applies to olive, rapeseed, peanuts, sunflower etc)")</f>
        <v>Oil production using warm pressing (applies to olive, rapeseed, peanuts, sunflower etc)</v>
      </c>
    </row>
    <row r="33" spans="1:3" ht="12.5" x14ac:dyDescent="0.25">
      <c r="A33" t="str">
        <f ca="1">IFERROR(__xludf.DUMMYFUNCTION("""COMPUTED_VALUE"""),"Other")</f>
        <v>Other</v>
      </c>
      <c r="B33" t="str">
        <f ca="1">IFERROR(__xludf.DUMMYFUNCTION("""COMPUTED_VALUE"""),"Other")</f>
        <v>Other</v>
      </c>
    </row>
    <row r="34" spans="1:3" ht="12.5" x14ac:dyDescent="0.25">
      <c r="A34" t="str">
        <f ca="1">IFERROR(__xludf.DUMMYFUNCTION("""COMPUTED_VALUE"""),"Pasteurisation")</f>
        <v>Pasteurisation</v>
      </c>
      <c r="B34" t="str">
        <f ca="1">IFERROR(__xludf.DUMMYFUNCTION("""COMPUTED_VALUE"""),"T151A")</f>
        <v>T151A</v>
      </c>
      <c r="C34" t="str">
        <f ca="1">IFERROR(__xludf.DUMMYFUNCTION("""COMPUTED_VALUE"""),"Pasteurization is a process of heating a food, usually a liquid, to a specific temperature for a definite length of time and then cooling it immediately. Pasteurization slows microbial growth in the food.")</f>
        <v>Pasteurization is a process of heating a food, usually a liquid, to a specific temperature for a definite length of time and then cooling it immediately. Pasteurization slows microbial growth in the food.</v>
      </c>
    </row>
    <row r="35" spans="1:3" ht="12.5" x14ac:dyDescent="0.25">
      <c r="A35" t="str">
        <f ca="1">IFERROR(__xludf.DUMMYFUNCTION("""COMPUTED_VALUE"""),"Peeling (edible peel)")</f>
        <v>Peeling (edible peel)</v>
      </c>
      <c r="B35" t="str">
        <f ca="1">IFERROR(__xludf.DUMMYFUNCTION("""COMPUTED_VALUE"""),"T102A")</f>
        <v>T102A</v>
      </c>
      <c r="C35" t="str">
        <f ca="1">IFERROR(__xludf.DUMMYFUNCTION("""COMPUTED_VALUE"""),"Removal of edible peel where the pomace is the food item (applies to pome fruits etc )")</f>
        <v>Removal of edible peel where the pomace is the food item (applies to pome fruits etc )</v>
      </c>
    </row>
    <row r="36" spans="1:3" ht="12.5" x14ac:dyDescent="0.25">
      <c r="A36" t="str">
        <f ca="1">IFERROR(__xludf.DUMMYFUNCTION("""COMPUTED_VALUE"""),"Peeling (inedible peel)")</f>
        <v>Peeling (inedible peel)</v>
      </c>
      <c r="B36" t="str">
        <f ca="1">IFERROR(__xludf.DUMMYFUNCTION("""COMPUTED_VALUE"""),"T101A")</f>
        <v>T101A</v>
      </c>
      <c r="C36" t="str">
        <f ca="1">IFERROR(__xludf.DUMMYFUNCTION("""COMPUTED_VALUE"""),"Removal of inedible peel where the internal fruit or vegetable is the food item (applies to banannas, pineapple, cucurbits etc)")</f>
        <v>Removal of inedible peel where the internal fruit or vegetable is the food item (applies to banannas, pineapple, cucurbits etc)</v>
      </c>
    </row>
    <row r="37" spans="1:3" ht="12.5" x14ac:dyDescent="0.25">
      <c r="A37" t="str">
        <f ca="1">IFERROR(__xludf.DUMMYFUNCTION("""COMPUTED_VALUE"""),"Pelleting")</f>
        <v>Pelleting</v>
      </c>
      <c r="B37" t="str">
        <f ca="1">IFERROR(__xludf.DUMMYFUNCTION("""COMPUTED_VALUE"""),"T143A")</f>
        <v>T143A</v>
      </c>
      <c r="C37" t="str">
        <f ca="1">IFERROR(__xludf.DUMMYFUNCTION("""COMPUTED_VALUE"""),"Special shaping by compression through a die")</f>
        <v>Special shaping by compression through a die</v>
      </c>
    </row>
    <row r="38" spans="1:3" ht="12.5" x14ac:dyDescent="0.25">
      <c r="A38" t="str">
        <f ca="1">IFERROR(__xludf.DUMMYFUNCTION("""COMPUTED_VALUE"""),"Pickling")</f>
        <v>Pickling</v>
      </c>
      <c r="B38" t="str">
        <f ca="1">IFERROR(__xludf.DUMMYFUNCTION("""COMPUTED_VALUE"""),"T133A")</f>
        <v>T133A</v>
      </c>
      <c r="C38" t="str">
        <f ca="1">IFERROR(__xludf.DUMMYFUNCTION("""COMPUTED_VALUE"""),"Brining or corning, preserving of food by anaerobic fermentation in salt solution (applies to cucumber, cabbage etc)")</f>
        <v>Brining or corning, preserving of food by anaerobic fermentation in salt solution (applies to cucumber, cabbage etc)</v>
      </c>
    </row>
    <row r="39" spans="1:3" ht="12.5" x14ac:dyDescent="0.25">
      <c r="A39" t="str">
        <f ca="1">IFERROR(__xludf.DUMMYFUNCTION("""COMPUTED_VALUE"""),"Polishing")</f>
        <v>Polishing</v>
      </c>
      <c r="B39" t="str">
        <f ca="1">IFERROR(__xludf.DUMMYFUNCTION("""COMPUTED_VALUE"""),"T114A")</f>
        <v>T114A</v>
      </c>
      <c r="C39" t="str">
        <f ca="1">IFERROR(__xludf.DUMMYFUNCTION("""COMPUTED_VALUE"""),"Cereal polishing (applies to rice, barley etc)")</f>
        <v>Cereal polishing (applies to rice, barley etc)</v>
      </c>
    </row>
    <row r="40" spans="1:3" ht="12.5" x14ac:dyDescent="0.25">
      <c r="A40" t="str">
        <f ca="1">IFERROR(__xludf.DUMMYFUNCTION("""COMPUTED_VALUE"""),"Pregelatinisation")</f>
        <v>Pregelatinisation</v>
      </c>
      <c r="B40" t="str">
        <f ca="1">IFERROR(__xludf.DUMMYFUNCTION("""COMPUTED_VALUE"""),"T144A")</f>
        <v>T144A</v>
      </c>
      <c r="C40" t="str">
        <f ca="1">IFERROR(__xludf.DUMMYFUNCTION("""COMPUTED_VALUE"""),"Modification of starch to improve markedly its swelling properties in cold water")</f>
        <v>Modification of starch to improve markedly its swelling properties in cold water</v>
      </c>
    </row>
    <row r="41" spans="1:3" ht="12.5" x14ac:dyDescent="0.25">
      <c r="A41" t="str">
        <f ca="1">IFERROR(__xludf.DUMMYFUNCTION("""COMPUTED_VALUE"""),"Preserving")</f>
        <v>Preserving</v>
      </c>
      <c r="B41" t="str">
        <f ca="1">IFERROR(__xludf.DUMMYFUNCTION("""COMPUTED_VALUE"""),"T121A")</f>
        <v>T121A</v>
      </c>
      <c r="C41" t="str">
        <f ca="1">IFERROR(__xludf.DUMMYFUNCTION("""COMPUTED_VALUE"""),"Production of jams, sauces, marmalades, jelly (applies to citrus fruits, berries, tomatoes etc)")</f>
        <v>Production of jams, sauces, marmalades, jelly (applies to citrus fruits, berries, tomatoes etc)</v>
      </c>
    </row>
    <row r="42" spans="1:3" ht="12.5" x14ac:dyDescent="0.25">
      <c r="A42" t="str">
        <f ca="1">IFERROR(__xludf.DUMMYFUNCTION("""COMPUTED_VALUE"""),"Pressing")</f>
        <v>Pressing</v>
      </c>
      <c r="B42" t="str">
        <f ca="1">IFERROR(__xludf.DUMMYFUNCTION("""COMPUTED_VALUE"""),"T149A")</f>
        <v>T149A</v>
      </c>
      <c r="C42" t="str">
        <f ca="1">IFERROR(__xludf.DUMMYFUNCTION("""COMPUTED_VALUE"""),"Removal by mechanical extraction (by a screw or other type of press), with or without a slight heating, of fat/oil from oil-rich materials or of juice from fruits or other vegetable products")</f>
        <v>Removal by mechanical extraction (by a screw or other type of press), with or without a slight heating, of fat/oil from oil-rich materials or of juice from fruits or other vegetable products</v>
      </c>
    </row>
    <row r="43" spans="1:3" ht="12.5" x14ac:dyDescent="0.25">
      <c r="A43" t="str">
        <f ca="1">IFERROR(__xludf.DUMMYFUNCTION("""COMPUTED_VALUE"""),"Processed")</f>
        <v>Processed</v>
      </c>
      <c r="B43" t="str">
        <f ca="1">IFERROR(__xludf.DUMMYFUNCTION("""COMPUTED_VALUE"""),"T100A")</f>
        <v>T100A</v>
      </c>
      <c r="C43" t="str">
        <f ca="1">IFERROR(__xludf.DUMMYFUNCTION("""COMPUTED_VALUE"""),"To be used for processed products that cannot be used described with the classes below")</f>
        <v>To be used for processed products that cannot be used described with the classes below</v>
      </c>
    </row>
    <row r="44" spans="1:3" ht="12.5" x14ac:dyDescent="0.25">
      <c r="A44" t="str">
        <f ca="1">IFERROR(__xludf.DUMMYFUNCTION("""COMPUTED_VALUE"""),"Production of alcoholic beverages")</f>
        <v>Production of alcoholic beverages</v>
      </c>
      <c r="B44" t="str">
        <f ca="1">IFERROR(__xludf.DUMMYFUNCTION("""COMPUTED_VALUE"""),"T122A")</f>
        <v>T122A</v>
      </c>
      <c r="C44" t="str">
        <f ca="1">IFERROR(__xludf.DUMMYFUNCTION("""COMPUTED_VALUE"""),"Fermentation, Malting, Brewing, Distillation (applies to grapes (Wine, Must), hops (Beer), barley (Beer) etc)")</f>
        <v>Fermentation, Malting, Brewing, Distillation (applies to grapes (Wine, Must), hops (Beer), barley (Beer) etc)</v>
      </c>
    </row>
    <row r="45" spans="1:3" ht="12.5" x14ac:dyDescent="0.25">
      <c r="A45" t="str">
        <f ca="1">IFERROR(__xludf.DUMMYFUNCTION("""COMPUTED_VALUE"""),"Refining")</f>
        <v>Refining</v>
      </c>
      <c r="B45" t="str">
        <f ca="1">IFERROR(__xludf.DUMMYFUNCTION("""COMPUTED_VALUE"""),"T145A")</f>
        <v>T145A</v>
      </c>
      <c r="C45" t="str">
        <f ca="1">IFERROR(__xludf.DUMMYFUNCTION("""COMPUTED_VALUE"""),"Complete or partial removal of impurities in sugars, oils,fats and other natural materials by chemical/physical treatment. For oils and sugar use their specific entry in sugar production and oil production.")</f>
        <v>Complete or partial removal of impurities in sugars, oils,fats and other natural materials by chemical/physical treatment. For oils and sugar use their specific entry in sugar production and oil production.</v>
      </c>
    </row>
    <row r="46" spans="1:3" ht="12.5" x14ac:dyDescent="0.25">
      <c r="A46" t="str">
        <f ca="1">IFERROR(__xludf.DUMMYFUNCTION("""COMPUTED_VALUE"""),"Silage/Fodder production")</f>
        <v>Silage/Fodder production</v>
      </c>
      <c r="B46" t="str">
        <f ca="1">IFERROR(__xludf.DUMMYFUNCTION("""COMPUTED_VALUE"""),"T115A")</f>
        <v>T115A</v>
      </c>
      <c r="C46" t="str">
        <f ca="1">IFERROR(__xludf.DUMMYFUNCTION("""COMPUTED_VALUE"""),"Process to product animal feed")</f>
        <v>Process to product animal feed</v>
      </c>
    </row>
    <row r="47" spans="1:3" ht="12.5" x14ac:dyDescent="0.25">
      <c r="A47" t="str">
        <f ca="1">IFERROR(__xludf.DUMMYFUNCTION("""COMPUTED_VALUE"""),"Smoking")</f>
        <v>Smoking</v>
      </c>
      <c r="B47" t="str">
        <f ca="1">IFERROR(__xludf.DUMMYFUNCTION("""COMPUTED_VALUE"""),"T135A")</f>
        <v>T135A</v>
      </c>
      <c r="C47" t="str">
        <f ca="1">IFERROR(__xludf.DUMMYFUNCTION("""COMPUTED_VALUE"""),"Smoking")</f>
        <v>Smoking</v>
      </c>
    </row>
    <row r="48" spans="1:3" ht="12.5" x14ac:dyDescent="0.25">
      <c r="A48" t="str">
        <f ca="1">IFERROR(__xludf.DUMMYFUNCTION("""COMPUTED_VALUE"""),"Sugar production")</f>
        <v>Sugar production</v>
      </c>
      <c r="B48" t="str">
        <f ca="1">IFERROR(__xludf.DUMMYFUNCTION("""COMPUTED_VALUE"""),"T116A")</f>
        <v>T116A</v>
      </c>
      <c r="C48" t="str">
        <f ca="1">IFERROR(__xludf.DUMMYFUNCTION("""COMPUTED_VALUE"""),"Extraction of sugar (applied to sugar cane, sugar beet etc)")</f>
        <v>Extraction of sugar (applied to sugar cane, sugar beet etc)</v>
      </c>
    </row>
    <row r="49" spans="1:3" ht="12.5" x14ac:dyDescent="0.25">
      <c r="A49" t="str">
        <f ca="1">IFERROR(__xludf.DUMMYFUNCTION("""COMPUTED_VALUE"""),"Sugar production - raw")</f>
        <v>Sugar production - raw</v>
      </c>
      <c r="B49" t="str">
        <f ca="1">IFERROR(__xludf.DUMMYFUNCTION("""COMPUTED_VALUE"""),"T117A")</f>
        <v>T117A</v>
      </c>
      <c r="C49" t="str">
        <f ca="1">IFERROR(__xludf.DUMMYFUNCTION("""COMPUTED_VALUE"""),"Extraction of raw sugar (applied to sugar cane, sugar beet etc)")</f>
        <v>Extraction of raw sugar (applied to sugar cane, sugar beet etc)</v>
      </c>
    </row>
    <row r="50" spans="1:3" ht="12.5" x14ac:dyDescent="0.25">
      <c r="A50" t="str">
        <f ca="1">IFERROR(__xludf.DUMMYFUNCTION("""COMPUTED_VALUE"""),"Sugar production - refined")</f>
        <v>Sugar production - refined</v>
      </c>
      <c r="B50" t="str">
        <f ca="1">IFERROR(__xludf.DUMMYFUNCTION("""COMPUTED_VALUE"""),"T118A")</f>
        <v>T118A</v>
      </c>
      <c r="C50" t="str">
        <f ca="1">IFERROR(__xludf.DUMMYFUNCTION("""COMPUTED_VALUE"""),"Extraction of refined sugar (applied to sugar cane, sugar beet etc)")</f>
        <v>Extraction of refined sugar (applied to sugar cane, sugar beet etc)</v>
      </c>
    </row>
    <row r="51" spans="1:3" ht="12.5" x14ac:dyDescent="0.25">
      <c r="A51" t="str">
        <f ca="1">IFERROR(__xludf.DUMMYFUNCTION("""COMPUTED_VALUE"""),"Unknown")</f>
        <v>Unknown</v>
      </c>
      <c r="B51" t="str">
        <f ca="1">IFERROR(__xludf.DUMMYFUNCTION("""COMPUTED_VALUE"""),"T899A")</f>
        <v>T899A</v>
      </c>
    </row>
    <row r="52" spans="1:3" ht="12.5" x14ac:dyDescent="0.25">
      <c r="A52" t="str">
        <f ca="1">IFERROR(__xludf.DUMMYFUNCTION("""COMPUTED_VALUE"""),"Unprocessed")</f>
        <v>Unprocessed</v>
      </c>
      <c r="B52" t="str">
        <f ca="1">IFERROR(__xludf.DUMMYFUNCTION("""COMPUTED_VALUE"""),"T999A")</f>
        <v>T999A</v>
      </c>
      <c r="C52" t="str">
        <f ca="1">IFERROR(__xludf.DUMMYFUNCTION("""COMPUTED_VALUE"""),"No processing has been applied to the product, as harvested from farm")</f>
        <v>No processing has been applied to the product, as harvested from farm</v>
      </c>
    </row>
    <row r="53" spans="1:3" ht="12.5" x14ac:dyDescent="0.25">
      <c r="A53" t="str">
        <f ca="1">IFERROR(__xludf.DUMMYFUNCTION("""COMPUTED_VALUE"""),"Wet-milling")</f>
        <v>Wet-milling</v>
      </c>
      <c r="B53" t="str">
        <f ca="1">IFERROR(__xludf.DUMMYFUNCTION("""COMPUTED_VALUE"""),"T148A")</f>
        <v>T148A</v>
      </c>
      <c r="C53" t="str">
        <f ca="1">IFERROR(__xludf.DUMMYFUNCTION("""COMPUTED_VALUE"""),"Mechanical separation of the component parts of kernel/grain, sometimes after steeping in water, with or without sulphur dioxide, for the extraction of starch")</f>
        <v>Mechanical separation of the component parts of kernel/grain, sometimes after steeping in water, with or without sulphur dioxide, for the extraction of starch</v>
      </c>
    </row>
    <row r="54" spans="1:3" ht="12.5" x14ac:dyDescent="0.25">
      <c r="A54" t="str">
        <f ca="1">IFERROR(__xludf.DUMMYFUNCTION("""COMPUTED_VALUE"""),"Wine production")</f>
        <v>Wine production</v>
      </c>
      <c r="B54" t="str">
        <f ca="1">IFERROR(__xludf.DUMMYFUNCTION("""COMPUTED_VALUE"""),"T123A")</f>
        <v>T123A</v>
      </c>
      <c r="C54" t="str">
        <f ca="1">IFERROR(__xludf.DUMMYFUNCTION("""COMPUTED_VALUE"""),"Production of wine process unknown (applies to grapes)")</f>
        <v>Production of wine process unknown (applies to grapes)</v>
      </c>
    </row>
    <row r="55" spans="1:3" ht="12.5" x14ac:dyDescent="0.25">
      <c r="A55" t="str">
        <f ca="1">IFERROR(__xludf.DUMMYFUNCTION("""COMPUTED_VALUE"""),"Wine production - red wine cold process")</f>
        <v>Wine production - red wine cold process</v>
      </c>
      <c r="B55" t="str">
        <f ca="1">IFERROR(__xludf.DUMMYFUNCTION("""COMPUTED_VALUE"""),"T125A")</f>
        <v>T125A</v>
      </c>
      <c r="C55" t="str">
        <f ca="1">IFERROR(__xludf.DUMMYFUNCTION("""COMPUTED_VALUE"""),"Red wine production (unheated)")</f>
        <v>Red wine production (unheated)</v>
      </c>
    </row>
    <row r="56" spans="1:3" ht="12.5" x14ac:dyDescent="0.25">
      <c r="A56" t="str">
        <f ca="1">IFERROR(__xludf.DUMMYFUNCTION("""COMPUTED_VALUE"""),"Wine production - red wine warm process")</f>
        <v>Wine production - red wine warm process</v>
      </c>
      <c r="B56" t="str">
        <f ca="1">IFERROR(__xludf.DUMMYFUNCTION("""COMPUTED_VALUE"""),"T126A")</f>
        <v>T126A</v>
      </c>
      <c r="C56" t="str">
        <f ca="1">IFERROR(__xludf.DUMMYFUNCTION("""COMPUTED_VALUE"""),"Red wine production (heated)")</f>
        <v>Red wine production (heated)</v>
      </c>
    </row>
    <row r="57" spans="1:3" ht="12.5" x14ac:dyDescent="0.25">
      <c r="A57" t="str">
        <f ca="1">IFERROR(__xludf.DUMMYFUNCTION("""COMPUTED_VALUE"""),"Wine production - white wine")</f>
        <v>Wine production - white wine</v>
      </c>
      <c r="B57" t="str">
        <f ca="1">IFERROR(__xludf.DUMMYFUNCTION("""COMPUTED_VALUE"""),"T124A")</f>
        <v>T124A</v>
      </c>
      <c r="C57" t="str">
        <f ca="1">IFERROR(__xludf.DUMMYFUNCTION("""COMPUTED_VALUE"""),"White wine production (unheated)")</f>
        <v>White wine production (unheated)</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IFERROR(__xludf.DUMMYFUNCTION("importrange(""https://docs.google.com/spreadsheets/d/1C6N4-YWX9OMmNStd2rYlSUaVys-aiJGLj00cD44aVc8/edit#gid=1894320575"",""Format!A1:A50"")"),"Value")</f>
        <v>Value</v>
      </c>
    </row>
    <row r="2" spans="1:1" ht="12.5" x14ac:dyDescent="0.25">
      <c r="A2" t="str">
        <f ca="1">IFERROR(__xludf.DUMMYFUNCTION("""COMPUTED_VALUE"""),".fskx")</f>
        <v>.fskx</v>
      </c>
    </row>
    <row r="3" spans="1:1" ht="12.5" x14ac:dyDescent="0.25">
      <c r="A3" t="str">
        <f ca="1">IFERROR(__xludf.DUMMYFUNCTION("""COMPUTED_VALUE"""),".pmfx")</f>
        <v>.pmfx</v>
      </c>
    </row>
    <row r="4" spans="1:1" ht="12.5" x14ac:dyDescent="0.25">
      <c r="A4" t="str">
        <f ca="1">IFERROR(__xludf.DUMMYFUNCTION("""COMPUTED_VALUE"""),"Other")</f>
        <v>Other</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9"/>
  <sheetViews>
    <sheetView workbookViewId="0"/>
  </sheetViews>
  <sheetFormatPr defaultColWidth="14.453125" defaultRowHeight="15.75" customHeight="1" x14ac:dyDescent="0.25"/>
  <sheetData>
    <row r="1" spans="1:1" x14ac:dyDescent="0.25">
      <c r="A1" t="str">
        <f ca="1">IFERROR(__xludf.DUMMYFUNCTION("importrange(""https://docs.google.com/spreadsheets/d/1C6N4-YWX9OMmNStd2rYlSUaVys-aiJGLj00cD44aVc8/edit#gid=1894320575"",""Source!A1:A50"")"),"Value")</f>
        <v>Value</v>
      </c>
    </row>
    <row r="2" spans="1:1" x14ac:dyDescent="0.25">
      <c r="A2" t="str">
        <f ca="1">IFERROR(__xludf.DUMMYFUNCTION("""COMPUTED_VALUE"""),"EVENTS (MEETING OR CONFERENCE)")</f>
        <v>EVENTS (MEETING OR CONFERENCE)</v>
      </c>
    </row>
    <row r="3" spans="1:1" x14ac:dyDescent="0.25">
      <c r="A3" t="str">
        <f ca="1">IFERROR(__xludf.DUMMYFUNCTION("""COMPUTED_VALUE"""),"EXPERT KNOWLEDGE ELICITATION AND EXPERT OPINIONS")</f>
        <v>EXPERT KNOWLEDGE ELICITATION AND EXPERT OPINIONS</v>
      </c>
    </row>
    <row r="4" spans="1:1" x14ac:dyDescent="0.25">
      <c r="A4" t="str">
        <f ca="1">IFERROR(__xludf.DUMMYFUNCTION("""COMPUTED_VALUE"""),"NATIONAL OR INTERNATIONAL OFFICIAL DATA:  Human health surveillance data")</f>
        <v>NATIONAL OR INTERNATIONAL OFFICIAL DATA:  Human health surveillance data</v>
      </c>
    </row>
    <row r="5" spans="1:1" x14ac:dyDescent="0.25">
      <c r="A5" t="str">
        <f ca="1">IFERROR(__xludf.DUMMYFUNCTION("""COMPUTED_VALUE"""),"NATIONAL OR INTERNATIONAL OFFICIAL DATA: Food consumption survey or regional diet data")</f>
        <v>NATIONAL OR INTERNATIONAL OFFICIAL DATA: Food consumption survey or regional diet data</v>
      </c>
    </row>
    <row r="6" spans="1:1" x14ac:dyDescent="0.25">
      <c r="A6" t="str">
        <f ca="1">IFERROR(__xludf.DUMMYFUNCTION("""COMPUTED_VALUE"""),"NATIONAL OR INTERNATIONAL OFFICIAL DATA: Food monitoring data")</f>
        <v>NATIONAL OR INTERNATIONAL OFFICIAL DATA: Food monitoring data</v>
      </c>
    </row>
    <row r="7" spans="1:1" x14ac:dyDescent="0.25">
      <c r="A7" t="str">
        <f ca="1">IFERROR(__xludf.DUMMYFUNCTION("""COMPUTED_VALUE"""),"NATIONAL OR INTERNATIONAL OFFICIAL DATA: Food safety databases")</f>
        <v>NATIONAL OR INTERNATIONAL OFFICIAL DATA: Food safety databases</v>
      </c>
    </row>
    <row r="8" spans="1:1" x14ac:dyDescent="0.25">
      <c r="A8" t="str">
        <f ca="1">IFERROR(__xludf.DUMMYFUNCTION("""COMPUTED_VALUE"""),"OTHER SURVEYS AND QUESTIONNAIRES")</f>
        <v>OTHER SURVEYS AND QUESTIONNAIRES</v>
      </c>
    </row>
    <row r="9" spans="1:1" x14ac:dyDescent="0.25">
      <c r="A9" t="str">
        <f ca="1">IFERROR(__xludf.DUMMYFUNCTION("""COMPUTED_VALUE"""),"PUBLISHED SCIENTIFIC STUDIES")</f>
        <v>PUBLISHED SCIENTIFIC STUDIES</v>
      </c>
    </row>
    <row r="10" spans="1:1" x14ac:dyDescent="0.25">
      <c r="A10" t="str">
        <f ca="1">IFERROR(__xludf.DUMMYFUNCTION("""COMPUTED_VALUE"""),"PUBLISHED SCIENTIFIC STUDIES: Contamination data and exposure models")</f>
        <v>PUBLISHED SCIENTIFIC STUDIES: Contamination data and exposure models</v>
      </c>
    </row>
    <row r="11" spans="1:1" x14ac:dyDescent="0.25">
      <c r="A11" t="str">
        <f ca="1">IFERROR(__xludf.DUMMYFUNCTION("""COMPUTED_VALUE"""),"PUBLISHED SCIENTIFIC STUDIES: Dose-response data and models")</f>
        <v>PUBLISHED SCIENTIFIC STUDIES: Dose-response data and models</v>
      </c>
    </row>
    <row r="12" spans="1:1" x14ac:dyDescent="0.25">
      <c r="A12" t="str">
        <f ca="1">IFERROR(__xludf.DUMMYFUNCTION("""COMPUTED_VALUE"""),"PUBLISHED SCIENTIFIC STUDIES: Predictive microbial models and underlying data")</f>
        <v>PUBLISHED SCIENTIFIC STUDIES: Predictive microbial models and underlying data</v>
      </c>
    </row>
    <row r="13" spans="1:1" x14ac:dyDescent="0.25">
      <c r="A13" t="str">
        <f ca="1">IFERROR(__xludf.DUMMYFUNCTION("""COMPUTED_VALUE"""),"PUBLISHED SCIENTIFIC STUDIES: Toxicological data and models")</f>
        <v>PUBLISHED SCIENTIFIC STUDIES: Toxicological data and models</v>
      </c>
    </row>
    <row r="14" spans="1:1" x14ac:dyDescent="0.25">
      <c r="A14" t="str">
        <f ca="1">IFERROR(__xludf.DUMMYFUNCTION("""COMPUTED_VALUE"""),"RISK ASSESSMENTS")</f>
        <v>RISK ASSESSMENTS</v>
      </c>
    </row>
    <row r="15" spans="1:1" x14ac:dyDescent="0.25">
      <c r="A15" t="str">
        <f ca="1">IFERROR(__xludf.DUMMYFUNCTION("""COMPUTED_VALUE"""),"RISK ASSESSMENTS:  International risk assessment agencies data")</f>
        <v>RISK ASSESSMENTS:  International risk assessment agencies data</v>
      </c>
    </row>
    <row r="16" spans="1:1" x14ac:dyDescent="0.25">
      <c r="A16" t="str">
        <f ca="1">IFERROR(__xludf.DUMMYFUNCTION("""COMPUTED_VALUE"""),"RISK ASSESSMENTS: Risk assessments models")</f>
        <v>RISK ASSESSMENTS: Risk assessments models</v>
      </c>
    </row>
    <row r="17" spans="1:1" x14ac:dyDescent="0.25">
      <c r="A17" t="str">
        <f ca="1">IFERROR(__xludf.DUMMYFUNCTION("""COMPUTED_VALUE"""),"UNPUBLISHED STUDIES (EXPERIMENTS-OBSERVATIONS)")</f>
        <v>UNPUBLISHED STUDIES (EXPERIMENTS-OBSERVATIONS)</v>
      </c>
    </row>
    <row r="18" spans="1:1" x14ac:dyDescent="0.25">
      <c r="A18" t="str">
        <f ca="1">IFERROR(__xludf.DUMMYFUNCTION("""COMPUTED_VALUE"""),"UNPUBLISHED STUDIES (EXPERIMENTS-OBSERVATIONS):   Laboratory (private, research) databases")</f>
        <v>UNPUBLISHED STUDIES (EXPERIMENTS-OBSERVATIONS):   Laboratory (private, research) databases</v>
      </c>
    </row>
    <row r="19" spans="1:1" x14ac:dyDescent="0.25">
      <c r="A19" t="str">
        <f ca="1">IFERROR(__xludf.DUMMYFUNCTION("""COMPUTED_VALUE"""),"UNPUBLISHED STUDIES (EXPERIMENTS-OBSERVATIONS): Studies and surveys")</f>
        <v>UNPUBLISHED STUDIES (EXPERIMENTS-OBSERVATIONS): Studies and surveys</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1"/>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IFERROR(__xludf.DUMMYFUNCTION("importrange(""https://docs.google.com/spreadsheets/d/1C6N4-YWX9OMmNStd2rYlSUaVys-aiJGLj00cD44aVc8/edit#gid=1894320575"",""Publication Status!A1:A500"")"),"Value")</f>
        <v>Value</v>
      </c>
    </row>
    <row r="2" spans="1:1" ht="12.5" x14ac:dyDescent="0.25">
      <c r="A2" t="str">
        <f ca="1">IFERROR(__xludf.DUMMYFUNCTION("""COMPUTED_VALUE"""),"Accepted")</f>
        <v>Accepted</v>
      </c>
    </row>
    <row r="3" spans="1:1" ht="12.5" x14ac:dyDescent="0.25">
      <c r="A3" t="str">
        <f ca="1">IFERROR(__xludf.DUMMYFUNCTION("""COMPUTED_VALUE"""),"Draft")</f>
        <v>Draft</v>
      </c>
    </row>
    <row r="4" spans="1:1" ht="12.5" x14ac:dyDescent="0.25">
      <c r="A4" t="str">
        <f ca="1">IFERROR(__xludf.DUMMYFUNCTION("""COMPUTED_VALUE"""),"Forthcoming")</f>
        <v>Forthcoming</v>
      </c>
    </row>
    <row r="5" spans="1:1" ht="12.5" x14ac:dyDescent="0.25">
      <c r="A5" t="str">
        <f ca="1">IFERROR(__xludf.DUMMYFUNCTION("""COMPUTED_VALUE"""),"Legal")</f>
        <v>Legal</v>
      </c>
    </row>
    <row r="6" spans="1:1" ht="12.5" x14ac:dyDescent="0.25">
      <c r="A6" t="str">
        <f ca="1">IFERROR(__xludf.DUMMYFUNCTION("""COMPUTED_VALUE"""),"Non peer reviewed")</f>
        <v>Non peer reviewed</v>
      </c>
    </row>
    <row r="7" spans="1:1" ht="12.5" x14ac:dyDescent="0.25">
      <c r="A7" t="str">
        <f ca="1">IFERROR(__xludf.DUMMYFUNCTION("""COMPUTED_VALUE"""),"Other")</f>
        <v>Other</v>
      </c>
    </row>
    <row r="8" spans="1:1" ht="12.5" x14ac:dyDescent="0.25">
      <c r="A8" t="str">
        <f ca="1">IFERROR(__xludf.DUMMYFUNCTION("""COMPUTED_VALUE"""),"Peer reviewed")</f>
        <v>Peer reviewed</v>
      </c>
    </row>
    <row r="9" spans="1:1" ht="12.5" x14ac:dyDescent="0.25">
      <c r="A9" t="str">
        <f ca="1">IFERROR(__xludf.DUMMYFUNCTION("""COMPUTED_VALUE"""),"Published")</f>
        <v>Published</v>
      </c>
    </row>
    <row r="10" spans="1:1" ht="12.5" x14ac:dyDescent="0.25">
      <c r="A10" t="str">
        <f ca="1">IFERROR(__xludf.DUMMYFUNCTION("""COMPUTED_VALUE"""),"Rejected")</f>
        <v>Rejected</v>
      </c>
    </row>
    <row r="11" spans="1:1" ht="12.5" x14ac:dyDescent="0.25">
      <c r="A11" t="str">
        <f ca="1">IFERROR(__xludf.DUMMYFUNCTION("""COMPUTED_VALUE"""),"Unpublished")</f>
        <v>Unpublished</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7"/>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IFERROR(__xludf.DUMMYFUNCTION("importrange(""https://docs.google.com/spreadsheets/d/1C6N4-YWX9OMmNStd2rYlSUaVys-aiJGLj00cD44aVc8/edit#gid=1894320575"",""Publication type!A1:A500"")"),"REFERENCE TYPE")</f>
        <v>REFERENCE TYPE</v>
      </c>
    </row>
    <row r="2" spans="1:1" ht="12.5" x14ac:dyDescent="0.25">
      <c r="A2" t="str">
        <f ca="1">IFERROR(__xludf.DUMMYFUNCTION("""COMPUTED_VALUE"""),"Abstract")</f>
        <v>Abstract</v>
      </c>
    </row>
    <row r="3" spans="1:1" ht="12.5" x14ac:dyDescent="0.25">
      <c r="A3" t="str">
        <f ca="1">IFERROR(__xludf.DUMMYFUNCTION("""COMPUTED_VALUE"""),"Aggregated Database")</f>
        <v>Aggregated Database</v>
      </c>
    </row>
    <row r="4" spans="1:1" ht="12.5" x14ac:dyDescent="0.25">
      <c r="A4" t="str">
        <f ca="1">IFERROR(__xludf.DUMMYFUNCTION("""COMPUTED_VALUE"""),"Ancient Text")</f>
        <v>Ancient Text</v>
      </c>
    </row>
    <row r="5" spans="1:1" ht="12.5" x14ac:dyDescent="0.25">
      <c r="A5" t="str">
        <f ca="1">IFERROR(__xludf.DUMMYFUNCTION("""COMPUTED_VALUE"""),"Artwork")</f>
        <v>Artwork</v>
      </c>
    </row>
    <row r="6" spans="1:1" ht="12.5" x14ac:dyDescent="0.25">
      <c r="A6" t="str">
        <f ca="1">IFERROR(__xludf.DUMMYFUNCTION("""COMPUTED_VALUE"""),"Audiovisual Material")</f>
        <v>Audiovisual Material</v>
      </c>
    </row>
    <row r="7" spans="1:1" ht="12.5" x14ac:dyDescent="0.25">
      <c r="A7" t="str">
        <f ca="1">IFERROR(__xludf.DUMMYFUNCTION("""COMPUTED_VALUE"""),"Bill")</f>
        <v>Bill</v>
      </c>
    </row>
    <row r="8" spans="1:1" ht="12.5" x14ac:dyDescent="0.25">
      <c r="A8" t="str">
        <f ca="1">IFERROR(__xludf.DUMMYFUNCTION("""COMPUTED_VALUE"""),"Blog")</f>
        <v>Blog</v>
      </c>
    </row>
    <row r="9" spans="1:1" ht="12.5" x14ac:dyDescent="0.25">
      <c r="A9" t="str">
        <f ca="1">IFERROR(__xludf.DUMMYFUNCTION("""COMPUTED_VALUE"""),"Book")</f>
        <v>Book</v>
      </c>
    </row>
    <row r="10" spans="1:1" ht="12.5" x14ac:dyDescent="0.25">
      <c r="A10" t="str">
        <f ca="1">IFERROR(__xludf.DUMMYFUNCTION("""COMPUTED_VALUE"""),"Book Section")</f>
        <v>Book Section</v>
      </c>
    </row>
    <row r="11" spans="1:1" ht="12.5" x14ac:dyDescent="0.25">
      <c r="A11" t="str">
        <f ca="1">IFERROR(__xludf.DUMMYFUNCTION("""COMPUTED_VALUE"""),"Case")</f>
        <v>Case</v>
      </c>
    </row>
    <row r="12" spans="1:1" ht="12.5" x14ac:dyDescent="0.25">
      <c r="A12" t="str">
        <f ca="1">IFERROR(__xludf.DUMMYFUNCTION("""COMPUTED_VALUE"""),"Catalog")</f>
        <v>Catalog</v>
      </c>
    </row>
    <row r="13" spans="1:1" ht="12.5" x14ac:dyDescent="0.25">
      <c r="A13" t="str">
        <f ca="1">IFERROR(__xludf.DUMMYFUNCTION("""COMPUTED_VALUE"""),"Chart")</f>
        <v>Chart</v>
      </c>
    </row>
    <row r="14" spans="1:1" ht="12.5" x14ac:dyDescent="0.25">
      <c r="A14" t="str">
        <f ca="1">IFERROR(__xludf.DUMMYFUNCTION("""COMPUTED_VALUE"""),"Classical Work")</f>
        <v>Classical Work</v>
      </c>
    </row>
    <row r="15" spans="1:1" ht="12.5" x14ac:dyDescent="0.25">
      <c r="A15" t="str">
        <f ca="1">IFERROR(__xludf.DUMMYFUNCTION("""COMPUTED_VALUE"""),"Computer Program")</f>
        <v>Computer Program</v>
      </c>
    </row>
    <row r="16" spans="1:1" ht="12.5" x14ac:dyDescent="0.25">
      <c r="A16" t="str">
        <f ca="1">IFERROR(__xludf.DUMMYFUNCTION("""COMPUTED_VALUE"""),"Conference Paper")</f>
        <v>Conference Paper</v>
      </c>
    </row>
    <row r="17" spans="1:1" ht="12.5" x14ac:dyDescent="0.25">
      <c r="A17" t="str">
        <f ca="1">IFERROR(__xludf.DUMMYFUNCTION("""COMPUTED_VALUE"""),"Conference Proceeding")</f>
        <v>Conference Proceeding</v>
      </c>
    </row>
    <row r="18" spans="1:1" ht="12.5" x14ac:dyDescent="0.25">
      <c r="A18" t="str">
        <f ca="1">IFERROR(__xludf.DUMMYFUNCTION("""COMPUTED_VALUE"""),"Dataset")</f>
        <v>Dataset</v>
      </c>
    </row>
    <row r="19" spans="1:1" ht="12.5" x14ac:dyDescent="0.25">
      <c r="A19" t="str">
        <f ca="1">IFERROR(__xludf.DUMMYFUNCTION("""COMPUTED_VALUE"""),"Dictionary")</f>
        <v>Dictionary</v>
      </c>
    </row>
    <row r="20" spans="1:1" ht="12.5" x14ac:dyDescent="0.25">
      <c r="A20" t="str">
        <f ca="1">IFERROR(__xludf.DUMMYFUNCTION("""COMPUTED_VALUE"""),"Edited Book")</f>
        <v>Edited Book</v>
      </c>
    </row>
    <row r="21" spans="1:1" ht="12.5" x14ac:dyDescent="0.25">
      <c r="A21" t="str">
        <f ca="1">IFERROR(__xludf.DUMMYFUNCTION("""COMPUTED_VALUE"""),"Electronic Article")</f>
        <v>Electronic Article</v>
      </c>
    </row>
    <row r="22" spans="1:1" ht="12.5" x14ac:dyDescent="0.25">
      <c r="A22" t="str">
        <f ca="1">IFERROR(__xludf.DUMMYFUNCTION("""COMPUTED_VALUE"""),"Electronic Book")</f>
        <v>Electronic Book</v>
      </c>
    </row>
    <row r="23" spans="1:1" ht="12.5" x14ac:dyDescent="0.25">
      <c r="A23" t="str">
        <f ca="1">IFERROR(__xludf.DUMMYFUNCTION("""COMPUTED_VALUE"""),"Electronic Book Section")</f>
        <v>Electronic Book Section</v>
      </c>
    </row>
    <row r="24" spans="1:1" ht="12.5" x14ac:dyDescent="0.25">
      <c r="A24" t="str">
        <f ca="1">IFERROR(__xludf.DUMMYFUNCTION("""COMPUTED_VALUE"""),"Encyclopedia")</f>
        <v>Encyclopedia</v>
      </c>
    </row>
    <row r="25" spans="1:1" ht="12.5" x14ac:dyDescent="0.25">
      <c r="A25" t="str">
        <f ca="1">IFERROR(__xludf.DUMMYFUNCTION("""COMPUTED_VALUE"""),"Equation")</f>
        <v>Equation</v>
      </c>
    </row>
    <row r="26" spans="1:1" ht="12.5" x14ac:dyDescent="0.25">
      <c r="A26" t="str">
        <f ca="1">IFERROR(__xludf.DUMMYFUNCTION("""COMPUTED_VALUE"""),"Figure")</f>
        <v>Figure</v>
      </c>
    </row>
    <row r="27" spans="1:1" ht="12.5" x14ac:dyDescent="0.25">
      <c r="A27" t="str">
        <f ca="1">IFERROR(__xludf.DUMMYFUNCTION("""COMPUTED_VALUE"""),"Film or Broadcast")</f>
        <v>Film or Broadcast</v>
      </c>
    </row>
    <row r="28" spans="1:1" ht="12.5" x14ac:dyDescent="0.25">
      <c r="A28" t="str">
        <f ca="1">IFERROR(__xludf.DUMMYFUNCTION("""COMPUTED_VALUE"""),"Full Journal")</f>
        <v>Full Journal</v>
      </c>
    </row>
    <row r="29" spans="1:1" ht="12.5" x14ac:dyDescent="0.25">
      <c r="A29" t="str">
        <f ca="1">IFERROR(__xludf.DUMMYFUNCTION("""COMPUTED_VALUE"""),"Generic")</f>
        <v>Generic</v>
      </c>
    </row>
    <row r="30" spans="1:1" ht="12.5" x14ac:dyDescent="0.25">
      <c r="A30" t="str">
        <f ca="1">IFERROR(__xludf.DUMMYFUNCTION("""COMPUTED_VALUE"""),"Government Document")</f>
        <v>Government Document</v>
      </c>
    </row>
    <row r="31" spans="1:1" ht="12.5" x14ac:dyDescent="0.25">
      <c r="A31" t="str">
        <f ca="1">IFERROR(__xludf.DUMMYFUNCTION("""COMPUTED_VALUE"""),"Grant")</f>
        <v>Grant</v>
      </c>
    </row>
    <row r="32" spans="1:1" ht="12.5" x14ac:dyDescent="0.25">
      <c r="A32" t="str">
        <f ca="1">IFERROR(__xludf.DUMMYFUNCTION("""COMPUTED_VALUE"""),"Hearing")</f>
        <v>Hearing</v>
      </c>
    </row>
    <row r="33" spans="1:1" ht="12.5" x14ac:dyDescent="0.25">
      <c r="A33" t="str">
        <f ca="1">IFERROR(__xludf.DUMMYFUNCTION("""COMPUTED_VALUE"""),"In Press Article")</f>
        <v>In Press Article</v>
      </c>
    </row>
    <row r="34" spans="1:1" ht="12.5" x14ac:dyDescent="0.25">
      <c r="A34" t="str">
        <f ca="1">IFERROR(__xludf.DUMMYFUNCTION("""COMPUTED_VALUE"""),"Internet Communication")</f>
        <v>Internet Communication</v>
      </c>
    </row>
    <row r="35" spans="1:1" ht="12.5" x14ac:dyDescent="0.25">
      <c r="A35" t="str">
        <f ca="1">IFERROR(__xludf.DUMMYFUNCTION("""COMPUTED_VALUE"""),"Journal Article")</f>
        <v>Journal Article</v>
      </c>
    </row>
    <row r="36" spans="1:1" ht="12.5" x14ac:dyDescent="0.25">
      <c r="A36" t="str">
        <f ca="1">IFERROR(__xludf.DUMMYFUNCTION("""COMPUTED_VALUE"""),"Legal Rule")</f>
        <v>Legal Rule</v>
      </c>
    </row>
    <row r="37" spans="1:1" ht="12.5" x14ac:dyDescent="0.25">
      <c r="A37" t="str">
        <f ca="1">IFERROR(__xludf.DUMMYFUNCTION("""COMPUTED_VALUE"""),"Magazine Article")</f>
        <v>Magazine Article</v>
      </c>
    </row>
    <row r="38" spans="1:1" ht="12.5" x14ac:dyDescent="0.25">
      <c r="A38" t="str">
        <f ca="1">IFERROR(__xludf.DUMMYFUNCTION("""COMPUTED_VALUE"""),"Manuscript")</f>
        <v>Manuscript</v>
      </c>
    </row>
    <row r="39" spans="1:1" ht="12.5" x14ac:dyDescent="0.25">
      <c r="A39" t="str">
        <f ca="1">IFERROR(__xludf.DUMMYFUNCTION("""COMPUTED_VALUE"""),"Map")</f>
        <v>Map</v>
      </c>
    </row>
    <row r="40" spans="1:1" ht="12.5" x14ac:dyDescent="0.25">
      <c r="A40" t="str">
        <f ca="1">IFERROR(__xludf.DUMMYFUNCTION("""COMPUTED_VALUE"""),"Music")</f>
        <v>Music</v>
      </c>
    </row>
    <row r="41" spans="1:1" ht="12.5" x14ac:dyDescent="0.25">
      <c r="A41" t="str">
        <f ca="1">IFERROR(__xludf.DUMMYFUNCTION("""COMPUTED_VALUE"""),"Newspaper Article")</f>
        <v>Newspaper Article</v>
      </c>
    </row>
    <row r="42" spans="1:1" ht="12.5" x14ac:dyDescent="0.25">
      <c r="A42" t="str">
        <f ca="1">IFERROR(__xludf.DUMMYFUNCTION("""COMPUTED_VALUE"""),"Online Database")</f>
        <v>Online Database</v>
      </c>
    </row>
    <row r="43" spans="1:1" ht="12.5" x14ac:dyDescent="0.25">
      <c r="A43" t="str">
        <f ca="1">IFERROR(__xludf.DUMMYFUNCTION("""COMPUTED_VALUE"""),"Online Multimedia")</f>
        <v>Online Multimedia</v>
      </c>
    </row>
    <row r="44" spans="1:1" ht="12.5" x14ac:dyDescent="0.25">
      <c r="A44" t="str">
        <f ca="1">IFERROR(__xludf.DUMMYFUNCTION("""COMPUTED_VALUE"""),"Pamphlet")</f>
        <v>Pamphlet</v>
      </c>
    </row>
    <row r="45" spans="1:1" ht="12.5" x14ac:dyDescent="0.25">
      <c r="A45" t="str">
        <f ca="1">IFERROR(__xludf.DUMMYFUNCTION("""COMPUTED_VALUE"""),"Patent")</f>
        <v>Patent</v>
      </c>
    </row>
    <row r="46" spans="1:1" ht="12.5" x14ac:dyDescent="0.25">
      <c r="A46" t="str">
        <f ca="1">IFERROR(__xludf.DUMMYFUNCTION("""COMPUTED_VALUE"""),"Personal Communication")</f>
        <v>Personal Communication</v>
      </c>
    </row>
    <row r="47" spans="1:1" ht="12.5" x14ac:dyDescent="0.25">
      <c r="A47" t="str">
        <f ca="1">IFERROR(__xludf.DUMMYFUNCTION("""COMPUTED_VALUE"""),"Report")</f>
        <v>Report</v>
      </c>
    </row>
    <row r="48" spans="1:1" ht="12.5" x14ac:dyDescent="0.25">
      <c r="A48" t="str">
        <f ca="1">IFERROR(__xludf.DUMMYFUNCTION("""COMPUTED_VALUE"""),"Serial")</f>
        <v>Serial</v>
      </c>
    </row>
    <row r="49" spans="1:1" ht="12.5" x14ac:dyDescent="0.25">
      <c r="A49" t="str">
        <f ca="1">IFERROR(__xludf.DUMMYFUNCTION("""COMPUTED_VALUE"""),"Slide")</f>
        <v>Slide</v>
      </c>
    </row>
    <row r="50" spans="1:1" ht="12.5" x14ac:dyDescent="0.25">
      <c r="A50" t="str">
        <f ca="1">IFERROR(__xludf.DUMMYFUNCTION("""COMPUTED_VALUE"""),"Sound Recording")</f>
        <v>Sound Recording</v>
      </c>
    </row>
    <row r="51" spans="1:1" ht="12.5" x14ac:dyDescent="0.25">
      <c r="A51" t="str">
        <f ca="1">IFERROR(__xludf.DUMMYFUNCTION("""COMPUTED_VALUE"""),"Standard")</f>
        <v>Standard</v>
      </c>
    </row>
    <row r="52" spans="1:1" ht="12.5" x14ac:dyDescent="0.25">
      <c r="A52" t="str">
        <f ca="1">IFERROR(__xludf.DUMMYFUNCTION("""COMPUTED_VALUE"""),"Statute")</f>
        <v>Statute</v>
      </c>
    </row>
    <row r="53" spans="1:1" ht="12.5" x14ac:dyDescent="0.25">
      <c r="A53" t="str">
        <f ca="1">IFERROR(__xludf.DUMMYFUNCTION("""COMPUTED_VALUE"""),"Thesis")</f>
        <v>Thesis</v>
      </c>
    </row>
    <row r="54" spans="1:1" ht="12.5" x14ac:dyDescent="0.25">
      <c r="A54" t="str">
        <f ca="1">IFERROR(__xludf.DUMMYFUNCTION("""COMPUTED_VALUE"""),"Unenacted Bill")</f>
        <v>Unenacted Bill</v>
      </c>
    </row>
    <row r="55" spans="1:1" ht="12.5" x14ac:dyDescent="0.25">
      <c r="A55" t="str">
        <f ca="1">IFERROR(__xludf.DUMMYFUNCTION("""COMPUTED_VALUE"""),"Unpublished Work")</f>
        <v>Unpublished Work</v>
      </c>
    </row>
    <row r="56" spans="1:1" ht="12.5" x14ac:dyDescent="0.25">
      <c r="A56" t="str">
        <f ca="1">IFERROR(__xludf.DUMMYFUNCTION("""COMPUTED_VALUE"""),"Video Recording")</f>
        <v>Video Recording</v>
      </c>
    </row>
    <row r="57" spans="1:1" ht="12.5" x14ac:dyDescent="0.25">
      <c r="A57" t="str">
        <f ca="1">IFERROR(__xludf.DUMMYFUNCTION("""COMPUTED_VALUE"""),"Web Page")</f>
        <v>Web Page</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IFERROR(__xludf.DUMMYFUNCTION("importrange(""https://docs.google.com/spreadsheets/d/1C6N4-YWX9OMmNStd2rYlSUaVys-aiJGLj00cD44aVc8/edit#gid=1894320575"",""Software!A1:A500"")"),"Value")</f>
        <v>Value</v>
      </c>
    </row>
    <row r="2" spans="1:1" ht="12.5" x14ac:dyDescent="0.25">
      <c r="A2" t="str">
        <f ca="1">IFERROR(__xludf.DUMMYFUNCTION("""COMPUTED_VALUE"""),"@Risk")</f>
        <v>@Risk</v>
      </c>
    </row>
    <row r="3" spans="1:1" ht="12.5" x14ac:dyDescent="0.25">
      <c r="A3" t="str">
        <f ca="1">IFERROR(__xludf.DUMMYFUNCTION("""COMPUTED_VALUE"""),"FSK-Lab")</f>
        <v>FSK-Lab</v>
      </c>
    </row>
    <row r="4" spans="1:1" ht="12.5" x14ac:dyDescent="0.25">
      <c r="A4" t="str">
        <f ca="1">IFERROR(__xludf.DUMMYFUNCTION("""COMPUTED_VALUE"""),"FSSP")</f>
        <v>FSSP</v>
      </c>
    </row>
    <row r="5" spans="1:1" ht="12.5" x14ac:dyDescent="0.25">
      <c r="A5" t="str">
        <f ca="1">IFERROR(__xludf.DUMMYFUNCTION("""COMPUTED_VALUE"""),"ICRA")</f>
        <v>ICRA</v>
      </c>
    </row>
    <row r="6" spans="1:1" ht="12.5" x14ac:dyDescent="0.25">
      <c r="A6" t="str">
        <f ca="1">IFERROR(__xludf.DUMMYFUNCTION("""COMPUTED_VALUE"""),"Matlab")</f>
        <v>Matlab</v>
      </c>
    </row>
    <row r="7" spans="1:1" ht="12.5" x14ac:dyDescent="0.25">
      <c r="A7" t="str">
        <f ca="1">IFERROR(__xludf.DUMMYFUNCTION("""COMPUTED_VALUE"""),"MicroHibro")</f>
        <v>MicroHibro</v>
      </c>
    </row>
    <row r="8" spans="1:1" ht="12.5" x14ac:dyDescent="0.25">
      <c r="A8" t="str">
        <f ca="1">IFERROR(__xludf.DUMMYFUNCTION("""COMPUTED_VALUE"""),"Other")</f>
        <v>Other</v>
      </c>
    </row>
    <row r="9" spans="1:1" ht="12.5" x14ac:dyDescent="0.25">
      <c r="A9" t="str">
        <f ca="1">IFERROR(__xludf.DUMMYFUNCTION("""COMPUTED_VALUE"""),"PMM-Lab")</f>
        <v>PMM-Lab</v>
      </c>
    </row>
    <row r="10" spans="1:1" ht="12.5" x14ac:dyDescent="0.25">
      <c r="A10" t="str">
        <f ca="1">IFERROR(__xludf.DUMMYFUNCTION("""COMPUTED_VALUE"""),"R")</f>
        <v>R</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2"/>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IFERROR(__xludf.DUMMYFUNCTION("importrange(""https://docs.google.com/spreadsheets/d/1C6N4-YWX9OMmNStd2rYlSUaVys-aiJGLj00cD44aVc8/edit#gid=1894320575"",""Model Class!A1:A500"")"),"Value")</f>
        <v>Value</v>
      </c>
    </row>
    <row r="2" spans="1:1" ht="12.5" x14ac:dyDescent="0.25">
      <c r="A2" t="str">
        <f ca="1">IFERROR(__xludf.DUMMYFUNCTION("""COMPUTED_VALUE"""),"(Data)")</f>
        <v>(Data)</v>
      </c>
    </row>
    <row r="3" spans="1:1" ht="12.5" x14ac:dyDescent="0.25">
      <c r="A3" t="str">
        <f ca="1">IFERROR(__xludf.DUMMYFUNCTION("""COMPUTED_VALUE"""),"Consumption model")</f>
        <v>Consumption model</v>
      </c>
    </row>
    <row r="4" spans="1:1" ht="12.5" x14ac:dyDescent="0.25">
      <c r="A4" t="str">
        <f ca="1">IFERROR(__xludf.DUMMYFUNCTION("""COMPUTED_VALUE"""),"Dose-response model")</f>
        <v>Dose-response model</v>
      </c>
    </row>
    <row r="5" spans="1:1" ht="12.5" x14ac:dyDescent="0.25">
      <c r="A5" t="str">
        <f ca="1">IFERROR(__xludf.DUMMYFUNCTION("""COMPUTED_VALUE"""),"Exposure model")</f>
        <v>Exposure model</v>
      </c>
    </row>
    <row r="6" spans="1:1" ht="12.5" x14ac:dyDescent="0.25">
      <c r="A6" t="str">
        <f ca="1">IFERROR(__xludf.DUMMYFUNCTION("""COMPUTED_VALUE"""),"Health metrics model")</f>
        <v>Health metrics model</v>
      </c>
    </row>
    <row r="7" spans="1:1" ht="12.5" x14ac:dyDescent="0.25">
      <c r="A7" t="str">
        <f ca="1">IFERROR(__xludf.DUMMYFUNCTION("""COMPUTED_VALUE"""),"Other Empirical models")</f>
        <v>Other Empirical models</v>
      </c>
    </row>
    <row r="8" spans="1:1" ht="12.5" x14ac:dyDescent="0.25">
      <c r="A8" t="str">
        <f ca="1">IFERROR(__xludf.DUMMYFUNCTION("""COMPUTED_VALUE"""),"Predictive model")</f>
        <v>Predictive model</v>
      </c>
    </row>
    <row r="9" spans="1:1" ht="12.5" x14ac:dyDescent="0.25">
      <c r="A9" t="str">
        <f ca="1">IFERROR(__xludf.DUMMYFUNCTION("""COMPUTED_VALUE"""),"Process model")</f>
        <v>Process model</v>
      </c>
    </row>
    <row r="10" spans="1:1" ht="12.5" x14ac:dyDescent="0.25">
      <c r="A10" t="str">
        <f ca="1">IFERROR(__xludf.DUMMYFUNCTION("""COMPUTED_VALUE"""),"QRA model")</f>
        <v>QRA model</v>
      </c>
    </row>
    <row r="11" spans="1:1" ht="12.5" x14ac:dyDescent="0.25">
      <c r="A11" t="str">
        <f ca="1">IFERROR(__xludf.DUMMYFUNCTION("""COMPUTED_VALUE"""),"Risk characterization model")</f>
        <v>Risk characterization model</v>
      </c>
    </row>
    <row r="12" spans="1:1" ht="12.5" x14ac:dyDescent="0.25">
      <c r="A12" t="str">
        <f ca="1">IFERROR(__xludf.DUMMYFUNCTION("""COMPUTED_VALUE"""),"Toxicological reference value model")</f>
        <v>Toxicological reference value model</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7"/>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IFERROR(__xludf.DUMMYFUNCTION("importrange(""https://docs.google.com/spreadsheets/d/1C6N4-YWX9OMmNStd2rYlSUaVys-aiJGLj00cD44aVc8/edit#gid=1894320575"",""Language!A1:A500"")"),"Value")</f>
        <v>Value</v>
      </c>
    </row>
    <row r="2" spans="1:1" ht="12.5" x14ac:dyDescent="0.25">
      <c r="A2" t="str">
        <f ca="1">IFERROR(__xludf.DUMMYFUNCTION("""COMPUTED_VALUE"""),"Bulgarian")</f>
        <v>Bulgarian</v>
      </c>
    </row>
    <row r="3" spans="1:1" ht="12.5" x14ac:dyDescent="0.25">
      <c r="A3" t="str">
        <f ca="1">IFERROR(__xludf.DUMMYFUNCTION("""COMPUTED_VALUE"""),"Czech")</f>
        <v>Czech</v>
      </c>
    </row>
    <row r="4" spans="1:1" ht="12.5" x14ac:dyDescent="0.25">
      <c r="A4" t="str">
        <f ca="1">IFERROR(__xludf.DUMMYFUNCTION("""COMPUTED_VALUE"""),"Danish")</f>
        <v>Danish</v>
      </c>
    </row>
    <row r="5" spans="1:1" ht="12.5" x14ac:dyDescent="0.25">
      <c r="A5" t="str">
        <f ca="1">IFERROR(__xludf.DUMMYFUNCTION("""COMPUTED_VALUE"""),"Dutch")</f>
        <v>Dutch</v>
      </c>
    </row>
    <row r="6" spans="1:1" ht="12.5" x14ac:dyDescent="0.25">
      <c r="A6" t="str">
        <f ca="1">IFERROR(__xludf.DUMMYFUNCTION("""COMPUTED_VALUE"""),"English")</f>
        <v>English</v>
      </c>
    </row>
    <row r="7" spans="1:1" ht="12.5" x14ac:dyDescent="0.25">
      <c r="A7" t="str">
        <f ca="1">IFERROR(__xludf.DUMMYFUNCTION("""COMPUTED_VALUE"""),"Estonian")</f>
        <v>Estonian</v>
      </c>
    </row>
    <row r="8" spans="1:1" ht="12.5" x14ac:dyDescent="0.25">
      <c r="A8" t="str">
        <f ca="1">IFERROR(__xludf.DUMMYFUNCTION("""COMPUTED_VALUE"""),"Finnish")</f>
        <v>Finnish</v>
      </c>
    </row>
    <row r="9" spans="1:1" ht="12.5" x14ac:dyDescent="0.25">
      <c r="A9" t="str">
        <f ca="1">IFERROR(__xludf.DUMMYFUNCTION("""COMPUTED_VALUE"""),"French")</f>
        <v>French</v>
      </c>
    </row>
    <row r="10" spans="1:1" ht="12.5" x14ac:dyDescent="0.25">
      <c r="A10" t="str">
        <f ca="1">IFERROR(__xludf.DUMMYFUNCTION("""COMPUTED_VALUE"""),"German")</f>
        <v>German</v>
      </c>
    </row>
    <row r="11" spans="1:1" ht="12.5" x14ac:dyDescent="0.25">
      <c r="A11" t="str">
        <f ca="1">IFERROR(__xludf.DUMMYFUNCTION("""COMPUTED_VALUE"""),"Greek")</f>
        <v>Greek</v>
      </c>
    </row>
    <row r="12" spans="1:1" ht="12.5" x14ac:dyDescent="0.25">
      <c r="A12" t="str">
        <f ca="1">IFERROR(__xludf.DUMMYFUNCTION("""COMPUTED_VALUE"""),"Hungarian")</f>
        <v>Hungarian</v>
      </c>
    </row>
    <row r="13" spans="1:1" ht="12.5" x14ac:dyDescent="0.25">
      <c r="A13" t="str">
        <f ca="1">IFERROR(__xludf.DUMMYFUNCTION("""COMPUTED_VALUE"""),"Icelandic")</f>
        <v>Icelandic</v>
      </c>
    </row>
    <row r="14" spans="1:1" ht="12.5" x14ac:dyDescent="0.25">
      <c r="A14" t="str">
        <f ca="1">IFERROR(__xludf.DUMMYFUNCTION("""COMPUTED_VALUE"""),"Irish")</f>
        <v>Irish</v>
      </c>
    </row>
    <row r="15" spans="1:1" ht="12.5" x14ac:dyDescent="0.25">
      <c r="A15" t="str">
        <f ca="1">IFERROR(__xludf.DUMMYFUNCTION("""COMPUTED_VALUE"""),"Italian")</f>
        <v>Italian</v>
      </c>
    </row>
    <row r="16" spans="1:1" ht="12.5" x14ac:dyDescent="0.25">
      <c r="A16" t="str">
        <f ca="1">IFERROR(__xludf.DUMMYFUNCTION("""COMPUTED_VALUE"""),"Latvian")</f>
        <v>Latvian</v>
      </c>
    </row>
    <row r="17" spans="1:1" ht="12.5" x14ac:dyDescent="0.25">
      <c r="A17" t="str">
        <f ca="1">IFERROR(__xludf.DUMMYFUNCTION("""COMPUTED_VALUE"""),"Lithuanian")</f>
        <v>Lithuanian</v>
      </c>
    </row>
    <row r="18" spans="1:1" ht="12.5" x14ac:dyDescent="0.25">
      <c r="A18" t="str">
        <f ca="1">IFERROR(__xludf.DUMMYFUNCTION("""COMPUTED_VALUE"""),"Maltese")</f>
        <v>Maltese</v>
      </c>
    </row>
    <row r="19" spans="1:1" ht="12.5" x14ac:dyDescent="0.25">
      <c r="A19" t="str">
        <f ca="1">IFERROR(__xludf.DUMMYFUNCTION("""COMPUTED_VALUE"""),"Norwegian")</f>
        <v>Norwegian</v>
      </c>
    </row>
    <row r="20" spans="1:1" ht="12.5" x14ac:dyDescent="0.25">
      <c r="A20" t="str">
        <f ca="1">IFERROR(__xludf.DUMMYFUNCTION("""COMPUTED_VALUE"""),"Other")</f>
        <v>Other</v>
      </c>
    </row>
    <row r="21" spans="1:1" ht="12.5" x14ac:dyDescent="0.25">
      <c r="A21" t="str">
        <f ca="1">IFERROR(__xludf.DUMMYFUNCTION("""COMPUTED_VALUE"""),"Polish")</f>
        <v>Polish</v>
      </c>
    </row>
    <row r="22" spans="1:1" ht="12.5" x14ac:dyDescent="0.25">
      <c r="A22" t="str">
        <f ca="1">IFERROR(__xludf.DUMMYFUNCTION("""COMPUTED_VALUE"""),"Portuguese")</f>
        <v>Portuguese</v>
      </c>
    </row>
    <row r="23" spans="1:1" ht="12.5" x14ac:dyDescent="0.25">
      <c r="A23" t="str">
        <f ca="1">IFERROR(__xludf.DUMMYFUNCTION("""COMPUTED_VALUE"""),"Romanian")</f>
        <v>Romanian</v>
      </c>
    </row>
    <row r="24" spans="1:1" ht="12.5" x14ac:dyDescent="0.25">
      <c r="A24" t="str">
        <f ca="1">IFERROR(__xludf.DUMMYFUNCTION("""COMPUTED_VALUE"""),"Slovakian")</f>
        <v>Slovakian</v>
      </c>
    </row>
    <row r="25" spans="1:1" ht="12.5" x14ac:dyDescent="0.25">
      <c r="A25" t="str">
        <f ca="1">IFERROR(__xludf.DUMMYFUNCTION("""COMPUTED_VALUE"""),"Slovene")</f>
        <v>Slovene</v>
      </c>
    </row>
    <row r="26" spans="1:1" ht="12.5" x14ac:dyDescent="0.25">
      <c r="A26" t="str">
        <f ca="1">IFERROR(__xludf.DUMMYFUNCTION("""COMPUTED_VALUE"""),"Spanish")</f>
        <v>Spanish</v>
      </c>
    </row>
    <row r="27" spans="1:1" ht="12.5" x14ac:dyDescent="0.25">
      <c r="A27" t="str">
        <f ca="1">IFERROR(__xludf.DUMMYFUNCTION("""COMPUTED_VALUE"""),"Swedish")</f>
        <v>Swedish</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39"/>
  <sheetViews>
    <sheetView workbookViewId="0"/>
  </sheetViews>
  <sheetFormatPr defaultColWidth="14.453125" defaultRowHeight="15.75" customHeight="1" x14ac:dyDescent="0.25"/>
  <sheetData>
    <row r="1" spans="1:39" ht="15.75" customHeight="1" x14ac:dyDescent="0.3">
      <c r="A1" s="22" t="str">
        <f ca="1">IFERROR(__xludf.DUMMYFUNCTION("importrange(""https://docs.google.com/spreadsheets/d/1C6N4-YWX9OMmNStd2rYlSUaVys-aiJGLj00cD44aVc8/edit#gid=1894320575"",""Basic Process!A1:AM500"")"),"(Data)")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x14ac:dyDescent="0.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IFERROR(__xludf.DUMMYFUNCTION("""COMPUTED_VALUE"""),"Value")</f>
        <v>Value</v>
      </c>
      <c r="F2" t="str">
        <f ca="1">IFERROR(__xludf.DUMMYFUNCTION("""COMPUTED_VALUE"""),"ID")</f>
        <v>ID</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x14ac:dyDescent="0.25">
      <c r="E3" t="str">
        <f ca="1">IFERROR(__xludf.DUMMYFUNCTION("""COMPUTED_VALUE"""),"growth")</f>
        <v>growth</v>
      </c>
      <c r="F3" t="str">
        <f ca="1">IFERROR(__xludf.DUMMYFUNCTION("""COMPUTED_VALUE"""),"Bacic process_Predictive model_2")</f>
        <v>Bacic process_Predictive model_2</v>
      </c>
      <c r="M3" t="str">
        <f ca="1">IFERROR(__xludf.DUMMYFUNCTION("""COMPUTED_VALUE""")," No Change (MICROBIAL)")</f>
        <v xml:space="preserve"> No Change (MICROBIAL)</v>
      </c>
      <c r="N3" t="str">
        <f ca="1">IFERROR(__xludf.DUMMYFUNCTION("""COMPUTED_VALUE"""),"Basic process_Process model_21")</f>
        <v>Basic process_Process model_21</v>
      </c>
    </row>
    <row r="4" spans="1:39" ht="12.5" x14ac:dyDescent="0.25">
      <c r="E4" t="str">
        <f ca="1">IFERROR(__xludf.DUMMYFUNCTION("""COMPUTED_VALUE"""),"growth-inactivation")</f>
        <v>growth-inactivation</v>
      </c>
      <c r="F4" t="str">
        <f ca="1">IFERROR(__xludf.DUMMYFUNCTION("""COMPUTED_VALUE"""),"Bacic process_Predictive model_5")</f>
        <v>Bacic process_Predictive model_5</v>
      </c>
      <c r="M4" t="str">
        <f ca="1">IFERROR(__xludf.DUMMYFUNCTION("""COMPUTED_VALUE"""),"Concentration")</f>
        <v>Concentration</v>
      </c>
      <c r="N4" t="str">
        <f ca="1">IFERROR(__xludf.DUMMYFUNCTION("""COMPUTED_VALUE"""),"Basic process_Process model_5")</f>
        <v>Basic process_Process model_5</v>
      </c>
    </row>
    <row r="5" spans="1:39" ht="12.5" x14ac:dyDescent="0.25">
      <c r="E5" t="str">
        <f ca="1">IFERROR(__xludf.DUMMYFUNCTION("""COMPUTED_VALUE"""),"growth-inactivation-survival")</f>
        <v>growth-inactivation-survival</v>
      </c>
      <c r="F5" t="str">
        <f ca="1">IFERROR(__xludf.DUMMYFUNCTION("""COMPUTED_VALUE"""),"Bacic process_Predictive model_8")</f>
        <v>Bacic process_Predictive model_8</v>
      </c>
      <c r="M5" t="str">
        <f ca="1">IFERROR(__xludf.DUMMYFUNCTION("""COMPUTED_VALUE"""),"Contamination")</f>
        <v>Contamination</v>
      </c>
      <c r="N5" t="str">
        <f ca="1">IFERROR(__xludf.DUMMYFUNCTION("""COMPUTED_VALUE"""),"Basic process_Process model_1")</f>
        <v>Basic process_Process model_1</v>
      </c>
    </row>
    <row r="6" spans="1:39" ht="12.5" x14ac:dyDescent="0.25">
      <c r="E6" t="str">
        <f ca="1">IFERROR(__xludf.DUMMYFUNCTION("""COMPUTED_VALUE"""),"growth-no growth")</f>
        <v>growth-no growth</v>
      </c>
      <c r="F6" t="str">
        <f ca="1">IFERROR(__xludf.DUMMYFUNCTION("""COMPUTED_VALUE"""),"Bacic process_Predictive model_9")</f>
        <v>Bacic process_Predictive model_9</v>
      </c>
      <c r="M6" t="str">
        <f ca="1">IFERROR(__xludf.DUMMYFUNCTION("""COMPUTED_VALUE"""),"Cross contamination")</f>
        <v>Cross contamination</v>
      </c>
      <c r="N6" t="str">
        <f ca="1">IFERROR(__xludf.DUMMYFUNCTION("""COMPUTED_VALUE"""),"Basic process_Process model_9")</f>
        <v>Basic process_Process model_9</v>
      </c>
    </row>
    <row r="7" spans="1:39" ht="12.5" x14ac:dyDescent="0.25">
      <c r="E7" t="str">
        <f ca="1">IFERROR(__xludf.DUMMYFUNCTION("""COMPUTED_VALUE"""),"growth-survival")</f>
        <v>growth-survival</v>
      </c>
      <c r="F7" t="str">
        <f ca="1">IFERROR(__xludf.DUMMYFUNCTION("""COMPUTED_VALUE"""),"Bacic process_Predictive model_7")</f>
        <v>Bacic process_Predictive model_7</v>
      </c>
      <c r="M7" t="str">
        <f ca="1">IFERROR(__xludf.DUMMYFUNCTION("""COMPUTED_VALUE"""),"Decrease (CHEMICAL)")</f>
        <v>Decrease (CHEMICAL)</v>
      </c>
      <c r="N7" t="str">
        <f ca="1">IFERROR(__xludf.DUMMYFUNCTION("""COMPUTED_VALUE"""),"Basic process_Process model_11")</f>
        <v>Basic process_Process model_11</v>
      </c>
    </row>
    <row r="8" spans="1:39" ht="12.5" x14ac:dyDescent="0.25">
      <c r="E8" t="str">
        <f ca="1">IFERROR(__xludf.DUMMYFUNCTION("""COMPUTED_VALUE"""),"inactivation")</f>
        <v>inactivation</v>
      </c>
      <c r="F8" t="str">
        <f ca="1">IFERROR(__xludf.DUMMYFUNCTION("""COMPUTED_VALUE"""),"Bacic process_Predictive model_3")</f>
        <v>Bacic process_Predictive model_3</v>
      </c>
      <c r="M8" t="str">
        <f ca="1">IFERROR(__xludf.DUMMYFUNCTION("""COMPUTED_VALUE"""),"Decrease (MICROBIAL)")</f>
        <v>Decrease (MICROBIAL)</v>
      </c>
      <c r="N8" t="str">
        <f ca="1">IFERROR(__xludf.DUMMYFUNCTION("""COMPUTED_VALUE"""),"Basic process_Process model_27")</f>
        <v>Basic process_Process model_27</v>
      </c>
    </row>
    <row r="9" spans="1:39" ht="12.5" x14ac:dyDescent="0.25">
      <c r="E9" t="str">
        <f ca="1">IFERROR(__xludf.DUMMYFUNCTION("""COMPUTED_VALUE"""),"inactivation-survival")</f>
        <v>inactivation-survival</v>
      </c>
      <c r="F9" t="str">
        <f ca="1">IFERROR(__xludf.DUMMYFUNCTION("""COMPUTED_VALUE"""),"Bacic process_Predictive model_6")</f>
        <v>Bacic process_Predictive model_6</v>
      </c>
      <c r="M9" t="str">
        <f ca="1">IFERROR(__xludf.DUMMYFUNCTION("""COMPUTED_VALUE"""),"Decrease by Inactivation model (MICROBIAL)")</f>
        <v>Decrease by Inactivation model (MICROBIAL)</v>
      </c>
      <c r="N9" t="str">
        <f ca="1">IFERROR(__xludf.DUMMYFUNCTION("""COMPUTED_VALUE"""),"Basic process_Process model_28")</f>
        <v>Basic process_Process model_28</v>
      </c>
    </row>
    <row r="10" spans="1:39" ht="12.5" x14ac:dyDescent="0.25">
      <c r="E10" t="str">
        <f ca="1">IFERROR(__xludf.DUMMYFUNCTION("""COMPUTED_VALUE"""),"Other")</f>
        <v>Other</v>
      </c>
      <c r="F10" t="str">
        <f ca="1">IFERROR(__xludf.DUMMYFUNCTION("""COMPUTED_VALUE"""),"Bacic process_Predictive model_10")</f>
        <v>Bacic process_Predictive model_10</v>
      </c>
      <c r="M10" t="str">
        <f ca="1">IFERROR(__xludf.DUMMYFUNCTION("""COMPUTED_VALUE"""),"Evapuration-Dilution (CHEMICAL)")</f>
        <v>Evapuration-Dilution (CHEMICAL)</v>
      </c>
      <c r="N10" t="str">
        <f ca="1">IFERROR(__xludf.DUMMYFUNCTION("""COMPUTED_VALUE"""),"Basic process_Process model_15")</f>
        <v>Basic process_Process model_15</v>
      </c>
    </row>
    <row r="11" spans="1:39" ht="12.5" x14ac:dyDescent="0.25">
      <c r="E11" t="str">
        <f ca="1">IFERROR(__xludf.DUMMYFUNCTION("""COMPUTED_VALUE"""),"survival")</f>
        <v>survival</v>
      </c>
      <c r="F11" t="str">
        <f ca="1">IFERROR(__xludf.DUMMYFUNCTION("""COMPUTED_VALUE"""),"Bacic process_Predictive model_4")</f>
        <v>Bacic process_Predictive model_4</v>
      </c>
      <c r="M11" t="str">
        <f ca="1">IFERROR(__xludf.DUMMYFUNCTION("""COMPUTED_VALUE"""),"Evapuration-Dilution (MICROBIAL)")</f>
        <v>Evapuration-Dilution (MICROBIAL)</v>
      </c>
      <c r="N11" t="str">
        <f ca="1">IFERROR(__xludf.DUMMYFUNCTION("""COMPUTED_VALUE"""),"Basic process_Process model_29")</f>
        <v>Basic process_Process model_29</v>
      </c>
    </row>
    <row r="12" spans="1:39" ht="12.5" x14ac:dyDescent="0.25">
      <c r="E12" t="str">
        <f ca="1">IFERROR(__xludf.DUMMYFUNCTION("""COMPUTED_VALUE"""),"unknown")</f>
        <v>unknown</v>
      </c>
      <c r="F12" t="str">
        <f ca="1">IFERROR(__xludf.DUMMYFUNCTION("""COMPUTED_VALUE"""),"Bacic process_Predictive model_1")</f>
        <v>Bacic process_Predictive model_1</v>
      </c>
      <c r="M12" t="str">
        <f ca="1">IFERROR(__xludf.DUMMYFUNCTION("""COMPUTED_VALUE"""),"Growth")</f>
        <v>Growth</v>
      </c>
      <c r="N12" t="str">
        <f ca="1">IFERROR(__xludf.DUMMYFUNCTION("""COMPUTED_VALUE"""),"Basic process_Process model_3")</f>
        <v>Basic process_Process model_3</v>
      </c>
    </row>
    <row r="13" spans="1:39" ht="12.5" x14ac:dyDescent="0.25">
      <c r="M13" t="str">
        <f ca="1">IFERROR(__xludf.DUMMYFUNCTION("""COMPUTED_VALUE"""),"Inactivation")</f>
        <v>Inactivation</v>
      </c>
      <c r="N13" t="str">
        <f ca="1">IFERROR(__xludf.DUMMYFUNCTION("""COMPUTED_VALUE"""),"Basic process_Process model_2")</f>
        <v>Basic process_Process model_2</v>
      </c>
    </row>
    <row r="14" spans="1:39" ht="12.5" x14ac:dyDescent="0.25">
      <c r="M14" t="str">
        <f ca="1">IFERROR(__xludf.DUMMYFUNCTION("""COMPUTED_VALUE"""),"Increase by Addition (CHEMICAL)")</f>
        <v>Increase by Addition (CHEMICAL)</v>
      </c>
      <c r="N14" t="str">
        <f ca="1">IFERROR(__xludf.DUMMYFUNCTION("""COMPUTED_VALUE"""),"Basic process_Process model_10")</f>
        <v>Basic process_Process model_10</v>
      </c>
    </row>
    <row r="15" spans="1:39" ht="12.5" x14ac:dyDescent="0.25">
      <c r="M15" t="str">
        <f ca="1">IFERROR(__xludf.DUMMYFUNCTION("""COMPUTED_VALUE"""),"Increase by Addition (MICROBIAL)")</f>
        <v>Increase by Addition (MICROBIAL)</v>
      </c>
      <c r="N15" t="str">
        <f ca="1">IFERROR(__xludf.DUMMYFUNCTION("""COMPUTED_VALUE"""),"Basic process_Process model_24")</f>
        <v>Basic process_Process model_24</v>
      </c>
    </row>
    <row r="16" spans="1:39" ht="12.5" x14ac:dyDescent="0.25">
      <c r="M16" t="str">
        <f ca="1">IFERROR(__xludf.DUMMYFUNCTION("""COMPUTED_VALUE"""),"Increase by Cross Contamination (Amount) (MICROBIAL)")</f>
        <v>Increase by Cross Contamination (Amount) (MICROBIAL)</v>
      </c>
      <c r="N16" t="str">
        <f ca="1">IFERROR(__xludf.DUMMYFUNCTION("""COMPUTED_VALUE"""),"Basic process_Process model_25")</f>
        <v>Basic process_Process model_25</v>
      </c>
    </row>
    <row r="17" spans="13:14" ht="12.5" x14ac:dyDescent="0.25">
      <c r="M17" t="str">
        <f ca="1">IFERROR(__xludf.DUMMYFUNCTION("""COMPUTED_VALUE"""),"Increase by Cross Contamination (Concentration) (MICROBIAL)")</f>
        <v>Increase by Cross Contamination (Concentration) (MICROBIAL)</v>
      </c>
      <c r="N17" t="str">
        <f ca="1">IFERROR(__xludf.DUMMYFUNCTION("""COMPUTED_VALUE"""),"Basic process_Process model_26")</f>
        <v>Basic process_Process model_26</v>
      </c>
    </row>
    <row r="18" spans="13:14" ht="12.5" x14ac:dyDescent="0.25">
      <c r="M18" t="str">
        <f ca="1">IFERROR(__xludf.DUMMYFUNCTION("""COMPUTED_VALUE"""),"Increase by Growth (MICROBIAL)")</f>
        <v>Increase by Growth (MICROBIAL)</v>
      </c>
      <c r="N18" t="str">
        <f ca="1">IFERROR(__xludf.DUMMYFUNCTION("""COMPUTED_VALUE"""),"Basic process_Process model_22")</f>
        <v>Basic process_Process model_22</v>
      </c>
    </row>
    <row r="19" spans="13:14" ht="12.5" x14ac:dyDescent="0.25">
      <c r="M19" t="str">
        <f ca="1">IFERROR(__xludf.DUMMYFUNCTION("""COMPUTED_VALUE"""),"Increase by growth model (MICROBIAL)")</f>
        <v>Increase by growth model (MICROBIAL)</v>
      </c>
      <c r="N19" t="str">
        <f ca="1">IFERROR(__xludf.DUMMYFUNCTION("""COMPUTED_VALUE"""),"Basic process_Process model_23")</f>
        <v>Basic process_Process model_23</v>
      </c>
    </row>
    <row r="20" spans="13:14" ht="12.5" x14ac:dyDescent="0.25">
      <c r="M20" t="str">
        <f ca="1">IFERROR(__xludf.DUMMYFUNCTION("""COMPUTED_VALUE"""),"Joining")</f>
        <v>Joining</v>
      </c>
      <c r="N20" t="str">
        <f ca="1">IFERROR(__xludf.DUMMYFUNCTION("""COMPUTED_VALUE"""),"Basic process_Process model_4")</f>
        <v>Basic process_Process model_4</v>
      </c>
    </row>
    <row r="21" spans="13:14" ht="12.5" x14ac:dyDescent="0.25">
      <c r="M21" t="str">
        <f ca="1">IFERROR(__xludf.DUMMYFUNCTION("""COMPUTED_VALUE"""),"Mass-change (CHEMICAL)")</f>
        <v>Mass-change (CHEMICAL)</v>
      </c>
      <c r="N21" t="str">
        <f ca="1">IFERROR(__xludf.DUMMYFUNCTION("""COMPUTED_VALUE"""),"Basic process_Process model_12")</f>
        <v>Basic process_Process model_12</v>
      </c>
    </row>
    <row r="22" spans="13:14" ht="12.5" x14ac:dyDescent="0.25">
      <c r="M22" t="str">
        <f ca="1">IFERROR(__xludf.DUMMYFUNCTION("""COMPUTED_VALUE"""),"Mixing")</f>
        <v>Mixing</v>
      </c>
      <c r="N22" t="str">
        <f ca="1">IFERROR(__xludf.DUMMYFUNCTION("""COMPUTED_VALUE"""),"Basic process_Process model_6")</f>
        <v>Basic process_Process model_6</v>
      </c>
    </row>
    <row r="23" spans="13:14" ht="12.5" x14ac:dyDescent="0.25">
      <c r="M23" t="str">
        <f ca="1">IFERROR(__xludf.DUMMYFUNCTION("""COMPUTED_VALUE"""),"No Change (CHEMICAL)")</f>
        <v>No Change (CHEMICAL)</v>
      </c>
      <c r="N23" t="str">
        <f ca="1">IFERROR(__xludf.DUMMYFUNCTION("""COMPUTED_VALUE"""),"Basic process_Process model_18")</f>
        <v>Basic process_Process model_18</v>
      </c>
    </row>
    <row r="24" spans="13:14" ht="12.5" x14ac:dyDescent="0.25">
      <c r="M24" t="str">
        <f ca="1">IFERROR(__xludf.DUMMYFUNCTION("""COMPUTED_VALUE"""),"Other")</f>
        <v>Other</v>
      </c>
      <c r="N24" t="str">
        <f ca="1">IFERROR(__xludf.DUMMYFUNCTION("""COMPUTED_VALUE"""),"Basic process_Process model_37")</f>
        <v>Basic process_Process model_37</v>
      </c>
    </row>
    <row r="25" spans="13:14" ht="12.5" x14ac:dyDescent="0.25">
      <c r="M25" t="str">
        <f ca="1">IFERROR(__xludf.DUMMYFUNCTION("""COMPUTED_VALUE"""),"Partioning")</f>
        <v>Partioning</v>
      </c>
      <c r="N25" t="str">
        <f ca="1">IFERROR(__xludf.DUMMYFUNCTION("""COMPUTED_VALUE"""),"Basic process_Process model_7")</f>
        <v>Basic process_Process model_7</v>
      </c>
    </row>
    <row r="26" spans="13:14" ht="12.5" x14ac:dyDescent="0.25">
      <c r="M26" t="str">
        <f ca="1">IFERROR(__xludf.DUMMYFUNCTION("""COMPUTED_VALUE"""),"Partitioning (CHEMICAL)")</f>
        <v>Partitioning (CHEMICAL)</v>
      </c>
      <c r="N26" t="str">
        <f ca="1">IFERROR(__xludf.DUMMYFUNCTION("""COMPUTED_VALUE"""),"Basic process_Process model_14")</f>
        <v>Basic process_Process model_14</v>
      </c>
    </row>
    <row r="27" spans="13:14" ht="12.5" x14ac:dyDescent="0.25">
      <c r="M27" t="str">
        <f ca="1">IFERROR(__xludf.DUMMYFUNCTION("""COMPUTED_VALUE"""),"Partitioning (MICROBIAL)")</f>
        <v>Partitioning (MICROBIAL)</v>
      </c>
      <c r="N27" t="str">
        <f ca="1">IFERROR(__xludf.DUMMYFUNCTION("""COMPUTED_VALUE"""),"Basic process_Process model_30")</f>
        <v>Basic process_Process model_30</v>
      </c>
    </row>
    <row r="28" spans="13:14" ht="12.5" x14ac:dyDescent="0.25">
      <c r="M28" t="str">
        <f ca="1">IFERROR(__xludf.DUMMYFUNCTION("""COMPUTED_VALUE"""),"Placeholder (CHEMICAL)")</f>
        <v>Placeholder (CHEMICAL)</v>
      </c>
      <c r="N28" t="str">
        <f ca="1">IFERROR(__xludf.DUMMYFUNCTION("""COMPUTED_VALUE"""),"Basic process_Process model_19")</f>
        <v>Basic process_Process model_19</v>
      </c>
    </row>
    <row r="29" spans="13:14" ht="12.5" x14ac:dyDescent="0.25">
      <c r="M29" t="str">
        <f ca="1">IFERROR(__xludf.DUMMYFUNCTION("""COMPUTED_VALUE"""),"Placeholder (MICROBIAL)")</f>
        <v>Placeholder (MICROBIAL)</v>
      </c>
      <c r="N29" t="str">
        <f ca="1">IFERROR(__xludf.DUMMYFUNCTION("""COMPUTED_VALUE"""),"Basic process_Process model_20")</f>
        <v>Basic process_Process model_20</v>
      </c>
    </row>
    <row r="30" spans="13:14" ht="12.5" x14ac:dyDescent="0.25">
      <c r="M30" t="str">
        <f ca="1">IFERROR(__xludf.DUMMYFUNCTION("""COMPUTED_VALUE"""),"Pooling (CHEMICAL)")</f>
        <v>Pooling (CHEMICAL)</v>
      </c>
      <c r="N30" t="str">
        <f ca="1">IFERROR(__xludf.DUMMYFUNCTION("""COMPUTED_VALUE"""),"Basic process_Process model_13")</f>
        <v>Basic process_Process model_13</v>
      </c>
    </row>
    <row r="31" spans="13:14" ht="12.5" x14ac:dyDescent="0.25">
      <c r="M31" t="str">
        <f ca="1">IFERROR(__xludf.DUMMYFUNCTION("""COMPUTED_VALUE"""),"Pooling (MICROBIAL)")</f>
        <v>Pooling (MICROBIAL)</v>
      </c>
      <c r="N31" t="str">
        <f ca="1">IFERROR(__xludf.DUMMYFUNCTION("""COMPUTED_VALUE"""),"Basic process_Process model_31")</f>
        <v>Basic process_Process model_31</v>
      </c>
    </row>
    <row r="32" spans="13:14" ht="12.5" x14ac:dyDescent="0.25">
      <c r="M32" t="str">
        <f ca="1">IFERROR(__xludf.DUMMYFUNCTION("""COMPUTED_VALUE"""),"Redistribution (Partial) (CHEMICAL)")</f>
        <v>Redistribution (Partial) (CHEMICAL)</v>
      </c>
      <c r="N32" t="str">
        <f ca="1">IFERROR(__xludf.DUMMYFUNCTION("""COMPUTED_VALUE"""),"Basic process_Process model_16")</f>
        <v>Basic process_Process model_16</v>
      </c>
    </row>
    <row r="33" spans="13:14" ht="12.5" x14ac:dyDescent="0.25">
      <c r="M33" t="str">
        <f ca="1">IFERROR(__xludf.DUMMYFUNCTION("""COMPUTED_VALUE"""),"Redistribution (Partial) (MICROBIAL)")</f>
        <v>Redistribution (Partial) (MICROBIAL)</v>
      </c>
      <c r="N33" t="str">
        <f ca="1">IFERROR(__xludf.DUMMYFUNCTION("""COMPUTED_VALUE"""),"Basic process_Process model_32")</f>
        <v>Basic process_Process model_32</v>
      </c>
    </row>
    <row r="34" spans="13:14" ht="12.5" x14ac:dyDescent="0.25">
      <c r="M34" t="str">
        <f ca="1">IFERROR(__xludf.DUMMYFUNCTION("""COMPUTED_VALUE"""),"Redistribution (Total) (CHEMICAL)")</f>
        <v>Redistribution (Total) (CHEMICAL)</v>
      </c>
      <c r="N34" t="str">
        <f ca="1">IFERROR(__xludf.DUMMYFUNCTION("""COMPUTED_VALUE"""),"Basic process_Process model_17")</f>
        <v>Basic process_Process model_17</v>
      </c>
    </row>
    <row r="35" spans="13:14" ht="12.5" x14ac:dyDescent="0.25">
      <c r="M35" t="str">
        <f ca="1">IFERROR(__xludf.DUMMYFUNCTION("""COMPUTED_VALUE"""),"Redistribution (Total) (MICROBIAL)")</f>
        <v>Redistribution (Total) (MICROBIAL)</v>
      </c>
      <c r="N35" t="str">
        <f ca="1">IFERROR(__xludf.DUMMYFUNCTION("""COMPUTED_VALUE"""),"Basic process_Process model_33")</f>
        <v>Basic process_Process model_33</v>
      </c>
    </row>
    <row r="36" spans="13:14" ht="12.5" x14ac:dyDescent="0.25">
      <c r="M36" t="str">
        <f ca="1">IFERROR(__xludf.DUMMYFUNCTION("""COMPUTED_VALUE"""),"Removal")</f>
        <v>Removal</v>
      </c>
      <c r="N36" t="str">
        <f ca="1">IFERROR(__xludf.DUMMYFUNCTION("""COMPUTED_VALUE"""),"Basic process_Process model_8")</f>
        <v>Basic process_Process model_8</v>
      </c>
    </row>
    <row r="37" spans="13:14" ht="12.5" x14ac:dyDescent="0.25">
      <c r="M37" t="str">
        <f ca="1">IFERROR(__xludf.DUMMYFUNCTION("""COMPUTED_VALUE"""),"Sampling (OC curve) (MICROBIAL)")</f>
        <v>Sampling (OC curve) (MICROBIAL)</v>
      </c>
      <c r="N37" t="str">
        <f ca="1">IFERROR(__xludf.DUMMYFUNCTION("""COMPUTED_VALUE"""),"Basic process_Process model_34")</f>
        <v>Basic process_Process model_34</v>
      </c>
    </row>
    <row r="38" spans="13:14" ht="12.5" x14ac:dyDescent="0.25">
      <c r="M38" t="str">
        <f ca="1">IFERROR(__xludf.DUMMYFUNCTION("""COMPUTED_VALUE"""),"Sampling (Simple Poisson) (MICROBIAL)")</f>
        <v>Sampling (Simple Poisson) (MICROBIAL)</v>
      </c>
      <c r="N38" t="str">
        <f ca="1">IFERROR(__xludf.DUMMYFUNCTION("""COMPUTED_VALUE"""),"Basic process_Process model_35")</f>
        <v>Basic process_Process model_35</v>
      </c>
    </row>
    <row r="39" spans="13:14" ht="12.5" x14ac:dyDescent="0.25">
      <c r="M39" t="str">
        <f ca="1">IFERROR(__xludf.DUMMYFUNCTION("""COMPUTED_VALUE"""),"Set Maximum Population Density (MICROBIAL)")</f>
        <v>Set Maximum Population Density (MICROBIAL)</v>
      </c>
      <c r="N39" t="str">
        <f ca="1">IFERROR(__xludf.DUMMYFUNCTION("""COMPUTED_VALUE"""),"Basic process_Process model_36")</f>
        <v>Basic process_Process model_36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IFERROR(__xludf.DUMMYFUNCTION("importrange(""https://docs.google.com/spreadsheets/d/1C6N4-YWX9OMmNStd2rYlSUaVys-aiJGLj00cD44aVc8/edit#gid=1894320575"",""Status!A1:O500"")"),"Value")</f>
        <v>Value</v>
      </c>
      <c r="B1" t="str">
        <f ca="1">IFERROR(__xludf.DUMMYFUNCTION("""COMPUTED_VALUE"""),"ID")</f>
        <v>ID</v>
      </c>
      <c r="C1" t="str">
        <f ca="1">IFERROR(__xludf.DUMMYFUNCTION("""COMPUTED_VALUE"""),"Comment")</f>
        <v>Comment</v>
      </c>
    </row>
    <row r="2" spans="1:3" ht="12.5" x14ac:dyDescent="0.25">
      <c r="A2" t="str">
        <f ca="1">IFERROR(__xludf.DUMMYFUNCTION("""COMPUTED_VALUE"""),"Curated")</f>
        <v>Curated</v>
      </c>
      <c r="B2" t="str">
        <f ca="1">IFERROR(__xludf.DUMMYFUNCTION("""COMPUTED_VALUE"""),"Status_1")</f>
        <v>Status_1</v>
      </c>
      <c r="C2" t="str">
        <f ca="1">IFERROR(__xludf.DUMMYFUNCTION("""COMPUTED_VALUE"""),"Model classified according to certain quality criteria.")</f>
        <v>Model classified according to certain quality criteria.</v>
      </c>
    </row>
    <row r="3" spans="1:3" ht="12.5" x14ac:dyDescent="0.25">
      <c r="A3" t="str">
        <f ca="1">IFERROR(__xludf.DUMMYFUNCTION("""COMPUTED_VALUE"""),"Other")</f>
        <v>Other</v>
      </c>
      <c r="B3" t="str">
        <f ca="1">IFERROR(__xludf.DUMMYFUNCTION("""COMPUTED_VALUE"""),"Status_3")</f>
        <v>Status_3</v>
      </c>
    </row>
    <row r="4" spans="1:3" ht="12.5" x14ac:dyDescent="0.25">
      <c r="A4" t="str">
        <f ca="1">IFERROR(__xludf.DUMMYFUNCTION("""COMPUTED_VALUE"""),"Uncurated")</f>
        <v>Uncurated</v>
      </c>
      <c r="B4" t="str">
        <f ca="1">IFERROR(__xludf.DUMMYFUNCTION("""COMPUTED_VALUE"""),"Status_2")</f>
        <v>Status_2</v>
      </c>
      <c r="C4" t="str">
        <f ca="1">IFERROR(__xludf.DUMMYFUNCTION("""COMPUTED_VALUE"""),"Model not classified according to certain quality criteria.")</f>
        <v>Model not classified according to certain quality criteria.</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8"/>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IFERROR(__xludf.DUMMYFUNCTION("importrange(""https://docs.google.com/spreadsheets/d/1C6N4-YWX9OMmNStd2rYlSUaVys-aiJGLj00cD44aVc8/edit#gid=1894320575"",""Language written in!A1:A500"")"),"Value")</f>
        <v>Value</v>
      </c>
    </row>
    <row r="2" spans="1:1" ht="12.5" x14ac:dyDescent="0.25">
      <c r="A2" t="str">
        <f ca="1">IFERROR(__xludf.DUMMYFUNCTION("""COMPUTED_VALUE"""),"@Risk 4")</f>
        <v>@Risk 4</v>
      </c>
    </row>
    <row r="3" spans="1:1" ht="12.5" x14ac:dyDescent="0.25">
      <c r="A3" t="str">
        <f ca="1">IFERROR(__xludf.DUMMYFUNCTION("""COMPUTED_VALUE"""),"@Risk 5")</f>
        <v>@Risk 5</v>
      </c>
    </row>
    <row r="4" spans="1:1" ht="12.5" x14ac:dyDescent="0.25">
      <c r="A4" t="str">
        <f ca="1">IFERROR(__xludf.DUMMYFUNCTION("""COMPUTED_VALUE"""),"@Risk 6")</f>
        <v>@Risk 6</v>
      </c>
    </row>
    <row r="5" spans="1:1" ht="12.5" x14ac:dyDescent="0.25">
      <c r="A5" t="str">
        <f ca="1">IFERROR(__xludf.DUMMYFUNCTION("""COMPUTED_VALUE"""),"@Risk 7.5")</f>
        <v>@Risk 7.5</v>
      </c>
    </row>
    <row r="6" spans="1:1" ht="12.5" x14ac:dyDescent="0.25">
      <c r="A6" t="str">
        <f ca="1">IFERROR(__xludf.DUMMYFUNCTION("""COMPUTED_VALUE"""),"C++ 11")</f>
        <v>C++ 11</v>
      </c>
    </row>
    <row r="7" spans="1:1" ht="12.5" x14ac:dyDescent="0.25">
      <c r="A7" t="str">
        <f ca="1">IFERROR(__xludf.DUMMYFUNCTION("""COMPUTED_VALUE"""),"C++ 14")</f>
        <v>C++ 14</v>
      </c>
    </row>
    <row r="8" spans="1:1" ht="12.5" x14ac:dyDescent="0.25">
      <c r="A8" t="str">
        <f ca="1">IFERROR(__xludf.DUMMYFUNCTION("""COMPUTED_VALUE"""),"C++ 17")</f>
        <v>C++ 17</v>
      </c>
    </row>
    <row r="9" spans="1:1" ht="12.5" x14ac:dyDescent="0.25">
      <c r="A9" t="str">
        <f ca="1">IFERROR(__xludf.DUMMYFUNCTION("""COMPUTED_VALUE"""),"C11")</f>
        <v>C11</v>
      </c>
    </row>
    <row r="10" spans="1:1" ht="12.5" x14ac:dyDescent="0.25">
      <c r="A10" t="str">
        <f ca="1">IFERROR(__xludf.DUMMYFUNCTION("""COMPUTED_VALUE"""),"C99")</f>
        <v>C99</v>
      </c>
    </row>
    <row r="11" spans="1:1" ht="12.5" x14ac:dyDescent="0.25">
      <c r="A11" t="str">
        <f ca="1">IFERROR(__xludf.DUMMYFUNCTION("""COMPUTED_VALUE"""),"Fortran 2003")</f>
        <v>Fortran 2003</v>
      </c>
    </row>
    <row r="12" spans="1:1" ht="12.5" x14ac:dyDescent="0.25">
      <c r="A12" t="str">
        <f ca="1">IFERROR(__xludf.DUMMYFUNCTION("""COMPUTED_VALUE"""),"Fortran 2008")</f>
        <v>Fortran 2008</v>
      </c>
    </row>
    <row r="13" spans="1:1" ht="12.5" x14ac:dyDescent="0.25">
      <c r="A13" t="str">
        <f ca="1">IFERROR(__xludf.DUMMYFUNCTION("""COMPUTED_VALUE"""),"Fortran 95")</f>
        <v>Fortran 95</v>
      </c>
    </row>
    <row r="14" spans="1:1" ht="12.5" x14ac:dyDescent="0.25">
      <c r="A14" t="str">
        <f ca="1">IFERROR(__xludf.DUMMYFUNCTION("""COMPUTED_VALUE"""),"J2SE 1.2")</f>
        <v>J2SE 1.2</v>
      </c>
    </row>
    <row r="15" spans="1:1" ht="12.5" x14ac:dyDescent="0.25">
      <c r="A15" t="str">
        <f ca="1">IFERROR(__xludf.DUMMYFUNCTION("""COMPUTED_VALUE"""),"J2SE 1.3")</f>
        <v>J2SE 1.3</v>
      </c>
    </row>
    <row r="16" spans="1:1" ht="12.5" x14ac:dyDescent="0.25">
      <c r="A16" t="str">
        <f ca="1">IFERROR(__xludf.DUMMYFUNCTION("""COMPUTED_VALUE"""),"J2SE 1.4")</f>
        <v>J2SE 1.4</v>
      </c>
    </row>
    <row r="17" spans="1:1" ht="12.5" x14ac:dyDescent="0.25">
      <c r="A17" t="str">
        <f ca="1">IFERROR(__xludf.DUMMYFUNCTION("""COMPUTED_VALUE"""),"J2SE 5.0")</f>
        <v>J2SE 5.0</v>
      </c>
    </row>
    <row r="18" spans="1:1" ht="12.5" x14ac:dyDescent="0.25">
      <c r="A18" t="str">
        <f ca="1">IFERROR(__xludf.DUMMYFUNCTION("""COMPUTED_VALUE"""),"Java SE 6")</f>
        <v>Java SE 6</v>
      </c>
    </row>
    <row r="19" spans="1:1" ht="12.5" x14ac:dyDescent="0.25">
      <c r="A19" t="str">
        <f ca="1">IFERROR(__xludf.DUMMYFUNCTION("""COMPUTED_VALUE"""),"Java SE 7")</f>
        <v>Java SE 7</v>
      </c>
    </row>
    <row r="20" spans="1:1" ht="12.5" x14ac:dyDescent="0.25">
      <c r="A20" t="str">
        <f ca="1">IFERROR(__xludf.DUMMYFUNCTION("""COMPUTED_VALUE"""),"Java SE 8")</f>
        <v>Java SE 8</v>
      </c>
    </row>
    <row r="21" spans="1:1" ht="12.5" x14ac:dyDescent="0.25">
      <c r="A21" t="str">
        <f ca="1">IFERROR(__xludf.DUMMYFUNCTION("""COMPUTED_VALUE"""),"Java SE 9")</f>
        <v>Java SE 9</v>
      </c>
    </row>
    <row r="22" spans="1:1" ht="12.5" x14ac:dyDescent="0.25">
      <c r="A22" t="str">
        <f ca="1">IFERROR(__xludf.DUMMYFUNCTION("""COMPUTED_VALUE"""),"JDK 1.0")</f>
        <v>JDK 1.0</v>
      </c>
    </row>
    <row r="23" spans="1:1" ht="12.5" x14ac:dyDescent="0.25">
      <c r="A23" t="str">
        <f ca="1">IFERROR(__xludf.DUMMYFUNCTION("""COMPUTED_VALUE"""),"JDK 1.1")</f>
        <v>JDK 1.1</v>
      </c>
    </row>
    <row r="24" spans="1:1" ht="12.5" x14ac:dyDescent="0.25">
      <c r="A24" t="str">
        <f ca="1">IFERROR(__xludf.DUMMYFUNCTION("""COMPUTED_VALUE"""),"MATLAB 1.0")</f>
        <v>MATLAB 1.0</v>
      </c>
    </row>
    <row r="25" spans="1:1" ht="12.5" x14ac:dyDescent="0.25">
      <c r="A25" t="str">
        <f ca="1">IFERROR(__xludf.DUMMYFUNCTION("""COMPUTED_VALUE"""),"MATLAB 2")</f>
        <v>MATLAB 2</v>
      </c>
    </row>
    <row r="26" spans="1:1" ht="12.5" x14ac:dyDescent="0.25">
      <c r="A26" t="str">
        <f ca="1">IFERROR(__xludf.DUMMYFUNCTION("""COMPUTED_VALUE"""),"MATLAB 3")</f>
        <v>MATLAB 3</v>
      </c>
    </row>
    <row r="27" spans="1:1" ht="12.5" x14ac:dyDescent="0.25">
      <c r="A27" t="str">
        <f ca="1">IFERROR(__xludf.DUMMYFUNCTION("""COMPUTED_VALUE"""),"MATLAB 3.5")</f>
        <v>MATLAB 3.5</v>
      </c>
    </row>
    <row r="28" spans="1:1" ht="12.5" x14ac:dyDescent="0.25">
      <c r="A28" t="str">
        <f ca="1">IFERROR(__xludf.DUMMYFUNCTION("""COMPUTED_VALUE"""),"MATLAB 4")</f>
        <v>MATLAB 4</v>
      </c>
    </row>
    <row r="29" spans="1:1" ht="12.5" x14ac:dyDescent="0.25">
      <c r="A29" t="str">
        <f ca="1">IFERROR(__xludf.DUMMYFUNCTION("""COMPUTED_VALUE"""),"MATLAB 4.2c")</f>
        <v>MATLAB 4.2c</v>
      </c>
    </row>
    <row r="30" spans="1:1" ht="12.5" x14ac:dyDescent="0.25">
      <c r="A30" t="str">
        <f ca="1">IFERROR(__xludf.DUMMYFUNCTION("""COMPUTED_VALUE"""),"MATLAB 5.0")</f>
        <v>MATLAB 5.0</v>
      </c>
    </row>
    <row r="31" spans="1:1" ht="12.5" x14ac:dyDescent="0.25">
      <c r="A31" t="str">
        <f ca="1">IFERROR(__xludf.DUMMYFUNCTION("""COMPUTED_VALUE"""),"MATLAB 6.0")</f>
        <v>MATLAB 6.0</v>
      </c>
    </row>
    <row r="32" spans="1:1" ht="12.5" x14ac:dyDescent="0.25">
      <c r="A32" t="str">
        <f ca="1">IFERROR(__xludf.DUMMYFUNCTION("""COMPUTED_VALUE"""),"MATLAB 7")</f>
        <v>MATLAB 7</v>
      </c>
    </row>
    <row r="33" spans="1:1" ht="12.5" x14ac:dyDescent="0.25">
      <c r="A33" t="str">
        <f ca="1">IFERROR(__xludf.DUMMYFUNCTION("""COMPUTED_VALUE"""),"MATLAB 8")</f>
        <v>MATLAB 8</v>
      </c>
    </row>
    <row r="34" spans="1:1" ht="12.5" x14ac:dyDescent="0.25">
      <c r="A34" t="str">
        <f ca="1">IFERROR(__xludf.DUMMYFUNCTION("""COMPUTED_VALUE"""),"MATLAB 9.0")</f>
        <v>MATLAB 9.0</v>
      </c>
    </row>
    <row r="35" spans="1:1" ht="12.5" x14ac:dyDescent="0.25">
      <c r="A35" t="str">
        <f ca="1">IFERROR(__xludf.DUMMYFUNCTION("""COMPUTED_VALUE"""),"MATLAB 9.4")</f>
        <v>MATLAB 9.4</v>
      </c>
    </row>
    <row r="36" spans="1:1" ht="12.5" x14ac:dyDescent="0.25">
      <c r="A36" t="str">
        <f ca="1">IFERROR(__xludf.DUMMYFUNCTION("""COMPUTED_VALUE"""),"Octave 2.0")</f>
        <v>Octave 2.0</v>
      </c>
    </row>
    <row r="37" spans="1:1" ht="12.5" x14ac:dyDescent="0.25">
      <c r="A37" t="str">
        <f ca="1">IFERROR(__xludf.DUMMYFUNCTION("""COMPUTED_VALUE"""),"Octave 3.0.0")</f>
        <v>Octave 3.0.0</v>
      </c>
    </row>
    <row r="38" spans="1:1" ht="12.5" x14ac:dyDescent="0.25">
      <c r="A38" t="str">
        <f ca="1">IFERROR(__xludf.DUMMYFUNCTION("""COMPUTED_VALUE"""),"Octave 4.0.0")</f>
        <v>Octave 4.0.0</v>
      </c>
    </row>
    <row r="39" spans="1:1" ht="12.5" x14ac:dyDescent="0.25">
      <c r="A39" t="str">
        <f ca="1">IFERROR(__xludf.DUMMYFUNCTION("""COMPUTED_VALUE"""),"Octave 4.2.2")</f>
        <v>Octave 4.2.2</v>
      </c>
    </row>
    <row r="40" spans="1:1" ht="12.5" x14ac:dyDescent="0.25">
      <c r="A40" t="str">
        <f ca="1">IFERROR(__xludf.DUMMYFUNCTION("""COMPUTED_VALUE"""),"Other")</f>
        <v>Other</v>
      </c>
    </row>
    <row r="41" spans="1:1" ht="12.5" x14ac:dyDescent="0.25">
      <c r="A41" t="str">
        <f ca="1">IFERROR(__xludf.DUMMYFUNCTION("""COMPUTED_VALUE"""),"Python 2.0.1")</f>
        <v>Python 2.0.1</v>
      </c>
    </row>
    <row r="42" spans="1:1" ht="12.5" x14ac:dyDescent="0.25">
      <c r="A42" t="str">
        <f ca="1">IFERROR(__xludf.DUMMYFUNCTION("""COMPUTED_VALUE"""),"Python 3.1.0")</f>
        <v>Python 3.1.0</v>
      </c>
    </row>
    <row r="43" spans="1:1" ht="12.5" x14ac:dyDescent="0.25">
      <c r="A43" t="str">
        <f ca="1">IFERROR(__xludf.DUMMYFUNCTION("""COMPUTED_VALUE"""),"Python 3.4.8")</f>
        <v>Python 3.4.8</v>
      </c>
    </row>
    <row r="44" spans="1:1" ht="12.5" x14ac:dyDescent="0.25">
      <c r="A44" t="str">
        <f ca="1">IFERROR(__xludf.DUMMYFUNCTION("""COMPUTED_VALUE"""),"R 0.16")</f>
        <v>R 0.16</v>
      </c>
    </row>
    <row r="45" spans="1:1" ht="12.5" x14ac:dyDescent="0.25">
      <c r="A45" t="str">
        <f ca="1">IFERROR(__xludf.DUMMYFUNCTION("""COMPUTED_VALUE"""),"R 0.49")</f>
        <v>R 0.49</v>
      </c>
    </row>
    <row r="46" spans="1:1" ht="12.5" x14ac:dyDescent="0.25">
      <c r="A46" t="str">
        <f ca="1">IFERROR(__xludf.DUMMYFUNCTION("""COMPUTED_VALUE"""),"R 0.6")</f>
        <v>R 0.6</v>
      </c>
    </row>
    <row r="47" spans="1:1" ht="12.5" x14ac:dyDescent="0.25">
      <c r="A47" t="str">
        <f ca="1">IFERROR(__xludf.DUMMYFUNCTION("""COMPUTED_VALUE"""),"R 1")</f>
        <v>R 1</v>
      </c>
    </row>
    <row r="48" spans="1:1" ht="12.5" x14ac:dyDescent="0.25">
      <c r="A48" t="str">
        <f ca="1">IFERROR(__xludf.DUMMYFUNCTION("""COMPUTED_VALUE"""),"R 1.4")</f>
        <v>R 1.4</v>
      </c>
    </row>
    <row r="49" spans="1:1" ht="12.5" x14ac:dyDescent="0.25">
      <c r="A49" t="str">
        <f ca="1">IFERROR(__xludf.DUMMYFUNCTION("""COMPUTED_VALUE"""),"R 1.4")</f>
        <v>R 1.4</v>
      </c>
    </row>
    <row r="50" spans="1:1" ht="12.5" x14ac:dyDescent="0.25">
      <c r="A50" t="str">
        <f ca="1">IFERROR(__xludf.DUMMYFUNCTION("""COMPUTED_VALUE"""),"R 2")</f>
        <v>R 2</v>
      </c>
    </row>
    <row r="51" spans="1:1" ht="12.5" x14ac:dyDescent="0.25">
      <c r="A51" t="str">
        <f ca="1">IFERROR(__xludf.DUMMYFUNCTION("""COMPUTED_VALUE"""),"R 2.1")</f>
        <v>R 2.1</v>
      </c>
    </row>
    <row r="52" spans="1:1" ht="12.5" x14ac:dyDescent="0.25">
      <c r="A52" t="str">
        <f ca="1">IFERROR(__xludf.DUMMYFUNCTION("""COMPUTED_VALUE"""),"R 2.11")</f>
        <v>R 2.11</v>
      </c>
    </row>
    <row r="53" spans="1:1" ht="12.5" x14ac:dyDescent="0.25">
      <c r="A53" t="str">
        <f ca="1">IFERROR(__xludf.DUMMYFUNCTION("""COMPUTED_VALUE"""),"R 2.13")</f>
        <v>R 2.13</v>
      </c>
    </row>
    <row r="54" spans="1:1" ht="12.5" x14ac:dyDescent="0.25">
      <c r="A54" t="str">
        <f ca="1">IFERROR(__xludf.DUMMYFUNCTION("""COMPUTED_VALUE"""),"R 2.14")</f>
        <v>R 2.14</v>
      </c>
    </row>
    <row r="55" spans="1:1" ht="12.5" x14ac:dyDescent="0.25">
      <c r="A55" t="str">
        <f ca="1">IFERROR(__xludf.DUMMYFUNCTION("""COMPUTED_VALUE"""),"R 2.15")</f>
        <v>R 2.15</v>
      </c>
    </row>
    <row r="56" spans="1:1" ht="12.5" x14ac:dyDescent="0.25">
      <c r="A56" t="str">
        <f ca="1">IFERROR(__xludf.DUMMYFUNCTION("""COMPUTED_VALUE"""),"R 3")</f>
        <v>R 3</v>
      </c>
    </row>
    <row r="57" spans="1:1" ht="12.5" x14ac:dyDescent="0.25">
      <c r="A57" t="str">
        <f ca="1">IFERROR(__xludf.DUMMYFUNCTION("""COMPUTED_VALUE"""),"VBA 6")</f>
        <v>VBA 6</v>
      </c>
    </row>
    <row r="58" spans="1:1" ht="12.5" x14ac:dyDescent="0.25">
      <c r="A58" t="str">
        <f ca="1">IFERROR(__xludf.DUMMYFUNCTION("""COMPUTED_VALUE"""),"VBA 7.1")</f>
        <v>VBA 7.1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388"/>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IFERROR(__xludf.DUMMYFUNCTION("importrange(""https://docs.google.com/spreadsheets/d/1C6N4-YWX9OMmNStd2rYlSUaVys-aiJGLj00cD44aVc8/edit#gid=1894320575"",""Product-matrix name!A1:A19000"")"),"Value")</f>
        <v>Value</v>
      </c>
    </row>
    <row r="2" spans="1:1" ht="12.5" x14ac:dyDescent="0.25">
      <c r="A2" t="str">
        <f ca="1">IFERROR(__xludf.DUMMYFUNCTION("""COMPUTED_VALUE"""),"Allspice")</f>
        <v>Allspice</v>
      </c>
    </row>
    <row r="3" spans="1:1" ht="12.5" x14ac:dyDescent="0.25">
      <c r="A3" t="str">
        <f ca="1">IFERROR(__xludf.DUMMYFUNCTION("""COMPUTED_VALUE"""),"Almonds")</f>
        <v>Almonds</v>
      </c>
    </row>
    <row r="4" spans="1:1" ht="12.5" x14ac:dyDescent="0.25">
      <c r="A4" t="str">
        <f ca="1">IFERROR(__xludf.DUMMYFUNCTION("""COMPUTED_VALUE"""),"American persimmon (Virginia kaki)")</f>
        <v>American persimmon (Virginia kaki)</v>
      </c>
    </row>
    <row r="5" spans="1:1" ht="12.5" x14ac:dyDescent="0.25">
      <c r="A5" t="str">
        <f ca="1">IFERROR(__xludf.DUMMYFUNCTION("""COMPUTED_VALUE"""),"Amphibians and reptiles")</f>
        <v>Amphibians and reptiles</v>
      </c>
    </row>
    <row r="6" spans="1:1" ht="12.5" x14ac:dyDescent="0.25">
      <c r="A6" t="str">
        <f ca="1">IFERROR(__xludf.DUMMYFUNCTION("""COMPUTED_VALUE"""),"Anise")</f>
        <v>Anise</v>
      </c>
    </row>
    <row r="7" spans="1:1" ht="12.5" x14ac:dyDescent="0.25">
      <c r="A7" t="str">
        <f ca="1">IFERROR(__xludf.DUMMYFUNCTION("""COMPUTED_VALUE"""),"Anise pepper (Japan pepper)")</f>
        <v>Anise pepper (Japan pepper)</v>
      </c>
    </row>
    <row r="8" spans="1:1" ht="12.5" x14ac:dyDescent="0.25">
      <c r="A8" t="str">
        <f ca="1">IFERROR(__xludf.DUMMYFUNCTION("""COMPUTED_VALUE"""),"Apples")</f>
        <v>Apples</v>
      </c>
    </row>
    <row r="9" spans="1:1" ht="12.5" x14ac:dyDescent="0.25">
      <c r="A9" t="str">
        <f ca="1">IFERROR(__xludf.DUMMYFUNCTION("""COMPUTED_VALUE"""),"Apricots")</f>
        <v>Apricots</v>
      </c>
    </row>
    <row r="10" spans="1:1" ht="12.5" x14ac:dyDescent="0.25">
      <c r="A10" t="str">
        <f ca="1">IFERROR(__xludf.DUMMYFUNCTION("""COMPUTED_VALUE"""),"Arrowroot")</f>
        <v>Arrowroot</v>
      </c>
    </row>
    <row r="11" spans="1:1" ht="12.5" x14ac:dyDescent="0.25">
      <c r="A11" t="str">
        <f ca="1">IFERROR(__xludf.DUMMYFUNCTION("""COMPUTED_VALUE"""),"Asparagus")</f>
        <v>Asparagus</v>
      </c>
    </row>
    <row r="12" spans="1:1" ht="12.5" x14ac:dyDescent="0.25">
      <c r="A12" t="str">
        <f ca="1">IFERROR(__xludf.DUMMYFUNCTION("""COMPUTED_VALUE"""),"Aubergines (egg plants)")</f>
        <v>Aubergines (egg plants)</v>
      </c>
    </row>
    <row r="13" spans="1:1" ht="12.5" x14ac:dyDescent="0.25">
      <c r="A13" t="str">
        <f ca="1">IFERROR(__xludf.DUMMYFUNCTION("""COMPUTED_VALUE"""),"Avocados")</f>
        <v>Avocados</v>
      </c>
    </row>
    <row r="14" spans="1:1" ht="12.5" x14ac:dyDescent="0.25">
      <c r="A14" t="str">
        <f ca="1">IFERROR(__xludf.DUMMYFUNCTION("""COMPUTED_VALUE"""),"Azarole (mediteranean medlar)")</f>
        <v>Azarole (mediteranean medlar)</v>
      </c>
    </row>
    <row r="15" spans="1:1" ht="12.5" x14ac:dyDescent="0.25">
      <c r="A15" t="str">
        <f ca="1">IFERROR(__xludf.DUMMYFUNCTION("""COMPUTED_VALUE"""),"Baby food for infants and young childern")</f>
        <v>Baby food for infants and young childern</v>
      </c>
    </row>
    <row r="16" spans="1:1" ht="12.5" x14ac:dyDescent="0.25">
      <c r="A16" t="str">
        <f ca="1">IFERROR(__xludf.DUMMYFUNCTION("""COMPUTED_VALUE"""),"Bamboo shoots")</f>
        <v>Bamboo shoots</v>
      </c>
    </row>
    <row r="17" spans="1:1" ht="12.5" x14ac:dyDescent="0.25">
      <c r="A17" t="str">
        <f ca="1">IFERROR(__xludf.DUMMYFUNCTION("""COMPUTED_VALUE"""),"Bananas")</f>
        <v>Bananas</v>
      </c>
    </row>
    <row r="18" spans="1:1" ht="12.5" x14ac:dyDescent="0.25">
      <c r="A18" t="str">
        <f ca="1">IFERROR(__xludf.DUMMYFUNCTION("""COMPUTED_VALUE"""),"Barley")</f>
        <v>Barley</v>
      </c>
    </row>
    <row r="19" spans="1:1" ht="12.5" x14ac:dyDescent="0.25">
      <c r="A19" t="str">
        <f ca="1">IFERROR(__xludf.DUMMYFUNCTION("""COMPUTED_VALUE"""),"Basil")</f>
        <v>Basil</v>
      </c>
    </row>
    <row r="20" spans="1:1" ht="12.5" x14ac:dyDescent="0.25">
      <c r="A20" t="str">
        <f ca="1">IFERROR(__xludf.DUMMYFUNCTION("""COMPUTED_VALUE"""),"Bay leaves (laurel)")</f>
        <v>Bay leaves (laurel)</v>
      </c>
    </row>
    <row r="21" spans="1:1" ht="12.5" x14ac:dyDescent="0.25">
      <c r="A21" t="str">
        <f ca="1">IFERROR(__xludf.DUMMYFUNCTION("""COMPUTED_VALUE"""),"Beans (dry)")</f>
        <v>Beans (dry)</v>
      </c>
    </row>
    <row r="22" spans="1:1" ht="12.5" x14ac:dyDescent="0.25">
      <c r="A22" t="str">
        <f ca="1">IFERROR(__xludf.DUMMYFUNCTION("""COMPUTED_VALUE"""),"Beans (with pods)")</f>
        <v>Beans (with pods)</v>
      </c>
    </row>
    <row r="23" spans="1:1" ht="12.5" x14ac:dyDescent="0.25">
      <c r="A23" t="str">
        <f ca="1">IFERROR(__xludf.DUMMYFUNCTION("""COMPUTED_VALUE"""),"Beans (without pods)")</f>
        <v>Beans (without pods)</v>
      </c>
    </row>
    <row r="24" spans="1:1" ht="12.5" x14ac:dyDescent="0.25">
      <c r="A24" t="str">
        <f ca="1">IFERROR(__xludf.DUMMYFUNCTION("""COMPUTED_VALUE"""),"Beet leaves (chard)")</f>
        <v>Beet leaves (chard)</v>
      </c>
    </row>
    <row r="25" spans="1:1" ht="12.5" x14ac:dyDescent="0.25">
      <c r="A25" t="str">
        <f ca="1">IFERROR(__xludf.DUMMYFUNCTION("""COMPUTED_VALUE"""),"Beetroot")</f>
        <v>Beetroot</v>
      </c>
    </row>
    <row r="26" spans="1:1" ht="12.5" x14ac:dyDescent="0.25">
      <c r="A26" t="str">
        <f ca="1">IFERROR(__xludf.DUMMYFUNCTION("""COMPUTED_VALUE"""),"Berries and small fruit")</f>
        <v>Berries and small fruit</v>
      </c>
    </row>
    <row r="27" spans="1:1" ht="12.5" x14ac:dyDescent="0.25">
      <c r="A27" t="str">
        <f ca="1">IFERROR(__xludf.DUMMYFUNCTION("""COMPUTED_VALUE"""),"Birds eggs, fresh preserved or cooked; Shelled eggs and egg yolks fresh, dried, cooked by steaming or boiling in water, moulded, frozen or otherwise preserved whether or not containing added sugar or sweetening matter")</f>
        <v>Birds eggs, fresh preserved or cooked; Shelled eggs and egg yolks fresh, dried, cooked by steaming or boiling in water, moulded, frozen or otherwise preserved whether or not containing added sugar or sweetening matter</v>
      </c>
    </row>
    <row r="28" spans="1:1" ht="12.5" x14ac:dyDescent="0.25">
      <c r="A28" t="str">
        <f ca="1">IFERROR(__xludf.DUMMYFUNCTION("""COMPUTED_VALUE"""),"Black caraway")</f>
        <v>Black caraway</v>
      </c>
    </row>
    <row r="29" spans="1:1" ht="12.5" x14ac:dyDescent="0.25">
      <c r="A29" t="str">
        <f ca="1">IFERROR(__xludf.DUMMYFUNCTION("""COMPUTED_VALUE"""),"Blackberries")</f>
        <v>Blackberries</v>
      </c>
    </row>
    <row r="30" spans="1:1" ht="12.5" x14ac:dyDescent="0.25">
      <c r="A30" t="str">
        <f ca="1">IFERROR(__xludf.DUMMYFUNCTION("""COMPUTED_VALUE"""),"Blueberries")</f>
        <v>Blueberries</v>
      </c>
    </row>
    <row r="31" spans="1:1" ht="12.5" x14ac:dyDescent="0.25">
      <c r="A31" t="str">
        <f ca="1">IFERROR(__xludf.DUMMYFUNCTION("""COMPUTED_VALUE"""),"Borage")</f>
        <v>Borage</v>
      </c>
    </row>
    <row r="32" spans="1:1" ht="12.5" x14ac:dyDescent="0.25">
      <c r="A32" t="str">
        <f ca="1">IFERROR(__xludf.DUMMYFUNCTION("""COMPUTED_VALUE"""),"Bovine")</f>
        <v>Bovine</v>
      </c>
    </row>
    <row r="33" spans="1:1" ht="12.5" x14ac:dyDescent="0.25">
      <c r="A33" t="str">
        <f ca="1">IFERROR(__xludf.DUMMYFUNCTION("""COMPUTED_VALUE"""),"Bovine Edible offal")</f>
        <v>Bovine Edible offal</v>
      </c>
    </row>
    <row r="34" spans="1:1" ht="12.5" x14ac:dyDescent="0.25">
      <c r="A34" t="str">
        <f ca="1">IFERROR(__xludf.DUMMYFUNCTION("""COMPUTED_VALUE"""),"Bovine Fat")</f>
        <v>Bovine Fat</v>
      </c>
    </row>
    <row r="35" spans="1:1" ht="12.5" x14ac:dyDescent="0.25">
      <c r="A35" t="str">
        <f ca="1">IFERROR(__xludf.DUMMYFUNCTION("""COMPUTED_VALUE"""),"Bovine Kidney")</f>
        <v>Bovine Kidney</v>
      </c>
    </row>
    <row r="36" spans="1:1" ht="12.5" x14ac:dyDescent="0.25">
      <c r="A36" t="str">
        <f ca="1">IFERROR(__xludf.DUMMYFUNCTION("""COMPUTED_VALUE"""),"Bovine Liver")</f>
        <v>Bovine Liver</v>
      </c>
    </row>
    <row r="37" spans="1:1" ht="12.5" x14ac:dyDescent="0.25">
      <c r="A37" t="str">
        <f ca="1">IFERROR(__xludf.DUMMYFUNCTION("""COMPUTED_VALUE"""),"Bovine Meat")</f>
        <v>Bovine Meat</v>
      </c>
    </row>
    <row r="38" spans="1:1" ht="12.5" x14ac:dyDescent="0.25">
      <c r="A38" t="str">
        <f ca="1">IFERROR(__xludf.DUMMYFUNCTION("""COMPUTED_VALUE"""),"Bovine Others")</f>
        <v>Bovine Others</v>
      </c>
    </row>
    <row r="39" spans="1:1" ht="12.5" x14ac:dyDescent="0.25">
      <c r="A39" t="str">
        <f ca="1">IFERROR(__xludf.DUMMYFUNCTION("""COMPUTED_VALUE"""),"Brassica vegetables")</f>
        <v>Brassica vegetables</v>
      </c>
    </row>
    <row r="40" spans="1:1" ht="12.5" x14ac:dyDescent="0.25">
      <c r="A40" t="str">
        <f ca="1">IFERROR(__xludf.DUMMYFUNCTION("""COMPUTED_VALUE"""),"Brazil nuts")</f>
        <v>Brazil nuts</v>
      </c>
    </row>
    <row r="41" spans="1:1" ht="12.5" x14ac:dyDescent="0.25">
      <c r="A41" t="str">
        <f ca="1">IFERROR(__xludf.DUMMYFUNCTION("""COMPUTED_VALUE"""),"Bread fruit")</f>
        <v>Bread fruit</v>
      </c>
    </row>
    <row r="42" spans="1:1" ht="12.5" x14ac:dyDescent="0.25">
      <c r="A42" t="str">
        <f ca="1">IFERROR(__xludf.DUMMYFUNCTION("""COMPUTED_VALUE"""),"Broccoli")</f>
        <v>Broccoli</v>
      </c>
    </row>
    <row r="43" spans="1:1" ht="12.5" x14ac:dyDescent="0.25">
      <c r="A43" t="str">
        <f ca="1">IFERROR(__xludf.DUMMYFUNCTION("""COMPUTED_VALUE"""),"Brussels sprouts")</f>
        <v>Brussels sprouts</v>
      </c>
    </row>
    <row r="44" spans="1:1" ht="12.5" x14ac:dyDescent="0.25">
      <c r="A44" t="str">
        <f ca="1">IFERROR(__xludf.DUMMYFUNCTION("""COMPUTED_VALUE"""),"Buckwheat")</f>
        <v>Buckwheat</v>
      </c>
    </row>
    <row r="45" spans="1:1" ht="12.5" x14ac:dyDescent="0.25">
      <c r="A45" t="str">
        <f ca="1">IFERROR(__xludf.DUMMYFUNCTION("""COMPUTED_VALUE"""),"Bulb vegetables")</f>
        <v>Bulb vegetables</v>
      </c>
    </row>
    <row r="46" spans="1:1" ht="12.5" x14ac:dyDescent="0.25">
      <c r="A46" t="str">
        <f ca="1">IFERROR(__xludf.DUMMYFUNCTION("""COMPUTED_VALUE"""),"Camomille flowers")</f>
        <v>Camomille flowers</v>
      </c>
    </row>
    <row r="47" spans="1:1" ht="12.5" x14ac:dyDescent="0.25">
      <c r="A47" t="str">
        <f ca="1">IFERROR(__xludf.DUMMYFUNCTION("""COMPUTED_VALUE"""),"Cane fruit")</f>
        <v>Cane fruit</v>
      </c>
    </row>
    <row r="48" spans="1:1" ht="12.5" x14ac:dyDescent="0.25">
      <c r="A48" t="str">
        <f ca="1">IFERROR(__xludf.DUMMYFUNCTION("""COMPUTED_VALUE"""),"Capers")</f>
        <v>Capers</v>
      </c>
    </row>
    <row r="49" spans="1:1" ht="12.5" x14ac:dyDescent="0.25">
      <c r="A49" t="str">
        <f ca="1">IFERROR(__xludf.DUMMYFUNCTION("""COMPUTED_VALUE"""),"Carambola")</f>
        <v>Carambola</v>
      </c>
    </row>
    <row r="50" spans="1:1" ht="12.5" x14ac:dyDescent="0.25">
      <c r="A50" t="str">
        <f ca="1">IFERROR(__xludf.DUMMYFUNCTION("""COMPUTED_VALUE"""),"Caraway")</f>
        <v>Caraway</v>
      </c>
    </row>
    <row r="51" spans="1:1" ht="12.5" x14ac:dyDescent="0.25">
      <c r="A51" t="str">
        <f ca="1">IFERROR(__xludf.DUMMYFUNCTION("""COMPUTED_VALUE"""),"Cardamom")</f>
        <v>Cardamom</v>
      </c>
    </row>
    <row r="52" spans="1:1" ht="12.5" x14ac:dyDescent="0.25">
      <c r="A52" t="str">
        <f ca="1">IFERROR(__xludf.DUMMYFUNCTION("""COMPUTED_VALUE"""),"Cardoons")</f>
        <v>Cardoons</v>
      </c>
    </row>
    <row r="53" spans="1:1" ht="12.5" x14ac:dyDescent="0.25">
      <c r="A53" t="str">
        <f ca="1">IFERROR(__xludf.DUMMYFUNCTION("""COMPUTED_VALUE"""),"Carob (St Johns bread)")</f>
        <v>Carob (St Johns bread)</v>
      </c>
    </row>
    <row r="54" spans="1:1" ht="12.5" x14ac:dyDescent="0.25">
      <c r="A54" t="str">
        <f ca="1">IFERROR(__xludf.DUMMYFUNCTION("""COMPUTED_VALUE"""),"Carrots")</f>
        <v>Carrots</v>
      </c>
    </row>
    <row r="55" spans="1:1" ht="12.5" x14ac:dyDescent="0.25">
      <c r="A55" t="str">
        <f ca="1">IFERROR(__xludf.DUMMYFUNCTION("""COMPUTED_VALUE"""),"Cashew nuts")</f>
        <v>Cashew nuts</v>
      </c>
    </row>
    <row r="56" spans="1:1" ht="12.5" x14ac:dyDescent="0.25">
      <c r="A56" t="str">
        <f ca="1">IFERROR(__xludf.DUMMYFUNCTION("""COMPUTED_VALUE"""),"Cassava")</f>
        <v>Cassava</v>
      </c>
    </row>
    <row r="57" spans="1:1" ht="12.5" x14ac:dyDescent="0.25">
      <c r="A57" t="str">
        <f ca="1">IFERROR(__xludf.DUMMYFUNCTION("""COMPUTED_VALUE"""),"Castor bean")</f>
        <v>Castor bean</v>
      </c>
    </row>
    <row r="58" spans="1:1" ht="12.5" x14ac:dyDescent="0.25">
      <c r="A58" t="str">
        <f ca="1">IFERROR(__xludf.DUMMYFUNCTION("""COMPUTED_VALUE"""),"Cauliflower")</f>
        <v>Cauliflower</v>
      </c>
    </row>
    <row r="59" spans="1:1" ht="12.5" x14ac:dyDescent="0.25">
      <c r="A59" t="str">
        <f ca="1">IFERROR(__xludf.DUMMYFUNCTION("""COMPUTED_VALUE"""),"Celeriac")</f>
        <v>Celeriac</v>
      </c>
    </row>
    <row r="60" spans="1:1" ht="12.5" x14ac:dyDescent="0.25">
      <c r="A60" t="str">
        <f ca="1">IFERROR(__xludf.DUMMYFUNCTION("""COMPUTED_VALUE"""),"Celery")</f>
        <v>Celery</v>
      </c>
    </row>
    <row r="61" spans="1:1" ht="12.5" x14ac:dyDescent="0.25">
      <c r="A61" t="str">
        <f ca="1">IFERROR(__xludf.DUMMYFUNCTION("""COMPUTED_VALUE"""),"Celery leaves")</f>
        <v>Celery leaves</v>
      </c>
    </row>
    <row r="62" spans="1:1" ht="12.5" x14ac:dyDescent="0.25">
      <c r="A62" t="str">
        <f ca="1">IFERROR(__xludf.DUMMYFUNCTION("""COMPUTED_VALUE"""),"Celery seed")</f>
        <v>Celery seed</v>
      </c>
    </row>
    <row r="63" spans="1:1" ht="12.5" x14ac:dyDescent="0.25">
      <c r="A63" t="str">
        <f ca="1">IFERROR(__xludf.DUMMYFUNCTION("""COMPUTED_VALUE"""),"Cereals")</f>
        <v>Cereals</v>
      </c>
    </row>
    <row r="64" spans="1:1" ht="12.5" x14ac:dyDescent="0.25">
      <c r="A64" t="str">
        <f ca="1">IFERROR(__xludf.DUMMYFUNCTION("""COMPUTED_VALUE"""),"Cherimoya")</f>
        <v>Cherimoya</v>
      </c>
    </row>
    <row r="65" spans="1:1" ht="12.5" x14ac:dyDescent="0.25">
      <c r="A65" t="str">
        <f ca="1">IFERROR(__xludf.DUMMYFUNCTION("""COMPUTED_VALUE"""),"Cherries")</f>
        <v>Cherries</v>
      </c>
    </row>
    <row r="66" spans="1:1" ht="12.5" x14ac:dyDescent="0.25">
      <c r="A66" t="str">
        <f ca="1">IFERROR(__xludf.DUMMYFUNCTION("""COMPUTED_VALUE"""),"Chervil")</f>
        <v>Chervil</v>
      </c>
    </row>
    <row r="67" spans="1:1" ht="12.5" x14ac:dyDescent="0.25">
      <c r="A67" t="str">
        <f ca="1">IFERROR(__xludf.DUMMYFUNCTION("""COMPUTED_VALUE"""),"Chestnuts")</f>
        <v>Chestnuts</v>
      </c>
    </row>
    <row r="68" spans="1:1" ht="12.5" x14ac:dyDescent="0.25">
      <c r="A68" t="str">
        <f ca="1">IFERROR(__xludf.DUMMYFUNCTION("""COMPUTED_VALUE"""),"Chicory roots")</f>
        <v>Chicory roots</v>
      </c>
    </row>
    <row r="69" spans="1:1" ht="12.5" x14ac:dyDescent="0.25">
      <c r="A69" t="str">
        <f ca="1">IFERROR(__xludf.DUMMYFUNCTION("""COMPUTED_VALUE"""),"Chinese cabbage")</f>
        <v>Chinese cabbage</v>
      </c>
    </row>
    <row r="70" spans="1:1" ht="12.5" x14ac:dyDescent="0.25">
      <c r="A70" t="str">
        <f ca="1">IFERROR(__xludf.DUMMYFUNCTION("""COMPUTED_VALUE"""),"Chives")</f>
        <v>Chives</v>
      </c>
    </row>
    <row r="71" spans="1:1" ht="12.5" x14ac:dyDescent="0.25">
      <c r="A71" t="str">
        <f ca="1">IFERROR(__xludf.DUMMYFUNCTION("""COMPUTED_VALUE"""),"Cinnamon")</f>
        <v>Cinnamon</v>
      </c>
    </row>
    <row r="72" spans="1:1" ht="12.5" x14ac:dyDescent="0.25">
      <c r="A72" t="str">
        <f ca="1">IFERROR(__xludf.DUMMYFUNCTION("""COMPUTED_VALUE"""),"Citrus fruit")</f>
        <v>Citrus fruit</v>
      </c>
    </row>
    <row r="73" spans="1:1" ht="12.5" x14ac:dyDescent="0.25">
      <c r="A73" t="str">
        <f ca="1">IFERROR(__xludf.DUMMYFUNCTION("""COMPUTED_VALUE"""),"Cloves")</f>
        <v>Cloves</v>
      </c>
    </row>
    <row r="74" spans="1:1" ht="12.5" x14ac:dyDescent="0.25">
      <c r="A74" t="str">
        <f ca="1">IFERROR(__xludf.DUMMYFUNCTION("""COMPUTED_VALUE"""),"Cocoa")</f>
        <v>Cocoa</v>
      </c>
    </row>
    <row r="75" spans="1:1" ht="12.5" x14ac:dyDescent="0.25">
      <c r="A75" t="str">
        <f ca="1">IFERROR(__xludf.DUMMYFUNCTION("""COMPUTED_VALUE"""),"Coconuts")</f>
        <v>Coconuts</v>
      </c>
    </row>
    <row r="76" spans="1:1" ht="12.5" x14ac:dyDescent="0.25">
      <c r="A76" t="str">
        <f ca="1">IFERROR(__xludf.DUMMYFUNCTION("""COMPUTED_VALUE"""),"Coffee")</f>
        <v>Coffee</v>
      </c>
    </row>
    <row r="77" spans="1:1" ht="12.5" x14ac:dyDescent="0.25">
      <c r="A77" t="str">
        <f ca="1">IFERROR(__xludf.DUMMYFUNCTION("""COMPUTED_VALUE"""),"Coriander seed")</f>
        <v>Coriander seed</v>
      </c>
    </row>
    <row r="78" spans="1:1" ht="12.5" x14ac:dyDescent="0.25">
      <c r="A78" t="str">
        <f ca="1">IFERROR(__xludf.DUMMYFUNCTION("""COMPUTED_VALUE"""),"Cotton seed")</f>
        <v>Cotton seed</v>
      </c>
    </row>
    <row r="79" spans="1:1" ht="12.5" x14ac:dyDescent="0.25">
      <c r="A79" t="str">
        <f ca="1">IFERROR(__xludf.DUMMYFUNCTION("""COMPUTED_VALUE"""),"Courgettes")</f>
        <v>Courgettes</v>
      </c>
    </row>
    <row r="80" spans="1:1" ht="12.5" x14ac:dyDescent="0.25">
      <c r="A80" t="str">
        <f ca="1">IFERROR(__xludf.DUMMYFUNCTION("""COMPUTED_VALUE"""),"Cranberries")</f>
        <v>Cranberries</v>
      </c>
    </row>
    <row r="81" spans="1:1" ht="12.5" x14ac:dyDescent="0.25">
      <c r="A81" t="str">
        <f ca="1">IFERROR(__xludf.DUMMYFUNCTION("""COMPUTED_VALUE"""),"Cress")</f>
        <v>Cress</v>
      </c>
    </row>
    <row r="82" spans="1:1" ht="12.5" x14ac:dyDescent="0.25">
      <c r="A82" t="str">
        <f ca="1">IFERROR(__xludf.DUMMYFUNCTION("""COMPUTED_VALUE"""),"Crops exclusively used for animal feed")</f>
        <v>Crops exclusively used for animal feed</v>
      </c>
    </row>
    <row r="83" spans="1:1" ht="12.5" x14ac:dyDescent="0.25">
      <c r="A83" t="str">
        <f ca="1">IFERROR(__xludf.DUMMYFUNCTION("""COMPUTED_VALUE"""),"Cucumbers")</f>
        <v>Cucumbers</v>
      </c>
    </row>
    <row r="84" spans="1:1" ht="12.5" x14ac:dyDescent="0.25">
      <c r="A84" t="str">
        <f ca="1">IFERROR(__xludf.DUMMYFUNCTION("""COMPUTED_VALUE"""),"Cucurbits, edible peel")</f>
        <v>Cucurbits, edible peel</v>
      </c>
    </row>
    <row r="85" spans="1:1" ht="12.5" x14ac:dyDescent="0.25">
      <c r="A85" t="str">
        <f ca="1">IFERROR(__xludf.DUMMYFUNCTION("""COMPUTED_VALUE"""),"Cucurbits, inedible peel")</f>
        <v>Cucurbits, inedible peel</v>
      </c>
    </row>
    <row r="86" spans="1:1" ht="12.5" x14ac:dyDescent="0.25">
      <c r="A86" t="str">
        <f ca="1">IFERROR(__xludf.DUMMYFUNCTION("""COMPUTED_VALUE"""),"Cultivated fungi")</f>
        <v>Cultivated fungi</v>
      </c>
    </row>
    <row r="87" spans="1:1" ht="12.5" x14ac:dyDescent="0.25">
      <c r="A87" t="str">
        <f ca="1">IFERROR(__xludf.DUMMYFUNCTION("""COMPUTED_VALUE"""),"Cumin seed")</f>
        <v>Cumin seed</v>
      </c>
    </row>
    <row r="88" spans="1:1" ht="12.5" x14ac:dyDescent="0.25">
      <c r="A88" t="str">
        <f ca="1">IFERROR(__xludf.DUMMYFUNCTION("""COMPUTED_VALUE"""),"Currants (red, black and white)")</f>
        <v>Currants (red, black and white)</v>
      </c>
    </row>
    <row r="89" spans="1:1" ht="12.5" x14ac:dyDescent="0.25">
      <c r="A89" t="str">
        <f ca="1">IFERROR(__xludf.DUMMYFUNCTION("""COMPUTED_VALUE"""),"Dairy products Cattle")</f>
        <v>Dairy products Cattle</v>
      </c>
    </row>
    <row r="90" spans="1:1" ht="12.5" x14ac:dyDescent="0.25">
      <c r="A90" t="str">
        <f ca="1">IFERROR(__xludf.DUMMYFUNCTION("""COMPUTED_VALUE"""),"Dairy products Goat")</f>
        <v>Dairy products Goat</v>
      </c>
    </row>
    <row r="91" spans="1:1" ht="12.5" x14ac:dyDescent="0.25">
      <c r="A91" t="str">
        <f ca="1">IFERROR(__xludf.DUMMYFUNCTION("""COMPUTED_VALUE"""),"Dairy products Horse")</f>
        <v>Dairy products Horse</v>
      </c>
    </row>
    <row r="92" spans="1:1" ht="12.5" x14ac:dyDescent="0.25">
      <c r="A92" t="str">
        <f ca="1">IFERROR(__xludf.DUMMYFUNCTION("""COMPUTED_VALUE"""),"Dairy products Others")</f>
        <v>Dairy products Others</v>
      </c>
    </row>
    <row r="93" spans="1:1" ht="12.5" x14ac:dyDescent="0.25">
      <c r="A93" t="str">
        <f ca="1">IFERROR(__xludf.DUMMYFUNCTION("""COMPUTED_VALUE"""),"Dairy products Sheep")</f>
        <v>Dairy products Sheep</v>
      </c>
    </row>
    <row r="94" spans="1:1" ht="12.5" x14ac:dyDescent="0.25">
      <c r="A94" t="str">
        <f ca="1">IFERROR(__xludf.DUMMYFUNCTION("""COMPUTED_VALUE"""),"Dates")</f>
        <v>Dates</v>
      </c>
    </row>
    <row r="95" spans="1:1" ht="12.5" x14ac:dyDescent="0.25">
      <c r="A95" t="str">
        <f ca="1">IFERROR(__xludf.DUMMYFUNCTION("""COMPUTED_VALUE"""),"Dewberries")</f>
        <v>Dewberries</v>
      </c>
    </row>
    <row r="96" spans="1:1" ht="12.5" x14ac:dyDescent="0.25">
      <c r="A96" t="str">
        <f ca="1">IFERROR(__xludf.DUMMYFUNCTION("""COMPUTED_VALUE"""),"Dill seed")</f>
        <v>Dill seed</v>
      </c>
    </row>
    <row r="97" spans="1:1" ht="12.5" x14ac:dyDescent="0.25">
      <c r="A97" t="str">
        <f ca="1">IFERROR(__xludf.DUMMYFUNCTION("""COMPUTED_VALUE"""),"Durian")</f>
        <v>Durian</v>
      </c>
    </row>
    <row r="98" spans="1:1" ht="12.5" x14ac:dyDescent="0.25">
      <c r="A98" t="str">
        <f ca="1">IFERROR(__xludf.DUMMYFUNCTION("""COMPUTED_VALUE"""),"Eggs Chicken")</f>
        <v>Eggs Chicken</v>
      </c>
    </row>
    <row r="99" spans="1:1" ht="12.5" x14ac:dyDescent="0.25">
      <c r="A99" t="str">
        <f ca="1">IFERROR(__xludf.DUMMYFUNCTION("""COMPUTED_VALUE"""),"Eggs Duck")</f>
        <v>Eggs Duck</v>
      </c>
    </row>
    <row r="100" spans="1:1" ht="12.5" x14ac:dyDescent="0.25">
      <c r="A100" t="str">
        <f ca="1">IFERROR(__xludf.DUMMYFUNCTION("""COMPUTED_VALUE"""),"Eggs Goose")</f>
        <v>Eggs Goose</v>
      </c>
    </row>
    <row r="101" spans="1:1" ht="12.5" x14ac:dyDescent="0.25">
      <c r="A101" t="str">
        <f ca="1">IFERROR(__xludf.DUMMYFUNCTION("""COMPUTED_VALUE"""),"Eggs Others")</f>
        <v>Eggs Others</v>
      </c>
    </row>
    <row r="102" spans="1:1" ht="12.5" x14ac:dyDescent="0.25">
      <c r="A102" t="str">
        <f ca="1">IFERROR(__xludf.DUMMYFUNCTION("""COMPUTED_VALUE"""),"Eggs Quail")</f>
        <v>Eggs Quail</v>
      </c>
    </row>
    <row r="103" spans="1:1" ht="12.5" x14ac:dyDescent="0.25">
      <c r="A103" t="str">
        <f ca="1">IFERROR(__xludf.DUMMYFUNCTION("""COMPUTED_VALUE"""),"Elderberries")</f>
        <v>Elderberries</v>
      </c>
    </row>
    <row r="104" spans="1:1" ht="12.5" x14ac:dyDescent="0.25">
      <c r="A104" t="str">
        <f ca="1">IFERROR(__xludf.DUMMYFUNCTION("""COMPUTED_VALUE"""),"Fennel")</f>
        <v>Fennel</v>
      </c>
    </row>
    <row r="105" spans="1:1" ht="12.5" x14ac:dyDescent="0.25">
      <c r="A105" t="str">
        <f ca="1">IFERROR(__xludf.DUMMYFUNCTION("""COMPUTED_VALUE"""),"Fennel seed")</f>
        <v>Fennel seed</v>
      </c>
    </row>
    <row r="106" spans="1:1" ht="12.5" x14ac:dyDescent="0.25">
      <c r="A106" t="str">
        <f ca="1">IFERROR(__xludf.DUMMYFUNCTION("""COMPUTED_VALUE"""),"Fenugreek")</f>
        <v>Fenugreek</v>
      </c>
    </row>
    <row r="107" spans="1:1" ht="12.5" x14ac:dyDescent="0.25">
      <c r="A107" t="str">
        <f ca="1">IFERROR(__xludf.DUMMYFUNCTION("""COMPUTED_VALUE"""),"Figs")</f>
        <v>Figs</v>
      </c>
    </row>
    <row r="108" spans="1:1" ht="12.5" x14ac:dyDescent="0.25">
      <c r="A108" t="str">
        <f ca="1">IFERROR(__xludf.DUMMYFUNCTION("""COMPUTED_VALUE"""),"Fish, fish products, shell fish, molluscs and other marine and freshwater food products")</f>
        <v>Fish, fish products, shell fish, molluscs and other marine and freshwater food products</v>
      </c>
    </row>
    <row r="109" spans="1:1" ht="12.5" x14ac:dyDescent="0.25">
      <c r="A109" t="str">
        <f ca="1">IFERROR(__xludf.DUMMYFUNCTION("""COMPUTED_VALUE"""),"Flowering brassica")</f>
        <v>Flowering brassica</v>
      </c>
    </row>
    <row r="110" spans="1:1" ht="12.5" x14ac:dyDescent="0.25">
      <c r="A110" t="str">
        <f ca="1">IFERROR(__xludf.DUMMYFUNCTION("""COMPUTED_VALUE"""),"Follow-on formulae")</f>
        <v>Follow-on formulae</v>
      </c>
    </row>
    <row r="111" spans="1:1" ht="12.5" x14ac:dyDescent="0.25">
      <c r="A111" t="str">
        <f ca="1">IFERROR(__xludf.DUMMYFUNCTION("""COMPUTED_VALUE"""),"Fresh Herbs")</f>
        <v>Fresh Herbs</v>
      </c>
    </row>
    <row r="112" spans="1:1" ht="12.5" x14ac:dyDescent="0.25">
      <c r="A112" t="str">
        <f ca="1">IFERROR(__xludf.DUMMYFUNCTION("""COMPUTED_VALUE"""),"Fruit Fresh Or Frozen")</f>
        <v>Fruit Fresh Or Frozen</v>
      </c>
    </row>
    <row r="113" spans="1:1" ht="12.5" x14ac:dyDescent="0.25">
      <c r="A113" t="str">
        <f ca="1">IFERROR(__xludf.DUMMYFUNCTION("""COMPUTED_VALUE"""),"Fruiting vegetables")</f>
        <v>Fruiting vegetables</v>
      </c>
    </row>
    <row r="114" spans="1:1" ht="12.5" x14ac:dyDescent="0.25">
      <c r="A114" t="str">
        <f ca="1">IFERROR(__xludf.DUMMYFUNCTION("""COMPUTED_VALUE"""),"Fungi")</f>
        <v>Fungi</v>
      </c>
    </row>
    <row r="115" spans="1:1" ht="12.5" x14ac:dyDescent="0.25">
      <c r="A115" t="str">
        <f ca="1">IFERROR(__xludf.DUMMYFUNCTION("""COMPUTED_VALUE"""),"Garlic")</f>
        <v>Garlic</v>
      </c>
    </row>
    <row r="116" spans="1:1" ht="12.5" x14ac:dyDescent="0.25">
      <c r="A116" t="str">
        <f ca="1">IFERROR(__xludf.DUMMYFUNCTION("""COMPUTED_VALUE"""),"Gherkins")</f>
        <v>Gherkins</v>
      </c>
    </row>
    <row r="117" spans="1:1" ht="12.5" x14ac:dyDescent="0.25">
      <c r="A117" t="str">
        <f ca="1">IFERROR(__xludf.DUMMYFUNCTION("""COMPUTED_VALUE"""),"Ginger")</f>
        <v>Ginger</v>
      </c>
    </row>
    <row r="118" spans="1:1" ht="12.5" x14ac:dyDescent="0.25">
      <c r="A118" t="str">
        <f ca="1">IFERROR(__xludf.DUMMYFUNCTION("""COMPUTED_VALUE"""),"Ginseng root")</f>
        <v>Ginseng root</v>
      </c>
    </row>
    <row r="119" spans="1:1" ht="12.5" x14ac:dyDescent="0.25">
      <c r="A119" t="str">
        <f ca="1">IFERROR(__xludf.DUMMYFUNCTION("""COMPUTED_VALUE"""),"Globe artichokes")</f>
        <v>Globe artichokes</v>
      </c>
    </row>
    <row r="120" spans="1:1" ht="12.5" x14ac:dyDescent="0.25">
      <c r="A120" t="str">
        <f ca="1">IFERROR(__xludf.DUMMYFUNCTION("""COMPUTED_VALUE"""),"Goat")</f>
        <v>Goat</v>
      </c>
    </row>
    <row r="121" spans="1:1" ht="12.5" x14ac:dyDescent="0.25">
      <c r="A121" t="str">
        <f ca="1">IFERROR(__xludf.DUMMYFUNCTION("""COMPUTED_VALUE"""),"Goat Edible offal")</f>
        <v>Goat Edible offal</v>
      </c>
    </row>
    <row r="122" spans="1:1" ht="12.5" x14ac:dyDescent="0.25">
      <c r="A122" t="str">
        <f ca="1">IFERROR(__xludf.DUMMYFUNCTION("""COMPUTED_VALUE"""),"Goat Fat")</f>
        <v>Goat Fat</v>
      </c>
    </row>
    <row r="123" spans="1:1" ht="12.5" x14ac:dyDescent="0.25">
      <c r="A123" t="str">
        <f ca="1">IFERROR(__xludf.DUMMYFUNCTION("""COMPUTED_VALUE"""),"Goat Kidney")</f>
        <v>Goat Kidney</v>
      </c>
    </row>
    <row r="124" spans="1:1" ht="12.5" x14ac:dyDescent="0.25">
      <c r="A124" t="str">
        <f ca="1">IFERROR(__xludf.DUMMYFUNCTION("""COMPUTED_VALUE"""),"Goat Liver")</f>
        <v>Goat Liver</v>
      </c>
    </row>
    <row r="125" spans="1:1" ht="12.5" x14ac:dyDescent="0.25">
      <c r="A125" t="str">
        <f ca="1">IFERROR(__xludf.DUMMYFUNCTION("""COMPUTED_VALUE"""),"Goat Meat")</f>
        <v>Goat Meat</v>
      </c>
    </row>
    <row r="126" spans="1:1" ht="12.5" x14ac:dyDescent="0.25">
      <c r="A126" t="str">
        <f ca="1">IFERROR(__xludf.DUMMYFUNCTION("""COMPUTED_VALUE"""),"Goat Others")</f>
        <v>Goat Others</v>
      </c>
    </row>
    <row r="127" spans="1:1" ht="12.5" x14ac:dyDescent="0.25">
      <c r="A127" t="str">
        <f ca="1">IFERROR(__xludf.DUMMYFUNCTION("""COMPUTED_VALUE"""),"Gold of pleasure")</f>
        <v>Gold of pleasure</v>
      </c>
    </row>
    <row r="128" spans="1:1" ht="12.5" x14ac:dyDescent="0.25">
      <c r="A128" t="str">
        <f ca="1">IFERROR(__xludf.DUMMYFUNCTION("""COMPUTED_VALUE"""),"Gooseberries")</f>
        <v>Gooseberries</v>
      </c>
    </row>
    <row r="129" spans="1:1" ht="12.5" x14ac:dyDescent="0.25">
      <c r="A129" t="str">
        <f ca="1">IFERROR(__xludf.DUMMYFUNCTION("""COMPUTED_VALUE"""),"Grapefruit")</f>
        <v>Grapefruit</v>
      </c>
    </row>
    <row r="130" spans="1:1" ht="12.5" x14ac:dyDescent="0.25">
      <c r="A130" t="str">
        <f ca="1">IFERROR(__xludf.DUMMYFUNCTION("""COMPUTED_VALUE"""),"Guava")</f>
        <v>Guava</v>
      </c>
    </row>
    <row r="131" spans="1:1" ht="12.5" x14ac:dyDescent="0.25">
      <c r="A131" t="str">
        <f ca="1">IFERROR(__xludf.DUMMYFUNCTION("""COMPUTED_VALUE"""),"Hazelnuts")</f>
        <v>Hazelnuts</v>
      </c>
    </row>
    <row r="132" spans="1:1" ht="12.5" x14ac:dyDescent="0.25">
      <c r="A132" t="str">
        <f ca="1">IFERROR(__xludf.DUMMYFUNCTION("""COMPUTED_VALUE"""),"Head brassica")</f>
        <v>Head brassica</v>
      </c>
    </row>
    <row r="133" spans="1:1" ht="12.5" x14ac:dyDescent="0.25">
      <c r="A133" t="str">
        <f ca="1">IFERROR(__xludf.DUMMYFUNCTION("""COMPUTED_VALUE"""),"Head cabbage")</f>
        <v>Head cabbage</v>
      </c>
    </row>
    <row r="134" spans="1:1" ht="12.5" x14ac:dyDescent="0.25">
      <c r="A134" t="str">
        <f ca="1">IFERROR(__xludf.DUMMYFUNCTION("""COMPUTED_VALUE"""),"Hempseed")</f>
        <v>Hempseed</v>
      </c>
    </row>
    <row r="135" spans="1:1" ht="12.5" x14ac:dyDescent="0.25">
      <c r="A135" t="str">
        <f ca="1">IFERROR(__xludf.DUMMYFUNCTION("""COMPUTED_VALUE"""),"Herbal infusions (flowers)")</f>
        <v>Herbal infusions (flowers)</v>
      </c>
    </row>
    <row r="136" spans="1:1" ht="12.5" x14ac:dyDescent="0.25">
      <c r="A136" t="str">
        <f ca="1">IFERROR(__xludf.DUMMYFUNCTION("""COMPUTED_VALUE"""),"Herbal infusions (leaves)")</f>
        <v>Herbal infusions (leaves)</v>
      </c>
    </row>
    <row r="137" spans="1:1" ht="12.5" x14ac:dyDescent="0.25">
      <c r="A137" t="str">
        <f ca="1">IFERROR(__xludf.DUMMYFUNCTION("""COMPUTED_VALUE"""),"Herbal infusions (roots)")</f>
        <v>Herbal infusions (roots)</v>
      </c>
    </row>
    <row r="138" spans="1:1" ht="12.5" x14ac:dyDescent="0.25">
      <c r="A138" t="str">
        <f ca="1">IFERROR(__xludf.DUMMYFUNCTION("""COMPUTED_VALUE"""),"Herbal infusions, dried")</f>
        <v>Herbal infusions, dried</v>
      </c>
    </row>
    <row r="139" spans="1:1" ht="12.5" x14ac:dyDescent="0.25">
      <c r="A139" t="str">
        <f ca="1">IFERROR(__xludf.DUMMYFUNCTION("""COMPUTED_VALUE"""),"Honey")</f>
        <v>Honey</v>
      </c>
    </row>
    <row r="140" spans="1:1" ht="12.5" x14ac:dyDescent="0.25">
      <c r="A140" t="str">
        <f ca="1">IFERROR(__xludf.DUMMYFUNCTION("""COMPUTED_VALUE"""),"Hops, dried, including hop pellets unconcentrated")</f>
        <v>Hops, dried, including hop pellets unconcentrated</v>
      </c>
    </row>
    <row r="141" spans="1:1" ht="12.5" x14ac:dyDescent="0.25">
      <c r="A141" t="str">
        <f ca="1">IFERROR(__xludf.DUMMYFUNCTION("""COMPUTED_VALUE"""),"Horseradish")</f>
        <v>Horseradish</v>
      </c>
    </row>
    <row r="142" spans="1:1" ht="12.5" x14ac:dyDescent="0.25">
      <c r="A142" t="str">
        <f ca="1">IFERROR(__xludf.DUMMYFUNCTION("""COMPUTED_VALUE"""),"Horseradish as spice")</f>
        <v>Horseradish as spice</v>
      </c>
    </row>
    <row r="143" spans="1:1" ht="12.5" x14ac:dyDescent="0.25">
      <c r="A143" t="str">
        <f ca="1">IFERROR(__xludf.DUMMYFUNCTION("""COMPUTED_VALUE"""),"Horses, asses, mules or hinnies")</f>
        <v>Horses, asses, mules or hinnies</v>
      </c>
    </row>
    <row r="144" spans="1:1" ht="12.5" x14ac:dyDescent="0.25">
      <c r="A144" t="str">
        <f ca="1">IFERROR(__xludf.DUMMYFUNCTION("""COMPUTED_VALUE"""),"Horses, asses, mules or hinnies Edible offal")</f>
        <v>Horses, asses, mules or hinnies Edible offal</v>
      </c>
    </row>
    <row r="145" spans="1:1" ht="12.5" x14ac:dyDescent="0.25">
      <c r="A145" t="str">
        <f ca="1">IFERROR(__xludf.DUMMYFUNCTION("""COMPUTED_VALUE"""),"Horses, asses, mules or hinnies Fat")</f>
        <v>Horses, asses, mules or hinnies Fat</v>
      </c>
    </row>
    <row r="146" spans="1:1" ht="12.5" x14ac:dyDescent="0.25">
      <c r="A146" t="str">
        <f ca="1">IFERROR(__xludf.DUMMYFUNCTION("""COMPUTED_VALUE"""),"Horses, asses, mules or hinnies Kidney")</f>
        <v>Horses, asses, mules or hinnies Kidney</v>
      </c>
    </row>
    <row r="147" spans="1:1" ht="12.5" x14ac:dyDescent="0.25">
      <c r="A147" t="str">
        <f ca="1">IFERROR(__xludf.DUMMYFUNCTION("""COMPUTED_VALUE"""),"Horses, asses, mules or hinnies Liver")</f>
        <v>Horses, asses, mules or hinnies Liver</v>
      </c>
    </row>
    <row r="148" spans="1:1" ht="12.5" x14ac:dyDescent="0.25">
      <c r="A148" t="str">
        <f ca="1">IFERROR(__xludf.DUMMYFUNCTION("""COMPUTED_VALUE"""),"Horses, asses, mules or hinnies Meat")</f>
        <v>Horses, asses, mules or hinnies Meat</v>
      </c>
    </row>
    <row r="149" spans="1:1" ht="12.5" x14ac:dyDescent="0.25">
      <c r="A149" t="str">
        <f ca="1">IFERROR(__xludf.DUMMYFUNCTION("""COMPUTED_VALUE"""),"Horses, asses, mules or hinnies Others")</f>
        <v>Horses, asses, mules or hinnies Others</v>
      </c>
    </row>
    <row r="150" spans="1:1" ht="12.5" x14ac:dyDescent="0.25">
      <c r="A150" t="str">
        <f ca="1">IFERROR(__xludf.DUMMYFUNCTION("""COMPUTED_VALUE"""),"Hybiscus flowers")</f>
        <v>Hybiscus flowers</v>
      </c>
    </row>
    <row r="151" spans="1:1" ht="12.5" x14ac:dyDescent="0.25">
      <c r="A151" t="str">
        <f ca="1">IFERROR(__xludf.DUMMYFUNCTION("""COMPUTED_VALUE"""),"Infant formulae")</f>
        <v>Infant formulae</v>
      </c>
    </row>
    <row r="152" spans="1:1" ht="12.5" x14ac:dyDescent="0.25">
      <c r="A152" t="str">
        <f ca="1">IFERROR(__xludf.DUMMYFUNCTION("""COMPUTED_VALUE"""),"Infant formulae- follow-on formulae")</f>
        <v>Infant formulae- follow-on formulae</v>
      </c>
    </row>
    <row r="153" spans="1:1" ht="12.5" x14ac:dyDescent="0.25">
      <c r="A153" t="str">
        <f ca="1">IFERROR(__xludf.DUMMYFUNCTION("""COMPUTED_VALUE"""),"Jambolan (java plum)")</f>
        <v>Jambolan (java plum)</v>
      </c>
    </row>
    <row r="154" spans="1:1" ht="12.5" x14ac:dyDescent="0.25">
      <c r="A154" t="str">
        <f ca="1">IFERROR(__xludf.DUMMYFUNCTION("""COMPUTED_VALUE"""),"Jasmine flowers")</f>
        <v>Jasmine flowers</v>
      </c>
    </row>
    <row r="155" spans="1:1" ht="12.5" x14ac:dyDescent="0.25">
      <c r="A155" t="str">
        <f ca="1">IFERROR(__xludf.DUMMYFUNCTION("""COMPUTED_VALUE"""),"Jerusalem artichokes")</f>
        <v>Jerusalem artichokes</v>
      </c>
    </row>
    <row r="156" spans="1:1" ht="12.5" x14ac:dyDescent="0.25">
      <c r="A156" t="str">
        <f ca="1">IFERROR(__xludf.DUMMYFUNCTION("""COMPUTED_VALUE"""),"Juniper berries")</f>
        <v>Juniper berries</v>
      </c>
    </row>
    <row r="157" spans="1:1" ht="12.5" x14ac:dyDescent="0.25">
      <c r="A157" t="str">
        <f ca="1">IFERROR(__xludf.DUMMYFUNCTION("""COMPUTED_VALUE"""),"Kale")</f>
        <v>Kale</v>
      </c>
    </row>
    <row r="158" spans="1:1" ht="12.5" x14ac:dyDescent="0.25">
      <c r="A158" t="str">
        <f ca="1">IFERROR(__xludf.DUMMYFUNCTION("""COMPUTED_VALUE"""),"Kapok")</f>
        <v>Kapok</v>
      </c>
    </row>
    <row r="159" spans="1:1" ht="12.5" x14ac:dyDescent="0.25">
      <c r="A159" t="str">
        <f ca="1">IFERROR(__xludf.DUMMYFUNCTION("""COMPUTED_VALUE"""),"Kiwi")</f>
        <v>Kiwi</v>
      </c>
    </row>
    <row r="160" spans="1:1" ht="12.5" x14ac:dyDescent="0.25">
      <c r="A160" t="str">
        <f ca="1">IFERROR(__xludf.DUMMYFUNCTION("""COMPUTED_VALUE"""),"Kohlrabi")</f>
        <v>Kohlrabi</v>
      </c>
    </row>
    <row r="161" spans="1:1" ht="12.5" x14ac:dyDescent="0.25">
      <c r="A161" t="str">
        <f ca="1">IFERROR(__xludf.DUMMYFUNCTION("""COMPUTED_VALUE"""),"Kumquats")</f>
        <v>Kumquats</v>
      </c>
    </row>
    <row r="162" spans="1:1" ht="12.5" x14ac:dyDescent="0.25">
      <c r="A162" t="str">
        <f ca="1">IFERROR(__xludf.DUMMYFUNCTION("""COMPUTED_VALUE"""),"Lamb's lettuce")</f>
        <v>Lamb's lettuce</v>
      </c>
    </row>
    <row r="163" spans="1:1" ht="12.5" x14ac:dyDescent="0.25">
      <c r="A163" t="str">
        <f ca="1">IFERROR(__xludf.DUMMYFUNCTION("""COMPUTED_VALUE"""),"Land cress")</f>
        <v>Land cress</v>
      </c>
    </row>
    <row r="164" spans="1:1" ht="12.5" x14ac:dyDescent="0.25">
      <c r="A164" t="str">
        <f ca="1">IFERROR(__xludf.DUMMYFUNCTION("""COMPUTED_VALUE"""),"Leaf vegetables and fresh herbs")</f>
        <v>Leaf vegetables and fresh herbs</v>
      </c>
    </row>
    <row r="165" spans="1:1" ht="12.5" x14ac:dyDescent="0.25">
      <c r="A165" t="str">
        <f ca="1">IFERROR(__xludf.DUMMYFUNCTION("""COMPUTED_VALUE"""),"Leafy brassica")</f>
        <v>Leafy brassica</v>
      </c>
    </row>
    <row r="166" spans="1:1" ht="12.5" x14ac:dyDescent="0.25">
      <c r="A166" t="str">
        <f ca="1">IFERROR(__xludf.DUMMYFUNCTION("""COMPUTED_VALUE"""),"Leaves and sprouts of Brassica spp")</f>
        <v>Leaves and sprouts of Brassica spp</v>
      </c>
    </row>
    <row r="167" spans="1:1" ht="12.5" x14ac:dyDescent="0.25">
      <c r="A167" t="str">
        <f ca="1">IFERROR(__xludf.DUMMYFUNCTION("""COMPUTED_VALUE"""),"Leek")</f>
        <v>Leek</v>
      </c>
    </row>
    <row r="168" spans="1:1" ht="12.5" x14ac:dyDescent="0.25">
      <c r="A168" t="str">
        <f ca="1">IFERROR(__xludf.DUMMYFUNCTION("""COMPUTED_VALUE"""),"Legume vegetables, fresh")</f>
        <v>Legume vegetables, fresh</v>
      </c>
    </row>
    <row r="169" spans="1:1" ht="12.5" x14ac:dyDescent="0.25">
      <c r="A169" t="str">
        <f ca="1">IFERROR(__xludf.DUMMYFUNCTION("""COMPUTED_VALUE"""),"Lemons")</f>
        <v>Lemons</v>
      </c>
    </row>
    <row r="170" spans="1:1" ht="12.5" x14ac:dyDescent="0.25">
      <c r="A170" t="str">
        <f ca="1">IFERROR(__xludf.DUMMYFUNCTION("""COMPUTED_VALUE"""),"Lentils (dry)")</f>
        <v>Lentils (dry)</v>
      </c>
    </row>
    <row r="171" spans="1:1" ht="12.5" x14ac:dyDescent="0.25">
      <c r="A171" t="str">
        <f ca="1">IFERROR(__xludf.DUMMYFUNCTION("""COMPUTED_VALUE"""),"Lentils (fresh)")</f>
        <v>Lentils (fresh)</v>
      </c>
    </row>
    <row r="172" spans="1:1" ht="12.5" x14ac:dyDescent="0.25">
      <c r="A172" t="str">
        <f ca="1">IFERROR(__xludf.DUMMYFUNCTION("""COMPUTED_VALUE"""),"Lettuce")</f>
        <v>Lettuce</v>
      </c>
    </row>
    <row r="173" spans="1:1" ht="12.5" x14ac:dyDescent="0.25">
      <c r="A173" t="str">
        <f ca="1">IFERROR(__xludf.DUMMYFUNCTION("""COMPUTED_VALUE"""),"Lettuce and other salad plants, including Brassica")</f>
        <v>Lettuce and other salad plants, including Brassica</v>
      </c>
    </row>
    <row r="174" spans="1:1" ht="12.5" x14ac:dyDescent="0.25">
      <c r="A174" t="str">
        <f ca="1">IFERROR(__xludf.DUMMYFUNCTION("""COMPUTED_VALUE"""),"Lime (linden)")</f>
        <v>Lime (linden)</v>
      </c>
    </row>
    <row r="175" spans="1:1" ht="12.5" x14ac:dyDescent="0.25">
      <c r="A175" t="str">
        <f ca="1">IFERROR(__xludf.DUMMYFUNCTION("""COMPUTED_VALUE"""),"Limes")</f>
        <v>Limes</v>
      </c>
    </row>
    <row r="176" spans="1:1" ht="12.5" x14ac:dyDescent="0.25">
      <c r="A176" t="str">
        <f ca="1">IFERROR(__xludf.DUMMYFUNCTION("""COMPUTED_VALUE"""),"Linseed")</f>
        <v>Linseed</v>
      </c>
    </row>
    <row r="177" spans="1:1" ht="12.5" x14ac:dyDescent="0.25">
      <c r="A177" t="str">
        <f ca="1">IFERROR(__xludf.DUMMYFUNCTION("""COMPUTED_VALUE"""),"Liquorice")</f>
        <v>Liquorice</v>
      </c>
    </row>
    <row r="178" spans="1:1" ht="12.5" x14ac:dyDescent="0.25">
      <c r="A178" t="str">
        <f ca="1">IFERROR(__xludf.DUMMYFUNCTION("""COMPUTED_VALUE"""),"Loquat")</f>
        <v>Loquat</v>
      </c>
    </row>
    <row r="179" spans="1:1" ht="12.5" x14ac:dyDescent="0.25">
      <c r="A179" t="str">
        <f ca="1">IFERROR(__xludf.DUMMYFUNCTION("""COMPUTED_VALUE"""),"Lupins (dry)")</f>
        <v>Lupins (dry)</v>
      </c>
    </row>
    <row r="180" spans="1:1" ht="12.5" x14ac:dyDescent="0.25">
      <c r="A180" t="str">
        <f ca="1">IFERROR(__xludf.DUMMYFUNCTION("""COMPUTED_VALUE"""),"Lychee (Litchi)")</f>
        <v>Lychee (Litchi)</v>
      </c>
    </row>
    <row r="181" spans="1:1" ht="12.5" x14ac:dyDescent="0.25">
      <c r="A181" t="str">
        <f ca="1">IFERROR(__xludf.DUMMYFUNCTION("""COMPUTED_VALUE"""),"Macadamia")</f>
        <v>Macadamia</v>
      </c>
    </row>
    <row r="182" spans="1:1" ht="12.5" x14ac:dyDescent="0.25">
      <c r="A182" t="str">
        <f ca="1">IFERROR(__xludf.DUMMYFUNCTION("""COMPUTED_VALUE"""),"Mace")</f>
        <v>Mace</v>
      </c>
    </row>
    <row r="183" spans="1:1" ht="12.5" x14ac:dyDescent="0.25">
      <c r="A183" t="str">
        <f ca="1">IFERROR(__xludf.DUMMYFUNCTION("""COMPUTED_VALUE"""),"Maize")</f>
        <v>Maize</v>
      </c>
    </row>
    <row r="184" spans="1:1" ht="12.5" x14ac:dyDescent="0.25">
      <c r="A184" t="str">
        <f ca="1">IFERROR(__xludf.DUMMYFUNCTION("""COMPUTED_VALUE"""),"Mandarins")</f>
        <v>Mandarins</v>
      </c>
    </row>
    <row r="185" spans="1:1" ht="12.5" x14ac:dyDescent="0.25">
      <c r="A185" t="str">
        <f ca="1">IFERROR(__xludf.DUMMYFUNCTION("""COMPUTED_VALUE"""),"Mangoes")</f>
        <v>Mangoes</v>
      </c>
    </row>
    <row r="186" spans="1:1" ht="12.5" x14ac:dyDescent="0.25">
      <c r="A186" t="str">
        <f ca="1">IFERROR(__xludf.DUMMYFUNCTION("""COMPUTED_VALUE"""),"Maté")</f>
        <v>Maté</v>
      </c>
    </row>
    <row r="187" spans="1:1" ht="12.5" x14ac:dyDescent="0.25">
      <c r="A187" t="str">
        <f ca="1">IFERROR(__xludf.DUMMYFUNCTION("""COMPUTED_VALUE"""),"Meat, preparations of meat, offals, blood, animal fats; fresh, chilled or frozen, salted, in brine, dried or smoked or processed as flours or meals; other processed products such as sausages and food preparations based on these")</f>
        <v>Meat, preparations of meat, offals, blood, animal fats; fresh, chilled or frozen, salted, in brine, dried or smoked or processed as flours or meals; other processed products such as sausages and food preparations based on these</v>
      </c>
    </row>
    <row r="188" spans="1:1" ht="12.5" x14ac:dyDescent="0.25">
      <c r="A188" t="str">
        <f ca="1">IFERROR(__xludf.DUMMYFUNCTION("""COMPUTED_VALUE"""),"Medlar")</f>
        <v>Medlar</v>
      </c>
    </row>
    <row r="189" spans="1:1" ht="12.5" x14ac:dyDescent="0.25">
      <c r="A189" t="str">
        <f ca="1">IFERROR(__xludf.DUMMYFUNCTION("""COMPUTED_VALUE"""),"Melons")</f>
        <v>Melons</v>
      </c>
    </row>
    <row r="190" spans="1:1" ht="12.5" x14ac:dyDescent="0.25">
      <c r="A190" t="str">
        <f ca="1">IFERROR(__xludf.DUMMYFUNCTION("""COMPUTED_VALUE"""),"Milk and cream, not concentrated, nor containing added sugar or sweetening matter, butter and other fats derived from milk, cheese and curd")</f>
        <v>Milk and cream, not concentrated, nor containing added sugar or sweetening matter, butter and other fats derived from milk, cheese and curd</v>
      </c>
    </row>
    <row r="191" spans="1:1" ht="12.5" x14ac:dyDescent="0.25">
      <c r="A191" t="str">
        <f ca="1">IFERROR(__xludf.DUMMYFUNCTION("""COMPUTED_VALUE"""),"Millet")</f>
        <v>Millet</v>
      </c>
    </row>
    <row r="192" spans="1:1" ht="12.5" x14ac:dyDescent="0.25">
      <c r="A192" t="str">
        <f ca="1">IFERROR(__xludf.DUMMYFUNCTION("""COMPUTED_VALUE"""),"Miscellaneous fruit")</f>
        <v>Miscellaneous fruit</v>
      </c>
    </row>
    <row r="193" spans="1:1" ht="12.5" x14ac:dyDescent="0.25">
      <c r="A193" t="str">
        <f ca="1">IFERROR(__xludf.DUMMYFUNCTION("""COMPUTED_VALUE"""),"Miscellaneous fruits with edible peel")</f>
        <v>Miscellaneous fruits with edible peel</v>
      </c>
    </row>
    <row r="194" spans="1:1" ht="12.5" x14ac:dyDescent="0.25">
      <c r="A194" t="str">
        <f ca="1">IFERROR(__xludf.DUMMYFUNCTION("""COMPUTED_VALUE"""),"Miscellaneous fruits with inedible peel, large")</f>
        <v>Miscellaneous fruits with inedible peel, large</v>
      </c>
    </row>
    <row r="195" spans="1:1" ht="12.5" x14ac:dyDescent="0.25">
      <c r="A195" t="str">
        <f ca="1">IFERROR(__xludf.DUMMYFUNCTION("""COMPUTED_VALUE"""),"Miscellaneous fruits with inedible peel, small")</f>
        <v>Miscellaneous fruits with inedible peel, small</v>
      </c>
    </row>
    <row r="196" spans="1:1" ht="12.5" x14ac:dyDescent="0.25">
      <c r="A196" t="str">
        <f ca="1">IFERROR(__xludf.DUMMYFUNCTION("""COMPUTED_VALUE"""),"Mulberries")</f>
        <v>Mulberries</v>
      </c>
    </row>
    <row r="197" spans="1:1" ht="12.5" x14ac:dyDescent="0.25">
      <c r="A197" t="str">
        <f ca="1">IFERROR(__xludf.DUMMYFUNCTION("""COMPUTED_VALUE"""),"Mustard seed")</f>
        <v>Mustard seed</v>
      </c>
    </row>
    <row r="198" spans="1:1" ht="12.5" x14ac:dyDescent="0.25">
      <c r="A198" t="str">
        <f ca="1">IFERROR(__xludf.DUMMYFUNCTION("""COMPUTED_VALUE"""),"Not in list")</f>
        <v>Not in list</v>
      </c>
    </row>
    <row r="199" spans="1:1" ht="12.5" x14ac:dyDescent="0.25">
      <c r="A199" t="str">
        <f ca="1">IFERROR(__xludf.DUMMYFUNCTION("""COMPUTED_VALUE"""),"Nutmeg")</f>
        <v>Nutmeg</v>
      </c>
    </row>
    <row r="200" spans="1:1" ht="12.5" x14ac:dyDescent="0.25">
      <c r="A200" t="str">
        <f ca="1">IFERROR(__xludf.DUMMYFUNCTION("""COMPUTED_VALUE"""),"Oats")</f>
        <v>Oats</v>
      </c>
    </row>
    <row r="201" spans="1:1" ht="12.5" x14ac:dyDescent="0.25">
      <c r="A201" t="str">
        <f ca="1">IFERROR(__xludf.DUMMYFUNCTION("""COMPUTED_VALUE"""),"Oilfruits")</f>
        <v>Oilfruits</v>
      </c>
    </row>
    <row r="202" spans="1:1" ht="12.5" x14ac:dyDescent="0.25">
      <c r="A202" t="str">
        <f ca="1">IFERROR(__xludf.DUMMYFUNCTION("""COMPUTED_VALUE"""),"Oilseeds")</f>
        <v>Oilseeds</v>
      </c>
    </row>
    <row r="203" spans="1:1" ht="12.5" x14ac:dyDescent="0.25">
      <c r="A203" t="str">
        <f ca="1">IFERROR(__xludf.DUMMYFUNCTION("""COMPUTED_VALUE"""),"Oilseeds and Oilfruits")</f>
        <v>Oilseeds and Oilfruits</v>
      </c>
    </row>
    <row r="204" spans="1:1" ht="12.5" x14ac:dyDescent="0.25">
      <c r="A204" t="str">
        <f ca="1">IFERROR(__xludf.DUMMYFUNCTION("""COMPUTED_VALUE"""),"Okra, ladys fingers")</f>
        <v>Okra, ladys fingers</v>
      </c>
    </row>
    <row r="205" spans="1:1" ht="12.5" x14ac:dyDescent="0.25">
      <c r="A205" t="str">
        <f ca="1">IFERROR(__xludf.DUMMYFUNCTION("""COMPUTED_VALUE"""),"Olives for oil production")</f>
        <v>Olives for oil production</v>
      </c>
    </row>
    <row r="206" spans="1:1" ht="12.5" x14ac:dyDescent="0.25">
      <c r="A206" t="str">
        <f ca="1">IFERROR(__xludf.DUMMYFUNCTION("""COMPUTED_VALUE"""),"Onions")</f>
        <v>Onions</v>
      </c>
    </row>
    <row r="207" spans="1:1" ht="12.5" x14ac:dyDescent="0.25">
      <c r="A207" t="str">
        <f ca="1">IFERROR(__xludf.DUMMYFUNCTION("""COMPUTED_VALUE"""),"Oranges")</f>
        <v>Oranges</v>
      </c>
    </row>
    <row r="208" spans="1:1" ht="12.5" x14ac:dyDescent="0.25">
      <c r="A208" t="str">
        <f ca="1">IFERROR(__xludf.DUMMYFUNCTION("""COMPUTED_VALUE"""),"Other")</f>
        <v>Other</v>
      </c>
    </row>
    <row r="209" spans="1:1" ht="12.5" x14ac:dyDescent="0.25">
      <c r="A209" t="str">
        <f ca="1">IFERROR(__xludf.DUMMYFUNCTION("""COMPUTED_VALUE"""),"Other bulb vegetables")</f>
        <v>Other bulb vegetables</v>
      </c>
    </row>
    <row r="210" spans="1:1" ht="12.5" x14ac:dyDescent="0.25">
      <c r="A210" t="str">
        <f ca="1">IFERROR(__xludf.DUMMYFUNCTION("""COMPUTED_VALUE"""),"Other cane fruits")</f>
        <v>Other cane fruits</v>
      </c>
    </row>
    <row r="211" spans="1:1" ht="12.5" x14ac:dyDescent="0.25">
      <c r="A211" t="str">
        <f ca="1">IFERROR(__xludf.DUMMYFUNCTION("""COMPUTED_VALUE"""),"Other cereals")</f>
        <v>Other cereals</v>
      </c>
    </row>
    <row r="212" spans="1:1" ht="12.5" x14ac:dyDescent="0.25">
      <c r="A212" t="str">
        <f ca="1">IFERROR(__xludf.DUMMYFUNCTION("""COMPUTED_VALUE"""),"Other citrus fruits")</f>
        <v>Other citrus fruits</v>
      </c>
    </row>
    <row r="213" spans="1:1" ht="12.5" x14ac:dyDescent="0.25">
      <c r="A213" t="str">
        <f ca="1">IFERROR(__xludf.DUMMYFUNCTION("""COMPUTED_VALUE"""),"Other cucurbits, edible peel")</f>
        <v>Other cucurbits, edible peel</v>
      </c>
    </row>
    <row r="214" spans="1:1" ht="12.5" x14ac:dyDescent="0.25">
      <c r="A214" t="str">
        <f ca="1">IFERROR(__xludf.DUMMYFUNCTION("""COMPUTED_VALUE"""),"Other cucurbits, inedible peel")</f>
        <v>Other cucurbits, inedible peel</v>
      </c>
    </row>
    <row r="215" spans="1:1" ht="12.5" x14ac:dyDescent="0.25">
      <c r="A215" t="str">
        <f ca="1">IFERROR(__xludf.DUMMYFUNCTION("""COMPUTED_VALUE"""),"Other farm animals")</f>
        <v>Other farm animals</v>
      </c>
    </row>
    <row r="216" spans="1:1" ht="12.5" x14ac:dyDescent="0.25">
      <c r="A216" t="str">
        <f ca="1">IFERROR(__xludf.DUMMYFUNCTION("""COMPUTED_VALUE"""),"Other farm animals Edible offal")</f>
        <v>Other farm animals Edible offal</v>
      </c>
    </row>
    <row r="217" spans="1:1" ht="12.5" x14ac:dyDescent="0.25">
      <c r="A217" t="str">
        <f ca="1">IFERROR(__xludf.DUMMYFUNCTION("""COMPUTED_VALUE"""),"Other farm animals Fat")</f>
        <v>Other farm animals Fat</v>
      </c>
    </row>
    <row r="218" spans="1:1" ht="12.5" x14ac:dyDescent="0.25">
      <c r="A218" t="str">
        <f ca="1">IFERROR(__xludf.DUMMYFUNCTION("""COMPUTED_VALUE"""),"Other farm animals Kidney")</f>
        <v>Other farm animals Kidney</v>
      </c>
    </row>
    <row r="219" spans="1:1" ht="12.5" x14ac:dyDescent="0.25">
      <c r="A219" t="str">
        <f ca="1">IFERROR(__xludf.DUMMYFUNCTION("""COMPUTED_VALUE"""),"Other farm animals Liver")</f>
        <v>Other farm animals Liver</v>
      </c>
    </row>
    <row r="220" spans="1:1" ht="12.5" x14ac:dyDescent="0.25">
      <c r="A220" t="str">
        <f ca="1">IFERROR(__xludf.DUMMYFUNCTION("""COMPUTED_VALUE"""),"Other farm animals Meat")</f>
        <v>Other farm animals Meat</v>
      </c>
    </row>
    <row r="221" spans="1:1" ht="12.5" x14ac:dyDescent="0.25">
      <c r="A221" t="str">
        <f ca="1">IFERROR(__xludf.DUMMYFUNCTION("""COMPUTED_VALUE"""),"Other farm animals Others")</f>
        <v>Other farm animals Others</v>
      </c>
    </row>
    <row r="222" spans="1:1" ht="12.5" x14ac:dyDescent="0.25">
      <c r="A222" t="str">
        <f ca="1">IFERROR(__xludf.DUMMYFUNCTION("""COMPUTED_VALUE"""),"Other flowering brassica")</f>
        <v>Other flowering brassica</v>
      </c>
    </row>
    <row r="223" spans="1:1" ht="12.5" x14ac:dyDescent="0.25">
      <c r="A223" t="str">
        <f ca="1">IFERROR(__xludf.DUMMYFUNCTION("""COMPUTED_VALUE"""),"Other fruiting vegetables")</f>
        <v>Other fruiting vegetables</v>
      </c>
    </row>
    <row r="224" spans="1:1" ht="12.5" x14ac:dyDescent="0.25">
      <c r="A224" t="str">
        <f ca="1">IFERROR(__xludf.DUMMYFUNCTION("""COMPUTED_VALUE"""),"Other fungi")</f>
        <v>Other fungi</v>
      </c>
    </row>
    <row r="225" spans="1:1" ht="12.5" x14ac:dyDescent="0.25">
      <c r="A225" t="str">
        <f ca="1">IFERROR(__xludf.DUMMYFUNCTION("""COMPUTED_VALUE"""),"Other head brassica")</f>
        <v>Other head brassica</v>
      </c>
    </row>
    <row r="226" spans="1:1" ht="12.5" x14ac:dyDescent="0.25">
      <c r="A226" t="str">
        <f ca="1">IFERROR(__xludf.DUMMYFUNCTION("""COMPUTED_VALUE"""),"Other herbal infusions")</f>
        <v>Other herbal infusions</v>
      </c>
    </row>
    <row r="227" spans="1:1" ht="12.5" x14ac:dyDescent="0.25">
      <c r="A227" t="str">
        <f ca="1">IFERROR(__xludf.DUMMYFUNCTION("""COMPUTED_VALUE"""),"Other herbal infusions: Flowers")</f>
        <v>Other herbal infusions: Flowers</v>
      </c>
    </row>
    <row r="228" spans="1:1" ht="12.5" x14ac:dyDescent="0.25">
      <c r="A228" t="str">
        <f ca="1">IFERROR(__xludf.DUMMYFUNCTION("""COMPUTED_VALUE"""),"Other herbal infusions: Leaves")</f>
        <v>Other herbal infusions: Leaves</v>
      </c>
    </row>
    <row r="229" spans="1:1" ht="12.5" x14ac:dyDescent="0.25">
      <c r="A229" t="str">
        <f ca="1">IFERROR(__xludf.DUMMYFUNCTION("""COMPUTED_VALUE"""),"Other herbal infusions: Roots")</f>
        <v>Other herbal infusions: Roots</v>
      </c>
    </row>
    <row r="230" spans="1:1" ht="12.5" x14ac:dyDescent="0.25">
      <c r="A230" t="str">
        <f ca="1">IFERROR(__xludf.DUMMYFUNCTION("""COMPUTED_VALUE"""),"Other herbs")</f>
        <v>Other herbs</v>
      </c>
    </row>
    <row r="231" spans="1:1" ht="12.5" x14ac:dyDescent="0.25">
      <c r="A231" t="str">
        <f ca="1">IFERROR(__xludf.DUMMYFUNCTION("""COMPUTED_VALUE"""),"Other kind of lettuce and other salad plants, including Brassicacea")</f>
        <v>Other kind of lettuce and other salad plants, including Brassicacea</v>
      </c>
    </row>
    <row r="232" spans="1:1" ht="12.5" x14ac:dyDescent="0.25">
      <c r="A232" t="str">
        <f ca="1">IFERROR(__xludf.DUMMYFUNCTION("""COMPUTED_VALUE"""),"Other kind of root and tuber vegetables except sugar beet")</f>
        <v>Other kind of root and tuber vegetables except sugar beet</v>
      </c>
    </row>
    <row r="233" spans="1:1" ht="12.5" x14ac:dyDescent="0.25">
      <c r="A233" t="str">
        <f ca="1">IFERROR(__xludf.DUMMYFUNCTION("""COMPUTED_VALUE"""),"Other kind of small fruit and berries")</f>
        <v>Other kind of small fruit and berries</v>
      </c>
    </row>
    <row r="234" spans="1:1" ht="12.5" x14ac:dyDescent="0.25">
      <c r="A234" t="str">
        <f ca="1">IFERROR(__xludf.DUMMYFUNCTION("""COMPUTED_VALUE"""),"Other leafy brassica")</f>
        <v>Other leafy brassica</v>
      </c>
    </row>
    <row r="235" spans="1:1" ht="12.5" x14ac:dyDescent="0.25">
      <c r="A235" t="str">
        <f ca="1">IFERROR(__xludf.DUMMYFUNCTION("""COMPUTED_VALUE"""),"Other legume vegetables, fresh")</f>
        <v>Other legume vegetables, fresh</v>
      </c>
    </row>
    <row r="236" spans="1:1" ht="12.5" x14ac:dyDescent="0.25">
      <c r="A236" t="str">
        <f ca="1">IFERROR(__xludf.DUMMYFUNCTION("""COMPUTED_VALUE"""),"Other miscellaneous fruits with edible peel")</f>
        <v>Other miscellaneous fruits with edible peel</v>
      </c>
    </row>
    <row r="237" spans="1:1" ht="12.5" x14ac:dyDescent="0.25">
      <c r="A237" t="str">
        <f ca="1">IFERROR(__xludf.DUMMYFUNCTION("""COMPUTED_VALUE"""),"Other miscellaneous large fruits with inedible peel")</f>
        <v>Other miscellaneous large fruits with inedible peel</v>
      </c>
    </row>
    <row r="238" spans="1:1" ht="12.5" x14ac:dyDescent="0.25">
      <c r="A238" t="str">
        <f ca="1">IFERROR(__xludf.DUMMYFUNCTION("""COMPUTED_VALUE"""),"Other miscellaneous small fruits with inedible peel")</f>
        <v>Other miscellaneous small fruits with inedible peel</v>
      </c>
    </row>
    <row r="239" spans="1:1" ht="12.5" x14ac:dyDescent="0.25">
      <c r="A239" t="str">
        <f ca="1">IFERROR(__xludf.DUMMYFUNCTION("""COMPUTED_VALUE"""),"Other oilfruits")</f>
        <v>Other oilfruits</v>
      </c>
    </row>
    <row r="240" spans="1:1" ht="12.5" x14ac:dyDescent="0.25">
      <c r="A240" t="str">
        <f ca="1">IFERROR(__xludf.DUMMYFUNCTION("""COMPUTED_VALUE"""),"Other oilseeds")</f>
        <v>Other oilseeds</v>
      </c>
    </row>
    <row r="241" spans="1:1" ht="12.5" x14ac:dyDescent="0.25">
      <c r="A241" t="str">
        <f ca="1">IFERROR(__xludf.DUMMYFUNCTION("""COMPUTED_VALUE"""),"Other pome fruits")</f>
        <v>Other pome fruits</v>
      </c>
    </row>
    <row r="242" spans="1:1" ht="12.5" x14ac:dyDescent="0.25">
      <c r="A242" t="str">
        <f ca="1">IFERROR(__xludf.DUMMYFUNCTION("""COMPUTED_VALUE"""),"Other pulses, dry")</f>
        <v>Other pulses, dry</v>
      </c>
    </row>
    <row r="243" spans="1:1" ht="12.5" x14ac:dyDescent="0.25">
      <c r="A243" t="str">
        <f ca="1">IFERROR(__xludf.DUMMYFUNCTION("""COMPUTED_VALUE"""),"Other root and tuber vegetables except sugar beet")</f>
        <v>Other root and tuber vegetables except sugar beet</v>
      </c>
    </row>
    <row r="244" spans="1:1" ht="12.5" x14ac:dyDescent="0.25">
      <c r="A244" t="str">
        <f ca="1">IFERROR(__xludf.DUMMYFUNCTION("""COMPUTED_VALUE"""),"Other small fruit and berries")</f>
        <v>Other small fruit and berries</v>
      </c>
    </row>
    <row r="245" spans="1:1" ht="12.5" x14ac:dyDescent="0.25">
      <c r="A245" t="str">
        <f ca="1">IFERROR(__xludf.DUMMYFUNCTION("""COMPUTED_VALUE"""),"Other solanacea")</f>
        <v>Other solanacea</v>
      </c>
    </row>
    <row r="246" spans="1:1" ht="12.5" x14ac:dyDescent="0.25">
      <c r="A246" t="str">
        <f ca="1">IFERROR(__xludf.DUMMYFUNCTION("""COMPUTED_VALUE"""),"Other spices: Aril")</f>
        <v>Other spices: Aril</v>
      </c>
    </row>
    <row r="247" spans="1:1" ht="12.5" x14ac:dyDescent="0.25">
      <c r="A247" t="str">
        <f ca="1">IFERROR(__xludf.DUMMYFUNCTION("""COMPUTED_VALUE"""),"Other spices: Bark")</f>
        <v>Other spices: Bark</v>
      </c>
    </row>
    <row r="248" spans="1:1" ht="12.5" x14ac:dyDescent="0.25">
      <c r="A248" t="str">
        <f ca="1">IFERROR(__xludf.DUMMYFUNCTION("""COMPUTED_VALUE"""),"Other spices: Buds")</f>
        <v>Other spices: Buds</v>
      </c>
    </row>
    <row r="249" spans="1:1" ht="12.5" x14ac:dyDescent="0.25">
      <c r="A249" t="str">
        <f ca="1">IFERROR(__xludf.DUMMYFUNCTION("""COMPUTED_VALUE"""),"Other spices: Flower stigma")</f>
        <v>Other spices: Flower stigma</v>
      </c>
    </row>
    <row r="250" spans="1:1" ht="12.5" x14ac:dyDescent="0.25">
      <c r="A250" t="str">
        <f ca="1">IFERROR(__xludf.DUMMYFUNCTION("""COMPUTED_VALUE"""),"Other spices: Fruits and Berries")</f>
        <v>Other spices: Fruits and Berries</v>
      </c>
    </row>
    <row r="251" spans="1:1" ht="12.5" x14ac:dyDescent="0.25">
      <c r="A251" t="str">
        <f ca="1">IFERROR(__xludf.DUMMYFUNCTION("""COMPUTED_VALUE"""),"Other spices: Root or Rhizome")</f>
        <v>Other spices: Root or Rhizome</v>
      </c>
    </row>
    <row r="252" spans="1:1" ht="12.5" x14ac:dyDescent="0.25">
      <c r="A252" t="str">
        <f ca="1">IFERROR(__xludf.DUMMYFUNCTION("""COMPUTED_VALUE"""),"Other spices: Seeds")</f>
        <v>Other spices: Seeds</v>
      </c>
    </row>
    <row r="253" spans="1:1" ht="12.5" x14ac:dyDescent="0.25">
      <c r="A253" t="str">
        <f ca="1">IFERROR(__xludf.DUMMYFUNCTION("""COMPUTED_VALUE"""),"Other spinach and similar (leaves)")</f>
        <v>Other spinach and similar (leaves)</v>
      </c>
    </row>
    <row r="254" spans="1:1" ht="12.5" x14ac:dyDescent="0.25">
      <c r="A254" t="str">
        <f ca="1">IFERROR(__xludf.DUMMYFUNCTION("""COMPUTED_VALUE"""),"Other stem vegetables, fresh")</f>
        <v>Other stem vegetables, fresh</v>
      </c>
    </row>
    <row r="255" spans="1:1" ht="12.5" x14ac:dyDescent="0.25">
      <c r="A255" t="str">
        <f ca="1">IFERROR(__xludf.DUMMYFUNCTION("""COMPUTED_VALUE"""),"Other stone fruits")</f>
        <v>Other stone fruits</v>
      </c>
    </row>
    <row r="256" spans="1:1" ht="12.5" x14ac:dyDescent="0.25">
      <c r="A256" t="str">
        <f ca="1">IFERROR(__xludf.DUMMYFUNCTION("""COMPUTED_VALUE"""),"Other sugar plants")</f>
        <v>Other sugar plants</v>
      </c>
    </row>
    <row r="257" spans="1:1" ht="12.5" x14ac:dyDescent="0.25">
      <c r="A257" t="str">
        <f ca="1">IFERROR(__xludf.DUMMYFUNCTION("""COMPUTED_VALUE"""),"Other terrestrial animal products")</f>
        <v>Other terrestrial animal products</v>
      </c>
    </row>
    <row r="258" spans="1:1" ht="12.5" x14ac:dyDescent="0.25">
      <c r="A258" t="str">
        <f ca="1">IFERROR(__xludf.DUMMYFUNCTION("""COMPUTED_VALUE"""),"Other tree nuts, shelled or unshelled")</f>
        <v>Other tree nuts, shelled or unshelled</v>
      </c>
    </row>
    <row r="259" spans="1:1" ht="12.5" x14ac:dyDescent="0.25">
      <c r="A259" t="str">
        <f ca="1">IFERROR(__xludf.DUMMYFUNCTION("""COMPUTED_VALUE"""),"Other tropical roots and tuber vegetables")</f>
        <v>Other tropical roots and tuber vegetables</v>
      </c>
    </row>
    <row r="260" spans="1:1" ht="12.5" x14ac:dyDescent="0.25">
      <c r="A260" t="str">
        <f ca="1">IFERROR(__xludf.DUMMYFUNCTION("""COMPUTED_VALUE"""),"Palm hearts")</f>
        <v>Palm hearts</v>
      </c>
    </row>
    <row r="261" spans="1:1" ht="12.5" x14ac:dyDescent="0.25">
      <c r="A261" t="str">
        <f ca="1">IFERROR(__xludf.DUMMYFUNCTION("""COMPUTED_VALUE"""),"Palm nuts (palmoil kernels)")</f>
        <v>Palm nuts (palmoil kernels)</v>
      </c>
    </row>
    <row r="262" spans="1:1" ht="12.5" x14ac:dyDescent="0.25">
      <c r="A262" t="str">
        <f ca="1">IFERROR(__xludf.DUMMYFUNCTION("""COMPUTED_VALUE"""),"Palmfruit")</f>
        <v>Palmfruit</v>
      </c>
    </row>
    <row r="263" spans="1:1" ht="12.5" x14ac:dyDescent="0.25">
      <c r="A263" t="str">
        <f ca="1">IFERROR(__xludf.DUMMYFUNCTION("""COMPUTED_VALUE"""),"Papaya")</f>
        <v>Papaya</v>
      </c>
    </row>
    <row r="264" spans="1:1" ht="12.5" x14ac:dyDescent="0.25">
      <c r="A264" t="str">
        <f ca="1">IFERROR(__xludf.DUMMYFUNCTION("""COMPUTED_VALUE"""),"Parsley")</f>
        <v>Parsley</v>
      </c>
    </row>
    <row r="265" spans="1:1" ht="12.5" x14ac:dyDescent="0.25">
      <c r="A265" t="str">
        <f ca="1">IFERROR(__xludf.DUMMYFUNCTION("""COMPUTED_VALUE"""),"Parsley root")</f>
        <v>Parsley root</v>
      </c>
    </row>
    <row r="266" spans="1:1" ht="12.5" x14ac:dyDescent="0.25">
      <c r="A266" t="str">
        <f ca="1">IFERROR(__xludf.DUMMYFUNCTION("""COMPUTED_VALUE"""),"Parsnips")</f>
        <v>Parsnips</v>
      </c>
    </row>
    <row r="267" spans="1:1" ht="12.5" x14ac:dyDescent="0.25">
      <c r="A267" t="str">
        <f ca="1">IFERROR(__xludf.DUMMYFUNCTION("""COMPUTED_VALUE"""),"Passion fruit")</f>
        <v>Passion fruit</v>
      </c>
    </row>
    <row r="268" spans="1:1" ht="12.5" x14ac:dyDescent="0.25">
      <c r="A268" t="str">
        <f ca="1">IFERROR(__xludf.DUMMYFUNCTION("""COMPUTED_VALUE"""),"Peaches")</f>
        <v>Peaches</v>
      </c>
    </row>
    <row r="269" spans="1:1" ht="12.5" x14ac:dyDescent="0.25">
      <c r="A269" t="str">
        <f ca="1">IFERROR(__xludf.DUMMYFUNCTION("""COMPUTED_VALUE"""),"Peanuts")</f>
        <v>Peanuts</v>
      </c>
    </row>
    <row r="270" spans="1:1" ht="12.5" x14ac:dyDescent="0.25">
      <c r="A270" t="str">
        <f ca="1">IFERROR(__xludf.DUMMYFUNCTION("""COMPUTED_VALUE"""),"Pears")</f>
        <v>Pears</v>
      </c>
    </row>
    <row r="271" spans="1:1" ht="12.5" x14ac:dyDescent="0.25">
      <c r="A271" t="str">
        <f ca="1">IFERROR(__xludf.DUMMYFUNCTION("""COMPUTED_VALUE"""),"Peas (dry)")</f>
        <v>Peas (dry)</v>
      </c>
    </row>
    <row r="272" spans="1:1" ht="12.5" x14ac:dyDescent="0.25">
      <c r="A272" t="str">
        <f ca="1">IFERROR(__xludf.DUMMYFUNCTION("""COMPUTED_VALUE"""),"Peas (with pods)")</f>
        <v>Peas (with pods)</v>
      </c>
    </row>
    <row r="273" spans="1:1" ht="12.5" x14ac:dyDescent="0.25">
      <c r="A273" t="str">
        <f ca="1">IFERROR(__xludf.DUMMYFUNCTION("""COMPUTED_VALUE"""),"Peas (without pods)")</f>
        <v>Peas (without pods)</v>
      </c>
    </row>
    <row r="274" spans="1:1" ht="12.5" x14ac:dyDescent="0.25">
      <c r="A274" t="str">
        <f ca="1">IFERROR(__xludf.DUMMYFUNCTION("""COMPUTED_VALUE"""),"Pecans")</f>
        <v>Pecans</v>
      </c>
    </row>
    <row r="275" spans="1:1" ht="12.5" x14ac:dyDescent="0.25">
      <c r="A275" t="str">
        <f ca="1">IFERROR(__xludf.DUMMYFUNCTION("""COMPUTED_VALUE"""),"Pepper, black and white")</f>
        <v>Pepper, black and white</v>
      </c>
    </row>
    <row r="276" spans="1:1" ht="12.5" x14ac:dyDescent="0.25">
      <c r="A276" t="str">
        <f ca="1">IFERROR(__xludf.DUMMYFUNCTION("""COMPUTED_VALUE"""),"Peppers")</f>
        <v>Peppers</v>
      </c>
    </row>
    <row r="277" spans="1:1" ht="12.5" x14ac:dyDescent="0.25">
      <c r="A277" t="str">
        <f ca="1">IFERROR(__xludf.DUMMYFUNCTION("""COMPUTED_VALUE"""),"Persimmon")</f>
        <v>Persimmon</v>
      </c>
    </row>
    <row r="278" spans="1:1" ht="12.5" x14ac:dyDescent="0.25">
      <c r="A278" t="str">
        <f ca="1">IFERROR(__xludf.DUMMYFUNCTION("""COMPUTED_VALUE"""),"Pine nuts")</f>
        <v>Pine nuts</v>
      </c>
    </row>
    <row r="279" spans="1:1" ht="12.5" x14ac:dyDescent="0.25">
      <c r="A279" t="str">
        <f ca="1">IFERROR(__xludf.DUMMYFUNCTION("""COMPUTED_VALUE"""),"Pineapples")</f>
        <v>Pineapples</v>
      </c>
    </row>
    <row r="280" spans="1:1" ht="12.5" x14ac:dyDescent="0.25">
      <c r="A280" t="str">
        <f ca="1">IFERROR(__xludf.DUMMYFUNCTION("""COMPUTED_VALUE"""),"Pistachios")</f>
        <v>Pistachios</v>
      </c>
    </row>
    <row r="281" spans="1:1" ht="12.5" x14ac:dyDescent="0.25">
      <c r="A281" t="str">
        <f ca="1">IFERROR(__xludf.DUMMYFUNCTION("""COMPUTED_VALUE"""),"Plums")</f>
        <v>Plums</v>
      </c>
    </row>
    <row r="282" spans="1:1" ht="12.5" x14ac:dyDescent="0.25">
      <c r="A282" t="str">
        <f ca="1">IFERROR(__xludf.DUMMYFUNCTION("""COMPUTED_VALUE"""),"Pome fruit")</f>
        <v>Pome fruit</v>
      </c>
    </row>
    <row r="283" spans="1:1" ht="12.5" x14ac:dyDescent="0.25">
      <c r="A283" t="str">
        <f ca="1">IFERROR(__xludf.DUMMYFUNCTION("""COMPUTED_VALUE"""),"Pomegranate")</f>
        <v>Pomegranate</v>
      </c>
    </row>
    <row r="284" spans="1:1" ht="12.5" x14ac:dyDescent="0.25">
      <c r="A284" t="str">
        <f ca="1">IFERROR(__xludf.DUMMYFUNCTION("""COMPUTED_VALUE"""),"Poppy seed")</f>
        <v>Poppy seed</v>
      </c>
    </row>
    <row r="285" spans="1:1" ht="12.5" x14ac:dyDescent="0.25">
      <c r="A285" t="str">
        <f ca="1">IFERROR(__xludf.DUMMYFUNCTION("""COMPUTED_VALUE"""),"Potatoes")</f>
        <v>Potatoes</v>
      </c>
    </row>
    <row r="286" spans="1:1" ht="12.5" x14ac:dyDescent="0.25">
      <c r="A286" t="str">
        <f ca="1">IFERROR(__xludf.DUMMYFUNCTION("""COMPUTED_VALUE"""),"Poultry — chicken, geese, duck, turkey and Guinea fowl — ostrich, pigeon")</f>
        <v>Poultry — chicken, geese, duck, turkey and Guinea fowl — ostrich, pigeon</v>
      </c>
    </row>
    <row r="287" spans="1:1" ht="12.5" x14ac:dyDescent="0.25">
      <c r="A287" t="str">
        <f ca="1">IFERROR(__xludf.DUMMYFUNCTION("""COMPUTED_VALUE"""),"Poultry — chicken, geese, duck, turkey and Guinea fowl — ostrich, pigeon Edible offal")</f>
        <v>Poultry — chicken, geese, duck, turkey and Guinea fowl — ostrich, pigeon Edible offal</v>
      </c>
    </row>
    <row r="288" spans="1:1" ht="12.5" x14ac:dyDescent="0.25">
      <c r="A288" t="str">
        <f ca="1">IFERROR(__xludf.DUMMYFUNCTION("""COMPUTED_VALUE"""),"Poultry — chicken, geese, duck, turkey and Guinea fowl — ostrich, pigeon Fat")</f>
        <v>Poultry — chicken, geese, duck, turkey and Guinea fowl — ostrich, pigeon Fat</v>
      </c>
    </row>
    <row r="289" spans="1:1" ht="12.5" x14ac:dyDescent="0.25">
      <c r="A289" t="str">
        <f ca="1">IFERROR(__xludf.DUMMYFUNCTION("""COMPUTED_VALUE"""),"Poultry — chicken, geese, duck, turkey and Guinea fowl — ostrich, pigeon Kidney")</f>
        <v>Poultry — chicken, geese, duck, turkey and Guinea fowl — ostrich, pigeon Kidney</v>
      </c>
    </row>
    <row r="290" spans="1:1" ht="12.5" x14ac:dyDescent="0.25">
      <c r="A290" t="str">
        <f ca="1">IFERROR(__xludf.DUMMYFUNCTION("""COMPUTED_VALUE"""),"Poultry — chicken, geese, duck, turkey and Guinea fowl — ostrich, pigeon Liver")</f>
        <v>Poultry — chicken, geese, duck, turkey and Guinea fowl — ostrich, pigeon Liver</v>
      </c>
    </row>
    <row r="291" spans="1:1" ht="12.5" x14ac:dyDescent="0.25">
      <c r="A291" t="str">
        <f ca="1">IFERROR(__xludf.DUMMYFUNCTION("""COMPUTED_VALUE"""),"Poultry — chicken, geese, duck, turkey and Guinea fowl — ostrich, pigeon Meat")</f>
        <v>Poultry — chicken, geese, duck, turkey and Guinea fowl — ostrich, pigeon Meat</v>
      </c>
    </row>
    <row r="292" spans="1:1" ht="12.5" x14ac:dyDescent="0.25">
      <c r="A292" t="str">
        <f ca="1">IFERROR(__xludf.DUMMYFUNCTION("""COMPUTED_VALUE"""),"Poultry — chicken, geese, duck, turkey and Guinea fowl — ostrich, pigeon Others")</f>
        <v>Poultry — chicken, geese, duck, turkey and Guinea fowl — ostrich, pigeon Others</v>
      </c>
    </row>
    <row r="293" spans="1:1" ht="12.5" x14ac:dyDescent="0.25">
      <c r="A293" t="str">
        <f ca="1">IFERROR(__xludf.DUMMYFUNCTION("""COMPUTED_VALUE"""),"Prickly pear (cactus fruit)")</f>
        <v>Prickly pear (cactus fruit)</v>
      </c>
    </row>
    <row r="294" spans="1:1" ht="12.5" x14ac:dyDescent="0.25">
      <c r="A294" t="str">
        <f ca="1">IFERROR(__xludf.DUMMYFUNCTION("""COMPUTED_VALUE"""),"Processed cereal-based baby foods (e.g. cereal and pastas to be reconstituted with milk or other liquids)")</f>
        <v>Processed cereal-based baby foods (e.g. cereal and pastas to be reconstituted with milk or other liquids)</v>
      </c>
    </row>
    <row r="295" spans="1:1" ht="12.5" x14ac:dyDescent="0.25">
      <c r="A295" t="str">
        <f ca="1">IFERROR(__xludf.DUMMYFUNCTION("""COMPUTED_VALUE"""),"Pulses, Dry")</f>
        <v>Pulses, Dry</v>
      </c>
    </row>
    <row r="296" spans="1:1" ht="12.5" x14ac:dyDescent="0.25">
      <c r="A296" t="str">
        <f ca="1">IFERROR(__xludf.DUMMYFUNCTION("""COMPUTED_VALUE"""),"Pumpkin seeds")</f>
        <v>Pumpkin seeds</v>
      </c>
    </row>
    <row r="297" spans="1:1" ht="12.5" x14ac:dyDescent="0.25">
      <c r="A297" t="str">
        <f ca="1">IFERROR(__xludf.DUMMYFUNCTION("""COMPUTED_VALUE"""),"Pumpkins")</f>
        <v>Pumpkins</v>
      </c>
    </row>
    <row r="298" spans="1:1" ht="12.5" x14ac:dyDescent="0.25">
      <c r="A298" t="str">
        <f ca="1">IFERROR(__xludf.DUMMYFUNCTION("""COMPUTED_VALUE"""),"Purslane")</f>
        <v>Purslane</v>
      </c>
    </row>
    <row r="299" spans="1:1" ht="12.5" x14ac:dyDescent="0.25">
      <c r="A299" t="str">
        <f ca="1">IFERROR(__xludf.DUMMYFUNCTION("""COMPUTED_VALUE"""),"Quinces")</f>
        <v>Quinces</v>
      </c>
    </row>
    <row r="300" spans="1:1" ht="12.5" x14ac:dyDescent="0.25">
      <c r="A300" t="str">
        <f ca="1">IFERROR(__xludf.DUMMYFUNCTION("""COMPUTED_VALUE"""),"Radishes")</f>
        <v>Radishes</v>
      </c>
    </row>
    <row r="301" spans="1:1" ht="12.5" x14ac:dyDescent="0.25">
      <c r="A301" t="str">
        <f ca="1">IFERROR(__xludf.DUMMYFUNCTION("""COMPUTED_VALUE"""),"Rape seed")</f>
        <v>Rape seed</v>
      </c>
    </row>
    <row r="302" spans="1:1" ht="12.5" x14ac:dyDescent="0.25">
      <c r="A302" t="str">
        <f ca="1">IFERROR(__xludf.DUMMYFUNCTION("""COMPUTED_VALUE"""),"Raspberries")</f>
        <v>Raspberries</v>
      </c>
    </row>
    <row r="303" spans="1:1" ht="12.5" x14ac:dyDescent="0.25">
      <c r="A303" t="str">
        <f ca="1">IFERROR(__xludf.DUMMYFUNCTION("""COMPUTED_VALUE"""),"Red mustard")</f>
        <v>Red mustard</v>
      </c>
    </row>
    <row r="304" spans="1:1" ht="12.5" x14ac:dyDescent="0.25">
      <c r="A304" t="str">
        <f ca="1">IFERROR(__xludf.DUMMYFUNCTION("""COMPUTED_VALUE"""),"Rhubarb")</f>
        <v>Rhubarb</v>
      </c>
    </row>
    <row r="305" spans="1:1" ht="12.5" x14ac:dyDescent="0.25">
      <c r="A305" t="str">
        <f ca="1">IFERROR(__xludf.DUMMYFUNCTION("""COMPUTED_VALUE"""),"Rice")</f>
        <v>Rice</v>
      </c>
    </row>
    <row r="306" spans="1:1" ht="12.5" x14ac:dyDescent="0.25">
      <c r="A306" t="str">
        <f ca="1">IFERROR(__xludf.DUMMYFUNCTION("""COMPUTED_VALUE"""),"Rocket, Rucola")</f>
        <v>Rocket, Rucola</v>
      </c>
    </row>
    <row r="307" spans="1:1" ht="12.5" x14ac:dyDescent="0.25">
      <c r="A307" t="str">
        <f ca="1">IFERROR(__xludf.DUMMYFUNCTION("""COMPUTED_VALUE"""),"Rooibos leaves")</f>
        <v>Rooibos leaves</v>
      </c>
    </row>
    <row r="308" spans="1:1" ht="12.5" x14ac:dyDescent="0.25">
      <c r="A308" t="str">
        <f ca="1">IFERROR(__xludf.DUMMYFUNCTION("""COMPUTED_VALUE"""),"Root and Tuber vegetables")</f>
        <v>Root and Tuber vegetables</v>
      </c>
    </row>
    <row r="309" spans="1:1" ht="12.5" x14ac:dyDescent="0.25">
      <c r="A309" t="str">
        <f ca="1">IFERROR(__xludf.DUMMYFUNCTION("""COMPUTED_VALUE"""),"Rose hips")</f>
        <v>Rose hips</v>
      </c>
    </row>
    <row r="310" spans="1:1" ht="12.5" x14ac:dyDescent="0.25">
      <c r="A310" t="str">
        <f ca="1">IFERROR(__xludf.DUMMYFUNCTION("""COMPUTED_VALUE"""),"Rose petals")</f>
        <v>Rose petals</v>
      </c>
    </row>
    <row r="311" spans="1:1" ht="12.5" x14ac:dyDescent="0.25">
      <c r="A311" t="str">
        <f ca="1">IFERROR(__xludf.DUMMYFUNCTION("""COMPUTED_VALUE"""),"Rosemary")</f>
        <v>Rosemary</v>
      </c>
    </row>
    <row r="312" spans="1:1" ht="12.5" x14ac:dyDescent="0.25">
      <c r="A312" t="str">
        <f ca="1">IFERROR(__xludf.DUMMYFUNCTION("""COMPUTED_VALUE"""),"Rye")</f>
        <v>Rye</v>
      </c>
    </row>
    <row r="313" spans="1:1" ht="12.5" x14ac:dyDescent="0.25">
      <c r="A313" t="str">
        <f ca="1">IFERROR(__xludf.DUMMYFUNCTION("""COMPUTED_VALUE"""),"Safflower")</f>
        <v>Safflower</v>
      </c>
    </row>
    <row r="314" spans="1:1" ht="12.5" x14ac:dyDescent="0.25">
      <c r="A314" t="str">
        <f ca="1">IFERROR(__xludf.DUMMYFUNCTION("""COMPUTED_VALUE"""),"Saffron")</f>
        <v>Saffron</v>
      </c>
    </row>
    <row r="315" spans="1:1" ht="12.5" x14ac:dyDescent="0.25">
      <c r="A315" t="str">
        <f ca="1">IFERROR(__xludf.DUMMYFUNCTION("""COMPUTED_VALUE"""),"Sage")</f>
        <v>Sage</v>
      </c>
    </row>
    <row r="316" spans="1:1" ht="12.5" x14ac:dyDescent="0.25">
      <c r="A316" t="str">
        <f ca="1">IFERROR(__xludf.DUMMYFUNCTION("""COMPUTED_VALUE"""),"Salsify")</f>
        <v>Salsify</v>
      </c>
    </row>
    <row r="317" spans="1:1" ht="12.5" x14ac:dyDescent="0.25">
      <c r="A317" t="str">
        <f ca="1">IFERROR(__xludf.DUMMYFUNCTION("""COMPUTED_VALUE"""),"Scarole (broad-leaf endive)")</f>
        <v>Scarole (broad-leaf endive)</v>
      </c>
    </row>
    <row r="318" spans="1:1" ht="12.5" x14ac:dyDescent="0.25">
      <c r="A318" t="str">
        <f ca="1">IFERROR(__xludf.DUMMYFUNCTION("""COMPUTED_VALUE"""),"Sea weeds")</f>
        <v>Sea weeds</v>
      </c>
    </row>
    <row r="319" spans="1:1" ht="12.5" x14ac:dyDescent="0.25">
      <c r="A319" t="str">
        <f ca="1">IFERROR(__xludf.DUMMYFUNCTION("""COMPUTED_VALUE"""),"Sesame seed")</f>
        <v>Sesame seed</v>
      </c>
    </row>
    <row r="320" spans="1:1" ht="12.5" x14ac:dyDescent="0.25">
      <c r="A320" t="str">
        <f ca="1">IFERROR(__xludf.DUMMYFUNCTION("""COMPUTED_VALUE"""),"Shallots")</f>
        <v>Shallots</v>
      </c>
    </row>
    <row r="321" spans="1:1" ht="12.5" x14ac:dyDescent="0.25">
      <c r="A321" t="str">
        <f ca="1">IFERROR(__xludf.DUMMYFUNCTION("""COMPUTED_VALUE"""),"Sheep")</f>
        <v>Sheep</v>
      </c>
    </row>
    <row r="322" spans="1:1" ht="12.5" x14ac:dyDescent="0.25">
      <c r="A322" t="str">
        <f ca="1">IFERROR(__xludf.DUMMYFUNCTION("""COMPUTED_VALUE"""),"Sheep Edible offal")</f>
        <v>Sheep Edible offal</v>
      </c>
    </row>
    <row r="323" spans="1:1" ht="12.5" x14ac:dyDescent="0.25">
      <c r="A323" t="str">
        <f ca="1">IFERROR(__xludf.DUMMYFUNCTION("""COMPUTED_VALUE"""),"Sheep Fat")</f>
        <v>Sheep Fat</v>
      </c>
    </row>
    <row r="324" spans="1:1" ht="12.5" x14ac:dyDescent="0.25">
      <c r="A324" t="str">
        <f ca="1">IFERROR(__xludf.DUMMYFUNCTION("""COMPUTED_VALUE"""),"Sheep Kidney")</f>
        <v>Sheep Kidney</v>
      </c>
    </row>
    <row r="325" spans="1:1" ht="12.5" x14ac:dyDescent="0.25">
      <c r="A325" t="str">
        <f ca="1">IFERROR(__xludf.DUMMYFUNCTION("""COMPUTED_VALUE"""),"Sheep Liver")</f>
        <v>Sheep Liver</v>
      </c>
    </row>
    <row r="326" spans="1:1" ht="12.5" x14ac:dyDescent="0.25">
      <c r="A326" t="str">
        <f ca="1">IFERROR(__xludf.DUMMYFUNCTION("""COMPUTED_VALUE"""),"Sheep Meat")</f>
        <v>Sheep Meat</v>
      </c>
    </row>
    <row r="327" spans="1:1" ht="12.5" x14ac:dyDescent="0.25">
      <c r="A327" t="str">
        <f ca="1">IFERROR(__xludf.DUMMYFUNCTION("""COMPUTED_VALUE"""),"Sheep Others")</f>
        <v>Sheep Others</v>
      </c>
    </row>
    <row r="328" spans="1:1" ht="12.5" x14ac:dyDescent="0.25">
      <c r="A328" t="str">
        <f ca="1">IFERROR(__xludf.DUMMYFUNCTION("""COMPUTED_VALUE"""),"Snails")</f>
        <v>Snails</v>
      </c>
    </row>
    <row r="329" spans="1:1" ht="12.5" x14ac:dyDescent="0.25">
      <c r="A329" t="str">
        <f ca="1">IFERROR(__xludf.DUMMYFUNCTION("""COMPUTED_VALUE"""),"Solanacea")</f>
        <v>Solanacea</v>
      </c>
    </row>
    <row r="330" spans="1:1" ht="12.5" x14ac:dyDescent="0.25">
      <c r="A330" t="str">
        <f ca="1">IFERROR(__xludf.DUMMYFUNCTION("""COMPUTED_VALUE"""),"Sorghum")</f>
        <v>Sorghum</v>
      </c>
    </row>
    <row r="331" spans="1:1" ht="12.5" x14ac:dyDescent="0.25">
      <c r="A331" t="str">
        <f ca="1">IFERROR(__xludf.DUMMYFUNCTION("""COMPUTED_VALUE"""),"Soursop (guanabana)")</f>
        <v>Soursop (guanabana)</v>
      </c>
    </row>
    <row r="332" spans="1:1" ht="12.5" x14ac:dyDescent="0.25">
      <c r="A332" t="str">
        <f ca="1">IFERROR(__xludf.DUMMYFUNCTION("""COMPUTED_VALUE"""),"Soya bean")</f>
        <v>Soya bean</v>
      </c>
    </row>
    <row r="333" spans="1:1" ht="12.5" x14ac:dyDescent="0.25">
      <c r="A333" t="str">
        <f ca="1">IFERROR(__xludf.DUMMYFUNCTION("""COMPUTED_VALUE"""),"Spices")</f>
        <v>Spices</v>
      </c>
    </row>
    <row r="334" spans="1:1" ht="12.5" x14ac:dyDescent="0.25">
      <c r="A334" t="str">
        <f ca="1">IFERROR(__xludf.DUMMYFUNCTION("""COMPUTED_VALUE"""),"Spices (aril)")</f>
        <v>Spices (aril)</v>
      </c>
    </row>
    <row r="335" spans="1:1" ht="12.5" x14ac:dyDescent="0.25">
      <c r="A335" t="str">
        <f ca="1">IFERROR(__xludf.DUMMYFUNCTION("""COMPUTED_VALUE"""),"Spices (bark)")</f>
        <v>Spices (bark)</v>
      </c>
    </row>
    <row r="336" spans="1:1" ht="12.5" x14ac:dyDescent="0.25">
      <c r="A336" t="str">
        <f ca="1">IFERROR(__xludf.DUMMYFUNCTION("""COMPUTED_VALUE"""),"Spices (buds)")</f>
        <v>Spices (buds)</v>
      </c>
    </row>
    <row r="337" spans="1:1" ht="12.5" x14ac:dyDescent="0.25">
      <c r="A337" t="str">
        <f ca="1">IFERROR(__xludf.DUMMYFUNCTION("""COMPUTED_VALUE"""),"Spices (flower stigma)")</f>
        <v>Spices (flower stigma)</v>
      </c>
    </row>
    <row r="338" spans="1:1" ht="12.5" x14ac:dyDescent="0.25">
      <c r="A338" t="str">
        <f ca="1">IFERROR(__xludf.DUMMYFUNCTION("""COMPUTED_VALUE"""),"spices (fruits and berries)")</f>
        <v>spices (fruits and berries)</v>
      </c>
    </row>
    <row r="339" spans="1:1" ht="12.5" x14ac:dyDescent="0.25">
      <c r="A339" t="str">
        <f ca="1">IFERROR(__xludf.DUMMYFUNCTION("""COMPUTED_VALUE"""),"Spices (roots and rhizome)")</f>
        <v>Spices (roots and rhizome)</v>
      </c>
    </row>
    <row r="340" spans="1:1" ht="12.5" x14ac:dyDescent="0.25">
      <c r="A340" t="str">
        <f ca="1">IFERROR(__xludf.DUMMYFUNCTION("""COMPUTED_VALUE"""),"Spices (seeds)")</f>
        <v>Spices (seeds)</v>
      </c>
    </row>
    <row r="341" spans="1:1" ht="12.5" x14ac:dyDescent="0.25">
      <c r="A341" t="str">
        <f ca="1">IFERROR(__xludf.DUMMYFUNCTION("""COMPUTED_VALUE"""),"Spinach")</f>
        <v>Spinach</v>
      </c>
    </row>
    <row r="342" spans="1:1" ht="12.5" x14ac:dyDescent="0.25">
      <c r="A342" t="str">
        <f ca="1">IFERROR(__xludf.DUMMYFUNCTION("""COMPUTED_VALUE"""),"Spinach and similar (leaves)")</f>
        <v>Spinach and similar (leaves)</v>
      </c>
    </row>
    <row r="343" spans="1:1" ht="12.5" x14ac:dyDescent="0.25">
      <c r="A343" t="str">
        <f ca="1">IFERROR(__xludf.DUMMYFUNCTION("""COMPUTED_VALUE"""),"Spring onions")</f>
        <v>Spring onions</v>
      </c>
    </row>
    <row r="344" spans="1:1" ht="12.5" x14ac:dyDescent="0.25">
      <c r="A344" t="str">
        <f ca="1">IFERROR(__xludf.DUMMYFUNCTION("""COMPUTED_VALUE"""),"Star apple")</f>
        <v>Star apple</v>
      </c>
    </row>
    <row r="345" spans="1:1" ht="12.5" x14ac:dyDescent="0.25">
      <c r="A345" t="str">
        <f ca="1">IFERROR(__xludf.DUMMYFUNCTION("""COMPUTED_VALUE"""),"Stem vegetables, fresh")</f>
        <v>Stem vegetables, fresh</v>
      </c>
    </row>
    <row r="346" spans="1:1" ht="12.5" x14ac:dyDescent="0.25">
      <c r="A346" t="str">
        <f ca="1">IFERROR(__xludf.DUMMYFUNCTION("""COMPUTED_VALUE"""),"Stone fruit")</f>
        <v>Stone fruit</v>
      </c>
    </row>
    <row r="347" spans="1:1" ht="12.5" x14ac:dyDescent="0.25">
      <c r="A347" t="str">
        <f ca="1">IFERROR(__xludf.DUMMYFUNCTION("""COMPUTED_VALUE"""),"Strawberries")</f>
        <v>Strawberries</v>
      </c>
    </row>
    <row r="348" spans="1:1" ht="12.5" x14ac:dyDescent="0.25">
      <c r="A348" t="str">
        <f ca="1">IFERROR(__xludf.DUMMYFUNCTION("""COMPUTED_VALUE"""),"Strawberry leaves")</f>
        <v>Strawberry leaves</v>
      </c>
    </row>
    <row r="349" spans="1:1" ht="12.5" x14ac:dyDescent="0.25">
      <c r="A349" t="str">
        <f ca="1">IFERROR(__xludf.DUMMYFUNCTION("""COMPUTED_VALUE"""),"Sugar beet")</f>
        <v>Sugar beet</v>
      </c>
    </row>
    <row r="350" spans="1:1" ht="12.5" x14ac:dyDescent="0.25">
      <c r="A350" t="str">
        <f ca="1">IFERROR(__xludf.DUMMYFUNCTION("""COMPUTED_VALUE"""),"Sugar cane")</f>
        <v>Sugar cane</v>
      </c>
    </row>
    <row r="351" spans="1:1" ht="12.5" x14ac:dyDescent="0.25">
      <c r="A351" t="str">
        <f ca="1">IFERROR(__xludf.DUMMYFUNCTION("""COMPUTED_VALUE"""),"Sugar Plants")</f>
        <v>Sugar Plants</v>
      </c>
    </row>
    <row r="352" spans="1:1" ht="12.5" x14ac:dyDescent="0.25">
      <c r="A352" t="str">
        <f ca="1">IFERROR(__xludf.DUMMYFUNCTION("""COMPUTED_VALUE"""),"Sunflower seed")</f>
        <v>Sunflower seed</v>
      </c>
    </row>
    <row r="353" spans="1:1" ht="12.5" x14ac:dyDescent="0.25">
      <c r="A353" t="str">
        <f ca="1">IFERROR(__xludf.DUMMYFUNCTION("""COMPUTED_VALUE"""),"Swedes")</f>
        <v>Swedes</v>
      </c>
    </row>
    <row r="354" spans="1:1" ht="12.5" x14ac:dyDescent="0.25">
      <c r="A354" t="str">
        <f ca="1">IFERROR(__xludf.DUMMYFUNCTION("""COMPUTED_VALUE"""),"Sweet corn")</f>
        <v>Sweet corn</v>
      </c>
    </row>
    <row r="355" spans="1:1" ht="12.5" x14ac:dyDescent="0.25">
      <c r="A355" t="str">
        <f ca="1">IFERROR(__xludf.DUMMYFUNCTION("""COMPUTED_VALUE"""),"Sweet potatoes")</f>
        <v>Sweet potatoes</v>
      </c>
    </row>
    <row r="356" spans="1:1" ht="12.5" x14ac:dyDescent="0.25">
      <c r="A356" t="str">
        <f ca="1">IFERROR(__xludf.DUMMYFUNCTION("""COMPUTED_VALUE"""),"Swine")</f>
        <v>Swine</v>
      </c>
    </row>
    <row r="357" spans="1:1" ht="12.5" x14ac:dyDescent="0.25">
      <c r="A357" t="str">
        <f ca="1">IFERROR(__xludf.DUMMYFUNCTION("""COMPUTED_VALUE"""),"Swine Edible offal")</f>
        <v>Swine Edible offal</v>
      </c>
    </row>
    <row r="358" spans="1:1" ht="12.5" x14ac:dyDescent="0.25">
      <c r="A358" t="str">
        <f ca="1">IFERROR(__xludf.DUMMYFUNCTION("""COMPUTED_VALUE"""),"Swine Fat free of lean meat")</f>
        <v>Swine Fat free of lean meat</v>
      </c>
    </row>
    <row r="359" spans="1:1" ht="12.5" x14ac:dyDescent="0.25">
      <c r="A359" t="str">
        <f ca="1">IFERROR(__xludf.DUMMYFUNCTION("""COMPUTED_VALUE"""),"Swine Kidney")</f>
        <v>Swine Kidney</v>
      </c>
    </row>
    <row r="360" spans="1:1" ht="12.5" x14ac:dyDescent="0.25">
      <c r="A360" t="str">
        <f ca="1">IFERROR(__xludf.DUMMYFUNCTION("""COMPUTED_VALUE"""),"Swine Liver")</f>
        <v>Swine Liver</v>
      </c>
    </row>
    <row r="361" spans="1:1" ht="12.5" x14ac:dyDescent="0.25">
      <c r="A361" t="str">
        <f ca="1">IFERROR(__xludf.DUMMYFUNCTION("""COMPUTED_VALUE"""),"Swine Meat")</f>
        <v>Swine Meat</v>
      </c>
    </row>
    <row r="362" spans="1:1" ht="12.5" x14ac:dyDescent="0.25">
      <c r="A362" t="str">
        <f ca="1">IFERROR(__xludf.DUMMYFUNCTION("""COMPUTED_VALUE"""),"Swine Others")</f>
        <v>Swine Others</v>
      </c>
    </row>
    <row r="363" spans="1:1" ht="12.5" x14ac:dyDescent="0.25">
      <c r="A363" t="str">
        <f ca="1">IFERROR(__xludf.DUMMYFUNCTION("""COMPUTED_VALUE"""),"Table and Wine grapes")</f>
        <v>Table and Wine grapes</v>
      </c>
    </row>
    <row r="364" spans="1:1" ht="12.5" x14ac:dyDescent="0.25">
      <c r="A364" t="str">
        <f ca="1">IFERROR(__xludf.DUMMYFUNCTION("""COMPUTED_VALUE"""),"Table grapes")</f>
        <v>Table grapes</v>
      </c>
    </row>
    <row r="365" spans="1:1" ht="12.5" x14ac:dyDescent="0.25">
      <c r="A365" t="str">
        <f ca="1">IFERROR(__xludf.DUMMYFUNCTION("""COMPUTED_VALUE"""),"Table olives")</f>
        <v>Table olives</v>
      </c>
    </row>
    <row r="366" spans="1:1" ht="12.5" x14ac:dyDescent="0.25">
      <c r="A366" t="str">
        <f ca="1">IFERROR(__xludf.DUMMYFUNCTION("""COMPUTED_VALUE"""),"Tamarind")</f>
        <v>Tamarind</v>
      </c>
    </row>
    <row r="367" spans="1:1" ht="12.5" x14ac:dyDescent="0.25">
      <c r="A367" t="str">
        <f ca="1">IFERROR(__xludf.DUMMYFUNCTION("""COMPUTED_VALUE"""),"Tarragon")</f>
        <v>Tarragon</v>
      </c>
    </row>
    <row r="368" spans="1:1" ht="12.5" x14ac:dyDescent="0.25">
      <c r="A368" t="str">
        <f ca="1">IFERROR(__xludf.DUMMYFUNCTION("""COMPUTED_VALUE"""),"Tea")</f>
        <v>Tea</v>
      </c>
    </row>
    <row r="369" spans="1:1" ht="12.5" x14ac:dyDescent="0.25">
      <c r="A369" t="str">
        <f ca="1">IFERROR(__xludf.DUMMYFUNCTION("""COMPUTED_VALUE"""),"Tea, Coffee, Herbal infusions and Cocoa")</f>
        <v>Tea, Coffee, Herbal infusions and Cocoa</v>
      </c>
    </row>
    <row r="370" spans="1:1" ht="12.5" x14ac:dyDescent="0.25">
      <c r="A370" t="str">
        <f ca="1">IFERROR(__xludf.DUMMYFUNCTION("""COMPUTED_VALUE"""),"Thyme")</f>
        <v>Thyme</v>
      </c>
    </row>
    <row r="371" spans="1:1" ht="12.5" x14ac:dyDescent="0.25">
      <c r="A371" t="str">
        <f ca="1">IFERROR(__xludf.DUMMYFUNCTION("""COMPUTED_VALUE"""),"Tomatoes")</f>
        <v>Tomatoes</v>
      </c>
    </row>
    <row r="372" spans="1:1" ht="12.5" x14ac:dyDescent="0.25">
      <c r="A372" t="str">
        <f ca="1">IFERROR(__xludf.DUMMYFUNCTION("""COMPUTED_VALUE"""),"Tree nuts, shelled or unshelled")</f>
        <v>Tree nuts, shelled or unshelled</v>
      </c>
    </row>
    <row r="373" spans="1:1" ht="12.5" x14ac:dyDescent="0.25">
      <c r="A373" t="str">
        <f ca="1">IFERROR(__xludf.DUMMYFUNCTION("""COMPUTED_VALUE"""),"Tropical root and tuber vegetables")</f>
        <v>Tropical root and tuber vegetables</v>
      </c>
    </row>
    <row r="374" spans="1:1" ht="12.5" x14ac:dyDescent="0.25">
      <c r="A374" t="str">
        <f ca="1">IFERROR(__xludf.DUMMYFUNCTION("""COMPUTED_VALUE"""),"Turmeric (Curcuma)")</f>
        <v>Turmeric (Curcuma)</v>
      </c>
    </row>
    <row r="375" spans="1:1" ht="12.5" x14ac:dyDescent="0.25">
      <c r="A375" t="str">
        <f ca="1">IFERROR(__xludf.DUMMYFUNCTION("""COMPUTED_VALUE"""),"Turnips")</f>
        <v>Turnips</v>
      </c>
    </row>
    <row r="376" spans="1:1" ht="12.5" x14ac:dyDescent="0.25">
      <c r="A376" t="str">
        <f ca="1">IFERROR(__xludf.DUMMYFUNCTION("""COMPUTED_VALUE"""),"Valerian root")</f>
        <v>Valerian root</v>
      </c>
    </row>
    <row r="377" spans="1:1" ht="12.5" x14ac:dyDescent="0.25">
      <c r="A377" t="str">
        <f ca="1">IFERROR(__xludf.DUMMYFUNCTION("""COMPUTED_VALUE"""),"Vanilla pods")</f>
        <v>Vanilla pods</v>
      </c>
    </row>
    <row r="378" spans="1:1" ht="12.5" x14ac:dyDescent="0.25">
      <c r="A378" t="str">
        <f ca="1">IFERROR(__xludf.DUMMYFUNCTION("""COMPUTED_VALUE"""),"Vegetables Fresh or Frozen")</f>
        <v>Vegetables Fresh or Frozen</v>
      </c>
    </row>
    <row r="379" spans="1:1" ht="12.5" x14ac:dyDescent="0.25">
      <c r="A379" t="str">
        <f ca="1">IFERROR(__xludf.DUMMYFUNCTION("""COMPUTED_VALUE"""),"Vine leaves (grape leaves)")</f>
        <v>Vine leaves (grape leaves)</v>
      </c>
    </row>
    <row r="380" spans="1:1" ht="12.5" x14ac:dyDescent="0.25">
      <c r="A380" t="str">
        <f ca="1">IFERROR(__xludf.DUMMYFUNCTION("""COMPUTED_VALUE"""),"Walnuts")</f>
        <v>Walnuts</v>
      </c>
    </row>
    <row r="381" spans="1:1" ht="12.5" x14ac:dyDescent="0.25">
      <c r="A381" t="str">
        <f ca="1">IFERROR(__xludf.DUMMYFUNCTION("""COMPUTED_VALUE"""),"Water")</f>
        <v>Water</v>
      </c>
    </row>
    <row r="382" spans="1:1" ht="12.5" x14ac:dyDescent="0.25">
      <c r="A382" t="str">
        <f ca="1">IFERROR(__xludf.DUMMYFUNCTION("""COMPUTED_VALUE"""),"Water cress")</f>
        <v>Water cress</v>
      </c>
    </row>
    <row r="383" spans="1:1" ht="12.5" x14ac:dyDescent="0.25">
      <c r="A383" t="str">
        <f ca="1">IFERROR(__xludf.DUMMYFUNCTION("""COMPUTED_VALUE"""),"Watermelons")</f>
        <v>Watermelons</v>
      </c>
    </row>
    <row r="384" spans="1:1" ht="12.5" x14ac:dyDescent="0.25">
      <c r="A384" t="str">
        <f ca="1">IFERROR(__xludf.DUMMYFUNCTION("""COMPUTED_VALUE"""),"Wheat")</f>
        <v>Wheat</v>
      </c>
    </row>
    <row r="385" spans="1:1" ht="12.5" x14ac:dyDescent="0.25">
      <c r="A385" t="str">
        <f ca="1">IFERROR(__xludf.DUMMYFUNCTION("""COMPUTED_VALUE"""),"Wild fungi")</f>
        <v>Wild fungi</v>
      </c>
    </row>
    <row r="386" spans="1:1" ht="12.5" x14ac:dyDescent="0.25">
      <c r="A386" t="str">
        <f ca="1">IFERROR(__xludf.DUMMYFUNCTION("""COMPUTED_VALUE"""),"Wine grapes")</f>
        <v>Wine grapes</v>
      </c>
    </row>
    <row r="387" spans="1:1" ht="12.5" x14ac:dyDescent="0.25">
      <c r="A387" t="str">
        <f ca="1">IFERROR(__xludf.DUMMYFUNCTION("""COMPUTED_VALUE"""),"Witloof")</f>
        <v>Witloof</v>
      </c>
    </row>
    <row r="388" spans="1:1" ht="12.5" x14ac:dyDescent="0.25">
      <c r="A388" t="str">
        <f ca="1">IFERROR(__xludf.DUMMYFUNCTION("""COMPUTED_VALUE"""),"Yams")</f>
        <v>Yams</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78"/>
  <sheetViews>
    <sheetView workbookViewId="0"/>
  </sheetViews>
  <sheetFormatPr defaultColWidth="14.453125" defaultRowHeight="15.75" customHeight="1" x14ac:dyDescent="0.25"/>
  <sheetData>
    <row r="1" spans="1:39" ht="15.75" customHeight="1" x14ac:dyDescent="0.3">
      <c r="A1" s="22" t="str">
        <f ca="1">IFERROR(__xludf.DUMMYFUNCTION("importrange(""https://docs.google.com/spreadsheets/d/1C6N4-YWX9OMmNStd2rYlSUaVys-aiJGLj00cD44aVc8/edit#gid=1894320575"",""Model Sub-Class!A1:AM500"")"),"(Data)")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x14ac:dyDescent="0.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IFERROR(__xludf.DUMMYFUNCTION("""COMPUTED_VALUE"""),"Growth")</f>
        <v>Growth</v>
      </c>
      <c r="F2" t="str">
        <f ca="1">IFERROR(__xludf.DUMMYFUNCTION("""COMPUTED_VALUE"""),"Sub-Class_Predictive model_1")</f>
        <v>Sub-Class_Predictive model_1</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x14ac:dyDescent="0.25">
      <c r="E3" t="str">
        <f ca="1">IFERROR(__xludf.DUMMYFUNCTION("""COMPUTED_VALUE"""),"Growth boundary model")</f>
        <v>Growth boundary model</v>
      </c>
      <c r="F3" t="str">
        <f ca="1">IFERROR(__xludf.DUMMYFUNCTION("""COMPUTED_VALUE"""),"Sub-Class_Predictive model_2")</f>
        <v>Sub-Class_Predictive model_2</v>
      </c>
      <c r="I3" t="str">
        <f ca="1">IFERROR(__xludf.DUMMYFUNCTION("""COMPUTED_VALUE"""),"Epidemiological models")</f>
        <v>Epidemiological models</v>
      </c>
      <c r="J3" t="str">
        <f ca="1">IFERROR(__xludf.DUMMYFUNCTION("""COMPUTED_VALUE"""),"Sub-Class_EM_4")</f>
        <v>Sub-Class_EM_4</v>
      </c>
      <c r="M3" t="str">
        <f ca="1">IFERROR(__xludf.DUMMYFUNCTION("""COMPUTED_VALUE"""),"ANIMAL FARM")</f>
        <v>ANIMAL FARM</v>
      </c>
      <c r="N3" t="str">
        <f ca="1">IFERROR(__xludf.DUMMYFUNCTION("""COMPUTED_VALUE"""),"Sub-Class_Process model_1")</f>
        <v>Sub-Class_Process model_1</v>
      </c>
      <c r="Y3" t="str">
        <f ca="1">IFERROR(__xludf.DUMMYFUNCTION("""COMPUTED_VALUE"""),"Children")</f>
        <v>Children</v>
      </c>
      <c r="Z3" t="str">
        <f ca="1">IFERROR(__xludf.DUMMYFUNCTION("""COMPUTED_VALUE"""),"Sub-Class_DR_4")</f>
        <v>Sub-Class_DR_4</v>
      </c>
      <c r="AG3" t="str">
        <f ca="1">IFERROR(__xludf.DUMMYFUNCTION("""COMPUTED_VALUE"""),"Cost per illness")</f>
        <v>Cost per illness</v>
      </c>
      <c r="AH3" t="str">
        <f ca="1">IFERROR(__xludf.DUMMYFUNCTION("""COMPUTED_VALUE"""),"Sub-Class_HM_3")</f>
        <v>Sub-Class_HM_3</v>
      </c>
      <c r="AK3" t="str">
        <f ca="1">IFERROR(__xludf.DUMMYFUNCTION("""COMPUTED_VALUE"""),"QCRA")</f>
        <v>QCRA</v>
      </c>
      <c r="AL3" t="str">
        <f ca="1">IFERROR(__xludf.DUMMYFUNCTION("""COMPUTED_VALUE"""),"Sub-Class_QRA_2")</f>
        <v>Sub-Class_QRA_2</v>
      </c>
      <c r="AM3" t="str">
        <f ca="1">IFERROR(__xludf.DUMMYFUNCTION("""COMPUTED_VALUE"""),"Quantitative chemical risk assessment model")</f>
        <v>Quantitative chemical risk assessment model</v>
      </c>
    </row>
    <row r="4" spans="1:39" ht="12.5" x14ac:dyDescent="0.25">
      <c r="E4" t="str">
        <f ca="1">IFERROR(__xludf.DUMMYFUNCTION("""COMPUTED_VALUE"""),"Inactivation")</f>
        <v>Inactivation</v>
      </c>
      <c r="F4" t="str">
        <f ca="1">IFERROR(__xludf.DUMMYFUNCTION("""COMPUTED_VALUE"""),"Sub-Class_Predictive model_3")</f>
        <v>Sub-Class_Predictive model_3</v>
      </c>
      <c r="I4" t="str">
        <f ca="1">IFERROR(__xludf.DUMMYFUNCTION("""COMPUTED_VALUE"""),"Fluid dynamic models")</f>
        <v>Fluid dynamic models</v>
      </c>
      <c r="J4" t="str">
        <f ca="1">IFERROR(__xludf.DUMMYFUNCTION("""COMPUTED_VALUE"""),"Sub-Class_EM_5")</f>
        <v>Sub-Class_EM_5</v>
      </c>
      <c r="M4" t="str">
        <f ca="1">IFERROR(__xludf.DUMMYFUNCTION("""COMPUTED_VALUE"""),"CONSUMER")</f>
        <v>CONSUMER</v>
      </c>
      <c r="N4" t="str">
        <f ca="1">IFERROR(__xludf.DUMMYFUNCTION("""COMPUTED_VALUE"""),"Sub-Class_Process model_74")</f>
        <v>Sub-Class_Process model_74</v>
      </c>
      <c r="Y4" t="str">
        <f ca="1">IFERROR(__xludf.DUMMYFUNCTION("""COMPUTED_VALUE"""),"Elderly")</f>
        <v>Elderly</v>
      </c>
      <c r="Z4" t="str">
        <f ca="1">IFERROR(__xludf.DUMMYFUNCTION("""COMPUTED_VALUE"""),"Sub-Class_DR_3")</f>
        <v>Sub-Class_DR_3</v>
      </c>
      <c r="AG4" t="str">
        <f ca="1">IFERROR(__xludf.DUMMYFUNCTION("""COMPUTED_VALUE"""),"DALY ")</f>
        <v xml:space="preserve">DALY </v>
      </c>
      <c r="AH4" t="str">
        <f ca="1">IFERROR(__xludf.DUMMYFUNCTION("""COMPUTED_VALUE"""),"Sub-Class_HM_1")</f>
        <v>Sub-Class_HM_1</v>
      </c>
      <c r="AI4" t="str">
        <f ca="1">IFERROR(__xludf.DUMMYFUNCTION("""COMPUTED_VALUE"""),"Disability-Adjusted Life-Year")</f>
        <v>Disability-Adjusted Life-Year</v>
      </c>
      <c r="AK4" t="str">
        <f ca="1">IFERROR(__xludf.DUMMYFUNCTION("""COMPUTED_VALUE"""),"QMRA")</f>
        <v>QMRA</v>
      </c>
      <c r="AL4" t="str">
        <f ca="1">IFERROR(__xludf.DUMMYFUNCTION("""COMPUTED_VALUE"""),"Sub-Class_QRA_1")</f>
        <v>Sub-Class_QRA_1</v>
      </c>
      <c r="AM4" t="str">
        <f ca="1">IFERROR(__xludf.DUMMYFUNCTION("""COMPUTED_VALUE"""),"Quantitative microbial risk assessment model")</f>
        <v>Quantitative microbial risk assessment model</v>
      </c>
    </row>
    <row r="5" spans="1:39" ht="12.5" x14ac:dyDescent="0.25">
      <c r="E5" t="str">
        <f ca="1">IFERROR(__xludf.DUMMYFUNCTION("""COMPUTED_VALUE"""),"Maximum population density (MPD)")</f>
        <v>Maximum population density (MPD)</v>
      </c>
      <c r="F5" t="str">
        <f ca="1">IFERROR(__xludf.DUMMYFUNCTION("""COMPUTED_VALUE"""),"Sub-Class_Predictive model_4")</f>
        <v>Sub-Class_Predictive model_4</v>
      </c>
      <c r="I5" t="str">
        <f ca="1">IFERROR(__xludf.DUMMYFUNCTION("""COMPUTED_VALUE"""),"Other  ")</f>
        <v xml:space="preserve">Other  </v>
      </c>
      <c r="J5" t="str">
        <f ca="1">IFERROR(__xludf.DUMMYFUNCTION("""COMPUTED_VALUE"""),"Sub-Class_EM_6")</f>
        <v>Sub-Class_EM_6</v>
      </c>
      <c r="M5" t="str">
        <f ca="1">IFERROR(__xludf.DUMMYFUNCTION("""COMPUTED_VALUE"""),"CROP FARM")</f>
        <v>CROP FARM</v>
      </c>
      <c r="N5" t="str">
        <f ca="1">IFERROR(__xludf.DUMMYFUNCTION("""COMPUTED_VALUE"""),"Sub-Class_Process model_2")</f>
        <v>Sub-Class_Process model_2</v>
      </c>
      <c r="Y5" t="str">
        <f ca="1">IFERROR(__xludf.DUMMYFUNCTION("""COMPUTED_VALUE"""),"Imunocompromised ")</f>
        <v xml:space="preserve">Imunocompromised </v>
      </c>
      <c r="Z5" t="str">
        <f ca="1">IFERROR(__xludf.DUMMYFUNCTION("""COMPUTED_VALUE"""),"Sub-Class_DR_2")</f>
        <v>Sub-Class_DR_2</v>
      </c>
      <c r="AG5" t="str">
        <f ca="1">IFERROR(__xludf.DUMMYFUNCTION("""COMPUTED_VALUE"""),"QALY")</f>
        <v>QALY</v>
      </c>
      <c r="AH5" t="str">
        <f ca="1">IFERROR(__xludf.DUMMYFUNCTION("""COMPUTED_VALUE"""),"Sub-Class_HM_2")</f>
        <v>Sub-Class_HM_2</v>
      </c>
      <c r="AI5" t="str">
        <f ca="1">IFERROR(__xludf.DUMMYFUNCTION("""COMPUTED_VALUE"""),"Quality-adjusted life year")</f>
        <v>Quality-adjusted life year</v>
      </c>
    </row>
    <row r="6" spans="1:39" ht="12.5" x14ac:dyDescent="0.25">
      <c r="E6" t="str">
        <f ca="1">IFERROR(__xludf.DUMMYFUNCTION("""COMPUTED_VALUE"""),"Metabolite formation")</f>
        <v>Metabolite formation</v>
      </c>
      <c r="F6" t="str">
        <f ca="1">IFERROR(__xludf.DUMMYFUNCTION("""COMPUTED_VALUE"""),"Sub-Class_Predictive model_5")</f>
        <v>Sub-Class_Predictive model_5</v>
      </c>
      <c r="I6" t="str">
        <f ca="1">IFERROR(__xludf.DUMMYFUNCTION("""COMPUTED_VALUE"""),"Pharmacokinetics models")</f>
        <v>Pharmacokinetics models</v>
      </c>
      <c r="J6" t="str">
        <f ca="1">IFERROR(__xludf.DUMMYFUNCTION("""COMPUTED_VALUE"""),"Sub-Class_EM_1")</f>
        <v>Sub-Class_EM_1</v>
      </c>
      <c r="M6" t="str">
        <f ca="1">IFERROR(__xludf.DUMMYFUNCTION("""COMPUTED_VALUE"""),"FISHERY")</f>
        <v>FISHERY</v>
      </c>
      <c r="N6" t="str">
        <f ca="1">IFERROR(__xludf.DUMMYFUNCTION("""COMPUTED_VALUE"""),"Sub-Class_Process model_3")</f>
        <v>Sub-Class_Process model_3</v>
      </c>
      <c r="Y6" t="str">
        <f ca="1">IFERROR(__xludf.DUMMYFUNCTION("""COMPUTED_VALUE"""),"Other")</f>
        <v>Other</v>
      </c>
      <c r="Z6" t="str">
        <f ca="1">IFERROR(__xludf.DUMMYFUNCTION("""COMPUTED_VALUE"""),"Sub-Class_DR_5")</f>
        <v>Sub-Class_DR_5</v>
      </c>
    </row>
    <row r="7" spans="1:39" ht="12.5" x14ac:dyDescent="0.25">
      <c r="E7" t="str">
        <f ca="1">IFERROR(__xludf.DUMMYFUNCTION("""COMPUTED_VALUE"""),"Other")</f>
        <v>Other</v>
      </c>
      <c r="F7" t="str">
        <f ca="1">IFERROR(__xludf.DUMMYFUNCTION("""COMPUTED_VALUE"""),"Sub-Class_Predictive model_12")</f>
        <v>Sub-Class_Predictive model_12</v>
      </c>
      <c r="I7" t="str">
        <f ca="1">IFERROR(__xludf.DUMMYFUNCTION("""COMPUTED_VALUE"""),"Temporary models")</f>
        <v>Temporary models</v>
      </c>
      <c r="J7" t="str">
        <f ca="1">IFERROR(__xludf.DUMMYFUNCTION("""COMPUTED_VALUE"""),"Sub-Class_EM_3")</f>
        <v>Sub-Class_EM_3</v>
      </c>
      <c r="M7" t="str">
        <f ca="1">IFERROR(__xludf.DUMMYFUNCTION("""COMPUTED_VALUE"""),"FOOD SERVICE")</f>
        <v>FOOD SERVICE</v>
      </c>
      <c r="N7" t="str">
        <f ca="1">IFERROR(__xludf.DUMMYFUNCTION("""COMPUTED_VALUE"""),"Sub-Class_Process model_75")</f>
        <v>Sub-Class_Process model_75</v>
      </c>
      <c r="Y7" t="str">
        <f ca="1">IFERROR(__xludf.DUMMYFUNCTION("""COMPUTED_VALUE"""),"Pregnant ")</f>
        <v xml:space="preserve">Pregnant </v>
      </c>
      <c r="Z7" t="str">
        <f ca="1">IFERROR(__xludf.DUMMYFUNCTION("""COMPUTED_VALUE"""),"Sub-Class_DR_1")</f>
        <v>Sub-Class_DR_1</v>
      </c>
    </row>
    <row r="8" spans="1:39" ht="12.5" x14ac:dyDescent="0.25">
      <c r="E8" t="str">
        <f ca="1">IFERROR(__xludf.DUMMYFUNCTION("""COMPUTED_VALUE"""),"Primary")</f>
        <v>Primary</v>
      </c>
      <c r="F8" t="str">
        <f ca="1">IFERROR(__xludf.DUMMYFUNCTION("""COMPUTED_VALUE"""),"Sub-Class_Predictive model_9")</f>
        <v>Sub-Class_Predictive model_9</v>
      </c>
      <c r="I8" t="str">
        <f ca="1">IFERROR(__xludf.DUMMYFUNCTION("""COMPUTED_VALUE"""),"Time-temperature models")</f>
        <v>Time-temperature models</v>
      </c>
      <c r="J8" t="str">
        <f ca="1">IFERROR(__xludf.DUMMYFUNCTION("""COMPUTED_VALUE"""),"Sub-Class_EM_2")</f>
        <v>Sub-Class_EM_2</v>
      </c>
      <c r="M8" t="str">
        <f ca="1">IFERROR(__xludf.DUMMYFUNCTION("""COMPUTED_VALUE"""),"OTHER")</f>
        <v>OTHER</v>
      </c>
      <c r="N8" t="str">
        <f ca="1">IFERROR(__xludf.DUMMYFUNCTION("""COMPUTED_VALUE"""),"Sub-Class_Process model_76")</f>
        <v>Sub-Class_Process model_76</v>
      </c>
    </row>
    <row r="9" spans="1:39" ht="12.5" x14ac:dyDescent="0.25">
      <c r="E9" t="str">
        <f ca="1">IFERROR(__xludf.DUMMYFUNCTION("""COMPUTED_VALUE"""),"Primary-secondary")</f>
        <v>Primary-secondary</v>
      </c>
      <c r="F9" t="str">
        <f ca="1">IFERROR(__xludf.DUMMYFUNCTION("""COMPUTED_VALUE"""),"Sub-Class_Predictive model_11")</f>
        <v>Sub-Class_Predictive model_11</v>
      </c>
      <c r="M9" t="str">
        <f ca="1">IFERROR(__xludf.DUMMYFUNCTION("""COMPUTED_VALUE"""),"PROCESSING CENTER-SLAUGHTER")</f>
        <v>PROCESSING CENTER-SLAUGHTER</v>
      </c>
      <c r="N9" t="str">
        <f ca="1">IFERROR(__xludf.DUMMYFUNCTION("""COMPUTED_VALUE"""),"Sub-Class_Process model_4")</f>
        <v>Sub-Class_Process model_4</v>
      </c>
    </row>
    <row r="10" spans="1:39" ht="12.5" x14ac:dyDescent="0.25">
      <c r="E10" t="str">
        <f ca="1">IFERROR(__xludf.DUMMYFUNCTION("""COMPUTED_VALUE"""),"Secondary")</f>
        <v>Secondary</v>
      </c>
      <c r="F10" t="str">
        <f ca="1">IFERROR(__xludf.DUMMYFUNCTION("""COMPUTED_VALUE"""),"Sub-Class_Predictive model_10")</f>
        <v>Sub-Class_Predictive model_10</v>
      </c>
      <c r="M10" t="str">
        <f ca="1">IFERROR(__xludf.DUMMYFUNCTION("""COMPUTED_VALUE"""),"PROCESSING CENTER-SLAUGHTER: Canning")</f>
        <v>PROCESSING CENTER-SLAUGHTER: Canning</v>
      </c>
      <c r="N10" t="str">
        <f ca="1">IFERROR(__xludf.DUMMYFUNCTION("""COMPUTED_VALUE"""),"Sub-Class_Process model_25")</f>
        <v>Sub-Class_Process model_25</v>
      </c>
    </row>
    <row r="11" spans="1:39" ht="12.5" x14ac:dyDescent="0.25">
      <c r="E11" t="str">
        <f ca="1">IFERROR(__xludf.DUMMYFUNCTION("""COMPUTED_VALUE"""),"Spoilage")</f>
        <v>Spoilage</v>
      </c>
      <c r="F11" t="str">
        <f ca="1">IFERROR(__xludf.DUMMYFUNCTION("""COMPUTED_VALUE"""),"Sub-Class_Predictive model_6")</f>
        <v>Sub-Class_Predictive model_6</v>
      </c>
      <c r="M11" t="str">
        <f ca="1">IFERROR(__xludf.DUMMYFUNCTION("""COMPUTED_VALUE"""),"PROCESSING CENTER-SLAUGHTER: Churning")</f>
        <v>PROCESSING CENTER-SLAUGHTER: Churning</v>
      </c>
      <c r="N11" t="str">
        <f ca="1">IFERROR(__xludf.DUMMYFUNCTION("""COMPUTED_VALUE"""),"Sub-Class_Process model_39")</f>
        <v>Sub-Class_Process model_39</v>
      </c>
    </row>
    <row r="12" spans="1:39" ht="12.5" x14ac:dyDescent="0.25">
      <c r="E12" t="str">
        <f ca="1">IFERROR(__xludf.DUMMYFUNCTION("""COMPUTED_VALUE"""),"Survival")</f>
        <v>Survival</v>
      </c>
      <c r="F12" t="str">
        <f ca="1">IFERROR(__xludf.DUMMYFUNCTION("""COMPUTED_VALUE"""),"Sub-Class_Predictive model_7")</f>
        <v>Sub-Class_Predictive model_7</v>
      </c>
      <c r="M12" t="str">
        <f ca="1">IFERROR(__xludf.DUMMYFUNCTION("""COMPUTED_VALUE"""),"PROCESSING CENTER-SLAUGHTER: Concentration")</f>
        <v>PROCESSING CENTER-SLAUGHTER: Concentration</v>
      </c>
      <c r="N12" t="str">
        <f ca="1">IFERROR(__xludf.DUMMYFUNCTION("""COMPUTED_VALUE"""),"Sub-Class_Process model_41")</f>
        <v>Sub-Class_Process model_41</v>
      </c>
    </row>
    <row r="13" spans="1:39" ht="12.5" x14ac:dyDescent="0.25">
      <c r="E13" t="str">
        <f ca="1">IFERROR(__xludf.DUMMYFUNCTION("""COMPUTED_VALUE"""),"Transfer")</f>
        <v>Transfer</v>
      </c>
      <c r="F13" t="str">
        <f ca="1">IFERROR(__xludf.DUMMYFUNCTION("""COMPUTED_VALUE"""),"Sub-Class_Predictive model_8")</f>
        <v>Sub-Class_Predictive model_8</v>
      </c>
      <c r="M13" t="str">
        <f ca="1">IFERROR(__xludf.DUMMYFUNCTION("""COMPUTED_VALUE"""),"PROCESSING CENTER-SLAUGHTER: Cooking")</f>
        <v>PROCESSING CENTER-SLAUGHTER: Cooking</v>
      </c>
      <c r="N13" t="str">
        <f ca="1">IFERROR(__xludf.DUMMYFUNCTION("""COMPUTED_VALUE"""),"Sub-Class_Process model_32")</f>
        <v>Sub-Class_Process model_32</v>
      </c>
    </row>
    <row r="14" spans="1:39" ht="12.5" x14ac:dyDescent="0.25">
      <c r="E14" t="str">
        <f ca="1">IFERROR(__xludf.DUMMYFUNCTION("""COMPUTED_VALUE"""),"Value")</f>
        <v>Value</v>
      </c>
      <c r="F14" t="str">
        <f ca="1">IFERROR(__xludf.DUMMYFUNCTION("""COMPUTED_VALUE"""),"ID")</f>
        <v>ID</v>
      </c>
      <c r="M14" t="str">
        <f ca="1">IFERROR(__xludf.DUMMYFUNCTION("""COMPUTED_VALUE"""),"PROCESSING CENTER-SLAUGHTER: Cooking in air (Baking)")</f>
        <v>PROCESSING CENTER-SLAUGHTER: Cooking in air (Baking)</v>
      </c>
      <c r="N14" t="str">
        <f ca="1">IFERROR(__xludf.DUMMYFUNCTION("""COMPUTED_VALUE"""),"Sub-Class_Process model_35")</f>
        <v>Sub-Class_Process model_35</v>
      </c>
    </row>
    <row r="15" spans="1:39" ht="12.5" x14ac:dyDescent="0.25">
      <c r="M15" t="str">
        <f ca="1">IFERROR(__xludf.DUMMYFUNCTION("""COMPUTED_VALUE"""),"PROCESSING CENTER-SLAUGHTER: Cooking in oil (Frying)")</f>
        <v>PROCESSING CENTER-SLAUGHTER: Cooking in oil (Frying)</v>
      </c>
      <c r="N15" t="str">
        <f ca="1">IFERROR(__xludf.DUMMYFUNCTION("""COMPUTED_VALUE"""),"Sub-Class_Process model_34")</f>
        <v>Sub-Class_Process model_34</v>
      </c>
    </row>
    <row r="16" spans="1:39" ht="12.5" x14ac:dyDescent="0.25">
      <c r="M16" t="str">
        <f ca="1">IFERROR(__xludf.DUMMYFUNCTION("""COMPUTED_VALUE"""),"PROCESSING CENTER-SLAUGHTER: Cooking in water")</f>
        <v>PROCESSING CENTER-SLAUGHTER: Cooking in water</v>
      </c>
      <c r="N16" t="str">
        <f ca="1">IFERROR(__xludf.DUMMYFUNCTION("""COMPUTED_VALUE"""),"Sub-Class_Process model_33")</f>
        <v>Sub-Class_Process model_33</v>
      </c>
    </row>
    <row r="17" spans="13:14" ht="12.5" x14ac:dyDescent="0.25">
      <c r="M17" t="str">
        <f ca="1">IFERROR(__xludf.DUMMYFUNCTION("""COMPUTED_VALUE"""),"PROCESSING CENTER-SLAUGHTER: Crushing")</f>
        <v>PROCESSING CENTER-SLAUGHTER: Crushing</v>
      </c>
      <c r="N17" t="str">
        <f ca="1">IFERROR(__xludf.DUMMYFUNCTION("""COMPUTED_VALUE"""),"Sub-Class_Process model_51")</f>
        <v>Sub-Class_Process model_51</v>
      </c>
    </row>
    <row r="18" spans="13:14" ht="12.5" x14ac:dyDescent="0.25">
      <c r="M18" t="str">
        <f ca="1">IFERROR(__xludf.DUMMYFUNCTION("""COMPUTED_VALUE"""),"PROCESSING CENTER-SLAUGHTER: Decortication")</f>
        <v>PROCESSING CENTER-SLAUGHTER: Decortication</v>
      </c>
      <c r="N18" t="str">
        <f ca="1">IFERROR(__xludf.DUMMYFUNCTION("""COMPUTED_VALUE"""),"Sub-Class_Process model_42")</f>
        <v>Sub-Class_Process model_42</v>
      </c>
    </row>
    <row r="19" spans="13:14" ht="12.5" x14ac:dyDescent="0.25">
      <c r="M19" t="str">
        <f ca="1">IFERROR(__xludf.DUMMYFUNCTION("""COMPUTED_VALUE"""),"PROCESSING CENTER-SLAUGHTER: Dehydration")</f>
        <v>PROCESSING CENTER-SLAUGHTER: Dehydration</v>
      </c>
      <c r="N19" t="str">
        <f ca="1">IFERROR(__xludf.DUMMYFUNCTION("""COMPUTED_VALUE"""),"Sub-Class_Process model_36")</f>
        <v>Sub-Class_Process model_36</v>
      </c>
    </row>
    <row r="20" spans="13:14" ht="12.5" x14ac:dyDescent="0.25">
      <c r="M20" t="str">
        <f ca="1">IFERROR(__xludf.DUMMYFUNCTION("""COMPUTED_VALUE"""),"PROCESSING CENTER-SLAUGHTER: Desugaring")</f>
        <v>PROCESSING CENTER-SLAUGHTER: Desugaring</v>
      </c>
      <c r="N20" t="str">
        <f ca="1">IFERROR(__xludf.DUMMYFUNCTION("""COMPUTED_VALUE"""),"Sub-Class_Process model_52")</f>
        <v>Sub-Class_Process model_52</v>
      </c>
    </row>
    <row r="21" spans="13:14" ht="12.5" x14ac:dyDescent="0.25">
      <c r="M21" t="str">
        <f ca="1">IFERROR(__xludf.DUMMYFUNCTION("""COMPUTED_VALUE"""),"PROCESSING CENTER-SLAUGHTER: Extrusion")</f>
        <v>PROCESSING CENTER-SLAUGHTER: Extrusion</v>
      </c>
      <c r="N21" t="str">
        <f ca="1">IFERROR(__xludf.DUMMYFUNCTION("""COMPUTED_VALUE"""),"Sub-Class_Process model_43")</f>
        <v>Sub-Class_Process model_43</v>
      </c>
    </row>
    <row r="22" spans="13:14" ht="12.5" x14ac:dyDescent="0.25">
      <c r="M22" t="str">
        <f ca="1">IFERROR(__xludf.DUMMYFUNCTION("""COMPUTED_VALUE"""),"PROCESSING CENTER-SLAUGHTER: Fermentation")</f>
        <v>PROCESSING CENTER-SLAUGHTER: Fermentation</v>
      </c>
      <c r="N22" t="str">
        <f ca="1">IFERROR(__xludf.DUMMYFUNCTION("""COMPUTED_VALUE"""),"Sub-Class_Process model_37")</f>
        <v>Sub-Class_Process model_37</v>
      </c>
    </row>
    <row r="23" spans="13:14" ht="12.5" x14ac:dyDescent="0.25">
      <c r="M23" t="str">
        <f ca="1">IFERROR(__xludf.DUMMYFUNCTION("""COMPUTED_VALUE"""),"PROCESSING CENTER-SLAUGHTER: Flaking")</f>
        <v>PROCESSING CENTER-SLAUGHTER: Flaking</v>
      </c>
      <c r="N23" t="str">
        <f ca="1">IFERROR(__xludf.DUMMYFUNCTION("""COMPUTED_VALUE"""),"Sub-Class_Process model_44")</f>
        <v>Sub-Class_Process model_44</v>
      </c>
    </row>
    <row r="24" spans="13:14" ht="12.5" x14ac:dyDescent="0.25">
      <c r="M24" t="str">
        <f ca="1">IFERROR(__xludf.DUMMYFUNCTION("""COMPUTED_VALUE"""),"PROCESSING CENTER-SLAUGHTER: Freezing")</f>
        <v>PROCESSING CENTER-SLAUGHTER: Freezing</v>
      </c>
      <c r="N24" t="str">
        <f ca="1">IFERROR(__xludf.DUMMYFUNCTION("""COMPUTED_VALUE"""),"Sub-Class_Process model_58")</f>
        <v>Sub-Class_Process model_58</v>
      </c>
    </row>
    <row r="25" spans="13:14" ht="12.5" x14ac:dyDescent="0.25">
      <c r="M25" t="str">
        <f ca="1">IFERROR(__xludf.DUMMYFUNCTION("""COMPUTED_VALUE"""),"PROCESSING CENTER-SLAUGHTER: Heating")</f>
        <v>PROCESSING CENTER-SLAUGHTER: Heating</v>
      </c>
      <c r="N25" t="str">
        <f ca="1">IFERROR(__xludf.DUMMYFUNCTION("""COMPUTED_VALUE"""),"Sub-Class_Process model_45")</f>
        <v>Sub-Class_Process model_45</v>
      </c>
    </row>
    <row r="26" spans="13:14" ht="12.5" x14ac:dyDescent="0.25">
      <c r="M26" t="str">
        <f ca="1">IFERROR(__xludf.DUMMYFUNCTION("""COMPUTED_VALUE"""),"PROCESSING CENTER-SLAUGHTER: Hydrogenation")</f>
        <v>PROCESSING CENTER-SLAUGHTER: Hydrogenation</v>
      </c>
      <c r="N26" t="str">
        <f ca="1">IFERROR(__xludf.DUMMYFUNCTION("""COMPUTED_VALUE"""),"Sub-Class_Process model_46")</f>
        <v>Sub-Class_Process model_46</v>
      </c>
    </row>
    <row r="27" spans="13:14" ht="12.5" x14ac:dyDescent="0.25">
      <c r="M27" t="str">
        <f ca="1">IFERROR(__xludf.DUMMYFUNCTION("""COMPUTED_VALUE"""),"PROCESSING CENTER-SLAUGHTER: Hydrolysis")</f>
        <v>PROCESSING CENTER-SLAUGHTER: Hydrolysis</v>
      </c>
      <c r="N27" t="str">
        <f ca="1">IFERROR(__xludf.DUMMYFUNCTION("""COMPUTED_VALUE"""),"Sub-Class_Process model_47")</f>
        <v>Sub-Class_Process model_47</v>
      </c>
    </row>
    <row r="28" spans="13:14" ht="12.5" x14ac:dyDescent="0.25">
      <c r="M28" t="str">
        <f ca="1">IFERROR(__xludf.DUMMYFUNCTION("""COMPUTED_VALUE"""),"PROCESSING CENTER-SLAUGHTER: Infusion-extractions")</f>
        <v>PROCESSING CENTER-SLAUGHTER: Infusion-extractions</v>
      </c>
      <c r="N28" t="str">
        <f ca="1">IFERROR(__xludf.DUMMYFUNCTION("""COMPUTED_VALUE"""),"Sub-Class_Process model_24")</f>
        <v>Sub-Class_Process model_24</v>
      </c>
    </row>
    <row r="29" spans="13:14" ht="12.5" x14ac:dyDescent="0.25">
      <c r="M29" t="str">
        <f ca="1">IFERROR(__xludf.DUMMYFUNCTION("""COMPUTED_VALUE"""),"PROCESSING CENTER-SLAUGHTER: Juicing")</f>
        <v>PROCESSING CENTER-SLAUGHTER: Juicing</v>
      </c>
      <c r="N29" t="str">
        <f ca="1">IFERROR(__xludf.DUMMYFUNCTION("""COMPUTED_VALUE"""),"Sub-Class_Process model_8")</f>
        <v>Sub-Class_Process model_8</v>
      </c>
    </row>
    <row r="30" spans="13:14" ht="12.5" x14ac:dyDescent="0.25">
      <c r="M30" t="str">
        <f ca="1">IFERROR(__xludf.DUMMYFUNCTION("""COMPUTED_VALUE"""),"PROCESSING CENTER-SLAUGHTER: Milk pasteurisation")</f>
        <v>PROCESSING CENTER-SLAUGHTER: Milk pasteurisation</v>
      </c>
      <c r="N30" t="str">
        <f ca="1">IFERROR(__xludf.DUMMYFUNCTION("""COMPUTED_VALUE"""),"Sub-Class_Process model_55")</f>
        <v>Sub-Class_Process model_55</v>
      </c>
    </row>
    <row r="31" spans="13:14" ht="12.5" x14ac:dyDescent="0.25">
      <c r="M31" t="str">
        <f ca="1">IFERROR(__xludf.DUMMYFUNCTION("""COMPUTED_VALUE"""),"PROCESSING CENTER-SLAUGHTER: Milling")</f>
        <v>PROCESSING CENTER-SLAUGHTER: Milling</v>
      </c>
      <c r="N31" t="str">
        <f ca="1">IFERROR(__xludf.DUMMYFUNCTION("""COMPUTED_VALUE"""),"Sub-Class_Process model_15")</f>
        <v>Sub-Class_Process model_15</v>
      </c>
    </row>
    <row r="32" spans="13:14" ht="12.5" x14ac:dyDescent="0.25">
      <c r="M32" t="str">
        <f ca="1">IFERROR(__xludf.DUMMYFUNCTION("""COMPUTED_VALUE"""),"PROCESSING CENTER-SLAUGHTER: Milling - bran production")</f>
        <v>PROCESSING CENTER-SLAUGHTER: Milling - bran production</v>
      </c>
      <c r="N32" t="str">
        <f ca="1">IFERROR(__xludf.DUMMYFUNCTION("""COMPUTED_VALUE"""),"Sub-Class_Process model_18")</f>
        <v>Sub-Class_Process model_18</v>
      </c>
    </row>
    <row r="33" spans="13:14" ht="12.5" x14ac:dyDescent="0.25">
      <c r="M33" t="str">
        <f ca="1">IFERROR(__xludf.DUMMYFUNCTION("""COMPUTED_VALUE"""),"PROCESSING CENTER-SLAUGHTER: Milling - refined flour")</f>
        <v>PROCESSING CENTER-SLAUGHTER: Milling - refined flour</v>
      </c>
      <c r="N33" t="str">
        <f ca="1">IFERROR(__xludf.DUMMYFUNCTION("""COMPUTED_VALUE"""),"Sub-Class_Process model_17")</f>
        <v>Sub-Class_Process model_17</v>
      </c>
    </row>
    <row r="34" spans="13:14" ht="12.5" x14ac:dyDescent="0.25">
      <c r="M34" t="str">
        <f ca="1">IFERROR(__xludf.DUMMYFUNCTION("""COMPUTED_VALUE"""),"PROCESSING CENTER-SLAUGHTER: Milling - unprocessed flour")</f>
        <v>PROCESSING CENTER-SLAUGHTER: Milling - unprocessed flour</v>
      </c>
      <c r="N34" t="str">
        <f ca="1">IFERROR(__xludf.DUMMYFUNCTION("""COMPUTED_VALUE"""),"Sub-Class_Process model_16")</f>
        <v>Sub-Class_Process model_16</v>
      </c>
    </row>
    <row r="35" spans="13:14" ht="12.5" x14ac:dyDescent="0.25">
      <c r="M35" t="str">
        <f ca="1">IFERROR(__xludf.DUMMYFUNCTION("""COMPUTED_VALUE"""),"PROCESSING CENTER-SLAUGHTER: Oil production")</f>
        <v>PROCESSING CENTER-SLAUGHTER: Oil production</v>
      </c>
      <c r="N35" t="str">
        <f ca="1">IFERROR(__xludf.DUMMYFUNCTION("""COMPUTED_VALUE"""),"Sub-Class_Process model_9")</f>
        <v>Sub-Class_Process model_9</v>
      </c>
    </row>
    <row r="36" spans="13:14" ht="12.5" x14ac:dyDescent="0.25">
      <c r="M36" t="str">
        <f ca="1">IFERROR(__xludf.DUMMYFUNCTION("""COMPUTED_VALUE"""),"PROCESSING CENTER-SLAUGHTER: Oil production - Cold press")</f>
        <v>PROCESSING CENTER-SLAUGHTER: Oil production - Cold press</v>
      </c>
      <c r="N36" t="str">
        <f ca="1">IFERROR(__xludf.DUMMYFUNCTION("""COMPUTED_VALUE"""),"Sub-Class_Process model_11")</f>
        <v>Sub-Class_Process model_11</v>
      </c>
    </row>
    <row r="37" spans="13:14" ht="12.5" x14ac:dyDescent="0.25">
      <c r="M37" t="str">
        <f ca="1">IFERROR(__xludf.DUMMYFUNCTION("""COMPUTED_VALUE"""),"PROCESSING CENTER-SLAUGHTER: Oil production - refined oils")</f>
        <v>PROCESSING CENTER-SLAUGHTER: Oil production - refined oils</v>
      </c>
      <c r="N37" t="str">
        <f ca="1">IFERROR(__xludf.DUMMYFUNCTION("""COMPUTED_VALUE"""),"Sub-Class_Process model_13")</f>
        <v>Sub-Class_Process model_13</v>
      </c>
    </row>
    <row r="38" spans="13:14" ht="12.5" x14ac:dyDescent="0.25">
      <c r="M38" t="str">
        <f ca="1">IFERROR(__xludf.DUMMYFUNCTION("""COMPUTED_VALUE"""),"PROCESSING CENTER-SLAUGHTER: Oil production - Solvent Extraction")</f>
        <v>PROCESSING CENTER-SLAUGHTER: Oil production - Solvent Extraction</v>
      </c>
      <c r="N38" t="str">
        <f ca="1">IFERROR(__xludf.DUMMYFUNCTION("""COMPUTED_VALUE"""),"Sub-Class_Process model_14")</f>
        <v>Sub-Class_Process model_14</v>
      </c>
    </row>
    <row r="39" spans="13:14" ht="12.5" x14ac:dyDescent="0.25">
      <c r="M39" t="str">
        <f ca="1">IFERROR(__xludf.DUMMYFUNCTION("""COMPUTED_VALUE"""),"PROCESSING CENTER-SLAUGHTER: Oil production - Virgin oil after cold press")</f>
        <v>PROCESSING CENTER-SLAUGHTER: Oil production - Virgin oil after cold press</v>
      </c>
      <c r="N39" t="str">
        <f ca="1">IFERROR(__xludf.DUMMYFUNCTION("""COMPUTED_VALUE"""),"Sub-Class_Process model_10")</f>
        <v>Sub-Class_Process model_10</v>
      </c>
    </row>
    <row r="40" spans="13:14" ht="12.5" x14ac:dyDescent="0.25">
      <c r="M40" t="str">
        <f ca="1">IFERROR(__xludf.DUMMYFUNCTION("""COMPUTED_VALUE"""),"PROCESSING CENTER-SLAUGHTER: Oil production - Warm press")</f>
        <v>PROCESSING CENTER-SLAUGHTER: Oil production - Warm press</v>
      </c>
      <c r="N40" t="str">
        <f ca="1">IFERROR(__xludf.DUMMYFUNCTION("""COMPUTED_VALUE"""),"Sub-Class_Process model_12")</f>
        <v>Sub-Class_Process model_12</v>
      </c>
    </row>
    <row r="41" spans="13:14" ht="12.5" x14ac:dyDescent="0.25">
      <c r="M41" t="str">
        <f ca="1">IFERROR(__xludf.DUMMYFUNCTION("""COMPUTED_VALUE"""),"PROCESSING CENTER-SLAUGHTER: Other")</f>
        <v>PROCESSING CENTER-SLAUGHTER: Other</v>
      </c>
      <c r="N41" t="str">
        <f ca="1">IFERROR(__xludf.DUMMYFUNCTION("""COMPUTED_VALUE"""),"Sub-Class_Process model_60")</f>
        <v>Sub-Class_Process model_60</v>
      </c>
    </row>
    <row r="42" spans="13:14" ht="12.5" x14ac:dyDescent="0.25">
      <c r="M42" t="str">
        <f ca="1">IFERROR(__xludf.DUMMYFUNCTION("""COMPUTED_VALUE"""),"PROCESSING CENTER-SLAUGHTER: Packaging")</f>
        <v>PROCESSING CENTER-SLAUGHTER: Packaging</v>
      </c>
      <c r="N42" t="str">
        <f ca="1">IFERROR(__xludf.DUMMYFUNCTION("""COMPUTED_VALUE"""),"Sub-Class_Process model_59")</f>
        <v>Sub-Class_Process model_59</v>
      </c>
    </row>
    <row r="43" spans="13:14" ht="12.5" x14ac:dyDescent="0.25">
      <c r="M43" t="str">
        <f ca="1">IFERROR(__xludf.DUMMYFUNCTION("""COMPUTED_VALUE"""),"PROCESSING CENTER-SLAUGHTER: Pasteurisation")</f>
        <v>PROCESSING CENTER-SLAUGHTER: Pasteurisation</v>
      </c>
      <c r="N43" t="str">
        <f ca="1">IFERROR(__xludf.DUMMYFUNCTION("""COMPUTED_VALUE"""),"Sub-Class_Process model_56")</f>
        <v>Sub-Class_Process model_56</v>
      </c>
    </row>
    <row r="44" spans="13:14" ht="12.5" x14ac:dyDescent="0.25">
      <c r="M44" t="str">
        <f ca="1">IFERROR(__xludf.DUMMYFUNCTION("""COMPUTED_VALUE"""),"PROCESSING CENTER-SLAUGHTER: Peeling (edible peel)")</f>
        <v>PROCESSING CENTER-SLAUGHTER: Peeling (edible peel)</v>
      </c>
      <c r="N44" t="str">
        <f ca="1">IFERROR(__xludf.DUMMYFUNCTION("""COMPUTED_VALUE"""),"Sub-Class_Process model_7")</f>
        <v>Sub-Class_Process model_7</v>
      </c>
    </row>
    <row r="45" spans="13:14" ht="12.5" x14ac:dyDescent="0.25">
      <c r="M45" t="str">
        <f ca="1">IFERROR(__xludf.DUMMYFUNCTION("""COMPUTED_VALUE"""),"PROCESSING CENTER-SLAUGHTER: Peeling (inedible peel)")</f>
        <v>PROCESSING CENTER-SLAUGHTER: Peeling (inedible peel)</v>
      </c>
      <c r="N45" t="str">
        <f ca="1">IFERROR(__xludf.DUMMYFUNCTION("""COMPUTED_VALUE"""),"Sub-Class_Process model_6")</f>
        <v>Sub-Class_Process model_6</v>
      </c>
    </row>
    <row r="46" spans="13:14" ht="12.5" x14ac:dyDescent="0.25">
      <c r="M46" t="str">
        <f ca="1">IFERROR(__xludf.DUMMYFUNCTION("""COMPUTED_VALUE"""),"PROCESSING CENTER-SLAUGHTER: Pelleting")</f>
        <v>PROCESSING CENTER-SLAUGHTER: Pelleting</v>
      </c>
      <c r="N46" t="str">
        <f ca="1">IFERROR(__xludf.DUMMYFUNCTION("""COMPUTED_VALUE"""),"Sub-Class_Process model_48")</f>
        <v>Sub-Class_Process model_48</v>
      </c>
    </row>
    <row r="47" spans="13:14" ht="12.5" x14ac:dyDescent="0.25">
      <c r="M47" t="str">
        <f ca="1">IFERROR(__xludf.DUMMYFUNCTION("""COMPUTED_VALUE"""),"PROCESSING CENTER-SLAUGHTER: Pickling")</f>
        <v>PROCESSING CENTER-SLAUGHTER: Pickling</v>
      </c>
      <c r="N47" t="str">
        <f ca="1">IFERROR(__xludf.DUMMYFUNCTION("""COMPUTED_VALUE"""),"Sub-Class_Process model_38")</f>
        <v>Sub-Class_Process model_38</v>
      </c>
    </row>
    <row r="48" spans="13:14" ht="12.5" x14ac:dyDescent="0.25">
      <c r="M48" t="str">
        <f ca="1">IFERROR(__xludf.DUMMYFUNCTION("""COMPUTED_VALUE"""),"PROCESSING CENTER-SLAUGHTER: Polishing")</f>
        <v>PROCESSING CENTER-SLAUGHTER: Polishing</v>
      </c>
      <c r="N48" t="str">
        <f ca="1">IFERROR(__xludf.DUMMYFUNCTION("""COMPUTED_VALUE"""),"Sub-Class_Process model_19")</f>
        <v>Sub-Class_Process model_19</v>
      </c>
    </row>
    <row r="49" spans="13:14" ht="12.5" x14ac:dyDescent="0.25">
      <c r="M49" t="str">
        <f ca="1">IFERROR(__xludf.DUMMYFUNCTION("""COMPUTED_VALUE"""),"PROCESSING CENTER-SLAUGHTER: Pregelatinisation")</f>
        <v>PROCESSING CENTER-SLAUGHTER: Pregelatinisation</v>
      </c>
      <c r="N49" t="str">
        <f ca="1">IFERROR(__xludf.DUMMYFUNCTION("""COMPUTED_VALUE"""),"Sub-Class_Process model_49")</f>
        <v>Sub-Class_Process model_49</v>
      </c>
    </row>
    <row r="50" spans="13:14" ht="12.5" x14ac:dyDescent="0.25">
      <c r="M50" t="str">
        <f ca="1">IFERROR(__xludf.DUMMYFUNCTION("""COMPUTED_VALUE"""),"PROCESSING CENTER-SLAUGHTER: Preserving")</f>
        <v>PROCESSING CENTER-SLAUGHTER: Preserving</v>
      </c>
      <c r="N50" t="str">
        <f ca="1">IFERROR(__xludf.DUMMYFUNCTION("""COMPUTED_VALUE"""),"Sub-Class_Process model_26")</f>
        <v>Sub-Class_Process model_26</v>
      </c>
    </row>
    <row r="51" spans="13:14" ht="12.5" x14ac:dyDescent="0.25">
      <c r="M51" t="str">
        <f ca="1">IFERROR(__xludf.DUMMYFUNCTION("""COMPUTED_VALUE"""),"PROCESSING CENTER-SLAUGHTER: Pressing")</f>
        <v>PROCESSING CENTER-SLAUGHTER: Pressing</v>
      </c>
      <c r="N51" t="str">
        <f ca="1">IFERROR(__xludf.DUMMYFUNCTION("""COMPUTED_VALUE"""),"Sub-Class_Process model_54")</f>
        <v>Sub-Class_Process model_54</v>
      </c>
    </row>
    <row r="52" spans="13:14" ht="12.5" x14ac:dyDescent="0.25">
      <c r="M52" t="str">
        <f ca="1">IFERROR(__xludf.DUMMYFUNCTION("""COMPUTED_VALUE"""),"PROCESSING CENTER-SLAUGHTER: Processing")</f>
        <v>PROCESSING CENTER-SLAUGHTER: Processing</v>
      </c>
      <c r="N52" t="str">
        <f ca="1">IFERROR(__xludf.DUMMYFUNCTION("""COMPUTED_VALUE"""),"Sub-Class_Process model_5")</f>
        <v>Sub-Class_Process model_5</v>
      </c>
    </row>
    <row r="53" spans="13:14" ht="12.5" x14ac:dyDescent="0.25">
      <c r="M53" t="str">
        <f ca="1">IFERROR(__xludf.DUMMYFUNCTION("""COMPUTED_VALUE"""),"PROCESSING CENTER-SLAUGHTER: Production of alcoholic beverages")</f>
        <v>PROCESSING CENTER-SLAUGHTER: Production of alcoholic beverages</v>
      </c>
      <c r="N53" t="str">
        <f ca="1">IFERROR(__xludf.DUMMYFUNCTION("""COMPUTED_VALUE"""),"Sub-Class_Process model_27")</f>
        <v>Sub-Class_Process model_27</v>
      </c>
    </row>
    <row r="54" spans="13:14" ht="12.5" x14ac:dyDescent="0.25">
      <c r="M54" t="str">
        <f ca="1">IFERROR(__xludf.DUMMYFUNCTION("""COMPUTED_VALUE"""),"PROCESSING CENTER-SLAUGHTER: Refining")</f>
        <v>PROCESSING CENTER-SLAUGHTER: Refining</v>
      </c>
      <c r="N54" t="str">
        <f ca="1">IFERROR(__xludf.DUMMYFUNCTION("""COMPUTED_VALUE"""),"Sub-Class_Process model_50")</f>
        <v>Sub-Class_Process model_50</v>
      </c>
    </row>
    <row r="55" spans="13:14" ht="12.5" x14ac:dyDescent="0.25">
      <c r="M55" t="str">
        <f ca="1">IFERROR(__xludf.DUMMYFUNCTION("""COMPUTED_VALUE"""),"PROCESSING CENTER-SLAUGHTER: Silage-Fodder production")</f>
        <v>PROCESSING CENTER-SLAUGHTER: Silage-Fodder production</v>
      </c>
      <c r="N55" t="str">
        <f ca="1">IFERROR(__xludf.DUMMYFUNCTION("""COMPUTED_VALUE"""),"Sub-Class_Process model_20")</f>
        <v>Sub-Class_Process model_20</v>
      </c>
    </row>
    <row r="56" spans="13:14" ht="12.5" x14ac:dyDescent="0.25">
      <c r="M56" t="str">
        <f ca="1">IFERROR(__xludf.DUMMYFUNCTION("""COMPUTED_VALUE"""),"PROCESSING CENTER-SLAUGHTER: Smoking")</f>
        <v>PROCESSING CENTER-SLAUGHTER: Smoking</v>
      </c>
      <c r="N56" t="str">
        <f ca="1">IFERROR(__xludf.DUMMYFUNCTION("""COMPUTED_VALUE"""),"Sub-Class_Process model_40")</f>
        <v>Sub-Class_Process model_40</v>
      </c>
    </row>
    <row r="57" spans="13:14" ht="12.5" x14ac:dyDescent="0.25">
      <c r="M57" t="str">
        <f ca="1">IFERROR(__xludf.DUMMYFUNCTION("""COMPUTED_VALUE"""),"PROCESSING CENTER-SLAUGHTER: Sugar production")</f>
        <v>PROCESSING CENTER-SLAUGHTER: Sugar production</v>
      </c>
      <c r="N57" t="str">
        <f ca="1">IFERROR(__xludf.DUMMYFUNCTION("""COMPUTED_VALUE"""),"Sub-Class_Process model_21")</f>
        <v>Sub-Class_Process model_21</v>
      </c>
    </row>
    <row r="58" spans="13:14" ht="12.5" x14ac:dyDescent="0.25">
      <c r="M58" t="str">
        <f ca="1">IFERROR(__xludf.DUMMYFUNCTION("""COMPUTED_VALUE"""),"PROCESSING CENTER-SLAUGHTER: Sugar production - raw")</f>
        <v>PROCESSING CENTER-SLAUGHTER: Sugar production - raw</v>
      </c>
      <c r="N58" t="str">
        <f ca="1">IFERROR(__xludf.DUMMYFUNCTION("""COMPUTED_VALUE"""),"Sub-Class_Process model_22")</f>
        <v>Sub-Class_Process model_22</v>
      </c>
    </row>
    <row r="59" spans="13:14" ht="12.5" x14ac:dyDescent="0.25">
      <c r="M59" t="str">
        <f ca="1">IFERROR(__xludf.DUMMYFUNCTION("""COMPUTED_VALUE"""),"PROCESSING CENTER-SLAUGHTER: Sugar production - refined")</f>
        <v>PROCESSING CENTER-SLAUGHTER: Sugar production - refined</v>
      </c>
      <c r="N59" t="str">
        <f ca="1">IFERROR(__xludf.DUMMYFUNCTION("""COMPUTED_VALUE"""),"Sub-Class_Process model_23")</f>
        <v>Sub-Class_Process model_23</v>
      </c>
    </row>
    <row r="60" spans="13:14" ht="12.5" x14ac:dyDescent="0.25">
      <c r="M60" t="str">
        <f ca="1">IFERROR(__xludf.DUMMYFUNCTION("""COMPUTED_VALUE"""),"PROCESSING CENTER-SLAUGHTER: Unknown")</f>
        <v>PROCESSING CENTER-SLAUGHTER: Unknown</v>
      </c>
      <c r="N60" t="str">
        <f ca="1">IFERROR(__xludf.DUMMYFUNCTION("""COMPUTED_VALUE"""),"Sub-Class_Process model_57")</f>
        <v>Sub-Class_Process model_57</v>
      </c>
    </row>
    <row r="61" spans="13:14" ht="12.5" x14ac:dyDescent="0.25">
      <c r="M61" t="str">
        <f ca="1">IFERROR(__xludf.DUMMYFUNCTION("""COMPUTED_VALUE"""),"PROCESSING CENTER-SLAUGHTER: Wet-milling")</f>
        <v>PROCESSING CENTER-SLAUGHTER: Wet-milling</v>
      </c>
      <c r="N61" t="str">
        <f ca="1">IFERROR(__xludf.DUMMYFUNCTION("""COMPUTED_VALUE"""),"Sub-Class_Process model_53")</f>
        <v>Sub-Class_Process model_53</v>
      </c>
    </row>
    <row r="62" spans="13:14" ht="12.5" x14ac:dyDescent="0.25">
      <c r="M62" t="str">
        <f ca="1">IFERROR(__xludf.DUMMYFUNCTION("""COMPUTED_VALUE"""),"PROCESSING CENTER-SLAUGHTER: Wine production")</f>
        <v>PROCESSING CENTER-SLAUGHTER: Wine production</v>
      </c>
      <c r="N62" t="str">
        <f ca="1">IFERROR(__xludf.DUMMYFUNCTION("""COMPUTED_VALUE"""),"Sub-Class_Process model_28")</f>
        <v>Sub-Class_Process model_28</v>
      </c>
    </row>
    <row r="63" spans="13:14" ht="12.5" x14ac:dyDescent="0.25">
      <c r="M63" t="str">
        <f ca="1">IFERROR(__xludf.DUMMYFUNCTION("""COMPUTED_VALUE"""),"PROCESSING CENTER-SLAUGHTER: Wine production - red wine cold process")</f>
        <v>PROCESSING CENTER-SLAUGHTER: Wine production - red wine cold process</v>
      </c>
      <c r="N63" t="str">
        <f ca="1">IFERROR(__xludf.DUMMYFUNCTION("""COMPUTED_VALUE"""),"Sub-Class_Process model_30")</f>
        <v>Sub-Class_Process model_30</v>
      </c>
    </row>
    <row r="64" spans="13:14" ht="12.5" x14ac:dyDescent="0.25">
      <c r="M64" t="str">
        <f ca="1">IFERROR(__xludf.DUMMYFUNCTION("""COMPUTED_VALUE"""),"PROCESSING CENTER-SLAUGHTER: Wine production - red wine warm process")</f>
        <v>PROCESSING CENTER-SLAUGHTER: Wine production - red wine warm process</v>
      </c>
      <c r="N64" t="str">
        <f ca="1">IFERROR(__xludf.DUMMYFUNCTION("""COMPUTED_VALUE"""),"Sub-Class_Process model_31")</f>
        <v>Sub-Class_Process model_31</v>
      </c>
    </row>
    <row r="65" spans="13:15" ht="12.5" x14ac:dyDescent="0.25">
      <c r="M65" t="str">
        <f ca="1">IFERROR(__xludf.DUMMYFUNCTION("""COMPUTED_VALUE"""),"PROCESSING CENTER-SLAUGHTER: Wine production - white wine")</f>
        <v>PROCESSING CENTER-SLAUGHTER: Wine production - white wine</v>
      </c>
      <c r="N65" t="str">
        <f ca="1">IFERROR(__xludf.DUMMYFUNCTION("""COMPUTED_VALUE"""),"Sub-Class_Process model_29")</f>
        <v>Sub-Class_Process model_29</v>
      </c>
    </row>
    <row r="66" spans="13:15" ht="12.5" x14ac:dyDescent="0.25">
      <c r="M66" t="str">
        <f ca="1">IFERROR(__xludf.DUMMYFUNCTION("""COMPUTED_VALUE"""),"RETAIL")</f>
        <v>RETAIL</v>
      </c>
      <c r="N66" t="str">
        <f ca="1">IFERROR(__xludf.DUMMYFUNCTION("""COMPUTED_VALUE"""),"Sub-Class_Process model_73")</f>
        <v>Sub-Class_Process model_73</v>
      </c>
    </row>
    <row r="67" spans="13:15" ht="12.5" x14ac:dyDescent="0.25">
      <c r="M67" t="str">
        <f ca="1">IFERROR(__xludf.DUMMYFUNCTION("""COMPUTED_VALUE"""),"STORAGE")</f>
        <v>STORAGE</v>
      </c>
      <c r="N67" t="str">
        <f ca="1">IFERROR(__xludf.DUMMYFUNCTION("""COMPUTED_VALUE"""),"Sub-Class_Process model_61")</f>
        <v>Sub-Class_Process model_61</v>
      </c>
    </row>
    <row r="68" spans="13:15" ht="12.5" x14ac:dyDescent="0.25">
      <c r="M68" t="str">
        <f ca="1">IFERROR(__xludf.DUMMYFUNCTION("""COMPUTED_VALUE"""),"STORAGE: ambient temperature")</f>
        <v>STORAGE: ambient temperature</v>
      </c>
      <c r="N68" t="str">
        <f ca="1">IFERROR(__xludf.DUMMYFUNCTION("""COMPUTED_VALUE"""),"Sub-Class_Process model_66")</f>
        <v>Sub-Class_Process model_66</v>
      </c>
      <c r="O68" t="str">
        <f ca="1">IFERROR(__xludf.DUMMYFUNCTION("""COMPUTED_VALUE"""),"Stored at the surrounding temperature or normal storage conditions, which means storage in a dry, clean, well ventilated area at room temperatures between 15° to 25°C (59°-77°F) or up to 30°C, depending on climatic conditions.")</f>
        <v>Stored at the surrounding temperature or normal storage conditions, which means storage in a dry, clean, well ventilated area at room temperatures between 15° to 25°C (59°-77°F) or up to 30°C, depending on climatic conditions.</v>
      </c>
    </row>
    <row r="69" spans="13:15" ht="12.5" x14ac:dyDescent="0.25">
      <c r="M69" t="str">
        <f ca="1">IFERROR(__xludf.DUMMYFUNCTION("""COMPUTED_VALUE"""),"STORAGE: at 2°-8°C")</f>
        <v>STORAGE: at 2°-8°C</v>
      </c>
      <c r="N69" t="str">
        <f ca="1">IFERROR(__xludf.DUMMYFUNCTION("""COMPUTED_VALUE"""),"Sub-Class_Process model_63")</f>
        <v>Sub-Class_Process model_63</v>
      </c>
      <c r="O69" t="str">
        <f ca="1">IFERROR(__xludf.DUMMYFUNCTION("""COMPUTED_VALUE"""),"Stored at 2°-8°C (36°-46°F): for heat sensitive products that must not be frozen.")</f>
        <v>Stored at 2°-8°C (36°-46°F): for heat sensitive products that must not be frozen.</v>
      </c>
    </row>
    <row r="70" spans="13:15" ht="12.5" x14ac:dyDescent="0.25">
      <c r="M70" t="str">
        <f ca="1">IFERROR(__xludf.DUMMYFUNCTION("""COMPUTED_VALUE"""),"STORAGE: cool")</f>
        <v>STORAGE: cool</v>
      </c>
      <c r="N70" t="str">
        <f ca="1">IFERROR(__xludf.DUMMYFUNCTION("""COMPUTED_VALUE"""),"Sub-Class_Process model_64")</f>
        <v>Sub-Class_Process model_64</v>
      </c>
      <c r="O70" t="str">
        <f ca="1">IFERROR(__xludf.DUMMYFUNCTION("""COMPUTED_VALUE"""),"Stored between 8°-15°C (45°-59°F).")</f>
        <v>Stored between 8°-15°C (45°-59°F).</v>
      </c>
    </row>
    <row r="71" spans="13:15" ht="12.5" x14ac:dyDescent="0.25">
      <c r="M71" t="str">
        <f ca="1">IFERROR(__xludf.DUMMYFUNCTION("""COMPUTED_VALUE"""),"STORAGE: frozen")</f>
        <v>STORAGE: frozen</v>
      </c>
      <c r="N71" t="str">
        <f ca="1">IFERROR(__xludf.DUMMYFUNCTION("""COMPUTED_VALUE"""),"Sub-Class_Process model_62")</f>
        <v>Sub-Class_Process model_62</v>
      </c>
      <c r="O71" t="str">
        <f ca="1">IFERROR(__xludf.DUMMYFUNCTION("""COMPUTED_VALUE"""),"Stored at -20°C (4°F).")</f>
        <v>Stored at -20°C (4°F).</v>
      </c>
    </row>
    <row r="72" spans="13:15" ht="12.5" x14ac:dyDescent="0.25">
      <c r="M72" t="str">
        <f ca="1">IFERROR(__xludf.DUMMYFUNCTION("""COMPUTED_VALUE"""),"STORAGE: room temperature")</f>
        <v>STORAGE: room temperature</v>
      </c>
      <c r="N72" t="str">
        <f ca="1">IFERROR(__xludf.DUMMYFUNCTION("""COMPUTED_VALUE"""),"Sub-Class_Process model_65")</f>
        <v>Sub-Class_Process model_65</v>
      </c>
      <c r="O72" t="str">
        <f ca="1">IFERROR(__xludf.DUMMYFUNCTION("""COMPUTED_VALUE"""),"Stored at 15°-25°C (59°-77°F).")</f>
        <v>Stored at 15°-25°C (59°-77°F).</v>
      </c>
    </row>
    <row r="73" spans="13:15" ht="12.5" x14ac:dyDescent="0.25">
      <c r="M73" t="str">
        <f ca="1">IFERROR(__xludf.DUMMYFUNCTION("""COMPUTED_VALUE"""),"TRANSPORT-DISTRIBUTION")</f>
        <v>TRANSPORT-DISTRIBUTION</v>
      </c>
      <c r="N73" t="str">
        <f ca="1">IFERROR(__xludf.DUMMYFUNCTION("""COMPUTED_VALUE"""),"Sub-Class_Process model_67")</f>
        <v>Sub-Class_Process model_67</v>
      </c>
    </row>
    <row r="74" spans="13:15" ht="12.5" x14ac:dyDescent="0.25">
      <c r="M74" t="str">
        <f ca="1">IFERROR(__xludf.DUMMYFUNCTION("""COMPUTED_VALUE"""),"TRANSPORT-DISTRIBUTION: ambient temperature")</f>
        <v>TRANSPORT-DISTRIBUTION: ambient temperature</v>
      </c>
      <c r="N74" t="str">
        <f ca="1">IFERROR(__xludf.DUMMYFUNCTION("""COMPUTED_VALUE"""),"Sub-Class_Process model_72")</f>
        <v>Sub-Class_Process model_72</v>
      </c>
      <c r="O74" t="str">
        <f ca="1">IFERROR(__xludf.DUMMYFUNCTION("""COMPUTED_VALUE"""),"Transported at the surrounding temperature or normal storage conditions, which means storage in a dry, clean, well ventilated vehicle at room temperatures between 15° to 25°C (59°-77°F) or up to 30°C, depending on climatic conditions.")</f>
        <v>Transported at the surrounding temperature or normal storage conditions, which means storage in a dry, clean, well ventilated vehicle at room temperatures between 15° to 25°C (59°-77°F) or up to 30°C, depending on climatic conditions.</v>
      </c>
    </row>
    <row r="75" spans="13:15" ht="12.5" x14ac:dyDescent="0.25">
      <c r="M75" t="str">
        <f ca="1">IFERROR(__xludf.DUMMYFUNCTION("""COMPUTED_VALUE"""),"TRANSPORT-DISTRIBUTION: at 2°-8°C")</f>
        <v>TRANSPORT-DISTRIBUTION: at 2°-8°C</v>
      </c>
      <c r="N75" t="str">
        <f ca="1">IFERROR(__xludf.DUMMYFUNCTION("""COMPUTED_VALUE"""),"Sub-Class_Process model_69")</f>
        <v>Sub-Class_Process model_69</v>
      </c>
      <c r="O75" t="str">
        <f ca="1">IFERROR(__xludf.DUMMYFUNCTION("""COMPUTED_VALUE"""),"Transported at 2°-8°C (36°-46°F): for heat sensitive products that must not be frozen.")</f>
        <v>Transported at 2°-8°C (36°-46°F): for heat sensitive products that must not be frozen.</v>
      </c>
    </row>
    <row r="76" spans="13:15" ht="12.5" x14ac:dyDescent="0.25">
      <c r="M76" t="str">
        <f ca="1">IFERROR(__xludf.DUMMYFUNCTION("""COMPUTED_VALUE"""),"TRANSPORT-DISTRIBUTION: cool")</f>
        <v>TRANSPORT-DISTRIBUTION: cool</v>
      </c>
      <c r="N76" t="str">
        <f ca="1">IFERROR(__xludf.DUMMYFUNCTION("""COMPUTED_VALUE"""),"Sub-Class_Process model_70")</f>
        <v>Sub-Class_Process model_70</v>
      </c>
      <c r="O76" t="str">
        <f ca="1">IFERROR(__xludf.DUMMYFUNCTION("""COMPUTED_VALUE"""),"Transported between 8°-15°C (45°-59°F).")</f>
        <v>Transported between 8°-15°C (45°-59°F).</v>
      </c>
    </row>
    <row r="77" spans="13:15" ht="12.5" x14ac:dyDescent="0.25">
      <c r="M77" t="str">
        <f ca="1">IFERROR(__xludf.DUMMYFUNCTION("""COMPUTED_VALUE"""),"TRANSPORT-DISTRIBUTION: frozen")</f>
        <v>TRANSPORT-DISTRIBUTION: frozen</v>
      </c>
      <c r="N77" t="str">
        <f ca="1">IFERROR(__xludf.DUMMYFUNCTION("""COMPUTED_VALUE"""),"Sub-Class_Process model_68")</f>
        <v>Sub-Class_Process model_68</v>
      </c>
      <c r="O77" t="str">
        <f ca="1">IFERROR(__xludf.DUMMYFUNCTION("""COMPUTED_VALUE"""),"Transported at -20°C (4°F).")</f>
        <v>Transported at -20°C (4°F).</v>
      </c>
    </row>
    <row r="78" spans="13:15" ht="12.5" x14ac:dyDescent="0.25">
      <c r="M78" t="str">
        <f ca="1">IFERROR(__xludf.DUMMYFUNCTION("""COMPUTED_VALUE"""),"TRANSPORT-DISTRIBUTION: room temperature")</f>
        <v>TRANSPORT-DISTRIBUTION: room temperature</v>
      </c>
      <c r="N78" t="str">
        <f ca="1">IFERROR(__xludf.DUMMYFUNCTION("""COMPUTED_VALUE"""),"Sub-Class_Process model_71")</f>
        <v>Sub-Class_Process model_71</v>
      </c>
      <c r="O78" t="str">
        <f ca="1">IFERROR(__xludf.DUMMYFUNCTION("""COMPUTED_VALUE"""),"Transported at 15°-25°C (59°-77°F).")</f>
        <v>Transported at 15°-25°C (59°-77°F).</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IFERROR(__xludf.DUMMYFUNCTION("importrange(""https://docs.google.com/spreadsheets/d/1C6N4-YWX9OMmNStd2rYlSUaVys-aiJGLj00cD44aVc8/edit#gid=1894320575"",""Hazard ind sum!A1:O500"")"),"#REF!")</f>
        <v>#REF!</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IFERROR(__xludf.DUMMYFUNCTION("importrange(""https://docs.google.com/spreadsheets/d/1C6N4-YWX9OMmNStd2rYlSUaVys-aiJGLj00cD44aVc8/edit#gid=1894320575"",""Type of exposure!A1:O500"")"),"Value")</f>
        <v>Value</v>
      </c>
      <c r="B1" t="str">
        <f ca="1">IFERROR(__xludf.DUMMYFUNCTION("""COMPUTED_VALUE"""),"ID")</f>
        <v>ID</v>
      </c>
      <c r="C1" t="str">
        <f ca="1">IFERROR(__xludf.DUMMYFUNCTION("""COMPUTED_VALUE"""),"Comment")</f>
        <v>Comment</v>
      </c>
    </row>
    <row r="2" spans="1:3" ht="12.5" x14ac:dyDescent="0.25">
      <c r="A2" t="str">
        <f ca="1">IFERROR(__xludf.DUMMYFUNCTION("""COMPUTED_VALUE"""),"Acute")</f>
        <v>Acute</v>
      </c>
      <c r="B2" t="str">
        <f ca="1">IFERROR(__xludf.DUMMYFUNCTION("""COMPUTED_VALUE"""),"Type of exposure_3")</f>
        <v>Type of exposure_3</v>
      </c>
      <c r="C2" t="str">
        <f ca="1">IFERROR(__xludf.DUMMYFUNCTION("""COMPUTED_VALUE"""),"Exposure for less than 24 hours. Usually refers to a single administration or exposure.")</f>
        <v>Exposure for less than 24 hours. Usually refers to a single administration or exposure.</v>
      </c>
    </row>
    <row r="3" spans="1:3" ht="12.5" x14ac:dyDescent="0.25">
      <c r="A3" t="str">
        <f ca="1">IFERROR(__xludf.DUMMYFUNCTION("""COMPUTED_VALUE"""),"Chronic")</f>
        <v>Chronic</v>
      </c>
      <c r="B3" t="str">
        <f ca="1">IFERROR(__xludf.DUMMYFUNCTION("""COMPUTED_VALUE"""),"Type of exposure_1")</f>
        <v>Type of exposure_1</v>
      </c>
      <c r="C3" t="str">
        <f ca="1">IFERROR(__xludf.DUMMYFUNCTION("""COMPUTED_VALUE"""),"Repeated exposures that last from one to three months.")</f>
        <v>Repeated exposures that last from one to three months.</v>
      </c>
    </row>
    <row r="4" spans="1:3" ht="12.5" x14ac:dyDescent="0.25">
      <c r="A4" t="str">
        <f ca="1">IFERROR(__xludf.DUMMYFUNCTION("""COMPUTED_VALUE"""),"Other")</f>
        <v>Other</v>
      </c>
      <c r="B4" t="str">
        <f ca="1">IFERROR(__xludf.DUMMYFUNCTION("""COMPUTED_VALUE"""),"Type of exposure_3")</f>
        <v>Type of exposure_3</v>
      </c>
    </row>
    <row r="5" spans="1:3" ht="12.5" x14ac:dyDescent="0.25">
      <c r="A5" t="str">
        <f ca="1">IFERROR(__xludf.DUMMYFUNCTION("""COMPUTED_VALUE"""),"Subacute")</f>
        <v>Subacute</v>
      </c>
      <c r="B5" t="str">
        <f ca="1">IFERROR(__xludf.DUMMYFUNCTION("""COMPUTED_VALUE"""),"Type of exposure_4")</f>
        <v>Type of exposure_4</v>
      </c>
      <c r="C5" t="str">
        <f ca="1">IFERROR(__xludf.DUMMYFUNCTION("""COMPUTED_VALUE"""),"Repeated exposures that last a month or less.")</f>
        <v>Repeated exposures that last a month or less.</v>
      </c>
    </row>
    <row r="6" spans="1:3" ht="12.5" x14ac:dyDescent="0.25">
      <c r="A6" t="str">
        <f ca="1">IFERROR(__xludf.DUMMYFUNCTION("""COMPUTED_VALUE"""),"Subchronic")</f>
        <v>Subchronic</v>
      </c>
      <c r="B6" t="str">
        <f ca="1">IFERROR(__xludf.DUMMYFUNCTION("""COMPUTED_VALUE"""),"Type of exposure_2")</f>
        <v>Type of exposure_2</v>
      </c>
      <c r="C6" t="str">
        <f ca="1">IFERROR(__xludf.DUMMYFUNCTION("""COMPUTED_VALUE"""),"Repeated exposures that last more than three months.")</f>
        <v>Repeated exposures that last more than three months.</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IFERROR(__xludf.DUMMYFUNCTION("importrange(""https://docs.google.com/spreadsheets/d/1C6N4-YWX9OMmNStd2rYlSUaVys-aiJGLj00cD44aVc8/edit#gid=1894320575"",""Fitting procedure!A1:O500"")"),"Value")</f>
        <v>Value</v>
      </c>
      <c r="B1" t="str">
        <f ca="1">IFERROR(__xludf.DUMMYFUNCTION("""COMPUTED_VALUE"""),"ID")</f>
        <v>ID</v>
      </c>
      <c r="C1" t="str">
        <f ca="1">IFERROR(__xludf.DUMMYFUNCTION("""COMPUTED_VALUE"""),"Comment")</f>
        <v>Comment</v>
      </c>
    </row>
    <row r="2" spans="1:3" ht="12.5" x14ac:dyDescent="0.25">
      <c r="A2" t="str">
        <f ca="1">IFERROR(__xludf.DUMMYFUNCTION("""COMPUTED_VALUE"""),"Maximum likelihood estimation (MLE)")</f>
        <v>Maximum likelihood estimation (MLE)</v>
      </c>
      <c r="B2" t="str">
        <f ca="1">IFERROR(__xludf.DUMMYFUNCTION("""COMPUTED_VALUE"""),"Fitting procedure_1")</f>
        <v>Fitting procedure_1</v>
      </c>
    </row>
    <row r="3" spans="1:3" ht="12.5" x14ac:dyDescent="0.25">
      <c r="A3" t="str">
        <f ca="1">IFERROR(__xludf.DUMMYFUNCTION("""COMPUTED_VALUE"""),"Other")</f>
        <v>Other</v>
      </c>
      <c r="B3" t="str">
        <f ca="1">IFERROR(__xludf.DUMMYFUNCTION("""COMPUTED_VALUE"""),"Fitting procedure_2")</f>
        <v>Fitting procedure_2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6"/>
  <sheetViews>
    <sheetView workbookViewId="0"/>
  </sheetViews>
  <sheetFormatPr defaultColWidth="14.453125" defaultRowHeight="15.75" customHeight="1" x14ac:dyDescent="0.25"/>
  <cols>
    <col min="1" max="1" width="36.1796875" customWidth="1"/>
  </cols>
  <sheetData>
    <row r="1" spans="1:3" ht="15.75" customHeight="1" x14ac:dyDescent="0.3">
      <c r="A1" s="22" t="str">
        <f ca="1">IFERROR(__xludf.DUMMYFUNCTION("importrange(""https://docs.google.com/spreadsheets/d/1C6N4-YWX9OMmNStd2rYlSUaVys-aiJGLj00cD44aVc8/edit#gid=1894320575"",""Parameter unit category!A1:O500"")"),"Value")</f>
        <v>Value</v>
      </c>
      <c r="B1" t="str">
        <f ca="1">IFERROR(__xludf.DUMMYFUNCTION("""COMPUTED_VALUE"""),"ID")</f>
        <v>ID</v>
      </c>
      <c r="C1" t="str">
        <f ca="1">IFERROR(__xludf.DUMMYFUNCTION("""COMPUTED_VALUE"""),"Comment")</f>
        <v>Comment</v>
      </c>
    </row>
    <row r="2" spans="1:3" ht="12.5" x14ac:dyDescent="0.25">
      <c r="A2" t="str">
        <f ca="1">IFERROR(__xludf.DUMMYFUNCTION("""COMPUTED_VALUE"""),"Arbitrary Fraction")</f>
        <v>Arbitrary Fraction</v>
      </c>
      <c r="B2" t="str">
        <f ca="1">IFERROR(__xludf.DUMMYFUNCTION("""COMPUTED_VALUE"""),"Parameter unit category_6")</f>
        <v>Parameter unit category_6</v>
      </c>
    </row>
    <row r="3" spans="1:3" ht="12.5" x14ac:dyDescent="0.25">
      <c r="A3" t="str">
        <f ca="1">IFERROR(__xludf.DUMMYFUNCTION("""COMPUTED_VALUE"""),"Dimensionless Quantity")</f>
        <v>Dimensionless Quantity</v>
      </c>
      <c r="B3" t="str">
        <f ca="1">IFERROR(__xludf.DUMMYFUNCTION("""COMPUTED_VALUE"""),"Parameter unit category_22")</f>
        <v>Parameter unit category_22</v>
      </c>
    </row>
    <row r="4" spans="1:3" ht="12.5" x14ac:dyDescent="0.25">
      <c r="A4" t="str">
        <f ca="1">IFERROR(__xludf.DUMMYFUNCTION("""COMPUTED_VALUE"""),"Energy Content")</f>
        <v>Energy Content</v>
      </c>
      <c r="B4" t="str">
        <f ca="1">IFERROR(__xludf.DUMMYFUNCTION("""COMPUTED_VALUE"""),"Parameter unit category_7")</f>
        <v>Parameter unit category_7</v>
      </c>
    </row>
    <row r="5" spans="1:3" ht="12.5" x14ac:dyDescent="0.25">
      <c r="A5" t="str">
        <f ca="1">IFERROR(__xludf.DUMMYFUNCTION("""COMPUTED_VALUE"""),"Energy Content Rate")</f>
        <v>Energy Content Rate</v>
      </c>
      <c r="B5" t="str">
        <f ca="1">IFERROR(__xludf.DUMMYFUNCTION("""COMPUTED_VALUE"""),"Parameter unit category_8")</f>
        <v>Parameter unit category_8</v>
      </c>
    </row>
    <row r="6" spans="1:3" ht="12.5" x14ac:dyDescent="0.25">
      <c r="A6" t="str">
        <f ca="1">IFERROR(__xludf.DUMMYFUNCTION("""COMPUTED_VALUE"""),"Length")</f>
        <v>Length</v>
      </c>
      <c r="B6" t="str">
        <f ca="1">IFERROR(__xludf.DUMMYFUNCTION("""COMPUTED_VALUE"""),"Parameter unit category_12")</f>
        <v>Parameter unit category_12</v>
      </c>
    </row>
    <row r="7" spans="1:3" ht="12.5" x14ac:dyDescent="0.25">
      <c r="A7" t="str">
        <f ca="1">IFERROR(__xludf.DUMMYFUNCTION("""COMPUTED_VALUE"""),"Mass")</f>
        <v>Mass</v>
      </c>
      <c r="B7" t="str">
        <f ca="1">IFERROR(__xludf.DUMMYFUNCTION("""COMPUTED_VALUE"""),"Parameter unit category_18")</f>
        <v>Parameter unit category_18</v>
      </c>
    </row>
    <row r="8" spans="1:3" ht="12.5" x14ac:dyDescent="0.25">
      <c r="A8" t="str">
        <f ca="1">IFERROR(__xludf.DUMMYFUNCTION("""COMPUTED_VALUE"""),"Mass Concentration")</f>
        <v>Mass Concentration</v>
      </c>
      <c r="B8" t="str">
        <f ca="1">IFERROR(__xludf.DUMMYFUNCTION("""COMPUTED_VALUE"""),"Parameter unit category_5")</f>
        <v>Parameter unit category_5</v>
      </c>
    </row>
    <row r="9" spans="1:3" ht="12.5" x14ac:dyDescent="0.25">
      <c r="A9" t="str">
        <f ca="1">IFERROR(__xludf.DUMMYFUNCTION("""COMPUTED_VALUE"""),"Mass Ratio")</f>
        <v>Mass Ratio</v>
      </c>
      <c r="B9" t="str">
        <f ca="1">IFERROR(__xludf.DUMMYFUNCTION("""COMPUTED_VALUE"""),"Parameter unit category_4")</f>
        <v>Parameter unit category_4</v>
      </c>
    </row>
    <row r="10" spans="1:3" ht="12.5" x14ac:dyDescent="0.25">
      <c r="A10" t="str">
        <f ca="1">IFERROR(__xludf.DUMMYFUNCTION("""COMPUTED_VALUE"""),"Mole Content")</f>
        <v>Mole Content</v>
      </c>
      <c r="B10" t="str">
        <f ca="1">IFERROR(__xludf.DUMMYFUNCTION("""COMPUTED_VALUE"""),"Parameter unit category_11")</f>
        <v>Parameter unit category_11</v>
      </c>
    </row>
    <row r="11" spans="1:3" ht="12.5" x14ac:dyDescent="0.25">
      <c r="A11" t="str">
        <f ca="1">IFERROR(__xludf.DUMMYFUNCTION("""COMPUTED_VALUE"""),"Number")</f>
        <v>Number</v>
      </c>
      <c r="B11" t="str">
        <f ca="1">IFERROR(__xludf.DUMMYFUNCTION("""COMPUTED_VALUE"""),"Parameter unit category_19")</f>
        <v>Parameter unit category_19</v>
      </c>
    </row>
    <row r="12" spans="1:3" ht="12.5" x14ac:dyDescent="0.25">
      <c r="A12" t="str">
        <f ca="1">IFERROR(__xludf.DUMMYFUNCTION("""COMPUTED_VALUE"""),"Number Aeric (number/area)")</f>
        <v>Number Aeric (number/area)</v>
      </c>
      <c r="B12" t="str">
        <f ca="1">IFERROR(__xludf.DUMMYFUNCTION("""COMPUTED_VALUE"""),"Parameter unit category_3")</f>
        <v>Parameter unit category_3</v>
      </c>
    </row>
    <row r="13" spans="1:3" ht="12.5" x14ac:dyDescent="0.25">
      <c r="A13" t="str">
        <f ca="1">IFERROR(__xludf.DUMMYFUNCTION("""COMPUTED_VALUE"""),"Number Concentration Difference")</f>
        <v>Number Concentration Difference</v>
      </c>
      <c r="B13" t="str">
        <f ca="1">IFERROR(__xludf.DUMMYFUNCTION("""COMPUTED_VALUE"""),"Parameter unit category_17")</f>
        <v>Parameter unit category_17</v>
      </c>
    </row>
    <row r="14" spans="1:3" ht="12.5" x14ac:dyDescent="0.25">
      <c r="A14" t="str">
        <f ca="1">IFERROR(__xludf.DUMMYFUNCTION("""COMPUTED_VALUE"""),"Number Content (count/mass)")</f>
        <v>Number Content (count/mass)</v>
      </c>
      <c r="B14" t="str">
        <f ca="1">IFERROR(__xludf.DUMMYFUNCTION("""COMPUTED_VALUE"""),"Parameter unit category_1")</f>
        <v>Parameter unit category_1</v>
      </c>
    </row>
    <row r="15" spans="1:3" ht="12.5" x14ac:dyDescent="0.25">
      <c r="A15" t="str">
        <f ca="1">IFERROR(__xludf.DUMMYFUNCTION("""COMPUTED_VALUE"""),"Number Content Difference")</f>
        <v>Number Content Difference</v>
      </c>
      <c r="B15" t="str">
        <f ca="1">IFERROR(__xludf.DUMMYFUNCTION("""COMPUTED_VALUE"""),"Parameter unit category_15")</f>
        <v>Parameter unit category_15</v>
      </c>
    </row>
    <row r="16" spans="1:3" ht="12.5" x14ac:dyDescent="0.25">
      <c r="A16" t="str">
        <f ca="1">IFERROR(__xludf.DUMMYFUNCTION("""COMPUTED_VALUE"""),"Number Difference")</f>
        <v>Number Difference</v>
      </c>
      <c r="B16" t="str">
        <f ca="1">IFERROR(__xludf.DUMMYFUNCTION("""COMPUTED_VALUE"""),"Parameter unit category_14")</f>
        <v>Parameter unit category_14</v>
      </c>
    </row>
    <row r="17" spans="1:2" ht="12.5" x14ac:dyDescent="0.25">
      <c r="A17" t="str">
        <f ca="1">IFERROR(__xludf.DUMMYFUNCTION("""COMPUTED_VALUE"""),"Number Fraction")</f>
        <v>Number Fraction</v>
      </c>
      <c r="B17" t="str">
        <f ca="1">IFERROR(__xludf.DUMMYFUNCTION("""COMPUTED_VALUE"""),"Parameter unit category_16")</f>
        <v>Parameter unit category_16</v>
      </c>
    </row>
    <row r="18" spans="1:2" ht="12.5" x14ac:dyDescent="0.25">
      <c r="A18" t="str">
        <f ca="1">IFERROR(__xludf.DUMMYFUNCTION("""COMPUTED_VALUE"""),"Numer Concentration (count/vol)")</f>
        <v>Numer Concentration (count/vol)</v>
      </c>
      <c r="B18" t="str">
        <f ca="1">IFERROR(__xludf.DUMMYFUNCTION("""COMPUTED_VALUE"""),"Parameter unit category_2")</f>
        <v>Parameter unit category_2</v>
      </c>
    </row>
    <row r="19" spans="1:2" ht="12.5" x14ac:dyDescent="0.25">
      <c r="A19" t="str">
        <f ca="1">IFERROR(__xludf.DUMMYFUNCTION("""COMPUTED_VALUE"""),"Other")</f>
        <v>Other</v>
      </c>
      <c r="B19" t="str">
        <f ca="1">IFERROR(__xludf.DUMMYFUNCTION("""COMPUTED_VALUE"""),"Parameter unit category_25")</f>
        <v>Parameter unit category_25</v>
      </c>
    </row>
    <row r="20" spans="1:2" ht="12.5" x14ac:dyDescent="0.25">
      <c r="A20" t="str">
        <f ca="1">IFERROR(__xludf.DUMMYFUNCTION("""COMPUTED_VALUE"""),"Pressure")</f>
        <v>Pressure</v>
      </c>
      <c r="B20" t="str">
        <f ca="1">IFERROR(__xludf.DUMMYFUNCTION("""COMPUTED_VALUE"""),"Parameter unit category_10")</f>
        <v>Parameter unit category_10</v>
      </c>
    </row>
    <row r="21" spans="1:2" ht="12.5" x14ac:dyDescent="0.25">
      <c r="A21" t="str">
        <f ca="1">IFERROR(__xludf.DUMMYFUNCTION("""COMPUTED_VALUE"""),"Temperature")</f>
        <v>Temperature</v>
      </c>
      <c r="B21" t="str">
        <f ca="1">IFERROR(__xludf.DUMMYFUNCTION("""COMPUTED_VALUE"""),"Parameter unit category_13")</f>
        <v>Parameter unit category_13</v>
      </c>
    </row>
    <row r="22" spans="1:2" ht="12.5" x14ac:dyDescent="0.25">
      <c r="A22" t="str">
        <f ca="1">IFERROR(__xludf.DUMMYFUNCTION("""COMPUTED_VALUE"""),"Time")</f>
        <v>Time</v>
      </c>
      <c r="B22" t="str">
        <f ca="1">IFERROR(__xludf.DUMMYFUNCTION("""COMPUTED_VALUE"""),"Parameter unit category_20")</f>
        <v>Parameter unit category_20</v>
      </c>
    </row>
    <row r="23" spans="1:2" ht="12.5" x14ac:dyDescent="0.25">
      <c r="A23" t="str">
        <f ca="1">IFERROR(__xludf.DUMMYFUNCTION("""COMPUTED_VALUE"""),"True/False Value")</f>
        <v>True/False Value</v>
      </c>
      <c r="B23" t="str">
        <f ca="1">IFERROR(__xludf.DUMMYFUNCTION("""COMPUTED_VALUE"""),"Parameter unit category_23")</f>
        <v>Parameter unit category_23</v>
      </c>
    </row>
    <row r="24" spans="1:2" ht="12.5" x14ac:dyDescent="0.25">
      <c r="A24" t="str">
        <f ca="1">IFERROR(__xludf.DUMMYFUNCTION("""COMPUTED_VALUE"""),"Unknown")</f>
        <v>Unknown</v>
      </c>
      <c r="B24" t="str">
        <f ca="1">IFERROR(__xludf.DUMMYFUNCTION("""COMPUTED_VALUE"""),"Parameter unit category_9")</f>
        <v>Parameter unit category_9</v>
      </c>
    </row>
    <row r="25" spans="1:2" ht="12.5" x14ac:dyDescent="0.25">
      <c r="A25" t="str">
        <f ca="1">IFERROR(__xludf.DUMMYFUNCTION("""COMPUTED_VALUE"""),"Volume Concentration")</f>
        <v>Volume Concentration</v>
      </c>
      <c r="B25" t="str">
        <f ca="1">IFERROR(__xludf.DUMMYFUNCTION("""COMPUTED_VALUE"""),"Parameter unit category_24")</f>
        <v>Parameter unit category_24</v>
      </c>
    </row>
    <row r="26" spans="1:2" ht="12.5" x14ac:dyDescent="0.25">
      <c r="A26" t="str">
        <f ca="1">IFERROR(__xludf.DUMMYFUNCTION("""COMPUTED_VALUE"""),"Volume Ratio")</f>
        <v>Volume Ratio</v>
      </c>
      <c r="B26" t="str">
        <f ca="1">IFERROR(__xludf.DUMMYFUNCTION("""COMPUTED_VALUE"""),"Parameter unit category_21")</f>
        <v>Parameter unit category_21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IFERROR(__xludf.DUMMYFUNCTION("importrange(""https://docs.google.com/spreadsheets/d/1C6N4-YWX9OMmNStd2rYlSUaVys-aiJGLj00cD44aVc8/edit#gid=1894320575"",""Model equation class - distribution!A1:O500"")"),"#REF!")</f>
        <v>#REF!</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IFERROR(__xludf.DUMMYFUNCTION("importrange(""https://docs.google.com/spreadsheets/d/1C6N4-YWX9OMmNStd2rYlSUaVys-aiJGLj00cD44aVc8/edit#gid=1894320575"",""Parameter source!A1:O500"")"),"Value")</f>
        <v>Value</v>
      </c>
      <c r="B1" t="str">
        <f ca="1">IFERROR(__xludf.DUMMYFUNCTION("""COMPUTED_VALUE"""),"ID")</f>
        <v>ID</v>
      </c>
      <c r="C1" t="str">
        <f ca="1">IFERROR(__xludf.DUMMYFUNCTION("""COMPUTED_VALUE"""),"Comment")</f>
        <v>Comment</v>
      </c>
    </row>
    <row r="2" spans="1:3" ht="12.5" x14ac:dyDescent="0.25">
      <c r="A2" t="str">
        <f ca="1">IFERROR(__xludf.DUMMYFUNCTION("""COMPUTED_VALUE"""),"Article")</f>
        <v>Article</v>
      </c>
      <c r="B2" t="str">
        <f ca="1">IFERROR(__xludf.DUMMYFUNCTION("""COMPUTED_VALUE"""),"Parameter source_1")</f>
        <v>Parameter source_1</v>
      </c>
    </row>
    <row r="3" spans="1:3" ht="12.5" x14ac:dyDescent="0.25">
      <c r="A3" t="str">
        <f ca="1">IFERROR(__xludf.DUMMYFUNCTION("""COMPUTED_VALUE"""),"Assumption")</f>
        <v>Assumption</v>
      </c>
      <c r="B3" t="str">
        <f ca="1">IFERROR(__xludf.DUMMYFUNCTION("""COMPUTED_VALUE"""),"Parameter source_2")</f>
        <v>Parameter source_2</v>
      </c>
    </row>
    <row r="4" spans="1:3" ht="12.5" x14ac:dyDescent="0.25">
      <c r="A4" t="str">
        <f ca="1">IFERROR(__xludf.DUMMYFUNCTION("""COMPUTED_VALUE"""),"Data")</f>
        <v>Data</v>
      </c>
      <c r="B4" t="str">
        <f ca="1">IFERROR(__xludf.DUMMYFUNCTION("""COMPUTED_VALUE"""),"Parameter source_3")</f>
        <v>Parameter source_3</v>
      </c>
    </row>
    <row r="5" spans="1:3" ht="12.5" x14ac:dyDescent="0.25">
      <c r="A5" t="str">
        <f ca="1">IFERROR(__xludf.DUMMYFUNCTION("""COMPUTED_VALUE"""),"Estimate")</f>
        <v>Estimate</v>
      </c>
      <c r="B5" t="str">
        <f ca="1">IFERROR(__xludf.DUMMYFUNCTION("""COMPUTED_VALUE"""),"Parameter source_4")</f>
        <v>Parameter source_4</v>
      </c>
    </row>
    <row r="6" spans="1:3" ht="12.5" x14ac:dyDescent="0.25">
      <c r="A6" t="str">
        <f ca="1">IFERROR(__xludf.DUMMYFUNCTION("""COMPUTED_VALUE"""),"Expert opinion")</f>
        <v>Expert opinion</v>
      </c>
      <c r="B6" t="str">
        <f ca="1">IFERROR(__xludf.DUMMYFUNCTION("""COMPUTED_VALUE"""),"Parameter source_5")</f>
        <v>Parameter source_5</v>
      </c>
    </row>
    <row r="7" spans="1:3" ht="12.5" x14ac:dyDescent="0.25">
      <c r="A7" t="str">
        <f ca="1">IFERROR(__xludf.DUMMYFUNCTION("""COMPUTED_VALUE"""),"Model result")</f>
        <v>Model result</v>
      </c>
      <c r="B7" t="str">
        <f ca="1">IFERROR(__xludf.DUMMYFUNCTION("""COMPUTED_VALUE"""),"Parameter source_6")</f>
        <v>Parameter source_6</v>
      </c>
    </row>
    <row r="8" spans="1:3" ht="12.5" x14ac:dyDescent="0.25">
      <c r="A8" t="str">
        <f ca="1">IFERROR(__xludf.DUMMYFUNCTION("""COMPUTED_VALUE"""),"Not applicable ")</f>
        <v xml:space="preserve">Not applicable </v>
      </c>
      <c r="B8" t="str">
        <f ca="1">IFERROR(__xludf.DUMMYFUNCTION("""COMPUTED_VALUE"""),"Parameter source_7")</f>
        <v>Parameter source_7</v>
      </c>
    </row>
    <row r="9" spans="1:3" ht="12.5" x14ac:dyDescent="0.25">
      <c r="A9" t="str">
        <f ca="1">IFERROR(__xludf.DUMMYFUNCTION("""COMPUTED_VALUE"""),"Other")</f>
        <v>Other</v>
      </c>
      <c r="B9" t="str">
        <f ca="1">IFERROR(__xludf.DUMMYFUNCTION("""COMPUTED_VALUE"""),"Parameter source_8")</f>
        <v>Parameter source_8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IFERROR(__xludf.DUMMYFUNCTION("importrange(""https://docs.google.com/spreadsheets/d/1C6N4-YWX9OMmNStd2rYlSUaVys-aiJGLj00cD44aVc8/edit#gid=1894320575"",""Parameter classification!A1:O500"")"),"Value")</f>
        <v>Value</v>
      </c>
      <c r="B1" t="str">
        <f ca="1">IFERROR(__xludf.DUMMYFUNCTION("""COMPUTED_VALUE"""),"ID")</f>
        <v>ID</v>
      </c>
      <c r="C1" t="str">
        <f ca="1">IFERROR(__xludf.DUMMYFUNCTION("""COMPUTED_VALUE"""),"Comment")</f>
        <v>Comment</v>
      </c>
    </row>
    <row r="2" spans="1:3" ht="12.5" x14ac:dyDescent="0.25">
      <c r="A2" t="str">
        <f ca="1">IFERROR(__xludf.DUMMYFUNCTION("""COMPUTED_VALUE"""),"Constant")</f>
        <v>Constant</v>
      </c>
      <c r="B2" t="str">
        <f ca="1">IFERROR(__xludf.DUMMYFUNCTION("""COMPUTED_VALUE"""),"Parameter classification_3")</f>
        <v>Parameter classification_3</v>
      </c>
      <c r="C2" t="str">
        <f ca="1">IFERROR(__xludf.DUMMYFUNCTION("""COMPUTED_VALUE"""),"A parameter held constant in any simulation at the given value; This allows to restrict the number of changable inputs for certain user groups.")</f>
        <v>A parameter held constant in any simulation at the given value; This allows to restrict the number of changable inputs for certain user groups.</v>
      </c>
    </row>
    <row r="3" spans="1:3" ht="12.5" x14ac:dyDescent="0.25">
      <c r="A3" t="str">
        <f ca="1">IFERROR(__xludf.DUMMYFUNCTION("""COMPUTED_VALUE"""),"Input")</f>
        <v>Input</v>
      </c>
      <c r="B3" t="str">
        <f ca="1">IFERROR(__xludf.DUMMYFUNCTION("""COMPUTED_VALUE"""),"Parameter classification_6")</f>
        <v>Parameter classification_6</v>
      </c>
      <c r="C3" t="str">
        <f ca="1">IFERROR(__xludf.DUMMYFUNCTION("""COMPUTED_VALUE"""),"Any parameter that can be changed by the user and that effect the model-based simulations")</f>
        <v>Any parameter that can be changed by the user and that effect the model-based simulations</v>
      </c>
    </row>
    <row r="4" spans="1:3" ht="12.5" x14ac:dyDescent="0.25">
      <c r="A4" t="str">
        <f ca="1">IFERROR(__xludf.DUMMYFUNCTION("""COMPUTED_VALUE"""),"Output")</f>
        <v>Output</v>
      </c>
      <c r="B4" t="str">
        <f ca="1">IFERROR(__xludf.DUMMYFUNCTION("""COMPUTED_VALUE"""),"Parameter classification_4")</f>
        <v>Parameter classification_4</v>
      </c>
      <c r="C4" t="str">
        <f ca="1">IFERROR(__xludf.DUMMYFUNCTION("""COMPUTED_VALUE"""),"Any parameter that can be changed by the user and that effect the model-based simulations")</f>
        <v>Any parameter that can be changed by the user and that effect the model-based simulations</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1"/>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IFERROR(__xludf.DUMMYFUNCTION("importrange(""https://docs.google.com/spreadsheets/d/1C6N4-YWX9OMmNStd2rYlSUaVys-aiJGLj00cD44aVc8/edit#gid=1894320575"",""Parameter subject!A1:O500"")"),"Value")</f>
        <v>Value</v>
      </c>
      <c r="B1" t="str">
        <f ca="1">IFERROR(__xludf.DUMMYFUNCTION("""COMPUTED_VALUE"""),"ID")</f>
        <v>ID</v>
      </c>
      <c r="C1" t="str">
        <f ca="1">IFERROR(__xludf.DUMMYFUNCTION("""COMPUTED_VALUE"""),"Comment")</f>
        <v>Comment</v>
      </c>
    </row>
    <row r="2" spans="1:3" ht="12.5" x14ac:dyDescent="0.25">
      <c r="A2" t="str">
        <f ca="1">IFERROR(__xludf.DUMMYFUNCTION("""COMPUTED_VALUE"""),"Animal")</f>
        <v>Animal</v>
      </c>
      <c r="B2" t="str">
        <f ca="1">IFERROR(__xludf.DUMMYFUNCTION("""COMPUTED_VALUE"""),"Parameter subject_1")</f>
        <v>Parameter subject_1</v>
      </c>
    </row>
    <row r="3" spans="1:3" ht="12.5" x14ac:dyDescent="0.25">
      <c r="A3" t="str">
        <f ca="1">IFERROR(__xludf.DUMMYFUNCTION("""COMPUTED_VALUE"""),"Batch of animals")</f>
        <v>Batch of animals</v>
      </c>
      <c r="B3" t="str">
        <f ca="1">IFERROR(__xludf.DUMMYFUNCTION("""COMPUTED_VALUE"""),"Parameter subject_2")</f>
        <v>Parameter subject_2</v>
      </c>
    </row>
    <row r="4" spans="1:3" ht="12.5" x14ac:dyDescent="0.25">
      <c r="A4" t="str">
        <f ca="1">IFERROR(__xludf.DUMMYFUNCTION("""COMPUTED_VALUE"""),"Batch of products")</f>
        <v>Batch of products</v>
      </c>
      <c r="B4" t="str">
        <f ca="1">IFERROR(__xludf.DUMMYFUNCTION("""COMPUTED_VALUE"""),"Parameter subject_4")</f>
        <v>Parameter subject_4</v>
      </c>
    </row>
    <row r="5" spans="1:3" ht="12.5" x14ac:dyDescent="0.25">
      <c r="A5" t="str">
        <f ca="1">IFERROR(__xludf.DUMMYFUNCTION("""COMPUTED_VALUE"""),"Belly")</f>
        <v>Belly</v>
      </c>
    </row>
    <row r="6" spans="1:3" ht="12.5" x14ac:dyDescent="0.25">
      <c r="A6" t="str">
        <f ca="1">IFERROR(__xludf.DUMMYFUNCTION("""COMPUTED_VALUE"""),"Carcass")</f>
        <v>Carcass</v>
      </c>
      <c r="B6" t="str">
        <f ca="1">IFERROR(__xludf.DUMMYFUNCTION("""COMPUTED_VALUE"""),"Parameter subject_5")</f>
        <v>Parameter subject_5</v>
      </c>
    </row>
    <row r="7" spans="1:3" ht="12.5" x14ac:dyDescent="0.25">
      <c r="A7" t="str">
        <f ca="1">IFERROR(__xludf.DUMMYFUNCTION("""COMPUTED_VALUE"""),"Carcass skin")</f>
        <v>Carcass skin</v>
      </c>
      <c r="B7" t="str">
        <f ca="1">IFERROR(__xludf.DUMMYFUNCTION("""COMPUTED_VALUE"""),"Parameter subject_6")</f>
        <v>Parameter subject_6</v>
      </c>
    </row>
    <row r="8" spans="1:3" ht="12.5" x14ac:dyDescent="0.25">
      <c r="A8" t="str">
        <f ca="1">IFERROR(__xludf.DUMMYFUNCTION("""COMPUTED_VALUE"""),"Feces")</f>
        <v>Feces</v>
      </c>
      <c r="B8" t="str">
        <f ca="1">IFERROR(__xludf.DUMMYFUNCTION("""COMPUTED_VALUE"""),"Parameter subject_7")</f>
        <v>Parameter subject_7</v>
      </c>
    </row>
    <row r="9" spans="1:3" ht="12.5" x14ac:dyDescent="0.25">
      <c r="A9" t="str">
        <f ca="1">IFERROR(__xludf.DUMMYFUNCTION("""COMPUTED_VALUE"""),"Other")</f>
        <v>Other</v>
      </c>
      <c r="B9" t="str">
        <f ca="1">IFERROR(__xludf.DUMMYFUNCTION("""COMPUTED_VALUE"""),"Parameter subject_8")</f>
        <v>Parameter subject_8</v>
      </c>
    </row>
    <row r="10" spans="1:3" ht="12.5" x14ac:dyDescent="0.25">
      <c r="A10" t="str">
        <f ca="1">IFERROR(__xludf.DUMMYFUNCTION("""COMPUTED_VALUE"""),"Package")</f>
        <v>Package</v>
      </c>
    </row>
    <row r="11" spans="1:3" ht="12.5" x14ac:dyDescent="0.25">
      <c r="A11" t="str">
        <f ca="1">IFERROR(__xludf.DUMMYFUNCTION("""COMPUTED_VALUE"""),"Product")</f>
        <v>Product</v>
      </c>
      <c r="B11" t="str">
        <f ca="1">IFERROR(__xludf.DUMMYFUNCTION("""COMPUTED_VALUE"""),"Parameter subject_3")</f>
        <v>Parameter subject_3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IFERROR(__xludf.DUMMYFUNCTION("importrange(""https://docs.google.com/spreadsheets/d/1C6N4-YWX9OMmNStd2rYlSUaVys-aiJGLj00cD44aVc8/edit#gid=1894320575"",""Parameter type!A1:O500"")"),"#REF!")</f>
        <v>#REF!</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8"/>
  <sheetViews>
    <sheetView workbookViewId="0"/>
  </sheetViews>
  <sheetFormatPr defaultColWidth="14.453125" defaultRowHeight="15.75" customHeight="1" x14ac:dyDescent="0.25"/>
  <cols>
    <col min="3" max="3" width="78.7265625" customWidth="1"/>
  </cols>
  <sheetData>
    <row r="1" spans="1:4" ht="14" x14ac:dyDescent="0.3">
      <c r="A1" s="22" t="str">
        <f ca="1">IFERROR(__xludf.DUMMYFUNCTION("importrange(""https://docs.google.com/spreadsheets/d/1C6N4-YWX9OMmNStd2rYlSUaVys-aiJGLj00cD44aVc8/edit#gid=1894320575"",""Parameter data type!A1:O500"")"),"Value")</f>
        <v>Value</v>
      </c>
      <c r="B1" t="str">
        <f ca="1">IFERROR(__xludf.DUMMYFUNCTION("""COMPUTED_VALUE"""),"ID")</f>
        <v>ID</v>
      </c>
      <c r="C1" t="str">
        <f ca="1">IFERROR(__xludf.DUMMYFUNCTION("""COMPUTED_VALUE"""),"Comment")</f>
        <v>Comment</v>
      </c>
      <c r="D1" t="str">
        <f ca="1">IFERROR(__xludf.DUMMYFUNCTION("""COMPUTED_VALUE"""),"Represented_As")</f>
        <v>Represented_As</v>
      </c>
    </row>
    <row r="2" spans="1:4" ht="12.5" x14ac:dyDescent="0.25">
      <c r="A2" t="str">
        <f ca="1">IFERROR(__xludf.DUMMYFUNCTION("""COMPUTED_VALUE"""),"Boolean")</f>
        <v>Boolean</v>
      </c>
      <c r="B2" t="str">
        <f ca="1">IFERROR(__xludf.DUMMYFUNCTION("""COMPUTED_VALUE"""),"Data_Type_7")</f>
        <v>Data_Type_7</v>
      </c>
      <c r="C2" t="str">
        <f ca="1">IFERROR(__xludf.DUMMYFUNCTION("""COMPUTED_VALUE"""),"Strings of ""true"" Or ""false"" are accepted")</f>
        <v>Strings of "true" Or "false" are accepted</v>
      </c>
      <c r="D2" t="str">
        <f ca="1">IFERROR(__xludf.DUMMYFUNCTION("""COMPUTED_VALUE"""),"String")</f>
        <v>String</v>
      </c>
    </row>
    <row r="3" spans="1:4" ht="12.5" x14ac:dyDescent="0.25">
      <c r="A3" t="str">
        <f ca="1">IFERROR(__xludf.DUMMYFUNCTION("""COMPUTED_VALUE"""),"Date")</f>
        <v>Date</v>
      </c>
      <c r="B3" t="str">
        <f ca="1">IFERROR(__xludf.DUMMYFUNCTION("""COMPUTED_VALUE"""),"Data_Type_5")</f>
        <v>Data_Type_5</v>
      </c>
      <c r="C3" t="str">
        <f ca="1">IFERROR(__xludf.DUMMYFUNCTION("""COMPUTED_VALUE"""),"according to format definition in ISO 8601 xsd:dateTime (e.g. 2018-01-26T23:32:52+02:00 or 2018-01-26)")</f>
        <v>according to format definition in ISO 8601 xsd:dateTime (e.g. 2018-01-26T23:32:52+02:00 or 2018-01-26)</v>
      </c>
      <c r="D3" t="str">
        <f ca="1">IFERROR(__xludf.DUMMYFUNCTION("""COMPUTED_VALUE"""),"String")</f>
        <v>String</v>
      </c>
    </row>
    <row r="4" spans="1:4" ht="12.5" x14ac:dyDescent="0.25">
      <c r="A4" t="str">
        <f ca="1">IFERROR(__xludf.DUMMYFUNCTION("""COMPUTED_VALUE"""),"Double")</f>
        <v>Double</v>
      </c>
      <c r="B4" t="str">
        <f ca="1">IFERROR(__xludf.DUMMYFUNCTION("""COMPUTED_VALUE"""),"Data_Type_3")</f>
        <v>Data_Type_3</v>
      </c>
      <c r="C4" t="str">
        <f ca="1">IFERROR(__xludf.DUMMYFUNCTION("""COMPUTED_VALUE"""),"Floating-point numbers with double precision.")</f>
        <v>Floating-point numbers with double precision.</v>
      </c>
      <c r="D4" t="str">
        <f ca="1">IFERROR(__xludf.DUMMYFUNCTION("""COMPUTED_VALUE"""),"number")</f>
        <v>number</v>
      </c>
    </row>
    <row r="5" spans="1:4" ht="324" customHeight="1" x14ac:dyDescent="0.25">
      <c r="A5" t="str">
        <f ca="1">IFERROR(__xludf.DUMMYFUNCTION("""COMPUTED_VALUE"""),"Event")</f>
        <v>Event</v>
      </c>
      <c r="B5" t="str">
        <f ca="1">IFERROR(__xludf.DUMMYFUNCTION("""COMPUTED_VALUE"""),"Data_Type_15")</f>
        <v>Data_Type_15</v>
      </c>
      <c r="C5" t="str">
        <f ca="1">IFERROR(__xludf.DUMMYFUNCTION("""COMPUTED_VALUE"""),"The event defined as a SBML event. e.g.:
for a event like this
[G2] = ( 0 when [P1] ≤ τ, 1 when [P1] &gt; τ)
The SBML  representation of the part ( 0 when [P1] ≤ τ ) is as follow:
&lt;event useValuesFromTriggerTime=""true""&gt;
        &lt;trigger persistent=""fals"&amp;"e"" initialValue=""true""&gt;
                 &lt;math:math&gt;
                         &lt;math:apply&gt;
                                 &lt;math:leq/&gt;
                                 &lt;math:ci&gt; P1 &lt;/math:ci&gt;
                                 &lt;math:ci&gt; tau &lt;/math:ci&gt;
 "&amp;"                        &lt;/math:apply&gt;
                 &lt;/math:math&gt;
         &lt;/trigger&gt;
         &lt;listOfEventAssignments&gt;
                 &lt;eventAssignment variable=""G2""&gt;
                         &lt;math:math&gt;
                                &lt;math:cn sbml"&amp;":units=""concentration""&gt; 0 &lt;/math:cn&gt;
                         &lt;/math:math&gt;
                 &lt;/eventAssignment&gt;
         &lt;/listOfEventAssignments&gt;
 &lt;/event&gt;
For more information please refer to  (7.11 Example involving events) 
in http://sbml.org/Specia"&amp;"l/specifications/sbml-level-3/version-2/core/release-1/sbml-level-3-version-2-core.pdf")</f>
        <v>The event defined as a SBML event. e.g.:
for a event like this
[G2] = ( 0 when [P1] ≤ τ, 1 when [P1] &gt; τ)
The SBML  representation of the part ( 0 when [P1] ≤ τ ) is as follow:
&lt;event useValuesFromTriggerTime="true"&gt;
        &lt;trigger persistent="false" initialValue="true"&gt;
                 &lt;math:math&gt;
                         &lt;math:apply&gt;
                                 &lt;math:leq/&gt;
                                 &lt;math:ci&gt; P1 &lt;/math:ci&gt;
                                 &lt;math:ci&gt; tau &lt;/math:ci&gt;
                         &lt;/math:apply&gt;
                 &lt;/math:math&gt;
         &lt;/trigger&gt;
         &lt;listOfEventAssignments&gt;
                 &lt;eventAssignment variable="G2"&gt;
                         &lt;math:math&gt;
                                &lt;math:cn sbml:units="concentration"&gt; 0 &lt;/math:cn&gt;
                         &lt;/math:math&gt;
                 &lt;/eventAssignment&gt;
         &lt;/listOfEventAssignments&gt;
 &lt;/event&gt;
For more information please refer to  (7.11 Example involving events) 
in http://sbml.org/Special/specifications/sbml-level-3/version-2/core/release-1/sbml-level-3-version-2-core.pdf</v>
      </c>
      <c r="D5" t="str">
        <f ca="1">IFERROR(__xludf.DUMMYFUNCTION("""COMPUTED_VALUE"""),"String")</f>
        <v>String</v>
      </c>
    </row>
    <row r="6" spans="1:4" ht="12.5" x14ac:dyDescent="0.25">
      <c r="A6" t="str">
        <f ca="1">IFERROR(__xludf.DUMMYFUNCTION("""COMPUTED_VALUE"""),"File")</f>
        <v>File</v>
      </c>
      <c r="B6" t="str">
        <f ca="1">IFERROR(__xludf.DUMMYFUNCTION("""COMPUTED_VALUE"""),"Data_Type_6")</f>
        <v>Data_Type_6</v>
      </c>
      <c r="C6" t="str">
        <f ca="1">IFERROR(__xludf.DUMMYFUNCTION("""COMPUTED_VALUE"""),"Represents only the file name. The file should be placed in the folder containing the metedata file of the model.")</f>
        <v>Represents only the file name. The file should be placed in the folder containing the metedata file of the model.</v>
      </c>
      <c r="D6" t="str">
        <f ca="1">IFERROR(__xludf.DUMMYFUNCTION("""COMPUTED_VALUE"""),"String")</f>
        <v>String</v>
      </c>
    </row>
    <row r="7" spans="1:4" ht="12.5" x14ac:dyDescent="0.25">
      <c r="A7" t="str">
        <f ca="1">IFERROR(__xludf.DUMMYFUNCTION("""COMPUTED_VALUE"""),"Fitting procedure")</f>
        <v>Fitting procedure</v>
      </c>
      <c r="B7" t="str">
        <f ca="1">IFERROR(__xludf.DUMMYFUNCTION("""COMPUTED_VALUE"""),"Data_Type_17")</f>
        <v>Data_Type_17</v>
      </c>
      <c r="C7" t="str">
        <f ca="1">IFERROR(__xludf.DUMMYFUNCTION("""COMPUTED_VALUE"""),"""Maximum likelihood estimation (MLE)"", ""Other""")</f>
        <v>"Maximum likelihood estimation (MLE)", "Other"</v>
      </c>
      <c r="D7" t="str">
        <f ca="1">IFERROR(__xludf.DUMMYFUNCTION("""COMPUTED_VALUE"""),"String")</f>
        <v>String</v>
      </c>
    </row>
    <row r="8" spans="1:4" ht="12.5" x14ac:dyDescent="0.25">
      <c r="A8" t="str">
        <f ca="1">IFERROR(__xludf.DUMMYFUNCTION("""COMPUTED_VALUE"""),"Integer")</f>
        <v>Integer</v>
      </c>
      <c r="B8" t="str">
        <f ca="1">IFERROR(__xludf.DUMMYFUNCTION("""COMPUTED_VALUE"""),"Data_Type_1")</f>
        <v>Data_Type_1</v>
      </c>
      <c r="C8" t="str">
        <f ca="1">IFERROR(__xludf.DUMMYFUNCTION("""COMPUTED_VALUE"""),"any integer value in the range –4,000 trillion to +4,000 trillion")</f>
        <v>any integer value in the range –4,000 trillion to +4,000 trillion</v>
      </c>
      <c r="D8" t="str">
        <f ca="1">IFERROR(__xludf.DUMMYFUNCTION("""COMPUTED_VALUE"""),"number")</f>
        <v>number</v>
      </c>
    </row>
    <row r="9" spans="1:4" ht="12.5" x14ac:dyDescent="0.25">
      <c r="A9" t="str">
        <f ca="1">IFERROR(__xludf.DUMMYFUNCTION("""COMPUTED_VALUE"""),"Matrix[number,number]")</f>
        <v>Matrix[number,number]</v>
      </c>
      <c r="B9" t="str">
        <f ca="1">IFERROR(__xludf.DUMMYFUNCTION("""COMPUTED_VALUE"""),"Data_Type_11")</f>
        <v>Data_Type_11</v>
      </c>
      <c r="C9" t="str">
        <f ca="1">IFERROR(__xludf.DUMMYFUNCTION("""COMPUTED_VALUE"""),"Two dimensional array of numbers.
Elements are of type Vector[number] separated by comma and enclosed inside square [ ] brackets 
All elements must have the same length.
null represents empty value. e.g. [[1,10,5], [1,2.6,3.5], [1,2,3], [110,250,750.66]]")</f>
        <v>Two dimensional array of numbers.
Elements are of type Vector[number] separated by comma and enclosed inside square [ ] brackets 
All elements must have the same length.
null represents empty value. e.g. [[1,10,5], [1,2.6,3.5], [1,2,3], [110,250,750.66]]</v>
      </c>
      <c r="D9" t="str">
        <f ca="1">IFERROR(__xludf.DUMMYFUNCTION("""COMPUTED_VALUE"""),"String")</f>
        <v>String</v>
      </c>
    </row>
    <row r="10" spans="1:4" ht="12.5" x14ac:dyDescent="0.25">
      <c r="A10" t="str">
        <f ca="1">IFERROR(__xludf.DUMMYFUNCTION("""COMPUTED_VALUE"""),"Matrix[string,string]")</f>
        <v>Matrix[string,string]</v>
      </c>
      <c r="B10" t="str">
        <f ca="1">IFERROR(__xludf.DUMMYFUNCTION("""COMPUTED_VALUE"""),"Data_Type_12")</f>
        <v>Data_Type_12</v>
      </c>
      <c r="C10" t="str">
        <f ca="1">IFERROR(__xludf.DUMMYFUNCTION("""COMPUTED_VALUE"""),"Two dimensional array of strings.
Elements are of type Vector[string] separated by comma and enclosed inside square [ ] bracket.
All elements must have the same length.
null represents empty value.  e.g.  [['Air','vibration','c'],['A', 'B', 'C'],[ 'Aaba',"&amp;"null, 'Baca'],['cc','b','here']]")</f>
        <v>Two dimensional array of strings.
Elements are of type Vector[string] separated by comma and enclosed inside square [ ] bracket.
All elements must have the same length.
null represents empty value.  e.g.  [['Air','vibration','c'],['A', 'B', 'C'],[ 'Aaba',null, 'Baca'],['cc','b','here']]</v>
      </c>
      <c r="D10" t="str">
        <f ca="1">IFERROR(__xludf.DUMMYFUNCTION("""COMPUTED_VALUE"""),"String")</f>
        <v>String</v>
      </c>
    </row>
    <row r="11" spans="1:4" ht="12.5" x14ac:dyDescent="0.25">
      <c r="A11" t="str">
        <f ca="1">IFERROR(__xludf.DUMMYFUNCTION("""COMPUTED_VALUE"""),"Number")</f>
        <v>Number</v>
      </c>
      <c r="B11" t="str">
        <f ca="1">IFERROR(__xludf.DUMMYFUNCTION("""COMPUTED_VALUE"""),"Data_Type_2")</f>
        <v>Data_Type_2</v>
      </c>
      <c r="C11" t="str">
        <f ca="1">IFERROR(__xludf.DUMMYFUNCTION("""COMPUTED_VALUE"""),"any number type ( Integer or Double)")</f>
        <v>any number type ( Integer or Double)</v>
      </c>
      <c r="D11" t="str">
        <f ca="1">IFERROR(__xludf.DUMMYFUNCTION("""COMPUTED_VALUE"""),"number")</f>
        <v>number</v>
      </c>
    </row>
    <row r="12" spans="1:4" ht="12.5" x14ac:dyDescent="0.25">
      <c r="A12" t="str">
        <f ca="1">IFERROR(__xludf.DUMMYFUNCTION("""COMPUTED_VALUE"""),"Object")</f>
        <v>Object</v>
      </c>
      <c r="B12" t="str">
        <f ca="1">IFERROR(__xludf.DUMMYFUNCTION("""COMPUTED_VALUE"""),"Data_Type_8")</f>
        <v>Data_Type_8</v>
      </c>
      <c r="C12" t="str">
        <f ca="1">IFERROR(__xludf.DUMMYFUNCTION("""COMPUTED_VALUE"""),"Valid JSON Object
JSON objects are surrounded by curly braces {}.written in key/value pairs.Keys must be strings, and values must be a valid data type 
Keys and values are separated by a colon. Each key/value pair is separated by a comma.
{ ""name"":""Joh"&amp;"n"", ""age"":30, ""car"":null }")</f>
        <v>Valid JSON Object
JSON objects are surrounded by curly braces {}.written in key/value pairs.Keys must be strings, and values must be a valid data type 
Keys and values are separated by a colon. Each key/value pair is separated by a comma.
{ "name":"John", "age":30, "car":null }</v>
      </c>
      <c r="D12" t="str">
        <f ca="1">IFERROR(__xludf.DUMMYFUNCTION("""COMPUTED_VALUE"""),"String")</f>
        <v>String</v>
      </c>
    </row>
    <row r="13" spans="1:4" ht="12.5" x14ac:dyDescent="0.25">
      <c r="A13" t="str">
        <f ca="1">IFERROR(__xludf.DUMMYFUNCTION("""COMPUTED_VALUE"""),"Quality measures")</f>
        <v>Quality measures</v>
      </c>
      <c r="B13" t="str">
        <f ca="1">IFERROR(__xludf.DUMMYFUNCTION("""COMPUTED_VALUE"""),"Data_Type_16")</f>
        <v>Data_Type_16</v>
      </c>
      <c r="C13" t="str">
        <f ca="1">IFERROR(__xludf.DUMMYFUNCTION("""COMPUTED_VALUE"""),"The quality measures can be defined as an object (JSON) with keys 'SSE', 'MSE', 'RMSE', 'Rsquared', 'AIC', 'BIC' and 'sensitivy_analysis'.
The 'sensitivity analysis' property is of type Other while the rest of properties are Double.
Example: {'SSE': 0, 'M"&amp;"SE': 0, 'RMSE': 0, 'AIC': 0, 'BIC': 0, 'sensitivity_analysis': 'text' }                  ")</f>
        <v xml:space="preserve">The quality measures can be defined as an object (JSON) with keys 'SSE', 'MSE', 'RMSE', 'Rsquared', 'AIC', 'BIC' and 'sensitivy_analysis'.
The 'sensitivity analysis' property is of type Other while the rest of properties are Double.
Example: {'SSE': 0, 'MSE': 0, 'RMSE': 0, 'AIC': 0, 'BIC': 0, 'sensitivity_analysis': 'text' }                  </v>
      </c>
      <c r="D13" t="str">
        <f ca="1">IFERROR(__xludf.DUMMYFUNCTION("""COMPUTED_VALUE"""),"String")</f>
        <v>String</v>
      </c>
    </row>
    <row r="14" spans="1:4" ht="12.5" x14ac:dyDescent="0.25">
      <c r="A14" t="str">
        <f ca="1">IFERROR(__xludf.DUMMYFUNCTION("""COMPUTED_VALUE"""),"RIS")</f>
        <v>RIS</v>
      </c>
      <c r="B14" t="str">
        <f ca="1">IFERROR(__xludf.DUMMYFUNCTION("""COMPUTED_VALUE"""),"Data_Type_14")</f>
        <v>Data_Type_14</v>
      </c>
      <c r="C14" t="str">
        <f ca="1">IFERROR(__xludf.DUMMYFUNCTION("""COMPUTED_VALUE"""),"RIS information in RIS file format — two letters, two spaces and a hyphen; no quotation mark required, e.g.
TY  - JOUR
AU  - Shannon, Claude E.
PY  - 1948/07//
TI  - A Mathematical Theory of Communication
T2  - Bell System Technical Journal
SP  - 379
EP"&amp;"  - 423
VL  - 27
ER  - 
https://en.wikipedia.org/wiki/RIS_(file_format)")</f>
        <v>RIS information in RIS file format — two letters, two spaces and a hyphen; no quotation mark required, e.g.
TY  - JOUR
AU  - Shannon, Claude E.
PY  - 1948/07//
TI  - A Mathematical Theory of Communication
T2  - Bell System Technical Journal
SP  - 379
EP  - 423
VL  - 27
ER  - 
https://en.wikipedia.org/wiki/RIS_(file_format)</v>
      </c>
      <c r="D14" t="str">
        <f ca="1">IFERROR(__xludf.DUMMYFUNCTION("""COMPUTED_VALUE"""),"String")</f>
        <v>String</v>
      </c>
    </row>
    <row r="15" spans="1:4" ht="12.5" x14ac:dyDescent="0.25">
      <c r="A15" t="str">
        <f ca="1">IFERROR(__xludf.DUMMYFUNCTION("""COMPUTED_VALUE"""),"String")</f>
        <v>String</v>
      </c>
      <c r="B15" t="str">
        <f ca="1">IFERROR(__xludf.DUMMYFUNCTION("""COMPUTED_VALUE"""),"Data_Type_4")</f>
        <v>Data_Type_4</v>
      </c>
      <c r="C15" t="str">
        <f ca="1">IFERROR(__xludf.DUMMYFUNCTION("""COMPUTED_VALUE"""),"Free text or any other data object which will be presented as string")</f>
        <v>Free text or any other data object which will be presented as string</v>
      </c>
      <c r="D15" t="str">
        <f ca="1">IFERROR(__xludf.DUMMYFUNCTION("""COMPUTED_VALUE"""),"String")</f>
        <v>String</v>
      </c>
    </row>
    <row r="16" spans="1:4" ht="12.5" x14ac:dyDescent="0.25">
      <c r="A16" t="str">
        <f ca="1">IFERROR(__xludf.DUMMYFUNCTION("""COMPUTED_VALUE"""),"VCard")</f>
        <v>VCard</v>
      </c>
      <c r="B16" t="str">
        <f ca="1">IFERROR(__xludf.DUMMYFUNCTION("""COMPUTED_VALUE"""),"Data_Type_13")</f>
        <v>Data_Type_13</v>
      </c>
      <c r="C16" t="str">
        <f ca="1">IFERROR(__xludf.DUMMYFUNCTION("""COMPUTED_VALUE"""),"This defines a representation for vCard data in JavaScript Object Notation (JSON);
The keys of this JSON Object are the same as VCard properties enclosed between double quotes e.g. ""fn"":  ""Simon Perreault"" or ""pref"": 1
e.g.:
    {  
    ""version"":"&amp;"""4.0"", 
    ""fn"":  ""Simon Perreault"",
    ""n"": {
        ""surname"": ""Simon"",
        ""given"": ""Perreault"",
        ""suffix"": [ ""ing. jr"", ""M.Sc.""]
    },
    ""email"": {
    ""type"": ""work"",
    ""text"": ""simon.perreault@viagen"&amp;"ie.ca""
    }
}")</f>
        <v>This defines a representation for vCard data in JavaScript Object Notation (JSON);
The keys of this JSON Object are the same as VCard properties enclosed between double quotes e.g. "fn":  "Simon Perreault" or "pref": 1
e.g.:
    {  
    "version":"4.0", 
    "fn":  "Simon Perreault",
    "n": {
        "surname": "Simon",
        "given": "Perreault",
        "suffix": [ "ing. jr", "M.Sc."]
    },
    "email": {
    "type": "work",
    "text": "simon.perreault@viagenie.ca"
    }
}</v>
      </c>
      <c r="D16" t="str">
        <f ca="1">IFERROR(__xludf.DUMMYFUNCTION("""COMPUTED_VALUE"""),"String")</f>
        <v>String</v>
      </c>
    </row>
    <row r="17" spans="1:4" ht="12.5" x14ac:dyDescent="0.25">
      <c r="A17" t="str">
        <f ca="1">IFERROR(__xludf.DUMMYFUNCTION("""COMPUTED_VALUE"""),"Vector[number]")</f>
        <v>Vector[number]</v>
      </c>
      <c r="B17" t="str">
        <f ca="1">IFERROR(__xludf.DUMMYFUNCTION("""COMPUTED_VALUE"""),"Data_Type_10")</f>
        <v>Data_Type_10</v>
      </c>
      <c r="C17" t="str">
        <f ca="1">IFERROR(__xludf.DUMMYFUNCTION("""COMPUTED_VALUE"""),"One dimensional array of numbers.
Values should be written inside square [ ] brackets, seperated by comma and each value can contain
any decimal number It also uses a dot (decimal point) to represent decimal fractions .
null represents empty value. e.g. ["&amp;"1,2,3,null,5,12.5]")</f>
        <v>One dimensional array of numbers.
Values should be written inside square [ ] brackets, seperated by comma and each value can contain
any decimal number It also uses a dot (decimal point) to represent decimal fractions .
null represents empty value. e.g. [1,2,3,null,5,12.5]</v>
      </c>
      <c r="D17" t="str">
        <f ca="1">IFERROR(__xludf.DUMMYFUNCTION("""COMPUTED_VALUE"""),"String")</f>
        <v>String</v>
      </c>
    </row>
    <row r="18" spans="1:4" ht="12.5" x14ac:dyDescent="0.25">
      <c r="A18" t="str">
        <f ca="1">IFERROR(__xludf.DUMMYFUNCTION("""COMPUTED_VALUE"""),"Vector[string]")</f>
        <v>Vector[string]</v>
      </c>
      <c r="B18" t="str">
        <f ca="1">IFERROR(__xludf.DUMMYFUNCTION("""COMPUTED_VALUE"""),"Data_Type_9")</f>
        <v>Data_Type_9</v>
      </c>
      <c r="C18" t="str">
        <f ca="1">IFERROR(__xludf.DUMMYFUNCTION("""COMPUTED_VALUE"""),"One dimensional array of strings.
Values should be written inside square [ ] brackets, seperated by comma and each value can contain
any character and provided between two single quotes ' '. 
null represents empty value e.g. [ 'A' , 'back' ,null, 'car' ] "&amp;"  ")</f>
        <v xml:space="preserve">One dimensional array of strings.
Values should be written inside square [ ] brackets, seperated by comma and each value can contain
any character and provided between two single quotes ' '. 
null represents empty value e.g. [ 'A' , 'back' ,null, 'car' ]   </v>
      </c>
      <c r="D18" t="str">
        <f ca="1">IFERROR(__xludf.DUMMYFUNCTION("""COMPUTED_VALUE"""),"String")</f>
        <v>String</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IFERROR(__xludf.DUMMYFUNCTION("importrange(""https://docs.google.com/spreadsheets/d/1C6N4-YWX9OMmNStd2rYlSUaVys-aiJGLj00cD44aVc8/edit#gid=1894320575"",""Laboratory accreditation!A1:O500"")"),"Value")</f>
        <v>Value</v>
      </c>
      <c r="B1" t="str">
        <f ca="1">IFERROR(__xludf.DUMMYFUNCTION("""COMPUTED_VALUE"""),"ID")</f>
        <v>ID</v>
      </c>
      <c r="C1" t="str">
        <f ca="1">IFERROR(__xludf.DUMMYFUNCTION("""COMPUTED_VALUE"""),"Comment")</f>
        <v>Comment</v>
      </c>
    </row>
    <row r="2" spans="1:3" ht="12.5" x14ac:dyDescent="0.25">
      <c r="A2" t="str">
        <f ca="1">IFERROR(__xludf.DUMMYFUNCTION("""COMPUTED_VALUE"""),"Accredited")</f>
        <v>Accredited</v>
      </c>
      <c r="B2" t="str">
        <f ca="1">IFERROR(__xludf.DUMMYFUNCTION("""COMPUTED_VALUE"""),"L001A")</f>
        <v>L001A</v>
      </c>
    </row>
    <row r="3" spans="1:3" ht="12.5" x14ac:dyDescent="0.25">
      <c r="A3" t="str">
        <f ca="1">IFERROR(__xludf.DUMMYFUNCTION("""COMPUTED_VALUE"""),"None")</f>
        <v>None</v>
      </c>
      <c r="B3" t="str">
        <f ca="1">IFERROR(__xludf.DUMMYFUNCTION("""COMPUTED_VALUE"""),"L003A")</f>
        <v>L003A</v>
      </c>
    </row>
    <row r="4" spans="1:3" ht="12.5" x14ac:dyDescent="0.25">
      <c r="A4" t="str">
        <f ca="1">IFERROR(__xludf.DUMMYFUNCTION("""COMPUTED_VALUE"""),"Other")</f>
        <v>Other</v>
      </c>
      <c r="B4" t="str">
        <f ca="1">IFERROR(__xludf.DUMMYFUNCTION("""COMPUTED_VALUE"""),"Other")</f>
        <v>Other</v>
      </c>
    </row>
    <row r="5" spans="1:3" ht="12.5" x14ac:dyDescent="0.25">
      <c r="A5" t="str">
        <f ca="1">IFERROR(__xludf.DUMMYFUNCTION("""COMPUTED_VALUE"""),"Third party assessment")</f>
        <v>Third party assessment</v>
      </c>
      <c r="B5" t="str">
        <f ca="1">IFERROR(__xludf.DUMMYFUNCTION("""COMPUTED_VALUE"""),"L002A")</f>
        <v>L002A</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330"/>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IFERROR(__xludf.DUMMYFUNCTION("importrange(""https://docs.google.com/spreadsheets/d/1C6N4-YWX9OMmNStd2rYlSUaVys-aiJGLj00cD44aVc8/edit#gid=1894320575"",""Food descriptors!A1:O1330"")"),"Value")</f>
        <v>Value</v>
      </c>
      <c r="B1" t="str">
        <f ca="1">IFERROR(__xludf.DUMMYFUNCTION("""COMPUTED_VALUE"""),"ID")</f>
        <v>ID</v>
      </c>
      <c r="C1" t="str">
        <f ca="1">IFERROR(__xludf.DUMMYFUNCTION("""COMPUTED_VALUE"""),"Comment")</f>
        <v>Comment</v>
      </c>
    </row>
    <row r="2" spans="1:3" ht="12.5" x14ac:dyDescent="0.25">
      <c r="A2" t="str">
        <f ca="1">IFERROR(__xludf.DUMMYFUNCTION("""COMPUTED_VALUE"""),"(Beet) Sugar")</f>
        <v>(Beet) Sugar</v>
      </c>
      <c r="B2" t="str">
        <f ca="1">IFERROR(__xludf.DUMMYFUNCTION("""COMPUTED_VALUE"""),"F04.05")</f>
        <v>F04.05</v>
      </c>
    </row>
    <row r="3" spans="1:3" ht="12.5" x14ac:dyDescent="0.25">
      <c r="A3" t="str">
        <f ca="1">IFERROR(__xludf.DUMMYFUNCTION("""COMPUTED_VALUE"""),"(Beet) sugar; [sucrose]")</f>
        <v>(Beet) sugar; [sucrose]</v>
      </c>
      <c r="B3" t="str">
        <f ca="1">IFERROR(__xludf.DUMMYFUNCTION("""COMPUTED_VALUE"""),"G.4.1.3")</f>
        <v>G.4.1.3</v>
      </c>
    </row>
    <row r="4" spans="1:3" ht="12.5" x14ac:dyDescent="0.25">
      <c r="A4" t="str">
        <f ca="1">IFERROR(__xludf.DUMMYFUNCTION("""COMPUTED_VALUE"""),"(Cane) sugar")</f>
        <v>(Cane) sugar</v>
      </c>
      <c r="B4" t="str">
        <f ca="1">IFERROR(__xludf.DUMMYFUNCTION("""COMPUTED_VALUE"""),"F07.03")</f>
        <v>F07.03</v>
      </c>
    </row>
    <row r="5" spans="1:3" ht="12.5" x14ac:dyDescent="0.25">
      <c r="A5" t="str">
        <f ca="1">IFERROR(__xludf.DUMMYFUNCTION("""COMPUTED_VALUE"""),"(Cane) sugar [sucrose]")</f>
        <v>(Cane) sugar [sucrose]</v>
      </c>
      <c r="B5" t="str">
        <f ca="1">IFERROR(__xludf.DUMMYFUNCTION("""COMPUTED_VALUE"""),"G.7.6.3")</f>
        <v>G.7.6.3</v>
      </c>
    </row>
    <row r="6" spans="1:3" ht="12.5" x14ac:dyDescent="0.25">
      <c r="A6" t="str">
        <f ca="1">IFERROR(__xludf.DUMMYFUNCTION("""COMPUTED_VALUE"""),"(Sugar) beet molasses")</f>
        <v>(Sugar) beet molasses</v>
      </c>
      <c r="B6" t="str">
        <f ca="1">IFERROR(__xludf.DUMMYFUNCTION("""COMPUTED_VALUE"""),"F04.02")</f>
        <v>F04.02</v>
      </c>
    </row>
    <row r="7" spans="1:3" ht="12.5" x14ac:dyDescent="0.25">
      <c r="A7" t="str">
        <f ca="1">IFERROR(__xludf.DUMMYFUNCTION("""COMPUTED_VALUE"""),"(Sugar) beet molasses")</f>
        <v>(Sugar) beet molasses</v>
      </c>
      <c r="B7" t="str">
        <f ca="1">IFERROR(__xludf.DUMMYFUNCTION("""COMPUTED_VALUE"""),"G.4.1.4")</f>
        <v>G.4.1.4</v>
      </c>
    </row>
    <row r="8" spans="1:3" ht="12.5" x14ac:dyDescent="0.25">
      <c r="A8" t="str">
        <f ca="1">IFERROR(__xludf.DUMMYFUNCTION("""COMPUTED_VALUE"""),"(Sugar) beet molasses, partially desugared and/or debetainized")</f>
        <v>(Sugar) beet molasses, partially desugared and/or debetainized</v>
      </c>
      <c r="B8" t="str">
        <f ca="1">IFERROR(__xludf.DUMMYFUNCTION("""COMPUTED_VALUE"""),"G.4.1.5")</f>
        <v>G.4.1.5</v>
      </c>
    </row>
    <row r="9" spans="1:3" ht="12.5" x14ac:dyDescent="0.25">
      <c r="A9" t="str">
        <f ca="1">IFERROR(__xludf.DUMMYFUNCTION("""COMPUTED_VALUE"""),"(Sugar) beet pieces, boiled")</f>
        <v>(Sugar) beet pieces, boiled</v>
      </c>
      <c r="B9" t="str">
        <f ca="1">IFERROR(__xludf.DUMMYFUNCTION("""COMPUTED_VALUE"""),"G.4.1.13")</f>
        <v>G.4.1.13</v>
      </c>
    </row>
    <row r="10" spans="1:3" ht="12.5" x14ac:dyDescent="0.25">
      <c r="A10" t="str">
        <f ca="1">IFERROR(__xludf.DUMMYFUNCTION("""COMPUTED_VALUE"""),"(Sugar) beet pulp")</f>
        <v>(Sugar) beet pulp</v>
      </c>
      <c r="B10" t="str">
        <f ca="1">IFERROR(__xludf.DUMMYFUNCTION("""COMPUTED_VALUE"""),"F04.01")</f>
        <v>F04.01</v>
      </c>
    </row>
    <row r="11" spans="1:3" ht="12.5" x14ac:dyDescent="0.25">
      <c r="A11" t="str">
        <f ca="1">IFERROR(__xludf.DUMMYFUNCTION("""COMPUTED_VALUE"""),"(Sugar) beet pulp, molassed")</f>
        <v>(Sugar) beet pulp, molassed</v>
      </c>
      <c r="B11" t="str">
        <f ca="1">IFERROR(__xludf.DUMMYFUNCTION("""COMPUTED_VALUE"""),"F04.03")</f>
        <v>F04.03</v>
      </c>
    </row>
    <row r="12" spans="1:3" ht="12.5" x14ac:dyDescent="0.25">
      <c r="A12" t="str">
        <f ca="1">IFERROR(__xludf.DUMMYFUNCTION("""COMPUTED_VALUE"""),"(Sugar) beet vinasse")</f>
        <v>(Sugar) beet vinasse</v>
      </c>
      <c r="B12" t="str">
        <f ca="1">IFERROR(__xludf.DUMMYFUNCTION("""COMPUTED_VALUE"""),"F04.04")</f>
        <v>F04.04</v>
      </c>
    </row>
    <row r="13" spans="1:3" ht="12.5" x14ac:dyDescent="0.25">
      <c r="A13" t="str">
        <f ca="1">IFERROR(__xludf.DUMMYFUNCTION("""COMPUTED_VALUE"""),"(Sugar) cane molasses")</f>
        <v>(Sugar) cane molasses</v>
      </c>
      <c r="B13" t="str">
        <f ca="1">IFERROR(__xludf.DUMMYFUNCTION("""COMPUTED_VALUE"""),"F07.01")</f>
        <v>F07.01</v>
      </c>
    </row>
    <row r="14" spans="1:3" ht="12.5" x14ac:dyDescent="0.25">
      <c r="A14" t="str">
        <f ca="1">IFERROR(__xludf.DUMMYFUNCTION("""COMPUTED_VALUE"""),"(Sugar) cane molasses")</f>
        <v>(Sugar) cane molasses</v>
      </c>
      <c r="B14" t="str">
        <f ca="1">IFERROR(__xludf.DUMMYFUNCTION("""COMPUTED_VALUE"""),"G.7.6")</f>
        <v>G.7.6</v>
      </c>
    </row>
    <row r="15" spans="1:3" ht="12.5" x14ac:dyDescent="0.25">
      <c r="A15" t="str">
        <f ca="1">IFERROR(__xludf.DUMMYFUNCTION("""COMPUTED_VALUE"""),"(Sugar) cane Molasses, partially desugared")</f>
        <v>(Sugar) cane Molasses, partially desugared</v>
      </c>
      <c r="B15" t="str">
        <f ca="1">IFERROR(__xludf.DUMMYFUNCTION("""COMPUTED_VALUE"""),"G.7.6.2")</f>
        <v>G.7.6.2</v>
      </c>
    </row>
    <row r="16" spans="1:3" ht="12.5" x14ac:dyDescent="0.25">
      <c r="A16" t="str">
        <f ca="1">IFERROR(__xludf.DUMMYFUNCTION("""COMPUTED_VALUE"""),"(Sugar) cane vinasse")</f>
        <v>(Sugar) cane vinasse</v>
      </c>
      <c r="B16" t="str">
        <f ca="1">IFERROR(__xludf.DUMMYFUNCTION("""COMPUTED_VALUE"""),"F07.02")</f>
        <v>F07.02</v>
      </c>
    </row>
    <row r="17" spans="1:2" ht="12.5" x14ac:dyDescent="0.25">
      <c r="A17" t="str">
        <f ca="1">IFERROR(__xludf.DUMMYFUNCTION("""COMPUTED_VALUE"""),"Abalone (Haliotis spp.)")</f>
        <v>Abalone (Haliotis spp.)</v>
      </c>
      <c r="B17" t="str">
        <f ca="1">IFERROR(__xludf.DUMMYFUNCTION("""COMPUTED_VALUE"""),"A.01.000931")</f>
        <v>A.01.000931</v>
      </c>
    </row>
    <row r="18" spans="1:2" ht="12.5" x14ac:dyDescent="0.25">
      <c r="A18" t="str">
        <f ca="1">IFERROR(__xludf.DUMMYFUNCTION("""COMPUTED_VALUE"""),"Acesulfame K")</f>
        <v>Acesulfame K</v>
      </c>
      <c r="B18" t="str">
        <f ca="1">IFERROR(__xludf.DUMMYFUNCTION("""COMPUTED_VALUE"""),"A.01.001292")</f>
        <v>A.01.001292</v>
      </c>
    </row>
    <row r="19" spans="1:2" ht="12.5" x14ac:dyDescent="0.25">
      <c r="A19" t="str">
        <f ca="1">IFERROR(__xludf.DUMMYFUNCTION("""COMPUTED_VALUE"""),"Acetic acid 3% (W/v) (Food Simulant B)")</f>
        <v>Acetic acid 3% (W/v) (Food Simulant B)</v>
      </c>
      <c r="B19" t="str">
        <f ca="1">IFERROR(__xludf.DUMMYFUNCTION("""COMPUTED_VALUE"""),"A0BAF")</f>
        <v>A0BAF</v>
      </c>
    </row>
    <row r="20" spans="1:2" ht="12.5" x14ac:dyDescent="0.25">
      <c r="A20" t="str">
        <f ca="1">IFERROR(__xludf.DUMMYFUNCTION("""COMPUTED_VALUE"""),"Acidophilus milk")</f>
        <v>Acidophilus milk</v>
      </c>
      <c r="B20" t="str">
        <f ca="1">IFERROR(__xludf.DUMMYFUNCTION("""COMPUTED_VALUE"""),"A.01.001039")</f>
        <v>A.01.001039</v>
      </c>
    </row>
    <row r="21" spans="1:2" ht="12.5" x14ac:dyDescent="0.25">
      <c r="A21" t="str">
        <f ca="1">IFERROR(__xludf.DUMMYFUNCTION("""COMPUTED_VALUE"""),"Acipenseriformes (sturgeons) (Chondrostei)")</f>
        <v>Acipenseriformes (sturgeons) (Chondrostei)</v>
      </c>
      <c r="B21" t="str">
        <f ca="1">IFERROR(__xludf.DUMMYFUNCTION("""COMPUTED_VALUE"""),"A.01.000909")</f>
        <v>A.01.000909</v>
      </c>
    </row>
    <row r="22" spans="1:2" ht="12.5" x14ac:dyDescent="0.25">
      <c r="A22" t="str">
        <f ca="1">IFERROR(__xludf.DUMMYFUNCTION("""COMPUTED_VALUE"""),"Acorn")</f>
        <v>Acorn</v>
      </c>
      <c r="B22" t="str">
        <f ca="1">IFERROR(__xludf.DUMMYFUNCTION("""COMPUTED_VALUE"""),"G.5.1")</f>
        <v>G.5.1</v>
      </c>
    </row>
    <row r="23" spans="1:2" ht="12.5" x14ac:dyDescent="0.25">
      <c r="A23" t="str">
        <f ca="1">IFERROR(__xludf.DUMMYFUNCTION("""COMPUTED_VALUE"""),"Acorn, dehulled")</f>
        <v>Acorn, dehulled</v>
      </c>
      <c r="B23" t="str">
        <f ca="1">IFERROR(__xludf.DUMMYFUNCTION("""COMPUTED_VALUE"""),"G.5.1.2")</f>
        <v>G.5.1.2</v>
      </c>
    </row>
    <row r="24" spans="1:2" ht="12.5" x14ac:dyDescent="0.25">
      <c r="A24" t="str">
        <f ca="1">IFERROR(__xludf.DUMMYFUNCTION("""COMPUTED_VALUE"""),"Additives belonging to the functional group of compounds of trace elements")</f>
        <v>Additives belonging to the functional group of compounds of trace elements</v>
      </c>
      <c r="B24" t="str">
        <f ca="1">IFERROR(__xludf.DUMMYFUNCTION("""COMPUTED_VALUE"""),"C16_J")</f>
        <v>C16_J</v>
      </c>
    </row>
    <row r="25" spans="1:2" ht="12.5" x14ac:dyDescent="0.25">
      <c r="A25" t="str">
        <f ca="1">IFERROR(__xludf.DUMMYFUNCTION("""COMPUTED_VALUE"""),"Ajowan (Carum ajowan)")</f>
        <v>Ajowan (Carum ajowan)</v>
      </c>
      <c r="B25" t="str">
        <f ca="1">IFERROR(__xludf.DUMMYFUNCTION("""COMPUTED_VALUE"""),"A.01.001596")</f>
        <v>A.01.001596</v>
      </c>
    </row>
    <row r="26" spans="1:2" ht="12.5" x14ac:dyDescent="0.25">
      <c r="A26" t="str">
        <f ca="1">IFERROR(__xludf.DUMMYFUNCTION("""COMPUTED_VALUE"""),"Albumen")</f>
        <v>Albumen</v>
      </c>
      <c r="B26" t="str">
        <f ca="1">IFERROR(__xludf.DUMMYFUNCTION("""COMPUTED_VALUE"""),"G.9.15.2")</f>
        <v>G.9.15.2</v>
      </c>
    </row>
    <row r="27" spans="1:2" ht="12.5" x14ac:dyDescent="0.25">
      <c r="A27" t="str">
        <f ca="1">IFERROR(__xludf.DUMMYFUNCTION("""COMPUTED_VALUE"""),"Alcohol-free beverages for diabetics (excluding fruit-based beverages)")</f>
        <v>Alcohol-free beverages for diabetics (excluding fruit-based beverages)</v>
      </c>
      <c r="B27" t="str">
        <f ca="1">IFERROR(__xludf.DUMMYFUNCTION("""COMPUTED_VALUE"""),"A.01.001777")</f>
        <v>A.01.001777</v>
      </c>
    </row>
    <row r="28" spans="1:2" ht="12.5" x14ac:dyDescent="0.25">
      <c r="A28" t="str">
        <f ca="1">IFERROR(__xludf.DUMMYFUNCTION("""COMPUTED_VALUE"""),"Alcoholic beverages")</f>
        <v>Alcoholic beverages</v>
      </c>
      <c r="B28" t="str">
        <f ca="1">IFERROR(__xludf.DUMMYFUNCTION("""COMPUTED_VALUE"""),"C09")</f>
        <v>C09</v>
      </c>
    </row>
    <row r="29" spans="1:2" ht="12.5" x14ac:dyDescent="0.25">
      <c r="A29" t="str">
        <f ca="1">IFERROR(__xludf.DUMMYFUNCTION("""COMPUTED_VALUE"""),"Alcoholic beverages")</f>
        <v>Alcoholic beverages</v>
      </c>
      <c r="B29" t="str">
        <f ca="1">IFERROR(__xludf.DUMMYFUNCTION("""COMPUTED_VALUE"""),"A.01.001534")</f>
        <v>A.01.001534</v>
      </c>
    </row>
    <row r="30" spans="1:2" ht="12.5" x14ac:dyDescent="0.25">
      <c r="A30" t="str">
        <f ca="1">IFERROR(__xludf.DUMMYFUNCTION("""COMPUTED_VALUE"""),"Alcoholic mixed drinks")</f>
        <v>Alcoholic mixed drinks</v>
      </c>
      <c r="B30" t="str">
        <f ca="1">IFERROR(__xludf.DUMMYFUNCTION("""COMPUTED_VALUE"""),"A.01.001569")</f>
        <v>A.01.001569</v>
      </c>
    </row>
    <row r="31" spans="1:2" ht="12.5" x14ac:dyDescent="0.25">
      <c r="A31" t="str">
        <f ca="1">IFERROR(__xludf.DUMMYFUNCTION("""COMPUTED_VALUE"""),"Alcoholic sauce")</f>
        <v>Alcoholic sauce</v>
      </c>
      <c r="B31" t="str">
        <f ca="1">IFERROR(__xludf.DUMMYFUNCTION("""COMPUTED_VALUE"""),"A.01.001691")</f>
        <v>A.01.001691</v>
      </c>
    </row>
    <row r="32" spans="1:2" ht="12.5" x14ac:dyDescent="0.25">
      <c r="A32" t="str">
        <f ca="1">IFERROR(__xludf.DUMMYFUNCTION("""COMPUTED_VALUE"""),"Alcoholic sweet sauce")</f>
        <v>Alcoholic sweet sauce</v>
      </c>
      <c r="B32" t="str">
        <f ca="1">IFERROR(__xludf.DUMMYFUNCTION("""COMPUTED_VALUE"""),"A.01.001332")</f>
        <v>A.01.001332</v>
      </c>
    </row>
    <row r="33" spans="1:2" ht="12.5" x14ac:dyDescent="0.25">
      <c r="A33" t="str">
        <f ca="1">IFERROR(__xludf.DUMMYFUNCTION("""COMPUTED_VALUE"""),"Alcopop")</f>
        <v>Alcopop</v>
      </c>
      <c r="B33" t="str">
        <f ca="1">IFERROR(__xludf.DUMMYFUNCTION("""COMPUTED_VALUE"""),"A.01.001572")</f>
        <v>A.01.001572</v>
      </c>
    </row>
    <row r="34" spans="1:2" ht="12.5" x14ac:dyDescent="0.25">
      <c r="A34" t="str">
        <f ca="1">IFERROR(__xludf.DUMMYFUNCTION("""COMPUTED_VALUE"""),"Alfalfa spouts, fresh (Medicago sativa)")</f>
        <v>Alfalfa spouts, fresh (Medicago sativa)</v>
      </c>
      <c r="B34" t="str">
        <f ca="1">IFERROR(__xludf.DUMMYFUNCTION("""COMPUTED_VALUE"""),"A.01.000381")</f>
        <v>A.01.000381</v>
      </c>
    </row>
    <row r="35" spans="1:2" ht="12.5" x14ac:dyDescent="0.25">
      <c r="A35" t="str">
        <f ca="1">IFERROR(__xludf.DUMMYFUNCTION("""COMPUTED_VALUE"""),"Algae")</f>
        <v>Algae</v>
      </c>
      <c r="B35" t="str">
        <f ca="1">IFERROR(__xludf.DUMMYFUNCTION("""COMPUTED_VALUE"""),"G.7.1")</f>
        <v>G.7.1</v>
      </c>
    </row>
    <row r="36" spans="1:2" ht="12.5" x14ac:dyDescent="0.25">
      <c r="A36" t="str">
        <f ca="1">IFERROR(__xludf.DUMMYFUNCTION("""COMPUTED_VALUE"""),"Algae as food")</f>
        <v>Algae as food</v>
      </c>
      <c r="B36" t="str">
        <f ca="1">IFERROR(__xludf.DUMMYFUNCTION("""COMPUTED_VALUE"""),"C14A_1")</f>
        <v>C14A_1</v>
      </c>
    </row>
    <row r="37" spans="1:2" ht="12.5" x14ac:dyDescent="0.25">
      <c r="A37" t="str">
        <f ca="1">IFERROR(__xludf.DUMMYFUNCTION("""COMPUTED_VALUE"""),"Algae based supplements")</f>
        <v>Algae based supplements</v>
      </c>
      <c r="B37" t="str">
        <f ca="1">IFERROR(__xludf.DUMMYFUNCTION("""COMPUTED_VALUE"""),"C14B_2")</f>
        <v>C14B_2</v>
      </c>
    </row>
    <row r="38" spans="1:2" ht="12.5" x14ac:dyDescent="0.25">
      <c r="A38" t="str">
        <f ca="1">IFERROR(__xludf.DUMMYFUNCTION("""COMPUTED_VALUE"""),"Algae extract; [Algae fraction]")</f>
        <v>Algae extract; [Algae fraction]</v>
      </c>
      <c r="B38" t="str">
        <f ca="1">IFERROR(__xludf.DUMMYFUNCTION("""COMPUTED_VALUE"""),"G.7.1.5")</f>
        <v>G.7.1.5</v>
      </c>
    </row>
    <row r="39" spans="1:2" ht="12.5" x14ac:dyDescent="0.25">
      <c r="A39" t="str">
        <f ca="1">IFERROR(__xludf.DUMMYFUNCTION("""COMPUTED_VALUE"""),"Algae formula (e.g. Spirulina, Chlorella)")</f>
        <v>Algae formula (e.g. Spirulina, Chlorella)</v>
      </c>
      <c r="B39" t="str">
        <f ca="1">IFERROR(__xludf.DUMMYFUNCTION("""COMPUTED_VALUE"""),"A.01.001763")</f>
        <v>A.01.001763</v>
      </c>
    </row>
    <row r="40" spans="1:2" ht="12.5" x14ac:dyDescent="0.25">
      <c r="A40" t="str">
        <f ca="1">IFERROR(__xludf.DUMMYFUNCTION("""COMPUTED_VALUE"""),"Algae meal")</f>
        <v>Algae meal</v>
      </c>
      <c r="B40" t="str">
        <f ca="1">IFERROR(__xludf.DUMMYFUNCTION("""COMPUTED_VALUE"""),"G.7.1.3")</f>
        <v>G.7.1.3</v>
      </c>
    </row>
    <row r="41" spans="1:2" ht="12.5" x14ac:dyDescent="0.25">
      <c r="A41" t="str">
        <f ca="1">IFERROR(__xludf.DUMMYFUNCTION("""COMPUTED_VALUE"""),"Algal oil")</f>
        <v>Algal oil</v>
      </c>
      <c r="B41" t="str">
        <f ca="1">IFERROR(__xludf.DUMMYFUNCTION("""COMPUTED_VALUE"""),"G.7.1.4")</f>
        <v>G.7.1.4</v>
      </c>
    </row>
    <row r="42" spans="1:2" ht="12.5" x14ac:dyDescent="0.25">
      <c r="A42" t="str">
        <f ca="1">IFERROR(__xludf.DUMMYFUNCTION("""COMPUTED_VALUE"""),"All yeasts — obtained from the microorganisms and substrates listed in columns 3 and 4 respectively — the cells of which have been killed —")</f>
        <v>All yeasts — obtained from the microorganisms and substrates listed in columns 3 and 4 respectively — the cells of which have been killed —</v>
      </c>
      <c r="B42" t="str">
        <f ca="1">IFERROR(__xludf.DUMMYFUNCTION("""COMPUTED_VALUE"""),"F13.03")</f>
        <v>F13.03</v>
      </c>
    </row>
    <row r="43" spans="1:2" ht="12.5" x14ac:dyDescent="0.25">
      <c r="A43" t="str">
        <f ca="1">IFERROR(__xludf.DUMMYFUNCTION("""COMPUTED_VALUE"""),"Allspice (Pimenta dioica)")</f>
        <v>Allspice (Pimenta dioica)</v>
      </c>
      <c r="B43" t="str">
        <f ca="1">IFERROR(__xludf.DUMMYFUNCTION("""COMPUTED_VALUE"""),"A.01.001597")</f>
        <v>A.01.001597</v>
      </c>
    </row>
    <row r="44" spans="1:2" ht="12.5" x14ac:dyDescent="0.25">
      <c r="A44" t="str">
        <f ca="1">IFERROR(__xludf.DUMMYFUNCTION("""COMPUTED_VALUE"""),"Almond")</f>
        <v>Almond</v>
      </c>
      <c r="B44" t="str">
        <f ca="1">IFERROR(__xludf.DUMMYFUNCTION("""COMPUTED_VALUE"""),"G.5.2")</f>
        <v>G.5.2</v>
      </c>
    </row>
    <row r="45" spans="1:2" ht="12.5" x14ac:dyDescent="0.25">
      <c r="A45" t="str">
        <f ca="1">IFERROR(__xludf.DUMMYFUNCTION("""COMPUTED_VALUE"""),"Almond drink")</f>
        <v>Almond drink</v>
      </c>
      <c r="B45" t="str">
        <f ca="1">IFERROR(__xludf.DUMMYFUNCTION("""COMPUTED_VALUE"""),"A.01.001241")</f>
        <v>A.01.001241</v>
      </c>
    </row>
    <row r="46" spans="1:2" ht="12.5" x14ac:dyDescent="0.25">
      <c r="A46" t="str">
        <f ca="1">IFERROR(__xludf.DUMMYFUNCTION("""COMPUTED_VALUE"""),"Almond essence")</f>
        <v>Almond essence</v>
      </c>
      <c r="B46" t="str">
        <f ca="1">IFERROR(__xludf.DUMMYFUNCTION("""COMPUTED_VALUE"""),"A.01.001696")</f>
        <v>A.01.001696</v>
      </c>
    </row>
    <row r="47" spans="1:2" ht="12.5" x14ac:dyDescent="0.25">
      <c r="A47" t="str">
        <f ca="1">IFERROR(__xludf.DUMMYFUNCTION("""COMPUTED_VALUE"""),"Almond Hulls")</f>
        <v>Almond Hulls</v>
      </c>
      <c r="B47" t="str">
        <f ca="1">IFERROR(__xludf.DUMMYFUNCTION("""COMPUTED_VALUE"""),"G.5.2.2")</f>
        <v>G.5.2.2</v>
      </c>
    </row>
    <row r="48" spans="1:2" ht="12.5" x14ac:dyDescent="0.25">
      <c r="A48" t="str">
        <f ca="1">IFERROR(__xludf.DUMMYFUNCTION("""COMPUTED_VALUE"""),"Almond oil")</f>
        <v>Almond oil</v>
      </c>
      <c r="B48" t="str">
        <f ca="1">IFERROR(__xludf.DUMMYFUNCTION("""COMPUTED_VALUE"""),"A.01.001368")</f>
        <v>A.01.001368</v>
      </c>
    </row>
    <row r="49" spans="1:2" ht="12.5" x14ac:dyDescent="0.25">
      <c r="A49" t="str">
        <f ca="1">IFERROR(__xludf.DUMMYFUNCTION("""COMPUTED_VALUE"""),"Almond, bitter (Prunus amygalus amara)")</f>
        <v>Almond, bitter (Prunus amygalus amara)</v>
      </c>
      <c r="B49" t="str">
        <f ca="1">IFERROR(__xludf.DUMMYFUNCTION("""COMPUTED_VALUE"""),"A.01.000515")</f>
        <v>A.01.000515</v>
      </c>
    </row>
    <row r="50" spans="1:2" ht="12.5" x14ac:dyDescent="0.25">
      <c r="A50" t="str">
        <f ca="1">IFERROR(__xludf.DUMMYFUNCTION("""COMPUTED_VALUE"""),"Almond, sweet (Prunus amygalus dulcis)")</f>
        <v>Almond, sweet (Prunus amygalus dulcis)</v>
      </c>
      <c r="B50" t="str">
        <f ca="1">IFERROR(__xludf.DUMMYFUNCTION("""COMPUTED_VALUE"""),"A.01.000514")</f>
        <v>A.01.000514</v>
      </c>
    </row>
    <row r="51" spans="1:2" ht="12.5" x14ac:dyDescent="0.25">
      <c r="A51" t="str">
        <f ca="1">IFERROR(__xludf.DUMMYFUNCTION("""COMPUTED_VALUE"""),"Amaranth flour")</f>
        <v>Amaranth flour</v>
      </c>
      <c r="B51" t="str">
        <f ca="1">IFERROR(__xludf.DUMMYFUNCTION("""COMPUTED_VALUE"""),"A.01.000091")</f>
        <v>A.01.000091</v>
      </c>
    </row>
    <row r="52" spans="1:2" ht="12.5" x14ac:dyDescent="0.25">
      <c r="A52" t="str">
        <f ca="1">IFERROR(__xludf.DUMMYFUNCTION("""COMPUTED_VALUE"""),"American persimmon (Virginia kaki) (Diospyros virginiana)")</f>
        <v>American persimmon (Virginia kaki) (Diospyros virginiana)</v>
      </c>
      <c r="B52" t="str">
        <f ca="1">IFERROR(__xludf.DUMMYFUNCTION("""COMPUTED_VALUE"""),"A.01.000624")</f>
        <v>A.01.000624</v>
      </c>
    </row>
    <row r="53" spans="1:2" ht="12.5" x14ac:dyDescent="0.25">
      <c r="A53" t="str">
        <f ca="1">IFERROR(__xludf.DUMMYFUNCTION("""COMPUTED_VALUE"""),"Ammonium acetate")</f>
        <v>Ammonium acetate</v>
      </c>
      <c r="B53" t="str">
        <f ca="1">IFERROR(__xludf.DUMMYFUNCTION("""COMPUTED_VALUE"""),"G.11.8.5")</f>
        <v>G.11.8.5</v>
      </c>
    </row>
    <row r="54" spans="1:2" ht="12.5" x14ac:dyDescent="0.25">
      <c r="A54" t="str">
        <f ca="1">IFERROR(__xludf.DUMMYFUNCTION("""COMPUTED_VALUE"""),"Ammonium acetate in aqueuous solution")</f>
        <v>Ammonium acetate in aqueuous solution</v>
      </c>
      <c r="B54" t="str">
        <f ca="1">IFERROR(__xludf.DUMMYFUNCTION("""COMPUTED_VALUE"""),"F13.06")</f>
        <v>F13.06</v>
      </c>
    </row>
    <row r="55" spans="1:2" ht="12.5" x14ac:dyDescent="0.25">
      <c r="A55" t="str">
        <f ca="1">IFERROR(__xludf.DUMMYFUNCTION("""COMPUTED_VALUE"""),"Ammonium lactate")</f>
        <v>Ammonium lactate</v>
      </c>
      <c r="B55" t="str">
        <f ca="1">IFERROR(__xludf.DUMMYFUNCTION("""COMPUTED_VALUE"""),"G.11.8.4")</f>
        <v>G.11.8.4</v>
      </c>
    </row>
    <row r="56" spans="1:2" ht="12.5" x14ac:dyDescent="0.25">
      <c r="A56" t="str">
        <f ca="1">IFERROR(__xludf.DUMMYFUNCTION("""COMPUTED_VALUE"""),"Ammonium lactate, produced by fermentation with Lactobacillus bulgaricus")</f>
        <v>Ammonium lactate, produced by fermentation with Lactobacillus bulgaricus</v>
      </c>
      <c r="B56" t="str">
        <f ca="1">IFERROR(__xludf.DUMMYFUNCTION("""COMPUTED_VALUE"""),"F13.05")</f>
        <v>F13.05</v>
      </c>
    </row>
    <row r="57" spans="1:2" ht="12.5" x14ac:dyDescent="0.25">
      <c r="A57" t="str">
        <f ca="1">IFERROR(__xludf.DUMMYFUNCTION("""COMPUTED_VALUE"""),"Ammonium salts of organic acids")</f>
        <v>Ammonium salts of organic acids</v>
      </c>
      <c r="B57" t="str">
        <f ca="1">IFERROR(__xludf.DUMMYFUNCTION("""COMPUTED_VALUE"""),"G.11.8.3")</f>
        <v>G.11.8.3</v>
      </c>
    </row>
    <row r="58" spans="1:2" ht="12.5" x14ac:dyDescent="0.25">
      <c r="A58" t="str">
        <f ca="1">IFERROR(__xludf.DUMMYFUNCTION("""COMPUTED_VALUE"""),"Ammonium sulfate in aqueous solution")</f>
        <v>Ammonium sulfate in aqueous solution</v>
      </c>
      <c r="B58" t="str">
        <f ca="1">IFERROR(__xludf.DUMMYFUNCTION("""COMPUTED_VALUE"""),"F13.07")</f>
        <v>F13.07</v>
      </c>
    </row>
    <row r="59" spans="1:2" ht="12.5" x14ac:dyDescent="0.25">
      <c r="A59" t="str">
        <f ca="1">IFERROR(__xludf.DUMMYFUNCTION("""COMPUTED_VALUE"""),"Ammonium sulphate")</f>
        <v>Ammonium sulphate</v>
      </c>
      <c r="B59" t="str">
        <f ca="1">IFERROR(__xludf.DUMMYFUNCTION("""COMPUTED_VALUE"""),"G.11.8")</f>
        <v>G.11.8</v>
      </c>
    </row>
    <row r="60" spans="1:2" ht="12.5" x14ac:dyDescent="0.25">
      <c r="A60" t="str">
        <f ca="1">IFERROR(__xludf.DUMMYFUNCTION("""COMPUTED_VALUE"""),"Ammonium sulphate solution")</f>
        <v>Ammonium sulphate solution</v>
      </c>
      <c r="B60" t="str">
        <f ca="1">IFERROR(__xludf.DUMMYFUNCTION("""COMPUTED_VALUE"""),"G.11.8.2")</f>
        <v>G.11.8.2</v>
      </c>
    </row>
    <row r="61" spans="1:2" ht="12.5" x14ac:dyDescent="0.25">
      <c r="A61" t="str">
        <f ca="1">IFERROR(__xludf.DUMMYFUNCTION("""COMPUTED_VALUE"""),"Amphibians, reptiles, snails, insects")</f>
        <v>Amphibians, reptiles, snails, insects</v>
      </c>
      <c r="B61" t="str">
        <f ca="1">IFERROR(__xludf.DUMMYFUNCTION("""COMPUTED_VALUE"""),"A.01.000942")</f>
        <v>A.01.000942</v>
      </c>
    </row>
    <row r="62" spans="1:2" ht="12.5" x14ac:dyDescent="0.25">
      <c r="A62" t="str">
        <f ca="1">IFERROR(__xludf.DUMMYFUNCTION("""COMPUTED_VALUE"""),"Anchovy (Engraulis)")</f>
        <v>Anchovy (Engraulis)</v>
      </c>
      <c r="B62" t="str">
        <f ca="1">IFERROR(__xludf.DUMMYFUNCTION("""COMPUTED_VALUE"""),"A.01.000881")</f>
        <v>A.01.000881</v>
      </c>
    </row>
    <row r="63" spans="1:2" ht="12.5" x14ac:dyDescent="0.25">
      <c r="A63" t="str">
        <f ca="1">IFERROR(__xludf.DUMMYFUNCTION("""COMPUTED_VALUE"""),"Animal and vegetable fats and oils")</f>
        <v>Animal and vegetable fats and oils</v>
      </c>
      <c r="B63" t="str">
        <f ca="1">IFERROR(__xludf.DUMMYFUNCTION("""COMPUTED_VALUE"""),"A.01.001346")</f>
        <v>A.01.001346</v>
      </c>
    </row>
    <row r="64" spans="1:2" ht="12.5" x14ac:dyDescent="0.25">
      <c r="A64" t="str">
        <f ca="1">IFERROR(__xludf.DUMMYFUNCTION("""COMPUTED_VALUE"""),"Animal by-products")</f>
        <v>Animal by-products</v>
      </c>
      <c r="B64" t="str">
        <f ca="1">IFERROR(__xludf.DUMMYFUNCTION("""COMPUTED_VALUE"""),"G.9.1")</f>
        <v>G.9.1</v>
      </c>
    </row>
    <row r="65" spans="1:2" ht="12.5" x14ac:dyDescent="0.25">
      <c r="A65" t="str">
        <f ca="1">IFERROR(__xludf.DUMMYFUNCTION("""COMPUTED_VALUE"""),"Animal fat")</f>
        <v>Animal fat</v>
      </c>
      <c r="B65" t="str">
        <f ca="1">IFERROR(__xludf.DUMMYFUNCTION("""COMPUTED_VALUE"""),"A.01.001347")</f>
        <v>A.01.001347</v>
      </c>
    </row>
    <row r="66" spans="1:2" ht="12.5" x14ac:dyDescent="0.25">
      <c r="A66" t="str">
        <f ca="1">IFERROR(__xludf.DUMMYFUNCTION("""COMPUTED_VALUE"""),"Animal fat (Feed)")</f>
        <v>Animal fat (Feed)</v>
      </c>
      <c r="B66" t="str">
        <f ca="1">IFERROR(__xludf.DUMMYFUNCTION("""COMPUTED_VALUE"""),"G.9.2")</f>
        <v>G.9.2</v>
      </c>
    </row>
    <row r="67" spans="1:2" ht="12.5" x14ac:dyDescent="0.25">
      <c r="A67" t="str">
        <f ca="1">IFERROR(__xludf.DUMMYFUNCTION("""COMPUTED_VALUE"""),"Animal fat (Feed) (Deprecated)")</f>
        <v>Animal fat (Feed) (Deprecated)</v>
      </c>
      <c r="B67" t="str">
        <f ca="1">IFERROR(__xludf.DUMMYFUNCTION("""COMPUTED_VALUE"""),"F09.08")</f>
        <v>F09.08</v>
      </c>
    </row>
    <row r="68" spans="1:2" ht="12.5" x14ac:dyDescent="0.25">
      <c r="A68" t="str">
        <f ca="1">IFERROR(__xludf.DUMMYFUNCTION("""COMPUTED_VALUE"""),"Animal fat, including milk fat and egg fat")</f>
        <v>Animal fat, including milk fat and egg fat</v>
      </c>
      <c r="B68" t="str">
        <f ca="1">IFERROR(__xludf.DUMMYFUNCTION("""COMPUTED_VALUE"""),"C16_D")</f>
        <v>C16_D</v>
      </c>
    </row>
    <row r="69" spans="1:2" ht="12.5" x14ac:dyDescent="0.25">
      <c r="A69" t="str">
        <f ca="1">IFERROR(__xludf.DUMMYFUNCTION("""COMPUTED_VALUE"""),"Animal fats and oils")</f>
        <v>Animal fats and oils</v>
      </c>
      <c r="B69" t="str">
        <f ca="1">IFERROR(__xludf.DUMMYFUNCTION("""COMPUTED_VALUE"""),"C03_1")</f>
        <v>C03_1</v>
      </c>
    </row>
    <row r="70" spans="1:2" ht="12.5" x14ac:dyDescent="0.25">
      <c r="A70" t="str">
        <f ca="1">IFERROR(__xludf.DUMMYFUNCTION("""COMPUTED_VALUE"""),"Anise pepper (Japan pepper) (Zanthooxylum piperitum)")</f>
        <v>Anise pepper (Japan pepper) (Zanthooxylum piperitum)</v>
      </c>
      <c r="B70" t="str">
        <f ca="1">IFERROR(__xludf.DUMMYFUNCTION("""COMPUTED_VALUE"""),"A.01.001598")</f>
        <v>A.01.001598</v>
      </c>
    </row>
    <row r="71" spans="1:2" ht="12.5" x14ac:dyDescent="0.25">
      <c r="A71" t="str">
        <f ca="1">IFERROR(__xludf.DUMMYFUNCTION("""COMPUTED_VALUE"""),"Anise seed")</f>
        <v>Anise seed</v>
      </c>
      <c r="B71" t="str">
        <f ca="1">IFERROR(__xludf.DUMMYFUNCTION("""COMPUTED_VALUE"""),"G.5.3")</f>
        <v>G.5.3</v>
      </c>
    </row>
    <row r="72" spans="1:2" ht="12.5" x14ac:dyDescent="0.25">
      <c r="A72" t="str">
        <f ca="1">IFERROR(__xludf.DUMMYFUNCTION("""COMPUTED_VALUE"""),"Anise seed (Pimpinella anisum)")</f>
        <v>Anise seed (Pimpinella anisum)</v>
      </c>
      <c r="B72" t="str">
        <f ca="1">IFERROR(__xludf.DUMMYFUNCTION("""COMPUTED_VALUE"""),"A.01.001599")</f>
        <v>A.01.001599</v>
      </c>
    </row>
    <row r="73" spans="1:2" ht="12.5" x14ac:dyDescent="0.25">
      <c r="A73" t="str">
        <f ca="1">IFERROR(__xludf.DUMMYFUNCTION("""COMPUTED_VALUE"""),"Annatto (Bixa orellana)")</f>
        <v>Annatto (Bixa orellana)</v>
      </c>
      <c r="B73" t="str">
        <f ca="1">IFERROR(__xludf.DUMMYFUNCTION("""COMPUTED_VALUE"""),"A.01.001600")</f>
        <v>A.01.001600</v>
      </c>
    </row>
    <row r="74" spans="1:2" ht="12.5" x14ac:dyDescent="0.25">
      <c r="A74" t="str">
        <f ca="1">IFERROR(__xludf.DUMMYFUNCTION("""COMPUTED_VALUE"""),"Anona (cherimoya) (Annona cherimola)")</f>
        <v>Anona (cherimoya) (Annona cherimola)</v>
      </c>
      <c r="B74" t="str">
        <f ca="1">IFERROR(__xludf.DUMMYFUNCTION("""COMPUTED_VALUE"""),"A.01.000636")</f>
        <v>A.01.000636</v>
      </c>
    </row>
    <row r="75" spans="1:2" ht="12.5" x14ac:dyDescent="0.25">
      <c r="A75" t="str">
        <f ca="1">IFERROR(__xludf.DUMMYFUNCTION("""COMPUTED_VALUE"""),"Apiculture by-products")</f>
        <v>Apiculture by-products</v>
      </c>
      <c r="B75" t="str">
        <f ca="1">IFERROR(__xludf.DUMMYFUNCTION("""COMPUTED_VALUE"""),"G.9.3")</f>
        <v>G.9.3</v>
      </c>
    </row>
    <row r="76" spans="1:2" ht="12.5" x14ac:dyDescent="0.25">
      <c r="A76" t="str">
        <f ca="1">IFERROR(__xludf.DUMMYFUNCTION("""COMPUTED_VALUE"""),"Apple (Malus domesticus)")</f>
        <v>Apple (Malus domesticus)</v>
      </c>
      <c r="B76" t="str">
        <f ca="1">IFERROR(__xludf.DUMMYFUNCTION("""COMPUTED_VALUE"""),"A.01.000553")</f>
        <v>A.01.000553</v>
      </c>
    </row>
    <row r="77" spans="1:2" ht="12.5" x14ac:dyDescent="0.25">
      <c r="A77" t="str">
        <f ca="1">IFERROR(__xludf.DUMMYFUNCTION("""COMPUTED_VALUE"""),"Apple chutney")</f>
        <v>Apple chutney</v>
      </c>
      <c r="B77" t="str">
        <f ca="1">IFERROR(__xludf.DUMMYFUNCTION("""COMPUTED_VALUE"""),"A.01.001674")</f>
        <v>A.01.001674</v>
      </c>
    </row>
    <row r="78" spans="1:2" ht="12.5" x14ac:dyDescent="0.25">
      <c r="A78" t="str">
        <f ca="1">IFERROR(__xludf.DUMMYFUNCTION("""COMPUTED_VALUE"""),"Apple molasses")</f>
        <v>Apple molasses</v>
      </c>
      <c r="B78" t="str">
        <f ca="1">IFERROR(__xludf.DUMMYFUNCTION("""COMPUTED_VALUE"""),"G.5.4.3")</f>
        <v>G.5.4.3</v>
      </c>
    </row>
    <row r="79" spans="1:2" ht="12.5" x14ac:dyDescent="0.25">
      <c r="A79" t="str">
        <f ca="1">IFERROR(__xludf.DUMMYFUNCTION("""COMPUTED_VALUE"""),"Apple pulp, dried; [Apple pomace, dried]")</f>
        <v>Apple pulp, dried; [Apple pomace, dried]</v>
      </c>
      <c r="B79" t="str">
        <f ca="1">IFERROR(__xludf.DUMMYFUNCTION("""COMPUTED_VALUE"""),"G.5.4")</f>
        <v>G.5.4</v>
      </c>
    </row>
    <row r="80" spans="1:2" ht="12.5" x14ac:dyDescent="0.25">
      <c r="A80" t="str">
        <f ca="1">IFERROR(__xludf.DUMMYFUNCTION("""COMPUTED_VALUE"""),"Apple pulp, pressed; [Apple pomace, pressed]")</f>
        <v>Apple pulp, pressed; [Apple pomace, pressed]</v>
      </c>
      <c r="B80" t="str">
        <f ca="1">IFERROR(__xludf.DUMMYFUNCTION("""COMPUTED_VALUE"""),"G.5.4.2")</f>
        <v>G.5.4.2</v>
      </c>
    </row>
    <row r="81" spans="1:2" ht="12.5" x14ac:dyDescent="0.25">
      <c r="A81" t="str">
        <f ca="1">IFERROR(__xludf.DUMMYFUNCTION("""COMPUTED_VALUE"""),"Apple strudel")</f>
        <v>Apple strudel</v>
      </c>
      <c r="B81" t="str">
        <f ca="1">IFERROR(__xludf.DUMMYFUNCTION("""COMPUTED_VALUE"""),"A.01.000291")</f>
        <v>A.01.000291</v>
      </c>
    </row>
    <row r="82" spans="1:2" ht="12.5" x14ac:dyDescent="0.25">
      <c r="A82" t="str">
        <f ca="1">IFERROR(__xludf.DUMMYFUNCTION("""COMPUTED_VALUE"""),"Apple/carrot juice")</f>
        <v>Apple/carrot juice</v>
      </c>
      <c r="B82" t="str">
        <f ca="1">IFERROR(__xludf.DUMMYFUNCTION("""COMPUTED_VALUE"""),"A.01.001468")</f>
        <v>A.01.001468</v>
      </c>
    </row>
    <row r="83" spans="1:2" ht="12.5" x14ac:dyDescent="0.25">
      <c r="A83" t="str">
        <f ca="1">IFERROR(__xludf.DUMMYFUNCTION("""COMPUTED_VALUE"""),"Apricots (Prunus armeniaca)")</f>
        <v>Apricots (Prunus armeniaca)</v>
      </c>
      <c r="B83" t="str">
        <f ca="1">IFERROR(__xludf.DUMMYFUNCTION("""COMPUTED_VALUE"""),"A.01.000563")</f>
        <v>A.01.000563</v>
      </c>
    </row>
    <row r="84" spans="1:2" ht="12.5" x14ac:dyDescent="0.25">
      <c r="A84" t="str">
        <f ca="1">IFERROR(__xludf.DUMMYFUNCTION("""COMPUTED_VALUE"""),"Aquaculture (excluding fish) / Complementary feed")</f>
        <v>Aquaculture (excluding fish) / Complementary feed</v>
      </c>
      <c r="B84" t="str">
        <f ca="1">IFERROR(__xludf.DUMMYFUNCTION("""COMPUTED_VALUE"""),"G.14.2.26")</f>
        <v>G.14.2.26</v>
      </c>
    </row>
    <row r="85" spans="1:2" ht="12.5" x14ac:dyDescent="0.25">
      <c r="A85" t="str">
        <f ca="1">IFERROR(__xludf.DUMMYFUNCTION("""COMPUTED_VALUE"""),"Aquaculture (excluding fish) / Complete feed")</f>
        <v>Aquaculture (excluding fish) / Complete feed</v>
      </c>
      <c r="B85" t="str">
        <f ca="1">IFERROR(__xludf.DUMMYFUNCTION("""COMPUTED_VALUE"""),"G.14.1.26")</f>
        <v>G.14.1.26</v>
      </c>
    </row>
    <row r="86" spans="1:2" ht="12.5" x14ac:dyDescent="0.25">
      <c r="A86" t="str">
        <f ca="1">IFERROR(__xludf.DUMMYFUNCTION("""COMPUTED_VALUE"""),"Aquatic invertebrates")</f>
        <v>Aquatic invertebrates</v>
      </c>
      <c r="B86" t="str">
        <f ca="1">IFERROR(__xludf.DUMMYFUNCTION("""COMPUTED_VALUE"""),"G.10.1")</f>
        <v>G.10.1</v>
      </c>
    </row>
    <row r="87" spans="1:2" ht="12.5" x14ac:dyDescent="0.25">
      <c r="A87" t="str">
        <f ca="1">IFERROR(__xludf.DUMMYFUNCTION("""COMPUTED_VALUE"""),"Arles")</f>
        <v>Arles</v>
      </c>
      <c r="B87" t="str">
        <f ca="1">IFERROR(__xludf.DUMMYFUNCTION("""COMPUTED_VALUE"""),"A.01.000846")</f>
        <v>A.01.000846</v>
      </c>
    </row>
    <row r="88" spans="1:2" ht="12.5" x14ac:dyDescent="0.25">
      <c r="A88" t="str">
        <f ca="1">IFERROR(__xludf.DUMMYFUNCTION("""COMPUTED_VALUE"""),"Arrowroot (Maranta arundinacea)")</f>
        <v>Arrowroot (Maranta arundinacea)</v>
      </c>
      <c r="B88" t="str">
        <f ca="1">IFERROR(__xludf.DUMMYFUNCTION("""COMPUTED_VALUE"""),"A.01.000319")</f>
        <v>A.01.000319</v>
      </c>
    </row>
    <row r="89" spans="1:2" ht="12.5" x14ac:dyDescent="0.25">
      <c r="A89" t="str">
        <f ca="1">IFERROR(__xludf.DUMMYFUNCTION("""COMPUTED_VALUE"""),"Asparagus (Asparagus officinalis)")</f>
        <v>Asparagus (Asparagus officinalis)</v>
      </c>
      <c r="B89" t="str">
        <f ca="1">IFERROR(__xludf.DUMMYFUNCTION("""COMPUTED_VALUE"""),"A.01.000386")</f>
        <v>A.01.000386</v>
      </c>
    </row>
    <row r="90" spans="1:2" ht="12.5" x14ac:dyDescent="0.25">
      <c r="A90" t="str">
        <f ca="1">IFERROR(__xludf.DUMMYFUNCTION("""COMPUTED_VALUE"""),"Aspartam")</f>
        <v>Aspartam</v>
      </c>
      <c r="B90" t="str">
        <f ca="1">IFERROR(__xludf.DUMMYFUNCTION("""COMPUTED_VALUE"""),"A.01.001291")</f>
        <v>A.01.001291</v>
      </c>
    </row>
    <row r="91" spans="1:2" ht="12.5" x14ac:dyDescent="0.25">
      <c r="A91" t="str">
        <f ca="1">IFERROR(__xludf.DUMMYFUNCTION("""COMPUTED_VALUE"""),"Ass milk")</f>
        <v>Ass milk</v>
      </c>
      <c r="B91" t="str">
        <f ca="1">IFERROR(__xludf.DUMMYFUNCTION("""COMPUTED_VALUE"""),"A.01.000960")</f>
        <v>A.01.000960</v>
      </c>
    </row>
    <row r="92" spans="1:2" ht="12.5" x14ac:dyDescent="0.25">
      <c r="A92" t="str">
        <f ca="1">IFERROR(__xludf.DUMMYFUNCTION("""COMPUTED_VALUE"""),"Attapulgite")</f>
        <v>Attapulgite</v>
      </c>
      <c r="B92" t="str">
        <f ca="1">IFERROR(__xludf.DUMMYFUNCTION("""COMPUTED_VALUE"""),"G.11.7")</f>
        <v>G.11.7</v>
      </c>
    </row>
    <row r="93" spans="1:2" ht="12.5" x14ac:dyDescent="0.25">
      <c r="A93" t="str">
        <f ca="1">IFERROR(__xludf.DUMMYFUNCTION("""COMPUTED_VALUE"""),"Aubergines (egg plants) (Solanum melongena)")</f>
        <v>Aubergines (egg plants) (Solanum melongena)</v>
      </c>
      <c r="B93" t="str">
        <f ca="1">IFERROR(__xludf.DUMMYFUNCTION("""COMPUTED_VALUE"""),"A.01.000341")</f>
        <v>A.01.000341</v>
      </c>
    </row>
    <row r="94" spans="1:2" ht="12.5" x14ac:dyDescent="0.25">
      <c r="A94" t="str">
        <f ca="1">IFERROR(__xludf.DUMMYFUNCTION("""COMPUTED_VALUE"""),"Avocados (Persea americana)")</f>
        <v>Avocados (Persea americana)</v>
      </c>
      <c r="B94" t="str">
        <f ca="1">IFERROR(__xludf.DUMMYFUNCTION("""COMPUTED_VALUE"""),"A.01.000625")</f>
        <v>A.01.000625</v>
      </c>
    </row>
    <row r="95" spans="1:2" ht="12.5" x14ac:dyDescent="0.25">
      <c r="A95" t="str">
        <f ca="1">IFERROR(__xludf.DUMMYFUNCTION("""COMPUTED_VALUE"""),"Azarole (mediteranean medlar) (Crataegus azarolus)")</f>
        <v>Azarole (mediteranean medlar) (Crataegus azarolus)</v>
      </c>
      <c r="B95" t="str">
        <f ca="1">IFERROR(__xludf.DUMMYFUNCTION("""COMPUTED_VALUE"""),"A.01.000589")</f>
        <v>A.01.000589</v>
      </c>
    </row>
    <row r="96" spans="1:2" ht="12.5" x14ac:dyDescent="0.25">
      <c r="A96" t="str">
        <f ca="1">IFERROR(__xludf.DUMMYFUNCTION("""COMPUTED_VALUE"""),"Babaco (Carica pentagona Heilb., sin. Vasconcellea x heilbornii)")</f>
        <v>Babaco (Carica pentagona Heilb., sin. Vasconcellea x heilbornii)</v>
      </c>
      <c r="B96" t="str">
        <f ca="1">IFERROR(__xludf.DUMMYFUNCTION("""COMPUTED_VALUE"""),"A.01.000637")</f>
        <v>A.01.000637</v>
      </c>
    </row>
    <row r="97" spans="1:2" ht="12.5" x14ac:dyDescent="0.25">
      <c r="A97" t="str">
        <f ca="1">IFERROR(__xludf.DUMMYFUNCTION("""COMPUTED_VALUE"""),"Babassu expeller")</f>
        <v>Babassu expeller</v>
      </c>
      <c r="B97" t="str">
        <f ca="1">IFERROR(__xludf.DUMMYFUNCTION("""COMPUTED_VALUE"""),"G.2.1")</f>
        <v>G.2.1</v>
      </c>
    </row>
    <row r="98" spans="1:2" ht="12.5" x14ac:dyDescent="0.25">
      <c r="A98" t="str">
        <f ca="1">IFERROR(__xludf.DUMMYFUNCTION("""COMPUTED_VALUE"""),"Babel (Barbus)")</f>
        <v>Babel (Barbus)</v>
      </c>
      <c r="B98" t="str">
        <f ca="1">IFERROR(__xludf.DUMMYFUNCTION("""COMPUTED_VALUE"""),"A.01.000902")</f>
        <v>A.01.000902</v>
      </c>
    </row>
    <row r="99" spans="1:2" ht="12.5" x14ac:dyDescent="0.25">
      <c r="A99" t="str">
        <f ca="1">IFERROR(__xludf.DUMMYFUNCTION("""COMPUTED_VALUE"""),"Bacon")</f>
        <v>Bacon</v>
      </c>
      <c r="B99" t="str">
        <f ca="1">IFERROR(__xludf.DUMMYFUNCTION("""COMPUTED_VALUE"""),"A.01.000802")</f>
        <v>A.01.000802</v>
      </c>
    </row>
    <row r="100" spans="1:2" ht="12.5" x14ac:dyDescent="0.25">
      <c r="A100" t="str">
        <f ca="1">IFERROR(__xludf.DUMMYFUNCTION("""COMPUTED_VALUE"""),"Bacterial protein from Corynebacterium glutamicum")</f>
        <v>Bacterial protein from Corynebacterium glutamicum</v>
      </c>
      <c r="B100" t="str">
        <f ca="1">IFERROR(__xludf.DUMMYFUNCTION("""COMPUTED_VALUE"""),"G.12.1.4")</f>
        <v>G.12.1.4</v>
      </c>
    </row>
    <row r="101" spans="1:2" ht="12.5" x14ac:dyDescent="0.25">
      <c r="A101" t="str">
        <f ca="1">IFERROR(__xludf.DUMMYFUNCTION("""COMPUTED_VALUE"""),"Bacterial protein from Escherichia coli")</f>
        <v>Bacterial protein from Escherichia coli</v>
      </c>
      <c r="B101" t="str">
        <f ca="1">IFERROR(__xludf.DUMMYFUNCTION("""COMPUTED_VALUE"""),"G.12.1.3")</f>
        <v>G.12.1.3</v>
      </c>
    </row>
    <row r="102" spans="1:2" ht="12.5" x14ac:dyDescent="0.25">
      <c r="A102" t="str">
        <f ca="1">IFERROR(__xludf.DUMMYFUNCTION("""COMPUTED_VALUE"""),"Bakery and pasta products and byproducts")</f>
        <v>Bakery and pasta products and byproducts</v>
      </c>
      <c r="B102" t="str">
        <f ca="1">IFERROR(__xludf.DUMMYFUNCTION("""COMPUTED_VALUE"""),"F12.01")</f>
        <v>F12.01</v>
      </c>
    </row>
    <row r="103" spans="1:2" ht="12.5" x14ac:dyDescent="0.25">
      <c r="A103" t="str">
        <f ca="1">IFERROR(__xludf.DUMMYFUNCTION("""COMPUTED_VALUE"""),"Baking ingredients")</f>
        <v>Baking ingredients</v>
      </c>
      <c r="B103" t="str">
        <f ca="1">IFERROR(__xludf.DUMMYFUNCTION("""COMPUTED_VALUE"""),"A.01.001704")</f>
        <v>A.01.001704</v>
      </c>
    </row>
    <row r="104" spans="1:2" ht="12.5" x14ac:dyDescent="0.25">
      <c r="A104" t="str">
        <f ca="1">IFERROR(__xludf.DUMMYFUNCTION("""COMPUTED_VALUE"""),"Baking powder")</f>
        <v>Baking powder</v>
      </c>
      <c r="B104" t="str">
        <f ca="1">IFERROR(__xludf.DUMMYFUNCTION("""COMPUTED_VALUE"""),"A.01.001707")</f>
        <v>A.01.001707</v>
      </c>
    </row>
    <row r="105" spans="1:2" ht="12.5" x14ac:dyDescent="0.25">
      <c r="A105" t="str">
        <f ca="1">IFERROR(__xludf.DUMMYFUNCTION("""COMPUTED_VALUE"""),"Baklava")</f>
        <v>Baklava</v>
      </c>
      <c r="B105" t="str">
        <f ca="1">IFERROR(__xludf.DUMMYFUNCTION("""COMPUTED_VALUE"""),"A.01.000301")</f>
        <v>A.01.000301</v>
      </c>
    </row>
    <row r="106" spans="1:2" ht="12.5" x14ac:dyDescent="0.25">
      <c r="A106" t="str">
        <f ca="1">IFERROR(__xludf.DUMMYFUNCTION("""COMPUTED_VALUE"""),"Bamboo shoots (Bambusa vulgaris)")</f>
        <v>Bamboo shoots (Bambusa vulgaris)</v>
      </c>
      <c r="B106" t="str">
        <f ca="1">IFERROR(__xludf.DUMMYFUNCTION("""COMPUTED_VALUE"""),"A.01.000393")</f>
        <v>A.01.000393</v>
      </c>
    </row>
    <row r="107" spans="1:2" ht="12.5" x14ac:dyDescent="0.25">
      <c r="A107" t="str">
        <f ca="1">IFERROR(__xludf.DUMMYFUNCTION("""COMPUTED_VALUE"""),"Bananas (Musa × paradisica)")</f>
        <v>Bananas (Musa × paradisica)</v>
      </c>
      <c r="B107" t="str">
        <f ca="1">IFERROR(__xludf.DUMMYFUNCTION("""COMPUTED_VALUE"""),"A.01.000626")</f>
        <v>A.01.000626</v>
      </c>
    </row>
    <row r="108" spans="1:2" ht="12.5" x14ac:dyDescent="0.25">
      <c r="A108" t="str">
        <f ca="1">IFERROR(__xludf.DUMMYFUNCTION("""COMPUTED_VALUE"""),"Barbecue sauce")</f>
        <v>Barbecue sauce</v>
      </c>
      <c r="B108" t="str">
        <f ca="1">IFERROR(__xludf.DUMMYFUNCTION("""COMPUTED_VALUE"""),"A.01.001656")</f>
        <v>A.01.001656</v>
      </c>
    </row>
    <row r="109" spans="1:2" ht="12.5" x14ac:dyDescent="0.25">
      <c r="A109" t="str">
        <f ca="1">IFERROR(__xludf.DUMMYFUNCTION("""COMPUTED_VALUE"""),"Barks")</f>
        <v>Barks</v>
      </c>
      <c r="B109" t="str">
        <f ca="1">IFERROR(__xludf.DUMMYFUNCTION("""COMPUTED_VALUE"""),"G.7.3")</f>
        <v>G.7.3</v>
      </c>
    </row>
    <row r="110" spans="1:2" ht="12.5" x14ac:dyDescent="0.25">
      <c r="A110" t="str">
        <f ca="1">IFERROR(__xludf.DUMMYFUNCTION("""COMPUTED_VALUE"""),"Barley")</f>
        <v>Barley</v>
      </c>
      <c r="B110" t="str">
        <f ca="1">IFERROR(__xludf.DUMMYFUNCTION("""COMPUTED_VALUE"""),"F01.05")</f>
        <v>F01.05</v>
      </c>
    </row>
    <row r="111" spans="1:2" ht="12.5" x14ac:dyDescent="0.25">
      <c r="A111" t="str">
        <f ca="1">IFERROR(__xludf.DUMMYFUNCTION("""COMPUTED_VALUE"""),"Barley")</f>
        <v>Barley</v>
      </c>
      <c r="B111" t="str">
        <f ca="1">IFERROR(__xludf.DUMMYFUNCTION("""COMPUTED_VALUE"""),"G.1.1")</f>
        <v>G.1.1</v>
      </c>
    </row>
    <row r="112" spans="1:2" ht="12.5" x14ac:dyDescent="0.25">
      <c r="A112" t="str">
        <f ca="1">IFERROR(__xludf.DUMMYFUNCTION("""COMPUTED_VALUE"""),"Barley bran")</f>
        <v>Barley bran</v>
      </c>
      <c r="B112" t="str">
        <f ca="1">IFERROR(__xludf.DUMMYFUNCTION("""COMPUTED_VALUE"""),"G.1.1.11")</f>
        <v>G.1.1.11</v>
      </c>
    </row>
    <row r="113" spans="1:2" ht="12.5" x14ac:dyDescent="0.25">
      <c r="A113" t="str">
        <f ca="1">IFERROR(__xludf.DUMMYFUNCTION("""COMPUTED_VALUE"""),"Barley coffee")</f>
        <v>Barley coffee</v>
      </c>
      <c r="B113" t="str">
        <f ca="1">IFERROR(__xludf.DUMMYFUNCTION("""COMPUTED_VALUE"""),"A.01.000436")</f>
        <v>A.01.000436</v>
      </c>
    </row>
    <row r="114" spans="1:2" ht="12.5" x14ac:dyDescent="0.25">
      <c r="A114" t="str">
        <f ca="1">IFERROR(__xludf.DUMMYFUNCTION("""COMPUTED_VALUE"""),"Barley distillers solids, wet")</f>
        <v>Barley distillers solids, wet</v>
      </c>
      <c r="B114" t="str">
        <f ca="1">IFERROR(__xludf.DUMMYFUNCTION("""COMPUTED_VALUE"""),"G.1.1.16")</f>
        <v>G.1.1.16</v>
      </c>
    </row>
    <row r="115" spans="1:2" ht="12.5" x14ac:dyDescent="0.25">
      <c r="A115" t="str">
        <f ca="1">IFERROR(__xludf.DUMMYFUNCTION("""COMPUTED_VALUE"""),"Barley distillers solubles, wet")</f>
        <v>Barley distillers solubles, wet</v>
      </c>
      <c r="B115" t="str">
        <f ca="1">IFERROR(__xludf.DUMMYFUNCTION("""COMPUTED_VALUE"""),"G.1.1.17")</f>
        <v>G.1.1.17</v>
      </c>
    </row>
    <row r="116" spans="1:2" ht="12.5" x14ac:dyDescent="0.25">
      <c r="A116" t="str">
        <f ca="1">IFERROR(__xludf.DUMMYFUNCTION("""COMPUTED_VALUE"""),"Barley fibre")</f>
        <v>Barley fibre</v>
      </c>
      <c r="B116" t="str">
        <f ca="1">IFERROR(__xludf.DUMMYFUNCTION("""COMPUTED_VALUE"""),"G.1.1.5")</f>
        <v>G.1.1.5</v>
      </c>
    </row>
    <row r="117" spans="1:2" ht="12.5" x14ac:dyDescent="0.25">
      <c r="A117" t="str">
        <f ca="1">IFERROR(__xludf.DUMMYFUNCTION("""COMPUTED_VALUE"""),"Barley flakes")</f>
        <v>Barley flakes</v>
      </c>
      <c r="B117" t="str">
        <f ca="1">IFERROR(__xludf.DUMMYFUNCTION("""COMPUTED_VALUE"""),"A.01.000186")</f>
        <v>A.01.000186</v>
      </c>
    </row>
    <row r="118" spans="1:2" ht="12.5" x14ac:dyDescent="0.25">
      <c r="A118" t="str">
        <f ca="1">IFERROR(__xludf.DUMMYFUNCTION("""COMPUTED_VALUE"""),"Barley flakes (Feed)")</f>
        <v>Barley flakes (Feed)</v>
      </c>
      <c r="B118" t="str">
        <f ca="1">IFERROR(__xludf.DUMMYFUNCTION("""COMPUTED_VALUE"""),"G.1.1.4")</f>
        <v>G.1.1.4</v>
      </c>
    </row>
    <row r="119" spans="1:2" ht="12.5" x14ac:dyDescent="0.25">
      <c r="A119" t="str">
        <f ca="1">IFERROR(__xludf.DUMMYFUNCTION("""COMPUTED_VALUE"""),"Barley flour")</f>
        <v>Barley flour</v>
      </c>
      <c r="B119" t="str">
        <f ca="1">IFERROR(__xludf.DUMMYFUNCTION("""COMPUTED_VALUE"""),"A.01.000092")</f>
        <v>A.01.000092</v>
      </c>
    </row>
    <row r="120" spans="1:2" ht="12.5" x14ac:dyDescent="0.25">
      <c r="A120" t="str">
        <f ca="1">IFERROR(__xludf.DUMMYFUNCTION("""COMPUTED_VALUE"""),"Barley grain")</f>
        <v>Barley grain</v>
      </c>
      <c r="B120" t="str">
        <f ca="1">IFERROR(__xludf.DUMMYFUNCTION("""COMPUTED_VALUE"""),"A.01.000019")</f>
        <v>A.01.000019</v>
      </c>
    </row>
    <row r="121" spans="1:2" ht="12.5" x14ac:dyDescent="0.25">
      <c r="A121" t="str">
        <f ca="1">IFERROR(__xludf.DUMMYFUNCTION("""COMPUTED_VALUE"""),"Barley grain (Crop)")</f>
        <v>Barley grain (Crop)</v>
      </c>
      <c r="B121" t="str">
        <f ca="1">IFERROR(__xludf.DUMMYFUNCTION("""COMPUTED_VALUE"""),"A.01.000004")</f>
        <v>A.01.000004</v>
      </c>
    </row>
    <row r="122" spans="1:2" ht="12.5" x14ac:dyDescent="0.25">
      <c r="A122" t="str">
        <f ca="1">IFERROR(__xludf.DUMMYFUNCTION("""COMPUTED_VALUE"""),"Barley grain, whole")</f>
        <v>Barley grain, whole</v>
      </c>
      <c r="B122" t="str">
        <f ca="1">IFERROR(__xludf.DUMMYFUNCTION("""COMPUTED_VALUE"""),"A.01.000020")</f>
        <v>A.01.000020</v>
      </c>
    </row>
    <row r="123" spans="1:2" ht="12.5" x14ac:dyDescent="0.25">
      <c r="A123" t="str">
        <f ca="1">IFERROR(__xludf.DUMMYFUNCTION("""COMPUTED_VALUE"""),"Barley grits")</f>
        <v>Barley grits</v>
      </c>
      <c r="B123" t="str">
        <f ca="1">IFERROR(__xludf.DUMMYFUNCTION("""COMPUTED_VALUE"""),"A.01.000241")</f>
        <v>A.01.000241</v>
      </c>
    </row>
    <row r="124" spans="1:2" ht="12.5" x14ac:dyDescent="0.25">
      <c r="A124" t="str">
        <f ca="1">IFERROR(__xludf.DUMMYFUNCTION("""COMPUTED_VALUE"""),"Barley hulls")</f>
        <v>Barley hulls</v>
      </c>
      <c r="B124" t="str">
        <f ca="1">IFERROR(__xludf.DUMMYFUNCTION("""COMPUTED_VALUE"""),"G.1.1.6")</f>
        <v>G.1.1.6</v>
      </c>
    </row>
    <row r="125" spans="1:2" ht="12.5" x14ac:dyDescent="0.25">
      <c r="A125" t="str">
        <f ca="1">IFERROR(__xludf.DUMMYFUNCTION("""COMPUTED_VALUE"""),"Barley malt syrup")</f>
        <v>Barley malt syrup</v>
      </c>
      <c r="B125" t="str">
        <f ca="1">IFERROR(__xludf.DUMMYFUNCTION("""COMPUTED_VALUE"""),"A.01.001336")</f>
        <v>A.01.001336</v>
      </c>
    </row>
    <row r="126" spans="1:2" ht="12.5" x14ac:dyDescent="0.25">
      <c r="A126" t="str">
        <f ca="1">IFERROR(__xludf.DUMMYFUNCTION("""COMPUTED_VALUE"""),"Barley middlings")</f>
        <v>Barley middlings</v>
      </c>
      <c r="B126" t="str">
        <f ca="1">IFERROR(__xludf.DUMMYFUNCTION("""COMPUTED_VALUE"""),"F01.06")</f>
        <v>F01.06</v>
      </c>
    </row>
    <row r="127" spans="1:2" ht="12.5" x14ac:dyDescent="0.25">
      <c r="A127" t="str">
        <f ca="1">IFERROR(__xludf.DUMMYFUNCTION("""COMPUTED_VALUE"""),"Barley middlings")</f>
        <v>Barley middlings</v>
      </c>
      <c r="B127" t="str">
        <f ca="1">IFERROR(__xludf.DUMMYFUNCTION("""COMPUTED_VALUE"""),"G.1.1.7")</f>
        <v>G.1.1.7</v>
      </c>
    </row>
    <row r="128" spans="1:2" ht="12.5" x14ac:dyDescent="0.25">
      <c r="A128" t="str">
        <f ca="1">IFERROR(__xludf.DUMMYFUNCTION("""COMPUTED_VALUE"""),"Barley porridge")</f>
        <v>Barley porridge</v>
      </c>
      <c r="B128" t="str">
        <f ca="1">IFERROR(__xludf.DUMMYFUNCTION("""COMPUTED_VALUE"""),"A.01.000251")</f>
        <v>A.01.000251</v>
      </c>
    </row>
    <row r="129" spans="1:2" ht="12.5" x14ac:dyDescent="0.25">
      <c r="A129" t="str">
        <f ca="1">IFERROR(__xludf.DUMMYFUNCTION("""COMPUTED_VALUE"""),"Barley protein")</f>
        <v>Barley protein</v>
      </c>
      <c r="B129" t="str">
        <f ca="1">IFERROR(__xludf.DUMMYFUNCTION("""COMPUTED_VALUE"""),"F01.07")</f>
        <v>F01.07</v>
      </c>
    </row>
    <row r="130" spans="1:2" ht="12.5" x14ac:dyDescent="0.25">
      <c r="A130" t="str">
        <f ca="1">IFERROR(__xludf.DUMMYFUNCTION("""COMPUTED_VALUE"""),"Barley protein")</f>
        <v>Barley protein</v>
      </c>
      <c r="B130" t="str">
        <f ca="1">IFERROR(__xludf.DUMMYFUNCTION("""COMPUTED_VALUE"""),"G.1.1.8")</f>
        <v>G.1.1.8</v>
      </c>
    </row>
    <row r="131" spans="1:2" ht="12.5" x14ac:dyDescent="0.25">
      <c r="A131" t="str">
        <f ca="1">IFERROR(__xludf.DUMMYFUNCTION("""COMPUTED_VALUE"""),"Barley protein feed")</f>
        <v>Barley protein feed</v>
      </c>
      <c r="B131" t="str">
        <f ca="1">IFERROR(__xludf.DUMMYFUNCTION("""COMPUTED_VALUE"""),"G.1.1.9")</f>
        <v>G.1.1.9</v>
      </c>
    </row>
    <row r="132" spans="1:2" ht="12.5" x14ac:dyDescent="0.25">
      <c r="A132" t="str">
        <f ca="1">IFERROR(__xludf.DUMMYFUNCTION("""COMPUTED_VALUE"""),"Barley solubles")</f>
        <v>Barley solubles</v>
      </c>
      <c r="B132" t="str">
        <f ca="1">IFERROR(__xludf.DUMMYFUNCTION("""COMPUTED_VALUE"""),"G.1.1.10")</f>
        <v>G.1.1.10</v>
      </c>
    </row>
    <row r="133" spans="1:2" ht="12.5" x14ac:dyDescent="0.25">
      <c r="A133" t="str">
        <f ca="1">IFERROR(__xludf.DUMMYFUNCTION("""COMPUTED_VALUE"""),"Barley sugar")</f>
        <v>Barley sugar</v>
      </c>
      <c r="B133" t="str">
        <f ca="1">IFERROR(__xludf.DUMMYFUNCTION("""COMPUTED_VALUE"""),"A.01.001271")</f>
        <v>A.01.001271</v>
      </c>
    </row>
    <row r="134" spans="1:2" ht="12.5" x14ac:dyDescent="0.25">
      <c r="A134" t="str">
        <f ca="1">IFERROR(__xludf.DUMMYFUNCTION("""COMPUTED_VALUE"""),"Barley, pearled")</f>
        <v>Barley, pearled</v>
      </c>
      <c r="B134" t="str">
        <f ca="1">IFERROR(__xludf.DUMMYFUNCTION("""COMPUTED_VALUE"""),"A.01.000021")</f>
        <v>A.01.000021</v>
      </c>
    </row>
    <row r="135" spans="1:2" ht="12.5" x14ac:dyDescent="0.25">
      <c r="A135" t="str">
        <f ca="1">IFERROR(__xludf.DUMMYFUNCTION("""COMPUTED_VALUE"""),"Barley, puffed")</f>
        <v>Barley, puffed</v>
      </c>
      <c r="B135" t="str">
        <f ca="1">IFERROR(__xludf.DUMMYFUNCTION("""COMPUTED_VALUE"""),"G.1.1.2")</f>
        <v>G.1.1.2</v>
      </c>
    </row>
    <row r="136" spans="1:2" ht="12.5" x14ac:dyDescent="0.25">
      <c r="A136" t="str">
        <f ca="1">IFERROR(__xludf.DUMMYFUNCTION("""COMPUTED_VALUE"""),"Barley, roasted")</f>
        <v>Barley, roasted</v>
      </c>
      <c r="B136" t="str">
        <f ca="1">IFERROR(__xludf.DUMMYFUNCTION("""COMPUTED_VALUE"""),"G.1.1.3")</f>
        <v>G.1.1.3</v>
      </c>
    </row>
    <row r="137" spans="1:2" ht="12.5" x14ac:dyDescent="0.25">
      <c r="A137" t="str">
        <f ca="1">IFERROR(__xludf.DUMMYFUNCTION("""COMPUTED_VALUE"""),"Basil, herb (Ocimum basilicum)")</f>
        <v>Basil, herb (Ocimum basilicum)</v>
      </c>
      <c r="B137" t="str">
        <f ca="1">IFERROR(__xludf.DUMMYFUNCTION("""COMPUTED_VALUE"""),"A.01.001590")</f>
        <v>A.01.001590</v>
      </c>
    </row>
    <row r="138" spans="1:2" ht="12.5" x14ac:dyDescent="0.25">
      <c r="A138" t="str">
        <f ca="1">IFERROR(__xludf.DUMMYFUNCTION("""COMPUTED_VALUE"""),"Bass (Marone)")</f>
        <v>Bass (Marone)</v>
      </c>
      <c r="B138" t="str">
        <f ca="1">IFERROR(__xludf.DUMMYFUNCTION("""COMPUTED_VALUE"""),"A.01.000888")</f>
        <v>A.01.000888</v>
      </c>
    </row>
    <row r="139" spans="1:2" ht="12.5" x14ac:dyDescent="0.25">
      <c r="A139" t="str">
        <f ca="1">IFERROR(__xludf.DUMMYFUNCTION("""COMPUTED_VALUE"""),"Bay leaves (laurel) (Laurus nobilis)")</f>
        <v>Bay leaves (laurel) (Laurus nobilis)</v>
      </c>
      <c r="B139" t="str">
        <f ca="1">IFERROR(__xludf.DUMMYFUNCTION("""COMPUTED_VALUE"""),"A.01.001591")</f>
        <v>A.01.001591</v>
      </c>
    </row>
    <row r="140" spans="1:2" ht="12.5" x14ac:dyDescent="0.25">
      <c r="A140" t="str">
        <f ca="1">IFERROR(__xludf.DUMMYFUNCTION("""COMPUTED_VALUE"""),"Bean protein concentrate")</f>
        <v>Bean protein concentrate</v>
      </c>
      <c r="B140" t="str">
        <f ca="1">IFERROR(__xludf.DUMMYFUNCTION("""COMPUTED_VALUE"""),"G.3.1.2")</f>
        <v>G.3.1.2</v>
      </c>
    </row>
    <row r="141" spans="1:2" ht="12.5" x14ac:dyDescent="0.25">
      <c r="A141" t="str">
        <f ca="1">IFERROR(__xludf.DUMMYFUNCTION("""COMPUTED_VALUE"""),"Beans (Phaseolus vulgaris)")</f>
        <v>Beans (Phaseolus vulgaris)</v>
      </c>
      <c r="B141" t="str">
        <f ca="1">IFERROR(__xludf.DUMMYFUNCTION("""COMPUTED_VALUE"""),"A.01.000492")</f>
        <v>A.01.000492</v>
      </c>
    </row>
    <row r="142" spans="1:2" ht="12.5" x14ac:dyDescent="0.25">
      <c r="A142" t="str">
        <f ca="1">IFERROR(__xludf.DUMMYFUNCTION("""COMPUTED_VALUE"""),"Beans and meat meal")</f>
        <v>Beans and meat meal</v>
      </c>
      <c r="B142" t="str">
        <f ca="1">IFERROR(__xludf.DUMMYFUNCTION("""COMPUTED_VALUE"""),"A.01.001826")</f>
        <v>A.01.001826</v>
      </c>
    </row>
    <row r="143" spans="1:2" ht="12.5" x14ac:dyDescent="0.25">
      <c r="A143" t="str">
        <f ca="1">IFERROR(__xludf.DUMMYFUNCTION("""COMPUTED_VALUE"""),"Beans and vegetables meal")</f>
        <v>Beans and vegetables meal</v>
      </c>
      <c r="B143" t="str">
        <f ca="1">IFERROR(__xludf.DUMMYFUNCTION("""COMPUTED_VALUE"""),"A.01.001827")</f>
        <v>A.01.001827</v>
      </c>
    </row>
    <row r="144" spans="1:2" ht="12.5" x14ac:dyDescent="0.25">
      <c r="A144" t="str">
        <f ca="1">IFERROR(__xludf.DUMMYFUNCTION("""COMPUTED_VALUE"""),"Beans-based meals")</f>
        <v>Beans-based meals</v>
      </c>
      <c r="B144" t="str">
        <f ca="1">IFERROR(__xludf.DUMMYFUNCTION("""COMPUTED_VALUE"""),"A.01.001825")</f>
        <v>A.01.001825</v>
      </c>
    </row>
    <row r="145" spans="1:2" ht="12.5" x14ac:dyDescent="0.25">
      <c r="A145" t="str">
        <f ca="1">IFERROR(__xludf.DUMMYFUNCTION("""COMPUTED_VALUE"""),"Beans, green, with pods")</f>
        <v>Beans, green, with pods</v>
      </c>
      <c r="B145" t="str">
        <f ca="1">IFERROR(__xludf.DUMMYFUNCTION("""COMPUTED_VALUE"""),"A.01.001901")</f>
        <v>A.01.001901</v>
      </c>
    </row>
    <row r="146" spans="1:2" ht="12.5" x14ac:dyDescent="0.25">
      <c r="A146" t="str">
        <f ca="1">IFERROR(__xludf.DUMMYFUNCTION("""COMPUTED_VALUE"""),"Beans, green, without pods (Phaseolus vulgaris)")</f>
        <v>Beans, green, without pods (Phaseolus vulgaris)</v>
      </c>
      <c r="B146" t="str">
        <f ca="1">IFERROR(__xludf.DUMMYFUNCTION("""COMPUTED_VALUE"""),"A.01.000488")</f>
        <v>A.01.000488</v>
      </c>
    </row>
    <row r="147" spans="1:2" ht="12.5" x14ac:dyDescent="0.25">
      <c r="A147" t="str">
        <f ca="1">IFERROR(__xludf.DUMMYFUNCTION("""COMPUTED_VALUE"""),"Beans, meat, and vegetables meal")</f>
        <v>Beans, meat, and vegetables meal</v>
      </c>
      <c r="B147" t="str">
        <f ca="1">IFERROR(__xludf.DUMMYFUNCTION("""COMPUTED_VALUE"""),"A.01.001828")</f>
        <v>A.01.001828</v>
      </c>
    </row>
    <row r="148" spans="1:2" ht="12.5" x14ac:dyDescent="0.25">
      <c r="A148" t="str">
        <f ca="1">IFERROR(__xludf.DUMMYFUNCTION("""COMPUTED_VALUE"""),"Beans, toasted")</f>
        <v>Beans, toasted</v>
      </c>
      <c r="B148" t="str">
        <f ca="1">IFERROR(__xludf.DUMMYFUNCTION("""COMPUTED_VALUE"""),"F03.07")</f>
        <v>F03.07</v>
      </c>
    </row>
    <row r="149" spans="1:2" ht="12.5" x14ac:dyDescent="0.25">
      <c r="A149" t="str">
        <f ca="1">IFERROR(__xludf.DUMMYFUNCTION("""COMPUTED_VALUE"""),"Beans, toasted")</f>
        <v>Beans, toasted</v>
      </c>
      <c r="B149" t="str">
        <f ca="1">IFERROR(__xludf.DUMMYFUNCTION("""COMPUTED_VALUE"""),"G.3.1")</f>
        <v>G.3.1</v>
      </c>
    </row>
    <row r="150" spans="1:2" ht="12.5" x14ac:dyDescent="0.25">
      <c r="A150" t="str">
        <f ca="1">IFERROR(__xludf.DUMMYFUNCTION("""COMPUTED_VALUE"""),"Beans, with pods (Phaseolus vulgaris)")</f>
        <v>Beans, with pods (Phaseolus vulgaris)</v>
      </c>
      <c r="B150" t="str">
        <f ca="1">IFERROR(__xludf.DUMMYFUNCTION("""COMPUTED_VALUE"""),"A.01.000383")</f>
        <v>A.01.000383</v>
      </c>
    </row>
    <row r="151" spans="1:2" ht="12.5" x14ac:dyDescent="0.25">
      <c r="A151" t="str">
        <f ca="1">IFERROR(__xludf.DUMMYFUNCTION("""COMPUTED_VALUE"""),"Bearberry (Arctostaphylos spp.)")</f>
        <v>Bearberry (Arctostaphylos spp.)</v>
      </c>
      <c r="B151" t="str">
        <f ca="1">IFERROR(__xludf.DUMMYFUNCTION("""COMPUTED_VALUE"""),"A.01.000596")</f>
        <v>A.01.000596</v>
      </c>
    </row>
    <row r="152" spans="1:2" ht="12.5" x14ac:dyDescent="0.25">
      <c r="A152" t="str">
        <f ca="1">IFERROR(__xludf.DUMMYFUNCTION("""COMPUTED_VALUE"""),"Beef kidney")</f>
        <v>Beef kidney</v>
      </c>
      <c r="B152" t="str">
        <f ca="1">IFERROR(__xludf.DUMMYFUNCTION("""COMPUTED_VALUE"""),"A.01.000775")</f>
        <v>A.01.000775</v>
      </c>
    </row>
    <row r="153" spans="1:2" ht="12.5" x14ac:dyDescent="0.25">
      <c r="A153" t="str">
        <f ca="1">IFERROR(__xludf.DUMMYFUNCTION("""COMPUTED_VALUE"""),"Beef liver")</f>
        <v>Beef liver</v>
      </c>
      <c r="B153" t="str">
        <f ca="1">IFERROR(__xludf.DUMMYFUNCTION("""COMPUTED_VALUE"""),"A.01.000767")</f>
        <v>A.01.000767</v>
      </c>
    </row>
    <row r="154" spans="1:2" ht="12.5" x14ac:dyDescent="0.25">
      <c r="A154" t="str">
        <f ca="1">IFERROR(__xludf.DUMMYFUNCTION("""COMPUTED_VALUE"""),"Beef loaf")</f>
        <v>Beef loaf</v>
      </c>
      <c r="B154" t="str">
        <f ca="1">IFERROR(__xludf.DUMMYFUNCTION("""COMPUTED_VALUE"""),"A.01.000859")</f>
        <v>A.01.000859</v>
      </c>
    </row>
    <row r="155" spans="1:2" ht="12.5" x14ac:dyDescent="0.25">
      <c r="A155" t="str">
        <f ca="1">IFERROR(__xludf.DUMMYFUNCTION("""COMPUTED_VALUE"""),"Beef meat (Bos spp.)")</f>
        <v>Beef meat (Bos spp.)</v>
      </c>
      <c r="B155" t="str">
        <f ca="1">IFERROR(__xludf.DUMMYFUNCTION("""COMPUTED_VALUE"""),"A.01.000729")</f>
        <v>A.01.000729</v>
      </c>
    </row>
    <row r="156" spans="1:2" ht="12.5" x14ac:dyDescent="0.25">
      <c r="A156" t="str">
        <f ca="1">IFERROR(__xludf.DUMMYFUNCTION("""COMPUTED_VALUE"""),"Beef, dried")</f>
        <v>Beef, dried</v>
      </c>
      <c r="B156" t="str">
        <f ca="1">IFERROR(__xludf.DUMMYFUNCTION("""COMPUTED_VALUE"""),"A.01.000798")</f>
        <v>A.01.000798</v>
      </c>
    </row>
    <row r="157" spans="1:2" ht="12.5" x14ac:dyDescent="0.25">
      <c r="A157" t="str">
        <f ca="1">IFERROR(__xludf.DUMMYFUNCTION("""COMPUTED_VALUE"""),"Beer and beer-like beverage")</f>
        <v>Beer and beer-like beverage</v>
      </c>
      <c r="B157" t="str">
        <f ca="1">IFERROR(__xludf.DUMMYFUNCTION("""COMPUTED_VALUE"""),"A.01.001535")</f>
        <v>A.01.001535</v>
      </c>
    </row>
    <row r="158" spans="1:2" ht="12.5" x14ac:dyDescent="0.25">
      <c r="A158" t="str">
        <f ca="1">IFERROR(__xludf.DUMMYFUNCTION("""COMPUTED_VALUE"""),"Beer and substitutes")</f>
        <v>Beer and substitutes</v>
      </c>
      <c r="B158" t="str">
        <f ca="1">IFERROR(__xludf.DUMMYFUNCTION("""COMPUTED_VALUE"""),"C09A")</f>
        <v>C09A</v>
      </c>
    </row>
    <row r="159" spans="1:2" ht="12.5" x14ac:dyDescent="0.25">
      <c r="A159" t="str">
        <f ca="1">IFERROR(__xludf.DUMMYFUNCTION("""COMPUTED_VALUE"""),"Beer for diabetics")</f>
        <v>Beer for diabetics</v>
      </c>
      <c r="B159" t="str">
        <f ca="1">IFERROR(__xludf.DUMMYFUNCTION("""COMPUTED_VALUE"""),"A.01.001783")</f>
        <v>A.01.001783</v>
      </c>
    </row>
    <row r="160" spans="1:2" ht="12.5" x14ac:dyDescent="0.25">
      <c r="A160" t="str">
        <f ca="1">IFERROR(__xludf.DUMMYFUNCTION("""COMPUTED_VALUE"""),"Beer-like beverages (Malt drink)")</f>
        <v>Beer-like beverages (Malt drink)</v>
      </c>
      <c r="B160" t="str">
        <f ca="1">IFERROR(__xludf.DUMMYFUNCTION("""COMPUTED_VALUE"""),"A.01.001540")</f>
        <v>A.01.001540</v>
      </c>
    </row>
    <row r="161" spans="1:2" ht="12.5" x14ac:dyDescent="0.25">
      <c r="A161" t="str">
        <f ca="1">IFERROR(__xludf.DUMMYFUNCTION("""COMPUTED_VALUE"""),"Beer, alcohol-free")</f>
        <v>Beer, alcohol-free</v>
      </c>
      <c r="B161" t="str">
        <f ca="1">IFERROR(__xludf.DUMMYFUNCTION("""COMPUTED_VALUE"""),"A.01.001539")</f>
        <v>A.01.001539</v>
      </c>
    </row>
    <row r="162" spans="1:2" ht="12.5" x14ac:dyDescent="0.25">
      <c r="A162" t="str">
        <f ca="1">IFERROR(__xludf.DUMMYFUNCTION("""COMPUTED_VALUE"""),"Beer, light (reduced alcohol content)")</f>
        <v>Beer, light (reduced alcohol content)</v>
      </c>
      <c r="B162" t="str">
        <f ca="1">IFERROR(__xludf.DUMMYFUNCTION("""COMPUTED_VALUE"""),"A.01.001538")</f>
        <v>A.01.001538</v>
      </c>
    </row>
    <row r="163" spans="1:2" ht="12.5" x14ac:dyDescent="0.25">
      <c r="A163" t="str">
        <f ca="1">IFERROR(__xludf.DUMMYFUNCTION("""COMPUTED_VALUE"""),"Beer, regular")</f>
        <v>Beer, regular</v>
      </c>
      <c r="B163" t="str">
        <f ca="1">IFERROR(__xludf.DUMMYFUNCTION("""COMPUTED_VALUE"""),"A.01.001537")</f>
        <v>A.01.001537</v>
      </c>
    </row>
    <row r="164" spans="1:2" ht="12.5" x14ac:dyDescent="0.25">
      <c r="A164" t="str">
        <f ca="1">IFERROR(__xludf.DUMMYFUNCTION("""COMPUTED_VALUE"""),"Beer, strong")</f>
        <v>Beer, strong</v>
      </c>
      <c r="B164" t="str">
        <f ca="1">IFERROR(__xludf.DUMMYFUNCTION("""COMPUTED_VALUE"""),"A.01.001536")</f>
        <v>A.01.001536</v>
      </c>
    </row>
    <row r="165" spans="1:2" ht="12.5" x14ac:dyDescent="0.25">
      <c r="A165" t="str">
        <f ca="1">IFERROR(__xludf.DUMMYFUNCTION("""COMPUTED_VALUE"""),"Beerwurst")</f>
        <v>Beerwurst</v>
      </c>
      <c r="B165" t="str">
        <f ca="1">IFERROR(__xludf.DUMMYFUNCTION("""COMPUTED_VALUE"""),"A.01.000847")</f>
        <v>A.01.000847</v>
      </c>
    </row>
    <row r="166" spans="1:2" ht="12.5" x14ac:dyDescent="0.25">
      <c r="A166" t="str">
        <f ca="1">IFERROR(__xludf.DUMMYFUNCTION("""COMPUTED_VALUE"""),"Beet leaves")</f>
        <v>Beet leaves</v>
      </c>
      <c r="B166" t="str">
        <f ca="1">IFERROR(__xludf.DUMMYFUNCTION("""COMPUTED_VALUE"""),"G.6.1")</f>
        <v>G.6.1</v>
      </c>
    </row>
    <row r="167" spans="1:2" ht="12.5" x14ac:dyDescent="0.25">
      <c r="A167" t="str">
        <f ca="1">IFERROR(__xludf.DUMMYFUNCTION("""COMPUTED_VALUE"""),"Beet leaves (Beta vulgaris)")</f>
        <v>Beet leaves (Beta vulgaris)</v>
      </c>
      <c r="B167" t="str">
        <f ca="1">IFERROR(__xludf.DUMMYFUNCTION("""COMPUTED_VALUE"""),"A.01.000372")</f>
        <v>A.01.000372</v>
      </c>
    </row>
    <row r="168" spans="1:2" ht="12.5" x14ac:dyDescent="0.25">
      <c r="A168" t="str">
        <f ca="1">IFERROR(__xludf.DUMMYFUNCTION("""COMPUTED_VALUE"""),"Beetroot (Beta vulgaris subsp. vulgaris)")</f>
        <v>Beetroot (Beta vulgaris subsp. vulgaris)</v>
      </c>
      <c r="B168" t="str">
        <f ca="1">IFERROR(__xludf.DUMMYFUNCTION("""COMPUTED_VALUE"""),"A.01.000320")</f>
        <v>A.01.000320</v>
      </c>
    </row>
    <row r="169" spans="1:2" ht="12.5" x14ac:dyDescent="0.25">
      <c r="A169" t="str">
        <f ca="1">IFERROR(__xludf.DUMMYFUNCTION("""COMPUTED_VALUE"""),"Beetroot juice")</f>
        <v>Beetroot juice</v>
      </c>
      <c r="B169" t="str">
        <f ca="1">IFERROR(__xludf.DUMMYFUNCTION("""COMPUTED_VALUE"""),"G.4.2")</f>
        <v>G.4.2</v>
      </c>
    </row>
    <row r="170" spans="1:2" ht="12.5" x14ac:dyDescent="0.25">
      <c r="A170" t="str">
        <f ca="1">IFERROR(__xludf.DUMMYFUNCTION("""COMPUTED_VALUE"""),"Beignets")</f>
        <v>Beignets</v>
      </c>
      <c r="B170" t="str">
        <f ca="1">IFERROR(__xludf.DUMMYFUNCTION("""COMPUTED_VALUE"""),"A.01.000254")</f>
        <v>A.01.000254</v>
      </c>
    </row>
    <row r="171" spans="1:2" ht="12.5" x14ac:dyDescent="0.25">
      <c r="A171" t="str">
        <f ca="1">IFERROR(__xludf.DUMMYFUNCTION("""COMPUTED_VALUE"""),"Berliner-Style, Sausage")</f>
        <v>Berliner-Style, Sausage</v>
      </c>
      <c r="B171" t="str">
        <f ca="1">IFERROR(__xludf.DUMMYFUNCTION("""COMPUTED_VALUE"""),"A.01.000827")</f>
        <v>A.01.000827</v>
      </c>
    </row>
    <row r="172" spans="1:2" ht="12.5" x14ac:dyDescent="0.25">
      <c r="A172" t="str">
        <f ca="1">IFERROR(__xludf.DUMMYFUNCTION("""COMPUTED_VALUE"""),"Berries and small fruits")</f>
        <v>Berries and small fruits</v>
      </c>
      <c r="B172" t="str">
        <f ca="1">IFERROR(__xludf.DUMMYFUNCTION("""COMPUTED_VALUE"""),"C06_1")</f>
        <v>C06_1</v>
      </c>
    </row>
    <row r="173" spans="1:2" ht="12.5" x14ac:dyDescent="0.25">
      <c r="A173" t="str">
        <f ca="1">IFERROR(__xludf.DUMMYFUNCTION("""COMPUTED_VALUE"""),"Berries and small fruits")</f>
        <v>Berries and small fruits</v>
      </c>
      <c r="B173" t="str">
        <f ca="1">IFERROR(__xludf.DUMMYFUNCTION("""COMPUTED_VALUE"""),"A.01.000575")</f>
        <v>A.01.000575</v>
      </c>
    </row>
    <row r="174" spans="1:2" ht="12.5" x14ac:dyDescent="0.25">
      <c r="A174" t="str">
        <f ca="1">IFERROR(__xludf.DUMMYFUNCTION("""COMPUTED_VALUE"""),"Bilberry or whortleberry (Vaccinium spp.)")</f>
        <v>Bilberry or whortleberry (Vaccinium spp.)</v>
      </c>
      <c r="B174" t="str">
        <f ca="1">IFERROR(__xludf.DUMMYFUNCTION("""COMPUTED_VALUE"""),"A.01.000597")</f>
        <v>A.01.000597</v>
      </c>
    </row>
    <row r="175" spans="1:2" ht="12.5" x14ac:dyDescent="0.25">
      <c r="A175" t="str">
        <f ca="1">IFERROR(__xludf.DUMMYFUNCTION("""COMPUTED_VALUE"""),"Biscuit, iced")</f>
        <v>Biscuit, iced</v>
      </c>
      <c r="B175" t="str">
        <f ca="1">IFERROR(__xludf.DUMMYFUNCTION("""COMPUTED_VALUE"""),"A.01.000309")</f>
        <v>A.01.000309</v>
      </c>
    </row>
    <row r="176" spans="1:2" ht="12.5" x14ac:dyDescent="0.25">
      <c r="A176" t="str">
        <f ca="1">IFERROR(__xludf.DUMMYFUNCTION("""COMPUTED_VALUE"""),"Biscuits (cookies)")</f>
        <v>Biscuits (cookies)</v>
      </c>
      <c r="B176" t="str">
        <f ca="1">IFERROR(__xludf.DUMMYFUNCTION("""COMPUTED_VALUE"""),"A.01.000302")</f>
        <v>A.01.000302</v>
      </c>
    </row>
    <row r="177" spans="1:2" ht="12.5" x14ac:dyDescent="0.25">
      <c r="A177" t="str">
        <f ca="1">IFERROR(__xludf.DUMMYFUNCTION("""COMPUTED_VALUE"""),"Biscuits, chocolate filling")</f>
        <v>Biscuits, chocolate filling</v>
      </c>
      <c r="B177" t="str">
        <f ca="1">IFERROR(__xludf.DUMMYFUNCTION("""COMPUTED_VALUE"""),"A.01.000304")</f>
        <v>A.01.000304</v>
      </c>
    </row>
    <row r="178" spans="1:2" ht="12.5" x14ac:dyDescent="0.25">
      <c r="A178" t="str">
        <f ca="1">IFERROR(__xludf.DUMMYFUNCTION("""COMPUTED_VALUE"""),"Biscuits, cream filling")</f>
        <v>Biscuits, cream filling</v>
      </c>
      <c r="B178" t="str">
        <f ca="1">IFERROR(__xludf.DUMMYFUNCTION("""COMPUTED_VALUE"""),"A.01.000305")</f>
        <v>A.01.000305</v>
      </c>
    </row>
    <row r="179" spans="1:2" ht="12.5" x14ac:dyDescent="0.25">
      <c r="A179" t="str">
        <f ca="1">IFERROR(__xludf.DUMMYFUNCTION("""COMPUTED_VALUE"""),"Biscuits, fruit filling")</f>
        <v>Biscuits, fruit filling</v>
      </c>
      <c r="B179" t="str">
        <f ca="1">IFERROR(__xludf.DUMMYFUNCTION("""COMPUTED_VALUE"""),"A.01.000306")</f>
        <v>A.01.000306</v>
      </c>
    </row>
    <row r="180" spans="1:2" ht="12.5" x14ac:dyDescent="0.25">
      <c r="A180" t="str">
        <f ca="1">IFERROR(__xludf.DUMMYFUNCTION("""COMPUTED_VALUE"""),"Biscuits, oat meal")</f>
        <v>Biscuits, oat meal</v>
      </c>
      <c r="B180" t="str">
        <f ca="1">IFERROR(__xludf.DUMMYFUNCTION("""COMPUTED_VALUE"""),"A.01.000312")</f>
        <v>A.01.000312</v>
      </c>
    </row>
    <row r="181" spans="1:2" ht="12.5" x14ac:dyDescent="0.25">
      <c r="A181" t="str">
        <f ca="1">IFERROR(__xludf.DUMMYFUNCTION("""COMPUTED_VALUE"""),"Biscuits, rusks and cookies for children")</f>
        <v>Biscuits, rusks and cookies for children</v>
      </c>
      <c r="B181" t="str">
        <f ca="1">IFERROR(__xludf.DUMMYFUNCTION("""COMPUTED_VALUE"""),"A.01.001731")</f>
        <v>A.01.001731</v>
      </c>
    </row>
    <row r="182" spans="1:2" ht="12.5" x14ac:dyDescent="0.25">
      <c r="A182" t="str">
        <f ca="1">IFERROR(__xludf.DUMMYFUNCTION("""COMPUTED_VALUE"""),"Biscuits, salty")</f>
        <v>Biscuits, salty</v>
      </c>
      <c r="B182" t="str">
        <f ca="1">IFERROR(__xludf.DUMMYFUNCTION("""COMPUTED_VALUE"""),"A.01.000314")</f>
        <v>A.01.000314</v>
      </c>
    </row>
    <row r="183" spans="1:2" ht="12.5" x14ac:dyDescent="0.25">
      <c r="A183" t="str">
        <f ca="1">IFERROR(__xludf.DUMMYFUNCTION("""COMPUTED_VALUE"""),"Biscuits, salty, with cheese")</f>
        <v>Biscuits, salty, with cheese</v>
      </c>
      <c r="B183" t="str">
        <f ca="1">IFERROR(__xludf.DUMMYFUNCTION("""COMPUTED_VALUE"""),"A.01.000315")</f>
        <v>A.01.000315</v>
      </c>
    </row>
    <row r="184" spans="1:2" ht="12.5" x14ac:dyDescent="0.25">
      <c r="A184" t="str">
        <f ca="1">IFERROR(__xludf.DUMMYFUNCTION("""COMPUTED_VALUE"""),"Biscuits, spelt meal")</f>
        <v>Biscuits, spelt meal</v>
      </c>
      <c r="B184" t="str">
        <f ca="1">IFERROR(__xludf.DUMMYFUNCTION("""COMPUTED_VALUE"""),"A.01.000313")</f>
        <v>A.01.000313</v>
      </c>
    </row>
    <row r="185" spans="1:2" ht="12.5" x14ac:dyDescent="0.25">
      <c r="A185" t="str">
        <f ca="1">IFERROR(__xludf.DUMMYFUNCTION("""COMPUTED_VALUE"""),"Biscuits, sweet, plain")</f>
        <v>Biscuits, sweet, plain</v>
      </c>
      <c r="B185" t="str">
        <f ca="1">IFERROR(__xludf.DUMMYFUNCTION("""COMPUTED_VALUE"""),"A.01.000303")</f>
        <v>A.01.000303</v>
      </c>
    </row>
    <row r="186" spans="1:2" ht="12.5" x14ac:dyDescent="0.25">
      <c r="A186" t="str">
        <f ca="1">IFERROR(__xludf.DUMMYFUNCTION("""COMPUTED_VALUE"""),"Biscuits, sweet, wheat wholemeal")</f>
        <v>Biscuits, sweet, wheat wholemeal</v>
      </c>
      <c r="B186" t="str">
        <f ca="1">IFERROR(__xludf.DUMMYFUNCTION("""COMPUTED_VALUE"""),"A.01.000311")</f>
        <v>A.01.000311</v>
      </c>
    </row>
    <row r="187" spans="1:2" ht="12.5" x14ac:dyDescent="0.25">
      <c r="A187" t="str">
        <f ca="1">IFERROR(__xludf.DUMMYFUNCTION("""COMPUTED_VALUE"""),"Biscuits, vanilla filling")</f>
        <v>Biscuits, vanilla filling</v>
      </c>
      <c r="B187" t="str">
        <f ca="1">IFERROR(__xludf.DUMMYFUNCTION("""COMPUTED_VALUE"""),"A.01.000307")</f>
        <v>A.01.000307</v>
      </c>
    </row>
    <row r="188" spans="1:2" ht="12.5" x14ac:dyDescent="0.25">
      <c r="A188" t="str">
        <f ca="1">IFERROR(__xludf.DUMMYFUNCTION("""COMPUTED_VALUE"""),"Bitter chocolate")</f>
        <v>Bitter chocolate</v>
      </c>
      <c r="B188" t="str">
        <f ca="1">IFERROR(__xludf.DUMMYFUNCTION("""COMPUTED_VALUE"""),"A.01.001296")</f>
        <v>A.01.001296</v>
      </c>
    </row>
    <row r="189" spans="1:2" ht="12.5" x14ac:dyDescent="0.25">
      <c r="A189" t="str">
        <f ca="1">IFERROR(__xludf.DUMMYFUNCTION("""COMPUTED_VALUE"""),"Bitter-sweet chocolate")</f>
        <v>Bitter-sweet chocolate</v>
      </c>
      <c r="B189" t="str">
        <f ca="1">IFERROR(__xludf.DUMMYFUNCTION("""COMPUTED_VALUE"""),"A.01.001297")</f>
        <v>A.01.001297</v>
      </c>
    </row>
    <row r="190" spans="1:2" ht="12.5" x14ac:dyDescent="0.25">
      <c r="A190" t="str">
        <f ca="1">IFERROR(__xludf.DUMMYFUNCTION("""COMPUTED_VALUE"""),"Bivalve molluscs")</f>
        <v>Bivalve molluscs</v>
      </c>
      <c r="B190" t="str">
        <f ca="1">IFERROR(__xludf.DUMMYFUNCTION("""COMPUTED_VALUE"""),"C11A_1")</f>
        <v>C11A_1</v>
      </c>
    </row>
    <row r="191" spans="1:2" ht="12.5" x14ac:dyDescent="0.25">
      <c r="A191" t="str">
        <f ca="1">IFERROR(__xludf.DUMMYFUNCTION("""COMPUTED_VALUE"""),"Black caraway seed (Nigella sativa)")</f>
        <v>Black caraway seed (Nigella sativa)</v>
      </c>
      <c r="B191" t="str">
        <f ca="1">IFERROR(__xludf.DUMMYFUNCTION("""COMPUTED_VALUE"""),"A.01.001601")</f>
        <v>A.01.001601</v>
      </c>
    </row>
    <row r="192" spans="1:2" ht="12.5" x14ac:dyDescent="0.25">
      <c r="A192" t="str">
        <f ca="1">IFERROR(__xludf.DUMMYFUNCTION("""COMPUTED_VALUE"""),"Black eye bean (Vigna unguiculata)")</f>
        <v>Black eye bean (Vigna unguiculata)</v>
      </c>
      <c r="B192" t="str">
        <f ca="1">IFERROR(__xludf.DUMMYFUNCTION("""COMPUTED_VALUE"""),"A.01.000502")</f>
        <v>A.01.000502</v>
      </c>
    </row>
    <row r="193" spans="1:2" ht="12.5" x14ac:dyDescent="0.25">
      <c r="A193" t="str">
        <f ca="1">IFERROR(__xludf.DUMMYFUNCTION("""COMPUTED_VALUE"""),"Black gram, Urad (Vigna mungo)")</f>
        <v>Black gram, Urad (Vigna mungo)</v>
      </c>
      <c r="B193" t="str">
        <f ca="1">IFERROR(__xludf.DUMMYFUNCTION("""COMPUTED_VALUE"""),"A.01.000507")</f>
        <v>A.01.000507</v>
      </c>
    </row>
    <row r="194" spans="1:2" ht="12.5" x14ac:dyDescent="0.25">
      <c r="A194" t="str">
        <f ca="1">IFERROR(__xludf.DUMMYFUNCTION("""COMPUTED_VALUE"""),"Black tea, infusion")</f>
        <v>Black tea, infusion</v>
      </c>
      <c r="B194" t="str">
        <f ca="1">IFERROR(__xludf.DUMMYFUNCTION("""COMPUTED_VALUE"""),"A.01.001516")</f>
        <v>A.01.001516</v>
      </c>
    </row>
    <row r="195" spans="1:2" ht="12.5" x14ac:dyDescent="0.25">
      <c r="A195" t="str">
        <f ca="1">IFERROR(__xludf.DUMMYFUNCTION("""COMPUTED_VALUE"""),"Blackberries (Rubus fruticosus)")</f>
        <v>Blackberries (Rubus fruticosus)</v>
      </c>
      <c r="B195" t="str">
        <f ca="1">IFERROR(__xludf.DUMMYFUNCTION("""COMPUTED_VALUE"""),"A.01.000579")</f>
        <v>A.01.000579</v>
      </c>
    </row>
    <row r="196" spans="1:2" ht="12.5" x14ac:dyDescent="0.25">
      <c r="A196" t="str">
        <f ca="1">IFERROR(__xludf.DUMMYFUNCTION("""COMPUTED_VALUE"""),"Blood and tongue sausage")</f>
        <v>Blood and tongue sausage</v>
      </c>
      <c r="B196" t="str">
        <f ca="1">IFERROR(__xludf.DUMMYFUNCTION("""COMPUTED_VALUE"""),"A.01.000824")</f>
        <v>A.01.000824</v>
      </c>
    </row>
    <row r="197" spans="1:2" ht="12.5" x14ac:dyDescent="0.25">
      <c r="A197" t="str">
        <f ca="1">IFERROR(__xludf.DUMMYFUNCTION("""COMPUTED_VALUE"""),"Blood meal")</f>
        <v>Blood meal</v>
      </c>
      <c r="B197" t="str">
        <f ca="1">IFERROR(__xludf.DUMMYFUNCTION("""COMPUTED_VALUE"""),"F09.07")</f>
        <v>F09.07</v>
      </c>
    </row>
    <row r="198" spans="1:2" ht="12.5" x14ac:dyDescent="0.25">
      <c r="A198" t="str">
        <f ca="1">IFERROR(__xludf.DUMMYFUNCTION("""COMPUTED_VALUE"""),"Blood meal")</f>
        <v>Blood meal</v>
      </c>
      <c r="B198" t="str">
        <f ca="1">IFERROR(__xludf.DUMMYFUNCTION("""COMPUTED_VALUE"""),"G.9.7")</f>
        <v>G.9.7</v>
      </c>
    </row>
    <row r="199" spans="1:2" ht="12.5" x14ac:dyDescent="0.25">
      <c r="A199" t="str">
        <f ca="1">IFERROR(__xludf.DUMMYFUNCTION("""COMPUTED_VALUE"""),"Blood products")</f>
        <v>Blood products</v>
      </c>
      <c r="B199" t="str">
        <f ca="1">IFERROR(__xludf.DUMMYFUNCTION("""COMPUTED_VALUE"""),"G.9.8")</f>
        <v>G.9.8</v>
      </c>
    </row>
    <row r="200" spans="1:2" ht="12.5" x14ac:dyDescent="0.25">
      <c r="A200" t="str">
        <f ca="1">IFERROR(__xludf.DUMMYFUNCTION("""COMPUTED_VALUE"""),"Blood sausage")</f>
        <v>Blood sausage</v>
      </c>
      <c r="B200" t="str">
        <f ca="1">IFERROR(__xludf.DUMMYFUNCTION("""COMPUTED_VALUE"""),"A.01.000823")</f>
        <v>A.01.000823</v>
      </c>
    </row>
    <row r="201" spans="1:2" ht="12.5" x14ac:dyDescent="0.25">
      <c r="A201" t="str">
        <f ca="1">IFERROR(__xludf.DUMMYFUNCTION("""COMPUTED_VALUE"""),"Blossoms, dried")</f>
        <v>Blossoms, dried</v>
      </c>
      <c r="B201" t="str">
        <f ca="1">IFERROR(__xludf.DUMMYFUNCTION("""COMPUTED_VALUE"""),"G.7.4")</f>
        <v>G.7.4</v>
      </c>
    </row>
    <row r="202" spans="1:2" ht="12.5" x14ac:dyDescent="0.25">
      <c r="A202" t="str">
        <f ca="1">IFERROR(__xludf.DUMMYFUNCTION("""COMPUTED_VALUE"""),"Blueberries (Vaccinium corymbosum)")</f>
        <v>Blueberries (Vaccinium corymbosum)</v>
      </c>
      <c r="B202" t="str">
        <f ca="1">IFERROR(__xludf.DUMMYFUNCTION("""COMPUTED_VALUE"""),"A.01.000583")</f>
        <v>A.01.000583</v>
      </c>
    </row>
    <row r="203" spans="1:2" ht="12.5" x14ac:dyDescent="0.25">
      <c r="A203" t="str">
        <f ca="1">IFERROR(__xludf.DUMMYFUNCTION("""COMPUTED_VALUE"""),"Boar meat (wild pig) (Sus scrofa)")</f>
        <v>Boar meat (wild pig) (Sus scrofa)</v>
      </c>
      <c r="B203" t="str">
        <f ca="1">IFERROR(__xludf.DUMMYFUNCTION("""COMPUTED_VALUE"""),"A.01.000745")</f>
        <v>A.01.000745</v>
      </c>
    </row>
    <row r="204" spans="1:2" ht="12.5" x14ac:dyDescent="0.25">
      <c r="A204" t="str">
        <f ca="1">IFERROR(__xludf.DUMMYFUNCTION("""COMPUTED_VALUE"""),"Bockwurst")</f>
        <v>Bockwurst</v>
      </c>
      <c r="B204" t="str">
        <f ca="1">IFERROR(__xludf.DUMMYFUNCTION("""COMPUTED_VALUE"""),"A.01.000817")</f>
        <v>A.01.000817</v>
      </c>
    </row>
    <row r="205" spans="1:2" ht="12.5" x14ac:dyDescent="0.25">
      <c r="A205" t="str">
        <f ca="1">IFERROR(__xludf.DUMMYFUNCTION("""COMPUTED_VALUE"""),"Boletus (Boletus (and other) spp.)")</f>
        <v>Boletus (Boletus (and other) spp.)</v>
      </c>
      <c r="B205" t="str">
        <f ca="1">IFERROR(__xludf.DUMMYFUNCTION("""COMPUTED_VALUE"""),"A.01.000461")</f>
        <v>A.01.000461</v>
      </c>
    </row>
    <row r="206" spans="1:2" ht="12.5" x14ac:dyDescent="0.25">
      <c r="A206" t="str">
        <f ca="1">IFERROR(__xludf.DUMMYFUNCTION("""COMPUTED_VALUE"""),"Bologna, sausage")</f>
        <v>Bologna, sausage</v>
      </c>
      <c r="B206" t="str">
        <f ca="1">IFERROR(__xludf.DUMMYFUNCTION("""COMPUTED_VALUE"""),"A.01.000828")</f>
        <v>A.01.000828</v>
      </c>
    </row>
    <row r="207" spans="1:2" ht="12.5" x14ac:dyDescent="0.25">
      <c r="A207" t="str">
        <f ca="1">IFERROR(__xludf.DUMMYFUNCTION("""COMPUTED_VALUE"""),"Bone ash")</f>
        <v>Bone ash</v>
      </c>
      <c r="B207" t="str">
        <f ca="1">IFERROR(__xludf.DUMMYFUNCTION("""COMPUTED_VALUE"""),"G.11.3.23")</f>
        <v>G.11.3.23</v>
      </c>
    </row>
    <row r="208" spans="1:2" ht="12.5" x14ac:dyDescent="0.25">
      <c r="A208" t="str">
        <f ca="1">IFERROR(__xludf.DUMMYFUNCTION("""COMPUTED_VALUE"""),"Bone meal")</f>
        <v>Bone meal</v>
      </c>
      <c r="B208" t="str">
        <f ca="1">IFERROR(__xludf.DUMMYFUNCTION("""COMPUTED_VALUE"""),"F09.03")</f>
        <v>F09.03</v>
      </c>
    </row>
    <row r="209" spans="1:2" ht="12.5" x14ac:dyDescent="0.25">
      <c r="A209" t="str">
        <f ca="1">IFERROR(__xludf.DUMMYFUNCTION("""COMPUTED_VALUE"""),"Bonito (Sarda Sarda)")</f>
        <v>Bonito (Sarda Sarda)</v>
      </c>
      <c r="B209" t="str">
        <f ca="1">IFERROR(__xludf.DUMMYFUNCTION("""COMPUTED_VALUE"""),"A.01.002100")</f>
        <v>A.01.002100</v>
      </c>
    </row>
    <row r="210" spans="1:2" ht="12.5" x14ac:dyDescent="0.25">
      <c r="A210" t="str">
        <f ca="1">IFERROR(__xludf.DUMMYFUNCTION("""COMPUTED_VALUE"""),"Borage (Borago officinalis)")</f>
        <v>Borage (Borago officinalis)</v>
      </c>
      <c r="B210" t="str">
        <f ca="1">IFERROR(__xludf.DUMMYFUNCTION("""COMPUTED_VALUE"""),"A.01.000539")</f>
        <v>A.01.000539</v>
      </c>
    </row>
    <row r="211" spans="1:2" ht="12.5" x14ac:dyDescent="0.25">
      <c r="A211" t="str">
        <f ca="1">IFERROR(__xludf.DUMMYFUNCTION("""COMPUTED_VALUE"""),"Boterhamworst")</f>
        <v>Boterhamworst</v>
      </c>
      <c r="B211" t="str">
        <f ca="1">IFERROR(__xludf.DUMMYFUNCTION("""COMPUTED_VALUE"""),"A.01.000829")</f>
        <v>A.01.000829</v>
      </c>
    </row>
    <row r="212" spans="1:2" ht="12.5" x14ac:dyDescent="0.25">
      <c r="A212" t="str">
        <f ca="1">IFERROR(__xludf.DUMMYFUNCTION("""COMPUTED_VALUE"""),"Bottled water")</f>
        <v>Bottled water</v>
      </c>
      <c r="B212" t="str">
        <f ca="1">IFERROR(__xludf.DUMMYFUNCTION("""COMPUTED_VALUE"""),"C07C")</f>
        <v>C07C</v>
      </c>
    </row>
    <row r="213" spans="1:2" ht="12.5" x14ac:dyDescent="0.25">
      <c r="A213" t="str">
        <f ca="1">IFERROR(__xludf.DUMMYFUNCTION("""COMPUTED_VALUE"""),"Bottled water")</f>
        <v>Bottled water</v>
      </c>
      <c r="B213" t="str">
        <f ca="1">IFERROR(__xludf.DUMMYFUNCTION("""COMPUTED_VALUE"""),"A.01.001576")</f>
        <v>A.01.001576</v>
      </c>
    </row>
    <row r="214" spans="1:2" ht="12.5" x14ac:dyDescent="0.25">
      <c r="A214" t="str">
        <f ca="1">IFERROR(__xludf.DUMMYFUNCTION("""COMPUTED_VALUE"""),"Bouquet garni")</f>
        <v>Bouquet garni</v>
      </c>
      <c r="B214" t="str">
        <f ca="1">IFERROR(__xludf.DUMMYFUNCTION("""COMPUTED_VALUE"""),"A.01.001629")</f>
        <v>A.01.001629</v>
      </c>
    </row>
    <row r="215" spans="1:2" ht="12.5" x14ac:dyDescent="0.25">
      <c r="A215" t="str">
        <f ca="1">IFERROR(__xludf.DUMMYFUNCTION("""COMPUTED_VALUE"""),"Bovine animals, sheep, pig and poultry meat")</f>
        <v>Bovine animals, sheep, pig and poultry meat</v>
      </c>
      <c r="B215" t="str">
        <f ca="1">IFERROR(__xludf.DUMMYFUNCTION("""COMPUTED_VALUE"""),"C10A_2")</f>
        <v>C10A_2</v>
      </c>
    </row>
    <row r="216" spans="1:2" ht="12.5" x14ac:dyDescent="0.25">
      <c r="A216" t="str">
        <f ca="1">IFERROR(__xludf.DUMMYFUNCTION("""COMPUTED_VALUE"""),"Bovine, sheep and goat meat")</f>
        <v>Bovine, sheep and goat meat</v>
      </c>
      <c r="B216" t="str">
        <f ca="1">IFERROR(__xludf.DUMMYFUNCTION("""COMPUTED_VALUE"""),"C10A_2A")</f>
        <v>C10A_2A</v>
      </c>
    </row>
    <row r="217" spans="1:2" ht="12.5" x14ac:dyDescent="0.25">
      <c r="A217" t="str">
        <f ca="1">IFERROR(__xludf.DUMMYFUNCTION("""COMPUTED_VALUE"""),"Boysenberry (Rubus ursinus x idaeus)")</f>
        <v>Boysenberry (Rubus ursinus x idaeus)</v>
      </c>
      <c r="B217" t="str">
        <f ca="1">IFERROR(__xludf.DUMMYFUNCTION("""COMPUTED_VALUE"""),"A.01.000582")</f>
        <v>A.01.000582</v>
      </c>
    </row>
    <row r="218" spans="1:2" ht="12.5" x14ac:dyDescent="0.25">
      <c r="A218" t="str">
        <f ca="1">IFERROR(__xludf.DUMMYFUNCTION("""COMPUTED_VALUE"""),"Brain (veal, lamb, pork)")</f>
        <v>Brain (veal, lamb, pork)</v>
      </c>
      <c r="B218" t="str">
        <f ca="1">IFERROR(__xludf.DUMMYFUNCTION("""COMPUTED_VALUE"""),"A.01.000781")</f>
        <v>A.01.000781</v>
      </c>
    </row>
    <row r="219" spans="1:2" ht="12.5" x14ac:dyDescent="0.25">
      <c r="A219" t="str">
        <f ca="1">IFERROR(__xludf.DUMMYFUNCTION("""COMPUTED_VALUE"""),"Bran and germ")</f>
        <v>Bran and germ</v>
      </c>
      <c r="B219" t="str">
        <f ca="1">IFERROR(__xludf.DUMMYFUNCTION("""COMPUTED_VALUE"""),"C01B_3")</f>
        <v>C01B_3</v>
      </c>
    </row>
    <row r="220" spans="1:2" ht="12.5" x14ac:dyDescent="0.25">
      <c r="A220" t="str">
        <f ca="1">IFERROR(__xludf.DUMMYFUNCTION("""COMPUTED_VALUE"""),"Brandy")</f>
        <v>Brandy</v>
      </c>
      <c r="B220" t="str">
        <f ca="1">IFERROR(__xludf.DUMMYFUNCTION("""COMPUTED_VALUE"""),"A.01.001562")</f>
        <v>A.01.001562</v>
      </c>
    </row>
    <row r="221" spans="1:2" ht="12.5" x14ac:dyDescent="0.25">
      <c r="A221" t="str">
        <f ca="1">IFERROR(__xludf.DUMMYFUNCTION("""COMPUTED_VALUE"""),"Brassica vegetables")</f>
        <v>Brassica vegetables</v>
      </c>
      <c r="B221" t="str">
        <f ca="1">IFERROR(__xludf.DUMMYFUNCTION("""COMPUTED_VALUE"""),"C04B_4")</f>
        <v>C04B_4</v>
      </c>
    </row>
    <row r="222" spans="1:2" ht="12.5" x14ac:dyDescent="0.25">
      <c r="A222" t="str">
        <f ca="1">IFERROR(__xludf.DUMMYFUNCTION("""COMPUTED_VALUE"""),"Brassica vegetables")</f>
        <v>Brassica vegetables</v>
      </c>
      <c r="B222" t="str">
        <f ca="1">IFERROR(__xludf.DUMMYFUNCTION("""COMPUTED_VALUE"""),"A.01.000350")</f>
        <v>A.01.000350</v>
      </c>
    </row>
    <row r="223" spans="1:2" ht="12.5" x14ac:dyDescent="0.25">
      <c r="A223" t="str">
        <f ca="1">IFERROR(__xludf.DUMMYFUNCTION("""COMPUTED_VALUE"""),"Bratwurst")</f>
        <v>Bratwurst</v>
      </c>
      <c r="B223" t="str">
        <f ca="1">IFERROR(__xludf.DUMMYFUNCTION("""COMPUTED_VALUE"""),"A.01.000814")</f>
        <v>A.01.000814</v>
      </c>
    </row>
    <row r="224" spans="1:2" ht="12.5" x14ac:dyDescent="0.25">
      <c r="A224" t="str">
        <f ca="1">IFERROR(__xludf.DUMMYFUNCTION("""COMPUTED_VALUE"""),"Braunschweiger, sausage")</f>
        <v>Braunschweiger, sausage</v>
      </c>
      <c r="B224" t="str">
        <f ca="1">IFERROR(__xludf.DUMMYFUNCTION("""COMPUTED_VALUE"""),"A.01.000830")</f>
        <v>A.01.000830</v>
      </c>
    </row>
    <row r="225" spans="1:2" ht="12.5" x14ac:dyDescent="0.25">
      <c r="A225" t="str">
        <f ca="1">IFERROR(__xludf.DUMMYFUNCTION("""COMPUTED_VALUE"""),"Brazil nuts (Bertholletia excelsa)")</f>
        <v>Brazil nuts (Bertholletia excelsa)</v>
      </c>
      <c r="B225" t="str">
        <f ca="1">IFERROR(__xludf.DUMMYFUNCTION("""COMPUTED_VALUE"""),"A.01.000516")</f>
        <v>A.01.000516</v>
      </c>
    </row>
    <row r="226" spans="1:2" ht="12.5" x14ac:dyDescent="0.25">
      <c r="A226" t="str">
        <f ca="1">IFERROR(__xludf.DUMMYFUNCTION("""COMPUTED_VALUE"""),"Bread and rolls")</f>
        <v>Bread and rolls</v>
      </c>
      <c r="B226" t="str">
        <f ca="1">IFERROR(__xludf.DUMMYFUNCTION("""COMPUTED_VALUE"""),"A.01.000098")</f>
        <v>A.01.000098</v>
      </c>
    </row>
    <row r="227" spans="1:2" ht="12.5" x14ac:dyDescent="0.25">
      <c r="A227" t="str">
        <f ca="1">IFERROR(__xludf.DUMMYFUNCTION("""COMPUTED_VALUE"""),"Bread fruit (jackfruit) (Artocarpus altilis)")</f>
        <v>Bread fruit (jackfruit) (Artocarpus altilis)</v>
      </c>
      <c r="B227" t="str">
        <f ca="1">IFERROR(__xludf.DUMMYFUNCTION("""COMPUTED_VALUE"""),"A.01.000633")</f>
        <v>A.01.000633</v>
      </c>
    </row>
    <row r="228" spans="1:2" ht="12.5" x14ac:dyDescent="0.25">
      <c r="A228" t="str">
        <f ca="1">IFERROR(__xludf.DUMMYFUNCTION("""COMPUTED_VALUE"""),"Bread products")</f>
        <v>Bread products</v>
      </c>
      <c r="B228" t="str">
        <f ca="1">IFERROR(__xludf.DUMMYFUNCTION("""COMPUTED_VALUE"""),"A.01.000164")</f>
        <v>A.01.000164</v>
      </c>
    </row>
    <row r="229" spans="1:2" ht="12.5" x14ac:dyDescent="0.25">
      <c r="A229" t="str">
        <f ca="1">IFERROR(__xludf.DUMMYFUNCTION("""COMPUTED_VALUE"""),"Bread stuffing")</f>
        <v>Bread stuffing</v>
      </c>
      <c r="B229" t="str">
        <f ca="1">IFERROR(__xludf.DUMMYFUNCTION("""COMPUTED_VALUE"""),"A.01.000167")</f>
        <v>A.01.000167</v>
      </c>
    </row>
    <row r="230" spans="1:2" ht="12.5" x14ac:dyDescent="0.25">
      <c r="A230" t="str">
        <f ca="1">IFERROR(__xludf.DUMMYFUNCTION("""COMPUTED_VALUE"""),"Breadcrumbs")</f>
        <v>Breadcrumbs</v>
      </c>
      <c r="B230" t="str">
        <f ca="1">IFERROR(__xludf.DUMMYFUNCTION("""COMPUTED_VALUE"""),"A.01.000165")</f>
        <v>A.01.000165</v>
      </c>
    </row>
    <row r="231" spans="1:2" ht="12.5" x14ac:dyDescent="0.25">
      <c r="A231" t="str">
        <f ca="1">IFERROR(__xludf.DUMMYFUNCTION("""COMPUTED_VALUE"""),"Breakfast cereals")</f>
        <v>Breakfast cereals</v>
      </c>
      <c r="B231" t="str">
        <f ca="1">IFERROR(__xludf.DUMMYFUNCTION("""COMPUTED_VALUE"""),"A.01.000184")</f>
        <v>A.01.000184</v>
      </c>
    </row>
    <row r="232" spans="1:2" ht="12.5" x14ac:dyDescent="0.25">
      <c r="A232" t="str">
        <f ca="1">IFERROR(__xludf.DUMMYFUNCTION("""COMPUTED_VALUE"""),"Breakfast cereals, mixed cereals and fruits")</f>
        <v>Breakfast cereals, mixed cereals and fruits</v>
      </c>
      <c r="B232" t="str">
        <f ca="1">IFERROR(__xludf.DUMMYFUNCTION("""COMPUTED_VALUE"""),"A.01.000234")</f>
        <v>A.01.000234</v>
      </c>
    </row>
    <row r="233" spans="1:2" ht="12.5" x14ac:dyDescent="0.25">
      <c r="A233" t="str">
        <f ca="1">IFERROR(__xludf.DUMMYFUNCTION("""COMPUTED_VALUE"""),"Breakfast cereals, mixed cereals and honey")</f>
        <v>Breakfast cereals, mixed cereals and honey</v>
      </c>
      <c r="B233" t="str">
        <f ca="1">IFERROR(__xludf.DUMMYFUNCTION("""COMPUTED_VALUE"""),"A.01.000235")</f>
        <v>A.01.000235</v>
      </c>
    </row>
    <row r="234" spans="1:2" ht="12.5" x14ac:dyDescent="0.25">
      <c r="A234" t="str">
        <f ca="1">IFERROR(__xludf.DUMMYFUNCTION("""COMPUTED_VALUE"""),"Breakfast cereals, mixed cereals and nuts")</f>
        <v>Breakfast cereals, mixed cereals and nuts</v>
      </c>
      <c r="B234" t="str">
        <f ca="1">IFERROR(__xludf.DUMMYFUNCTION("""COMPUTED_VALUE"""),"A.01.000236")</f>
        <v>A.01.000236</v>
      </c>
    </row>
    <row r="235" spans="1:2" ht="12.5" x14ac:dyDescent="0.25">
      <c r="A235" t="str">
        <f ca="1">IFERROR(__xludf.DUMMYFUNCTION("""COMPUTED_VALUE"""),"Breakfast cereals, mixed cereals with honey and fruits")</f>
        <v>Breakfast cereals, mixed cereals with honey and fruits</v>
      </c>
      <c r="B235" t="str">
        <f ca="1">IFERROR(__xludf.DUMMYFUNCTION("""COMPUTED_VALUE"""),"A.01.000237")</f>
        <v>A.01.000237</v>
      </c>
    </row>
    <row r="236" spans="1:2" ht="12.5" x14ac:dyDescent="0.25">
      <c r="A236" t="str">
        <f ca="1">IFERROR(__xludf.DUMMYFUNCTION("""COMPUTED_VALUE"""),"Breakfast cereals, mixed cereals, fruits and chocolate")</f>
        <v>Breakfast cereals, mixed cereals, fruits and chocolate</v>
      </c>
      <c r="B236" t="str">
        <f ca="1">IFERROR(__xludf.DUMMYFUNCTION("""COMPUTED_VALUE"""),"A.01.000238")</f>
        <v>A.01.000238</v>
      </c>
    </row>
    <row r="237" spans="1:2" ht="12.5" x14ac:dyDescent="0.25">
      <c r="A237" t="str">
        <f ca="1">IFERROR(__xludf.DUMMYFUNCTION("""COMPUTED_VALUE"""),"Breakfast cereals, mixed cereals, fruits, nuts and chocolate")</f>
        <v>Breakfast cereals, mixed cereals, fruits, nuts and chocolate</v>
      </c>
      <c r="B237" t="str">
        <f ca="1">IFERROR(__xludf.DUMMYFUNCTION("""COMPUTED_VALUE"""),"A.01.000239")</f>
        <v>A.01.000239</v>
      </c>
    </row>
    <row r="238" spans="1:2" ht="12.5" x14ac:dyDescent="0.25">
      <c r="A238" t="str">
        <f ca="1">IFERROR(__xludf.DUMMYFUNCTION("""COMPUTED_VALUE"""),"Breakfast cereals/muesli for diabetics")</f>
        <v>Breakfast cereals/muesli for diabetics</v>
      </c>
      <c r="B238" t="str">
        <f ca="1">IFERROR(__xludf.DUMMYFUNCTION("""COMPUTED_VALUE"""),"A.01.001773")</f>
        <v>A.01.001773</v>
      </c>
    </row>
    <row r="239" spans="1:2" ht="12.5" x14ac:dyDescent="0.25">
      <c r="A239" t="str">
        <f ca="1">IFERROR(__xludf.DUMMYFUNCTION("""COMPUTED_VALUE"""),"Bream (Charax)")</f>
        <v>Bream (Charax)</v>
      </c>
      <c r="B239" t="str">
        <f ca="1">IFERROR(__xludf.DUMMYFUNCTION("""COMPUTED_VALUE"""),"A.01.000903")</f>
        <v>A.01.000903</v>
      </c>
    </row>
    <row r="240" spans="1:2" ht="12.5" x14ac:dyDescent="0.25">
      <c r="A240" t="str">
        <f ca="1">IFERROR(__xludf.DUMMYFUNCTION("""COMPUTED_VALUE"""),"Breeding pigs / Complementary feed")</f>
        <v>Breeding pigs / Complementary feed</v>
      </c>
      <c r="B240" t="str">
        <f ca="1">IFERROR(__xludf.DUMMYFUNCTION("""COMPUTED_VALUE"""),"G.14.2.7")</f>
        <v>G.14.2.7</v>
      </c>
    </row>
    <row r="241" spans="1:2" ht="12.5" x14ac:dyDescent="0.25">
      <c r="A241" t="str">
        <f ca="1">IFERROR(__xludf.DUMMYFUNCTION("""COMPUTED_VALUE"""),"Breeding pigs / Complete feed")</f>
        <v>Breeding pigs / Complete feed</v>
      </c>
      <c r="B241" t="str">
        <f ca="1">IFERROR(__xludf.DUMMYFUNCTION("""COMPUTED_VALUE"""),"G.14.1.7")</f>
        <v>G.14.1.7</v>
      </c>
    </row>
    <row r="242" spans="1:2" ht="12.5" x14ac:dyDescent="0.25">
      <c r="A242" t="str">
        <f ca="1">IFERROR(__xludf.DUMMYFUNCTION("""COMPUTED_VALUE"""),"Brewers' grains")</f>
        <v>Brewers' grains</v>
      </c>
      <c r="B242" t="str">
        <f ca="1">IFERROR(__xludf.DUMMYFUNCTION("""COMPUTED_VALUE"""),"G.1.12.12")</f>
        <v>G.1.12.12</v>
      </c>
    </row>
    <row r="243" spans="1:2" ht="12.5" x14ac:dyDescent="0.25">
      <c r="A243" t="str">
        <f ca="1">IFERROR(__xludf.DUMMYFUNCTION("""COMPUTED_VALUE"""),"Brewers’ dried grains")</f>
        <v>Brewers’ dried grains</v>
      </c>
      <c r="B243" t="str">
        <f ca="1">IFERROR(__xludf.DUMMYFUNCTION("""COMPUTED_VALUE"""),"F01.44")</f>
        <v>F01.44</v>
      </c>
    </row>
    <row r="244" spans="1:2" ht="12.5" x14ac:dyDescent="0.25">
      <c r="A244" t="str">
        <f ca="1">IFERROR(__xludf.DUMMYFUNCTION("""COMPUTED_VALUE"""),"Brewers’ rice")</f>
        <v>Brewers’ rice</v>
      </c>
      <c r="B244" t="str">
        <f ca="1">IFERROR(__xludf.DUMMYFUNCTION("""COMPUTED_VALUE"""),"G.1.6.16")</f>
        <v>G.1.6.16</v>
      </c>
    </row>
    <row r="245" spans="1:2" ht="12.5" x14ac:dyDescent="0.25">
      <c r="A245" t="str">
        <f ca="1">IFERROR(__xludf.DUMMYFUNCTION("""COMPUTED_VALUE"""),"Brioche")</f>
        <v>Brioche</v>
      </c>
      <c r="B245" t="str">
        <f ca="1">IFERROR(__xludf.DUMMYFUNCTION("""COMPUTED_VALUE"""),"A.01.000295")</f>
        <v>A.01.000295</v>
      </c>
    </row>
    <row r="246" spans="1:2" ht="12.5" x14ac:dyDescent="0.25">
      <c r="A246" t="str">
        <f ca="1">IFERROR(__xludf.DUMMYFUNCTION("""COMPUTED_VALUE"""),"Broad bean (Vicia faba)")</f>
        <v>Broad bean (Vicia faba)</v>
      </c>
      <c r="B246" t="str">
        <f ca="1">IFERROR(__xludf.DUMMYFUNCTION("""COMPUTED_VALUE"""),"A.01.000498")</f>
        <v>A.01.000498</v>
      </c>
    </row>
    <row r="247" spans="1:2" ht="12.5" x14ac:dyDescent="0.25">
      <c r="A247" t="str">
        <f ca="1">IFERROR(__xludf.DUMMYFUNCTION("""COMPUTED_VALUE"""),"Broccoli (Brassica oleracea var. italica)")</f>
        <v>Broccoli (Brassica oleracea var. italica)</v>
      </c>
      <c r="B247" t="str">
        <f ca="1">IFERROR(__xludf.DUMMYFUNCTION("""COMPUTED_VALUE"""),"A.01.000351")</f>
        <v>A.01.000351</v>
      </c>
    </row>
    <row r="248" spans="1:2" ht="12.5" x14ac:dyDescent="0.25">
      <c r="A248" t="str">
        <f ca="1">IFERROR(__xludf.DUMMYFUNCTION("""COMPUTED_VALUE"""),"Broccoli, dried")</f>
        <v>Broccoli, dried</v>
      </c>
      <c r="B248" t="str">
        <f ca="1">IFERROR(__xludf.DUMMYFUNCTION("""COMPUTED_VALUE"""),"G.7.5")</f>
        <v>G.7.5</v>
      </c>
    </row>
    <row r="249" spans="1:2" ht="12.5" x14ac:dyDescent="0.25">
      <c r="A249" t="str">
        <f ca="1">IFERROR(__xludf.DUMMYFUNCTION("""COMPUTED_VALUE"""),"Broken chestnuts")</f>
        <v>Broken chestnuts</v>
      </c>
      <c r="B249" t="str">
        <f ca="1">IFERROR(__xludf.DUMMYFUNCTION("""COMPUTED_VALUE"""),"G.5.12")</f>
        <v>G.5.12</v>
      </c>
    </row>
    <row r="250" spans="1:2" ht="12.5" x14ac:dyDescent="0.25">
      <c r="A250" t="str">
        <f ca="1">IFERROR(__xludf.DUMMYFUNCTION("""COMPUTED_VALUE"""),"Brown rice flour")</f>
        <v>Brown rice flour</v>
      </c>
      <c r="B250" t="str">
        <f ca="1">IFERROR(__xludf.DUMMYFUNCTION("""COMPUTED_VALUE"""),"G.1.6.9")</f>
        <v>G.1.6.9</v>
      </c>
    </row>
    <row r="251" spans="1:2" ht="12.5" x14ac:dyDescent="0.25">
      <c r="A251" t="str">
        <f ca="1">IFERROR(__xludf.DUMMYFUNCTION("""COMPUTED_VALUE"""),"Brown sauce (Gravy, Lyonnais sauce)")</f>
        <v>Brown sauce (Gravy, Lyonnais sauce)</v>
      </c>
      <c r="B251" t="str">
        <f ca="1">IFERROR(__xludf.DUMMYFUNCTION("""COMPUTED_VALUE"""),"A.01.001686")</f>
        <v>A.01.001686</v>
      </c>
    </row>
    <row r="252" spans="1:2" ht="12.5" x14ac:dyDescent="0.25">
      <c r="A252" t="str">
        <f ca="1">IFERROR(__xludf.DUMMYFUNCTION("""COMPUTED_VALUE"""),"Brown sugar")</f>
        <v>Brown sugar</v>
      </c>
      <c r="B252" t="str">
        <f ca="1">IFERROR(__xludf.DUMMYFUNCTION("""COMPUTED_VALUE"""),"A.01.001270")</f>
        <v>A.01.001270</v>
      </c>
    </row>
    <row r="253" spans="1:2" ht="12.5" x14ac:dyDescent="0.25">
      <c r="A253" t="str">
        <f ca="1">IFERROR(__xludf.DUMMYFUNCTION("""COMPUTED_VALUE"""),"Brussels sprouts (Brassica oleracea var. gemmifera)")</f>
        <v>Brussels sprouts (Brassica oleracea var. gemmifera)</v>
      </c>
      <c r="B253" t="str">
        <f ca="1">IFERROR(__xludf.DUMMYFUNCTION("""COMPUTED_VALUE"""),"A.01.000353")</f>
        <v>A.01.000353</v>
      </c>
    </row>
    <row r="254" spans="1:2" ht="12.5" x14ac:dyDescent="0.25">
      <c r="A254" t="str">
        <f ca="1">IFERROR(__xludf.DUMMYFUNCTION("""COMPUTED_VALUE"""),"Buckwheat")</f>
        <v>Buckwheat</v>
      </c>
      <c r="B254" t="str">
        <f ca="1">IFERROR(__xludf.DUMMYFUNCTION("""COMPUTED_VALUE"""),"G.5.6")</f>
        <v>G.5.6</v>
      </c>
    </row>
    <row r="255" spans="1:2" ht="12.5" x14ac:dyDescent="0.25">
      <c r="A255" t="str">
        <f ca="1">IFERROR(__xludf.DUMMYFUNCTION("""COMPUTED_VALUE"""),"Buckwheat bread")</f>
        <v>Buckwheat bread</v>
      </c>
      <c r="B255" t="str">
        <f ca="1">IFERROR(__xludf.DUMMYFUNCTION("""COMPUTED_VALUE"""),"A.01.000155")</f>
        <v>A.01.000155</v>
      </c>
    </row>
    <row r="256" spans="1:2" ht="12.5" x14ac:dyDescent="0.25">
      <c r="A256" t="str">
        <f ca="1">IFERROR(__xludf.DUMMYFUNCTION("""COMPUTED_VALUE"""),"Buckwheat flour")</f>
        <v>Buckwheat flour</v>
      </c>
      <c r="B256" t="str">
        <f ca="1">IFERROR(__xludf.DUMMYFUNCTION("""COMPUTED_VALUE"""),"A.01.000068")</f>
        <v>A.01.000068</v>
      </c>
    </row>
    <row r="257" spans="1:2" ht="12.5" x14ac:dyDescent="0.25">
      <c r="A257" t="str">
        <f ca="1">IFERROR(__xludf.DUMMYFUNCTION("""COMPUTED_VALUE"""),"Buckwheat grain")</f>
        <v>Buckwheat grain</v>
      </c>
      <c r="B257" t="str">
        <f ca="1">IFERROR(__xludf.DUMMYFUNCTION("""COMPUTED_VALUE"""),"A.01.000027")</f>
        <v>A.01.000027</v>
      </c>
    </row>
    <row r="258" spans="1:2" ht="12.5" x14ac:dyDescent="0.25">
      <c r="A258" t="str">
        <f ca="1">IFERROR(__xludf.DUMMYFUNCTION("""COMPUTED_VALUE"""),"Buckwheat grain (Crop)")</f>
        <v>Buckwheat grain (Crop)</v>
      </c>
      <c r="B258" t="str">
        <f ca="1">IFERROR(__xludf.DUMMYFUNCTION("""COMPUTED_VALUE"""),"A.01.000008")</f>
        <v>A.01.000008</v>
      </c>
    </row>
    <row r="259" spans="1:2" ht="12.5" x14ac:dyDescent="0.25">
      <c r="A259" t="str">
        <f ca="1">IFERROR(__xludf.DUMMYFUNCTION("""COMPUTED_VALUE"""),"Buckwheat groats")</f>
        <v>Buckwheat groats</v>
      </c>
      <c r="B259" t="str">
        <f ca="1">IFERROR(__xludf.DUMMYFUNCTION("""COMPUTED_VALUE"""),"A.01.000069")</f>
        <v>A.01.000069</v>
      </c>
    </row>
    <row r="260" spans="1:2" ht="12.5" x14ac:dyDescent="0.25">
      <c r="A260" t="str">
        <f ca="1">IFERROR(__xludf.DUMMYFUNCTION("""COMPUTED_VALUE"""),"Buckwheat hulls and bran")</f>
        <v>Buckwheat hulls and bran</v>
      </c>
      <c r="B260" t="str">
        <f ca="1">IFERROR(__xludf.DUMMYFUNCTION("""COMPUTED_VALUE"""),"G.5.6.2")</f>
        <v>G.5.6.2</v>
      </c>
    </row>
    <row r="261" spans="1:2" ht="12.5" x14ac:dyDescent="0.25">
      <c r="A261" t="str">
        <f ca="1">IFERROR(__xludf.DUMMYFUNCTION("""COMPUTED_VALUE"""),"Buckwheat middlings")</f>
        <v>Buckwheat middlings</v>
      </c>
      <c r="B261" t="str">
        <f ca="1">IFERROR(__xludf.DUMMYFUNCTION("""COMPUTED_VALUE"""),"G.5.6.3")</f>
        <v>G.5.6.3</v>
      </c>
    </row>
    <row r="262" spans="1:2" ht="12.5" x14ac:dyDescent="0.25">
      <c r="A262" t="str">
        <f ca="1">IFERROR(__xludf.DUMMYFUNCTION("""COMPUTED_VALUE"""),"Buckwheat milling products")</f>
        <v>Buckwheat milling products</v>
      </c>
      <c r="B262" t="str">
        <f ca="1">IFERROR(__xludf.DUMMYFUNCTION("""COMPUTED_VALUE"""),"A.01.000067")</f>
        <v>A.01.000067</v>
      </c>
    </row>
    <row r="263" spans="1:2" ht="12.5" x14ac:dyDescent="0.25">
      <c r="A263" t="str">
        <f ca="1">IFERROR(__xludf.DUMMYFUNCTION("""COMPUTED_VALUE"""),"Buckwheat semolina")</f>
        <v>Buckwheat semolina</v>
      </c>
      <c r="B263" t="str">
        <f ca="1">IFERROR(__xludf.DUMMYFUNCTION("""COMPUTED_VALUE"""),"A.01.000070")</f>
        <v>A.01.000070</v>
      </c>
    </row>
    <row r="264" spans="1:2" ht="12.5" x14ac:dyDescent="0.25">
      <c r="A264" t="str">
        <f ca="1">IFERROR(__xludf.DUMMYFUNCTION("""COMPUTED_VALUE"""),"Buffalo milk")</f>
        <v>Buffalo milk</v>
      </c>
      <c r="B264" t="str">
        <f ca="1">IFERROR(__xludf.DUMMYFUNCTION("""COMPUTED_VALUE"""),"A.01.000956")</f>
        <v>A.01.000956</v>
      </c>
    </row>
    <row r="265" spans="1:2" ht="12.5" x14ac:dyDescent="0.25">
      <c r="A265" t="str">
        <f ca="1">IFERROR(__xludf.DUMMYFUNCTION("""COMPUTED_VALUE"""),"Bulb vegetables")</f>
        <v>Bulb vegetables</v>
      </c>
      <c r="B265" t="str">
        <f ca="1">IFERROR(__xludf.DUMMYFUNCTION("""COMPUTED_VALUE"""),"A.01.000331")</f>
        <v>A.01.000331</v>
      </c>
    </row>
    <row r="266" spans="1:2" ht="12.5" x14ac:dyDescent="0.25">
      <c r="A266" t="str">
        <f ca="1">IFERROR(__xludf.DUMMYFUNCTION("""COMPUTED_VALUE"""),"Bulgur wheat")</f>
        <v>Bulgur wheat</v>
      </c>
      <c r="B266" t="str">
        <f ca="1">IFERROR(__xludf.DUMMYFUNCTION("""COMPUTED_VALUE"""),"A.01.000018")</f>
        <v>A.01.000018</v>
      </c>
    </row>
    <row r="267" spans="1:2" ht="12.5" x14ac:dyDescent="0.25">
      <c r="A267" t="str">
        <f ca="1">IFERROR(__xludf.DUMMYFUNCTION("""COMPUTED_VALUE"""),"Bullet tuna (Auxis spp.)")</f>
        <v>Bullet tuna (Auxis spp.)</v>
      </c>
      <c r="B267" t="str">
        <f ca="1">IFERROR(__xludf.DUMMYFUNCTION("""COMPUTED_VALUE"""),"A.01.002101")</f>
        <v>A.01.002101</v>
      </c>
    </row>
    <row r="268" spans="1:2" ht="12.5" x14ac:dyDescent="0.25">
      <c r="A268" t="str">
        <f ca="1">IFERROR(__xludf.DUMMYFUNCTION("""COMPUTED_VALUE"""),"Buns")</f>
        <v>Buns</v>
      </c>
      <c r="B268" t="str">
        <f ca="1">IFERROR(__xludf.DUMMYFUNCTION("""COMPUTED_VALUE"""),"A.01.000255")</f>
        <v>A.01.000255</v>
      </c>
    </row>
    <row r="269" spans="1:2" ht="12.5" x14ac:dyDescent="0.25">
      <c r="A269" t="str">
        <f ca="1">IFERROR(__xludf.DUMMYFUNCTION("""COMPUTED_VALUE"""),"Butter")</f>
        <v>Butter</v>
      </c>
      <c r="B269" t="str">
        <f ca="1">IFERROR(__xludf.DUMMYFUNCTION("""COMPUTED_VALUE"""),"C03_3")</f>
        <v>C03_3</v>
      </c>
    </row>
    <row r="270" spans="1:2" ht="12.5" x14ac:dyDescent="0.25">
      <c r="A270" t="str">
        <f ca="1">IFERROR(__xludf.DUMMYFUNCTION("""COMPUTED_VALUE"""),"Butter")</f>
        <v>Butter</v>
      </c>
      <c r="B270" t="str">
        <f ca="1">IFERROR(__xludf.DUMMYFUNCTION("""COMPUTED_VALUE"""),"A.01.001348")</f>
        <v>A.01.001348</v>
      </c>
    </row>
    <row r="271" spans="1:2" ht="12.5" x14ac:dyDescent="0.25">
      <c r="A271" t="str">
        <f ca="1">IFERROR(__xludf.DUMMYFUNCTION("""COMPUTED_VALUE"""),"Butter and butter products")</f>
        <v>Butter and butter products</v>
      </c>
      <c r="B271" t="str">
        <f ca="1">IFERROR(__xludf.DUMMYFUNCTION("""COMPUTED_VALUE"""),"G.8.1")</f>
        <v>G.8.1</v>
      </c>
    </row>
    <row r="272" spans="1:2" ht="12.5" x14ac:dyDescent="0.25">
      <c r="A272" t="str">
        <f ca="1">IFERROR(__xludf.DUMMYFUNCTION("""COMPUTED_VALUE"""),"Butter biscuits")</f>
        <v>Butter biscuits</v>
      </c>
      <c r="B272" t="str">
        <f ca="1">IFERROR(__xludf.DUMMYFUNCTION("""COMPUTED_VALUE"""),"A.01.000308")</f>
        <v>A.01.000308</v>
      </c>
    </row>
    <row r="273" spans="1:2" ht="12.5" x14ac:dyDescent="0.25">
      <c r="A273" t="str">
        <f ca="1">IFERROR(__xludf.DUMMYFUNCTION("""COMPUTED_VALUE"""),"Butter oil")</f>
        <v>Butter oil</v>
      </c>
      <c r="B273" t="str">
        <f ca="1">IFERROR(__xludf.DUMMYFUNCTION("""COMPUTED_VALUE"""),"A.01.001349")</f>
        <v>A.01.001349</v>
      </c>
    </row>
    <row r="274" spans="1:2" ht="12.5" x14ac:dyDescent="0.25">
      <c r="A274" t="str">
        <f ca="1">IFERROR(__xludf.DUMMYFUNCTION("""COMPUTED_VALUE"""),"Butter sauce")</f>
        <v>Butter sauce</v>
      </c>
      <c r="B274" t="str">
        <f ca="1">IFERROR(__xludf.DUMMYFUNCTION("""COMPUTED_VALUE"""),"A.01.001688")</f>
        <v>A.01.001688</v>
      </c>
    </row>
    <row r="275" spans="1:2" ht="12.5" x14ac:dyDescent="0.25">
      <c r="A275" t="str">
        <f ca="1">IFERROR(__xludf.DUMMYFUNCTION("""COMPUTED_VALUE"""),"Buttermilk")</f>
        <v>Buttermilk</v>
      </c>
      <c r="B275" t="str">
        <f ca="1">IFERROR(__xludf.DUMMYFUNCTION("""COMPUTED_VALUE"""),"A.01.001041")</f>
        <v>A.01.001041</v>
      </c>
    </row>
    <row r="276" spans="1:2" ht="12.5" x14ac:dyDescent="0.25">
      <c r="A276" t="str">
        <f ca="1">IFERROR(__xludf.DUMMYFUNCTION("""COMPUTED_VALUE"""),"Buttermilk / Buttermilk concentrate / Buttermilk powder")</f>
        <v>Buttermilk / Buttermilk concentrate / Buttermilk powder</v>
      </c>
      <c r="B276" t="str">
        <f ca="1">IFERROR(__xludf.DUMMYFUNCTION("""COMPUTED_VALUE"""),"G.8.2")</f>
        <v>G.8.2</v>
      </c>
    </row>
    <row r="277" spans="1:2" ht="12.5" x14ac:dyDescent="0.25">
      <c r="A277" t="str">
        <f ca="1">IFERROR(__xludf.DUMMYFUNCTION("""COMPUTED_VALUE"""),"Buttermilk powder")</f>
        <v>Buttermilk powder</v>
      </c>
      <c r="B277" t="str">
        <f ca="1">IFERROR(__xludf.DUMMYFUNCTION("""COMPUTED_VALUE"""),"F08.02")</f>
        <v>F08.02</v>
      </c>
    </row>
    <row r="278" spans="1:2" ht="12.5" x14ac:dyDescent="0.25">
      <c r="A278" t="str">
        <f ca="1">IFERROR(__xludf.DUMMYFUNCTION("""COMPUTED_VALUE"""),"By-product from soybean preparation")</f>
        <v>By-product from soybean preparation</v>
      </c>
      <c r="B278" t="str">
        <f ca="1">IFERROR(__xludf.DUMMYFUNCTION("""COMPUTED_VALUE"""),"G.2.18.10")</f>
        <v>G.2.18.10</v>
      </c>
    </row>
    <row r="279" spans="1:2" ht="12.5" x14ac:dyDescent="0.25">
      <c r="A279" t="str">
        <f ca="1">IFERROR(__xludf.DUMMYFUNCTION("""COMPUTED_VALUE"""),"By-product of enzyme production with Aspergillus niger")</f>
        <v>By-product of enzyme production with Aspergillus niger</v>
      </c>
      <c r="B279" t="str">
        <f ca="1">IFERROR(__xludf.DUMMYFUNCTION("""COMPUTED_VALUE"""),"G.12.2.6")</f>
        <v>G.12.2.6</v>
      </c>
    </row>
    <row r="280" spans="1:2" ht="12.5" x14ac:dyDescent="0.25">
      <c r="A280" t="str">
        <f ca="1">IFERROR(__xludf.DUMMYFUNCTION("""COMPUTED_VALUE"""),"By-products from aquatic animals")</f>
        <v>By-products from aquatic animals</v>
      </c>
      <c r="B280" t="str">
        <f ca="1">IFERROR(__xludf.DUMMYFUNCTION("""COMPUTED_VALUE"""),"G.10.2")</f>
        <v>G.10.2</v>
      </c>
    </row>
    <row r="281" spans="1:2" ht="12.5" x14ac:dyDescent="0.25">
      <c r="A281" t="str">
        <f ca="1">IFERROR(__xludf.DUMMYFUNCTION("""COMPUTED_VALUE"""),"By-products from the production of amino acids with Corynbacterium glutamicum")</f>
        <v>By-products from the production of amino acids with Corynbacterium glutamicum</v>
      </c>
      <c r="B281" t="str">
        <f ca="1">IFERROR(__xludf.DUMMYFUNCTION("""COMPUTED_VALUE"""),"G.12.2.4")</f>
        <v>G.12.2.4</v>
      </c>
    </row>
    <row r="282" spans="1:2" ht="12.5" x14ac:dyDescent="0.25">
      <c r="A282" t="str">
        <f ca="1">IFERROR(__xludf.DUMMYFUNCTION("""COMPUTED_VALUE"""),"By-products from the production of amino acids with Escherichia coli K12")</f>
        <v>By-products from the production of amino acids with Escherichia coli K12</v>
      </c>
      <c r="B282" t="str">
        <f ca="1">IFERROR(__xludf.DUMMYFUNCTION("""COMPUTED_VALUE"""),"G.12.2.5")</f>
        <v>G.12.2.5</v>
      </c>
    </row>
    <row r="283" spans="1:2" ht="12.5" x14ac:dyDescent="0.25">
      <c r="A283" t="str">
        <f ca="1">IFERROR(__xludf.DUMMYFUNCTION("""COMPUTED_VALUE"""),"By-products from the production of L-glutamic acid")</f>
        <v>By-products from the production of L-glutamic acid</v>
      </c>
      <c r="B283" t="str">
        <f ca="1">IFERROR(__xludf.DUMMYFUNCTION("""COMPUTED_VALUE"""),"G.12.2.2")</f>
        <v>G.12.2.2</v>
      </c>
    </row>
    <row r="284" spans="1:2" ht="12.5" x14ac:dyDescent="0.25">
      <c r="A284" t="str">
        <f ca="1">IFERROR(__xludf.DUMMYFUNCTION("""COMPUTED_VALUE"""),"By-products from the production of L-lysine-monohydrochloride with Brevibacterium lactofermentum")</f>
        <v>By-products from the production of L-lysine-monohydrochloride with Brevibacterium lactofermentum</v>
      </c>
      <c r="B284" t="str">
        <f ca="1">IFERROR(__xludf.DUMMYFUNCTION("""COMPUTED_VALUE"""),"G.12.2.3")</f>
        <v>G.12.2.3</v>
      </c>
    </row>
    <row r="285" spans="1:2" ht="12.5" x14ac:dyDescent="0.25">
      <c r="A285" t="str">
        <f ca="1">IFERROR(__xludf.DUMMYFUNCTION("""COMPUTED_VALUE"""),"Cabanos")</f>
        <v>Cabanos</v>
      </c>
      <c r="B285" t="str">
        <f ca="1">IFERROR(__xludf.DUMMYFUNCTION("""COMPUTED_VALUE"""),"A.01.000856")</f>
        <v>A.01.000856</v>
      </c>
    </row>
    <row r="286" spans="1:2" ht="12.5" x14ac:dyDescent="0.25">
      <c r="A286" t="str">
        <f ca="1">IFERROR(__xludf.DUMMYFUNCTION("""COMPUTED_VALUE"""),"Cake from batter")</f>
        <v>Cake from batter</v>
      </c>
      <c r="B286" t="str">
        <f ca="1">IFERROR(__xludf.DUMMYFUNCTION("""COMPUTED_VALUE"""),"A.01.000256")</f>
        <v>A.01.000256</v>
      </c>
    </row>
    <row r="287" spans="1:2" ht="12.5" x14ac:dyDescent="0.25">
      <c r="A287" t="str">
        <f ca="1">IFERROR(__xludf.DUMMYFUNCTION("""COMPUTED_VALUE"""),"Cake marbled, with chocolate")</f>
        <v>Cake marbled, with chocolate</v>
      </c>
      <c r="B287" t="str">
        <f ca="1">IFERROR(__xludf.DUMMYFUNCTION("""COMPUTED_VALUE"""),"A.01.000299")</f>
        <v>A.01.000299</v>
      </c>
    </row>
    <row r="288" spans="1:2" ht="12.5" x14ac:dyDescent="0.25">
      <c r="A288" t="str">
        <f ca="1">IFERROR(__xludf.DUMMYFUNCTION("""COMPUTED_VALUE"""),"Calabrese salami")</f>
        <v>Calabrese salami</v>
      </c>
      <c r="B288" t="str">
        <f ca="1">IFERROR(__xludf.DUMMYFUNCTION("""COMPUTED_VALUE"""),"A.01.000848")</f>
        <v>A.01.000848</v>
      </c>
    </row>
    <row r="289" spans="1:2" ht="12.5" x14ac:dyDescent="0.25">
      <c r="A289" t="str">
        <f ca="1">IFERROR(__xludf.DUMMYFUNCTION("""COMPUTED_VALUE"""),"Calcareous marine algae (Maerl)")</f>
        <v>Calcareous marine algae (Maerl)</v>
      </c>
      <c r="B289" t="str">
        <f ca="1">IFERROR(__xludf.DUMMYFUNCTION("""COMPUTED_VALUE"""),"F11.03")</f>
        <v>F11.03</v>
      </c>
    </row>
    <row r="290" spans="1:2" ht="12.5" x14ac:dyDescent="0.25">
      <c r="A290" t="str">
        <f ca="1">IFERROR(__xludf.DUMMYFUNCTION("""COMPUTED_VALUE"""),"Calcareous marine shells")</f>
        <v>Calcareous marine shells</v>
      </c>
      <c r="B290" t="str">
        <f ca="1">IFERROR(__xludf.DUMMYFUNCTION("""COMPUTED_VALUE"""),"G.11.1.2")</f>
        <v>G.11.1.2</v>
      </c>
    </row>
    <row r="291" spans="1:2" ht="12.5" x14ac:dyDescent="0.25">
      <c r="A291" t="str">
        <f ca="1">IFERROR(__xludf.DUMMYFUNCTION("""COMPUTED_VALUE"""),"Calcium and magnesium carbonate")</f>
        <v>Calcium and magnesium carbonate</v>
      </c>
      <c r="B291" t="str">
        <f ca="1">IFERROR(__xludf.DUMMYFUNCTION("""COMPUTED_VALUE"""),"F11.02")</f>
        <v>F11.02</v>
      </c>
    </row>
    <row r="292" spans="1:2" ht="12.5" x14ac:dyDescent="0.25">
      <c r="A292" t="str">
        <f ca="1">IFERROR(__xludf.DUMMYFUNCTION("""COMPUTED_VALUE"""),"Calcium and magnesium carbonate")</f>
        <v>Calcium and magnesium carbonate</v>
      </c>
      <c r="B292" t="str">
        <f ca="1">IFERROR(__xludf.DUMMYFUNCTION("""COMPUTED_VALUE"""),"G.11.1.3")</f>
        <v>G.11.1.3</v>
      </c>
    </row>
    <row r="293" spans="1:2" ht="12.5" x14ac:dyDescent="0.25">
      <c r="A293" t="str">
        <f ca="1">IFERROR(__xludf.DUMMYFUNCTION("""COMPUTED_VALUE"""),"Calcium carbonate")</f>
        <v>Calcium carbonate</v>
      </c>
      <c r="B293" t="str">
        <f ca="1">IFERROR(__xludf.DUMMYFUNCTION("""COMPUTED_VALUE"""),"F11.01")</f>
        <v>F11.01</v>
      </c>
    </row>
    <row r="294" spans="1:2" ht="12.5" x14ac:dyDescent="0.25">
      <c r="A294" t="str">
        <f ca="1">IFERROR(__xludf.DUMMYFUNCTION("""COMPUTED_VALUE"""),"Calcium carbonate; [Limestone]")</f>
        <v>Calcium carbonate; [Limestone]</v>
      </c>
      <c r="B294" t="str">
        <f ca="1">IFERROR(__xludf.DUMMYFUNCTION("""COMPUTED_VALUE"""),"G.11.1")</f>
        <v>G.11.1</v>
      </c>
    </row>
    <row r="295" spans="1:2" ht="12.5" x14ac:dyDescent="0.25">
      <c r="A295" t="str">
        <f ca="1">IFERROR(__xludf.DUMMYFUNCTION("""COMPUTED_VALUE"""),"Calcium chloride")</f>
        <v>Calcium chloride</v>
      </c>
      <c r="B295" t="str">
        <f ca="1">IFERROR(__xludf.DUMMYFUNCTION("""COMPUTED_VALUE"""),"G.11.1.6")</f>
        <v>G.11.1.6</v>
      </c>
    </row>
    <row r="296" spans="1:2" ht="12.5" x14ac:dyDescent="0.25">
      <c r="A296" t="str">
        <f ca="1">IFERROR(__xludf.DUMMYFUNCTION("""COMPUTED_VALUE"""),"Calcium gluconate")</f>
        <v>Calcium gluconate</v>
      </c>
      <c r="B296" t="str">
        <f ca="1">IFERROR(__xludf.DUMMYFUNCTION("""COMPUTED_VALUE"""),"G.11.1.13")</f>
        <v>G.11.1.13</v>
      </c>
    </row>
    <row r="297" spans="1:2" ht="12.5" x14ac:dyDescent="0.25">
      <c r="A297" t="str">
        <f ca="1">IFERROR(__xludf.DUMMYFUNCTION("""COMPUTED_VALUE"""),"Calcium hydroxide")</f>
        <v>Calcium hydroxide</v>
      </c>
      <c r="B297" t="str">
        <f ca="1">IFERROR(__xludf.DUMMYFUNCTION("""COMPUTED_VALUE"""),"G.11.1.7")</f>
        <v>G.11.1.7</v>
      </c>
    </row>
    <row r="298" spans="1:2" ht="12.5" x14ac:dyDescent="0.25">
      <c r="A298" t="str">
        <f ca="1">IFERROR(__xludf.DUMMYFUNCTION("""COMPUTED_VALUE"""),"Calcium oxide")</f>
        <v>Calcium oxide</v>
      </c>
      <c r="B298" t="str">
        <f ca="1">IFERROR(__xludf.DUMMYFUNCTION("""COMPUTED_VALUE"""),"G.11.1.12")</f>
        <v>G.11.1.12</v>
      </c>
    </row>
    <row r="299" spans="1:2" ht="12.5" x14ac:dyDescent="0.25">
      <c r="A299" t="str">
        <f ca="1">IFERROR(__xludf.DUMMYFUNCTION("""COMPUTED_VALUE"""),"Calcium pidolate")</f>
        <v>Calcium pidolate</v>
      </c>
      <c r="B299" t="str">
        <f ca="1">IFERROR(__xludf.DUMMYFUNCTION("""COMPUTED_VALUE"""),"G.11.1.16")</f>
        <v>G.11.1.16</v>
      </c>
    </row>
    <row r="300" spans="1:2" ht="12.5" x14ac:dyDescent="0.25">
      <c r="A300" t="str">
        <f ca="1">IFERROR(__xludf.DUMMYFUNCTION("""COMPUTED_VALUE"""),"Calcium salts of organic acids")</f>
        <v>Calcium salts of organic acids</v>
      </c>
      <c r="B300" t="str">
        <f ca="1">IFERROR(__xludf.DUMMYFUNCTION("""COMPUTED_VALUE"""),"G.11.1.11")</f>
        <v>G.11.1.11</v>
      </c>
    </row>
    <row r="301" spans="1:2" ht="12.5" x14ac:dyDescent="0.25">
      <c r="A301" t="str">
        <f ca="1">IFERROR(__xludf.DUMMYFUNCTION("""COMPUTED_VALUE"""),"Calcium sodium phosphate")</f>
        <v>Calcium sodium phosphate</v>
      </c>
      <c r="B301" t="str">
        <f ca="1">IFERROR(__xludf.DUMMYFUNCTION("""COMPUTED_VALUE"""),"G.11.3.16")</f>
        <v>G.11.3.16</v>
      </c>
    </row>
    <row r="302" spans="1:2" ht="12.5" x14ac:dyDescent="0.25">
      <c r="A302" t="str">
        <f ca="1">IFERROR(__xludf.DUMMYFUNCTION("""COMPUTED_VALUE"""),"Calcium Sulphate / Carbonate")</f>
        <v>Calcium Sulphate / Carbonate</v>
      </c>
      <c r="B302" t="str">
        <f ca="1">IFERROR(__xludf.DUMMYFUNCTION("""COMPUTED_VALUE"""),"G.11.1.15")</f>
        <v>G.11.1.15</v>
      </c>
    </row>
    <row r="303" spans="1:2" ht="12.5" x14ac:dyDescent="0.25">
      <c r="A303" t="str">
        <f ca="1">IFERROR(__xludf.DUMMYFUNCTION("""COMPUTED_VALUE"""),"Calcium sulphate anhydrous")</f>
        <v>Calcium sulphate anhydrous</v>
      </c>
      <c r="B303" t="str">
        <f ca="1">IFERROR(__xludf.DUMMYFUNCTION("""COMPUTED_VALUE"""),"G.11.1.8")</f>
        <v>G.11.1.8</v>
      </c>
    </row>
    <row r="304" spans="1:2" ht="12.5" x14ac:dyDescent="0.25">
      <c r="A304" t="str">
        <f ca="1">IFERROR(__xludf.DUMMYFUNCTION("""COMPUTED_VALUE"""),"Calcium sulphate dihydrate")</f>
        <v>Calcium sulphate dihydrate</v>
      </c>
      <c r="B304" t="str">
        <f ca="1">IFERROR(__xludf.DUMMYFUNCTION("""COMPUTED_VALUE"""),"G.11.1.10")</f>
        <v>G.11.1.10</v>
      </c>
    </row>
    <row r="305" spans="1:2" ht="12.5" x14ac:dyDescent="0.25">
      <c r="A305" t="str">
        <f ca="1">IFERROR(__xludf.DUMMYFUNCTION("""COMPUTED_VALUE"""),"Calcium sulphate hemihydrate")</f>
        <v>Calcium sulphate hemihydrate</v>
      </c>
      <c r="B305" t="str">
        <f ca="1">IFERROR(__xludf.DUMMYFUNCTION("""COMPUTED_VALUE"""),"G.11.1.9")</f>
        <v>G.11.1.9</v>
      </c>
    </row>
    <row r="306" spans="1:2" ht="12.5" x14ac:dyDescent="0.25">
      <c r="A306" t="str">
        <f ca="1">IFERROR(__xludf.DUMMYFUNCTION("""COMPUTED_VALUE"""),"Calcium-magnesium phosphate")</f>
        <v>Calcium-magnesium phosphate</v>
      </c>
      <c r="B306" t="str">
        <f ca="1">IFERROR(__xludf.DUMMYFUNCTION("""COMPUTED_VALUE"""),"F11.11")</f>
        <v>F11.11</v>
      </c>
    </row>
    <row r="307" spans="1:2" ht="12.5" x14ac:dyDescent="0.25">
      <c r="A307" t="str">
        <f ca="1">IFERROR(__xludf.DUMMYFUNCTION("""COMPUTED_VALUE"""),"Calcium-magnesium phosphate")</f>
        <v>Calcium-magnesium phosphate</v>
      </c>
      <c r="B307" t="str">
        <f ca="1">IFERROR(__xludf.DUMMYFUNCTION("""COMPUTED_VALUE"""),"G.11.3.5")</f>
        <v>G.11.3.5</v>
      </c>
    </row>
    <row r="308" spans="1:2" ht="12.5" x14ac:dyDescent="0.25">
      <c r="A308" t="str">
        <f ca="1">IFERROR(__xludf.DUMMYFUNCTION("""COMPUTED_VALUE"""),"Calves (pre-ruminant) / Complementary feed")</f>
        <v>Calves (pre-ruminant) / Complementary feed</v>
      </c>
      <c r="B308" t="str">
        <f ca="1">IFERROR(__xludf.DUMMYFUNCTION("""COMPUTED_VALUE"""),"G.14.2.1")</f>
        <v>G.14.2.1</v>
      </c>
    </row>
    <row r="309" spans="1:2" ht="12.5" x14ac:dyDescent="0.25">
      <c r="A309" t="str">
        <f ca="1">IFERROR(__xludf.DUMMYFUNCTION("""COMPUTED_VALUE"""),"Calves (pre-ruminant) / Complete feed")</f>
        <v>Calves (pre-ruminant) / Complete feed</v>
      </c>
      <c r="B309" t="str">
        <f ca="1">IFERROR(__xludf.DUMMYFUNCTION("""COMPUTED_VALUE"""),"G.14.1.1")</f>
        <v>G.14.1.1</v>
      </c>
    </row>
    <row r="310" spans="1:2" ht="12.5" x14ac:dyDescent="0.25">
      <c r="A310" t="str">
        <f ca="1">IFERROR(__xludf.DUMMYFUNCTION("""COMPUTED_VALUE"""),"Camel milk")</f>
        <v>Camel milk</v>
      </c>
      <c r="B310" t="str">
        <f ca="1">IFERROR(__xludf.DUMMYFUNCTION("""COMPUTED_VALUE"""),"A.01.000961")</f>
        <v>A.01.000961</v>
      </c>
    </row>
    <row r="311" spans="1:2" ht="12.5" x14ac:dyDescent="0.25">
      <c r="A311" t="str">
        <f ca="1">IFERROR(__xludf.DUMMYFUNCTION("""COMPUTED_VALUE"""),"Camelina meal")</f>
        <v>Camelina meal</v>
      </c>
      <c r="B311" t="str">
        <f ca="1">IFERROR(__xludf.DUMMYFUNCTION("""COMPUTED_VALUE"""),"G.2.2.3")</f>
        <v>G.2.2.3</v>
      </c>
    </row>
    <row r="312" spans="1:2" ht="12.5" x14ac:dyDescent="0.25">
      <c r="A312" t="str">
        <f ca="1">IFERROR(__xludf.DUMMYFUNCTION("""COMPUTED_VALUE"""),"Camelina seed")</f>
        <v>Camelina seed</v>
      </c>
      <c r="B312" t="str">
        <f ca="1">IFERROR(__xludf.DUMMYFUNCTION("""COMPUTED_VALUE"""),"G.2.2")</f>
        <v>G.2.2</v>
      </c>
    </row>
    <row r="313" spans="1:2" ht="12.5" x14ac:dyDescent="0.25">
      <c r="A313" t="str">
        <f ca="1">IFERROR(__xludf.DUMMYFUNCTION("""COMPUTED_VALUE"""),"Camelina, expeller")</f>
        <v>Camelina, expeller</v>
      </c>
      <c r="B313" t="str">
        <f ca="1">IFERROR(__xludf.DUMMYFUNCTION("""COMPUTED_VALUE"""),"G.2.2.2")</f>
        <v>G.2.2.2</v>
      </c>
    </row>
    <row r="314" spans="1:2" ht="12.5" x14ac:dyDescent="0.25">
      <c r="A314" t="str">
        <f ca="1">IFERROR(__xludf.DUMMYFUNCTION("""COMPUTED_VALUE"""),"Camomile flowers (Matricaria recutita)")</f>
        <v>Camomile flowers (Matricaria recutita)</v>
      </c>
      <c r="B314" t="str">
        <f ca="1">IFERROR(__xludf.DUMMYFUNCTION("""COMPUTED_VALUE"""),"A.01.000407")</f>
        <v>A.01.000407</v>
      </c>
    </row>
    <row r="315" spans="1:2" ht="12.5" x14ac:dyDescent="0.25">
      <c r="A315" t="str">
        <f ca="1">IFERROR(__xludf.DUMMYFUNCTION("""COMPUTED_VALUE"""),"Canary grass seed")</f>
        <v>Canary grass seed</v>
      </c>
      <c r="B315" t="str">
        <f ca="1">IFERROR(__xludf.DUMMYFUNCTION("""COMPUTED_VALUE"""),"G.5.8")</f>
        <v>G.5.8</v>
      </c>
    </row>
    <row r="316" spans="1:2" ht="12.5" x14ac:dyDescent="0.25">
      <c r="A316" t="str">
        <f ca="1">IFERROR(__xludf.DUMMYFUNCTION("""COMPUTED_VALUE"""),"Candied fruit, Ananas")</f>
        <v>Candied fruit, Ananas</v>
      </c>
      <c r="B316" t="str">
        <f ca="1">IFERROR(__xludf.DUMMYFUNCTION("""COMPUTED_VALUE"""),"A.01.000717")</f>
        <v>A.01.000717</v>
      </c>
    </row>
    <row r="317" spans="1:2" ht="12.5" x14ac:dyDescent="0.25">
      <c r="A317" t="str">
        <f ca="1">IFERROR(__xludf.DUMMYFUNCTION("""COMPUTED_VALUE"""),"Candied fruit, Apple")</f>
        <v>Candied fruit, Apple</v>
      </c>
      <c r="B317" t="str">
        <f ca="1">IFERROR(__xludf.DUMMYFUNCTION("""COMPUTED_VALUE"""),"A.01.000720")</f>
        <v>A.01.000720</v>
      </c>
    </row>
    <row r="318" spans="1:2" ht="12.5" x14ac:dyDescent="0.25">
      <c r="A318" t="str">
        <f ca="1">IFERROR(__xludf.DUMMYFUNCTION("""COMPUTED_VALUE"""),"Candied fruit, Bananas")</f>
        <v>Candied fruit, Bananas</v>
      </c>
      <c r="B318" t="str">
        <f ca="1">IFERROR(__xludf.DUMMYFUNCTION("""COMPUTED_VALUE"""),"A.01.000716")</f>
        <v>A.01.000716</v>
      </c>
    </row>
    <row r="319" spans="1:2" ht="12.5" x14ac:dyDescent="0.25">
      <c r="A319" t="str">
        <f ca="1">IFERROR(__xludf.DUMMYFUNCTION("""COMPUTED_VALUE"""),"Candied fruit, Cheery")</f>
        <v>Candied fruit, Cheery</v>
      </c>
      <c r="B319" t="str">
        <f ca="1">IFERROR(__xludf.DUMMYFUNCTION("""COMPUTED_VALUE"""),"A.01.000715")</f>
        <v>A.01.000715</v>
      </c>
    </row>
    <row r="320" spans="1:2" ht="12.5" x14ac:dyDescent="0.25">
      <c r="A320" t="str">
        <f ca="1">IFERROR(__xludf.DUMMYFUNCTION("""COMPUTED_VALUE"""),"Candied fruit, Grape")</f>
        <v>Candied fruit, Grape</v>
      </c>
      <c r="B320" t="str">
        <f ca="1">IFERROR(__xludf.DUMMYFUNCTION("""COMPUTED_VALUE"""),"A.01.000718")</f>
        <v>A.01.000718</v>
      </c>
    </row>
    <row r="321" spans="1:2" ht="12.5" x14ac:dyDescent="0.25">
      <c r="A321" t="str">
        <f ca="1">IFERROR(__xludf.DUMMYFUNCTION("""COMPUTED_VALUE"""),"Candied fruit, Mixed fruit")</f>
        <v>Candied fruit, Mixed fruit</v>
      </c>
      <c r="B321" t="str">
        <f ca="1">IFERROR(__xludf.DUMMYFUNCTION("""COMPUTED_VALUE"""),"A.01.000721")</f>
        <v>A.01.000721</v>
      </c>
    </row>
    <row r="322" spans="1:2" ht="12.5" x14ac:dyDescent="0.25">
      <c r="A322" t="str">
        <f ca="1">IFERROR(__xludf.DUMMYFUNCTION("""COMPUTED_VALUE"""),"Candied fruit, Orange peel")</f>
        <v>Candied fruit, Orange peel</v>
      </c>
      <c r="B322" t="str">
        <f ca="1">IFERROR(__xludf.DUMMYFUNCTION("""COMPUTED_VALUE"""),"A.01.000722")</f>
        <v>A.01.000722</v>
      </c>
    </row>
    <row r="323" spans="1:2" ht="12.5" x14ac:dyDescent="0.25">
      <c r="A323" t="str">
        <f ca="1">IFERROR(__xludf.DUMMYFUNCTION("""COMPUTED_VALUE"""),"Candied fruit, Pear")</f>
        <v>Candied fruit, Pear</v>
      </c>
      <c r="B323" t="str">
        <f ca="1">IFERROR(__xludf.DUMMYFUNCTION("""COMPUTED_VALUE"""),"A.01.000719")</f>
        <v>A.01.000719</v>
      </c>
    </row>
    <row r="324" spans="1:2" ht="12.5" x14ac:dyDescent="0.25">
      <c r="A324" t="str">
        <f ca="1">IFERROR(__xludf.DUMMYFUNCTION("""COMPUTED_VALUE"""),"Candied fruits")</f>
        <v>Candied fruits</v>
      </c>
      <c r="B324" t="str">
        <f ca="1">IFERROR(__xludf.DUMMYFUNCTION("""COMPUTED_VALUE"""),"A.01.000714")</f>
        <v>A.01.000714</v>
      </c>
    </row>
    <row r="325" spans="1:2" ht="12.5" x14ac:dyDescent="0.25">
      <c r="A325" t="str">
        <f ca="1">IFERROR(__xludf.DUMMYFUNCTION("""COMPUTED_VALUE"""),"Candies, sugar free")</f>
        <v>Candies, sugar free</v>
      </c>
      <c r="B325" t="str">
        <f ca="1">IFERROR(__xludf.DUMMYFUNCTION("""COMPUTED_VALUE"""),"A.01.001312")</f>
        <v>A.01.001312</v>
      </c>
    </row>
    <row r="326" spans="1:2" ht="12.5" x14ac:dyDescent="0.25">
      <c r="A326" t="str">
        <f ca="1">IFERROR(__xludf.DUMMYFUNCTION("""COMPUTED_VALUE"""),"Candies, with sugar")</f>
        <v>Candies, with sugar</v>
      </c>
      <c r="B326" t="str">
        <f ca="1">IFERROR(__xludf.DUMMYFUNCTION("""COMPUTED_VALUE"""),"A.01.001311")</f>
        <v>A.01.001311</v>
      </c>
    </row>
    <row r="327" spans="1:2" ht="12.5" x14ac:dyDescent="0.25">
      <c r="A327" t="str">
        <f ca="1">IFERROR(__xludf.DUMMYFUNCTION("""COMPUTED_VALUE"""),"Cane bagasse")</f>
        <v>Cane bagasse</v>
      </c>
      <c r="B327" t="str">
        <f ca="1">IFERROR(__xludf.DUMMYFUNCTION("""COMPUTED_VALUE"""),"G.7.6.4")</f>
        <v>G.7.6.4</v>
      </c>
    </row>
    <row r="328" spans="1:2" ht="12.5" x14ac:dyDescent="0.25">
      <c r="A328" t="str">
        <f ca="1">IFERROR(__xludf.DUMMYFUNCTION("""COMPUTED_VALUE"""),"Cane sugar")</f>
        <v>Cane sugar</v>
      </c>
      <c r="B328" t="str">
        <f ca="1">IFERROR(__xludf.DUMMYFUNCTION("""COMPUTED_VALUE"""),"A.01.001272")</f>
        <v>A.01.001272</v>
      </c>
    </row>
    <row r="329" spans="1:2" ht="12.5" x14ac:dyDescent="0.25">
      <c r="A329" t="str">
        <f ca="1">IFERROR(__xludf.DUMMYFUNCTION("""COMPUTED_VALUE"""),"Canned fruit, Apple (Malus domesticus)")</f>
        <v>Canned fruit, Apple (Malus domesticus)</v>
      </c>
      <c r="B329" t="str">
        <f ca="1">IFERROR(__xludf.DUMMYFUNCTION("""COMPUTED_VALUE"""),"A.01.000690")</f>
        <v>A.01.000690</v>
      </c>
    </row>
    <row r="330" spans="1:2" ht="12.5" x14ac:dyDescent="0.25">
      <c r="A330" t="str">
        <f ca="1">IFERROR(__xludf.DUMMYFUNCTION("""COMPUTED_VALUE"""),"Canned fruit, Apricot (Prunus armeniaca)")</f>
        <v>Canned fruit, Apricot (Prunus armeniaca)</v>
      </c>
      <c r="B330" t="str">
        <f ca="1">IFERROR(__xludf.DUMMYFUNCTION("""COMPUTED_VALUE"""),"A.01.000692")</f>
        <v>A.01.000692</v>
      </c>
    </row>
    <row r="331" spans="1:2" ht="12.5" x14ac:dyDescent="0.25">
      <c r="A331" t="str">
        <f ca="1">IFERROR(__xludf.DUMMYFUNCTION("""COMPUTED_VALUE"""),"Canned fruit, Cranberry (Vaccinium macrocarpon)")</f>
        <v>Canned fruit, Cranberry (Vaccinium macrocarpon)</v>
      </c>
      <c r="B331" t="str">
        <f ca="1">IFERROR(__xludf.DUMMYFUNCTION("""COMPUTED_VALUE"""),"A.01.000698")</f>
        <v>A.01.000698</v>
      </c>
    </row>
    <row r="332" spans="1:2" ht="12.5" x14ac:dyDescent="0.25">
      <c r="A332" t="str">
        <f ca="1">IFERROR(__xludf.DUMMYFUNCTION("""COMPUTED_VALUE"""),"Canned fruit, Mandarin (Citrus reticulata)")</f>
        <v>Canned fruit, Mandarin (Citrus reticulata)</v>
      </c>
      <c r="B332" t="str">
        <f ca="1">IFERROR(__xludf.DUMMYFUNCTION("""COMPUTED_VALUE"""),"A.01.000689")</f>
        <v>A.01.000689</v>
      </c>
    </row>
    <row r="333" spans="1:2" ht="12.5" x14ac:dyDescent="0.25">
      <c r="A333" t="str">
        <f ca="1">IFERROR(__xludf.DUMMYFUNCTION("""COMPUTED_VALUE"""),"Canned fruit, Mixed fruit")</f>
        <v>Canned fruit, Mixed fruit</v>
      </c>
      <c r="B333" t="str">
        <f ca="1">IFERROR(__xludf.DUMMYFUNCTION("""COMPUTED_VALUE"""),"A.01.000700")</f>
        <v>A.01.000700</v>
      </c>
    </row>
    <row r="334" spans="1:2" ht="12.5" x14ac:dyDescent="0.25">
      <c r="A334" t="str">
        <f ca="1">IFERROR(__xludf.DUMMYFUNCTION("""COMPUTED_VALUE"""),"Canned fruit, Peach (Prunus persica)")</f>
        <v>Canned fruit, Peach (Prunus persica)</v>
      </c>
      <c r="B334" t="str">
        <f ca="1">IFERROR(__xludf.DUMMYFUNCTION("""COMPUTED_VALUE"""),"A.01.000696")</f>
        <v>A.01.000696</v>
      </c>
    </row>
    <row r="335" spans="1:2" ht="12.5" x14ac:dyDescent="0.25">
      <c r="A335" t="str">
        <f ca="1">IFERROR(__xludf.DUMMYFUNCTION("""COMPUTED_VALUE"""),"Canned fruit, Pear (Pyrus communis)")</f>
        <v>Canned fruit, Pear (Pyrus communis)</v>
      </c>
      <c r="B335" t="str">
        <f ca="1">IFERROR(__xludf.DUMMYFUNCTION("""COMPUTED_VALUE"""),"A.01.000691")</f>
        <v>A.01.000691</v>
      </c>
    </row>
    <row r="336" spans="1:2" ht="12.5" x14ac:dyDescent="0.25">
      <c r="A336" t="str">
        <f ca="1">IFERROR(__xludf.DUMMYFUNCTION("""COMPUTED_VALUE"""),"Canned fruit, Pineapple (Ananas comosus)")</f>
        <v>Canned fruit, Pineapple (Ananas comosus)</v>
      </c>
      <c r="B336" t="str">
        <f ca="1">IFERROR(__xludf.DUMMYFUNCTION("""COMPUTED_VALUE"""),"A.01.000699")</f>
        <v>A.01.000699</v>
      </c>
    </row>
    <row r="337" spans="1:2" ht="12.5" x14ac:dyDescent="0.25">
      <c r="A337" t="str">
        <f ca="1">IFERROR(__xludf.DUMMYFUNCTION("""COMPUTED_VALUE"""),"Canned fruit, Plum (Prunus domestica)")</f>
        <v>Canned fruit, Plum (Prunus domestica)</v>
      </c>
      <c r="B337" t="str">
        <f ca="1">IFERROR(__xludf.DUMMYFUNCTION("""COMPUTED_VALUE"""),"A.01.000693")</f>
        <v>A.01.000693</v>
      </c>
    </row>
    <row r="338" spans="1:2" ht="12.5" x14ac:dyDescent="0.25">
      <c r="A338" t="str">
        <f ca="1">IFERROR(__xludf.DUMMYFUNCTION("""COMPUTED_VALUE"""),"Canned fruit, Sour cherry (Prunus cerasus)")</f>
        <v>Canned fruit, Sour cherry (Prunus cerasus)</v>
      </c>
      <c r="B338" t="str">
        <f ca="1">IFERROR(__xludf.DUMMYFUNCTION("""COMPUTED_VALUE"""),"A.01.000695")</f>
        <v>A.01.000695</v>
      </c>
    </row>
    <row r="339" spans="1:2" ht="12.5" x14ac:dyDescent="0.25">
      <c r="A339" t="str">
        <f ca="1">IFERROR(__xludf.DUMMYFUNCTION("""COMPUTED_VALUE"""),"Canned fruit, Sweet cherry (Prunus avium)")</f>
        <v>Canned fruit, Sweet cherry (Prunus avium)</v>
      </c>
      <c r="B339" t="str">
        <f ca="1">IFERROR(__xludf.DUMMYFUNCTION("""COMPUTED_VALUE"""),"A.01.000694")</f>
        <v>A.01.000694</v>
      </c>
    </row>
    <row r="340" spans="1:2" ht="12.5" x14ac:dyDescent="0.25">
      <c r="A340" t="str">
        <f ca="1">IFERROR(__xludf.DUMMYFUNCTION("""COMPUTED_VALUE"""),"Canned fruit, Table grape (Vitis euvitis)")</f>
        <v>Canned fruit, Table grape (Vitis euvitis)</v>
      </c>
      <c r="B340" t="str">
        <f ca="1">IFERROR(__xludf.DUMMYFUNCTION("""COMPUTED_VALUE"""),"A.01.000697")</f>
        <v>A.01.000697</v>
      </c>
    </row>
    <row r="341" spans="1:2" ht="12.5" x14ac:dyDescent="0.25">
      <c r="A341" t="str">
        <f ca="1">IFERROR(__xludf.DUMMYFUNCTION("""COMPUTED_VALUE"""),"Cantharelle (Cantharellus cibarius)")</f>
        <v>Cantharelle (Cantharellus cibarius)</v>
      </c>
      <c r="B341" t="str">
        <f ca="1">IFERROR(__xludf.DUMMYFUNCTION("""COMPUTED_VALUE"""),"A.01.000464")</f>
        <v>A.01.000464</v>
      </c>
    </row>
    <row r="342" spans="1:2" ht="12.5" x14ac:dyDescent="0.25">
      <c r="A342" t="str">
        <f ca="1">IFERROR(__xludf.DUMMYFUNCTION("""COMPUTED_VALUE"""),"Capers (Capparis spinosa)")</f>
        <v>Capers (Capparis spinosa)</v>
      </c>
      <c r="B342" t="str">
        <f ca="1">IFERROR(__xludf.DUMMYFUNCTION("""COMPUTED_VALUE"""),"A.01.001602")</f>
        <v>A.01.001602</v>
      </c>
    </row>
    <row r="343" spans="1:2" ht="12.5" x14ac:dyDescent="0.25">
      <c r="A343" t="str">
        <f ca="1">IFERROR(__xludf.DUMMYFUNCTION("""COMPUTED_VALUE"""),"Carambola (Averrhoa carambola)")</f>
        <v>Carambola (Averrhoa carambola)</v>
      </c>
      <c r="B343" t="str">
        <f ca="1">IFERROR(__xludf.DUMMYFUNCTION("""COMPUTED_VALUE"""),"A.01.000616")</f>
        <v>A.01.000616</v>
      </c>
    </row>
    <row r="344" spans="1:2" ht="12.5" x14ac:dyDescent="0.25">
      <c r="A344" t="str">
        <f ca="1">IFERROR(__xludf.DUMMYFUNCTION("""COMPUTED_VALUE"""),"Caramel, hard")</f>
        <v>Caramel, hard</v>
      </c>
      <c r="B344" t="str">
        <f ca="1">IFERROR(__xludf.DUMMYFUNCTION("""COMPUTED_VALUE"""),"A.01.001314")</f>
        <v>A.01.001314</v>
      </c>
    </row>
    <row r="345" spans="1:2" ht="12.5" x14ac:dyDescent="0.25">
      <c r="A345" t="str">
        <f ca="1">IFERROR(__xludf.DUMMYFUNCTION("""COMPUTED_VALUE"""),"Caramel, soft")</f>
        <v>Caramel, soft</v>
      </c>
      <c r="B345" t="str">
        <f ca="1">IFERROR(__xludf.DUMMYFUNCTION("""COMPUTED_VALUE"""),"A.01.001315")</f>
        <v>A.01.001315</v>
      </c>
    </row>
    <row r="346" spans="1:2" ht="12.5" x14ac:dyDescent="0.25">
      <c r="A346" t="str">
        <f ca="1">IFERROR(__xludf.DUMMYFUNCTION("""COMPUTED_VALUE"""),"Caramelized sugar")</f>
        <v>Caramelized sugar</v>
      </c>
      <c r="B346" t="str">
        <f ca="1">IFERROR(__xludf.DUMMYFUNCTION("""COMPUTED_VALUE"""),"G.13.2")</f>
        <v>G.13.2</v>
      </c>
    </row>
    <row r="347" spans="1:2" ht="12.5" x14ac:dyDescent="0.25">
      <c r="A347" t="str">
        <f ca="1">IFERROR(__xludf.DUMMYFUNCTION("""COMPUTED_VALUE"""),"Caraway (Carum carvi)")</f>
        <v>Caraway (Carum carvi)</v>
      </c>
      <c r="B347" t="str">
        <f ca="1">IFERROR(__xludf.DUMMYFUNCTION("""COMPUTED_VALUE"""),"A.01.001603")</f>
        <v>A.01.001603</v>
      </c>
    </row>
    <row r="348" spans="1:2" ht="12.5" x14ac:dyDescent="0.25">
      <c r="A348" t="str">
        <f ca="1">IFERROR(__xludf.DUMMYFUNCTION("""COMPUTED_VALUE"""),"Caraway seed")</f>
        <v>Caraway seed</v>
      </c>
      <c r="B348" t="str">
        <f ca="1">IFERROR(__xludf.DUMMYFUNCTION("""COMPUTED_VALUE"""),"G.5.9")</f>
        <v>G.5.9</v>
      </c>
    </row>
    <row r="349" spans="1:2" ht="12.5" x14ac:dyDescent="0.25">
      <c r="A349" t="str">
        <f ca="1">IFERROR(__xludf.DUMMYFUNCTION("""COMPUTED_VALUE"""),"Carbohydrate-electrolyte solutions for sports people")</f>
        <v>Carbohydrate-electrolyte solutions for sports people</v>
      </c>
      <c r="B349" t="str">
        <f ca="1">IFERROR(__xludf.DUMMYFUNCTION("""COMPUTED_VALUE"""),"A.01.001767")</f>
        <v>A.01.001767</v>
      </c>
    </row>
    <row r="350" spans="1:2" ht="12.5" x14ac:dyDescent="0.25">
      <c r="A350" t="str">
        <f ca="1">IFERROR(__xludf.DUMMYFUNCTION("""COMPUTED_VALUE"""),"Carbohydrate-rich energy food products for sports people")</f>
        <v>Carbohydrate-rich energy food products for sports people</v>
      </c>
      <c r="B350" t="str">
        <f ca="1">IFERROR(__xludf.DUMMYFUNCTION("""COMPUTED_VALUE"""),"A.01.001766")</f>
        <v>A.01.001766</v>
      </c>
    </row>
    <row r="351" spans="1:2" ht="12.5" x14ac:dyDescent="0.25">
      <c r="A351" t="str">
        <f ca="1">IFERROR(__xludf.DUMMYFUNCTION("""COMPUTED_VALUE"""),"Carbonated mineral water")</f>
        <v>Carbonated mineral water</v>
      </c>
      <c r="B351" t="str">
        <f ca="1">IFERROR(__xludf.DUMMYFUNCTION("""COMPUTED_VALUE"""),"A.01.001578")</f>
        <v>A.01.001578</v>
      </c>
    </row>
    <row r="352" spans="1:2" ht="12.5" x14ac:dyDescent="0.25">
      <c r="A352" t="str">
        <f ca="1">IFERROR(__xludf.DUMMYFUNCTION("""COMPUTED_VALUE"""),"Cardamom (Elettaria cardamomum)")</f>
        <v>Cardamom (Elettaria cardamomum)</v>
      </c>
      <c r="B352" t="str">
        <f ca="1">IFERROR(__xludf.DUMMYFUNCTION("""COMPUTED_VALUE"""),"A.01.001604")</f>
        <v>A.01.001604</v>
      </c>
    </row>
    <row r="353" spans="1:2" ht="12.5" x14ac:dyDescent="0.25">
      <c r="A353" t="str">
        <f ca="1">IFERROR(__xludf.DUMMYFUNCTION("""COMPUTED_VALUE"""),"Cardoons (Cynara cardunculus)")</f>
        <v>Cardoons (Cynara cardunculus)</v>
      </c>
      <c r="B353" t="str">
        <f ca="1">IFERROR(__xludf.DUMMYFUNCTION("""COMPUTED_VALUE"""),"A.01.000387")</f>
        <v>A.01.000387</v>
      </c>
    </row>
    <row r="354" spans="1:2" ht="12.5" x14ac:dyDescent="0.25">
      <c r="A354" t="str">
        <f ca="1">IFERROR(__xludf.DUMMYFUNCTION("""COMPUTED_VALUE"""),"Carissa (Carissa sp.)")</f>
        <v>Carissa (Carissa sp.)</v>
      </c>
      <c r="B354" t="str">
        <f ca="1">IFERROR(__xludf.DUMMYFUNCTION("""COMPUTED_VALUE"""),"A.01.000643")</f>
        <v>A.01.000643</v>
      </c>
    </row>
    <row r="355" spans="1:2" ht="12.5" x14ac:dyDescent="0.25">
      <c r="A355" t="str">
        <f ca="1">IFERROR(__xludf.DUMMYFUNCTION("""COMPUTED_VALUE"""),"Carnitine-based supplement for sports people")</f>
        <v>Carnitine-based supplement for sports people</v>
      </c>
      <c r="B355" t="str">
        <f ca="1">IFERROR(__xludf.DUMMYFUNCTION("""COMPUTED_VALUE"""),"A.01.001770")</f>
        <v>A.01.001770</v>
      </c>
    </row>
    <row r="356" spans="1:2" ht="12.5" x14ac:dyDescent="0.25">
      <c r="A356" t="str">
        <f ca="1">IFERROR(__xludf.DUMMYFUNCTION("""COMPUTED_VALUE"""),"Carob flavouring")</f>
        <v>Carob flavouring</v>
      </c>
      <c r="B356" t="str">
        <f ca="1">IFERROR(__xludf.DUMMYFUNCTION("""COMPUTED_VALUE"""),"A.01.001702")</f>
        <v>A.01.001702</v>
      </c>
    </row>
    <row r="357" spans="1:2" ht="12.5" x14ac:dyDescent="0.25">
      <c r="A357" t="str">
        <f ca="1">IFERROR(__xludf.DUMMYFUNCTION("""COMPUTED_VALUE"""),"Carob fruit (Ceratonia siliqua)")</f>
        <v>Carob fruit (Ceratonia siliqua)</v>
      </c>
      <c r="B357" t="str">
        <f ca="1">IFERROR(__xludf.DUMMYFUNCTION("""COMPUTED_VALUE"""),"A.01.000505")</f>
        <v>A.01.000505</v>
      </c>
    </row>
    <row r="358" spans="1:2" ht="12.5" x14ac:dyDescent="0.25">
      <c r="A358" t="str">
        <f ca="1">IFERROR(__xludf.DUMMYFUNCTION("""COMPUTED_VALUE"""),"Carob germ")</f>
        <v>Carob germ</v>
      </c>
      <c r="B358" t="str">
        <f ca="1">IFERROR(__xludf.DUMMYFUNCTION("""COMPUTED_VALUE"""),"G.3.2.4")</f>
        <v>G.3.2.4</v>
      </c>
    </row>
    <row r="359" spans="1:2" ht="12.5" x14ac:dyDescent="0.25">
      <c r="A359" t="str">
        <f ca="1">IFERROR(__xludf.DUMMYFUNCTION("""COMPUTED_VALUE"""),"Carob germ, expeller")</f>
        <v>Carob germ, expeller</v>
      </c>
      <c r="B359" t="str">
        <f ca="1">IFERROR(__xludf.DUMMYFUNCTION("""COMPUTED_VALUE"""),"G.3.2.5")</f>
        <v>G.3.2.5</v>
      </c>
    </row>
    <row r="360" spans="1:2" ht="12.5" x14ac:dyDescent="0.25">
      <c r="A360" t="str">
        <f ca="1">IFERROR(__xludf.DUMMYFUNCTION("""COMPUTED_VALUE"""),"Carob pods")</f>
        <v>Carob pods</v>
      </c>
      <c r="B360" t="str">
        <f ca="1">IFERROR(__xludf.DUMMYFUNCTION("""COMPUTED_VALUE"""),"F05.01")</f>
        <v>F05.01</v>
      </c>
    </row>
    <row r="361" spans="1:2" ht="12.5" x14ac:dyDescent="0.25">
      <c r="A361" t="str">
        <f ca="1">IFERROR(__xludf.DUMMYFUNCTION("""COMPUTED_VALUE"""),"Carob pods, dried")</f>
        <v>Carob pods, dried</v>
      </c>
      <c r="B361" t="str">
        <f ca="1">IFERROR(__xludf.DUMMYFUNCTION("""COMPUTED_VALUE"""),"G.3.2.2")</f>
        <v>G.3.2.2</v>
      </c>
    </row>
    <row r="362" spans="1:2" ht="12.5" x14ac:dyDescent="0.25">
      <c r="A362" t="str">
        <f ca="1">IFERROR(__xludf.DUMMYFUNCTION("""COMPUTED_VALUE"""),"Carob, dried")</f>
        <v>Carob, dried</v>
      </c>
      <c r="B362" t="str">
        <f ca="1">IFERROR(__xludf.DUMMYFUNCTION("""COMPUTED_VALUE"""),"G.3.2")</f>
        <v>G.3.2</v>
      </c>
    </row>
    <row r="363" spans="1:2" ht="12.5" x14ac:dyDescent="0.25">
      <c r="A363" t="str">
        <f ca="1">IFERROR(__xludf.DUMMYFUNCTION("""COMPUTED_VALUE"""),"Carp (Cyprinus)")</f>
        <v>Carp (Cyprinus)</v>
      </c>
      <c r="B363" t="str">
        <f ca="1">IFERROR(__xludf.DUMMYFUNCTION("""COMPUTED_VALUE"""),"A.01.000901")</f>
        <v>A.01.000901</v>
      </c>
    </row>
    <row r="364" spans="1:2" ht="12.5" x14ac:dyDescent="0.25">
      <c r="A364" t="str">
        <f ca="1">IFERROR(__xludf.DUMMYFUNCTION("""COMPUTED_VALUE"""),"Carrot feed, dried")</f>
        <v>Carrot feed, dried</v>
      </c>
      <c r="B364" t="str">
        <f ca="1">IFERROR(__xludf.DUMMYFUNCTION("""COMPUTED_VALUE"""),"G.4.3.6")</f>
        <v>G.4.3.6</v>
      </c>
    </row>
    <row r="365" spans="1:2" ht="12.5" x14ac:dyDescent="0.25">
      <c r="A365" t="str">
        <f ca="1">IFERROR(__xludf.DUMMYFUNCTION("""COMPUTED_VALUE"""),"Carrot flakes")</f>
        <v>Carrot flakes</v>
      </c>
      <c r="B365" t="str">
        <f ca="1">IFERROR(__xludf.DUMMYFUNCTION("""COMPUTED_VALUE"""),"G.4.3.4")</f>
        <v>G.4.3.4</v>
      </c>
    </row>
    <row r="366" spans="1:2" ht="12.5" x14ac:dyDescent="0.25">
      <c r="A366" t="str">
        <f ca="1">IFERROR(__xludf.DUMMYFUNCTION("""COMPUTED_VALUE"""),"Carrot peelings, steamed")</f>
        <v>Carrot peelings, steamed</v>
      </c>
      <c r="B366" t="str">
        <f ca="1">IFERROR(__xludf.DUMMYFUNCTION("""COMPUTED_VALUE"""),"G.4.3.2")</f>
        <v>G.4.3.2</v>
      </c>
    </row>
    <row r="367" spans="1:2" ht="12.5" x14ac:dyDescent="0.25">
      <c r="A367" t="str">
        <f ca="1">IFERROR(__xludf.DUMMYFUNCTION("""COMPUTED_VALUE"""),"Carrot scrapings")</f>
        <v>Carrot scrapings</v>
      </c>
      <c r="B367" t="str">
        <f ca="1">IFERROR(__xludf.DUMMYFUNCTION("""COMPUTED_VALUE"""),"G.4.3.3")</f>
        <v>G.4.3.3</v>
      </c>
    </row>
    <row r="368" spans="1:2" ht="12.5" x14ac:dyDescent="0.25">
      <c r="A368" t="str">
        <f ca="1">IFERROR(__xludf.DUMMYFUNCTION("""COMPUTED_VALUE"""),"Carrot, dried")</f>
        <v>Carrot, dried</v>
      </c>
      <c r="B368" t="str">
        <f ca="1">IFERROR(__xludf.DUMMYFUNCTION("""COMPUTED_VALUE"""),"G.4.3.5")</f>
        <v>G.4.3.5</v>
      </c>
    </row>
    <row r="369" spans="1:2" ht="12.5" x14ac:dyDescent="0.25">
      <c r="A369" t="str">
        <f ca="1">IFERROR(__xludf.DUMMYFUNCTION("""COMPUTED_VALUE"""),"Carrots")</f>
        <v>Carrots</v>
      </c>
      <c r="B369" t="str">
        <f ca="1">IFERROR(__xludf.DUMMYFUNCTION("""COMPUTED_VALUE"""),"G.4.3")</f>
        <v>G.4.3</v>
      </c>
    </row>
    <row r="370" spans="1:2" ht="12.5" x14ac:dyDescent="0.25">
      <c r="A370" t="str">
        <f ca="1">IFERROR(__xludf.DUMMYFUNCTION("""COMPUTED_VALUE"""),"Carrots (Daucus carota)")</f>
        <v>Carrots (Daucus carota)</v>
      </c>
      <c r="B370" t="str">
        <f ca="1">IFERROR(__xludf.DUMMYFUNCTION("""COMPUTED_VALUE"""),"A.01.000321")</f>
        <v>A.01.000321</v>
      </c>
    </row>
    <row r="371" spans="1:2" ht="12.5" x14ac:dyDescent="0.25">
      <c r="A371" t="str">
        <f ca="1">IFERROR(__xludf.DUMMYFUNCTION("""COMPUTED_VALUE"""),"Casein")</f>
        <v>Casein</v>
      </c>
      <c r="B371" t="str">
        <f ca="1">IFERROR(__xludf.DUMMYFUNCTION("""COMPUTED_VALUE"""),"G.8.3")</f>
        <v>G.8.3</v>
      </c>
    </row>
    <row r="372" spans="1:2" ht="12.5" x14ac:dyDescent="0.25">
      <c r="A372" t="str">
        <f ca="1">IFERROR(__xludf.DUMMYFUNCTION("""COMPUTED_VALUE"""),"Casein powder")</f>
        <v>Casein powder</v>
      </c>
      <c r="B372" t="str">
        <f ca="1">IFERROR(__xludf.DUMMYFUNCTION("""COMPUTED_VALUE"""),"F08.06")</f>
        <v>F08.06</v>
      </c>
    </row>
    <row r="373" spans="1:2" ht="12.5" x14ac:dyDescent="0.25">
      <c r="A373" t="str">
        <f ca="1">IFERROR(__xludf.DUMMYFUNCTION("""COMPUTED_VALUE"""),"Caseinate")</f>
        <v>Caseinate</v>
      </c>
      <c r="B373" t="str">
        <f ca="1">IFERROR(__xludf.DUMMYFUNCTION("""COMPUTED_VALUE"""),"G.8.4")</f>
        <v>G.8.4</v>
      </c>
    </row>
    <row r="374" spans="1:2" ht="12.5" x14ac:dyDescent="0.25">
      <c r="A374" t="str">
        <f ca="1">IFERROR(__xludf.DUMMYFUNCTION("""COMPUTED_VALUE"""),"Cashew nuts (Anacardium occidentale)")</f>
        <v>Cashew nuts (Anacardium occidentale)</v>
      </c>
      <c r="B374" t="str">
        <f ca="1">IFERROR(__xludf.DUMMYFUNCTION("""COMPUTED_VALUE"""),"A.01.000517")</f>
        <v>A.01.000517</v>
      </c>
    </row>
    <row r="375" spans="1:2" ht="12.5" x14ac:dyDescent="0.25">
      <c r="A375" t="str">
        <f ca="1">IFERROR(__xludf.DUMMYFUNCTION("""COMPUTED_VALUE"""),"Cassava root (Manihot esculenta)")</f>
        <v>Cassava root (Manihot esculenta)</v>
      </c>
      <c r="B375" t="str">
        <f ca="1">IFERROR(__xludf.DUMMYFUNCTION("""COMPUTED_VALUE"""),"A.01.000482")</f>
        <v>A.01.000482</v>
      </c>
    </row>
    <row r="376" spans="1:2" ht="12.5" x14ac:dyDescent="0.25">
      <c r="A376" t="str">
        <f ca="1">IFERROR(__xludf.DUMMYFUNCTION("""COMPUTED_VALUE"""),"Castor bean (Ricinus communis)")</f>
        <v>Castor bean (Ricinus communis)</v>
      </c>
      <c r="B376" t="str">
        <f ca="1">IFERROR(__xludf.DUMMYFUNCTION("""COMPUTED_VALUE"""),"A.01.000542")</f>
        <v>A.01.000542</v>
      </c>
    </row>
    <row r="377" spans="1:2" ht="12.5" x14ac:dyDescent="0.25">
      <c r="A377" t="str">
        <f ca="1">IFERROR(__xludf.DUMMYFUNCTION("""COMPUTED_VALUE"""),"Catering reflux [Catering recycling]")</f>
        <v>Catering reflux [Catering recycling]</v>
      </c>
      <c r="B377" t="str">
        <f ca="1">IFERROR(__xludf.DUMMYFUNCTION("""COMPUTED_VALUE"""),"G.9.9")</f>
        <v>G.9.9</v>
      </c>
    </row>
    <row r="378" spans="1:2" ht="12.5" x14ac:dyDescent="0.25">
      <c r="A378" t="str">
        <f ca="1">IFERROR(__xludf.DUMMYFUNCTION("""COMPUTED_VALUE"""),"Cauliflower (Brassica oleracea var. botrytis)")</f>
        <v>Cauliflower (Brassica oleracea var. botrytis)</v>
      </c>
      <c r="B378" t="str">
        <f ca="1">IFERROR(__xludf.DUMMYFUNCTION("""COMPUTED_VALUE"""),"A.01.000352")</f>
        <v>A.01.000352</v>
      </c>
    </row>
    <row r="379" spans="1:2" ht="12.5" x14ac:dyDescent="0.25">
      <c r="A379" t="str">
        <f ca="1">IFERROR(__xludf.DUMMYFUNCTION("""COMPUTED_VALUE"""),"Cayenne pepper (Capsicum frutescens)")</f>
        <v>Cayenne pepper (Capsicum frutescens)</v>
      </c>
      <c r="B379" t="str">
        <f ca="1">IFERROR(__xludf.DUMMYFUNCTION("""COMPUTED_VALUE"""),"A.01.001605")</f>
        <v>A.01.001605</v>
      </c>
    </row>
    <row r="380" spans="1:2" ht="12.5" x14ac:dyDescent="0.25">
      <c r="A380" t="str">
        <f ca="1">IFERROR(__xludf.DUMMYFUNCTION("""COMPUTED_VALUE"""),"Celeriac (Apium graveolens var. rapaceum)")</f>
        <v>Celeriac (Apium graveolens var. rapaceum)</v>
      </c>
      <c r="B380" t="str">
        <f ca="1">IFERROR(__xludf.DUMMYFUNCTION("""COMPUTED_VALUE"""),"A.01.000322")</f>
        <v>A.01.000322</v>
      </c>
    </row>
    <row r="381" spans="1:2" ht="12.5" x14ac:dyDescent="0.25">
      <c r="A381" t="str">
        <f ca="1">IFERROR(__xludf.DUMMYFUNCTION("""COMPUTED_VALUE"""),"Celery (Apium graveolens var. dulce)")</f>
        <v>Celery (Apium graveolens var. dulce)</v>
      </c>
      <c r="B381" t="str">
        <f ca="1">IFERROR(__xludf.DUMMYFUNCTION("""COMPUTED_VALUE"""),"A.01.000388")</f>
        <v>A.01.000388</v>
      </c>
    </row>
    <row r="382" spans="1:2" ht="12.5" x14ac:dyDescent="0.25">
      <c r="A382" t="str">
        <f ca="1">IFERROR(__xludf.DUMMYFUNCTION("""COMPUTED_VALUE"""),"Celery leaves (Apium graveolens var. seccalinum)")</f>
        <v>Celery leaves (Apium graveolens var. seccalinum)</v>
      </c>
      <c r="B382" t="str">
        <f ca="1">IFERROR(__xludf.DUMMYFUNCTION("""COMPUTED_VALUE"""),"A.01.001585")</f>
        <v>A.01.001585</v>
      </c>
    </row>
    <row r="383" spans="1:2" ht="12.5" x14ac:dyDescent="0.25">
      <c r="A383" t="str">
        <f ca="1">IFERROR(__xludf.DUMMYFUNCTION("""COMPUTED_VALUE"""),"Celery seed (Apium graveolens)")</f>
        <v>Celery seed (Apium graveolens)</v>
      </c>
      <c r="B383" t="str">
        <f ca="1">IFERROR(__xludf.DUMMYFUNCTION("""COMPUTED_VALUE"""),"A.01.001606")</f>
        <v>A.01.001606</v>
      </c>
    </row>
    <row r="384" spans="1:2" ht="12.5" x14ac:dyDescent="0.25">
      <c r="A384" t="str">
        <f ca="1">IFERROR(__xludf.DUMMYFUNCTION("""COMPUTED_VALUE"""),"Cephalopods")</f>
        <v>Cephalopods</v>
      </c>
      <c r="B384" t="str">
        <f ca="1">IFERROR(__xludf.DUMMYFUNCTION("""COMPUTED_VALUE"""),"C11A_2")</f>
        <v>C11A_2</v>
      </c>
    </row>
    <row r="385" spans="1:2" ht="12.5" x14ac:dyDescent="0.25">
      <c r="A385" t="str">
        <f ca="1">IFERROR(__xludf.DUMMYFUNCTION("""COMPUTED_VALUE"""),"Cereal bar with added sugar")</f>
        <v>Cereal bar with added sugar</v>
      </c>
      <c r="B385" t="str">
        <f ca="1">IFERROR(__xludf.DUMMYFUNCTION("""COMPUTED_VALUE"""),"A.01.000222")</f>
        <v>A.01.000222</v>
      </c>
    </row>
    <row r="386" spans="1:2" ht="12.5" x14ac:dyDescent="0.25">
      <c r="A386" t="str">
        <f ca="1">IFERROR(__xludf.DUMMYFUNCTION("""COMPUTED_VALUE"""),"Cereal bar with chocolate")</f>
        <v>Cereal bar with chocolate</v>
      </c>
      <c r="B386" t="str">
        <f ca="1">IFERROR(__xludf.DUMMYFUNCTION("""COMPUTED_VALUE"""),"A.01.000223")</f>
        <v>A.01.000223</v>
      </c>
    </row>
    <row r="387" spans="1:2" ht="12.5" x14ac:dyDescent="0.25">
      <c r="A387" t="str">
        <f ca="1">IFERROR(__xludf.DUMMYFUNCTION("""COMPUTED_VALUE"""),"Cereal bar with fruits")</f>
        <v>Cereal bar with fruits</v>
      </c>
      <c r="B387" t="str">
        <f ca="1">IFERROR(__xludf.DUMMYFUNCTION("""COMPUTED_VALUE"""),"A.01.000221")</f>
        <v>A.01.000221</v>
      </c>
    </row>
    <row r="388" spans="1:2" ht="12.5" x14ac:dyDescent="0.25">
      <c r="A388" t="str">
        <f ca="1">IFERROR(__xludf.DUMMYFUNCTION("""COMPUTED_VALUE"""),"Cereal bar, with no added sugar")</f>
        <v>Cereal bar, with no added sugar</v>
      </c>
      <c r="B388" t="str">
        <f ca="1">IFERROR(__xludf.DUMMYFUNCTION("""COMPUTED_VALUE"""),"A.01.000224")</f>
        <v>A.01.000224</v>
      </c>
    </row>
    <row r="389" spans="1:2" ht="12.5" x14ac:dyDescent="0.25">
      <c r="A389" t="str">
        <f ca="1">IFERROR(__xludf.DUMMYFUNCTION("""COMPUTED_VALUE"""),"Cereal bars")</f>
        <v>Cereal bars</v>
      </c>
      <c r="B389" t="str">
        <f ca="1">IFERROR(__xludf.DUMMYFUNCTION("""COMPUTED_VALUE"""),"A.01.000220")</f>
        <v>A.01.000220</v>
      </c>
    </row>
    <row r="390" spans="1:2" ht="12.5" x14ac:dyDescent="0.25">
      <c r="A390" t="str">
        <f ca="1">IFERROR(__xludf.DUMMYFUNCTION("""COMPUTED_VALUE"""),"Cereal flakes")</f>
        <v>Cereal flakes</v>
      </c>
      <c r="B390" t="str">
        <f ca="1">IFERROR(__xludf.DUMMYFUNCTION("""COMPUTED_VALUE"""),"A.01.000185")</f>
        <v>A.01.000185</v>
      </c>
    </row>
    <row r="391" spans="1:2" ht="12.5" x14ac:dyDescent="0.25">
      <c r="A391" t="str">
        <f ca="1">IFERROR(__xludf.DUMMYFUNCTION("""COMPUTED_VALUE"""),"Cereal grains (Not specified type)")</f>
        <v>Cereal grains (Not specified type)</v>
      </c>
      <c r="B391" t="str">
        <f ca="1">IFERROR(__xludf.DUMMYFUNCTION("""COMPUTED_VALUE"""),"C01B_1")</f>
        <v>C01B_1</v>
      </c>
    </row>
    <row r="392" spans="1:2" ht="12.5" x14ac:dyDescent="0.25">
      <c r="A392" t="str">
        <f ca="1">IFERROR(__xludf.DUMMYFUNCTION("""COMPUTED_VALUE"""),"Cereal grains excl. Rice")</f>
        <v>Cereal grains excl. Rice</v>
      </c>
      <c r="B392" t="str">
        <f ca="1">IFERROR(__xludf.DUMMYFUNCTION("""COMPUTED_VALUE"""),"C01B_1A")</f>
        <v>C01B_1A</v>
      </c>
    </row>
    <row r="393" spans="1:2" ht="12.5" x14ac:dyDescent="0.25">
      <c r="A393" t="str">
        <f ca="1">IFERROR(__xludf.DUMMYFUNCTION("""COMPUTED_VALUE"""),"Cereal grains screenings")</f>
        <v>Cereal grains screenings</v>
      </c>
      <c r="B393" t="str">
        <f ca="1">IFERROR(__xludf.DUMMYFUNCTION("""COMPUTED_VALUE"""),"G.1.12.4")</f>
        <v>G.1.12.4</v>
      </c>
    </row>
    <row r="394" spans="1:2" ht="12.5" x14ac:dyDescent="0.25">
      <c r="A394" t="str">
        <f ca="1">IFERROR(__xludf.DUMMYFUNCTION("""COMPUTED_VALUE"""),"Cereal grains, their products and by-products")</f>
        <v>Cereal grains, their products and by-products</v>
      </c>
      <c r="B394" t="str">
        <f ca="1">IFERROR(__xludf.DUMMYFUNCTION("""COMPUTED_VALUE"""),"G.1")</f>
        <v>G.1</v>
      </c>
    </row>
    <row r="395" spans="1:2" ht="12.5" x14ac:dyDescent="0.25">
      <c r="A395" t="str">
        <f ca="1">IFERROR(__xludf.DUMMYFUNCTION("""COMPUTED_VALUE"""),"Cereal grains, their products and by-productss")</f>
        <v>Cereal grains, their products and by-productss</v>
      </c>
      <c r="B395" t="str">
        <f ca="1">IFERROR(__xludf.DUMMYFUNCTION("""COMPUTED_VALUE"""),"F01")</f>
        <v>F01</v>
      </c>
    </row>
    <row r="396" spans="1:2" ht="12.5" x14ac:dyDescent="0.25">
      <c r="A396" t="str">
        <f ca="1">IFERROR(__xludf.DUMMYFUNCTION("""COMPUTED_VALUE"""),"Cereal plants")</f>
        <v>Cereal plants</v>
      </c>
      <c r="B396" t="str">
        <f ca="1">IFERROR(__xludf.DUMMYFUNCTION("""COMPUTED_VALUE"""),"G.6.2")</f>
        <v>G.6.2</v>
      </c>
    </row>
    <row r="397" spans="1:2" ht="12.5" x14ac:dyDescent="0.25">
      <c r="A397" t="str">
        <f ca="1">IFERROR(__xludf.DUMMYFUNCTION("""COMPUTED_VALUE"""),"Cereal products (Not specified type)")</f>
        <v>Cereal products (Not specified type)</v>
      </c>
      <c r="B397" t="str">
        <f ca="1">IFERROR(__xludf.DUMMYFUNCTION("""COMPUTED_VALUE"""),"C01B_2")</f>
        <v>C01B_2</v>
      </c>
    </row>
    <row r="398" spans="1:2" ht="12.5" x14ac:dyDescent="0.25">
      <c r="A398" t="str">
        <f ca="1">IFERROR(__xludf.DUMMYFUNCTION("""COMPUTED_VALUE"""),"Cereal straw, treated")</f>
        <v>Cereal straw, treated</v>
      </c>
      <c r="B398" t="str">
        <f ca="1">IFERROR(__xludf.DUMMYFUNCTION("""COMPUTED_VALUE"""),"G.6.3.2")</f>
        <v>G.6.3.2</v>
      </c>
    </row>
    <row r="399" spans="1:2" ht="12.5" x14ac:dyDescent="0.25">
      <c r="A399" t="str">
        <f ca="1">IFERROR(__xludf.DUMMYFUNCTION("""COMPUTED_VALUE"""),"Cereal-based dishes")</f>
        <v>Cereal-based dishes</v>
      </c>
      <c r="B399" t="str">
        <f ca="1">IFERROR(__xludf.DUMMYFUNCTION("""COMPUTED_VALUE"""),"A.01.001790")</f>
        <v>A.01.001790</v>
      </c>
    </row>
    <row r="400" spans="1:2" ht="12.5" x14ac:dyDescent="0.25">
      <c r="A400" t="str">
        <f ca="1">IFERROR(__xludf.DUMMYFUNCTION("""COMPUTED_VALUE"""),"Cereal-based food for infants and young children")</f>
        <v>Cereal-based food for infants and young children</v>
      </c>
      <c r="B400" t="str">
        <f ca="1">IFERROR(__xludf.DUMMYFUNCTION("""COMPUTED_VALUE"""),"A.01.001728")</f>
        <v>A.01.001728</v>
      </c>
    </row>
    <row r="401" spans="1:2" ht="12.5" x14ac:dyDescent="0.25">
      <c r="A401" t="str">
        <f ca="1">IFERROR(__xludf.DUMMYFUNCTION("""COMPUTED_VALUE"""),"Cereal-based mixed dishes")</f>
        <v>Cereal-based mixed dishes</v>
      </c>
      <c r="B401" t="str">
        <f ca="1">IFERROR(__xludf.DUMMYFUNCTION("""COMPUTED_VALUE"""),"C01A")</f>
        <v>C01A</v>
      </c>
    </row>
    <row r="402" spans="1:2" ht="12.5" x14ac:dyDescent="0.25">
      <c r="A402" t="str">
        <f ca="1">IFERROR(__xludf.DUMMYFUNCTION("""COMPUTED_VALUE"""),"Cereals and cereal products")</f>
        <v>Cereals and cereal products</v>
      </c>
      <c r="B402" t="str">
        <f ca="1">IFERROR(__xludf.DUMMYFUNCTION("""COMPUTED_VALUE"""),"C01")</f>
        <v>C01</v>
      </c>
    </row>
    <row r="403" spans="1:2" ht="12.5" x14ac:dyDescent="0.25">
      <c r="A403" t="str">
        <f ca="1">IFERROR(__xludf.DUMMYFUNCTION("""COMPUTED_VALUE"""),"Cereals and cereal products excl. cereal-based mixed dishes")</f>
        <v>Cereals and cereal products excl. cereal-based mixed dishes</v>
      </c>
      <c r="B403" t="str">
        <f ca="1">IFERROR(__xludf.DUMMYFUNCTION("""COMPUTED_VALUE"""),"C01B")</f>
        <v>C01B</v>
      </c>
    </row>
    <row r="404" spans="1:2" ht="12.5" x14ac:dyDescent="0.25">
      <c r="A404" t="str">
        <f ca="1">IFERROR(__xludf.DUMMYFUNCTION("""COMPUTED_VALUE"""),"Cereals straw")</f>
        <v>Cereals straw</v>
      </c>
      <c r="B404" t="str">
        <f ca="1">IFERROR(__xludf.DUMMYFUNCTION("""COMPUTED_VALUE"""),"F06.06")</f>
        <v>F06.06</v>
      </c>
    </row>
    <row r="405" spans="1:2" ht="12.5" x14ac:dyDescent="0.25">
      <c r="A405" t="str">
        <f ca="1">IFERROR(__xludf.DUMMYFUNCTION("""COMPUTED_VALUE"""),"Cereals straw")</f>
        <v>Cereals straw</v>
      </c>
      <c r="B405" t="str">
        <f ca="1">IFERROR(__xludf.DUMMYFUNCTION("""COMPUTED_VALUE"""),"G.6.3")</f>
        <v>G.6.3</v>
      </c>
    </row>
    <row r="406" spans="1:2" ht="12.5" x14ac:dyDescent="0.25">
      <c r="A406" t="str">
        <f ca="1">IFERROR(__xludf.DUMMYFUNCTION("""COMPUTED_VALUE"""),"Cereals straw, treated")</f>
        <v>Cereals straw, treated</v>
      </c>
      <c r="B406" t="str">
        <f ca="1">IFERROR(__xludf.DUMMYFUNCTION("""COMPUTED_VALUE"""),"F06.07")</f>
        <v>F06.07</v>
      </c>
    </row>
    <row r="407" spans="1:2" ht="12.5" x14ac:dyDescent="0.25">
      <c r="A407" t="str">
        <f ca="1">IFERROR(__xludf.DUMMYFUNCTION("""COMPUTED_VALUE"""),"Cereals with an added high protein food which are or have to be reconstituted with water or other protein-free liquid")</f>
        <v>Cereals with an added high protein food which are or have to be reconstituted with water or other protein-free liquid</v>
      </c>
      <c r="B407" t="str">
        <f ca="1">IFERROR(__xludf.DUMMYFUNCTION("""COMPUTED_VALUE"""),"A.01.001730")</f>
        <v>A.01.001730</v>
      </c>
    </row>
    <row r="408" spans="1:2" ht="12.5" x14ac:dyDescent="0.25">
      <c r="A408" t="str">
        <f ca="1">IFERROR(__xludf.DUMMYFUNCTION("""COMPUTED_VALUE"""),"Chamois meat (Rupicapra rupicapra)")</f>
        <v>Chamois meat (Rupicapra rupicapra)</v>
      </c>
      <c r="B408" t="str">
        <f ca="1">IFERROR(__xludf.DUMMYFUNCTION("""COMPUTED_VALUE"""),"A.01.000749")</f>
        <v>A.01.000749</v>
      </c>
    </row>
    <row r="409" spans="1:2" ht="12.5" x14ac:dyDescent="0.25">
      <c r="A409" t="str">
        <f ca="1">IFERROR(__xludf.DUMMYFUNCTION("""COMPUTED_VALUE"""),"Chapatti flour")</f>
        <v>Chapatti flour</v>
      </c>
      <c r="B409" t="str">
        <f ca="1">IFERROR(__xludf.DUMMYFUNCTION("""COMPUTED_VALUE"""),"A.01.000093")</f>
        <v>A.01.000093</v>
      </c>
    </row>
    <row r="410" spans="1:2" ht="12.5" x14ac:dyDescent="0.25">
      <c r="A410" t="str">
        <f ca="1">IFERROR(__xludf.DUMMYFUNCTION("""COMPUTED_VALUE"""),"Char (Salvelinus)")</f>
        <v>Char (Salvelinus)</v>
      </c>
      <c r="B410" t="str">
        <f ca="1">IFERROR(__xludf.DUMMYFUNCTION("""COMPUTED_VALUE"""),"A.01.000884")</f>
        <v>A.01.000884</v>
      </c>
    </row>
    <row r="411" spans="1:2" ht="12.5" x14ac:dyDescent="0.25">
      <c r="A411" t="str">
        <f ca="1">IFERROR(__xludf.DUMMYFUNCTION("""COMPUTED_VALUE"""),"Chayote (Sechium edule)")</f>
        <v>Chayote (Sechium edule)</v>
      </c>
      <c r="B411" t="str">
        <f ca="1">IFERROR(__xludf.DUMMYFUNCTION("""COMPUTED_VALUE"""),"A.01.000641")</f>
        <v>A.01.000641</v>
      </c>
    </row>
    <row r="412" spans="1:2" ht="12.5" x14ac:dyDescent="0.25">
      <c r="A412" t="str">
        <f ca="1">IFERROR(__xludf.DUMMYFUNCTION("""COMPUTED_VALUE"""),"Cheese")</f>
        <v>Cheese</v>
      </c>
      <c r="B412" t="str">
        <f ca="1">IFERROR(__xludf.DUMMYFUNCTION("""COMPUTED_VALUE"""),"C13C_2")</f>
        <v>C13C_2</v>
      </c>
    </row>
    <row r="413" spans="1:2" ht="12.5" x14ac:dyDescent="0.25">
      <c r="A413" t="str">
        <f ca="1">IFERROR(__xludf.DUMMYFUNCTION("""COMPUTED_VALUE"""),"Cheese")</f>
        <v>Cheese</v>
      </c>
      <c r="B413" t="str">
        <f ca="1">IFERROR(__xludf.DUMMYFUNCTION("""COMPUTED_VALUE"""),"A.01.001053")</f>
        <v>A.01.001053</v>
      </c>
    </row>
    <row r="414" spans="1:2" ht="12.5" x14ac:dyDescent="0.25">
      <c r="A414" t="str">
        <f ca="1">IFERROR(__xludf.DUMMYFUNCTION("""COMPUTED_VALUE"""),"Cheese and cheese products")</f>
        <v>Cheese and cheese products</v>
      </c>
      <c r="B414" t="str">
        <f ca="1">IFERROR(__xludf.DUMMYFUNCTION("""COMPUTED_VALUE"""),"G.8.5")</f>
        <v>G.8.5</v>
      </c>
    </row>
    <row r="415" spans="1:2" ht="12.5" x14ac:dyDescent="0.25">
      <c r="A415" t="str">
        <f ca="1">IFERROR(__xludf.DUMMYFUNCTION("""COMPUTED_VALUE"""),"Cheese and substitutes")</f>
        <v>Cheese and substitutes</v>
      </c>
      <c r="B415" t="str">
        <f ca="1">IFERROR(__xludf.DUMMYFUNCTION("""COMPUTED_VALUE"""),"C13C")</f>
        <v>C13C</v>
      </c>
    </row>
    <row r="416" spans="1:2" ht="12.5" x14ac:dyDescent="0.25">
      <c r="A416" t="str">
        <f ca="1">IFERROR(__xludf.DUMMYFUNCTION("""COMPUTED_VALUE"""),"Cheese cream cake")</f>
        <v>Cheese cream cake</v>
      </c>
      <c r="B416" t="str">
        <f ca="1">IFERROR(__xludf.DUMMYFUNCTION("""COMPUTED_VALUE"""),"A.01.000257")</f>
        <v>A.01.000257</v>
      </c>
    </row>
    <row r="417" spans="1:2" ht="12.5" x14ac:dyDescent="0.25">
      <c r="A417" t="str">
        <f ca="1">IFERROR(__xludf.DUMMYFUNCTION("""COMPUTED_VALUE"""),"Cheese cream sponge cake")</f>
        <v>Cheese cream sponge cake</v>
      </c>
      <c r="B417" t="str">
        <f ca="1">IFERROR(__xludf.DUMMYFUNCTION("""COMPUTED_VALUE"""),"A.01.000258")</f>
        <v>A.01.000258</v>
      </c>
    </row>
    <row r="418" spans="1:2" ht="12.5" x14ac:dyDescent="0.25">
      <c r="A418" t="str">
        <f ca="1">IFERROR(__xludf.DUMMYFUNCTION("""COMPUTED_VALUE"""),"Cheese pastry goods from puff pastry")</f>
        <v>Cheese pastry goods from puff pastry</v>
      </c>
      <c r="B418" t="str">
        <f ca="1">IFERROR(__xludf.DUMMYFUNCTION("""COMPUTED_VALUE"""),"A.01.000293")</f>
        <v>A.01.000293</v>
      </c>
    </row>
    <row r="419" spans="1:2" ht="12.5" x14ac:dyDescent="0.25">
      <c r="A419" t="str">
        <f ca="1">IFERROR(__xludf.DUMMYFUNCTION("""COMPUTED_VALUE"""),"Cheese pie")</f>
        <v>Cheese pie</v>
      </c>
      <c r="B419" t="str">
        <f ca="1">IFERROR(__xludf.DUMMYFUNCTION("""COMPUTED_VALUE"""),"A.01.000275")</f>
        <v>A.01.000275</v>
      </c>
    </row>
    <row r="420" spans="1:2" ht="12.5" x14ac:dyDescent="0.25">
      <c r="A420" t="str">
        <f ca="1">IFERROR(__xludf.DUMMYFUNCTION("""COMPUTED_VALUE"""),"Cheese preparations for infants and young children")</f>
        <v>Cheese preparations for infants and young children</v>
      </c>
      <c r="B420" t="str">
        <f ca="1">IFERROR(__xludf.DUMMYFUNCTION("""COMPUTED_VALUE"""),"A.01.001741")</f>
        <v>A.01.001741</v>
      </c>
    </row>
    <row r="421" spans="1:2" ht="12.5" x14ac:dyDescent="0.25">
      <c r="A421" t="str">
        <f ca="1">IFERROR(__xludf.DUMMYFUNCTION("""COMPUTED_VALUE"""),"Cheese puffs")</f>
        <v>Cheese puffs</v>
      </c>
      <c r="B421" t="str">
        <f ca="1">IFERROR(__xludf.DUMMYFUNCTION("""COMPUTED_VALUE"""),"A.01.001887")</f>
        <v>A.01.001887</v>
      </c>
    </row>
    <row r="422" spans="1:2" ht="12.5" x14ac:dyDescent="0.25">
      <c r="A422" t="str">
        <f ca="1">IFERROR(__xludf.DUMMYFUNCTION("""COMPUTED_VALUE"""),"Cheese substitutes")</f>
        <v>Cheese substitutes</v>
      </c>
      <c r="B422" t="str">
        <f ca="1">IFERROR(__xludf.DUMMYFUNCTION("""COMPUTED_VALUE"""),"C13C_1")</f>
        <v>C13C_1</v>
      </c>
    </row>
    <row r="423" spans="1:2" ht="12.5" x14ac:dyDescent="0.25">
      <c r="A423" t="str">
        <f ca="1">IFERROR(__xludf.DUMMYFUNCTION("""COMPUTED_VALUE"""),"Cheese, Abondance")</f>
        <v>Cheese, Abondance</v>
      </c>
      <c r="B423" t="str">
        <f ca="1">IFERROR(__xludf.DUMMYFUNCTION("""COMPUTED_VALUE"""),"A.01.001065")</f>
        <v>A.01.001065</v>
      </c>
    </row>
    <row r="424" spans="1:2" ht="12.5" x14ac:dyDescent="0.25">
      <c r="A424" t="str">
        <f ca="1">IFERROR(__xludf.DUMMYFUNCTION("""COMPUTED_VALUE"""),"Cheese, Afuega'l Pitu")</f>
        <v>Cheese, Afuega'l Pitu</v>
      </c>
      <c r="B424" t="str">
        <f ca="1">IFERROR(__xludf.DUMMYFUNCTION("""COMPUTED_VALUE"""),"A.01.001066")</f>
        <v>A.01.001066</v>
      </c>
    </row>
    <row r="425" spans="1:2" ht="12.5" x14ac:dyDescent="0.25">
      <c r="A425" t="str">
        <f ca="1">IFERROR(__xludf.DUMMYFUNCTION("""COMPUTED_VALUE"""),"Cheese, Amarelo")</f>
        <v>Cheese, Amarelo</v>
      </c>
      <c r="B425" t="str">
        <f ca="1">IFERROR(__xludf.DUMMYFUNCTION("""COMPUTED_VALUE"""),"A.01.001067")</f>
        <v>A.01.001067</v>
      </c>
    </row>
    <row r="426" spans="1:2" ht="12.5" x14ac:dyDescent="0.25">
      <c r="A426" t="str">
        <f ca="1">IFERROR(__xludf.DUMMYFUNCTION("""COMPUTED_VALUE"""),"Cheese, Appenzeller")</f>
        <v>Cheese, Appenzeller</v>
      </c>
      <c r="B426" t="str">
        <f ca="1">IFERROR(__xludf.DUMMYFUNCTION("""COMPUTED_VALUE"""),"A.01.001068")</f>
        <v>A.01.001068</v>
      </c>
    </row>
    <row r="427" spans="1:2" ht="12.5" x14ac:dyDescent="0.25">
      <c r="A427" t="str">
        <f ca="1">IFERROR(__xludf.DUMMYFUNCTION("""COMPUTED_VALUE"""),"Cheese, Ardrahan")</f>
        <v>Cheese, Ardrahan</v>
      </c>
      <c r="B427" t="str">
        <f ca="1">IFERROR(__xludf.DUMMYFUNCTION("""COMPUTED_VALUE"""),"A.01.001069")</f>
        <v>A.01.001069</v>
      </c>
    </row>
    <row r="428" spans="1:2" ht="12.5" x14ac:dyDescent="0.25">
      <c r="A428" t="str">
        <f ca="1">IFERROR(__xludf.DUMMYFUNCTION("""COMPUTED_VALUE"""),"Cheese, Arzua Ulloa")</f>
        <v>Cheese, Arzua Ulloa</v>
      </c>
      <c r="B428" t="str">
        <f ca="1">IFERROR(__xludf.DUMMYFUNCTION("""COMPUTED_VALUE"""),"A.01.001070")</f>
        <v>A.01.001070</v>
      </c>
    </row>
    <row r="429" spans="1:2" ht="12.5" x14ac:dyDescent="0.25">
      <c r="A429" t="str">
        <f ca="1">IFERROR(__xludf.DUMMYFUNCTION("""COMPUTED_VALUE"""),"Cheese, Asiago")</f>
        <v>Cheese, Asiago</v>
      </c>
      <c r="B429" t="str">
        <f ca="1">IFERROR(__xludf.DUMMYFUNCTION("""COMPUTED_VALUE"""),"A.01.001071")</f>
        <v>A.01.001071</v>
      </c>
    </row>
    <row r="430" spans="1:2" ht="12.5" x14ac:dyDescent="0.25">
      <c r="A430" t="str">
        <f ca="1">IFERROR(__xludf.DUMMYFUNCTION("""COMPUTED_VALUE"""),"Cheese, Baita Friuli")</f>
        <v>Cheese, Baita Friuli</v>
      </c>
      <c r="B430" t="str">
        <f ca="1">IFERROR(__xludf.DUMMYFUNCTION("""COMPUTED_VALUE"""),"A.01.001072")</f>
        <v>A.01.001072</v>
      </c>
    </row>
    <row r="431" spans="1:2" ht="12.5" x14ac:dyDescent="0.25">
      <c r="A431" t="str">
        <f ca="1">IFERROR(__xludf.DUMMYFUNCTION("""COMPUTED_VALUE"""),"Cheese, Banon")</f>
        <v>Cheese, Banon</v>
      </c>
      <c r="B431" t="str">
        <f ca="1">IFERROR(__xludf.DUMMYFUNCTION("""COMPUTED_VALUE"""),"A.01.001073")</f>
        <v>A.01.001073</v>
      </c>
    </row>
    <row r="432" spans="1:2" ht="12.5" x14ac:dyDescent="0.25">
      <c r="A432" t="str">
        <f ca="1">IFERROR(__xludf.DUMMYFUNCTION("""COMPUTED_VALUE"""),"Cheese, Bavarian Blue")</f>
        <v>Cheese, Bavarian Blue</v>
      </c>
      <c r="B432" t="str">
        <f ca="1">IFERROR(__xludf.DUMMYFUNCTION("""COMPUTED_VALUE"""),"A.01.001074")</f>
        <v>A.01.001074</v>
      </c>
    </row>
    <row r="433" spans="1:2" ht="12.5" x14ac:dyDescent="0.25">
      <c r="A433" t="str">
        <f ca="1">IFERROR(__xludf.DUMMYFUNCTION("""COMPUTED_VALUE"""),"Cheese, Beaufort")</f>
        <v>Cheese, Beaufort</v>
      </c>
      <c r="B433" t="str">
        <f ca="1">IFERROR(__xludf.DUMMYFUNCTION("""COMPUTED_VALUE"""),"A.01.001075")</f>
        <v>A.01.001075</v>
      </c>
    </row>
    <row r="434" spans="1:2" ht="12.5" x14ac:dyDescent="0.25">
      <c r="A434" t="str">
        <f ca="1">IFERROR(__xludf.DUMMYFUNCTION("""COMPUTED_VALUE"""),"Cheese, Bica")</f>
        <v>Cheese, Bica</v>
      </c>
      <c r="B434" t="str">
        <f ca="1">IFERROR(__xludf.DUMMYFUNCTION("""COMPUTED_VALUE"""),"A.01.001076")</f>
        <v>A.01.001076</v>
      </c>
    </row>
    <row r="435" spans="1:2" ht="12.5" x14ac:dyDescent="0.25">
      <c r="A435" t="str">
        <f ca="1">IFERROR(__xludf.DUMMYFUNCTION("""COMPUTED_VALUE"""),"Cheese, Bitto della Valtellina")</f>
        <v>Cheese, Bitto della Valtellina</v>
      </c>
      <c r="B435" t="str">
        <f ca="1">IFERROR(__xludf.DUMMYFUNCTION("""COMPUTED_VALUE"""),"A.01.001077")</f>
        <v>A.01.001077</v>
      </c>
    </row>
    <row r="436" spans="1:2" ht="12.5" x14ac:dyDescent="0.25">
      <c r="A436" t="str">
        <f ca="1">IFERROR(__xludf.DUMMYFUNCTION("""COMPUTED_VALUE"""),"Cheese, Bleu d'Auvergne")</f>
        <v>Cheese, Bleu d'Auvergne</v>
      </c>
      <c r="B436" t="str">
        <f ca="1">IFERROR(__xludf.DUMMYFUNCTION("""COMPUTED_VALUE"""),"A.01.001078")</f>
        <v>A.01.001078</v>
      </c>
    </row>
    <row r="437" spans="1:2" ht="12.5" x14ac:dyDescent="0.25">
      <c r="A437" t="str">
        <f ca="1">IFERROR(__xludf.DUMMYFUNCTION("""COMPUTED_VALUE"""),"Cheese, Bleu de Gex")</f>
        <v>Cheese, Bleu de Gex</v>
      </c>
      <c r="B437" t="str">
        <f ca="1">IFERROR(__xludf.DUMMYFUNCTION("""COMPUTED_VALUE"""),"A.01.001079")</f>
        <v>A.01.001079</v>
      </c>
    </row>
    <row r="438" spans="1:2" ht="12.5" x14ac:dyDescent="0.25">
      <c r="A438" t="str">
        <f ca="1">IFERROR(__xludf.DUMMYFUNCTION("""COMPUTED_VALUE"""),"Cheese, Blue Castello")</f>
        <v>Cheese, Blue Castello</v>
      </c>
      <c r="B438" t="str">
        <f ca="1">IFERROR(__xludf.DUMMYFUNCTION("""COMPUTED_VALUE"""),"A.01.001080")</f>
        <v>A.01.001080</v>
      </c>
    </row>
    <row r="439" spans="1:2" ht="12.5" x14ac:dyDescent="0.25">
      <c r="A439" t="str">
        <f ca="1">IFERROR(__xludf.DUMMYFUNCTION("""COMPUTED_VALUE"""),"Cheese, Blue de Graven")</f>
        <v>Cheese, Blue de Graven</v>
      </c>
      <c r="B439" t="str">
        <f ca="1">IFERROR(__xludf.DUMMYFUNCTION("""COMPUTED_VALUE"""),"A.01.001081")</f>
        <v>A.01.001081</v>
      </c>
    </row>
    <row r="440" spans="1:2" ht="12.5" x14ac:dyDescent="0.25">
      <c r="A440" t="str">
        <f ca="1">IFERROR(__xludf.DUMMYFUNCTION("""COMPUTED_VALUE"""),"Cheese, Boilie")</f>
        <v>Cheese, Boilie</v>
      </c>
      <c r="B440" t="str">
        <f ca="1">IFERROR(__xludf.DUMMYFUNCTION("""COMPUTED_VALUE"""),"A.01.001082")</f>
        <v>A.01.001082</v>
      </c>
    </row>
    <row r="441" spans="1:2" ht="12.5" x14ac:dyDescent="0.25">
      <c r="A441" t="str">
        <f ca="1">IFERROR(__xludf.DUMMYFUNCTION("""COMPUTED_VALUE"""),"Cheese, Boursin")</f>
        <v>Cheese, Boursin</v>
      </c>
      <c r="B441" t="str">
        <f ca="1">IFERROR(__xludf.DUMMYFUNCTION("""COMPUTED_VALUE"""),"A.01.001083")</f>
        <v>A.01.001083</v>
      </c>
    </row>
    <row r="442" spans="1:2" ht="12.5" x14ac:dyDescent="0.25">
      <c r="A442" t="str">
        <f ca="1">IFERROR(__xludf.DUMMYFUNCTION("""COMPUTED_VALUE"""),"Cheese, Bra")</f>
        <v>Cheese, Bra</v>
      </c>
      <c r="B442" t="str">
        <f ca="1">IFERROR(__xludf.DUMMYFUNCTION("""COMPUTED_VALUE"""),"A.01.001084")</f>
        <v>A.01.001084</v>
      </c>
    </row>
    <row r="443" spans="1:2" ht="12.5" x14ac:dyDescent="0.25">
      <c r="A443" t="str">
        <f ca="1">IFERROR(__xludf.DUMMYFUNCTION("""COMPUTED_VALUE"""),"Cheese, Brie")</f>
        <v>Cheese, Brie</v>
      </c>
      <c r="B443" t="str">
        <f ca="1">IFERROR(__xludf.DUMMYFUNCTION("""COMPUTED_VALUE"""),"A.01.001085")</f>
        <v>A.01.001085</v>
      </c>
    </row>
    <row r="444" spans="1:2" ht="12.5" x14ac:dyDescent="0.25">
      <c r="A444" t="str">
        <f ca="1">IFERROR(__xludf.DUMMYFUNCTION("""COMPUTED_VALUE"""),"Cheese, Buche de Chevre")</f>
        <v>Cheese, Buche de Chevre</v>
      </c>
      <c r="B444" t="str">
        <f ca="1">IFERROR(__xludf.DUMMYFUNCTION("""COMPUTED_VALUE"""),"A.01.001086")</f>
        <v>A.01.001086</v>
      </c>
    </row>
    <row r="445" spans="1:2" ht="12.5" x14ac:dyDescent="0.25">
      <c r="A445" t="str">
        <f ca="1">IFERROR(__xludf.DUMMYFUNCTION("""COMPUTED_VALUE"""),"Cheese, Bundnerkase")</f>
        <v>Cheese, Bundnerkase</v>
      </c>
      <c r="B445" t="str">
        <f ca="1">IFERROR(__xludf.DUMMYFUNCTION("""COMPUTED_VALUE"""),"A.01.001087")</f>
        <v>A.01.001087</v>
      </c>
    </row>
    <row r="446" spans="1:2" ht="12.5" x14ac:dyDescent="0.25">
      <c r="A446" t="str">
        <f ca="1">IFERROR(__xludf.DUMMYFUNCTION("""COMPUTED_VALUE"""),"Cheese, Burrata")</f>
        <v>Cheese, Burrata</v>
      </c>
      <c r="B446" t="str">
        <f ca="1">IFERROR(__xludf.DUMMYFUNCTION("""COMPUTED_VALUE"""),"A.01.001088")</f>
        <v>A.01.001088</v>
      </c>
    </row>
    <row r="447" spans="1:2" ht="12.5" x14ac:dyDescent="0.25">
      <c r="A447" t="str">
        <f ca="1">IFERROR(__xludf.DUMMYFUNCTION("""COMPUTED_VALUE"""),"Cheese, Butterkase")</f>
        <v>Cheese, Butterkase</v>
      </c>
      <c r="B447" t="str">
        <f ca="1">IFERROR(__xludf.DUMMYFUNCTION("""COMPUTED_VALUE"""),"A.01.001089")</f>
        <v>A.01.001089</v>
      </c>
    </row>
    <row r="448" spans="1:2" ht="12.5" x14ac:dyDescent="0.25">
      <c r="A448" t="str">
        <f ca="1">IFERROR(__xludf.DUMMYFUNCTION("""COMPUTED_VALUE"""),"Cheese, Cabrales")</f>
        <v>Cheese, Cabrales</v>
      </c>
      <c r="B448" t="str">
        <f ca="1">IFERROR(__xludf.DUMMYFUNCTION("""COMPUTED_VALUE"""),"A.01.001090")</f>
        <v>A.01.001090</v>
      </c>
    </row>
    <row r="449" spans="1:2" ht="12.5" x14ac:dyDescent="0.25">
      <c r="A449" t="str">
        <f ca="1">IFERROR(__xludf.DUMMYFUNCTION("""COMPUTED_VALUE"""),"Cheese, Cacio di Fossa")</f>
        <v>Cheese, Cacio di Fossa</v>
      </c>
      <c r="B449" t="str">
        <f ca="1">IFERROR(__xludf.DUMMYFUNCTION("""COMPUTED_VALUE"""),"A.01.001091")</f>
        <v>A.01.001091</v>
      </c>
    </row>
    <row r="450" spans="1:2" ht="12.5" x14ac:dyDescent="0.25">
      <c r="A450" t="str">
        <f ca="1">IFERROR(__xludf.DUMMYFUNCTION("""COMPUTED_VALUE"""),"Cheese, Caciocavallo")</f>
        <v>Cheese, Caciocavallo</v>
      </c>
      <c r="B450" t="str">
        <f ca="1">IFERROR(__xludf.DUMMYFUNCTION("""COMPUTED_VALUE"""),"A.01.001092")</f>
        <v>A.01.001092</v>
      </c>
    </row>
    <row r="451" spans="1:2" ht="12.5" x14ac:dyDescent="0.25">
      <c r="A451" t="str">
        <f ca="1">IFERROR(__xludf.DUMMYFUNCTION("""COMPUTED_VALUE"""),"Cheese, Caerphilly")</f>
        <v>Cheese, Caerphilly</v>
      </c>
      <c r="B451" t="str">
        <f ca="1">IFERROR(__xludf.DUMMYFUNCTION("""COMPUTED_VALUE"""),"A.01.001093")</f>
        <v>A.01.001093</v>
      </c>
    </row>
    <row r="452" spans="1:2" ht="12.5" x14ac:dyDescent="0.25">
      <c r="A452" t="str">
        <f ca="1">IFERROR(__xludf.DUMMYFUNCTION("""COMPUTED_VALUE"""),"Cheese, Camembert")</f>
        <v>Cheese, Camembert</v>
      </c>
      <c r="B452" t="str">
        <f ca="1">IFERROR(__xludf.DUMMYFUNCTION("""COMPUTED_VALUE"""),"A.01.001094")</f>
        <v>A.01.001094</v>
      </c>
    </row>
    <row r="453" spans="1:2" ht="12.5" x14ac:dyDescent="0.25">
      <c r="A453" t="str">
        <f ca="1">IFERROR(__xludf.DUMMYFUNCTION("""COMPUTED_VALUE"""),"Cheese, Canestrato Pugliese")</f>
        <v>Cheese, Canestrato Pugliese</v>
      </c>
      <c r="B453" t="str">
        <f ca="1">IFERROR(__xludf.DUMMYFUNCTION("""COMPUTED_VALUE"""),"A.01.001095")</f>
        <v>A.01.001095</v>
      </c>
    </row>
    <row r="454" spans="1:2" ht="12.5" x14ac:dyDescent="0.25">
      <c r="A454" t="str">
        <f ca="1">IFERROR(__xludf.DUMMYFUNCTION("""COMPUTED_VALUE"""),"Cheese, Cantal")</f>
        <v>Cheese, Cantal</v>
      </c>
      <c r="B454" t="str">
        <f ca="1">IFERROR(__xludf.DUMMYFUNCTION("""COMPUTED_VALUE"""),"A.01.001096")</f>
        <v>A.01.001096</v>
      </c>
    </row>
    <row r="455" spans="1:2" ht="12.5" x14ac:dyDescent="0.25">
      <c r="A455" t="str">
        <f ca="1">IFERROR(__xludf.DUMMYFUNCTION("""COMPUTED_VALUE"""),"Cheese, Capra")</f>
        <v>Cheese, Capra</v>
      </c>
      <c r="B455" t="str">
        <f ca="1">IFERROR(__xludf.DUMMYFUNCTION("""COMPUTED_VALUE"""),"A.01.001097")</f>
        <v>A.01.001097</v>
      </c>
    </row>
    <row r="456" spans="1:2" ht="12.5" x14ac:dyDescent="0.25">
      <c r="A456" t="str">
        <f ca="1">IFERROR(__xludf.DUMMYFUNCTION("""COMPUTED_VALUE"""),"Cheese, Carrigaline")</f>
        <v>Cheese, Carrigaline</v>
      </c>
      <c r="B456" t="str">
        <f ca="1">IFERROR(__xludf.DUMMYFUNCTION("""COMPUTED_VALUE"""),"A.01.001098")</f>
        <v>A.01.001098</v>
      </c>
    </row>
    <row r="457" spans="1:2" ht="12.5" x14ac:dyDescent="0.25">
      <c r="A457" t="str">
        <f ca="1">IFERROR(__xludf.DUMMYFUNCTION("""COMPUTED_VALUE"""),"Cheese, Cashel Blue")</f>
        <v>Cheese, Cashel Blue</v>
      </c>
      <c r="B457" t="str">
        <f ca="1">IFERROR(__xludf.DUMMYFUNCTION("""COMPUTED_VALUE"""),"A.01.001099")</f>
        <v>A.01.001099</v>
      </c>
    </row>
    <row r="458" spans="1:2" ht="12.5" x14ac:dyDescent="0.25">
      <c r="A458" t="str">
        <f ca="1">IFERROR(__xludf.DUMMYFUNCTION("""COMPUTED_VALUE"""),"Cheese, Castelmagno")</f>
        <v>Cheese, Castelmagno</v>
      </c>
      <c r="B458" t="str">
        <f ca="1">IFERROR(__xludf.DUMMYFUNCTION("""COMPUTED_VALUE"""),"A.01.001100")</f>
        <v>A.01.001100</v>
      </c>
    </row>
    <row r="459" spans="1:2" ht="12.5" x14ac:dyDescent="0.25">
      <c r="A459" t="str">
        <f ca="1">IFERROR(__xludf.DUMMYFUNCTION("""COMPUTED_VALUE"""),"Cheese, Chaource")</f>
        <v>Cheese, Chaource</v>
      </c>
      <c r="B459" t="str">
        <f ca="1">IFERROR(__xludf.DUMMYFUNCTION("""COMPUTED_VALUE"""),"A.01.001101")</f>
        <v>A.01.001101</v>
      </c>
    </row>
    <row r="460" spans="1:2" ht="12.5" x14ac:dyDescent="0.25">
      <c r="A460" t="str">
        <f ca="1">IFERROR(__xludf.DUMMYFUNCTION("""COMPUTED_VALUE"""),"Cheese, Cheddar")</f>
        <v>Cheese, Cheddar</v>
      </c>
      <c r="B460" t="str">
        <f ca="1">IFERROR(__xludf.DUMMYFUNCTION("""COMPUTED_VALUE"""),"A.01.001102")</f>
        <v>A.01.001102</v>
      </c>
    </row>
    <row r="461" spans="1:2" ht="12.5" x14ac:dyDescent="0.25">
      <c r="A461" t="str">
        <f ca="1">IFERROR(__xludf.DUMMYFUNCTION("""COMPUTED_VALUE"""),"Cheese, Cheshire")</f>
        <v>Cheese, Cheshire</v>
      </c>
      <c r="B461" t="str">
        <f ca="1">IFERROR(__xludf.DUMMYFUNCTION("""COMPUTED_VALUE"""),"A.01.001103")</f>
        <v>A.01.001103</v>
      </c>
    </row>
    <row r="462" spans="1:2" ht="12.5" x14ac:dyDescent="0.25">
      <c r="A462" t="str">
        <f ca="1">IFERROR(__xludf.DUMMYFUNCTION("""COMPUTED_VALUE"""),"Cheese, Chevres")</f>
        <v>Cheese, Chevres</v>
      </c>
      <c r="B462" t="str">
        <f ca="1">IFERROR(__xludf.DUMMYFUNCTION("""COMPUTED_VALUE"""),"A.01.001104")</f>
        <v>A.01.001104</v>
      </c>
    </row>
    <row r="463" spans="1:2" ht="12.5" x14ac:dyDescent="0.25">
      <c r="A463" t="str">
        <f ca="1">IFERROR(__xludf.DUMMYFUNCTION("""COMPUTED_VALUE"""),"Cheese, Chimay")</f>
        <v>Cheese, Chimay</v>
      </c>
      <c r="B463" t="str">
        <f ca="1">IFERROR(__xludf.DUMMYFUNCTION("""COMPUTED_VALUE"""),"A.01.001105")</f>
        <v>A.01.001105</v>
      </c>
    </row>
    <row r="464" spans="1:2" ht="12.5" x14ac:dyDescent="0.25">
      <c r="A464" t="str">
        <f ca="1">IFERROR(__xludf.DUMMYFUNCTION("""COMPUTED_VALUE"""),"Cheese, Clotted Cream")</f>
        <v>Cheese, Clotted Cream</v>
      </c>
      <c r="B464" t="str">
        <f ca="1">IFERROR(__xludf.DUMMYFUNCTION("""COMPUTED_VALUE"""),"A.01.001106")</f>
        <v>A.01.001106</v>
      </c>
    </row>
    <row r="465" spans="1:2" ht="12.5" x14ac:dyDescent="0.25">
      <c r="A465" t="str">
        <f ca="1">IFERROR(__xludf.DUMMYFUNCTION("""COMPUTED_VALUE"""),"Cheese, Comte")</f>
        <v>Cheese, Comte</v>
      </c>
      <c r="B465" t="str">
        <f ca="1">IFERROR(__xludf.DUMMYFUNCTION("""COMPUTED_VALUE"""),"A.01.001107")</f>
        <v>A.01.001107</v>
      </c>
    </row>
    <row r="466" spans="1:2" ht="12.5" x14ac:dyDescent="0.25">
      <c r="A466" t="str">
        <f ca="1">IFERROR(__xludf.DUMMYFUNCTION("""COMPUTED_VALUE"""),"Cheese, Coolea")</f>
        <v>Cheese, Coolea</v>
      </c>
      <c r="B466" t="str">
        <f ca="1">IFERROR(__xludf.DUMMYFUNCTION("""COMPUTED_VALUE"""),"A.01.001108")</f>
        <v>A.01.001108</v>
      </c>
    </row>
    <row r="467" spans="1:2" ht="12.5" x14ac:dyDescent="0.25">
      <c r="A467" t="str">
        <f ca="1">IFERROR(__xludf.DUMMYFUNCTION("""COMPUTED_VALUE"""),"Cheese, Cornish Yarg")</f>
        <v>Cheese, Cornish Yarg</v>
      </c>
      <c r="B467" t="str">
        <f ca="1">IFERROR(__xludf.DUMMYFUNCTION("""COMPUTED_VALUE"""),"A.01.001109")</f>
        <v>A.01.001109</v>
      </c>
    </row>
    <row r="468" spans="1:2" ht="12.5" x14ac:dyDescent="0.25">
      <c r="A468" t="str">
        <f ca="1">IFERROR(__xludf.DUMMYFUNCTION("""COMPUTED_VALUE"""),"Cheese, Coulommiers")</f>
        <v>Cheese, Coulommiers</v>
      </c>
      <c r="B468" t="str">
        <f ca="1">IFERROR(__xludf.DUMMYFUNCTION("""COMPUTED_VALUE"""),"A.01.001110")</f>
        <v>A.01.001110</v>
      </c>
    </row>
    <row r="469" spans="1:2" ht="12.5" x14ac:dyDescent="0.25">
      <c r="A469" t="str">
        <f ca="1">IFERROR(__xludf.DUMMYFUNCTION("""COMPUTED_VALUE"""),"Cheese, Cream Havarti")</f>
        <v>Cheese, Cream Havarti</v>
      </c>
      <c r="B469" t="str">
        <f ca="1">IFERROR(__xludf.DUMMYFUNCTION("""COMPUTED_VALUE"""),"A.01.001111")</f>
        <v>A.01.001111</v>
      </c>
    </row>
    <row r="470" spans="1:2" ht="12.5" x14ac:dyDescent="0.25">
      <c r="A470" t="str">
        <f ca="1">IFERROR(__xludf.DUMMYFUNCTION("""COMPUTED_VALUE"""),"Cheese, Danbo")</f>
        <v>Cheese, Danbo</v>
      </c>
      <c r="B470" t="str">
        <f ca="1">IFERROR(__xludf.DUMMYFUNCTION("""COMPUTED_VALUE"""),"A.01.001112")</f>
        <v>A.01.001112</v>
      </c>
    </row>
    <row r="471" spans="1:2" ht="12.5" x14ac:dyDescent="0.25">
      <c r="A471" t="str">
        <f ca="1">IFERROR(__xludf.DUMMYFUNCTION("""COMPUTED_VALUE"""),"Cheese, Derby")</f>
        <v>Cheese, Derby</v>
      </c>
      <c r="B471" t="str">
        <f ca="1">IFERROR(__xludf.DUMMYFUNCTION("""COMPUTED_VALUE"""),"A.01.001113")</f>
        <v>A.01.001113</v>
      </c>
    </row>
    <row r="472" spans="1:2" ht="12.5" x14ac:dyDescent="0.25">
      <c r="A472" t="str">
        <f ca="1">IFERROR(__xludf.DUMMYFUNCTION("""COMPUTED_VALUE"""),"Cheese, Double Gloucester")</f>
        <v>Cheese, Double Gloucester</v>
      </c>
      <c r="B472" t="str">
        <f ca="1">IFERROR(__xludf.DUMMYFUNCTION("""COMPUTED_VALUE"""),"A.01.001114")</f>
        <v>A.01.001114</v>
      </c>
    </row>
    <row r="473" spans="1:2" ht="12.5" x14ac:dyDescent="0.25">
      <c r="A473" t="str">
        <f ca="1">IFERROR(__xludf.DUMMYFUNCTION("""COMPUTED_VALUE"""),"Cheese, Doux de Montagne")</f>
        <v>Cheese, Doux de Montagne</v>
      </c>
      <c r="B473" t="str">
        <f ca="1">IFERROR(__xludf.DUMMYFUNCTION("""COMPUTED_VALUE"""),"A.01.001115")</f>
        <v>A.01.001115</v>
      </c>
    </row>
    <row r="474" spans="1:2" ht="12.5" x14ac:dyDescent="0.25">
      <c r="A474" t="str">
        <f ca="1">IFERROR(__xludf.DUMMYFUNCTION("""COMPUTED_VALUE"""),"Cheese, Dunbarra")</f>
        <v>Cheese, Dunbarra</v>
      </c>
      <c r="B474" t="str">
        <f ca="1">IFERROR(__xludf.DUMMYFUNCTION("""COMPUTED_VALUE"""),"A.01.001116")</f>
        <v>A.01.001116</v>
      </c>
    </row>
    <row r="475" spans="1:2" ht="12.5" x14ac:dyDescent="0.25">
      <c r="A475" t="str">
        <f ca="1">IFERROR(__xludf.DUMMYFUNCTION("""COMPUTED_VALUE"""),"Cheese, Edam")</f>
        <v>Cheese, Edam</v>
      </c>
      <c r="B475" t="str">
        <f ca="1">IFERROR(__xludf.DUMMYFUNCTION("""COMPUTED_VALUE"""),"A.01.001117")</f>
        <v>A.01.001117</v>
      </c>
    </row>
    <row r="476" spans="1:2" ht="12.5" x14ac:dyDescent="0.25">
      <c r="A476" t="str">
        <f ca="1">IFERROR(__xludf.DUMMYFUNCTION("""COMPUTED_VALUE"""),"Cheese, Emmental")</f>
        <v>Cheese, Emmental</v>
      </c>
      <c r="B476" t="str">
        <f ca="1">IFERROR(__xludf.DUMMYFUNCTION("""COMPUTED_VALUE"""),"A.01.001118")</f>
        <v>A.01.001118</v>
      </c>
    </row>
    <row r="477" spans="1:2" ht="12.5" x14ac:dyDescent="0.25">
      <c r="A477" t="str">
        <f ca="1">IFERROR(__xludf.DUMMYFUNCTION("""COMPUTED_VALUE"""),"Cheese, Epoisses")</f>
        <v>Cheese, Epoisses</v>
      </c>
      <c r="B477" t="str">
        <f ca="1">IFERROR(__xludf.DUMMYFUNCTION("""COMPUTED_VALUE"""),"A.01.001119")</f>
        <v>A.01.001119</v>
      </c>
    </row>
    <row r="478" spans="1:2" ht="12.5" x14ac:dyDescent="0.25">
      <c r="A478" t="str">
        <f ca="1">IFERROR(__xludf.DUMMYFUNCTION("""COMPUTED_VALUE"""),"Cheese, Esrom")</f>
        <v>Cheese, Esrom</v>
      </c>
      <c r="B478" t="str">
        <f ca="1">IFERROR(__xludf.DUMMYFUNCTION("""COMPUTED_VALUE"""),"A.01.001120")</f>
        <v>A.01.001120</v>
      </c>
    </row>
    <row r="479" spans="1:2" ht="12.5" x14ac:dyDescent="0.25">
      <c r="A479" t="str">
        <f ca="1">IFERROR(__xludf.DUMMYFUNCTION("""COMPUTED_VALUE"""),"Cheese, Evora")</f>
        <v>Cheese, Evora</v>
      </c>
      <c r="B479" t="str">
        <f ca="1">IFERROR(__xludf.DUMMYFUNCTION("""COMPUTED_VALUE"""),"A.01.001121")</f>
        <v>A.01.001121</v>
      </c>
    </row>
    <row r="480" spans="1:2" ht="12.5" x14ac:dyDescent="0.25">
      <c r="A480" t="str">
        <f ca="1">IFERROR(__xludf.DUMMYFUNCTION("""COMPUTED_VALUE"""),"Cheese, Feta")</f>
        <v>Cheese, Feta</v>
      </c>
      <c r="B480" t="str">
        <f ca="1">IFERROR(__xludf.DUMMYFUNCTION("""COMPUTED_VALUE"""),"A.01.001122")</f>
        <v>A.01.001122</v>
      </c>
    </row>
    <row r="481" spans="1:2" ht="12.5" x14ac:dyDescent="0.25">
      <c r="A481" t="str">
        <f ca="1">IFERROR(__xludf.DUMMYFUNCTION("""COMPUTED_VALUE"""),"Cheese, Finlandia Swiss")</f>
        <v>Cheese, Finlandia Swiss</v>
      </c>
      <c r="B481" t="str">
        <f ca="1">IFERROR(__xludf.DUMMYFUNCTION("""COMPUTED_VALUE"""),"A.01.001123")</f>
        <v>A.01.001123</v>
      </c>
    </row>
    <row r="482" spans="1:2" ht="12.5" x14ac:dyDescent="0.25">
      <c r="A482" t="str">
        <f ca="1">IFERROR(__xludf.DUMMYFUNCTION("""COMPUTED_VALUE"""),"Cheese, Fiore Sardo")</f>
        <v>Cheese, Fiore Sardo</v>
      </c>
      <c r="B482" t="str">
        <f ca="1">IFERROR(__xludf.DUMMYFUNCTION("""COMPUTED_VALUE"""),"A.01.001124")</f>
        <v>A.01.001124</v>
      </c>
    </row>
    <row r="483" spans="1:2" ht="12.5" x14ac:dyDescent="0.25">
      <c r="A483" t="str">
        <f ca="1">IFERROR(__xludf.DUMMYFUNCTION("""COMPUTED_VALUE"""),"Cheese, Fleur de Maquis")</f>
        <v>Cheese, Fleur de Maquis</v>
      </c>
      <c r="B483" t="str">
        <f ca="1">IFERROR(__xludf.DUMMYFUNCTION("""COMPUTED_VALUE"""),"A.01.001125")</f>
        <v>A.01.001125</v>
      </c>
    </row>
    <row r="484" spans="1:2" ht="12.5" x14ac:dyDescent="0.25">
      <c r="A484" t="str">
        <f ca="1">IFERROR(__xludf.DUMMYFUNCTION("""COMPUTED_VALUE"""),"Cheese, Fontina")</f>
        <v>Cheese, Fontina</v>
      </c>
      <c r="B484" t="str">
        <f ca="1">IFERROR(__xludf.DUMMYFUNCTION("""COMPUTED_VALUE"""),"A.01.001126")</f>
        <v>A.01.001126</v>
      </c>
    </row>
    <row r="485" spans="1:2" ht="12.5" x14ac:dyDescent="0.25">
      <c r="A485" t="str">
        <f ca="1">IFERROR(__xludf.DUMMYFUNCTION("""COMPUTED_VALUE"""),"Cheese, Formai de Mut")</f>
        <v>Cheese, Formai de Mut</v>
      </c>
      <c r="B485" t="str">
        <f ca="1">IFERROR(__xludf.DUMMYFUNCTION("""COMPUTED_VALUE"""),"A.01.001127")</f>
        <v>A.01.001127</v>
      </c>
    </row>
    <row r="486" spans="1:2" ht="12.5" x14ac:dyDescent="0.25">
      <c r="A486" t="str">
        <f ca="1">IFERROR(__xludf.DUMMYFUNCTION("""COMPUTED_VALUE"""),"Cheese, Fourme d'Ambert")</f>
        <v>Cheese, Fourme d'Ambert</v>
      </c>
      <c r="B486" t="str">
        <f ca="1">IFERROR(__xludf.DUMMYFUNCTION("""COMPUTED_VALUE"""),"A.01.001128")</f>
        <v>A.01.001128</v>
      </c>
    </row>
    <row r="487" spans="1:2" ht="12.5" x14ac:dyDescent="0.25">
      <c r="A487" t="str">
        <f ca="1">IFERROR(__xludf.DUMMYFUNCTION("""COMPUTED_VALUE"""),"Cheese, Gamonedo")</f>
        <v>Cheese, Gamonedo</v>
      </c>
      <c r="B487" t="str">
        <f ca="1">IFERROR(__xludf.DUMMYFUNCTION("""COMPUTED_VALUE"""),"A.01.001129")</f>
        <v>A.01.001129</v>
      </c>
    </row>
    <row r="488" spans="1:2" ht="12.5" x14ac:dyDescent="0.25">
      <c r="A488" t="str">
        <f ca="1">IFERROR(__xludf.DUMMYFUNCTION("""COMPUTED_VALUE"""),"Cheese, Garrotxa")</f>
        <v>Cheese, Garrotxa</v>
      </c>
      <c r="B488" t="str">
        <f ca="1">IFERROR(__xludf.DUMMYFUNCTION("""COMPUTED_VALUE"""),"A.01.001130")</f>
        <v>A.01.001130</v>
      </c>
    </row>
    <row r="489" spans="1:2" ht="12.5" x14ac:dyDescent="0.25">
      <c r="A489" t="str">
        <f ca="1">IFERROR(__xludf.DUMMYFUNCTION("""COMPUTED_VALUE"""),"Cheese, Gjetost")</f>
        <v>Cheese, Gjetost</v>
      </c>
      <c r="B489" t="str">
        <f ca="1">IFERROR(__xludf.DUMMYFUNCTION("""COMPUTED_VALUE"""),"A.01.001131")</f>
        <v>A.01.001131</v>
      </c>
    </row>
    <row r="490" spans="1:2" ht="12.5" x14ac:dyDescent="0.25">
      <c r="A490" t="str">
        <f ca="1">IFERROR(__xludf.DUMMYFUNCTION("""COMPUTED_VALUE"""),"Cheese, Gorgonzola")</f>
        <v>Cheese, Gorgonzola</v>
      </c>
      <c r="B490" t="str">
        <f ca="1">IFERROR(__xludf.DUMMYFUNCTION("""COMPUTED_VALUE"""),"A.01.001132")</f>
        <v>A.01.001132</v>
      </c>
    </row>
    <row r="491" spans="1:2" ht="12.5" x14ac:dyDescent="0.25">
      <c r="A491" t="str">
        <f ca="1">IFERROR(__xludf.DUMMYFUNCTION("""COMPUTED_VALUE"""),"Cheese, Gouda")</f>
        <v>Cheese, Gouda</v>
      </c>
      <c r="B491" t="str">
        <f ca="1">IFERROR(__xludf.DUMMYFUNCTION("""COMPUTED_VALUE"""),"A.01.001133")</f>
        <v>A.01.001133</v>
      </c>
    </row>
    <row r="492" spans="1:2" ht="12.5" x14ac:dyDescent="0.25">
      <c r="A492" t="str">
        <f ca="1">IFERROR(__xludf.DUMMYFUNCTION("""COMPUTED_VALUE"""),"Cheese, Graddost")</f>
        <v>Cheese, Graddost</v>
      </c>
      <c r="B492" t="str">
        <f ca="1">IFERROR(__xludf.DUMMYFUNCTION("""COMPUTED_VALUE"""),"A.01.001134")</f>
        <v>A.01.001134</v>
      </c>
    </row>
    <row r="493" spans="1:2" ht="12.5" x14ac:dyDescent="0.25">
      <c r="A493" t="str">
        <f ca="1">IFERROR(__xludf.DUMMYFUNCTION("""COMPUTED_VALUE"""),"Cheese, Grana Padano")</f>
        <v>Cheese, Grana Padano</v>
      </c>
      <c r="B493" t="str">
        <f ca="1">IFERROR(__xludf.DUMMYFUNCTION("""COMPUTED_VALUE"""),"A.01.001135")</f>
        <v>A.01.001135</v>
      </c>
    </row>
    <row r="494" spans="1:2" ht="12.5" x14ac:dyDescent="0.25">
      <c r="A494" t="str">
        <f ca="1">IFERROR(__xludf.DUMMYFUNCTION("""COMPUTED_VALUE"""),"Cheese, Graviera")</f>
        <v>Cheese, Graviera</v>
      </c>
      <c r="B494" t="str">
        <f ca="1">IFERROR(__xludf.DUMMYFUNCTION("""COMPUTED_VALUE"""),"A.01.001136")</f>
        <v>A.01.001136</v>
      </c>
    </row>
    <row r="495" spans="1:2" ht="12.5" x14ac:dyDescent="0.25">
      <c r="A495" t="str">
        <f ca="1">IFERROR(__xludf.DUMMYFUNCTION("""COMPUTED_VALUE"""),"Cheese, Gruyere")</f>
        <v>Cheese, Gruyere</v>
      </c>
      <c r="B495" t="str">
        <f ca="1">IFERROR(__xludf.DUMMYFUNCTION("""COMPUTED_VALUE"""),"A.01.001137")</f>
        <v>A.01.001137</v>
      </c>
    </row>
    <row r="496" spans="1:2" ht="12.5" x14ac:dyDescent="0.25">
      <c r="A496" t="str">
        <f ca="1">IFERROR(__xludf.DUMMYFUNCTION("""COMPUTED_VALUE"""),"Cheese, Gubbeen")</f>
        <v>Cheese, Gubbeen</v>
      </c>
      <c r="B496" t="str">
        <f ca="1">IFERROR(__xludf.DUMMYFUNCTION("""COMPUTED_VALUE"""),"A.01.001138")</f>
        <v>A.01.001138</v>
      </c>
    </row>
    <row r="497" spans="1:2" ht="12.5" x14ac:dyDescent="0.25">
      <c r="A497" t="str">
        <f ca="1">IFERROR(__xludf.DUMMYFUNCTION("""COMPUTED_VALUE"""),"Cheese, Harzer")</f>
        <v>Cheese, Harzer</v>
      </c>
      <c r="B497" t="str">
        <f ca="1">IFERROR(__xludf.DUMMYFUNCTION("""COMPUTED_VALUE"""),"A.01.001139")</f>
        <v>A.01.001139</v>
      </c>
    </row>
    <row r="498" spans="1:2" ht="12.5" x14ac:dyDescent="0.25">
      <c r="A498" t="str">
        <f ca="1">IFERROR(__xludf.DUMMYFUNCTION("""COMPUTED_VALUE"""),"Cheese, Herrgardost")</f>
        <v>Cheese, Herrgardost</v>
      </c>
      <c r="B498" t="str">
        <f ca="1">IFERROR(__xludf.DUMMYFUNCTION("""COMPUTED_VALUE"""),"A.01.001140")</f>
        <v>A.01.001140</v>
      </c>
    </row>
    <row r="499" spans="1:2" ht="12.5" x14ac:dyDescent="0.25">
      <c r="A499" t="str">
        <f ca="1">IFERROR(__xludf.DUMMYFUNCTION("""COMPUTED_VALUE"""),"Cheese, Hoch Ybrig")</f>
        <v>Cheese, Hoch Ybrig</v>
      </c>
      <c r="B499" t="str">
        <f ca="1">IFERROR(__xludf.DUMMYFUNCTION("""COMPUTED_VALUE"""),"A.01.001141")</f>
        <v>A.01.001141</v>
      </c>
    </row>
    <row r="500" spans="1:2" ht="12.5" x14ac:dyDescent="0.25">
      <c r="A500" t="str">
        <f ca="1">IFERROR(__xludf.DUMMYFUNCTION("""COMPUTED_VALUE"""),"Cheese, Hushallsost")</f>
        <v>Cheese, Hushallsost</v>
      </c>
      <c r="B500" t="str">
        <f ca="1">IFERROR(__xludf.DUMMYFUNCTION("""COMPUTED_VALUE"""),"A.01.001142")</f>
        <v>A.01.001142</v>
      </c>
    </row>
    <row r="501" spans="1:2" ht="12.5" x14ac:dyDescent="0.25">
      <c r="A501" t="str">
        <f ca="1">IFERROR(__xludf.DUMMYFUNCTION("""COMPUTED_VALUE"""),"Cheese, Iberico")</f>
        <v>Cheese, Iberico</v>
      </c>
      <c r="B501" t="str">
        <f ca="1">IFERROR(__xludf.DUMMYFUNCTION("""COMPUTED_VALUE"""),"A.01.001143")</f>
        <v>A.01.001143</v>
      </c>
    </row>
    <row r="502" spans="1:2" ht="12.5" x14ac:dyDescent="0.25">
      <c r="A502" t="str">
        <f ca="1">IFERROR(__xludf.DUMMYFUNCTION("""COMPUTED_VALUE"""),"Cheese, Ibores")</f>
        <v>Cheese, Ibores</v>
      </c>
      <c r="B502" t="str">
        <f ca="1">IFERROR(__xludf.DUMMYFUNCTION("""COMPUTED_VALUE"""),"A.01.001144")</f>
        <v>A.01.001144</v>
      </c>
    </row>
    <row r="503" spans="1:2" ht="12.5" x14ac:dyDescent="0.25">
      <c r="A503" t="str">
        <f ca="1">IFERROR(__xludf.DUMMYFUNCTION("""COMPUTED_VALUE"""),"Cheese, Idiazabal")</f>
        <v>Cheese, Idiazabal</v>
      </c>
      <c r="B503" t="str">
        <f ca="1">IFERROR(__xludf.DUMMYFUNCTION("""COMPUTED_VALUE"""),"A.01.001145")</f>
        <v>A.01.001145</v>
      </c>
    </row>
    <row r="504" spans="1:2" ht="12.5" x14ac:dyDescent="0.25">
      <c r="A504" t="str">
        <f ca="1">IFERROR(__xludf.DUMMYFUNCTION("""COMPUTED_VALUE"""),"Cheese, Jarlsberg")</f>
        <v>Cheese, Jarlsberg</v>
      </c>
      <c r="B504" t="str">
        <f ca="1">IFERROR(__xludf.DUMMYFUNCTION("""COMPUTED_VALUE"""),"A.01.001146")</f>
        <v>A.01.001146</v>
      </c>
    </row>
    <row r="505" spans="1:2" ht="12.5" x14ac:dyDescent="0.25">
      <c r="A505" t="str">
        <f ca="1">IFERROR(__xludf.DUMMYFUNCTION("""COMPUTED_VALUE"""),"Cheese, Juustoleipa")</f>
        <v>Cheese, Juustoleipa</v>
      </c>
      <c r="B505" t="str">
        <f ca="1">IFERROR(__xludf.DUMMYFUNCTION("""COMPUTED_VALUE"""),"A.01.001147")</f>
        <v>A.01.001147</v>
      </c>
    </row>
    <row r="506" spans="1:2" ht="12.5" x14ac:dyDescent="0.25">
      <c r="A506" t="str">
        <f ca="1">IFERROR(__xludf.DUMMYFUNCTION("""COMPUTED_VALUE"""),"Cheese, Kasseri")</f>
        <v>Cheese, Kasseri</v>
      </c>
      <c r="B506" t="str">
        <f ca="1">IFERROR(__xludf.DUMMYFUNCTION("""COMPUTED_VALUE"""),"A.01.001148")</f>
        <v>A.01.001148</v>
      </c>
    </row>
    <row r="507" spans="1:2" ht="12.5" x14ac:dyDescent="0.25">
      <c r="A507" t="str">
        <f ca="1">IFERROR(__xludf.DUMMYFUNCTION("""COMPUTED_VALUE"""),"Cheese, Kefalotyri")</f>
        <v>Cheese, Kefalotyri</v>
      </c>
      <c r="B507" t="str">
        <f ca="1">IFERROR(__xludf.DUMMYFUNCTION("""COMPUTED_VALUE"""),"A.01.001149")</f>
        <v>A.01.001149</v>
      </c>
    </row>
    <row r="508" spans="1:2" ht="12.5" x14ac:dyDescent="0.25">
      <c r="A508" t="str">
        <f ca="1">IFERROR(__xludf.DUMMYFUNCTION("""COMPUTED_VALUE"""),"Cheese, Knockalara")</f>
        <v>Cheese, Knockalara</v>
      </c>
      <c r="B508" t="str">
        <f ca="1">IFERROR(__xludf.DUMMYFUNCTION("""COMPUTED_VALUE"""),"A.01.001150")</f>
        <v>A.01.001150</v>
      </c>
    </row>
    <row r="509" spans="1:2" ht="12.5" x14ac:dyDescent="0.25">
      <c r="A509" t="str">
        <f ca="1">IFERROR(__xludf.DUMMYFUNCTION("""COMPUTED_VALUE"""),"Cheese, Kurpianka")</f>
        <v>Cheese, Kurpianka</v>
      </c>
      <c r="B509" t="str">
        <f ca="1">IFERROR(__xludf.DUMMYFUNCTION("""COMPUTED_VALUE"""),"A.01.001151")</f>
        <v>A.01.001151</v>
      </c>
    </row>
    <row r="510" spans="1:2" ht="12.5" x14ac:dyDescent="0.25">
      <c r="A510" t="str">
        <f ca="1">IFERROR(__xludf.DUMMYFUNCTION("""COMPUTED_VALUE"""),"Cheese, Lancashire")</f>
        <v>Cheese, Lancashire</v>
      </c>
      <c r="B510" t="str">
        <f ca="1">IFERROR(__xludf.DUMMYFUNCTION("""COMPUTED_VALUE"""),"A.01.001152")</f>
        <v>A.01.001152</v>
      </c>
    </row>
    <row r="511" spans="1:2" ht="12.5" x14ac:dyDescent="0.25">
      <c r="A511" t="str">
        <f ca="1">IFERROR(__xludf.DUMMYFUNCTION("""COMPUTED_VALUE"""),"Cheese, Langres")</f>
        <v>Cheese, Langres</v>
      </c>
      <c r="B511" t="str">
        <f ca="1">IFERROR(__xludf.DUMMYFUNCTION("""COMPUTED_VALUE"""),"A.01.001153")</f>
        <v>A.01.001153</v>
      </c>
    </row>
    <row r="512" spans="1:2" ht="12.5" x14ac:dyDescent="0.25">
      <c r="A512" t="str">
        <f ca="1">IFERROR(__xludf.DUMMYFUNCTION("""COMPUTED_VALUE"""),"Cheese, Lappi")</f>
        <v>Cheese, Lappi</v>
      </c>
      <c r="B512" t="str">
        <f ca="1">IFERROR(__xludf.DUMMYFUNCTION("""COMPUTED_VALUE"""),"A.01.001154")</f>
        <v>A.01.001154</v>
      </c>
    </row>
    <row r="513" spans="1:2" ht="12.5" x14ac:dyDescent="0.25">
      <c r="A513" t="str">
        <f ca="1">IFERROR(__xludf.DUMMYFUNCTION("""COMPUTED_VALUE"""),"Cheese, Le Marechal")</f>
        <v>Cheese, Le Marechal</v>
      </c>
      <c r="B513" t="str">
        <f ca="1">IFERROR(__xludf.DUMMYFUNCTION("""COMPUTED_VALUE"""),"A.01.001155")</f>
        <v>A.01.001155</v>
      </c>
    </row>
    <row r="514" spans="1:2" ht="12.5" x14ac:dyDescent="0.25">
      <c r="A514" t="str">
        <f ca="1">IFERROR(__xludf.DUMMYFUNCTION("""COMPUTED_VALUE"""),"Cheese, Leicester")</f>
        <v>Cheese, Leicester</v>
      </c>
      <c r="B514" t="str">
        <f ca="1">IFERROR(__xludf.DUMMYFUNCTION("""COMPUTED_VALUE"""),"A.01.001156")</f>
        <v>A.01.001156</v>
      </c>
    </row>
    <row r="515" spans="1:2" ht="12.5" x14ac:dyDescent="0.25">
      <c r="A515" t="str">
        <f ca="1">IFERROR(__xludf.DUMMYFUNCTION("""COMPUTED_VALUE"""),"Cheese, Leyden")</f>
        <v>Cheese, Leyden</v>
      </c>
      <c r="B515" t="str">
        <f ca="1">IFERROR(__xludf.DUMMYFUNCTION("""COMPUTED_VALUE"""),"A.01.001157")</f>
        <v>A.01.001157</v>
      </c>
    </row>
    <row r="516" spans="1:2" ht="12.5" x14ac:dyDescent="0.25">
      <c r="A516" t="str">
        <f ca="1">IFERROR(__xludf.DUMMYFUNCTION("""COMPUTED_VALUE"""),"Cheese, Limburger")</f>
        <v>Cheese, Limburger</v>
      </c>
      <c r="B516" t="str">
        <f ca="1">IFERROR(__xludf.DUMMYFUNCTION("""COMPUTED_VALUE"""),"A.01.001158")</f>
        <v>A.01.001158</v>
      </c>
    </row>
    <row r="517" spans="1:2" ht="12.5" x14ac:dyDescent="0.25">
      <c r="A517" t="str">
        <f ca="1">IFERROR(__xludf.DUMMYFUNCTION("""COMPUTED_VALUE"""),"Cheese, Lincolnshire Poacher")</f>
        <v>Cheese, Lincolnshire Poacher</v>
      </c>
      <c r="B517" t="str">
        <f ca="1">IFERROR(__xludf.DUMMYFUNCTION("""COMPUTED_VALUE"""),"A.01.001159")</f>
        <v>A.01.001159</v>
      </c>
    </row>
    <row r="518" spans="1:2" ht="12.5" x14ac:dyDescent="0.25">
      <c r="A518" t="str">
        <f ca="1">IFERROR(__xludf.DUMMYFUNCTION("""COMPUTED_VALUE"""),"Cheese, Livarot")</f>
        <v>Cheese, Livarot</v>
      </c>
      <c r="B518" t="str">
        <f ca="1">IFERROR(__xludf.DUMMYFUNCTION("""COMPUTED_VALUE"""),"A.01.001160")</f>
        <v>A.01.001160</v>
      </c>
    </row>
    <row r="519" spans="1:2" ht="12.5" x14ac:dyDescent="0.25">
      <c r="A519" t="str">
        <f ca="1">IFERROR(__xludf.DUMMYFUNCTION("""COMPUTED_VALUE"""),"Cheese, Lubelski")</f>
        <v>Cheese, Lubelski</v>
      </c>
      <c r="B519" t="str">
        <f ca="1">IFERROR(__xludf.DUMMYFUNCTION("""COMPUTED_VALUE"""),"A.01.001161")</f>
        <v>A.01.001161</v>
      </c>
    </row>
    <row r="520" spans="1:2" ht="12.5" x14ac:dyDescent="0.25">
      <c r="A520" t="str">
        <f ca="1">IFERROR(__xludf.DUMMYFUNCTION("""COMPUTED_VALUE"""),"Cheese, Maasdam")</f>
        <v>Cheese, Maasdam</v>
      </c>
      <c r="B520" t="str">
        <f ca="1">IFERROR(__xludf.DUMMYFUNCTION("""COMPUTED_VALUE"""),"A.01.001162")</f>
        <v>A.01.001162</v>
      </c>
    </row>
    <row r="521" spans="1:2" ht="12.5" x14ac:dyDescent="0.25">
      <c r="A521" t="str">
        <f ca="1">IFERROR(__xludf.DUMMYFUNCTION("""COMPUTED_VALUE"""),"Cheese, Mahon")</f>
        <v>Cheese, Mahon</v>
      </c>
      <c r="B521" t="str">
        <f ca="1">IFERROR(__xludf.DUMMYFUNCTION("""COMPUTED_VALUE"""),"A.01.001163")</f>
        <v>A.01.001163</v>
      </c>
    </row>
    <row r="522" spans="1:2" ht="12.5" x14ac:dyDescent="0.25">
      <c r="A522" t="str">
        <f ca="1">IFERROR(__xludf.DUMMYFUNCTION("""COMPUTED_VALUE"""),"Cheese, Majorero")</f>
        <v>Cheese, Majorero</v>
      </c>
      <c r="B522" t="str">
        <f ca="1">IFERROR(__xludf.DUMMYFUNCTION("""COMPUTED_VALUE"""),"A.01.001164")</f>
        <v>A.01.001164</v>
      </c>
    </row>
    <row r="523" spans="1:2" ht="12.5" x14ac:dyDescent="0.25">
      <c r="A523" t="str">
        <f ca="1">IFERROR(__xludf.DUMMYFUNCTION("""COMPUTED_VALUE"""),"Cheese, Manchego")</f>
        <v>Cheese, Manchego</v>
      </c>
      <c r="B523" t="str">
        <f ca="1">IFERROR(__xludf.DUMMYFUNCTION("""COMPUTED_VALUE"""),"A.01.001165")</f>
        <v>A.01.001165</v>
      </c>
    </row>
    <row r="524" spans="1:2" ht="12.5" x14ac:dyDescent="0.25">
      <c r="A524" t="str">
        <f ca="1">IFERROR(__xludf.DUMMYFUNCTION("""COMPUTED_VALUE"""),"Cheese, Mascarpone")</f>
        <v>Cheese, Mascarpone</v>
      </c>
      <c r="B524" t="str">
        <f ca="1">IFERROR(__xludf.DUMMYFUNCTION("""COMPUTED_VALUE"""),"A.01.001166")</f>
        <v>A.01.001166</v>
      </c>
    </row>
    <row r="525" spans="1:2" ht="12.5" x14ac:dyDescent="0.25">
      <c r="A525" t="str">
        <f ca="1">IFERROR(__xludf.DUMMYFUNCTION("""COMPUTED_VALUE"""),"Cheese, Mimolette")</f>
        <v>Cheese, Mimolette</v>
      </c>
      <c r="B525" t="str">
        <f ca="1">IFERROR(__xludf.DUMMYFUNCTION("""COMPUTED_VALUE"""),"A.01.001167")</f>
        <v>A.01.001167</v>
      </c>
    </row>
    <row r="526" spans="1:2" ht="12.5" x14ac:dyDescent="0.25">
      <c r="A526" t="str">
        <f ca="1">IFERROR(__xludf.DUMMYFUNCTION("""COMPUTED_VALUE"""),"Cheese, Mizithra")</f>
        <v>Cheese, Mizithra</v>
      </c>
      <c r="B526" t="str">
        <f ca="1">IFERROR(__xludf.DUMMYFUNCTION("""COMPUTED_VALUE"""),"A.01.001168")</f>
        <v>A.01.001168</v>
      </c>
    </row>
    <row r="527" spans="1:2" ht="12.5" x14ac:dyDescent="0.25">
      <c r="A527" t="str">
        <f ca="1">IFERROR(__xludf.DUMMYFUNCTION("""COMPUTED_VALUE"""),"Cheese, Montasio")</f>
        <v>Cheese, Montasio</v>
      </c>
      <c r="B527" t="str">
        <f ca="1">IFERROR(__xludf.DUMMYFUNCTION("""COMPUTED_VALUE"""),"A.01.001169")</f>
        <v>A.01.001169</v>
      </c>
    </row>
    <row r="528" spans="1:2" ht="12.5" x14ac:dyDescent="0.25">
      <c r="A528" t="str">
        <f ca="1">IFERROR(__xludf.DUMMYFUNCTION("""COMPUTED_VALUE"""),"Cheese, Monte Veronese")</f>
        <v>Cheese, Monte Veronese</v>
      </c>
      <c r="B528" t="str">
        <f ca="1">IFERROR(__xludf.DUMMYFUNCTION("""COMPUTED_VALUE"""),"A.01.001170")</f>
        <v>A.01.001170</v>
      </c>
    </row>
    <row r="529" spans="1:2" ht="12.5" x14ac:dyDescent="0.25">
      <c r="A529" t="str">
        <f ca="1">IFERROR(__xludf.DUMMYFUNCTION("""COMPUTED_VALUE"""),"Cheese, Morbier")</f>
        <v>Cheese, Morbier</v>
      </c>
      <c r="B529" t="str">
        <f ca="1">IFERROR(__xludf.DUMMYFUNCTION("""COMPUTED_VALUE"""),"A.01.001171")</f>
        <v>A.01.001171</v>
      </c>
    </row>
    <row r="530" spans="1:2" ht="12.5" x14ac:dyDescent="0.25">
      <c r="A530" t="str">
        <f ca="1">IFERROR(__xludf.DUMMYFUNCTION("""COMPUTED_VALUE"""),"Cheese, Morski")</f>
        <v>Cheese, Morski</v>
      </c>
      <c r="B530" t="str">
        <f ca="1">IFERROR(__xludf.DUMMYFUNCTION("""COMPUTED_VALUE"""),"A.01.001172")</f>
        <v>A.01.001172</v>
      </c>
    </row>
    <row r="531" spans="1:2" ht="12.5" x14ac:dyDescent="0.25">
      <c r="A531" t="str">
        <f ca="1">IFERROR(__xludf.DUMMYFUNCTION("""COMPUTED_VALUE"""),"Cheese, Mozzarella")</f>
        <v>Cheese, Mozzarella</v>
      </c>
      <c r="B531" t="str">
        <f ca="1">IFERROR(__xludf.DUMMYFUNCTION("""COMPUTED_VALUE"""),"A.01.001173")</f>
        <v>A.01.001173</v>
      </c>
    </row>
    <row r="532" spans="1:2" ht="12.5" x14ac:dyDescent="0.25">
      <c r="A532" t="str">
        <f ca="1">IFERROR(__xludf.DUMMYFUNCTION("""COMPUTED_VALUE"""),"Cheese, Munster")</f>
        <v>Cheese, Munster</v>
      </c>
      <c r="B532" t="str">
        <f ca="1">IFERROR(__xludf.DUMMYFUNCTION("""COMPUTED_VALUE"""),"A.01.001174")</f>
        <v>A.01.001174</v>
      </c>
    </row>
    <row r="533" spans="1:2" ht="12.5" x14ac:dyDescent="0.25">
      <c r="A533" t="str">
        <f ca="1">IFERROR(__xludf.DUMMYFUNCTION("""COMPUTED_VALUE"""),"Cheese, Murcia")</f>
        <v>Cheese, Murcia</v>
      </c>
      <c r="B533" t="str">
        <f ca="1">IFERROR(__xludf.DUMMYFUNCTION("""COMPUTED_VALUE"""),"A.01.001175")</f>
        <v>A.01.001175</v>
      </c>
    </row>
    <row r="534" spans="1:2" ht="12.5" x14ac:dyDescent="0.25">
      <c r="A534" t="str">
        <f ca="1">IFERROR(__xludf.DUMMYFUNCTION("""COMPUTED_VALUE"""),"Cheese, Nagelkaas")</f>
        <v>Cheese, Nagelkaas</v>
      </c>
      <c r="B534" t="str">
        <f ca="1">IFERROR(__xludf.DUMMYFUNCTION("""COMPUTED_VALUE"""),"A.01.001176")</f>
        <v>A.01.001176</v>
      </c>
    </row>
    <row r="535" spans="1:2" ht="12.5" x14ac:dyDescent="0.25">
      <c r="A535" t="str">
        <f ca="1">IFERROR(__xludf.DUMMYFUNCTION("""COMPUTED_VALUE"""),"Cheese, Nisa")</f>
        <v>Cheese, Nisa</v>
      </c>
      <c r="B535" t="str">
        <f ca="1">IFERROR(__xludf.DUMMYFUNCTION("""COMPUTED_VALUE"""),"A.01.001177")</f>
        <v>A.01.001177</v>
      </c>
    </row>
    <row r="536" spans="1:2" ht="12.5" x14ac:dyDescent="0.25">
      <c r="A536" t="str">
        <f ca="1">IFERROR(__xludf.DUMMYFUNCTION("""COMPUTED_VALUE"""),"Cheese, Nokkelost")</f>
        <v>Cheese, Nokkelost</v>
      </c>
      <c r="B536" t="str">
        <f ca="1">IFERROR(__xludf.DUMMYFUNCTION("""COMPUTED_VALUE"""),"A.01.001178")</f>
        <v>A.01.001178</v>
      </c>
    </row>
    <row r="537" spans="1:2" ht="12.5" x14ac:dyDescent="0.25">
      <c r="A537" t="str">
        <f ca="1">IFERROR(__xludf.DUMMYFUNCTION("""COMPUTED_VALUE"""),"Cheese, Oltermanni")</f>
        <v>Cheese, Oltermanni</v>
      </c>
      <c r="B537" t="str">
        <f ca="1">IFERROR(__xludf.DUMMYFUNCTION("""COMPUTED_VALUE"""),"A.01.001179")</f>
        <v>A.01.001179</v>
      </c>
    </row>
    <row r="538" spans="1:2" ht="12.5" x14ac:dyDescent="0.25">
      <c r="A538" t="str">
        <f ca="1">IFERROR(__xludf.DUMMYFUNCTION("""COMPUTED_VALUE"""),"Cheese, Orla")</f>
        <v>Cheese, Orla</v>
      </c>
      <c r="B538" t="str">
        <f ca="1">IFERROR(__xludf.DUMMYFUNCTION("""COMPUTED_VALUE"""),"A.01.001180")</f>
        <v>A.01.001180</v>
      </c>
    </row>
    <row r="539" spans="1:2" ht="12.5" x14ac:dyDescent="0.25">
      <c r="A539" t="str">
        <f ca="1">IFERROR(__xludf.DUMMYFUNCTION("""COMPUTED_VALUE"""),"Cheese, Ossau-Iraty")</f>
        <v>Cheese, Ossau-Iraty</v>
      </c>
      <c r="B539" t="str">
        <f ca="1">IFERROR(__xludf.DUMMYFUNCTION("""COMPUTED_VALUE"""),"A.01.001181")</f>
        <v>A.01.001181</v>
      </c>
    </row>
    <row r="540" spans="1:2" ht="12.5" x14ac:dyDescent="0.25">
      <c r="A540" t="str">
        <f ca="1">IFERROR(__xludf.DUMMYFUNCTION("""COMPUTED_VALUE"""),"Cheese, Parmigiano Reggiano")</f>
        <v>Cheese, Parmigiano Reggiano</v>
      </c>
      <c r="B540" t="str">
        <f ca="1">IFERROR(__xludf.DUMMYFUNCTION("""COMPUTED_VALUE"""),"A.01.001182")</f>
        <v>A.01.001182</v>
      </c>
    </row>
    <row r="541" spans="1:2" ht="12.5" x14ac:dyDescent="0.25">
      <c r="A541" t="str">
        <f ca="1">IFERROR(__xludf.DUMMYFUNCTION("""COMPUTED_VALUE"""),"Cheese, Passendale")</f>
        <v>Cheese, Passendale</v>
      </c>
      <c r="B541" t="str">
        <f ca="1">IFERROR(__xludf.DUMMYFUNCTION("""COMPUTED_VALUE"""),"A.01.001183")</f>
        <v>A.01.001183</v>
      </c>
    </row>
    <row r="542" spans="1:2" ht="12.5" x14ac:dyDescent="0.25">
      <c r="A542" t="str">
        <f ca="1">IFERROR(__xludf.DUMMYFUNCTION("""COMPUTED_VALUE"""),"Cheese, Pecorino Romano")</f>
        <v>Cheese, Pecorino Romano</v>
      </c>
      <c r="B542" t="str">
        <f ca="1">IFERROR(__xludf.DUMMYFUNCTION("""COMPUTED_VALUE"""),"A.01.001184")</f>
        <v>A.01.001184</v>
      </c>
    </row>
    <row r="543" spans="1:2" ht="12.5" x14ac:dyDescent="0.25">
      <c r="A543" t="str">
        <f ca="1">IFERROR(__xludf.DUMMYFUNCTION("""COMPUTED_VALUE"""),"Cheese, Pecorino Toscano")</f>
        <v>Cheese, Pecorino Toscano</v>
      </c>
      <c r="B543" t="str">
        <f ca="1">IFERROR(__xludf.DUMMYFUNCTION("""COMPUTED_VALUE"""),"A.01.001185")</f>
        <v>A.01.001185</v>
      </c>
    </row>
    <row r="544" spans="1:2" ht="12.5" x14ac:dyDescent="0.25">
      <c r="A544" t="str">
        <f ca="1">IFERROR(__xludf.DUMMYFUNCTION("""COMPUTED_VALUE"""),"Cheese, Piacentinu")</f>
        <v>Cheese, Piacentinu</v>
      </c>
      <c r="B544" t="str">
        <f ca="1">IFERROR(__xludf.DUMMYFUNCTION("""COMPUTED_VALUE"""),"A.01.001186")</f>
        <v>A.01.001186</v>
      </c>
    </row>
    <row r="545" spans="1:2" ht="12.5" x14ac:dyDescent="0.25">
      <c r="A545" t="str">
        <f ca="1">IFERROR(__xludf.DUMMYFUNCTION("""COMPUTED_VALUE"""),"Cheese, Picon")</f>
        <v>Cheese, Picon</v>
      </c>
      <c r="B545" t="str">
        <f ca="1">IFERROR(__xludf.DUMMYFUNCTION("""COMPUTED_VALUE"""),"A.01.001187")</f>
        <v>A.01.001187</v>
      </c>
    </row>
    <row r="546" spans="1:2" ht="12.5" x14ac:dyDescent="0.25">
      <c r="A546" t="str">
        <f ca="1">IFERROR(__xludf.DUMMYFUNCTION("""COMPUTED_VALUE"""),"Cheese, Podlaski")</f>
        <v>Cheese, Podlaski</v>
      </c>
      <c r="B546" t="str">
        <f ca="1">IFERROR(__xludf.DUMMYFUNCTION("""COMPUTED_VALUE"""),"A.01.001188")</f>
        <v>A.01.001188</v>
      </c>
    </row>
    <row r="547" spans="1:2" ht="12.5" x14ac:dyDescent="0.25">
      <c r="A547" t="str">
        <f ca="1">IFERROR(__xludf.DUMMYFUNCTION("""COMPUTED_VALUE"""),"Cheese, Pont L'Eveque")</f>
        <v>Cheese, Pont L'Eveque</v>
      </c>
      <c r="B547" t="str">
        <f ca="1">IFERROR(__xludf.DUMMYFUNCTION("""COMPUTED_VALUE"""),"A.01.001189")</f>
        <v>A.01.001189</v>
      </c>
    </row>
    <row r="548" spans="1:2" ht="12.5" x14ac:dyDescent="0.25">
      <c r="A548" t="str">
        <f ca="1">IFERROR(__xludf.DUMMYFUNCTION("""COMPUTED_VALUE"""),"Cheese, Pouligny-Saint-Pierre")</f>
        <v>Cheese, Pouligny-Saint-Pierre</v>
      </c>
      <c r="B548" t="str">
        <f ca="1">IFERROR(__xludf.DUMMYFUNCTION("""COMPUTED_VALUE"""),"A.01.001190")</f>
        <v>A.01.001190</v>
      </c>
    </row>
    <row r="549" spans="1:2" ht="12.5" x14ac:dyDescent="0.25">
      <c r="A549" t="str">
        <f ca="1">IFERROR(__xludf.DUMMYFUNCTION("""COMPUTED_VALUE"""),"Cheese, Prastost")</f>
        <v>Cheese, Prastost</v>
      </c>
      <c r="B549" t="str">
        <f ca="1">IFERROR(__xludf.DUMMYFUNCTION("""COMPUTED_VALUE"""),"A.01.001191")</f>
        <v>A.01.001191</v>
      </c>
    </row>
    <row r="550" spans="1:2" ht="12.5" x14ac:dyDescent="0.25">
      <c r="A550" t="str">
        <f ca="1">IFERROR(__xludf.DUMMYFUNCTION("""COMPUTED_VALUE"""),"Cheese, processed cheese, plain")</f>
        <v>Cheese, processed cheese, plain</v>
      </c>
      <c r="B550" t="str">
        <f ca="1">IFERROR(__xludf.DUMMYFUNCTION("""COMPUTED_VALUE"""),"A.01.001064")</f>
        <v>A.01.001064</v>
      </c>
    </row>
    <row r="551" spans="1:2" ht="12.5" x14ac:dyDescent="0.25">
      <c r="A551" t="str">
        <f ca="1">IFERROR(__xludf.DUMMYFUNCTION("""COMPUTED_VALUE"""),"Cheese, processed spreadable")</f>
        <v>Cheese, processed spreadable</v>
      </c>
      <c r="B551" t="str">
        <f ca="1">IFERROR(__xludf.DUMMYFUNCTION("""COMPUTED_VALUE"""),"A.01.001057")</f>
        <v>A.01.001057</v>
      </c>
    </row>
    <row r="552" spans="1:2" ht="12.5" x14ac:dyDescent="0.25">
      <c r="A552" t="str">
        <f ca="1">IFERROR(__xludf.DUMMYFUNCTION("""COMPUTED_VALUE"""),"Cheese, processed, low fat")</f>
        <v>Cheese, processed, low fat</v>
      </c>
      <c r="B552" t="str">
        <f ca="1">IFERROR(__xludf.DUMMYFUNCTION("""COMPUTED_VALUE"""),"A.01.001063")</f>
        <v>A.01.001063</v>
      </c>
    </row>
    <row r="553" spans="1:2" ht="12.5" x14ac:dyDescent="0.25">
      <c r="A553" t="str">
        <f ca="1">IFERROR(__xludf.DUMMYFUNCTION("""COMPUTED_VALUE"""),"Cheese, processed, sliceable")</f>
        <v>Cheese, processed, sliceable</v>
      </c>
      <c r="B553" t="str">
        <f ca="1">IFERROR(__xludf.DUMMYFUNCTION("""COMPUTED_VALUE"""),"A.01.001056")</f>
        <v>A.01.001056</v>
      </c>
    </row>
    <row r="554" spans="1:2" ht="12.5" x14ac:dyDescent="0.25">
      <c r="A554" t="str">
        <f ca="1">IFERROR(__xludf.DUMMYFUNCTION("""COMPUTED_VALUE"""),"Cheese, processed, with condiments")</f>
        <v>Cheese, processed, with condiments</v>
      </c>
      <c r="B554" t="str">
        <f ca="1">IFERROR(__xludf.DUMMYFUNCTION("""COMPUTED_VALUE"""),"A.01.001058")</f>
        <v>A.01.001058</v>
      </c>
    </row>
    <row r="555" spans="1:2" ht="12.5" x14ac:dyDescent="0.25">
      <c r="A555" t="str">
        <f ca="1">IFERROR(__xludf.DUMMYFUNCTION("""COMPUTED_VALUE"""),"Cheese, processed, with ham")</f>
        <v>Cheese, processed, with ham</v>
      </c>
      <c r="B555" t="str">
        <f ca="1">IFERROR(__xludf.DUMMYFUNCTION("""COMPUTED_VALUE"""),"A.01.001059")</f>
        <v>A.01.001059</v>
      </c>
    </row>
    <row r="556" spans="1:2" ht="12.5" x14ac:dyDescent="0.25">
      <c r="A556" t="str">
        <f ca="1">IFERROR(__xludf.DUMMYFUNCTION("""COMPUTED_VALUE"""),"Cheese, processed, with mushrooms")</f>
        <v>Cheese, processed, with mushrooms</v>
      </c>
      <c r="B556" t="str">
        <f ca="1">IFERROR(__xludf.DUMMYFUNCTION("""COMPUTED_VALUE"""),"A.01.001060")</f>
        <v>A.01.001060</v>
      </c>
    </row>
    <row r="557" spans="1:2" ht="12.5" x14ac:dyDescent="0.25">
      <c r="A557" t="str">
        <f ca="1">IFERROR(__xludf.DUMMYFUNCTION("""COMPUTED_VALUE"""),"Cheese, processed, with pepper herbs")</f>
        <v>Cheese, processed, with pepper herbs</v>
      </c>
      <c r="B557" t="str">
        <f ca="1">IFERROR(__xludf.DUMMYFUNCTION("""COMPUTED_VALUE"""),"A.01.001061")</f>
        <v>A.01.001061</v>
      </c>
    </row>
    <row r="558" spans="1:2" ht="12.5" x14ac:dyDescent="0.25">
      <c r="A558" t="str">
        <f ca="1">IFERROR(__xludf.DUMMYFUNCTION("""COMPUTED_VALUE"""),"Cheese, processed, with walnuts")</f>
        <v>Cheese, processed, with walnuts</v>
      </c>
      <c r="B558" t="str">
        <f ca="1">IFERROR(__xludf.DUMMYFUNCTION("""COMPUTED_VALUE"""),"A.01.001062")</f>
        <v>A.01.001062</v>
      </c>
    </row>
    <row r="559" spans="1:2" ht="12.5" x14ac:dyDescent="0.25">
      <c r="A559" t="str">
        <f ca="1">IFERROR(__xludf.DUMMYFUNCTION("""COMPUTED_VALUE"""),"Cheese, Provolone")</f>
        <v>Cheese, Provolone</v>
      </c>
      <c r="B559" t="str">
        <f ca="1">IFERROR(__xludf.DUMMYFUNCTION("""COMPUTED_VALUE"""),"A.01.001192")</f>
        <v>A.01.001192</v>
      </c>
    </row>
    <row r="560" spans="1:2" ht="12.5" x14ac:dyDescent="0.25">
      <c r="A560" t="str">
        <f ca="1">IFERROR(__xludf.DUMMYFUNCTION("""COMPUTED_VALUE"""),"Cheese, Raclette")</f>
        <v>Cheese, Raclette</v>
      </c>
      <c r="B560" t="str">
        <f ca="1">IFERROR(__xludf.DUMMYFUNCTION("""COMPUTED_VALUE"""),"A.01.001193")</f>
        <v>A.01.001193</v>
      </c>
    </row>
    <row r="561" spans="1:2" ht="12.5" x14ac:dyDescent="0.25">
      <c r="A561" t="str">
        <f ca="1">IFERROR(__xludf.DUMMYFUNCTION("""COMPUTED_VALUE"""),"Cheese, Ragusano")</f>
        <v>Cheese, Ragusano</v>
      </c>
      <c r="B561" t="str">
        <f ca="1">IFERROR(__xludf.DUMMYFUNCTION("""COMPUTED_VALUE"""),"A.01.001194")</f>
        <v>A.01.001194</v>
      </c>
    </row>
    <row r="562" spans="1:2" ht="12.5" x14ac:dyDescent="0.25">
      <c r="A562" t="str">
        <f ca="1">IFERROR(__xludf.DUMMYFUNCTION("""COMPUTED_VALUE"""),"Cheese, Raschera")</f>
        <v>Cheese, Raschera</v>
      </c>
      <c r="B562" t="str">
        <f ca="1">IFERROR(__xludf.DUMMYFUNCTION("""COMPUTED_VALUE"""),"A.01.001195")</f>
        <v>A.01.001195</v>
      </c>
    </row>
    <row r="563" spans="1:2" ht="12.5" x14ac:dyDescent="0.25">
      <c r="A563" t="str">
        <f ca="1">IFERROR(__xludf.DUMMYFUNCTION("""COMPUTED_VALUE"""),"Cheese, Reblochon")</f>
        <v>Cheese, Reblochon</v>
      </c>
      <c r="B563" t="str">
        <f ca="1">IFERROR(__xludf.DUMMYFUNCTION("""COMPUTED_VALUE"""),"A.01.001196")</f>
        <v>A.01.001196</v>
      </c>
    </row>
    <row r="564" spans="1:2" ht="12.5" x14ac:dyDescent="0.25">
      <c r="A564" t="str">
        <f ca="1">IFERROR(__xludf.DUMMYFUNCTION("""COMPUTED_VALUE"""),"Cheese, Ricotta")</f>
        <v>Cheese, Ricotta</v>
      </c>
      <c r="B564" t="str">
        <f ca="1">IFERROR(__xludf.DUMMYFUNCTION("""COMPUTED_VALUE"""),"A.01.001197")</f>
        <v>A.01.001197</v>
      </c>
    </row>
    <row r="565" spans="1:2" ht="12.5" x14ac:dyDescent="0.25">
      <c r="A565" t="str">
        <f ca="1">IFERROR(__xludf.DUMMYFUNCTION("""COMPUTED_VALUE"""),"Cheese, Ricotta Salata")</f>
        <v>Cheese, Ricotta Salata</v>
      </c>
      <c r="B565" t="str">
        <f ca="1">IFERROR(__xludf.DUMMYFUNCTION("""COMPUTED_VALUE"""),"A.01.001198")</f>
        <v>A.01.001198</v>
      </c>
    </row>
    <row r="566" spans="1:2" ht="12.5" x14ac:dyDescent="0.25">
      <c r="A566" t="str">
        <f ca="1">IFERROR(__xludf.DUMMYFUNCTION("""COMPUTED_VALUE"""),"Cheese, Robiola")</f>
        <v>Cheese, Robiola</v>
      </c>
      <c r="B566" t="str">
        <f ca="1">IFERROR(__xludf.DUMMYFUNCTION("""COMPUTED_VALUE"""),"A.01.001199")</f>
        <v>A.01.001199</v>
      </c>
    </row>
    <row r="567" spans="1:2" ht="12.5" x14ac:dyDescent="0.25">
      <c r="A567" t="str">
        <f ca="1">IFERROR(__xludf.DUMMYFUNCTION("""COMPUTED_VALUE"""),"Cheese, Roncal")</f>
        <v>Cheese, Roncal</v>
      </c>
      <c r="B567" t="str">
        <f ca="1">IFERROR(__xludf.DUMMYFUNCTION("""COMPUTED_VALUE"""),"A.01.001200")</f>
        <v>A.01.001200</v>
      </c>
    </row>
    <row r="568" spans="1:2" ht="12.5" x14ac:dyDescent="0.25">
      <c r="A568" t="str">
        <f ca="1">IFERROR(__xludf.DUMMYFUNCTION("""COMPUTED_VALUE"""),"Cheese, Roquefort")</f>
        <v>Cheese, Roquefort</v>
      </c>
      <c r="B568" t="str">
        <f ca="1">IFERROR(__xludf.DUMMYFUNCTION("""COMPUTED_VALUE"""),"A.01.001201")</f>
        <v>A.01.001201</v>
      </c>
    </row>
    <row r="569" spans="1:2" ht="12.5" x14ac:dyDescent="0.25">
      <c r="A569" t="str">
        <f ca="1">IFERROR(__xludf.DUMMYFUNCTION("""COMPUTED_VALUE"""),"Cheese, Saga")</f>
        <v>Cheese, Saga</v>
      </c>
      <c r="B569" t="str">
        <f ca="1">IFERROR(__xludf.DUMMYFUNCTION("""COMPUTED_VALUE"""),"A.01.001202")</f>
        <v>A.01.001202</v>
      </c>
    </row>
    <row r="570" spans="1:2" ht="12.5" x14ac:dyDescent="0.25">
      <c r="A570" t="str">
        <f ca="1">IFERROR(__xludf.DUMMYFUNCTION("""COMPUTED_VALUE"""),"Cheese, Saint Marcellin")</f>
        <v>Cheese, Saint Marcellin</v>
      </c>
      <c r="B570" t="str">
        <f ca="1">IFERROR(__xludf.DUMMYFUNCTION("""COMPUTED_VALUE"""),"A.01.001203")</f>
        <v>A.01.001203</v>
      </c>
    </row>
    <row r="571" spans="1:2" ht="12.5" x14ac:dyDescent="0.25">
      <c r="A571" t="str">
        <f ca="1">IFERROR(__xludf.DUMMYFUNCTION("""COMPUTED_VALUE"""),"Cheese, Saint Nectaire")</f>
        <v>Cheese, Saint Nectaire</v>
      </c>
      <c r="B571" t="str">
        <f ca="1">IFERROR(__xludf.DUMMYFUNCTION("""COMPUTED_VALUE"""),"A.01.001204")</f>
        <v>A.01.001204</v>
      </c>
    </row>
    <row r="572" spans="1:2" ht="12.5" x14ac:dyDescent="0.25">
      <c r="A572" t="str">
        <f ca="1">IFERROR(__xludf.DUMMYFUNCTION("""COMPUTED_VALUE"""),"Cheese, Saint Paulin")</f>
        <v>Cheese, Saint Paulin</v>
      </c>
      <c r="B572" t="str">
        <f ca="1">IFERROR(__xludf.DUMMYFUNCTION("""COMPUTED_VALUE"""),"A.01.001205")</f>
        <v>A.01.001205</v>
      </c>
    </row>
    <row r="573" spans="1:2" ht="12.5" x14ac:dyDescent="0.25">
      <c r="A573" t="str">
        <f ca="1">IFERROR(__xludf.DUMMYFUNCTION("""COMPUTED_VALUE"""),"Cheese, Samsoe")</f>
        <v>Cheese, Samsoe</v>
      </c>
      <c r="B573" t="str">
        <f ca="1">IFERROR(__xludf.DUMMYFUNCTION("""COMPUTED_VALUE"""),"A.01.001206")</f>
        <v>A.01.001206</v>
      </c>
    </row>
    <row r="574" spans="1:2" ht="12.5" x14ac:dyDescent="0.25">
      <c r="A574" t="str">
        <f ca="1">IFERROR(__xludf.DUMMYFUNCTION("""COMPUTED_VALUE"""),"Cheese, San Simon")</f>
        <v>Cheese, San Simon</v>
      </c>
      <c r="B574" t="str">
        <f ca="1">IFERROR(__xludf.DUMMYFUNCTION("""COMPUTED_VALUE"""),"A.01.001207")</f>
        <v>A.01.001207</v>
      </c>
    </row>
    <row r="575" spans="1:2" ht="12.5" x14ac:dyDescent="0.25">
      <c r="A575" t="str">
        <f ca="1">IFERROR(__xludf.DUMMYFUNCTION("""COMPUTED_VALUE"""),"Cheese, Sao Jorge")</f>
        <v>Cheese, Sao Jorge</v>
      </c>
      <c r="B575" t="str">
        <f ca="1">IFERROR(__xludf.DUMMYFUNCTION("""COMPUTED_VALUE"""),"A.01.001208")</f>
        <v>A.01.001208</v>
      </c>
    </row>
    <row r="576" spans="1:2" ht="12.5" x14ac:dyDescent="0.25">
      <c r="A576" t="str">
        <f ca="1">IFERROR(__xludf.DUMMYFUNCTION("""COMPUTED_VALUE"""),"Cheese, Sap Sago")</f>
        <v>Cheese, Sap Sago</v>
      </c>
      <c r="B576" t="str">
        <f ca="1">IFERROR(__xludf.DUMMYFUNCTION("""COMPUTED_VALUE"""),"A.01.001209")</f>
        <v>A.01.001209</v>
      </c>
    </row>
    <row r="577" spans="1:2" ht="12.5" x14ac:dyDescent="0.25">
      <c r="A577" t="str">
        <f ca="1">IFERROR(__xludf.DUMMYFUNCTION("""COMPUTED_VALUE"""),"Cheese, Sbrinz")</f>
        <v>Cheese, Sbrinz</v>
      </c>
      <c r="B577" t="str">
        <f ca="1">IFERROR(__xludf.DUMMYFUNCTION("""COMPUTED_VALUE"""),"A.01.001210")</f>
        <v>A.01.001210</v>
      </c>
    </row>
    <row r="578" spans="1:2" ht="12.5" x14ac:dyDescent="0.25">
      <c r="A578" t="str">
        <f ca="1">IFERROR(__xludf.DUMMYFUNCTION("""COMPUTED_VALUE"""),"Cheese, Scamorza")</f>
        <v>Cheese, Scamorza</v>
      </c>
      <c r="B578" t="str">
        <f ca="1">IFERROR(__xludf.DUMMYFUNCTION("""COMPUTED_VALUE"""),"A.01.001211")</f>
        <v>A.01.001211</v>
      </c>
    </row>
    <row r="579" spans="1:2" ht="12.5" x14ac:dyDescent="0.25">
      <c r="A579" t="str">
        <f ca="1">IFERROR(__xludf.DUMMYFUNCTION("""COMPUTED_VALUE"""),"Cheese, Serpa")</f>
        <v>Cheese, Serpa</v>
      </c>
      <c r="B579" t="str">
        <f ca="1">IFERROR(__xludf.DUMMYFUNCTION("""COMPUTED_VALUE"""),"A.01.001212")</f>
        <v>A.01.001212</v>
      </c>
    </row>
    <row r="580" spans="1:2" ht="12.5" x14ac:dyDescent="0.25">
      <c r="A580" t="str">
        <f ca="1">IFERROR(__xludf.DUMMYFUNCTION("""COMPUTED_VALUE"""),"Cheese, Shropshire Blue")</f>
        <v>Cheese, Shropshire Blue</v>
      </c>
      <c r="B580" t="str">
        <f ca="1">IFERROR(__xludf.DUMMYFUNCTION("""COMPUTED_VALUE"""),"A.01.001213")</f>
        <v>A.01.001213</v>
      </c>
    </row>
    <row r="581" spans="1:2" ht="12.5" x14ac:dyDescent="0.25">
      <c r="A581" t="str">
        <f ca="1">IFERROR(__xludf.DUMMYFUNCTION("""COMPUTED_VALUE"""),"Cheese, Smoked Gouda")</f>
        <v>Cheese, Smoked Gouda</v>
      </c>
      <c r="B581" t="str">
        <f ca="1">IFERROR(__xludf.DUMMYFUNCTION("""COMPUTED_VALUE"""),"A.01.001214")</f>
        <v>A.01.001214</v>
      </c>
    </row>
    <row r="582" spans="1:2" ht="12.5" x14ac:dyDescent="0.25">
      <c r="A582" t="str">
        <f ca="1">IFERROR(__xludf.DUMMYFUNCTION("""COMPUTED_VALUE"""),"Cheese, Stilton")</f>
        <v>Cheese, Stilton</v>
      </c>
      <c r="B582" t="str">
        <f ca="1">IFERROR(__xludf.DUMMYFUNCTION("""COMPUTED_VALUE"""),"A.01.001215")</f>
        <v>A.01.001215</v>
      </c>
    </row>
    <row r="583" spans="1:2" ht="12.5" x14ac:dyDescent="0.25">
      <c r="A583" t="str">
        <f ca="1">IFERROR(__xludf.DUMMYFUNCTION("""COMPUTED_VALUE"""),"Cheese, Taleggio")</f>
        <v>Cheese, Taleggio</v>
      </c>
      <c r="B583" t="str">
        <f ca="1">IFERROR(__xludf.DUMMYFUNCTION("""COMPUTED_VALUE"""),"A.01.001216")</f>
        <v>A.01.001216</v>
      </c>
    </row>
    <row r="584" spans="1:2" ht="12.5" x14ac:dyDescent="0.25">
      <c r="A584" t="str">
        <f ca="1">IFERROR(__xludf.DUMMYFUNCTION("""COMPUTED_VALUE"""),"Cheese, Telemea")</f>
        <v>Cheese, Telemea</v>
      </c>
      <c r="B584" t="str">
        <f ca="1">IFERROR(__xludf.DUMMYFUNCTION("""COMPUTED_VALUE"""),"A.01.001217")</f>
        <v>A.01.001217</v>
      </c>
    </row>
    <row r="585" spans="1:2" ht="12.5" x14ac:dyDescent="0.25">
      <c r="A585" t="str">
        <f ca="1">IFERROR(__xludf.DUMMYFUNCTION("""COMPUTED_VALUE"""),"Cheese, Tete de Moine")</f>
        <v>Cheese, Tete de Moine</v>
      </c>
      <c r="B585" t="str">
        <f ca="1">IFERROR(__xludf.DUMMYFUNCTION("""COMPUTED_VALUE"""),"A.01.001218")</f>
        <v>A.01.001218</v>
      </c>
    </row>
    <row r="586" spans="1:2" ht="12.5" x14ac:dyDescent="0.25">
      <c r="A586" t="str">
        <f ca="1">IFERROR(__xludf.DUMMYFUNCTION("""COMPUTED_VALUE"""),"Cheese, Tetilla")</f>
        <v>Cheese, Tetilla</v>
      </c>
      <c r="B586" t="str">
        <f ca="1">IFERROR(__xludf.DUMMYFUNCTION("""COMPUTED_VALUE"""),"A.01.001219")</f>
        <v>A.01.001219</v>
      </c>
    </row>
    <row r="587" spans="1:2" ht="12.5" x14ac:dyDescent="0.25">
      <c r="A587" t="str">
        <f ca="1">IFERROR(__xludf.DUMMYFUNCTION("""COMPUTED_VALUE"""),"Cheese, Tilsit")</f>
        <v>Cheese, Tilsit</v>
      </c>
      <c r="B587" t="str">
        <f ca="1">IFERROR(__xludf.DUMMYFUNCTION("""COMPUTED_VALUE"""),"A.01.001220")</f>
        <v>A.01.001220</v>
      </c>
    </row>
    <row r="588" spans="1:2" ht="12.5" x14ac:dyDescent="0.25">
      <c r="A588" t="str">
        <f ca="1">IFERROR(__xludf.DUMMYFUNCTION("""COMPUTED_VALUE"""),"Cheese, Toma Piedmontese")</f>
        <v>Cheese, Toma Piedmontese</v>
      </c>
      <c r="B588" t="str">
        <f ca="1">IFERROR(__xludf.DUMMYFUNCTION("""COMPUTED_VALUE"""),"A.01.001221")</f>
        <v>A.01.001221</v>
      </c>
    </row>
    <row r="589" spans="1:2" ht="12.5" x14ac:dyDescent="0.25">
      <c r="A589" t="str">
        <f ca="1">IFERROR(__xludf.DUMMYFUNCTION("""COMPUTED_VALUE"""),"Cheese, Tomme de Savoie")</f>
        <v>Cheese, Tomme de Savoie</v>
      </c>
      <c r="B589" t="str">
        <f ca="1">IFERROR(__xludf.DUMMYFUNCTION("""COMPUTED_VALUE"""),"A.01.001222")</f>
        <v>A.01.001222</v>
      </c>
    </row>
    <row r="590" spans="1:2" ht="12.5" x14ac:dyDescent="0.25">
      <c r="A590" t="str">
        <f ca="1">IFERROR(__xludf.DUMMYFUNCTION("""COMPUTED_VALUE"""),"Cheese, Torta del Casar")</f>
        <v>Cheese, Torta del Casar</v>
      </c>
      <c r="B590" t="str">
        <f ca="1">IFERROR(__xludf.DUMMYFUNCTION("""COMPUTED_VALUE"""),"A.01.001223")</f>
        <v>A.01.001223</v>
      </c>
    </row>
    <row r="591" spans="1:2" ht="12.5" x14ac:dyDescent="0.25">
      <c r="A591" t="str">
        <f ca="1">IFERROR(__xludf.DUMMYFUNCTION("""COMPUTED_VALUE"""),"Cheese, Trappist")</f>
        <v>Cheese, Trappist</v>
      </c>
      <c r="B591" t="str">
        <f ca="1">IFERROR(__xludf.DUMMYFUNCTION("""COMPUTED_VALUE"""),"A.01.001224")</f>
        <v>A.01.001224</v>
      </c>
    </row>
    <row r="592" spans="1:2" ht="12.5" x14ac:dyDescent="0.25">
      <c r="A592" t="str">
        <f ca="1">IFERROR(__xludf.DUMMYFUNCTION("""COMPUTED_VALUE"""),"Cheese, Triple Cremes")</f>
        <v>Cheese, Triple Cremes</v>
      </c>
      <c r="B592" t="str">
        <f ca="1">IFERROR(__xludf.DUMMYFUNCTION("""COMPUTED_VALUE"""),"A.01.001225")</f>
        <v>A.01.001225</v>
      </c>
    </row>
    <row r="593" spans="1:2" ht="12.5" x14ac:dyDescent="0.25">
      <c r="A593" t="str">
        <f ca="1">IFERROR(__xludf.DUMMYFUNCTION("""COMPUTED_VALUE"""),"Cheese, Tronchon")</f>
        <v>Cheese, Tronchon</v>
      </c>
      <c r="B593" t="str">
        <f ca="1">IFERROR(__xludf.DUMMYFUNCTION("""COMPUTED_VALUE"""),"A.01.001226")</f>
        <v>A.01.001226</v>
      </c>
    </row>
    <row r="594" spans="1:2" ht="12.5" x14ac:dyDescent="0.25">
      <c r="A594" t="str">
        <f ca="1">IFERROR(__xludf.DUMMYFUNCTION("""COMPUTED_VALUE"""),"Cheese, Turunmaa")</f>
        <v>Cheese, Turunmaa</v>
      </c>
      <c r="B594" t="str">
        <f ca="1">IFERROR(__xludf.DUMMYFUNCTION("""COMPUTED_VALUE"""),"A.01.001227")</f>
        <v>A.01.001227</v>
      </c>
    </row>
    <row r="595" spans="1:2" ht="12.5" x14ac:dyDescent="0.25">
      <c r="A595" t="str">
        <f ca="1">IFERROR(__xludf.DUMMYFUNCTION("""COMPUTED_VALUE"""),"Cheese, Ubriaco")</f>
        <v>Cheese, Ubriaco</v>
      </c>
      <c r="B595" t="str">
        <f ca="1">IFERROR(__xludf.DUMMYFUNCTION("""COMPUTED_VALUE"""),"A.01.001228")</f>
        <v>A.01.001228</v>
      </c>
    </row>
    <row r="596" spans="1:2" ht="12.5" x14ac:dyDescent="0.25">
      <c r="A596" t="str">
        <f ca="1">IFERROR(__xludf.DUMMYFUNCTION("""COMPUTED_VALUE"""),"Cheese, Urda")</f>
        <v>Cheese, Urda</v>
      </c>
      <c r="B596" t="str">
        <f ca="1">IFERROR(__xludf.DUMMYFUNCTION("""COMPUTED_VALUE"""),"A.01.001229")</f>
        <v>A.01.001229</v>
      </c>
    </row>
    <row r="597" spans="1:2" ht="12.5" x14ac:dyDescent="0.25">
      <c r="A597" t="str">
        <f ca="1">IFERROR(__xludf.DUMMYFUNCTION("""COMPUTED_VALUE"""),"Cheese, Vacherin Fribourgeois")</f>
        <v>Cheese, Vacherin Fribourgeois</v>
      </c>
      <c r="B597" t="str">
        <f ca="1">IFERROR(__xludf.DUMMYFUNCTION("""COMPUTED_VALUE"""),"A.01.001230")</f>
        <v>A.01.001230</v>
      </c>
    </row>
    <row r="598" spans="1:2" ht="12.5" x14ac:dyDescent="0.25">
      <c r="A598" t="str">
        <f ca="1">IFERROR(__xludf.DUMMYFUNCTION("""COMPUTED_VALUE"""),"Cheese, Vacherin Mont d'Or")</f>
        <v>Cheese, Vacherin Mont d'Or</v>
      </c>
      <c r="B598" t="str">
        <f ca="1">IFERROR(__xludf.DUMMYFUNCTION("""COMPUTED_VALUE"""),"A.01.001231")</f>
        <v>A.01.001231</v>
      </c>
    </row>
    <row r="599" spans="1:2" ht="12.5" x14ac:dyDescent="0.25">
      <c r="A599" t="str">
        <f ca="1">IFERROR(__xludf.DUMMYFUNCTION("""COMPUTED_VALUE"""),"Cheese, Valdeon")</f>
        <v>Cheese, Valdeon</v>
      </c>
      <c r="B599" t="str">
        <f ca="1">IFERROR(__xludf.DUMMYFUNCTION("""COMPUTED_VALUE"""),"A.01.001232")</f>
        <v>A.01.001232</v>
      </c>
    </row>
    <row r="600" spans="1:2" ht="12.5" x14ac:dyDescent="0.25">
      <c r="A600" t="str">
        <f ca="1">IFERROR(__xludf.DUMMYFUNCTION("""COMPUTED_VALUE"""),"Cheese, Van Dijk")</f>
        <v>Cheese, Van Dijk</v>
      </c>
      <c r="B600" t="str">
        <f ca="1">IFERROR(__xludf.DUMMYFUNCTION("""COMPUTED_VALUE"""),"A.01.001233")</f>
        <v>A.01.001233</v>
      </c>
    </row>
    <row r="601" spans="1:2" ht="12.5" x14ac:dyDescent="0.25">
      <c r="A601" t="str">
        <f ca="1">IFERROR(__xludf.DUMMYFUNCTION("""COMPUTED_VALUE"""),"Cheese, Vasterbotten")</f>
        <v>Cheese, Vasterbotten</v>
      </c>
      <c r="B601" t="str">
        <f ca="1">IFERROR(__xludf.DUMMYFUNCTION("""COMPUTED_VALUE"""),"A.01.001234")</f>
        <v>A.01.001234</v>
      </c>
    </row>
    <row r="602" spans="1:2" ht="12.5" x14ac:dyDescent="0.25">
      <c r="A602" t="str">
        <f ca="1">IFERROR(__xludf.DUMMYFUNCTION("""COMPUTED_VALUE"""),"Cheese, Vignerons")</f>
        <v>Cheese, Vignerons</v>
      </c>
      <c r="B602" t="str">
        <f ca="1">IFERROR(__xludf.DUMMYFUNCTION("""COMPUTED_VALUE"""),"A.01.001235")</f>
        <v>A.01.001235</v>
      </c>
    </row>
    <row r="603" spans="1:2" ht="12.5" x14ac:dyDescent="0.25">
      <c r="A603" t="str">
        <f ca="1">IFERROR(__xludf.DUMMYFUNCTION("""COMPUTED_VALUE"""),"Cheese, Wensleydale")</f>
        <v>Cheese, Wensleydale</v>
      </c>
      <c r="B603" t="str">
        <f ca="1">IFERROR(__xludf.DUMMYFUNCTION("""COMPUTED_VALUE"""),"A.01.001236")</f>
        <v>A.01.001236</v>
      </c>
    </row>
    <row r="604" spans="1:2" ht="12.5" x14ac:dyDescent="0.25">
      <c r="A604" t="str">
        <f ca="1">IFERROR(__xludf.DUMMYFUNCTION("""COMPUTED_VALUE"""),"Cheese, White Stilton")</f>
        <v>Cheese, White Stilton</v>
      </c>
      <c r="B604" t="str">
        <f ca="1">IFERROR(__xludf.DUMMYFUNCTION("""COMPUTED_VALUE"""),"A.01.001237")</f>
        <v>A.01.001237</v>
      </c>
    </row>
    <row r="605" spans="1:2" ht="12.5" x14ac:dyDescent="0.25">
      <c r="A605" t="str">
        <f ca="1">IFERROR(__xludf.DUMMYFUNCTION("""COMPUTED_VALUE"""),"Cheese, Wynendale")</f>
        <v>Cheese, Wynendale</v>
      </c>
      <c r="B605" t="str">
        <f ca="1">IFERROR(__xludf.DUMMYFUNCTION("""COMPUTED_VALUE"""),"A.01.001238")</f>
        <v>A.01.001238</v>
      </c>
    </row>
    <row r="606" spans="1:2" ht="12.5" x14ac:dyDescent="0.25">
      <c r="A606" t="str">
        <f ca="1">IFERROR(__xludf.DUMMYFUNCTION("""COMPUTED_VALUE"""),"Cheese, Zamorano")</f>
        <v>Cheese, Zamorano</v>
      </c>
      <c r="B606" t="str">
        <f ca="1">IFERROR(__xludf.DUMMYFUNCTION("""COMPUTED_VALUE"""),"A.01.001239")</f>
        <v>A.01.001239</v>
      </c>
    </row>
    <row r="607" spans="1:2" ht="12.5" x14ac:dyDescent="0.25">
      <c r="A607" t="str">
        <f ca="1">IFERROR(__xludf.DUMMYFUNCTION("""COMPUTED_VALUE"""),"Cherimoya (Annona cherimola)")</f>
        <v>Cherimoya (Annona cherimola)</v>
      </c>
      <c r="B607" t="str">
        <f ca="1">IFERROR(__xludf.DUMMYFUNCTION("""COMPUTED_VALUE"""),"A.01.000630")</f>
        <v>A.01.000630</v>
      </c>
    </row>
    <row r="608" spans="1:2" ht="12.5" x14ac:dyDescent="0.25">
      <c r="A608" t="str">
        <f ca="1">IFERROR(__xludf.DUMMYFUNCTION("""COMPUTED_VALUE"""),"Chervil, herb (Anthriscus cerefolium)")</f>
        <v>Chervil, herb (Anthriscus cerefolium)</v>
      </c>
      <c r="B608" t="str">
        <f ca="1">IFERROR(__xludf.DUMMYFUNCTION("""COMPUTED_VALUE"""),"A.01.001582")</f>
        <v>A.01.001582</v>
      </c>
    </row>
    <row r="609" spans="1:2" ht="12.5" x14ac:dyDescent="0.25">
      <c r="A609" t="str">
        <f ca="1">IFERROR(__xludf.DUMMYFUNCTION("""COMPUTED_VALUE"""),"Chestnut purée (Castanea vulgaris)")</f>
        <v>Chestnut purée (Castanea vulgaris)</v>
      </c>
      <c r="B609" t="str">
        <f ca="1">IFERROR(__xludf.DUMMYFUNCTION("""COMPUTED_VALUE"""),"A.01.000450")</f>
        <v>A.01.000450</v>
      </c>
    </row>
    <row r="610" spans="1:2" ht="12.5" x14ac:dyDescent="0.25">
      <c r="A610" t="str">
        <f ca="1">IFERROR(__xludf.DUMMYFUNCTION("""COMPUTED_VALUE"""),"Chestnuts (Castanea sativa)")</f>
        <v>Chestnuts (Castanea sativa)</v>
      </c>
      <c r="B610" t="str">
        <f ca="1">IFERROR(__xludf.DUMMYFUNCTION("""COMPUTED_VALUE"""),"A.01.000518")</f>
        <v>A.01.000518</v>
      </c>
    </row>
    <row r="611" spans="1:2" ht="12.5" x14ac:dyDescent="0.25">
      <c r="A611" t="str">
        <f ca="1">IFERROR(__xludf.DUMMYFUNCTION("""COMPUTED_VALUE"""),"Chewing gum with added sugar")</f>
        <v>Chewing gum with added sugar</v>
      </c>
      <c r="B611" t="str">
        <f ca="1">IFERROR(__xludf.DUMMYFUNCTION("""COMPUTED_VALUE"""),"A.01.001326")</f>
        <v>A.01.001326</v>
      </c>
    </row>
    <row r="612" spans="1:2" ht="12.5" x14ac:dyDescent="0.25">
      <c r="A612" t="str">
        <f ca="1">IFERROR(__xludf.DUMMYFUNCTION("""COMPUTED_VALUE"""),"Chewing gum without added sugar")</f>
        <v>Chewing gum without added sugar</v>
      </c>
      <c r="B612" t="str">
        <f ca="1">IFERROR(__xludf.DUMMYFUNCTION("""COMPUTED_VALUE"""),"A.01.001327")</f>
        <v>A.01.001327</v>
      </c>
    </row>
    <row r="613" spans="1:2" ht="12.5" x14ac:dyDescent="0.25">
      <c r="A613" t="str">
        <f ca="1">IFERROR(__xludf.DUMMYFUNCTION("""COMPUTED_VALUE"""),"Chick pea (Cicer arietinum)")</f>
        <v>Chick pea (Cicer arietinum)</v>
      </c>
      <c r="B613" t="str">
        <f ca="1">IFERROR(__xludf.DUMMYFUNCTION("""COMPUTED_VALUE"""),"A.01.000496")</f>
        <v>A.01.000496</v>
      </c>
    </row>
    <row r="614" spans="1:2" ht="12.5" x14ac:dyDescent="0.25">
      <c r="A614" t="str">
        <f ca="1">IFERROR(__xludf.DUMMYFUNCTION("""COMPUTED_VALUE"""),"Chick pea flour")</f>
        <v>Chick pea flour</v>
      </c>
      <c r="B614" t="str">
        <f ca="1">IFERROR(__xludf.DUMMYFUNCTION("""COMPUTED_VALUE"""),"A.01.000497")</f>
        <v>A.01.000497</v>
      </c>
    </row>
    <row r="615" spans="1:2" ht="12.5" x14ac:dyDescent="0.25">
      <c r="A615" t="str">
        <f ca="1">IFERROR(__xludf.DUMMYFUNCTION("""COMPUTED_VALUE"""),"Chick peas")</f>
        <v>Chick peas</v>
      </c>
      <c r="B615" t="str">
        <f ca="1">IFERROR(__xludf.DUMMYFUNCTION("""COMPUTED_VALUE"""),"F03.01")</f>
        <v>F03.01</v>
      </c>
    </row>
    <row r="616" spans="1:2" ht="12.5" x14ac:dyDescent="0.25">
      <c r="A616" t="str">
        <f ca="1">IFERROR(__xludf.DUMMYFUNCTION("""COMPUTED_VALUE"""),"Chick peas")</f>
        <v>Chick peas</v>
      </c>
      <c r="B616" t="str">
        <f ca="1">IFERROR(__xludf.DUMMYFUNCTION("""COMPUTED_VALUE"""),"G.3.3")</f>
        <v>G.3.3</v>
      </c>
    </row>
    <row r="617" spans="1:2" ht="12.5" x14ac:dyDescent="0.25">
      <c r="A617" t="str">
        <f ca="1">IFERROR(__xludf.DUMMYFUNCTION("""COMPUTED_VALUE"""),"Chickasaw plum (Prunus angustifolia)")</f>
        <v>Chickasaw plum (Prunus angustifolia)</v>
      </c>
      <c r="B617" t="str">
        <f ca="1">IFERROR(__xludf.DUMMYFUNCTION("""COMPUTED_VALUE"""),"A.01.000570")</f>
        <v>A.01.000570</v>
      </c>
    </row>
    <row r="618" spans="1:2" ht="12.5" x14ac:dyDescent="0.25">
      <c r="A618" t="str">
        <f ca="1">IFERROR(__xludf.DUMMYFUNCTION("""COMPUTED_VALUE"""),"Chicken fat")</f>
        <v>Chicken fat</v>
      </c>
      <c r="B618" t="str">
        <f ca="1">IFERROR(__xludf.DUMMYFUNCTION("""COMPUTED_VALUE"""),"A.01.001352")</f>
        <v>A.01.001352</v>
      </c>
    </row>
    <row r="619" spans="1:2" ht="12.5" x14ac:dyDescent="0.25">
      <c r="A619" t="str">
        <f ca="1">IFERROR(__xludf.DUMMYFUNCTION("""COMPUTED_VALUE"""),"Chicken liver")</f>
        <v>Chicken liver</v>
      </c>
      <c r="B619" t="str">
        <f ca="1">IFERROR(__xludf.DUMMYFUNCTION("""COMPUTED_VALUE"""),"A.01.000771")</f>
        <v>A.01.000771</v>
      </c>
    </row>
    <row r="620" spans="1:2" ht="12.5" x14ac:dyDescent="0.25">
      <c r="A620" t="str">
        <f ca="1">IFERROR(__xludf.DUMMYFUNCTION("""COMPUTED_VALUE"""),"Chicken meat (Gallus domesticus)")</f>
        <v>Chicken meat (Gallus domesticus)</v>
      </c>
      <c r="B620" t="str">
        <f ca="1">IFERROR(__xludf.DUMMYFUNCTION("""COMPUTED_VALUE"""),"A.01.000737")</f>
        <v>A.01.000737</v>
      </c>
    </row>
    <row r="621" spans="1:2" ht="12.5" x14ac:dyDescent="0.25">
      <c r="A621" t="str">
        <f ca="1">IFERROR(__xludf.DUMMYFUNCTION("""COMPUTED_VALUE"""),"Chickling vetch")</f>
        <v>Chickling vetch</v>
      </c>
      <c r="B621" t="str">
        <f ca="1">IFERROR(__xludf.DUMMYFUNCTION("""COMPUTED_VALUE"""),"F03.04")</f>
        <v>F03.04</v>
      </c>
    </row>
    <row r="622" spans="1:2" ht="12.5" x14ac:dyDescent="0.25">
      <c r="A622" t="str">
        <f ca="1">IFERROR(__xludf.DUMMYFUNCTION("""COMPUTED_VALUE"""),"Chickling vetch")</f>
        <v>Chickling vetch</v>
      </c>
      <c r="B622" t="str">
        <f ca="1">IFERROR(__xludf.DUMMYFUNCTION("""COMPUTED_VALUE"""),"G.3.13")</f>
        <v>G.3.13</v>
      </c>
    </row>
    <row r="623" spans="1:2" ht="12.5" x14ac:dyDescent="0.25">
      <c r="A623" t="str">
        <f ca="1">IFERROR(__xludf.DUMMYFUNCTION("""COMPUTED_VALUE"""),"Chicory coffee")</f>
        <v>Chicory coffee</v>
      </c>
      <c r="B623" t="str">
        <f ca="1">IFERROR(__xludf.DUMMYFUNCTION("""COMPUTED_VALUE"""),"A.01.000433")</f>
        <v>A.01.000433</v>
      </c>
    </row>
    <row r="624" spans="1:2" ht="12.5" x14ac:dyDescent="0.25">
      <c r="A624" t="str">
        <f ca="1">IFERROR(__xludf.DUMMYFUNCTION("""COMPUTED_VALUE"""),"Chicory inulin")</f>
        <v>Chicory inulin</v>
      </c>
      <c r="B624" t="str">
        <f ca="1">IFERROR(__xludf.DUMMYFUNCTION("""COMPUTED_VALUE"""),"G.4.4.9")</f>
        <v>G.4.4.9</v>
      </c>
    </row>
    <row r="625" spans="1:2" ht="12.5" x14ac:dyDescent="0.25">
      <c r="A625" t="str">
        <f ca="1">IFERROR(__xludf.DUMMYFUNCTION("""COMPUTED_VALUE"""),"Chicory molasses")</f>
        <v>Chicory molasses</v>
      </c>
      <c r="B625" t="str">
        <f ca="1">IFERROR(__xludf.DUMMYFUNCTION("""COMPUTED_VALUE"""),"G.4.4.7")</f>
        <v>G.4.4.7</v>
      </c>
    </row>
    <row r="626" spans="1:2" ht="12.5" x14ac:dyDescent="0.25">
      <c r="A626" t="str">
        <f ca="1">IFERROR(__xludf.DUMMYFUNCTION("""COMPUTED_VALUE"""),"Chicory roots")</f>
        <v>Chicory roots</v>
      </c>
      <c r="B626" t="str">
        <f ca="1">IFERROR(__xludf.DUMMYFUNCTION("""COMPUTED_VALUE"""),"G.4.4")</f>
        <v>G.4.4</v>
      </c>
    </row>
    <row r="627" spans="1:2" ht="12.5" x14ac:dyDescent="0.25">
      <c r="A627" t="str">
        <f ca="1">IFERROR(__xludf.DUMMYFUNCTION("""COMPUTED_VALUE"""),"Chicory roots (Cichorium intybus)")</f>
        <v>Chicory roots (Cichorium intybus)</v>
      </c>
      <c r="B627" t="str">
        <f ca="1">IFERROR(__xludf.DUMMYFUNCTION("""COMPUTED_VALUE"""),"A.01.000398")</f>
        <v>A.01.000398</v>
      </c>
    </row>
    <row r="628" spans="1:2" ht="12.5" x14ac:dyDescent="0.25">
      <c r="A628" t="str">
        <f ca="1">IFERROR(__xludf.DUMMYFUNCTION("""COMPUTED_VALUE"""),"Chicory roots powder")</f>
        <v>Chicory roots powder</v>
      </c>
      <c r="B628" t="str">
        <f ca="1">IFERROR(__xludf.DUMMYFUNCTION("""COMPUTED_VALUE"""),"G.4.4.6")</f>
        <v>G.4.4.6</v>
      </c>
    </row>
    <row r="629" spans="1:2" ht="12.5" x14ac:dyDescent="0.25">
      <c r="A629" t="str">
        <f ca="1">IFERROR(__xludf.DUMMYFUNCTION("""COMPUTED_VALUE"""),"Chicory seed")</f>
        <v>Chicory seed</v>
      </c>
      <c r="B629" t="str">
        <f ca="1">IFERROR(__xludf.DUMMYFUNCTION("""COMPUTED_VALUE"""),"G.4.4.3")</f>
        <v>G.4.4.3</v>
      </c>
    </row>
    <row r="630" spans="1:2" ht="12.5" x14ac:dyDescent="0.25">
      <c r="A630" t="str">
        <f ca="1">IFERROR(__xludf.DUMMYFUNCTION("""COMPUTED_VALUE"""),"Chicory tops and tails")</f>
        <v>Chicory tops and tails</v>
      </c>
      <c r="B630" t="str">
        <f ca="1">IFERROR(__xludf.DUMMYFUNCTION("""COMPUTED_VALUE"""),"G.4.4.2")</f>
        <v>G.4.4.2</v>
      </c>
    </row>
    <row r="631" spans="1:2" ht="12.5" x14ac:dyDescent="0.25">
      <c r="A631" t="str">
        <f ca="1">IFERROR(__xludf.DUMMYFUNCTION("""COMPUTED_VALUE"""),"Chicory vinasses")</f>
        <v>Chicory vinasses</v>
      </c>
      <c r="B631" t="str">
        <f ca="1">IFERROR(__xludf.DUMMYFUNCTION("""COMPUTED_VALUE"""),"G.4.4.8")</f>
        <v>G.4.4.8</v>
      </c>
    </row>
    <row r="632" spans="1:2" ht="12.5" x14ac:dyDescent="0.25">
      <c r="A632" t="str">
        <f ca="1">IFERROR(__xludf.DUMMYFUNCTION("""COMPUTED_VALUE"""),"Chilli pepper (Capsicum frutescens)")</f>
        <v>Chilli pepper (Capsicum frutescens)</v>
      </c>
      <c r="B632" t="str">
        <f ca="1">IFERROR(__xludf.DUMMYFUNCTION("""COMPUTED_VALUE"""),"A.01.000340")</f>
        <v>A.01.000340</v>
      </c>
    </row>
    <row r="633" spans="1:2" ht="12.5" x14ac:dyDescent="0.25">
      <c r="A633" t="str">
        <f ca="1">IFERROR(__xludf.DUMMYFUNCTION("""COMPUTED_VALUE"""),"Chilli pickle")</f>
        <v>Chilli pickle</v>
      </c>
      <c r="B633" t="str">
        <f ca="1">IFERROR(__xludf.DUMMYFUNCTION("""COMPUTED_VALUE"""),"A.01.001679")</f>
        <v>A.01.001679</v>
      </c>
    </row>
    <row r="634" spans="1:2" ht="12.5" x14ac:dyDescent="0.25">
      <c r="A634" t="str">
        <f ca="1">IFERROR(__xludf.DUMMYFUNCTION("""COMPUTED_VALUE"""),"Chilli powder")</f>
        <v>Chilli powder</v>
      </c>
      <c r="B634" t="str">
        <f ca="1">IFERROR(__xludf.DUMMYFUNCTION("""COMPUTED_VALUE"""),"A.01.001595")</f>
        <v>A.01.001595</v>
      </c>
    </row>
    <row r="635" spans="1:2" ht="12.5" x14ac:dyDescent="0.25">
      <c r="A635" t="str">
        <f ca="1">IFERROR(__xludf.DUMMYFUNCTION("""COMPUTED_VALUE"""),"Chinese cabbage (Brassica pekinensis)")</f>
        <v>Chinese cabbage (Brassica pekinensis)</v>
      </c>
      <c r="B635" t="str">
        <f ca="1">IFERROR(__xludf.DUMMYFUNCTION("""COMPUTED_VALUE"""),"A.01.000355")</f>
        <v>A.01.000355</v>
      </c>
    </row>
    <row r="636" spans="1:2" ht="12.5" x14ac:dyDescent="0.25">
      <c r="A636" t="str">
        <f ca="1">IFERROR(__xludf.DUMMYFUNCTION("""COMPUTED_VALUE"""),"Chives, bulb (Allium schoenoprasum)")</f>
        <v>Chives, bulb (Allium schoenoprasum)</v>
      </c>
      <c r="B636" t="str">
        <f ca="1">IFERROR(__xludf.DUMMYFUNCTION("""COMPUTED_VALUE"""),"A.01.000336")</f>
        <v>A.01.000336</v>
      </c>
    </row>
    <row r="637" spans="1:2" ht="12.5" x14ac:dyDescent="0.25">
      <c r="A637" t="str">
        <f ca="1">IFERROR(__xludf.DUMMYFUNCTION("""COMPUTED_VALUE"""),"Chives, herb (Allium schoenoprasum)")</f>
        <v>Chives, herb (Allium schoenoprasum)</v>
      </c>
      <c r="B637" t="str">
        <f ca="1">IFERROR(__xludf.DUMMYFUNCTION("""COMPUTED_VALUE"""),"A.01.001583")</f>
        <v>A.01.001583</v>
      </c>
    </row>
    <row r="638" spans="1:2" ht="12.5" x14ac:dyDescent="0.25">
      <c r="A638" t="str">
        <f ca="1">IFERROR(__xludf.DUMMYFUNCTION("""COMPUTED_VALUE"""),"Chocolate (Cocoa) products")</f>
        <v>Chocolate (Cocoa) products</v>
      </c>
      <c r="B638" t="str">
        <f ca="1">IFERROR(__xludf.DUMMYFUNCTION("""COMPUTED_VALUE"""),"A.01.001295")</f>
        <v>A.01.001295</v>
      </c>
    </row>
    <row r="639" spans="1:2" ht="12.5" x14ac:dyDescent="0.25">
      <c r="A639" t="str">
        <f ca="1">IFERROR(__xludf.DUMMYFUNCTION("""COMPUTED_VALUE"""),"Chocolate and chocolate based products")</f>
        <v>Chocolate and chocolate based products</v>
      </c>
      <c r="B639" t="str">
        <f ca="1">IFERROR(__xludf.DUMMYFUNCTION("""COMPUTED_VALUE"""),"C02_1")</f>
        <v>C02_1</v>
      </c>
    </row>
    <row r="640" spans="1:2" ht="12.5" x14ac:dyDescent="0.25">
      <c r="A640" t="str">
        <f ca="1">IFERROR(__xludf.DUMMYFUNCTION("""COMPUTED_VALUE"""),"Chocolate and chocolate products for diabetics")</f>
        <v>Chocolate and chocolate products for diabetics</v>
      </c>
      <c r="B640" t="str">
        <f ca="1">IFERROR(__xludf.DUMMYFUNCTION("""COMPUTED_VALUE"""),"A.01.001774")</f>
        <v>A.01.001774</v>
      </c>
    </row>
    <row r="641" spans="1:2" ht="12.5" x14ac:dyDescent="0.25">
      <c r="A641" t="str">
        <f ca="1">IFERROR(__xludf.DUMMYFUNCTION("""COMPUTED_VALUE"""),"Chocolate and fruit-flavoured milk")</f>
        <v>Chocolate and fruit-flavoured milk</v>
      </c>
      <c r="B641" t="str">
        <f ca="1">IFERROR(__xludf.DUMMYFUNCTION("""COMPUTED_VALUE"""),"A.01.000966")</f>
        <v>A.01.000966</v>
      </c>
    </row>
    <row r="642" spans="1:2" ht="12.5" x14ac:dyDescent="0.25">
      <c r="A642" t="str">
        <f ca="1">IFERROR(__xludf.DUMMYFUNCTION("""COMPUTED_VALUE"""),"Chocolate bar")</f>
        <v>Chocolate bar</v>
      </c>
      <c r="B642" t="str">
        <f ca="1">IFERROR(__xludf.DUMMYFUNCTION("""COMPUTED_VALUE"""),"A.01.001298")</f>
        <v>A.01.001298</v>
      </c>
    </row>
    <row r="643" spans="1:2" ht="12.5" x14ac:dyDescent="0.25">
      <c r="A643" t="str">
        <f ca="1">IFERROR(__xludf.DUMMYFUNCTION("""COMPUTED_VALUE"""),"Chocolate cake")</f>
        <v>Chocolate cake</v>
      </c>
      <c r="B643" t="str">
        <f ca="1">IFERROR(__xludf.DUMMYFUNCTION("""COMPUTED_VALUE"""),"A.01.000259")</f>
        <v>A.01.000259</v>
      </c>
    </row>
    <row r="644" spans="1:2" ht="12.5" x14ac:dyDescent="0.25">
      <c r="A644" t="str">
        <f ca="1">IFERROR(__xludf.DUMMYFUNCTION("""COMPUTED_VALUE"""),"Chocolate cake with fruits")</f>
        <v>Chocolate cake with fruits</v>
      </c>
      <c r="B644" t="str">
        <f ca="1">IFERROR(__xludf.DUMMYFUNCTION("""COMPUTED_VALUE"""),"A.01.000260")</f>
        <v>A.01.000260</v>
      </c>
    </row>
    <row r="645" spans="1:2" ht="12.5" x14ac:dyDescent="0.25">
      <c r="A645" t="str">
        <f ca="1">IFERROR(__xludf.DUMMYFUNCTION("""COMPUTED_VALUE"""),"Chocolate coated confectionery")</f>
        <v>Chocolate coated confectionery</v>
      </c>
      <c r="B645" t="str">
        <f ca="1">IFERROR(__xludf.DUMMYFUNCTION("""COMPUTED_VALUE"""),"A.01.001301")</f>
        <v>A.01.001301</v>
      </c>
    </row>
    <row r="646" spans="1:2" ht="12.5" x14ac:dyDescent="0.25">
      <c r="A646" t="str">
        <f ca="1">IFERROR(__xludf.DUMMYFUNCTION("""COMPUTED_VALUE"""),"Chocolate liqueur")</f>
        <v>Chocolate liqueur</v>
      </c>
      <c r="B646" t="str">
        <f ca="1">IFERROR(__xludf.DUMMYFUNCTION("""COMPUTED_VALUE"""),"A.01.001555")</f>
        <v>A.01.001555</v>
      </c>
    </row>
    <row r="647" spans="1:2" ht="12.5" x14ac:dyDescent="0.25">
      <c r="A647" t="str">
        <f ca="1">IFERROR(__xludf.DUMMYFUNCTION("""COMPUTED_VALUE"""),"Chocolate milkshake")</f>
        <v>Chocolate milkshake</v>
      </c>
      <c r="B647" t="str">
        <f ca="1">IFERROR(__xludf.DUMMYFUNCTION("""COMPUTED_VALUE"""),"A.01.000969")</f>
        <v>A.01.000969</v>
      </c>
    </row>
    <row r="648" spans="1:2" ht="12.5" x14ac:dyDescent="0.25">
      <c r="A648" t="str">
        <f ca="1">IFERROR(__xludf.DUMMYFUNCTION("""COMPUTED_VALUE"""),"Chocolate sauce")</f>
        <v>Chocolate sauce</v>
      </c>
      <c r="B648" t="str">
        <f ca="1">IFERROR(__xludf.DUMMYFUNCTION("""COMPUTED_VALUE"""),"A.01.001330")</f>
        <v>A.01.001330</v>
      </c>
    </row>
    <row r="649" spans="1:2" ht="12.5" x14ac:dyDescent="0.25">
      <c r="A649" t="str">
        <f ca="1">IFERROR(__xludf.DUMMYFUNCTION("""COMPUTED_VALUE"""),"Chocolate substitutes")</f>
        <v>Chocolate substitutes</v>
      </c>
      <c r="B649" t="str">
        <f ca="1">IFERROR(__xludf.DUMMYFUNCTION("""COMPUTED_VALUE"""),"A.01.001309")</f>
        <v>A.01.001309</v>
      </c>
    </row>
    <row r="650" spans="1:2" ht="12.5" x14ac:dyDescent="0.25">
      <c r="A650" t="str">
        <f ca="1">IFERROR(__xludf.DUMMYFUNCTION("""COMPUTED_VALUE"""),"Chocolate with nuts or fruits")</f>
        <v>Chocolate with nuts or fruits</v>
      </c>
      <c r="B650" t="str">
        <f ca="1">IFERROR(__xludf.DUMMYFUNCTION("""COMPUTED_VALUE"""),"A.01.001300")</f>
        <v>A.01.001300</v>
      </c>
    </row>
    <row r="651" spans="1:2" ht="12.5" x14ac:dyDescent="0.25">
      <c r="A651" t="str">
        <f ca="1">IFERROR(__xludf.DUMMYFUNCTION("""COMPUTED_VALUE"""),"Chocolate, cream")</f>
        <v>Chocolate, cream</v>
      </c>
      <c r="B651" t="str">
        <f ca="1">IFERROR(__xludf.DUMMYFUNCTION("""COMPUTED_VALUE"""),"A.01.001299")</f>
        <v>A.01.001299</v>
      </c>
    </row>
    <row r="652" spans="1:2" ht="12.5" x14ac:dyDescent="0.25">
      <c r="A652" t="str">
        <f ca="1">IFERROR(__xludf.DUMMYFUNCTION("""COMPUTED_VALUE"""),"Chokecherry (Prunus virginiana)")</f>
        <v>Chokecherry (Prunus virginiana)</v>
      </c>
      <c r="B652" t="str">
        <f ca="1">IFERROR(__xludf.DUMMYFUNCTION("""COMPUTED_VALUE"""),"A.01.000574")</f>
        <v>A.01.000574</v>
      </c>
    </row>
    <row r="653" spans="1:2" ht="12.5" x14ac:dyDescent="0.25">
      <c r="A653" t="str">
        <f ca="1">IFERROR(__xludf.DUMMYFUNCTION("""COMPUTED_VALUE"""),"Chondroitin sulphate")</f>
        <v>Chondroitin sulphate</v>
      </c>
      <c r="B653" t="str">
        <f ca="1">IFERROR(__xludf.DUMMYFUNCTION("""COMPUTED_VALUE"""),"G.13.7")</f>
        <v>G.13.7</v>
      </c>
    </row>
    <row r="654" spans="1:2" ht="12.5" x14ac:dyDescent="0.25">
      <c r="A654" t="str">
        <f ca="1">IFERROR(__xludf.DUMMYFUNCTION("""COMPUTED_VALUE"""),"Chorizo")</f>
        <v>Chorizo</v>
      </c>
      <c r="B654" t="str">
        <f ca="1">IFERROR(__xludf.DUMMYFUNCTION("""COMPUTED_VALUE"""),"A.01.000854")</f>
        <v>A.01.000854</v>
      </c>
    </row>
    <row r="655" spans="1:2" ht="12.5" x14ac:dyDescent="0.25">
      <c r="A655" t="str">
        <f ca="1">IFERROR(__xludf.DUMMYFUNCTION("""COMPUTED_VALUE"""),"Chutney and pickles")</f>
        <v>Chutney and pickles</v>
      </c>
      <c r="B655" t="str">
        <f ca="1">IFERROR(__xludf.DUMMYFUNCTION("""COMPUTED_VALUE"""),"A.01.001672")</f>
        <v>A.01.001672</v>
      </c>
    </row>
    <row r="656" spans="1:2" ht="12.5" x14ac:dyDescent="0.25">
      <c r="A656" t="str">
        <f ca="1">IFERROR(__xludf.DUMMYFUNCTION("""COMPUTED_VALUE"""),"Cider")</f>
        <v>Cider</v>
      </c>
      <c r="B656" t="str">
        <f ca="1">IFERROR(__xludf.DUMMYFUNCTION("""COMPUTED_VALUE"""),"A.01.001550")</f>
        <v>A.01.001550</v>
      </c>
    </row>
    <row r="657" spans="1:2" ht="12.5" x14ac:dyDescent="0.25">
      <c r="A657" t="str">
        <f ca="1">IFERROR(__xludf.DUMMYFUNCTION("""COMPUTED_VALUE"""),"Cieddu")</f>
        <v>Cieddu</v>
      </c>
      <c r="B657" t="str">
        <f ca="1">IFERROR(__xludf.DUMMYFUNCTION("""COMPUTED_VALUE"""),"A.01.001043")</f>
        <v>A.01.001043</v>
      </c>
    </row>
    <row r="658" spans="1:2" ht="12.5" x14ac:dyDescent="0.25">
      <c r="A658" t="str">
        <f ca="1">IFERROR(__xludf.DUMMYFUNCTION("""COMPUTED_VALUE"""),"Cinnamon (Cinnamonum verum syn. C. zeylanicum)")</f>
        <v>Cinnamon (Cinnamonum verum syn. C. zeylanicum)</v>
      </c>
      <c r="B658" t="str">
        <f ca="1">IFERROR(__xludf.DUMMYFUNCTION("""COMPUTED_VALUE"""),"A.01.001607")</f>
        <v>A.01.001607</v>
      </c>
    </row>
    <row r="659" spans="1:2" ht="12.5" x14ac:dyDescent="0.25">
      <c r="A659" t="str">
        <f ca="1">IFERROR(__xludf.DUMMYFUNCTION("""COMPUTED_VALUE"""),"Citrus fruits")</f>
        <v>Citrus fruits</v>
      </c>
      <c r="B659" t="str">
        <f ca="1">IFERROR(__xludf.DUMMYFUNCTION("""COMPUTED_VALUE"""),"A.01.000545")</f>
        <v>A.01.000545</v>
      </c>
    </row>
    <row r="660" spans="1:2" ht="12.5" x14ac:dyDescent="0.25">
      <c r="A660" t="str">
        <f ca="1">IFERROR(__xludf.DUMMYFUNCTION("""COMPUTED_VALUE"""),"Citrus pulp")</f>
        <v>Citrus pulp</v>
      </c>
      <c r="B660" t="str">
        <f ca="1">IFERROR(__xludf.DUMMYFUNCTION("""COMPUTED_VALUE"""),"F05.02")</f>
        <v>F05.02</v>
      </c>
    </row>
    <row r="661" spans="1:2" ht="12.5" x14ac:dyDescent="0.25">
      <c r="A661" t="str">
        <f ca="1">IFERROR(__xludf.DUMMYFUNCTION("""COMPUTED_VALUE"""),"Citrus pulp")</f>
        <v>Citrus pulp</v>
      </c>
      <c r="B661" t="str">
        <f ca="1">IFERROR(__xludf.DUMMYFUNCTION("""COMPUTED_VALUE"""),"G.5.13")</f>
        <v>G.5.13</v>
      </c>
    </row>
    <row r="662" spans="1:2" ht="12.5" x14ac:dyDescent="0.25">
      <c r="A662" t="str">
        <f ca="1">IFERROR(__xludf.DUMMYFUNCTION("""COMPUTED_VALUE"""),"Citrus pulp, dried")</f>
        <v>Citrus pulp, dried</v>
      </c>
      <c r="B662" t="str">
        <f ca="1">IFERROR(__xludf.DUMMYFUNCTION("""COMPUTED_VALUE"""),"G.5.13.2")</f>
        <v>G.5.13.2</v>
      </c>
    </row>
    <row r="663" spans="1:2" ht="12.5" x14ac:dyDescent="0.25">
      <c r="A663" t="str">
        <f ca="1">IFERROR(__xludf.DUMMYFUNCTION("""COMPUTED_VALUE"""),"Clam (Mya arenaria)")</f>
        <v>Clam (Mya arenaria)</v>
      </c>
      <c r="B663" t="str">
        <f ca="1">IFERROR(__xludf.DUMMYFUNCTION("""COMPUTED_VALUE"""),"A.01.000932")</f>
        <v>A.01.000932</v>
      </c>
    </row>
    <row r="664" spans="1:2" ht="12.5" x14ac:dyDescent="0.25">
      <c r="A664" t="str">
        <f ca="1">IFERROR(__xludf.DUMMYFUNCTION("""COMPUTED_VALUE"""),"Cloudberry (Rubus chamaemorus)")</f>
        <v>Cloudberry (Rubus chamaemorus)</v>
      </c>
      <c r="B664" t="str">
        <f ca="1">IFERROR(__xludf.DUMMYFUNCTION("""COMPUTED_VALUE"""),"A.01.000591")</f>
        <v>A.01.000591</v>
      </c>
    </row>
    <row r="665" spans="1:2" ht="12.5" x14ac:dyDescent="0.25">
      <c r="A665" t="str">
        <f ca="1">IFERROR(__xludf.DUMMYFUNCTION("""COMPUTED_VALUE"""),"Clover meal")</f>
        <v>Clover meal</v>
      </c>
      <c r="B665" t="str">
        <f ca="1">IFERROR(__xludf.DUMMYFUNCTION("""COMPUTED_VALUE"""),"F06.04")</f>
        <v>F06.04</v>
      </c>
    </row>
    <row r="666" spans="1:2" ht="12.5" x14ac:dyDescent="0.25">
      <c r="A666" t="str">
        <f ca="1">IFERROR(__xludf.DUMMYFUNCTION("""COMPUTED_VALUE"""),"Clover meal")</f>
        <v>Clover meal</v>
      </c>
      <c r="B666" t="str">
        <f ca="1">IFERROR(__xludf.DUMMYFUNCTION("""COMPUTED_VALUE"""),"G.6.4")</f>
        <v>G.6.4</v>
      </c>
    </row>
    <row r="667" spans="1:2" ht="12.5" x14ac:dyDescent="0.25">
      <c r="A667" t="str">
        <f ca="1">IFERROR(__xludf.DUMMYFUNCTION("""COMPUTED_VALUE"""),"Cloves (Syzygium aromaticum)")</f>
        <v>Cloves (Syzygium aromaticum)</v>
      </c>
      <c r="B667" t="str">
        <f ca="1">IFERROR(__xludf.DUMMYFUNCTION("""COMPUTED_VALUE"""),"A.01.001608")</f>
        <v>A.01.001608</v>
      </c>
    </row>
    <row r="668" spans="1:2" ht="12.5" x14ac:dyDescent="0.25">
      <c r="A668" t="str">
        <f ca="1">IFERROR(__xludf.DUMMYFUNCTION("""COMPUTED_VALUE"""),"Cockle (Cardium edule)")</f>
        <v>Cockle (Cardium edule)</v>
      </c>
      <c r="B668" t="str">
        <f ca="1">IFERROR(__xludf.DUMMYFUNCTION("""COMPUTED_VALUE"""),"A.01.000933")</f>
        <v>A.01.000933</v>
      </c>
    </row>
    <row r="669" spans="1:2" ht="12.5" x14ac:dyDescent="0.25">
      <c r="A669" t="str">
        <f ca="1">IFERROR(__xludf.DUMMYFUNCTION("""COMPUTED_VALUE"""),"Cocktail drink")</f>
        <v>Cocktail drink</v>
      </c>
      <c r="B669" t="str">
        <f ca="1">IFERROR(__xludf.DUMMYFUNCTION("""COMPUTED_VALUE"""),"A.01.001570")</f>
        <v>A.01.001570</v>
      </c>
    </row>
    <row r="670" spans="1:2" ht="12.5" x14ac:dyDescent="0.25">
      <c r="A670" t="str">
        <f ca="1">IFERROR(__xludf.DUMMYFUNCTION("""COMPUTED_VALUE"""),"Coco plum (Chrysobalanus icaco)")</f>
        <v>Coco plum (Chrysobalanus icaco)</v>
      </c>
      <c r="B670" t="str">
        <f ca="1">IFERROR(__xludf.DUMMYFUNCTION("""COMPUTED_VALUE"""),"A.01.000638")</f>
        <v>A.01.000638</v>
      </c>
    </row>
    <row r="671" spans="1:2" ht="12.5" x14ac:dyDescent="0.25">
      <c r="A671" t="str">
        <f ca="1">IFERROR(__xludf.DUMMYFUNCTION("""COMPUTED_VALUE"""),"Cocoa (Powder or cocoa bean)")</f>
        <v>Cocoa (Powder or cocoa bean)</v>
      </c>
      <c r="B671" t="str">
        <f ca="1">IFERROR(__xludf.DUMMYFUNCTION("""COMPUTED_VALUE"""),"C08_1C")</f>
        <v>C08_1C</v>
      </c>
    </row>
    <row r="672" spans="1:2" ht="12.5" x14ac:dyDescent="0.25">
      <c r="A672" t="str">
        <f ca="1">IFERROR(__xludf.DUMMYFUNCTION("""COMPUTED_VALUE"""),"Cocoa bean meal, partially decorticated")</f>
        <v>Cocoa bean meal, partially decorticated</v>
      </c>
      <c r="B672" t="str">
        <f ca="1">IFERROR(__xludf.DUMMYFUNCTION("""COMPUTED_VALUE"""),"G.2.3.3")</f>
        <v>G.2.3.3</v>
      </c>
    </row>
    <row r="673" spans="1:2" ht="12.5" x14ac:dyDescent="0.25">
      <c r="A673" t="str">
        <f ca="1">IFERROR(__xludf.DUMMYFUNCTION("""COMPUTED_VALUE"""),"Cocoa bean, partially decorticated, extracted")</f>
        <v>Cocoa bean, partially decorticated, extracted</v>
      </c>
      <c r="B673" t="str">
        <f ca="1">IFERROR(__xludf.DUMMYFUNCTION("""COMPUTED_VALUE"""),"F02.32")</f>
        <v>F02.32</v>
      </c>
    </row>
    <row r="674" spans="1:2" ht="12.5" x14ac:dyDescent="0.25">
      <c r="A674" t="str">
        <f ca="1">IFERROR(__xludf.DUMMYFUNCTION("""COMPUTED_VALUE"""),"Cocoa beans (fermented beans) (Theobroma cacao)")</f>
        <v>Cocoa beans (fermented beans) (Theobroma cacao)</v>
      </c>
      <c r="B674" t="str">
        <f ca="1">IFERROR(__xludf.DUMMYFUNCTION("""COMPUTED_VALUE"""),"A.01.000419")</f>
        <v>A.01.000419</v>
      </c>
    </row>
    <row r="675" spans="1:2" ht="12.5" x14ac:dyDescent="0.25">
      <c r="A675" t="str">
        <f ca="1">IFERROR(__xludf.DUMMYFUNCTION("""COMPUTED_VALUE"""),"Cocoa beans and cocoa products")</f>
        <v>Cocoa beans and cocoa products</v>
      </c>
      <c r="B675" t="str">
        <f ca="1">IFERROR(__xludf.DUMMYFUNCTION("""COMPUTED_VALUE"""),"A.01.000418")</f>
        <v>A.01.000418</v>
      </c>
    </row>
    <row r="676" spans="1:2" ht="12.5" x14ac:dyDescent="0.25">
      <c r="A676" t="str">
        <f ca="1">IFERROR(__xludf.DUMMYFUNCTION("""COMPUTED_VALUE"""),"Cocoa beverage")</f>
        <v>Cocoa beverage</v>
      </c>
      <c r="B676" t="str">
        <f ca="1">IFERROR(__xludf.DUMMYFUNCTION("""COMPUTED_VALUE"""),"A.01.001531")</f>
        <v>A.01.001531</v>
      </c>
    </row>
    <row r="677" spans="1:2" ht="12.5" x14ac:dyDescent="0.25">
      <c r="A677" t="str">
        <f ca="1">IFERROR(__xludf.DUMMYFUNCTION("""COMPUTED_VALUE"""),"Cocoa beverage-preparation, powder")</f>
        <v>Cocoa beverage-preparation, powder</v>
      </c>
      <c r="B677" t="str">
        <f ca="1">IFERROR(__xludf.DUMMYFUNCTION("""COMPUTED_VALUE"""),"A.01.000421")</f>
        <v>A.01.000421</v>
      </c>
    </row>
    <row r="678" spans="1:2" ht="12.5" x14ac:dyDescent="0.25">
      <c r="A678" t="str">
        <f ca="1">IFERROR(__xludf.DUMMYFUNCTION("""COMPUTED_VALUE"""),"Cocoa butter")</f>
        <v>Cocoa butter</v>
      </c>
      <c r="B678" t="str">
        <f ca="1">IFERROR(__xludf.DUMMYFUNCTION("""COMPUTED_VALUE"""),"A.01.001365")</f>
        <v>A.01.001365</v>
      </c>
    </row>
    <row r="679" spans="1:2" ht="12.5" x14ac:dyDescent="0.25">
      <c r="A679" t="str">
        <f ca="1">IFERROR(__xludf.DUMMYFUNCTION("""COMPUTED_VALUE"""),"Cocoa drink")</f>
        <v>Cocoa drink</v>
      </c>
      <c r="B679" t="str">
        <f ca="1">IFERROR(__xludf.DUMMYFUNCTION("""COMPUTED_VALUE"""),"A.01.001533")</f>
        <v>A.01.001533</v>
      </c>
    </row>
    <row r="680" spans="1:2" ht="12.5" x14ac:dyDescent="0.25">
      <c r="A680" t="str">
        <f ca="1">IFERROR(__xludf.DUMMYFUNCTION("""COMPUTED_VALUE"""),"Cocoa hulls")</f>
        <v>Cocoa hulls</v>
      </c>
      <c r="B680" t="str">
        <f ca="1">IFERROR(__xludf.DUMMYFUNCTION("""COMPUTED_VALUE"""),"G.2.3.2")</f>
        <v>G.2.3.2</v>
      </c>
    </row>
    <row r="681" spans="1:2" ht="12.5" x14ac:dyDescent="0.25">
      <c r="A681" t="str">
        <f ca="1">IFERROR(__xludf.DUMMYFUNCTION("""COMPUTED_VALUE"""),"Cocoa husks")</f>
        <v>Cocoa husks</v>
      </c>
      <c r="B681" t="str">
        <f ca="1">IFERROR(__xludf.DUMMYFUNCTION("""COMPUTED_VALUE"""),"F02.33")</f>
        <v>F02.33</v>
      </c>
    </row>
    <row r="682" spans="1:2" ht="12.5" x14ac:dyDescent="0.25">
      <c r="A682" t="str">
        <f ca="1">IFERROR(__xludf.DUMMYFUNCTION("""COMPUTED_VALUE"""),"Cocoa husks")</f>
        <v>Cocoa husks</v>
      </c>
      <c r="B682" t="str">
        <f ca="1">IFERROR(__xludf.DUMMYFUNCTION("""COMPUTED_VALUE"""),"G.2.3")</f>
        <v>G.2.3</v>
      </c>
    </row>
    <row r="683" spans="1:2" ht="12.5" x14ac:dyDescent="0.25">
      <c r="A683" t="str">
        <f ca="1">IFERROR(__xludf.DUMMYFUNCTION("""COMPUTED_VALUE"""),"Cocoa mass")</f>
        <v>Cocoa mass</v>
      </c>
      <c r="B683" t="str">
        <f ca="1">IFERROR(__xludf.DUMMYFUNCTION("""COMPUTED_VALUE"""),"A.01.000422")</f>
        <v>A.01.000422</v>
      </c>
    </row>
    <row r="684" spans="1:2" ht="12.5" x14ac:dyDescent="0.25">
      <c r="A684" t="str">
        <f ca="1">IFERROR(__xludf.DUMMYFUNCTION("""COMPUTED_VALUE"""),"Cocoa powder")</f>
        <v>Cocoa powder</v>
      </c>
      <c r="B684" t="str">
        <f ca="1">IFERROR(__xludf.DUMMYFUNCTION("""COMPUTED_VALUE"""),"A.01.000420")</f>
        <v>A.01.000420</v>
      </c>
    </row>
    <row r="685" spans="1:2" ht="12.5" x14ac:dyDescent="0.25">
      <c r="A685" t="str">
        <f ca="1">IFERROR(__xludf.DUMMYFUNCTION("""COMPUTED_VALUE"""),"Coconut fat")</f>
        <v>Coconut fat</v>
      </c>
      <c r="B685" t="str">
        <f ca="1">IFERROR(__xludf.DUMMYFUNCTION("""COMPUTED_VALUE"""),"A.01.001364")</f>
        <v>A.01.001364</v>
      </c>
    </row>
    <row r="686" spans="1:2" ht="12.5" x14ac:dyDescent="0.25">
      <c r="A686" t="str">
        <f ca="1">IFERROR(__xludf.DUMMYFUNCTION("""COMPUTED_VALUE"""),"Coconut milk (Cocos nucifera)")</f>
        <v>Coconut milk (Cocos nucifera)</v>
      </c>
      <c r="B686" t="str">
        <f ca="1">IFERROR(__xludf.DUMMYFUNCTION("""COMPUTED_VALUE"""),"A.01.000449")</f>
        <v>A.01.000449</v>
      </c>
    </row>
    <row r="687" spans="1:2" ht="12.5" x14ac:dyDescent="0.25">
      <c r="A687" t="str">
        <f ca="1">IFERROR(__xludf.DUMMYFUNCTION("""COMPUTED_VALUE"""),"Coconut oil")</f>
        <v>Coconut oil</v>
      </c>
      <c r="B687" t="str">
        <f ca="1">IFERROR(__xludf.DUMMYFUNCTION("""COMPUTED_VALUE"""),"A.01.001369")</f>
        <v>A.01.001369</v>
      </c>
    </row>
    <row r="688" spans="1:2" ht="12.5" x14ac:dyDescent="0.25">
      <c r="A688" t="str">
        <f ca="1">IFERROR(__xludf.DUMMYFUNCTION("""COMPUTED_VALUE"""),"Coconuts (Cocos nucifera)")</f>
        <v>Coconuts (Cocos nucifera)</v>
      </c>
      <c r="B688" t="str">
        <f ca="1">IFERROR(__xludf.DUMMYFUNCTION("""COMPUTED_VALUE"""),"A.01.000519")</f>
        <v>A.01.000519</v>
      </c>
    </row>
    <row r="689" spans="1:2" ht="12.5" x14ac:dyDescent="0.25">
      <c r="A689" t="str">
        <f ca="1">IFERROR(__xludf.DUMMYFUNCTION("""COMPUTED_VALUE"""),"Cocos cream liqueur")</f>
        <v>Cocos cream liqueur</v>
      </c>
      <c r="B689" t="str">
        <f ca="1">IFERROR(__xludf.DUMMYFUNCTION("""COMPUTED_VALUE"""),"A.01.001558")</f>
        <v>A.01.001558</v>
      </c>
    </row>
    <row r="690" spans="1:2" ht="12.5" x14ac:dyDescent="0.25">
      <c r="A690" t="str">
        <f ca="1">IFERROR(__xludf.DUMMYFUNCTION("""COMPUTED_VALUE"""),"Cod and whiting (Gadus spp.)")</f>
        <v>Cod and whiting (Gadus spp.)</v>
      </c>
      <c r="B690" t="str">
        <f ca="1">IFERROR(__xludf.DUMMYFUNCTION("""COMPUTED_VALUE"""),"A.01.000894")</f>
        <v>A.01.000894</v>
      </c>
    </row>
    <row r="691" spans="1:2" ht="12.5" x14ac:dyDescent="0.25">
      <c r="A691" t="str">
        <f ca="1">IFERROR(__xludf.DUMMYFUNCTION("""COMPUTED_VALUE"""),"Cod liver oil")</f>
        <v>Cod liver oil</v>
      </c>
      <c r="B691" t="str">
        <f ca="1">IFERROR(__xludf.DUMMYFUNCTION("""COMPUTED_VALUE"""),"A.01.001361")</f>
        <v>A.01.001361</v>
      </c>
    </row>
    <row r="692" spans="1:2" ht="12.5" x14ac:dyDescent="0.25">
      <c r="A692" t="str">
        <f ca="1">IFERROR(__xludf.DUMMYFUNCTION("""COMPUTED_VALUE"""),"Coenzyme Q10 supplement")</f>
        <v>Coenzyme Q10 supplement</v>
      </c>
      <c r="B692" t="str">
        <f ca="1">IFERROR(__xludf.DUMMYFUNCTION("""COMPUTED_VALUE"""),"A.01.001760")</f>
        <v>A.01.001760</v>
      </c>
    </row>
    <row r="693" spans="1:2" ht="12.5" x14ac:dyDescent="0.25">
      <c r="A693" t="str">
        <f ca="1">IFERROR(__xludf.DUMMYFUNCTION("""COMPUTED_VALUE"""),"Coffee (Beverage)")</f>
        <v>Coffee (Beverage)</v>
      </c>
      <c r="B693" t="str">
        <f ca="1">IFERROR(__xludf.DUMMYFUNCTION("""COMPUTED_VALUE"""),"A.01.001522")</f>
        <v>A.01.001522</v>
      </c>
    </row>
    <row r="694" spans="1:2" ht="12.5" x14ac:dyDescent="0.25">
      <c r="A694" t="str">
        <f ca="1">IFERROR(__xludf.DUMMYFUNCTION("""COMPUTED_VALUE"""),"Coffee (Powder)")</f>
        <v>Coffee (Powder)</v>
      </c>
      <c r="B694" t="str">
        <f ca="1">IFERROR(__xludf.DUMMYFUNCTION("""COMPUTED_VALUE"""),"C08_1A")</f>
        <v>C08_1A</v>
      </c>
    </row>
    <row r="695" spans="1:2" ht="12.5" x14ac:dyDescent="0.25">
      <c r="A695" t="str">
        <f ca="1">IFERROR(__xludf.DUMMYFUNCTION("""COMPUTED_VALUE"""),"Coffee beans")</f>
        <v>Coffee beans</v>
      </c>
      <c r="B695" t="str">
        <f ca="1">IFERROR(__xludf.DUMMYFUNCTION("""COMPUTED_VALUE"""),"A.01.000424")</f>
        <v>A.01.000424</v>
      </c>
    </row>
    <row r="696" spans="1:2" ht="12.5" x14ac:dyDescent="0.25">
      <c r="A696" t="str">
        <f ca="1">IFERROR(__xludf.DUMMYFUNCTION("""COMPUTED_VALUE"""),"Coffee beans and coffee products (Solid)")</f>
        <v>Coffee beans and coffee products (Solid)</v>
      </c>
      <c r="B696" t="str">
        <f ca="1">IFERROR(__xludf.DUMMYFUNCTION("""COMPUTED_VALUE"""),"A.01.000423")</f>
        <v>A.01.000423</v>
      </c>
    </row>
    <row r="697" spans="1:2" ht="12.5" x14ac:dyDescent="0.25">
      <c r="A697" t="str">
        <f ca="1">IFERROR(__xludf.DUMMYFUNCTION("""COMPUTED_VALUE"""),"Coffee beans, roasted")</f>
        <v>Coffee beans, roasted</v>
      </c>
      <c r="B697" t="str">
        <f ca="1">IFERROR(__xludf.DUMMYFUNCTION("""COMPUTED_VALUE"""),"A.01.000425")</f>
        <v>A.01.000425</v>
      </c>
    </row>
    <row r="698" spans="1:2" ht="12.5" x14ac:dyDescent="0.25">
      <c r="A698" t="str">
        <f ca="1">IFERROR(__xludf.DUMMYFUNCTION("""COMPUTED_VALUE"""),"Coffee beans, roasted and ground")</f>
        <v>Coffee beans, roasted and ground</v>
      </c>
      <c r="B698" t="str">
        <f ca="1">IFERROR(__xludf.DUMMYFUNCTION("""COMPUTED_VALUE"""),"A.01.000427")</f>
        <v>A.01.000427</v>
      </c>
    </row>
    <row r="699" spans="1:2" ht="12.5" x14ac:dyDescent="0.25">
      <c r="A699" t="str">
        <f ca="1">IFERROR(__xludf.DUMMYFUNCTION("""COMPUTED_VALUE"""),"Coffee beans, roasted and ground, decaffeinated")</f>
        <v>Coffee beans, roasted and ground, decaffeinated</v>
      </c>
      <c r="B699" t="str">
        <f ca="1">IFERROR(__xludf.DUMMYFUNCTION("""COMPUTED_VALUE"""),"A.01.000428")</f>
        <v>A.01.000428</v>
      </c>
    </row>
    <row r="700" spans="1:2" ht="12.5" x14ac:dyDescent="0.25">
      <c r="A700" t="str">
        <f ca="1">IFERROR(__xludf.DUMMYFUNCTION("""COMPUTED_VALUE"""),"Coffee beans, roasted, decaffeinated")</f>
        <v>Coffee beans, roasted, decaffeinated</v>
      </c>
      <c r="B700" t="str">
        <f ca="1">IFERROR(__xludf.DUMMYFUNCTION("""COMPUTED_VALUE"""),"A.01.000426")</f>
        <v>A.01.000426</v>
      </c>
    </row>
    <row r="701" spans="1:2" ht="12.5" x14ac:dyDescent="0.25">
      <c r="A701" t="str">
        <f ca="1">IFERROR(__xludf.DUMMYFUNCTION("""COMPUTED_VALUE"""),"Coffee cream")</f>
        <v>Coffee cream</v>
      </c>
      <c r="B701" t="str">
        <f ca="1">IFERROR(__xludf.DUMMYFUNCTION("""COMPUTED_VALUE"""),"A.01.001008")</f>
        <v>A.01.001008</v>
      </c>
    </row>
    <row r="702" spans="1:2" ht="12.5" x14ac:dyDescent="0.25">
      <c r="A702" t="str">
        <f ca="1">IFERROR(__xludf.DUMMYFUNCTION("""COMPUTED_VALUE"""),"Coffee cream 10 % fat")</f>
        <v>Coffee cream 10 % fat</v>
      </c>
      <c r="B702" t="str">
        <f ca="1">IFERROR(__xludf.DUMMYFUNCTION("""COMPUTED_VALUE"""),"A.01.001009")</f>
        <v>A.01.001009</v>
      </c>
    </row>
    <row r="703" spans="1:2" ht="12.5" x14ac:dyDescent="0.25">
      <c r="A703" t="str">
        <f ca="1">IFERROR(__xludf.DUMMYFUNCTION("""COMPUTED_VALUE"""),"Coffee cream 12% fat")</f>
        <v>Coffee cream 12% fat</v>
      </c>
      <c r="B703" t="str">
        <f ca="1">IFERROR(__xludf.DUMMYFUNCTION("""COMPUTED_VALUE"""),"A.01.001010")</f>
        <v>A.01.001010</v>
      </c>
    </row>
    <row r="704" spans="1:2" ht="12.5" x14ac:dyDescent="0.25">
      <c r="A704" t="str">
        <f ca="1">IFERROR(__xludf.DUMMYFUNCTION("""COMPUTED_VALUE"""),"Coffee cream 15% fat")</f>
        <v>Coffee cream 15% fat</v>
      </c>
      <c r="B704" t="str">
        <f ca="1">IFERROR(__xludf.DUMMYFUNCTION("""COMPUTED_VALUE"""),"A.01.001011")</f>
        <v>A.01.001011</v>
      </c>
    </row>
    <row r="705" spans="1:2" ht="12.5" x14ac:dyDescent="0.25">
      <c r="A705" t="str">
        <f ca="1">IFERROR(__xludf.DUMMYFUNCTION("""COMPUTED_VALUE"""),"Coffee cream 20% fat")</f>
        <v>Coffee cream 20% fat</v>
      </c>
      <c r="B705" t="str">
        <f ca="1">IFERROR(__xludf.DUMMYFUNCTION("""COMPUTED_VALUE"""),"A.01.001012")</f>
        <v>A.01.001012</v>
      </c>
    </row>
    <row r="706" spans="1:2" ht="12.5" x14ac:dyDescent="0.25">
      <c r="A706" t="str">
        <f ca="1">IFERROR(__xludf.DUMMYFUNCTION("""COMPUTED_VALUE"""),"Coffee cream 30% fat")</f>
        <v>Coffee cream 30% fat</v>
      </c>
      <c r="B706" t="str">
        <f ca="1">IFERROR(__xludf.DUMMYFUNCTION("""COMPUTED_VALUE"""),"A.01.001013")</f>
        <v>A.01.001013</v>
      </c>
    </row>
    <row r="707" spans="1:2" ht="12.5" x14ac:dyDescent="0.25">
      <c r="A707" t="str">
        <f ca="1">IFERROR(__xludf.DUMMYFUNCTION("""COMPUTED_VALUE"""),"Coffee drink, café américano")</f>
        <v>Coffee drink, café américano</v>
      </c>
      <c r="B707" t="str">
        <f ca="1">IFERROR(__xludf.DUMMYFUNCTION("""COMPUTED_VALUE"""),"A.01.001524")</f>
        <v>A.01.001524</v>
      </c>
    </row>
    <row r="708" spans="1:2" ht="12.5" x14ac:dyDescent="0.25">
      <c r="A708" t="str">
        <f ca="1">IFERROR(__xludf.DUMMYFUNCTION("""COMPUTED_VALUE"""),"Coffee drink, café macchiato")</f>
        <v>Coffee drink, café macchiato</v>
      </c>
      <c r="B708" t="str">
        <f ca="1">IFERROR(__xludf.DUMMYFUNCTION("""COMPUTED_VALUE"""),"A.01.001526")</f>
        <v>A.01.001526</v>
      </c>
    </row>
    <row r="709" spans="1:2" ht="12.5" x14ac:dyDescent="0.25">
      <c r="A709" t="str">
        <f ca="1">IFERROR(__xludf.DUMMYFUNCTION("""COMPUTED_VALUE"""),"Coffee drink, cappuccino")</f>
        <v>Coffee drink, cappuccino</v>
      </c>
      <c r="B709" t="str">
        <f ca="1">IFERROR(__xludf.DUMMYFUNCTION("""COMPUTED_VALUE"""),"A.01.001525")</f>
        <v>A.01.001525</v>
      </c>
    </row>
    <row r="710" spans="1:2" ht="12.5" x14ac:dyDescent="0.25">
      <c r="A710" t="str">
        <f ca="1">IFERROR(__xludf.DUMMYFUNCTION("""COMPUTED_VALUE"""),"Coffee drink, espresso")</f>
        <v>Coffee drink, espresso</v>
      </c>
      <c r="B710" t="str">
        <f ca="1">IFERROR(__xludf.DUMMYFUNCTION("""COMPUTED_VALUE"""),"A.01.001523")</f>
        <v>A.01.001523</v>
      </c>
    </row>
    <row r="711" spans="1:2" ht="12.5" x14ac:dyDescent="0.25">
      <c r="A711" t="str">
        <f ca="1">IFERROR(__xludf.DUMMYFUNCTION("""COMPUTED_VALUE"""),"Coffee imitates (Solid)")</f>
        <v>Coffee imitates (Solid)</v>
      </c>
      <c r="B711" t="str">
        <f ca="1">IFERROR(__xludf.DUMMYFUNCTION("""COMPUTED_VALUE"""),"A.01.000431")</f>
        <v>A.01.000431</v>
      </c>
    </row>
    <row r="712" spans="1:2" ht="12.5" x14ac:dyDescent="0.25">
      <c r="A712" t="str">
        <f ca="1">IFERROR(__xludf.DUMMYFUNCTION("""COMPUTED_VALUE"""),"Coffee imitates beverage")</f>
        <v>Coffee imitates beverage</v>
      </c>
      <c r="B712" t="str">
        <f ca="1">IFERROR(__xludf.DUMMYFUNCTION("""COMPUTED_VALUE"""),"A.01.001530")</f>
        <v>A.01.001530</v>
      </c>
    </row>
    <row r="713" spans="1:2" ht="12.5" x14ac:dyDescent="0.25">
      <c r="A713" t="str">
        <f ca="1">IFERROR(__xludf.DUMMYFUNCTION("""COMPUTED_VALUE"""),"Coffee liqueur")</f>
        <v>Coffee liqueur</v>
      </c>
      <c r="B713" t="str">
        <f ca="1">IFERROR(__xludf.DUMMYFUNCTION("""COMPUTED_VALUE"""),"A.01.001556")</f>
        <v>A.01.001556</v>
      </c>
    </row>
    <row r="714" spans="1:2" ht="12.5" x14ac:dyDescent="0.25">
      <c r="A714" t="str">
        <f ca="1">IFERROR(__xludf.DUMMYFUNCTION("""COMPUTED_VALUE"""),"Coffee skins")</f>
        <v>Coffee skins</v>
      </c>
      <c r="B714" t="str">
        <f ca="1">IFERROR(__xludf.DUMMYFUNCTION("""COMPUTED_VALUE"""),"G.5.15")</f>
        <v>G.5.15</v>
      </c>
    </row>
    <row r="715" spans="1:2" ht="12.5" x14ac:dyDescent="0.25">
      <c r="A715" t="str">
        <f ca="1">IFERROR(__xludf.DUMMYFUNCTION("""COMPUTED_VALUE"""),"Coffee with milk (café latte, café au lait)")</f>
        <v>Coffee with milk (café latte, café au lait)</v>
      </c>
      <c r="B715" t="str">
        <f ca="1">IFERROR(__xludf.DUMMYFUNCTION("""COMPUTED_VALUE"""),"A.01.001528")</f>
        <v>A.01.001528</v>
      </c>
    </row>
    <row r="716" spans="1:2" ht="12.5" x14ac:dyDescent="0.25">
      <c r="A716" t="str">
        <f ca="1">IFERROR(__xludf.DUMMYFUNCTION("""COMPUTED_VALUE"""),"Coffee, tea, cocoa")</f>
        <v>Coffee, tea, cocoa</v>
      </c>
      <c r="B716" t="str">
        <f ca="1">IFERROR(__xludf.DUMMYFUNCTION("""COMPUTED_VALUE"""),"C08")</f>
        <v>C08</v>
      </c>
    </row>
    <row r="717" spans="1:2" ht="12.5" x14ac:dyDescent="0.25">
      <c r="A717" t="str">
        <f ca="1">IFERROR(__xludf.DUMMYFUNCTION("""COMPUTED_VALUE"""),"Coffee, tea, cocoa expressed as liquid")</f>
        <v>Coffee, tea, cocoa expressed as liquid</v>
      </c>
      <c r="B717" t="str">
        <f ca="1">IFERROR(__xludf.DUMMYFUNCTION("""COMPUTED_VALUE"""),"C08_2")</f>
        <v>C08_2</v>
      </c>
    </row>
    <row r="718" spans="1:2" ht="12.5" x14ac:dyDescent="0.25">
      <c r="A718" t="str">
        <f ca="1">IFERROR(__xludf.DUMMYFUNCTION("""COMPUTED_VALUE"""),"Coffee, tea, cocoa powder or dry leaves")</f>
        <v>Coffee, tea, cocoa powder or dry leaves</v>
      </c>
      <c r="B718" t="str">
        <f ca="1">IFERROR(__xludf.DUMMYFUNCTION("""COMPUTED_VALUE"""),"C08_1")</f>
        <v>C08_1</v>
      </c>
    </row>
    <row r="719" spans="1:2" ht="12.5" x14ac:dyDescent="0.25">
      <c r="A719" t="str">
        <f ca="1">IFERROR(__xludf.DUMMYFUNCTION("""COMPUTED_VALUE"""),"Cola beverages, caffeinic")</f>
        <v>Cola beverages, caffeinic</v>
      </c>
      <c r="B719" t="str">
        <f ca="1">IFERROR(__xludf.DUMMYFUNCTION("""COMPUTED_VALUE"""),"A.01.001510")</f>
        <v>A.01.001510</v>
      </c>
    </row>
    <row r="720" spans="1:2" ht="12.5" x14ac:dyDescent="0.25">
      <c r="A720" t="str">
        <f ca="1">IFERROR(__xludf.DUMMYFUNCTION("""COMPUTED_VALUE"""),"Cola beverages, caffeinic, low calorie")</f>
        <v>Cola beverages, caffeinic, low calorie</v>
      </c>
      <c r="B720" t="str">
        <f ca="1">IFERROR(__xludf.DUMMYFUNCTION("""COMPUTED_VALUE"""),"A.01.001512")</f>
        <v>A.01.001512</v>
      </c>
    </row>
    <row r="721" spans="1:2" ht="12.5" x14ac:dyDescent="0.25">
      <c r="A721" t="str">
        <f ca="1">IFERROR(__xludf.DUMMYFUNCTION("""COMPUTED_VALUE"""),"Cola beverages, decaffeinated")</f>
        <v>Cola beverages, decaffeinated</v>
      </c>
      <c r="B721" t="str">
        <f ca="1">IFERROR(__xludf.DUMMYFUNCTION("""COMPUTED_VALUE"""),"A.01.001511")</f>
        <v>A.01.001511</v>
      </c>
    </row>
    <row r="722" spans="1:2" ht="12.5" x14ac:dyDescent="0.25">
      <c r="A722" t="str">
        <f ca="1">IFERROR(__xludf.DUMMYFUNCTION("""COMPUTED_VALUE"""),"Cola beverages, decaffeinated, low calorie")</f>
        <v>Cola beverages, decaffeinated, low calorie</v>
      </c>
      <c r="B722" t="str">
        <f ca="1">IFERROR(__xludf.DUMMYFUNCTION("""COMPUTED_VALUE"""),"A.01.001513")</f>
        <v>A.01.001513</v>
      </c>
    </row>
    <row r="723" spans="1:2" ht="12.5" x14ac:dyDescent="0.25">
      <c r="A723" t="str">
        <f ca="1">IFERROR(__xludf.DUMMYFUNCTION("""COMPUTED_VALUE"""),"Cola Mix")</f>
        <v>Cola Mix</v>
      </c>
      <c r="B723" t="str">
        <f ca="1">IFERROR(__xludf.DUMMYFUNCTION("""COMPUTED_VALUE"""),"A.01.001514")</f>
        <v>A.01.001514</v>
      </c>
    </row>
    <row r="724" spans="1:2" ht="12.5" x14ac:dyDescent="0.25">
      <c r="A724" t="str">
        <f ca="1">IFERROR(__xludf.DUMMYFUNCTION("""COMPUTED_VALUE"""),"Collagen")</f>
        <v>Collagen</v>
      </c>
      <c r="B724" t="str">
        <f ca="1">IFERROR(__xludf.DUMMYFUNCTION("""COMPUTED_VALUE"""),"G.9.10")</f>
        <v>G.9.10</v>
      </c>
    </row>
    <row r="725" spans="1:2" ht="12.5" x14ac:dyDescent="0.25">
      <c r="A725" t="str">
        <f ca="1">IFERROR(__xludf.DUMMYFUNCTION("""COMPUTED_VALUE"""),"Colostrum")</f>
        <v>Colostrum</v>
      </c>
      <c r="B725" t="str">
        <f ca="1">IFERROR(__xludf.DUMMYFUNCTION("""COMPUTED_VALUE"""),"G.8.6")</f>
        <v>G.8.6</v>
      </c>
    </row>
    <row r="726" spans="1:2" ht="12.5" x14ac:dyDescent="0.25">
      <c r="A726" t="str">
        <f ca="1">IFERROR(__xludf.DUMMYFUNCTION("""COMPUTED_VALUE"""),"Comb honey")</f>
        <v>Comb honey</v>
      </c>
      <c r="B726" t="str">
        <f ca="1">IFERROR(__xludf.DUMMYFUNCTION("""COMPUTED_VALUE"""),"A.01.001345")</f>
        <v>A.01.001345</v>
      </c>
    </row>
    <row r="727" spans="1:2" ht="12.5" x14ac:dyDescent="0.25">
      <c r="A727" t="str">
        <f ca="1">IFERROR(__xludf.DUMMYFUNCTION("""COMPUTED_VALUE"""),"Combination of vitamins and minerals supplements")</f>
        <v>Combination of vitamins and minerals supplements</v>
      </c>
      <c r="B727" t="str">
        <f ca="1">IFERROR(__xludf.DUMMYFUNCTION("""COMPUTED_VALUE"""),"A.01.001755")</f>
        <v>A.01.001755</v>
      </c>
    </row>
    <row r="728" spans="1:2" ht="12.5" x14ac:dyDescent="0.25">
      <c r="A728" t="str">
        <f ca="1">IFERROR(__xludf.DUMMYFUNCTION("""COMPUTED_VALUE"""),"Complementary feed (incomplete diet)")</f>
        <v>Complementary feed (incomplete diet)</v>
      </c>
      <c r="B728" t="str">
        <f ca="1">IFERROR(__xludf.DUMMYFUNCTION("""COMPUTED_VALUE"""),"G.14.2")</f>
        <v>G.14.2</v>
      </c>
    </row>
    <row r="729" spans="1:2" ht="12.5" x14ac:dyDescent="0.25">
      <c r="A729" t="str">
        <f ca="1">IFERROR(__xludf.DUMMYFUNCTION("""COMPUTED_VALUE"""),"Complete feed")</f>
        <v>Complete feed</v>
      </c>
      <c r="B729" t="str">
        <f ca="1">IFERROR(__xludf.DUMMYFUNCTION("""COMPUTED_VALUE"""),"G.14.1")</f>
        <v>G.14.1</v>
      </c>
    </row>
    <row r="730" spans="1:2" ht="12.5" x14ac:dyDescent="0.25">
      <c r="A730" t="str">
        <f ca="1">IFERROR(__xludf.DUMMYFUNCTION("""COMPUTED_VALUE"""),"Composite food (including frozen products)")</f>
        <v>Composite food (including frozen products)</v>
      </c>
      <c r="B730" t="str">
        <f ca="1">IFERROR(__xludf.DUMMYFUNCTION("""COMPUTED_VALUE"""),"A.01.001789")</f>
        <v>A.01.001789</v>
      </c>
    </row>
    <row r="731" spans="1:2" ht="12.5" x14ac:dyDescent="0.25">
      <c r="A731" t="str">
        <f ca="1">IFERROR(__xludf.DUMMYFUNCTION("""COMPUTED_VALUE"""),"COMPOUND FEED")</f>
        <v>COMPOUND FEED</v>
      </c>
      <c r="B731" t="str">
        <f ca="1">IFERROR(__xludf.DUMMYFUNCTION("""COMPUTED_VALUE"""),"G.14")</f>
        <v>G.14</v>
      </c>
    </row>
    <row r="732" spans="1:2" ht="12.5" x14ac:dyDescent="0.25">
      <c r="A732" t="str">
        <f ca="1">IFERROR(__xludf.DUMMYFUNCTION("""COMPUTED_VALUE"""),"Compound feedingstuffs")</f>
        <v>Compound feedingstuffs</v>
      </c>
      <c r="B732" t="str">
        <f ca="1">IFERROR(__xludf.DUMMYFUNCTION("""COMPUTED_VALUE"""),"F14")</f>
        <v>F14</v>
      </c>
    </row>
    <row r="733" spans="1:2" ht="12.5" x14ac:dyDescent="0.25">
      <c r="A733" t="str">
        <f ca="1">IFERROR(__xludf.DUMMYFUNCTION("""COMPUTED_VALUE"""),"Compound feedingstuffs, with the exception of feed for fur animals, pet foods and feed for fish")</f>
        <v>Compound feedingstuffs, with the exception of feed for fur animals, pet foods and feed for fish</v>
      </c>
      <c r="B733" t="str">
        <f ca="1">IFERROR(__xludf.DUMMYFUNCTION("""COMPUTED_VALUE"""),"C16_L")</f>
        <v>C16_L</v>
      </c>
    </row>
    <row r="734" spans="1:2" ht="12.5" x14ac:dyDescent="0.25">
      <c r="A734" t="str">
        <f ca="1">IFERROR(__xludf.DUMMYFUNCTION("""COMPUTED_VALUE"""),"Concentrated Distillers Solubles")</f>
        <v>Concentrated Distillers Solubles</v>
      </c>
      <c r="B734" t="str">
        <f ca="1">IFERROR(__xludf.DUMMYFUNCTION("""COMPUTED_VALUE"""),"G.1.12.8")</f>
        <v>G.1.12.8</v>
      </c>
    </row>
    <row r="735" spans="1:2" ht="12.5" x14ac:dyDescent="0.25">
      <c r="A735" t="str">
        <f ca="1">IFERROR(__xludf.DUMMYFUNCTION("""COMPUTED_VALUE"""),"Concentrated fruit juice")</f>
        <v>Concentrated fruit juice</v>
      </c>
      <c r="B735" t="str">
        <f ca="1">IFERROR(__xludf.DUMMYFUNCTION("""COMPUTED_VALUE"""),"A.01.001418")</f>
        <v>A.01.001418</v>
      </c>
    </row>
    <row r="736" spans="1:2" ht="12.5" x14ac:dyDescent="0.25">
      <c r="A736" t="str">
        <f ca="1">IFERROR(__xludf.DUMMYFUNCTION("""COMPUTED_VALUE"""),"Concentrated liquid byproducts from the production of Lglutamic acid by fermentation with Corynebacterium melassecola")</f>
        <v>Concentrated liquid byproducts from the production of Lglutamic acid by fermentation with Corynebacterium melassecola</v>
      </c>
      <c r="B736" t="str">
        <f ca="1">IFERROR(__xludf.DUMMYFUNCTION("""COMPUTED_VALUE"""),"F13.08")</f>
        <v>F13.08</v>
      </c>
    </row>
    <row r="737" spans="1:2" ht="12.5" x14ac:dyDescent="0.25">
      <c r="A737" t="str">
        <f ca="1">IFERROR(__xludf.DUMMYFUNCTION("""COMPUTED_VALUE"""),"Concentrated liquid byproducts from the production of Llysine monohydrochloride by fermentation with Brevibacterium lactofermentum")</f>
        <v>Concentrated liquid byproducts from the production of Llysine monohydrochloride by fermentation with Brevibacterium lactofermentum</v>
      </c>
      <c r="B737" t="str">
        <f ca="1">IFERROR(__xludf.DUMMYFUNCTION("""COMPUTED_VALUE"""),"F13.09")</f>
        <v>F13.09</v>
      </c>
    </row>
    <row r="738" spans="1:2" ht="12.5" x14ac:dyDescent="0.25">
      <c r="A738" t="str">
        <f ca="1">IFERROR(__xludf.DUMMYFUNCTION("""COMPUTED_VALUE"""),"Concentrated milk")</f>
        <v>Concentrated milk</v>
      </c>
      <c r="B738" t="str">
        <f ca="1">IFERROR(__xludf.DUMMYFUNCTION("""COMPUTED_VALUE"""),"A.01.000973")</f>
        <v>A.01.000973</v>
      </c>
    </row>
    <row r="739" spans="1:2" ht="12.5" x14ac:dyDescent="0.25">
      <c r="A739" t="str">
        <f ca="1">IFERROR(__xludf.DUMMYFUNCTION("""COMPUTED_VALUE"""),"Concise terms (Obsolete use FOODEX1 instead)")</f>
        <v>Concise terms (Obsolete use FOODEX1 instead)</v>
      </c>
      <c r="B739" t="str">
        <f ca="1">IFERROR(__xludf.DUMMYFUNCTION("""COMPUTED_VALUE"""),"C00")</f>
        <v>C00</v>
      </c>
    </row>
    <row r="740" spans="1:2" ht="12.5" x14ac:dyDescent="0.25">
      <c r="A740" t="str">
        <f ca="1">IFERROR(__xludf.DUMMYFUNCTION("""COMPUTED_VALUE"""),"Condensed and evaporated milk and their products")</f>
        <v>Condensed and evaporated milk and their products</v>
      </c>
      <c r="B740" t="str">
        <f ca="1">IFERROR(__xludf.DUMMYFUNCTION("""COMPUTED_VALUE"""),"G.8.14")</f>
        <v>G.8.14</v>
      </c>
    </row>
    <row r="741" spans="1:2" ht="12.5" x14ac:dyDescent="0.25">
      <c r="A741" t="str">
        <f ca="1">IFERROR(__xludf.DUMMYFUNCTION("""COMPUTED_VALUE"""),"Condensed milk")</f>
        <v>Condensed milk</v>
      </c>
      <c r="B741" t="str">
        <f ca="1">IFERROR(__xludf.DUMMYFUNCTION("""COMPUTED_VALUE"""),"A.01.000975")</f>
        <v>A.01.000975</v>
      </c>
    </row>
    <row r="742" spans="1:2" ht="12.5" x14ac:dyDescent="0.25">
      <c r="A742" t="str">
        <f ca="1">IFERROR(__xludf.DUMMYFUNCTION("""COMPUTED_VALUE"""),"Condensed milk 10 % fat")</f>
        <v>Condensed milk 10 % fat</v>
      </c>
      <c r="B742" t="str">
        <f ca="1">IFERROR(__xludf.DUMMYFUNCTION("""COMPUTED_VALUE"""),"A.01.000979")</f>
        <v>A.01.000979</v>
      </c>
    </row>
    <row r="743" spans="1:2" ht="12.5" x14ac:dyDescent="0.25">
      <c r="A743" t="str">
        <f ca="1">IFERROR(__xludf.DUMMYFUNCTION("""COMPUTED_VALUE"""),"Condensed milk 15 % fat")</f>
        <v>Condensed milk 15 % fat</v>
      </c>
      <c r="B743" t="str">
        <f ca="1">IFERROR(__xludf.DUMMYFUNCTION("""COMPUTED_VALUE"""),"A.01.000980")</f>
        <v>A.01.000980</v>
      </c>
    </row>
    <row r="744" spans="1:2" ht="12.5" x14ac:dyDescent="0.25">
      <c r="A744" t="str">
        <f ca="1">IFERROR(__xludf.DUMMYFUNCTION("""COMPUTED_VALUE"""),"Condensed milk 4% fat")</f>
        <v>Condensed milk 4% fat</v>
      </c>
      <c r="B744" t="str">
        <f ca="1">IFERROR(__xludf.DUMMYFUNCTION("""COMPUTED_VALUE"""),"A.01.000977")</f>
        <v>A.01.000977</v>
      </c>
    </row>
    <row r="745" spans="1:2" ht="12.5" x14ac:dyDescent="0.25">
      <c r="A745" t="str">
        <f ca="1">IFERROR(__xludf.DUMMYFUNCTION("""COMPUTED_VALUE"""),"Condensed milk 7.5 % fat")</f>
        <v>Condensed milk 7.5 % fat</v>
      </c>
      <c r="B745" t="str">
        <f ca="1">IFERROR(__xludf.DUMMYFUNCTION("""COMPUTED_VALUE"""),"A.01.000978")</f>
        <v>A.01.000978</v>
      </c>
    </row>
    <row r="746" spans="1:2" ht="12.5" x14ac:dyDescent="0.25">
      <c r="A746" t="str">
        <f ca="1">IFERROR(__xludf.DUMMYFUNCTION("""COMPUTED_VALUE"""),"Condensed milk low fat")</f>
        <v>Condensed milk low fat</v>
      </c>
      <c r="B746" t="str">
        <f ca="1">IFERROR(__xludf.DUMMYFUNCTION("""COMPUTED_VALUE"""),"A.01.000976")</f>
        <v>A.01.000976</v>
      </c>
    </row>
    <row r="747" spans="1:2" ht="12.5" x14ac:dyDescent="0.25">
      <c r="A747" t="str">
        <f ca="1">IFERROR(__xludf.DUMMYFUNCTION("""COMPUTED_VALUE"""),"Condiment")</f>
        <v>Condiment</v>
      </c>
      <c r="B747" t="str">
        <f ca="1">IFERROR(__xludf.DUMMYFUNCTION("""COMPUTED_VALUE"""),"A.01.001649")</f>
        <v>A.01.001649</v>
      </c>
    </row>
    <row r="748" spans="1:2" ht="12.5" x14ac:dyDescent="0.25">
      <c r="A748" t="str">
        <f ca="1">IFERROR(__xludf.DUMMYFUNCTION("""COMPUTED_VALUE"""),"Confectionary for diabetics")</f>
        <v>Confectionary for diabetics</v>
      </c>
      <c r="B748" t="str">
        <f ca="1">IFERROR(__xludf.DUMMYFUNCTION("""COMPUTED_VALUE"""),"A.01.001775")</f>
        <v>A.01.001775</v>
      </c>
    </row>
    <row r="749" spans="1:2" ht="12.5" x14ac:dyDescent="0.25">
      <c r="A749" t="str">
        <f ca="1">IFERROR(__xludf.DUMMYFUNCTION("""COMPUTED_VALUE"""),"Confectionery (non-chocolate)")</f>
        <v>Confectionery (non-chocolate)</v>
      </c>
      <c r="B749" t="str">
        <f ca="1">IFERROR(__xludf.DUMMYFUNCTION("""COMPUTED_VALUE"""),"A.01.001310")</f>
        <v>A.01.001310</v>
      </c>
    </row>
    <row r="750" spans="1:2" ht="12.5" x14ac:dyDescent="0.25">
      <c r="A750" t="str">
        <f ca="1">IFERROR(__xludf.DUMMYFUNCTION("""COMPUTED_VALUE"""),"Confectionery products and byproducts")</f>
        <v>Confectionery products and byproducts</v>
      </c>
      <c r="B750" t="str">
        <f ca="1">IFERROR(__xludf.DUMMYFUNCTION("""COMPUTED_VALUE"""),"F12.02")</f>
        <v>F12.02</v>
      </c>
    </row>
    <row r="751" spans="1:2" ht="12.5" x14ac:dyDescent="0.25">
      <c r="A751" t="str">
        <f ca="1">IFERROR(__xludf.DUMMYFUNCTION("""COMPUTED_VALUE"""),"Cooked salami")</f>
        <v>Cooked salami</v>
      </c>
      <c r="B751" t="str">
        <f ca="1">IFERROR(__xludf.DUMMYFUNCTION("""COMPUTED_VALUE"""),"A.01.000849")</f>
        <v>A.01.000849</v>
      </c>
    </row>
    <row r="752" spans="1:2" ht="12.5" x14ac:dyDescent="0.25">
      <c r="A752" t="str">
        <f ca="1">IFERROR(__xludf.DUMMYFUNCTION("""COMPUTED_VALUE"""),"Cooked sausage")</f>
        <v>Cooked sausage</v>
      </c>
      <c r="B752" t="str">
        <f ca="1">IFERROR(__xludf.DUMMYFUNCTION("""COMPUTED_VALUE"""),"A.01.000822")</f>
        <v>A.01.000822</v>
      </c>
    </row>
    <row r="753" spans="1:2" ht="12.5" x14ac:dyDescent="0.25">
      <c r="A753" t="str">
        <f ca="1">IFERROR(__xludf.DUMMYFUNCTION("""COMPUTED_VALUE"""),"Cooked smoked sausage")</f>
        <v>Cooked smoked sausage</v>
      </c>
      <c r="B753" t="str">
        <f ca="1">IFERROR(__xludf.DUMMYFUNCTION("""COMPUTED_VALUE"""),"A.01.000826")</f>
        <v>A.01.000826</v>
      </c>
    </row>
    <row r="754" spans="1:2" ht="12.5" x14ac:dyDescent="0.25">
      <c r="A754" t="str">
        <f ca="1">IFERROR(__xludf.DUMMYFUNCTION("""COMPUTED_VALUE"""),"Cooking chocolate")</f>
        <v>Cooking chocolate</v>
      </c>
      <c r="B754" t="str">
        <f ca="1">IFERROR(__xludf.DUMMYFUNCTION("""COMPUTED_VALUE"""),"A.01.001306")</f>
        <v>A.01.001306</v>
      </c>
    </row>
    <row r="755" spans="1:2" ht="12.5" x14ac:dyDescent="0.25">
      <c r="A755" t="str">
        <f ca="1">IFERROR(__xludf.DUMMYFUNCTION("""COMPUTED_VALUE"""),"Cooking chocolate, white")</f>
        <v>Cooking chocolate, white</v>
      </c>
      <c r="B755" t="str">
        <f ca="1">IFERROR(__xludf.DUMMYFUNCTION("""COMPUTED_VALUE"""),"A.01.001307")</f>
        <v>A.01.001307</v>
      </c>
    </row>
    <row r="756" spans="1:2" ht="12.5" x14ac:dyDescent="0.25">
      <c r="A756" t="str">
        <f ca="1">IFERROR(__xludf.DUMMYFUNCTION("""COMPUTED_VALUE"""),"Copra expeller")</f>
        <v>Copra expeller</v>
      </c>
      <c r="B756" t="str">
        <f ca="1">IFERROR(__xludf.DUMMYFUNCTION("""COMPUTED_VALUE"""),"F02.10")</f>
        <v>F02.10</v>
      </c>
    </row>
    <row r="757" spans="1:2" ht="12.5" x14ac:dyDescent="0.25">
      <c r="A757" t="str">
        <f ca="1">IFERROR(__xludf.DUMMYFUNCTION("""COMPUTED_VALUE"""),"Copra expeller")</f>
        <v>Copra expeller</v>
      </c>
      <c r="B757" t="str">
        <f ca="1">IFERROR(__xludf.DUMMYFUNCTION("""COMPUTED_VALUE"""),"G.2.4")</f>
        <v>G.2.4</v>
      </c>
    </row>
    <row r="758" spans="1:2" ht="12.5" x14ac:dyDescent="0.25">
      <c r="A758" t="str">
        <f ca="1">IFERROR(__xludf.DUMMYFUNCTION("""COMPUTED_VALUE"""),"Copra meal")</f>
        <v>Copra meal</v>
      </c>
      <c r="B758" t="str">
        <f ca="1">IFERROR(__xludf.DUMMYFUNCTION("""COMPUTED_VALUE"""),"G.2.4.3")</f>
        <v>G.2.4.3</v>
      </c>
    </row>
    <row r="759" spans="1:2" ht="12.5" x14ac:dyDescent="0.25">
      <c r="A759" t="str">
        <f ca="1">IFERROR(__xludf.DUMMYFUNCTION("""COMPUTED_VALUE"""),"Copra, extracted")</f>
        <v>Copra, extracted</v>
      </c>
      <c r="B759" t="str">
        <f ca="1">IFERROR(__xludf.DUMMYFUNCTION("""COMPUTED_VALUE"""),"F02.11")</f>
        <v>F02.11</v>
      </c>
    </row>
    <row r="760" spans="1:2" ht="12.5" x14ac:dyDescent="0.25">
      <c r="A760" t="str">
        <f ca="1">IFERROR(__xludf.DUMMYFUNCTION("""COMPUTED_VALUE"""),"Copra, hydrolysed expeller")</f>
        <v>Copra, hydrolysed expeller</v>
      </c>
      <c r="B760" t="str">
        <f ca="1">IFERROR(__xludf.DUMMYFUNCTION("""COMPUTED_VALUE"""),"G.2.4.2")</f>
        <v>G.2.4.2</v>
      </c>
    </row>
    <row r="761" spans="1:2" ht="12.5" x14ac:dyDescent="0.25">
      <c r="A761" t="str">
        <f ca="1">IFERROR(__xludf.DUMMYFUNCTION("""COMPUTED_VALUE"""),"Coriander seed (Coriandrum sativum)")</f>
        <v>Coriander seed (Coriandrum sativum)</v>
      </c>
      <c r="B761" t="str">
        <f ca="1">IFERROR(__xludf.DUMMYFUNCTION("""COMPUTED_VALUE"""),"A.01.001609")</f>
        <v>A.01.001609</v>
      </c>
    </row>
    <row r="762" spans="1:2" ht="12.5" x14ac:dyDescent="0.25">
      <c r="A762" t="str">
        <f ca="1">IFERROR(__xludf.DUMMYFUNCTION("""COMPUTED_VALUE"""),"Corn bread")</f>
        <v>Corn bread</v>
      </c>
      <c r="B762" t="str">
        <f ca="1">IFERROR(__xludf.DUMMYFUNCTION("""COMPUTED_VALUE"""),"A.01.000156")</f>
        <v>A.01.000156</v>
      </c>
    </row>
    <row r="763" spans="1:2" ht="12.5" x14ac:dyDescent="0.25">
      <c r="A763" t="str">
        <f ca="1">IFERROR(__xludf.DUMMYFUNCTION("""COMPUTED_VALUE"""),"Corn chips")</f>
        <v>Corn chips</v>
      </c>
      <c r="B763" t="str">
        <f ca="1">IFERROR(__xludf.DUMMYFUNCTION("""COMPUTED_VALUE"""),"A.01.001880")</f>
        <v>A.01.001880</v>
      </c>
    </row>
    <row r="764" spans="1:2" ht="12.5" x14ac:dyDescent="0.25">
      <c r="A764" t="str">
        <f ca="1">IFERROR(__xludf.DUMMYFUNCTION("""COMPUTED_VALUE"""),"Corn curls")</f>
        <v>Corn curls</v>
      </c>
      <c r="B764" t="str">
        <f ca="1">IFERROR(__xludf.DUMMYFUNCTION("""COMPUTED_VALUE"""),"A.01.001882")</f>
        <v>A.01.001882</v>
      </c>
    </row>
    <row r="765" spans="1:2" ht="12.5" x14ac:dyDescent="0.25">
      <c r="A765" t="str">
        <f ca="1">IFERROR(__xludf.DUMMYFUNCTION("""COMPUTED_VALUE"""),"Corn flakes")</f>
        <v>Corn flakes</v>
      </c>
      <c r="B765" t="str">
        <f ca="1">IFERROR(__xludf.DUMMYFUNCTION("""COMPUTED_VALUE"""),"A.01.000187")</f>
        <v>A.01.000187</v>
      </c>
    </row>
    <row r="766" spans="1:2" ht="12.5" x14ac:dyDescent="0.25">
      <c r="A766" t="str">
        <f ca="1">IFERROR(__xludf.DUMMYFUNCTION("""COMPUTED_VALUE"""),"Corn flakes and nuts")</f>
        <v>Corn flakes and nuts</v>
      </c>
      <c r="B766" t="str">
        <f ca="1">IFERROR(__xludf.DUMMYFUNCTION("""COMPUTED_VALUE"""),"A.01.000188")</f>
        <v>A.01.000188</v>
      </c>
    </row>
    <row r="767" spans="1:2" ht="12.5" x14ac:dyDescent="0.25">
      <c r="A767" t="str">
        <f ca="1">IFERROR(__xludf.DUMMYFUNCTION("""COMPUTED_VALUE"""),"Corn flakes with honey and nuts")</f>
        <v>Corn flakes with honey and nuts</v>
      </c>
      <c r="B767" t="str">
        <f ca="1">IFERROR(__xludf.DUMMYFUNCTION("""COMPUTED_VALUE"""),"A.01.000189")</f>
        <v>A.01.000189</v>
      </c>
    </row>
    <row r="768" spans="1:2" ht="12.5" x14ac:dyDescent="0.25">
      <c r="A768" t="str">
        <f ca="1">IFERROR(__xludf.DUMMYFUNCTION("""COMPUTED_VALUE"""),"Corn flakes with honey and sugar")</f>
        <v>Corn flakes with honey and sugar</v>
      </c>
      <c r="B768" t="str">
        <f ca="1">IFERROR(__xludf.DUMMYFUNCTION("""COMPUTED_VALUE"""),"A.01.000190")</f>
        <v>A.01.000190</v>
      </c>
    </row>
    <row r="769" spans="1:2" ht="12.5" x14ac:dyDescent="0.25">
      <c r="A769" t="str">
        <f ca="1">IFERROR(__xludf.DUMMYFUNCTION("""COMPUTED_VALUE"""),"Corn flakes with sugar")</f>
        <v>Corn flakes with sugar</v>
      </c>
      <c r="B769" t="str">
        <f ca="1">IFERROR(__xludf.DUMMYFUNCTION("""COMPUTED_VALUE"""),"A.01.000191")</f>
        <v>A.01.000191</v>
      </c>
    </row>
    <row r="770" spans="1:2" ht="12.5" x14ac:dyDescent="0.25">
      <c r="A770" t="str">
        <f ca="1">IFERROR(__xludf.DUMMYFUNCTION("""COMPUTED_VALUE"""),"Corn flour")</f>
        <v>Corn flour</v>
      </c>
      <c r="B770" t="str">
        <f ca="1">IFERROR(__xludf.DUMMYFUNCTION("""COMPUTED_VALUE"""),"A.01.000072")</f>
        <v>A.01.000072</v>
      </c>
    </row>
    <row r="771" spans="1:2" ht="12.5" x14ac:dyDescent="0.25">
      <c r="A771" t="str">
        <f ca="1">IFERROR(__xludf.DUMMYFUNCTION("""COMPUTED_VALUE"""),"Corn grain")</f>
        <v>Corn grain</v>
      </c>
      <c r="B771" t="str">
        <f ca="1">IFERROR(__xludf.DUMMYFUNCTION("""COMPUTED_VALUE"""),"A.01.000022")</f>
        <v>A.01.000022</v>
      </c>
    </row>
    <row r="772" spans="1:2" ht="12.5" x14ac:dyDescent="0.25">
      <c r="A772" t="str">
        <f ca="1">IFERROR(__xludf.DUMMYFUNCTION("""COMPUTED_VALUE"""),"Corn grain (Crop)")</f>
        <v>Corn grain (Crop)</v>
      </c>
      <c r="B772" t="str">
        <f ca="1">IFERROR(__xludf.DUMMYFUNCTION("""COMPUTED_VALUE"""),"A.01.000005")</f>
        <v>A.01.000005</v>
      </c>
    </row>
    <row r="773" spans="1:2" ht="12.5" x14ac:dyDescent="0.25">
      <c r="A773" t="str">
        <f ca="1">IFERROR(__xludf.DUMMYFUNCTION("""COMPUTED_VALUE"""),"Corn milling products")</f>
        <v>Corn milling products</v>
      </c>
      <c r="B773" t="str">
        <f ca="1">IFERROR(__xludf.DUMMYFUNCTION("""COMPUTED_VALUE"""),"A.01.000071")</f>
        <v>A.01.000071</v>
      </c>
    </row>
    <row r="774" spans="1:2" ht="12.5" x14ac:dyDescent="0.25">
      <c r="A774" t="str">
        <f ca="1">IFERROR(__xludf.DUMMYFUNCTION("""COMPUTED_VALUE"""),"Corn oil")</f>
        <v>Corn oil</v>
      </c>
      <c r="B774" t="str">
        <f ca="1">IFERROR(__xludf.DUMMYFUNCTION("""COMPUTED_VALUE"""),"A.01.001370")</f>
        <v>A.01.001370</v>
      </c>
    </row>
    <row r="775" spans="1:2" ht="12.5" x14ac:dyDescent="0.25">
      <c r="A775" t="str">
        <f ca="1">IFERROR(__xludf.DUMMYFUNCTION("""COMPUTED_VALUE"""),"Corn semolina")</f>
        <v>Corn semolina</v>
      </c>
      <c r="B775" t="str">
        <f ca="1">IFERROR(__xludf.DUMMYFUNCTION("""COMPUTED_VALUE"""),"A.01.000073")</f>
        <v>A.01.000073</v>
      </c>
    </row>
    <row r="776" spans="1:2" ht="12.5" x14ac:dyDescent="0.25">
      <c r="A776" t="str">
        <f ca="1">IFERROR(__xludf.DUMMYFUNCTION("""COMPUTED_VALUE"""),"Corn starch")</f>
        <v>Corn starch</v>
      </c>
      <c r="B776" t="str">
        <f ca="1">IFERROR(__xludf.DUMMYFUNCTION("""COMPUTED_VALUE"""),"A.01.000074")</f>
        <v>A.01.000074</v>
      </c>
    </row>
    <row r="777" spans="1:2" ht="12.5" x14ac:dyDescent="0.25">
      <c r="A777" t="str">
        <f ca="1">IFERROR(__xludf.DUMMYFUNCTION("""COMPUTED_VALUE"""),"Corn syrup")</f>
        <v>Corn syrup</v>
      </c>
      <c r="B777" t="str">
        <f ca="1">IFERROR(__xludf.DUMMYFUNCTION("""COMPUTED_VALUE"""),"A.01.001337")</f>
        <v>A.01.001337</v>
      </c>
    </row>
    <row r="778" spans="1:2" ht="12.5" x14ac:dyDescent="0.25">
      <c r="A778" t="str">
        <f ca="1">IFERROR(__xludf.DUMMYFUNCTION("""COMPUTED_VALUE"""),"Corned beef")</f>
        <v>Corned beef</v>
      </c>
      <c r="B778" t="str">
        <f ca="1">IFERROR(__xludf.DUMMYFUNCTION("""COMPUTED_VALUE"""),"A.01.000803")</f>
        <v>A.01.000803</v>
      </c>
    </row>
    <row r="779" spans="1:2" ht="12.5" x14ac:dyDescent="0.25">
      <c r="A779" t="str">
        <f ca="1">IFERROR(__xludf.DUMMYFUNCTION("""COMPUTED_VALUE"""),"Corned pork")</f>
        <v>Corned pork</v>
      </c>
      <c r="B779" t="str">
        <f ca="1">IFERROR(__xludf.DUMMYFUNCTION("""COMPUTED_VALUE"""),"A.01.000804")</f>
        <v>A.01.000804</v>
      </c>
    </row>
    <row r="780" spans="1:2" ht="12.5" x14ac:dyDescent="0.25">
      <c r="A780" t="str">
        <f ca="1">IFERROR(__xludf.DUMMYFUNCTION("""COMPUTED_VALUE"""),"Corned turkey")</f>
        <v>Corned turkey</v>
      </c>
      <c r="B780" t="str">
        <f ca="1">IFERROR(__xludf.DUMMYFUNCTION("""COMPUTED_VALUE"""),"A.01.000805")</f>
        <v>A.01.000805</v>
      </c>
    </row>
    <row r="781" spans="1:2" ht="12.5" x14ac:dyDescent="0.25">
      <c r="A781" t="str">
        <f ca="1">IFERROR(__xludf.DUMMYFUNCTION("""COMPUTED_VALUE"""),"Cornflower seed")</f>
        <v>Cornflower seed</v>
      </c>
      <c r="B781" t="str">
        <f ca="1">IFERROR(__xludf.DUMMYFUNCTION("""COMPUTED_VALUE"""),"G.5.16")</f>
        <v>G.5.16</v>
      </c>
    </row>
    <row r="782" spans="1:2" ht="12.5" x14ac:dyDescent="0.25">
      <c r="A782" t="str">
        <f ca="1">IFERROR(__xludf.DUMMYFUNCTION("""COMPUTED_VALUE"""),"Cornmeal")</f>
        <v>Cornmeal</v>
      </c>
      <c r="B782" t="str">
        <f ca="1">IFERROR(__xludf.DUMMYFUNCTION("""COMPUTED_VALUE"""),"A.01.000075")</f>
        <v>A.01.000075</v>
      </c>
    </row>
    <row r="783" spans="1:2" ht="12.5" x14ac:dyDescent="0.25">
      <c r="A783" t="str">
        <f ca="1">IFERROR(__xludf.DUMMYFUNCTION("""COMPUTED_VALUE"""),"Cornmeal porridge")</f>
        <v>Cornmeal porridge</v>
      </c>
      <c r="B783" t="str">
        <f ca="1">IFERROR(__xludf.DUMMYFUNCTION("""COMPUTED_VALUE"""),"A.01.000249")</f>
        <v>A.01.000249</v>
      </c>
    </row>
    <row r="784" spans="1:2" ht="12.5" x14ac:dyDescent="0.25">
      <c r="A784" t="str">
        <f ca="1">IFERROR(__xludf.DUMMYFUNCTION("""COMPUTED_VALUE"""),"Cotto salami")</f>
        <v>Cotto salami</v>
      </c>
      <c r="B784" t="str">
        <f ca="1">IFERROR(__xludf.DUMMYFUNCTION("""COMPUTED_VALUE"""),"A.01.000850")</f>
        <v>A.01.000850</v>
      </c>
    </row>
    <row r="785" spans="1:2" ht="12.5" x14ac:dyDescent="0.25">
      <c r="A785" t="str">
        <f ca="1">IFERROR(__xludf.DUMMYFUNCTION("""COMPUTED_VALUE"""),"Cotton seed")</f>
        <v>Cotton seed</v>
      </c>
      <c r="B785" t="str">
        <f ca="1">IFERROR(__xludf.DUMMYFUNCTION("""COMPUTED_VALUE"""),"F02.20")</f>
        <v>F02.20</v>
      </c>
    </row>
    <row r="786" spans="1:2" ht="12.5" x14ac:dyDescent="0.25">
      <c r="A786" t="str">
        <f ca="1">IFERROR(__xludf.DUMMYFUNCTION("""COMPUTED_VALUE"""),"Cotton seed")</f>
        <v>Cotton seed</v>
      </c>
      <c r="B786" t="str">
        <f ca="1">IFERROR(__xludf.DUMMYFUNCTION("""COMPUTED_VALUE"""),"G.2.5")</f>
        <v>G.2.5</v>
      </c>
    </row>
    <row r="787" spans="1:2" ht="12.5" x14ac:dyDescent="0.25">
      <c r="A787" t="str">
        <f ca="1">IFERROR(__xludf.DUMMYFUNCTION("""COMPUTED_VALUE"""),"Cotton seed (Gossypium spp.)")</f>
        <v>Cotton seed (Gossypium spp.)</v>
      </c>
      <c r="B787" t="str">
        <f ca="1">IFERROR(__xludf.DUMMYFUNCTION("""COMPUTED_VALUE"""),"A.01.000536")</f>
        <v>A.01.000536</v>
      </c>
    </row>
    <row r="788" spans="1:2" ht="12.5" x14ac:dyDescent="0.25">
      <c r="A788" t="str">
        <f ca="1">IFERROR(__xludf.DUMMYFUNCTION("""COMPUTED_VALUE"""),"Cotton seed expeller")</f>
        <v>Cotton seed expeller</v>
      </c>
      <c r="B788" t="str">
        <f ca="1">IFERROR(__xludf.DUMMYFUNCTION("""COMPUTED_VALUE"""),"F02.22")</f>
        <v>F02.22</v>
      </c>
    </row>
    <row r="789" spans="1:2" ht="12.5" x14ac:dyDescent="0.25">
      <c r="A789" t="str">
        <f ca="1">IFERROR(__xludf.DUMMYFUNCTION("""COMPUTED_VALUE"""),"Cotton seed expeller")</f>
        <v>Cotton seed expeller</v>
      </c>
      <c r="B789" t="str">
        <f ca="1">IFERROR(__xludf.DUMMYFUNCTION("""COMPUTED_VALUE"""),"G.2.5.3")</f>
        <v>G.2.5.3</v>
      </c>
    </row>
    <row r="790" spans="1:2" ht="12.5" x14ac:dyDescent="0.25">
      <c r="A790" t="str">
        <f ca="1">IFERROR(__xludf.DUMMYFUNCTION("""COMPUTED_VALUE"""),"Cotton seed meal, partially decorticated")</f>
        <v>Cotton seed meal, partially decorticated</v>
      </c>
      <c r="B790" t="str">
        <f ca="1">IFERROR(__xludf.DUMMYFUNCTION("""COMPUTED_VALUE"""),"G.2.5.2")</f>
        <v>G.2.5.2</v>
      </c>
    </row>
    <row r="791" spans="1:2" ht="12.5" x14ac:dyDescent="0.25">
      <c r="A791" t="str">
        <f ca="1">IFERROR(__xludf.DUMMYFUNCTION("""COMPUTED_VALUE"""),"Cotton seed, partially decorticated, extracted")</f>
        <v>Cotton seed, partially decorticated, extracted</v>
      </c>
      <c r="B791" t="str">
        <f ca="1">IFERROR(__xludf.DUMMYFUNCTION("""COMPUTED_VALUE"""),"F02.21")</f>
        <v>F02.21</v>
      </c>
    </row>
    <row r="792" spans="1:2" ht="12.5" x14ac:dyDescent="0.25">
      <c r="A792" t="str">
        <f ca="1">IFERROR(__xludf.DUMMYFUNCTION("""COMPUTED_VALUE"""),"Cottonseed oil")</f>
        <v>Cottonseed oil</v>
      </c>
      <c r="B792" t="str">
        <f ca="1">IFERROR(__xludf.DUMMYFUNCTION("""COMPUTED_VALUE"""),"A.01.001371")</f>
        <v>A.01.001371</v>
      </c>
    </row>
    <row r="793" spans="1:2" ht="12.5" x14ac:dyDescent="0.25">
      <c r="A793" t="str">
        <f ca="1">IFERROR(__xludf.DUMMYFUNCTION("""COMPUTED_VALUE"""),"Courgettes (Zucchini) (Cucurbita pepo var. melopepo)")</f>
        <v>Courgettes (Zucchini) (Cucurbita pepo var. melopepo)</v>
      </c>
      <c r="B793" t="str">
        <f ca="1">IFERROR(__xludf.DUMMYFUNCTION("""COMPUTED_VALUE"""),"A.01.000345")</f>
        <v>A.01.000345</v>
      </c>
    </row>
    <row r="794" spans="1:2" ht="12.5" x14ac:dyDescent="0.25">
      <c r="A794" t="str">
        <f ca="1">IFERROR(__xludf.DUMMYFUNCTION("""COMPUTED_VALUE"""),"Couscous")</f>
        <v>Couscous</v>
      </c>
      <c r="B794" t="str">
        <f ca="1">IFERROR(__xludf.DUMMYFUNCTION("""COMPUTED_VALUE"""),"A.01.000051")</f>
        <v>A.01.000051</v>
      </c>
    </row>
    <row r="795" spans="1:2" ht="12.5" x14ac:dyDescent="0.25">
      <c r="A795" t="str">
        <f ca="1">IFERROR(__xludf.DUMMYFUNCTION("""COMPUTED_VALUE"""),"Cow milk")</f>
        <v>Cow milk</v>
      </c>
      <c r="B795" t="str">
        <f ca="1">IFERROR(__xludf.DUMMYFUNCTION("""COMPUTED_VALUE"""),"A.01.000950")</f>
        <v>A.01.000950</v>
      </c>
    </row>
    <row r="796" spans="1:2" ht="12.5" x14ac:dyDescent="0.25">
      <c r="A796" t="str">
        <f ca="1">IFERROR(__xludf.DUMMYFUNCTION("""COMPUTED_VALUE"""),"Cow milk, &lt; 1% fat (skimmed milk)")</f>
        <v>Cow milk, &lt; 1% fat (skimmed milk)</v>
      </c>
      <c r="B796" t="str">
        <f ca="1">IFERROR(__xludf.DUMMYFUNCTION("""COMPUTED_VALUE"""),"A.01.000954")</f>
        <v>A.01.000954</v>
      </c>
    </row>
    <row r="797" spans="1:2" ht="12.5" x14ac:dyDescent="0.25">
      <c r="A797" t="str">
        <f ca="1">IFERROR(__xludf.DUMMYFUNCTION("""COMPUTED_VALUE"""),"Cow milk, &gt; 4% fat (inc. Channel Island milk)")</f>
        <v>Cow milk, &gt; 4% fat (inc. Channel Island milk)</v>
      </c>
      <c r="B797" t="str">
        <f ca="1">IFERROR(__xludf.DUMMYFUNCTION("""COMPUTED_VALUE"""),"A.01.000951")</f>
        <v>A.01.000951</v>
      </c>
    </row>
    <row r="798" spans="1:2" ht="12.5" x14ac:dyDescent="0.25">
      <c r="A798" t="str">
        <f ca="1">IFERROR(__xludf.DUMMYFUNCTION("""COMPUTED_VALUE"""),"Cow milk, 1 - 2.9% fat (semi-skimmed milk)")</f>
        <v>Cow milk, 1 - 2.9% fat (semi-skimmed milk)</v>
      </c>
      <c r="B798" t="str">
        <f ca="1">IFERROR(__xludf.DUMMYFUNCTION("""COMPUTED_VALUE"""),"A.01.000953")</f>
        <v>A.01.000953</v>
      </c>
    </row>
    <row r="799" spans="1:2" ht="12.5" x14ac:dyDescent="0.25">
      <c r="A799" t="str">
        <f ca="1">IFERROR(__xludf.DUMMYFUNCTION("""COMPUTED_VALUE"""),"Cow milk, 3 - 4% fat (whole milk)")</f>
        <v>Cow milk, 3 - 4% fat (whole milk)</v>
      </c>
      <c r="B799" t="str">
        <f ca="1">IFERROR(__xludf.DUMMYFUNCTION("""COMPUTED_VALUE"""),"A.01.000952")</f>
        <v>A.01.000952</v>
      </c>
    </row>
    <row r="800" spans="1:2" ht="12.5" x14ac:dyDescent="0.25">
      <c r="A800" t="str">
        <f ca="1">IFERROR(__xludf.DUMMYFUNCTION("""COMPUTED_VALUE"""),"Crab (Cancer spp.)")</f>
        <v>Crab (Cancer spp.)</v>
      </c>
      <c r="B800" t="str">
        <f ca="1">IFERROR(__xludf.DUMMYFUNCTION("""COMPUTED_VALUE"""),"A.01.000920")</f>
        <v>A.01.000920</v>
      </c>
    </row>
    <row r="801" spans="1:2" ht="12.5" x14ac:dyDescent="0.25">
      <c r="A801" t="str">
        <f ca="1">IFERROR(__xludf.DUMMYFUNCTION("""COMPUTED_VALUE"""),"Cranberries (Vaccinium macrocarpon)")</f>
        <v>Cranberries (Vaccinium macrocarpon)</v>
      </c>
      <c r="B801" t="str">
        <f ca="1">IFERROR(__xludf.DUMMYFUNCTION("""COMPUTED_VALUE"""),"A.01.000584")</f>
        <v>A.01.000584</v>
      </c>
    </row>
    <row r="802" spans="1:2" ht="12.5" x14ac:dyDescent="0.25">
      <c r="A802" t="str">
        <f ca="1">IFERROR(__xludf.DUMMYFUNCTION("""COMPUTED_VALUE"""),"Cranberry (Vaccinium spp.)")</f>
        <v>Cranberry (Vaccinium spp.)</v>
      </c>
      <c r="B802" t="str">
        <f ca="1">IFERROR(__xludf.DUMMYFUNCTION("""COMPUTED_VALUE"""),"A.01.000599")</f>
        <v>A.01.000599</v>
      </c>
    </row>
    <row r="803" spans="1:2" ht="12.5" x14ac:dyDescent="0.25">
      <c r="A803" t="str">
        <f ca="1">IFERROR(__xludf.DUMMYFUNCTION("""COMPUTED_VALUE"""),"Crawfish (Panulirus spp.)")</f>
        <v>Crawfish (Panulirus spp.)</v>
      </c>
      <c r="B803" t="str">
        <f ca="1">IFERROR(__xludf.DUMMYFUNCTION("""COMPUTED_VALUE"""),"A.01.000925")</f>
        <v>A.01.000925</v>
      </c>
    </row>
    <row r="804" spans="1:2" ht="12.5" x14ac:dyDescent="0.25">
      <c r="A804" t="str">
        <f ca="1">IFERROR(__xludf.DUMMYFUNCTION("""COMPUTED_VALUE"""),"Crayfish (Astacus spp.)")</f>
        <v>Crayfish (Astacus spp.)</v>
      </c>
      <c r="B804" t="str">
        <f ca="1">IFERROR(__xludf.DUMMYFUNCTION("""COMPUTED_VALUE"""),"A.01.000926")</f>
        <v>A.01.000926</v>
      </c>
    </row>
    <row r="805" spans="1:2" ht="12.5" x14ac:dyDescent="0.25">
      <c r="A805" t="str">
        <f ca="1">IFERROR(__xludf.DUMMYFUNCTION("""COMPUTED_VALUE"""),"Cream")</f>
        <v>Cream</v>
      </c>
      <c r="B805" t="str">
        <f ca="1">IFERROR(__xludf.DUMMYFUNCTION("""COMPUTED_VALUE"""),"A.01.001001")</f>
        <v>A.01.001001</v>
      </c>
    </row>
    <row r="806" spans="1:2" ht="12.5" x14ac:dyDescent="0.25">
      <c r="A806" t="str">
        <f ca="1">IFERROR(__xludf.DUMMYFUNCTION("""COMPUTED_VALUE"""),"Cream 10% fat")</f>
        <v>Cream 10% fat</v>
      </c>
      <c r="B806" t="str">
        <f ca="1">IFERROR(__xludf.DUMMYFUNCTION("""COMPUTED_VALUE"""),"A.01.001002")</f>
        <v>A.01.001002</v>
      </c>
    </row>
    <row r="807" spans="1:2" ht="12.5" x14ac:dyDescent="0.25">
      <c r="A807" t="str">
        <f ca="1">IFERROR(__xludf.DUMMYFUNCTION("""COMPUTED_VALUE"""),"Cream 20% fat")</f>
        <v>Cream 20% fat</v>
      </c>
      <c r="B807" t="str">
        <f ca="1">IFERROR(__xludf.DUMMYFUNCTION("""COMPUTED_VALUE"""),"A.01.001003")</f>
        <v>A.01.001003</v>
      </c>
    </row>
    <row r="808" spans="1:2" ht="12.5" x14ac:dyDescent="0.25">
      <c r="A808" t="str">
        <f ca="1">IFERROR(__xludf.DUMMYFUNCTION("""COMPUTED_VALUE"""),"Cream 30 % fat")</f>
        <v>Cream 30 % fat</v>
      </c>
      <c r="B808" t="str">
        <f ca="1">IFERROR(__xludf.DUMMYFUNCTION("""COMPUTED_VALUE"""),"A.01.001004")</f>
        <v>A.01.001004</v>
      </c>
    </row>
    <row r="809" spans="1:2" ht="12.5" x14ac:dyDescent="0.25">
      <c r="A809" t="str">
        <f ca="1">IFERROR(__xludf.DUMMYFUNCTION("""COMPUTED_VALUE"""),"Cream 40 % fat")</f>
        <v>Cream 40 % fat</v>
      </c>
      <c r="B809" t="str">
        <f ca="1">IFERROR(__xludf.DUMMYFUNCTION("""COMPUTED_VALUE"""),"A.01.001005")</f>
        <v>A.01.001005</v>
      </c>
    </row>
    <row r="810" spans="1:2" ht="12.5" x14ac:dyDescent="0.25">
      <c r="A810" t="str">
        <f ca="1">IFERROR(__xludf.DUMMYFUNCTION("""COMPUTED_VALUE"""),"Cream and cream products")</f>
        <v>Cream and cream products</v>
      </c>
      <c r="B810" t="str">
        <f ca="1">IFERROR(__xludf.DUMMYFUNCTION("""COMPUTED_VALUE"""),"A.01.001000")</f>
        <v>A.01.001000</v>
      </c>
    </row>
    <row r="811" spans="1:2" ht="12.5" x14ac:dyDescent="0.25">
      <c r="A811" t="str">
        <f ca="1">IFERROR(__xludf.DUMMYFUNCTION("""COMPUTED_VALUE"""),"Cream cake")</f>
        <v>Cream cake</v>
      </c>
      <c r="B811" t="str">
        <f ca="1">IFERROR(__xludf.DUMMYFUNCTION("""COMPUTED_VALUE"""),"A.01.000261")</f>
        <v>A.01.000261</v>
      </c>
    </row>
    <row r="812" spans="1:2" ht="12.5" x14ac:dyDescent="0.25">
      <c r="A812" t="str">
        <f ca="1">IFERROR(__xludf.DUMMYFUNCTION("""COMPUTED_VALUE"""),"Cream cheese cake")</f>
        <v>Cream cheese cake</v>
      </c>
      <c r="B812" t="str">
        <f ca="1">IFERROR(__xludf.DUMMYFUNCTION("""COMPUTED_VALUE"""),"A.01.000262")</f>
        <v>A.01.000262</v>
      </c>
    </row>
    <row r="813" spans="1:2" ht="12.5" x14ac:dyDescent="0.25">
      <c r="A813" t="str">
        <f ca="1">IFERROR(__xludf.DUMMYFUNCTION("""COMPUTED_VALUE"""),"Cream custard cake")</f>
        <v>Cream custard cake</v>
      </c>
      <c r="B813" t="str">
        <f ca="1">IFERROR(__xludf.DUMMYFUNCTION("""COMPUTED_VALUE"""),"A.01.000263")</f>
        <v>A.01.000263</v>
      </c>
    </row>
    <row r="814" spans="1:2" ht="12.5" x14ac:dyDescent="0.25">
      <c r="A814" t="str">
        <f ca="1">IFERROR(__xludf.DUMMYFUNCTION("""COMPUTED_VALUE"""),"Cream custard sponge cake")</f>
        <v>Cream custard sponge cake</v>
      </c>
      <c r="B814" t="str">
        <f ca="1">IFERROR(__xludf.DUMMYFUNCTION("""COMPUTED_VALUE"""),"A.01.000264")</f>
        <v>A.01.000264</v>
      </c>
    </row>
    <row r="815" spans="1:2" ht="12.5" x14ac:dyDescent="0.25">
      <c r="A815" t="str">
        <f ca="1">IFERROR(__xludf.DUMMYFUNCTION("""COMPUTED_VALUE"""),"Cream liqueur")</f>
        <v>Cream liqueur</v>
      </c>
      <c r="B815" t="str">
        <f ca="1">IFERROR(__xludf.DUMMYFUNCTION("""COMPUTED_VALUE"""),"A.01.001559")</f>
        <v>A.01.001559</v>
      </c>
    </row>
    <row r="816" spans="1:2" ht="12.5" x14ac:dyDescent="0.25">
      <c r="A816" t="str">
        <f ca="1">IFERROR(__xludf.DUMMYFUNCTION("""COMPUTED_VALUE"""),"Cream of tartar")</f>
        <v>Cream of tartar</v>
      </c>
      <c r="B816" t="str">
        <f ca="1">IFERROR(__xludf.DUMMYFUNCTION("""COMPUTED_VALUE"""),"A.01.001713")</f>
        <v>A.01.001713</v>
      </c>
    </row>
    <row r="817" spans="1:2" ht="12.5" x14ac:dyDescent="0.25">
      <c r="A817" t="str">
        <f ca="1">IFERROR(__xludf.DUMMYFUNCTION("""COMPUTED_VALUE"""),"Cream powder")</f>
        <v>Cream powder</v>
      </c>
      <c r="B817" t="str">
        <f ca="1">IFERROR(__xludf.DUMMYFUNCTION("""COMPUTED_VALUE"""),"A.01.001007")</f>
        <v>A.01.001007</v>
      </c>
    </row>
    <row r="818" spans="1:2" ht="12.5" x14ac:dyDescent="0.25">
      <c r="A818" t="str">
        <f ca="1">IFERROR(__xludf.DUMMYFUNCTION("""COMPUTED_VALUE"""),"Cream sauce")</f>
        <v>Cream sauce</v>
      </c>
      <c r="B818" t="str">
        <f ca="1">IFERROR(__xludf.DUMMYFUNCTION("""COMPUTED_VALUE"""),"A.01.001687")</f>
        <v>A.01.001687</v>
      </c>
    </row>
    <row r="819" spans="1:2" ht="12.5" x14ac:dyDescent="0.25">
      <c r="A819" t="str">
        <f ca="1">IFERROR(__xludf.DUMMYFUNCTION("""COMPUTED_VALUE"""),"Cream-cheese strudel")</f>
        <v>Cream-cheese strudel</v>
      </c>
      <c r="B819" t="str">
        <f ca="1">IFERROR(__xludf.DUMMYFUNCTION("""COMPUTED_VALUE"""),"A.01.000292")</f>
        <v>A.01.000292</v>
      </c>
    </row>
    <row r="820" spans="1:2" ht="12.5" x14ac:dyDescent="0.25">
      <c r="A820" t="str">
        <f ca="1">IFERROR(__xludf.DUMMYFUNCTION("""COMPUTED_VALUE"""),"Cream, &gt; 50% fat (inc. clotted cream)")</f>
        <v>Cream, &gt; 50% fat (inc. clotted cream)</v>
      </c>
      <c r="B820" t="str">
        <f ca="1">IFERROR(__xludf.DUMMYFUNCTION("""COMPUTED_VALUE"""),"A.01.001006")</f>
        <v>A.01.001006</v>
      </c>
    </row>
    <row r="821" spans="1:2" ht="12.5" x14ac:dyDescent="0.25">
      <c r="A821" t="str">
        <f ca="1">IFERROR(__xludf.DUMMYFUNCTION("""COMPUTED_VALUE"""),"Crème fraîche")</f>
        <v>Crème fraîche</v>
      </c>
      <c r="B821" t="str">
        <f ca="1">IFERROR(__xludf.DUMMYFUNCTION("""COMPUTED_VALUE"""),"A.01.001021")</f>
        <v>A.01.001021</v>
      </c>
    </row>
    <row r="822" spans="1:2" ht="12.5" x14ac:dyDescent="0.25">
      <c r="A822" t="str">
        <f ca="1">IFERROR(__xludf.DUMMYFUNCTION("""COMPUTED_VALUE"""),"Crème fraîche, &gt;30% fat")</f>
        <v>Crème fraîche, &gt;30% fat</v>
      </c>
      <c r="B822" t="str">
        <f ca="1">IFERROR(__xludf.DUMMYFUNCTION("""COMPUTED_VALUE"""),"A.01.001026")</f>
        <v>A.01.001026</v>
      </c>
    </row>
    <row r="823" spans="1:2" ht="12.5" x14ac:dyDescent="0.25">
      <c r="A823" t="str">
        <f ca="1">IFERROR(__xludf.DUMMYFUNCTION("""COMPUTED_VALUE"""),"Crème fraîche, 13% fat")</f>
        <v>Crème fraîche, 13% fat</v>
      </c>
      <c r="B823" t="str">
        <f ca="1">IFERROR(__xludf.DUMMYFUNCTION("""COMPUTED_VALUE"""),"A.01.001022")</f>
        <v>A.01.001022</v>
      </c>
    </row>
    <row r="824" spans="1:2" ht="12.5" x14ac:dyDescent="0.25">
      <c r="A824" t="str">
        <f ca="1">IFERROR(__xludf.DUMMYFUNCTION("""COMPUTED_VALUE"""),"Crème fraîche, 15-20% fat")</f>
        <v>Crème fraîche, 15-20% fat</v>
      </c>
      <c r="B824" t="str">
        <f ca="1">IFERROR(__xludf.DUMMYFUNCTION("""COMPUTED_VALUE"""),"A.01.001023")</f>
        <v>A.01.001023</v>
      </c>
    </row>
    <row r="825" spans="1:2" ht="12.5" x14ac:dyDescent="0.25">
      <c r="A825" t="str">
        <f ca="1">IFERROR(__xludf.DUMMYFUNCTION("""COMPUTED_VALUE"""),"Crème fraîche, 28% fat")</f>
        <v>Crème fraîche, 28% fat</v>
      </c>
      <c r="B825" t="str">
        <f ca="1">IFERROR(__xludf.DUMMYFUNCTION("""COMPUTED_VALUE"""),"A.01.001024")</f>
        <v>A.01.001024</v>
      </c>
    </row>
    <row r="826" spans="1:2" ht="12.5" x14ac:dyDescent="0.25">
      <c r="A826" t="str">
        <f ca="1">IFERROR(__xludf.DUMMYFUNCTION("""COMPUTED_VALUE"""),"Crème fraîche, 30% fat")</f>
        <v>Crème fraîche, 30% fat</v>
      </c>
      <c r="B826" t="str">
        <f ca="1">IFERROR(__xludf.DUMMYFUNCTION("""COMPUTED_VALUE"""),"A.01.001025")</f>
        <v>A.01.001025</v>
      </c>
    </row>
    <row r="827" spans="1:2" ht="12.5" x14ac:dyDescent="0.25">
      <c r="A827" t="str">
        <f ca="1">IFERROR(__xludf.DUMMYFUNCTION("""COMPUTED_VALUE"""),"Cress (Lepidium sativum)")</f>
        <v>Cress (Lepidium sativum)</v>
      </c>
      <c r="B827" t="str">
        <f ca="1">IFERROR(__xludf.DUMMYFUNCTION("""COMPUTED_VALUE"""),"A.01.000364")</f>
        <v>A.01.000364</v>
      </c>
    </row>
    <row r="828" spans="1:2" ht="12.5" x14ac:dyDescent="0.25">
      <c r="A828" t="str">
        <f ca="1">IFERROR(__xludf.DUMMYFUNCTION("""COMPUTED_VALUE"""),"Crisp bread, rye wholemeal")</f>
        <v>Crisp bread, rye wholemeal</v>
      </c>
      <c r="B828" t="str">
        <f ca="1">IFERROR(__xludf.DUMMYFUNCTION("""COMPUTED_VALUE"""),"A.01.000145")</f>
        <v>A.01.000145</v>
      </c>
    </row>
    <row r="829" spans="1:2" ht="12.5" x14ac:dyDescent="0.25">
      <c r="A829" t="str">
        <f ca="1">IFERROR(__xludf.DUMMYFUNCTION("""COMPUTED_VALUE"""),"Crisp bread, rye, light")</f>
        <v>Crisp bread, rye, light</v>
      </c>
      <c r="B829" t="str">
        <f ca="1">IFERROR(__xludf.DUMMYFUNCTION("""COMPUTED_VALUE"""),"A.01.000146")</f>
        <v>A.01.000146</v>
      </c>
    </row>
    <row r="830" spans="1:2" ht="12.5" x14ac:dyDescent="0.25">
      <c r="A830" t="str">
        <f ca="1">IFERROR(__xludf.DUMMYFUNCTION("""COMPUTED_VALUE"""),"Crisp bread, wheat, light")</f>
        <v>Crisp bread, wheat, light</v>
      </c>
      <c r="B830" t="str">
        <f ca="1">IFERROR(__xludf.DUMMYFUNCTION("""COMPUTED_VALUE"""),"A.01.000148")</f>
        <v>A.01.000148</v>
      </c>
    </row>
    <row r="831" spans="1:2" ht="12.5" x14ac:dyDescent="0.25">
      <c r="A831" t="str">
        <f ca="1">IFERROR(__xludf.DUMMYFUNCTION("""COMPUTED_VALUE"""),"Crisp bread, wheat, wholemeal")</f>
        <v>Crisp bread, wheat, wholemeal</v>
      </c>
      <c r="B831" t="str">
        <f ca="1">IFERROR(__xludf.DUMMYFUNCTION("""COMPUTED_VALUE"""),"A.01.000147")</f>
        <v>A.01.000147</v>
      </c>
    </row>
    <row r="832" spans="1:2" ht="12.5" x14ac:dyDescent="0.25">
      <c r="A832" t="str">
        <f ca="1">IFERROR(__xludf.DUMMYFUNCTION("""COMPUTED_VALUE"""),"Cristobalite")</f>
        <v>Cristobalite</v>
      </c>
      <c r="B832" t="str">
        <f ca="1">IFERROR(__xludf.DUMMYFUNCTION("""COMPUTED_VALUE"""),"G.11.7.3")</f>
        <v>G.11.7.3</v>
      </c>
    </row>
    <row r="833" spans="1:2" ht="12.5" x14ac:dyDescent="0.25">
      <c r="A833" t="str">
        <f ca="1">IFERROR(__xludf.DUMMYFUNCTION("""COMPUTED_VALUE"""),"Crocodile meat")</f>
        <v>Crocodile meat</v>
      </c>
      <c r="B833" t="str">
        <f ca="1">IFERROR(__xludf.DUMMYFUNCTION("""COMPUTED_VALUE"""),"A.01.000945")</f>
        <v>A.01.000945</v>
      </c>
    </row>
    <row r="834" spans="1:2" ht="12.5" x14ac:dyDescent="0.25">
      <c r="A834" t="str">
        <f ca="1">IFERROR(__xludf.DUMMYFUNCTION("""COMPUTED_VALUE"""),"Croissant")</f>
        <v>Croissant</v>
      </c>
      <c r="B834" t="str">
        <f ca="1">IFERROR(__xludf.DUMMYFUNCTION("""COMPUTED_VALUE"""),"A.01.000265")</f>
        <v>A.01.000265</v>
      </c>
    </row>
    <row r="835" spans="1:2" ht="12.5" x14ac:dyDescent="0.25">
      <c r="A835" t="str">
        <f ca="1">IFERROR(__xludf.DUMMYFUNCTION("""COMPUTED_VALUE"""),"Croissant from puff pastry")</f>
        <v>Croissant from puff pastry</v>
      </c>
      <c r="B835" t="str">
        <f ca="1">IFERROR(__xludf.DUMMYFUNCTION("""COMPUTED_VALUE"""),"A.01.000294")</f>
        <v>A.01.000294</v>
      </c>
    </row>
    <row r="836" spans="1:2" ht="12.5" x14ac:dyDescent="0.25">
      <c r="A836" t="str">
        <f ca="1">IFERROR(__xludf.DUMMYFUNCTION("""COMPUTED_VALUE"""),"Croissant, filled with chocolate")</f>
        <v>Croissant, filled with chocolate</v>
      </c>
      <c r="B836" t="str">
        <f ca="1">IFERROR(__xludf.DUMMYFUNCTION("""COMPUTED_VALUE"""),"A.01.000266")</f>
        <v>A.01.000266</v>
      </c>
    </row>
    <row r="837" spans="1:2" ht="12.5" x14ac:dyDescent="0.25">
      <c r="A837" t="str">
        <f ca="1">IFERROR(__xludf.DUMMYFUNCTION("""COMPUTED_VALUE"""),"Croissant, filled with cream")</f>
        <v>Croissant, filled with cream</v>
      </c>
      <c r="B837" t="str">
        <f ca="1">IFERROR(__xludf.DUMMYFUNCTION("""COMPUTED_VALUE"""),"A.01.000267")</f>
        <v>A.01.000267</v>
      </c>
    </row>
    <row r="838" spans="1:2" ht="12.5" x14ac:dyDescent="0.25">
      <c r="A838" t="str">
        <f ca="1">IFERROR(__xludf.DUMMYFUNCTION("""COMPUTED_VALUE"""),"Croissant, filled with jam")</f>
        <v>Croissant, filled with jam</v>
      </c>
      <c r="B838" t="str">
        <f ca="1">IFERROR(__xludf.DUMMYFUNCTION("""COMPUTED_VALUE"""),"A.01.000268")</f>
        <v>A.01.000268</v>
      </c>
    </row>
    <row r="839" spans="1:2" ht="12.5" x14ac:dyDescent="0.25">
      <c r="A839" t="str">
        <f ca="1">IFERROR(__xludf.DUMMYFUNCTION("""COMPUTED_VALUE"""),"Croquembouche")</f>
        <v>Croquembouche</v>
      </c>
      <c r="B839" t="str">
        <f ca="1">IFERROR(__xludf.DUMMYFUNCTION("""COMPUTED_VALUE"""),"A.01.000269")</f>
        <v>A.01.000269</v>
      </c>
    </row>
    <row r="840" spans="1:2" ht="12.5" x14ac:dyDescent="0.25">
      <c r="A840" t="str">
        <f ca="1">IFERROR(__xludf.DUMMYFUNCTION("""COMPUTED_VALUE"""),"Croutons")</f>
        <v>Croutons</v>
      </c>
      <c r="B840" t="str">
        <f ca="1">IFERROR(__xludf.DUMMYFUNCTION("""COMPUTED_VALUE"""),"A.01.000166")</f>
        <v>A.01.000166</v>
      </c>
    </row>
    <row r="841" spans="1:2" ht="12.5" x14ac:dyDescent="0.25">
      <c r="A841" t="str">
        <f ca="1">IFERROR(__xludf.DUMMYFUNCTION("""COMPUTED_VALUE"""),"Crowberry (Empetrum spp.)")</f>
        <v>Crowberry (Empetrum spp.)</v>
      </c>
      <c r="B841" t="str">
        <f ca="1">IFERROR(__xludf.DUMMYFUNCTION("""COMPUTED_VALUE"""),"A.01.000598")</f>
        <v>A.01.000598</v>
      </c>
    </row>
    <row r="842" spans="1:2" ht="12.5" x14ac:dyDescent="0.25">
      <c r="A842" t="str">
        <f ca="1">IFERROR(__xludf.DUMMYFUNCTION("""COMPUTED_VALUE"""),"Crude lecithins")</f>
        <v>Crude lecithins</v>
      </c>
      <c r="B842" t="str">
        <f ca="1">IFERROR(__xludf.DUMMYFUNCTION("""COMPUTED_VALUE"""),"G.2.21")</f>
        <v>G.2.21</v>
      </c>
    </row>
    <row r="843" spans="1:2" ht="12.5" x14ac:dyDescent="0.25">
      <c r="A843" t="str">
        <f ca="1">IFERROR(__xludf.DUMMYFUNCTION("""COMPUTED_VALUE"""),"Crude maize germ oil")</f>
        <v>Crude maize germ oil</v>
      </c>
      <c r="B843" t="str">
        <f ca="1">IFERROR(__xludf.DUMMYFUNCTION("""COMPUTED_VALUE"""),"G.1.2.13")</f>
        <v>G.1.2.13</v>
      </c>
    </row>
    <row r="844" spans="1:2" ht="12.5" x14ac:dyDescent="0.25">
      <c r="A844" t="str">
        <f ca="1">IFERROR(__xludf.DUMMYFUNCTION("""COMPUTED_VALUE"""),"Crustacea meal")</f>
        <v>Crustacea meal</v>
      </c>
      <c r="B844" t="str">
        <f ca="1">IFERROR(__xludf.DUMMYFUNCTION("""COMPUTED_VALUE"""),"G.10.3")</f>
        <v>G.10.3</v>
      </c>
    </row>
    <row r="845" spans="1:2" ht="12.5" x14ac:dyDescent="0.25">
      <c r="A845" t="str">
        <f ca="1">IFERROR(__xludf.DUMMYFUNCTION("""COMPUTED_VALUE"""),"Crustaceans")</f>
        <v>Crustaceans</v>
      </c>
      <c r="B845" t="str">
        <f ca="1">IFERROR(__xludf.DUMMYFUNCTION("""COMPUTED_VALUE"""),"C11A_3")</f>
        <v>C11A_3</v>
      </c>
    </row>
    <row r="846" spans="1:2" ht="12.5" x14ac:dyDescent="0.25">
      <c r="A846" t="str">
        <f ca="1">IFERROR(__xludf.DUMMYFUNCTION("""COMPUTED_VALUE"""),"Crustaceans")</f>
        <v>Crustaceans</v>
      </c>
      <c r="B846" t="str">
        <f ca="1">IFERROR(__xludf.DUMMYFUNCTION("""COMPUTED_VALUE"""),"A.01.000919")</f>
        <v>A.01.000919</v>
      </c>
    </row>
    <row r="847" spans="1:2" ht="12.5" x14ac:dyDescent="0.25">
      <c r="A847" t="str">
        <f ca="1">IFERROR(__xludf.DUMMYFUNCTION("""COMPUTED_VALUE"""),"Cucumber chutney")</f>
        <v>Cucumber chutney</v>
      </c>
      <c r="B847" t="str">
        <f ca="1">IFERROR(__xludf.DUMMYFUNCTION("""COMPUTED_VALUE"""),"A.01.001675")</f>
        <v>A.01.001675</v>
      </c>
    </row>
    <row r="848" spans="1:2" ht="12.5" x14ac:dyDescent="0.25">
      <c r="A848" t="str">
        <f ca="1">IFERROR(__xludf.DUMMYFUNCTION("""COMPUTED_VALUE"""),"Cucumber seed")</f>
        <v>Cucumber seed</v>
      </c>
      <c r="B848" t="str">
        <f ca="1">IFERROR(__xludf.DUMMYFUNCTION("""COMPUTED_VALUE"""),"G.5.17")</f>
        <v>G.5.17</v>
      </c>
    </row>
    <row r="849" spans="1:2" ht="12.5" x14ac:dyDescent="0.25">
      <c r="A849" t="str">
        <f ca="1">IFERROR(__xludf.DUMMYFUNCTION("""COMPUTED_VALUE"""),"Cucumbers (Cucumis sativus)")</f>
        <v>Cucumbers (Cucumis sativus)</v>
      </c>
      <c r="B849" t="str">
        <f ca="1">IFERROR(__xludf.DUMMYFUNCTION("""COMPUTED_VALUE"""),"A.01.000343")</f>
        <v>A.01.000343</v>
      </c>
    </row>
    <row r="850" spans="1:2" ht="12.5" x14ac:dyDescent="0.25">
      <c r="A850" t="str">
        <f ca="1">IFERROR(__xludf.DUMMYFUNCTION("""COMPUTED_VALUE"""),"Cultivated mushroom (syn. Button mushroom) (Agaricus bisporus)")</f>
        <v>Cultivated mushroom (syn. Button mushroom) (Agaricus bisporus)</v>
      </c>
      <c r="B850" t="str">
        <f ca="1">IFERROR(__xludf.DUMMYFUNCTION("""COMPUTED_VALUE"""),"A.01.000454")</f>
        <v>A.01.000454</v>
      </c>
    </row>
    <row r="851" spans="1:2" ht="12.5" x14ac:dyDescent="0.25">
      <c r="A851" t="str">
        <f ca="1">IFERROR(__xludf.DUMMYFUNCTION("""COMPUTED_VALUE"""),"Cumin seed (Cuminum cyminum)")</f>
        <v>Cumin seed (Cuminum cyminum)</v>
      </c>
      <c r="B851" t="str">
        <f ca="1">IFERROR(__xludf.DUMMYFUNCTION("""COMPUTED_VALUE"""),"A.01.001610")</f>
        <v>A.01.001610</v>
      </c>
    </row>
    <row r="852" spans="1:2" ht="12.5" x14ac:dyDescent="0.25">
      <c r="A852" t="str">
        <f ca="1">IFERROR(__xludf.DUMMYFUNCTION("""COMPUTED_VALUE"""),"Currants (red, black and white) (Ribes nigrum, Ribes rubrum)")</f>
        <v>Currants (red, black and white) (Ribes nigrum, Ribes rubrum)</v>
      </c>
      <c r="B852" t="str">
        <f ca="1">IFERROR(__xludf.DUMMYFUNCTION("""COMPUTED_VALUE"""),"A.01.000585")</f>
        <v>A.01.000585</v>
      </c>
    </row>
    <row r="853" spans="1:2" ht="12.5" x14ac:dyDescent="0.25">
      <c r="A853" t="str">
        <f ca="1">IFERROR(__xludf.DUMMYFUNCTION("""COMPUTED_VALUE"""),"Curry powder")</f>
        <v>Curry powder</v>
      </c>
      <c r="B853" t="str">
        <f ca="1">IFERROR(__xludf.DUMMYFUNCTION("""COMPUTED_VALUE"""),"A.01.001627")</f>
        <v>A.01.001627</v>
      </c>
    </row>
    <row r="854" spans="1:2" ht="12.5" x14ac:dyDescent="0.25">
      <c r="A854" t="str">
        <f ca="1">IFERROR(__xludf.DUMMYFUNCTION("""COMPUTED_VALUE"""),"Curry sauce")</f>
        <v>Curry sauce</v>
      </c>
      <c r="B854" t="str">
        <f ca="1">IFERROR(__xludf.DUMMYFUNCTION("""COMPUTED_VALUE"""),"A.01.001661")</f>
        <v>A.01.001661</v>
      </c>
    </row>
    <row r="855" spans="1:2" ht="12.5" x14ac:dyDescent="0.25">
      <c r="A855" t="str">
        <f ca="1">IFERROR(__xludf.DUMMYFUNCTION("""COMPUTED_VALUE"""),"Custard")</f>
        <v>Custard</v>
      </c>
      <c r="B855" t="str">
        <f ca="1">IFERROR(__xludf.DUMMYFUNCTION("""COMPUTED_VALUE"""),"A.01.001892")</f>
        <v>A.01.001892</v>
      </c>
    </row>
    <row r="856" spans="1:2" ht="12.5" x14ac:dyDescent="0.25">
      <c r="A856" t="str">
        <f ca="1">IFERROR(__xludf.DUMMYFUNCTION("""COMPUTED_VALUE"""),"Cuttlefish (Sepia officinalis)")</f>
        <v>Cuttlefish (Sepia officinalis)</v>
      </c>
      <c r="B856" t="str">
        <f ca="1">IFERROR(__xludf.DUMMYFUNCTION("""COMPUTED_VALUE"""),"A.01.000930")</f>
        <v>A.01.000930</v>
      </c>
    </row>
    <row r="857" spans="1:2" ht="12.5" x14ac:dyDescent="0.25">
      <c r="A857" t="str">
        <f ca="1">IFERROR(__xludf.DUMMYFUNCTION("""COMPUTED_VALUE"""),"Cyclamate")</f>
        <v>Cyclamate</v>
      </c>
      <c r="B857" t="str">
        <f ca="1">IFERROR(__xludf.DUMMYFUNCTION("""COMPUTED_VALUE"""),"A.01.001294")</f>
        <v>A.01.001294</v>
      </c>
    </row>
    <row r="858" spans="1:2" ht="12.5" x14ac:dyDescent="0.25">
      <c r="A858" t="str">
        <f ca="1">IFERROR(__xludf.DUMMYFUNCTION("""COMPUTED_VALUE"""),"Cypress seed")</f>
        <v>Cypress seed</v>
      </c>
      <c r="B858" t="str">
        <f ca="1">IFERROR(__xludf.DUMMYFUNCTION("""COMPUTED_VALUE"""),"G.5.18")</f>
        <v>G.5.18</v>
      </c>
    </row>
    <row r="859" spans="1:2" ht="12.5" x14ac:dyDescent="0.25">
      <c r="A859" t="str">
        <f ca="1">IFERROR(__xludf.DUMMYFUNCTION("""COMPUTED_VALUE"""),"Dairy based products")</f>
        <v>Dairy based products</v>
      </c>
      <c r="B859" t="str">
        <f ca="1">IFERROR(__xludf.DUMMYFUNCTION("""COMPUTED_VALUE"""),"C13B_2")</f>
        <v>C13B_2</v>
      </c>
    </row>
    <row r="860" spans="1:2" ht="12.5" x14ac:dyDescent="0.25">
      <c r="A860" t="str">
        <f ca="1">IFERROR(__xludf.DUMMYFUNCTION("""COMPUTED_VALUE"""),"Dairy based products and substitutes")</f>
        <v>Dairy based products and substitutes</v>
      </c>
      <c r="B860" t="str">
        <f ca="1">IFERROR(__xludf.DUMMYFUNCTION("""COMPUTED_VALUE"""),"C13B")</f>
        <v>C13B</v>
      </c>
    </row>
    <row r="861" spans="1:2" ht="12.5" x14ac:dyDescent="0.25">
      <c r="A861" t="str">
        <f ca="1">IFERROR(__xludf.DUMMYFUNCTION("""COMPUTED_VALUE"""),"Dairy based products substitutes")</f>
        <v>Dairy based products substitutes</v>
      </c>
      <c r="B861" t="str">
        <f ca="1">IFERROR(__xludf.DUMMYFUNCTION("""COMPUTED_VALUE"""),"C13B_1")</f>
        <v>C13B_1</v>
      </c>
    </row>
    <row r="862" spans="1:2" ht="12.5" x14ac:dyDescent="0.25">
      <c r="A862" t="str">
        <f ca="1">IFERROR(__xludf.DUMMYFUNCTION("""COMPUTED_VALUE"""),"Dairy by-products")</f>
        <v>Dairy by-products</v>
      </c>
      <c r="B862" t="str">
        <f ca="1">IFERROR(__xludf.DUMMYFUNCTION("""COMPUTED_VALUE"""),"G.8.7")</f>
        <v>G.8.7</v>
      </c>
    </row>
    <row r="863" spans="1:2" ht="12.5" x14ac:dyDescent="0.25">
      <c r="A863" t="str">
        <f ca="1">IFERROR(__xludf.DUMMYFUNCTION("""COMPUTED_VALUE"""),"Dairy cows / Complementary feed")</f>
        <v>Dairy cows / Complementary feed</v>
      </c>
      <c r="B863" t="str">
        <f ca="1">IFERROR(__xludf.DUMMYFUNCTION("""COMPUTED_VALUE"""),"G.14.2.4")</f>
        <v>G.14.2.4</v>
      </c>
    </row>
    <row r="864" spans="1:2" ht="12.5" x14ac:dyDescent="0.25">
      <c r="A864" t="str">
        <f ca="1">IFERROR(__xludf.DUMMYFUNCTION("""COMPUTED_VALUE"""),"Dairy cows / Complete feed")</f>
        <v>Dairy cows / Complete feed</v>
      </c>
      <c r="B864" t="str">
        <f ca="1">IFERROR(__xludf.DUMMYFUNCTION("""COMPUTED_VALUE"""),"G.14.1.4")</f>
        <v>G.14.1.4</v>
      </c>
    </row>
    <row r="865" spans="1:2" ht="12.5" x14ac:dyDescent="0.25">
      <c r="A865" t="str">
        <f ca="1">IFERROR(__xludf.DUMMYFUNCTION("""COMPUTED_VALUE"""),"Damson plum (Prunus domestica var institia)")</f>
        <v>Damson plum (Prunus domestica var institia)</v>
      </c>
      <c r="B865" t="str">
        <f ca="1">IFERROR(__xludf.DUMMYFUNCTION("""COMPUTED_VALUE"""),"A.01.000565")</f>
        <v>A.01.000565</v>
      </c>
    </row>
    <row r="866" spans="1:2" ht="12.5" x14ac:dyDescent="0.25">
      <c r="A866" t="str">
        <f ca="1">IFERROR(__xludf.DUMMYFUNCTION("""COMPUTED_VALUE"""),"Dandelion leaf (Taraxacum officinalis)")</f>
        <v>Dandelion leaf (Taraxacum officinalis)</v>
      </c>
      <c r="B866" t="str">
        <f ca="1">IFERROR(__xludf.DUMMYFUNCTION("""COMPUTED_VALUE"""),"A.01.000378")</f>
        <v>A.01.000378</v>
      </c>
    </row>
    <row r="867" spans="1:2" ht="12.5" x14ac:dyDescent="0.25">
      <c r="A867" t="str">
        <f ca="1">IFERROR(__xludf.DUMMYFUNCTION("""COMPUTED_VALUE"""),"Date fruit")</f>
        <v>Date fruit</v>
      </c>
      <c r="B867" t="str">
        <f ca="1">IFERROR(__xludf.DUMMYFUNCTION("""COMPUTED_VALUE"""),"G.5.19")</f>
        <v>G.5.19</v>
      </c>
    </row>
    <row r="868" spans="1:2" ht="12.5" x14ac:dyDescent="0.25">
      <c r="A868" t="str">
        <f ca="1">IFERROR(__xludf.DUMMYFUNCTION("""COMPUTED_VALUE"""),"Date seed")</f>
        <v>Date seed</v>
      </c>
      <c r="B868" t="str">
        <f ca="1">IFERROR(__xludf.DUMMYFUNCTION("""COMPUTED_VALUE"""),"G.5.19.2")</f>
        <v>G.5.19.2</v>
      </c>
    </row>
    <row r="869" spans="1:2" ht="12.5" x14ac:dyDescent="0.25">
      <c r="A869" t="str">
        <f ca="1">IFERROR(__xludf.DUMMYFUNCTION("""COMPUTED_VALUE"""),"Dates (Phoenix dactylifera)")</f>
        <v>Dates (Phoenix dactylifera)</v>
      </c>
      <c r="B869" t="str">
        <f ca="1">IFERROR(__xludf.DUMMYFUNCTION("""COMPUTED_VALUE"""),"A.01.000612")</f>
        <v>A.01.000612</v>
      </c>
    </row>
    <row r="870" spans="1:2" ht="12.5" x14ac:dyDescent="0.25">
      <c r="A870" t="str">
        <f ca="1">IFERROR(__xludf.DUMMYFUNCTION("""COMPUTED_VALUE"""),"Defatted rice bran")</f>
        <v>Defatted rice bran</v>
      </c>
      <c r="B870" t="str">
        <f ca="1">IFERROR(__xludf.DUMMYFUNCTION("""COMPUTED_VALUE"""),"G.1.6.12")</f>
        <v>G.1.6.12</v>
      </c>
    </row>
    <row r="871" spans="1:2" ht="12.5" x14ac:dyDescent="0.25">
      <c r="A871" t="str">
        <f ca="1">IFERROR(__xludf.DUMMYFUNCTION("""COMPUTED_VALUE"""),"Defluorinated phosphate")</f>
        <v>Defluorinated phosphate</v>
      </c>
      <c r="B871" t="str">
        <f ca="1">IFERROR(__xludf.DUMMYFUNCTION("""COMPUTED_VALUE"""),"G.11.3.6")</f>
        <v>G.11.3.6</v>
      </c>
    </row>
    <row r="872" spans="1:2" ht="12.5" x14ac:dyDescent="0.25">
      <c r="A872" t="str">
        <f ca="1">IFERROR(__xludf.DUMMYFUNCTION("""COMPUTED_VALUE"""),"Defluorinated rockphosphate")</f>
        <v>Defluorinated rockphosphate</v>
      </c>
      <c r="B872" t="str">
        <f ca="1">IFERROR(__xludf.DUMMYFUNCTION("""COMPUTED_VALUE"""),"F11.08")</f>
        <v>F11.08</v>
      </c>
    </row>
    <row r="873" spans="1:2" ht="12.5" x14ac:dyDescent="0.25">
      <c r="A873" t="str">
        <f ca="1">IFERROR(__xludf.DUMMYFUNCTION("""COMPUTED_VALUE"""),"Degelatinised bone meal")</f>
        <v>Degelatinised bone meal</v>
      </c>
      <c r="B873" t="str">
        <f ca="1">IFERROR(__xludf.DUMMYFUNCTION("""COMPUTED_VALUE"""),"F11.09")</f>
        <v>F11.09</v>
      </c>
    </row>
    <row r="874" spans="1:2" ht="12.5" x14ac:dyDescent="0.25">
      <c r="A874" t="str">
        <f ca="1">IFERROR(__xludf.DUMMYFUNCTION("""COMPUTED_VALUE"""),"Degelatinised bone meal")</f>
        <v>Degelatinised bone meal</v>
      </c>
      <c r="B874" t="str">
        <f ca="1">IFERROR(__xludf.DUMMYFUNCTION("""COMPUTED_VALUE"""),"G.11.3.22")</f>
        <v>G.11.3.22</v>
      </c>
    </row>
    <row r="875" spans="1:2" ht="12.5" x14ac:dyDescent="0.25">
      <c r="A875" t="str">
        <f ca="1">IFERROR(__xludf.DUMMYFUNCTION("""COMPUTED_VALUE"""),"Dehulled oats")</f>
        <v>Dehulled oats</v>
      </c>
      <c r="B875" t="str">
        <f ca="1">IFERROR(__xludf.DUMMYFUNCTION("""COMPUTED_VALUE"""),"G.1.4.2")</f>
        <v>G.1.4.2</v>
      </c>
    </row>
    <row r="876" spans="1:2" ht="12.5" x14ac:dyDescent="0.25">
      <c r="A876" t="str">
        <f ca="1">IFERROR(__xludf.DUMMYFUNCTION("""COMPUTED_VALUE"""),"Dehydrated/powdered fruit juice")</f>
        <v>Dehydrated/powdered fruit juice</v>
      </c>
      <c r="B876" t="str">
        <f ca="1">IFERROR(__xludf.DUMMYFUNCTION("""COMPUTED_VALUE"""),"A.01.001453")</f>
        <v>A.01.001453</v>
      </c>
    </row>
    <row r="877" spans="1:2" ht="12.5" x14ac:dyDescent="0.25">
      <c r="A877" t="str">
        <f ca="1">IFERROR(__xludf.DUMMYFUNCTION("""COMPUTED_VALUE"""),"Delactosed whey / Delactosed whey powder")</f>
        <v>Delactosed whey / Delactosed whey powder</v>
      </c>
      <c r="B877" t="str">
        <f ca="1">IFERROR(__xludf.DUMMYFUNCTION("""COMPUTED_VALUE"""),"G.8.18")</f>
        <v>G.8.18</v>
      </c>
    </row>
    <row r="878" spans="1:2" ht="12.5" x14ac:dyDescent="0.25">
      <c r="A878" t="str">
        <f ca="1">IFERROR(__xludf.DUMMYFUNCTION("""COMPUTED_VALUE"""),"Demineralised, delactosed whey / Demineralised, delactosed whey powder")</f>
        <v>Demineralised, delactosed whey / Demineralised, delactosed whey powder</v>
      </c>
      <c r="B878" t="str">
        <f ca="1">IFERROR(__xludf.DUMMYFUNCTION("""COMPUTED_VALUE"""),"G.8.20")</f>
        <v>G.8.20</v>
      </c>
    </row>
    <row r="879" spans="1:2" ht="12.5" x14ac:dyDescent="0.25">
      <c r="A879" t="str">
        <f ca="1">IFERROR(__xludf.DUMMYFUNCTION("""COMPUTED_VALUE"""),"Dessert and puddings for infants and young children")</f>
        <v>Dessert and puddings for infants and young children</v>
      </c>
      <c r="B879" t="str">
        <f ca="1">IFERROR(__xludf.DUMMYFUNCTION("""COMPUTED_VALUE"""),"A.01.001742")</f>
        <v>A.01.001742</v>
      </c>
    </row>
    <row r="880" spans="1:2" ht="12.5" x14ac:dyDescent="0.25">
      <c r="A880" t="str">
        <f ca="1">IFERROR(__xludf.DUMMYFUNCTION("""COMPUTED_VALUE"""),"Dessert sauces")</f>
        <v>Dessert sauces</v>
      </c>
      <c r="B880" t="str">
        <f ca="1">IFERROR(__xludf.DUMMYFUNCTION("""COMPUTED_VALUE"""),"A.01.001328")</f>
        <v>A.01.001328</v>
      </c>
    </row>
    <row r="881" spans="1:2" ht="12.5" x14ac:dyDescent="0.25">
      <c r="A881" t="str">
        <f ca="1">IFERROR(__xludf.DUMMYFUNCTION("""COMPUTED_VALUE"""),"Desserts for diabetics")</f>
        <v>Desserts for diabetics</v>
      </c>
      <c r="B881" t="str">
        <f ca="1">IFERROR(__xludf.DUMMYFUNCTION("""COMPUTED_VALUE"""),"A.01.001778")</f>
        <v>A.01.001778</v>
      </c>
    </row>
    <row r="882" spans="1:2" ht="12.5" x14ac:dyDescent="0.25">
      <c r="A882" t="str">
        <f ca="1">IFERROR(__xludf.DUMMYFUNCTION("""COMPUTED_VALUE"""),"Dewberries (Rubus ceasius)")</f>
        <v>Dewberries (Rubus ceasius)</v>
      </c>
      <c r="B882" t="str">
        <f ca="1">IFERROR(__xludf.DUMMYFUNCTION("""COMPUTED_VALUE"""),"A.01.000580")</f>
        <v>A.01.000580</v>
      </c>
    </row>
    <row r="883" spans="1:2" ht="12.5" x14ac:dyDescent="0.25">
      <c r="A883" t="str">
        <f ca="1">IFERROR(__xludf.DUMMYFUNCTION("""COMPUTED_VALUE"""),"Dextrin")</f>
        <v>Dextrin</v>
      </c>
      <c r="B883" t="str">
        <f ca="1">IFERROR(__xludf.DUMMYFUNCTION("""COMPUTED_VALUE"""),"G.13.3.5")</f>
        <v>G.13.3.5</v>
      </c>
    </row>
    <row r="884" spans="1:2" ht="12.5" x14ac:dyDescent="0.25">
      <c r="A884" t="str">
        <f ca="1">IFERROR(__xludf.DUMMYFUNCTION("""COMPUTED_VALUE"""),"Dextrose")</f>
        <v>Dextrose</v>
      </c>
      <c r="B884" t="str">
        <f ca="1">IFERROR(__xludf.DUMMYFUNCTION("""COMPUTED_VALUE"""),"G.13.2.2")</f>
        <v>G.13.2.2</v>
      </c>
    </row>
    <row r="885" spans="1:2" ht="12.5" x14ac:dyDescent="0.25">
      <c r="A885" t="str">
        <f ca="1">IFERROR(__xludf.DUMMYFUNCTION("""COMPUTED_VALUE"""),"Di-ammonium phosphate; [Diammonium hydrogen orthophosphate]")</f>
        <v>Di-ammonium phosphate; [Diammonium hydrogen orthophosphate]</v>
      </c>
      <c r="B885" t="str">
        <f ca="1">IFERROR(__xludf.DUMMYFUNCTION("""COMPUTED_VALUE"""),"G.11.3.18")</f>
        <v>G.11.3.18</v>
      </c>
    </row>
    <row r="886" spans="1:2" ht="12.5" x14ac:dyDescent="0.25">
      <c r="A886" t="str">
        <f ca="1">IFERROR(__xludf.DUMMYFUNCTION("""COMPUTED_VALUE"""),"Di-calciumpyrophosphate; [Dicalcium diphosphate]")</f>
        <v>Di-calciumpyrophosphate; [Dicalcium diphosphate]</v>
      </c>
      <c r="B886" t="str">
        <f ca="1">IFERROR(__xludf.DUMMYFUNCTION("""COMPUTED_VALUE"""),"G.11.3.7")</f>
        <v>G.11.3.7</v>
      </c>
    </row>
    <row r="887" spans="1:2" ht="12.5" x14ac:dyDescent="0.25">
      <c r="A887" t="str">
        <f ca="1">IFERROR(__xludf.DUMMYFUNCTION("""COMPUTED_VALUE"""),"Di-potassium phosphate; [Di-potassium hydrogen orthophosphate]")</f>
        <v>Di-potassium phosphate; [Di-potassium hydrogen orthophosphate]</v>
      </c>
      <c r="B887" t="str">
        <f ca="1">IFERROR(__xludf.DUMMYFUNCTION("""COMPUTED_VALUE"""),"G.11.3.15")</f>
        <v>G.11.3.15</v>
      </c>
    </row>
    <row r="888" spans="1:2" ht="12.5" x14ac:dyDescent="0.25">
      <c r="A888" t="str">
        <f ca="1">IFERROR(__xludf.DUMMYFUNCTION("""COMPUTED_VALUE"""),"Di-sodium phosphate; [Disodium hydrogen orthophosphate]")</f>
        <v>Di-sodium phosphate; [Disodium hydrogen orthophosphate]</v>
      </c>
      <c r="B888" t="str">
        <f ca="1">IFERROR(__xludf.DUMMYFUNCTION("""COMPUTED_VALUE"""),"G.11.3.11")</f>
        <v>G.11.3.11</v>
      </c>
    </row>
    <row r="889" spans="1:2" ht="12.5" x14ac:dyDescent="0.25">
      <c r="A889" t="str">
        <f ca="1">IFERROR(__xludf.DUMMYFUNCTION("""COMPUTED_VALUE"""),"Dicalcium phosphate")</f>
        <v>Dicalcium phosphate</v>
      </c>
      <c r="B889" t="str">
        <f ca="1">IFERROR(__xludf.DUMMYFUNCTION("""COMPUTED_VALUE"""),"F11.06")</f>
        <v>F11.06</v>
      </c>
    </row>
    <row r="890" spans="1:2" ht="12.5" x14ac:dyDescent="0.25">
      <c r="A890" t="str">
        <f ca="1">IFERROR(__xludf.DUMMYFUNCTION("""COMPUTED_VALUE"""),"Dicalcium phosphate; [Calcium hydrogen orthophosphate]")</f>
        <v>Dicalcium phosphate; [Calcium hydrogen orthophosphate]</v>
      </c>
      <c r="B890" t="str">
        <f ca="1">IFERROR(__xludf.DUMMYFUNCTION("""COMPUTED_VALUE"""),"G.11.3")</f>
        <v>G.11.3</v>
      </c>
    </row>
    <row r="891" spans="1:2" ht="12.5" x14ac:dyDescent="0.25">
      <c r="A891" t="str">
        <f ca="1">IFERROR(__xludf.DUMMYFUNCTION("""COMPUTED_VALUE"""),"Dietary supplements")</f>
        <v>Dietary supplements</v>
      </c>
      <c r="B891" t="str">
        <f ca="1">IFERROR(__xludf.DUMMYFUNCTION("""COMPUTED_VALUE"""),"A.01.001752")</f>
        <v>A.01.001752</v>
      </c>
    </row>
    <row r="892" spans="1:2" ht="12.5" x14ac:dyDescent="0.25">
      <c r="A892" t="str">
        <f ca="1">IFERROR(__xludf.DUMMYFUNCTION("""COMPUTED_VALUE"""),"Dietetic chocolate")</f>
        <v>Dietetic chocolate</v>
      </c>
      <c r="B892" t="str">
        <f ca="1">IFERROR(__xludf.DUMMYFUNCTION("""COMPUTED_VALUE"""),"A.01.001308")</f>
        <v>A.01.001308</v>
      </c>
    </row>
    <row r="893" spans="1:2" ht="12.5" x14ac:dyDescent="0.25">
      <c r="A893" t="str">
        <f ca="1">IFERROR(__xludf.DUMMYFUNCTION("""COMPUTED_VALUE"""),"Dietetic food for diabetics (labelled as such)")</f>
        <v>Dietetic food for diabetics (labelled as such)</v>
      </c>
      <c r="B893" t="str">
        <f ca="1">IFERROR(__xludf.DUMMYFUNCTION("""COMPUTED_VALUE"""),"A.01.001771")</f>
        <v>A.01.001771</v>
      </c>
    </row>
    <row r="894" spans="1:2" ht="12.5" x14ac:dyDescent="0.25">
      <c r="A894" t="str">
        <f ca="1">IFERROR(__xludf.DUMMYFUNCTION("""COMPUTED_VALUE"""),"Dill seed (Anethum graveolens)")</f>
        <v>Dill seed (Anethum graveolens)</v>
      </c>
      <c r="B894" t="str">
        <f ca="1">IFERROR(__xludf.DUMMYFUNCTION("""COMPUTED_VALUE"""),"A.01.001611")</f>
        <v>A.01.001611</v>
      </c>
    </row>
    <row r="895" spans="1:2" ht="12.5" x14ac:dyDescent="0.25">
      <c r="A895" t="str">
        <f ca="1">IFERROR(__xludf.DUMMYFUNCTION("""COMPUTED_VALUE"""),"Dill, herb (Anethum graveolens)")</f>
        <v>Dill, herb (Anethum graveolens)</v>
      </c>
      <c r="B895" t="str">
        <f ca="1">IFERROR(__xludf.DUMMYFUNCTION("""COMPUTED_VALUE"""),"A.01.001584")</f>
        <v>A.01.001584</v>
      </c>
    </row>
    <row r="896" spans="1:2" ht="12.5" x14ac:dyDescent="0.25">
      <c r="A896" t="str">
        <f ca="1">IFERROR(__xludf.DUMMYFUNCTION("""COMPUTED_VALUE"""),"Distilled water or water of equivalent quality (replacement for Food Simulant A, B, D2 in overall migration tests )")</f>
        <v>Distilled water or water of equivalent quality (replacement for Food Simulant A, B, D2 in overall migration tests )</v>
      </c>
      <c r="B896" t="str">
        <f ca="1">IFERROR(__xludf.DUMMYFUNCTION("""COMPUTED_VALUE"""),"A0BAE")</f>
        <v>A0BAE</v>
      </c>
    </row>
    <row r="897" spans="1:2" ht="12.5" x14ac:dyDescent="0.25">
      <c r="A897" t="str">
        <f ca="1">IFERROR(__xludf.DUMMYFUNCTION("""COMPUTED_VALUE"""),"Distillers' dark grains; [Distillers’ dried grains and solubles]")</f>
        <v>Distillers' dark grains; [Distillers’ dried grains and solubles]</v>
      </c>
      <c r="B897" t="str">
        <f ca="1">IFERROR(__xludf.DUMMYFUNCTION("""COMPUTED_VALUE"""),"G.1.12.11")</f>
        <v>G.1.12.11</v>
      </c>
    </row>
    <row r="898" spans="1:2" ht="12.5" x14ac:dyDescent="0.25">
      <c r="A898" t="str">
        <f ca="1">IFERROR(__xludf.DUMMYFUNCTION("""COMPUTED_VALUE"""),"Distillers' dried grains")</f>
        <v>Distillers' dried grains</v>
      </c>
      <c r="B898" t="str">
        <f ca="1">IFERROR(__xludf.DUMMYFUNCTION("""COMPUTED_VALUE"""),"G.1.12.10")</f>
        <v>G.1.12.10</v>
      </c>
    </row>
    <row r="899" spans="1:2" ht="12.5" x14ac:dyDescent="0.25">
      <c r="A899" t="str">
        <f ca="1">IFERROR(__xludf.DUMMYFUNCTION("""COMPUTED_VALUE"""),"Distillers’ dark grains")</f>
        <v>Distillers’ dark grains</v>
      </c>
      <c r="B899" t="str">
        <f ca="1">IFERROR(__xludf.DUMMYFUNCTION("""COMPUTED_VALUE"""),"F01.46")</f>
        <v>F01.46</v>
      </c>
    </row>
    <row r="900" spans="1:2" ht="12.5" x14ac:dyDescent="0.25">
      <c r="A900" t="str">
        <f ca="1">IFERROR(__xludf.DUMMYFUNCTION("""COMPUTED_VALUE"""),"Distillers’ dried grain")</f>
        <v>Distillers’ dried grain</v>
      </c>
      <c r="B900" t="str">
        <f ca="1">IFERROR(__xludf.DUMMYFUNCTION("""COMPUTED_VALUE"""),"F01.45")</f>
        <v>F01.45</v>
      </c>
    </row>
    <row r="901" spans="1:2" ht="12.5" x14ac:dyDescent="0.25">
      <c r="A901" t="str">
        <f ca="1">IFERROR(__xludf.DUMMYFUNCTION("""COMPUTED_VALUE"""),"Distillers’ grains and solubles")</f>
        <v>Distillers’ grains and solubles</v>
      </c>
      <c r="B901" t="str">
        <f ca="1">IFERROR(__xludf.DUMMYFUNCTION("""COMPUTED_VALUE"""),"G.1.12.9")</f>
        <v>G.1.12.9</v>
      </c>
    </row>
    <row r="902" spans="1:2" ht="12.5" x14ac:dyDescent="0.25">
      <c r="A902" t="str">
        <f ca="1">IFERROR(__xludf.DUMMYFUNCTION("""COMPUTED_VALUE"""),"Doughnuts")</f>
        <v>Doughnuts</v>
      </c>
      <c r="B902" t="str">
        <f ca="1">IFERROR(__xludf.DUMMYFUNCTION("""COMPUTED_VALUE"""),"A.01.000270")</f>
        <v>A.01.000270</v>
      </c>
    </row>
    <row r="903" spans="1:2" ht="12.5" x14ac:dyDescent="0.25">
      <c r="A903" t="str">
        <f ca="1">IFERROR(__xludf.DUMMYFUNCTION("""COMPUTED_VALUE"""),"Draff")</f>
        <v>Draff</v>
      </c>
      <c r="B903" t="str">
        <f ca="1">IFERROR(__xludf.DUMMYFUNCTION("""COMPUTED_VALUE"""),"G.1.12.13")</f>
        <v>G.1.12.13</v>
      </c>
    </row>
    <row r="904" spans="1:2" ht="12.5" x14ac:dyDescent="0.25">
      <c r="A904" t="str">
        <f ca="1">IFERROR(__xludf.DUMMYFUNCTION("""COMPUTED_VALUE"""),"Dragée, sugar coated")</f>
        <v>Dragée, sugar coated</v>
      </c>
      <c r="B904" t="str">
        <f ca="1">IFERROR(__xludf.DUMMYFUNCTION("""COMPUTED_VALUE"""),"A.01.001318")</f>
        <v>A.01.001318</v>
      </c>
    </row>
    <row r="905" spans="1:2" ht="12.5" x14ac:dyDescent="0.25">
      <c r="A905" t="str">
        <f ca="1">IFERROR(__xludf.DUMMYFUNCTION("""COMPUTED_VALUE"""),"Dressing")</f>
        <v>Dressing</v>
      </c>
      <c r="B905" t="str">
        <f ca="1">IFERROR(__xludf.DUMMYFUNCTION("""COMPUTED_VALUE"""),"A.01.001665")</f>
        <v>A.01.001665</v>
      </c>
    </row>
    <row r="906" spans="1:2" ht="12.5" x14ac:dyDescent="0.25">
      <c r="A906" t="str">
        <f ca="1">IFERROR(__xludf.DUMMYFUNCTION("""COMPUTED_VALUE"""),"Dried (sugar) beet pulp")</f>
        <v>Dried (sugar) beet pulp</v>
      </c>
      <c r="B906" t="str">
        <f ca="1">IFERROR(__xludf.DUMMYFUNCTION("""COMPUTED_VALUE"""),"G.4.1.10")</f>
        <v>G.4.1.10</v>
      </c>
    </row>
    <row r="907" spans="1:2" ht="12.5" x14ac:dyDescent="0.25">
      <c r="A907" t="str">
        <f ca="1">IFERROR(__xludf.DUMMYFUNCTION("""COMPUTED_VALUE"""),"Dried (sugar) beet pulp, molassed")</f>
        <v>Dried (sugar) beet pulp, molassed</v>
      </c>
      <c r="B907" t="str">
        <f ca="1">IFERROR(__xludf.DUMMYFUNCTION("""COMPUTED_VALUE"""),"G.4.1.11")</f>
        <v>G.4.1.11</v>
      </c>
    </row>
    <row r="908" spans="1:2" ht="12.5" x14ac:dyDescent="0.25">
      <c r="A908" t="str">
        <f ca="1">IFERROR(__xludf.DUMMYFUNCTION("""COMPUTED_VALUE"""),"Dried algae")</f>
        <v>Dried algae</v>
      </c>
      <c r="B908" t="str">
        <f ca="1">IFERROR(__xludf.DUMMYFUNCTION("""COMPUTED_VALUE"""),"G.7.1.2")</f>
        <v>G.7.1.2</v>
      </c>
    </row>
    <row r="909" spans="1:2" ht="12.5" x14ac:dyDescent="0.25">
      <c r="A909" t="str">
        <f ca="1">IFERROR(__xludf.DUMMYFUNCTION("""COMPUTED_VALUE"""),"Dried apples (Malus domesticus)")</f>
        <v>Dried apples (Malus domesticus)</v>
      </c>
      <c r="B909" t="str">
        <f ca="1">IFERROR(__xludf.DUMMYFUNCTION("""COMPUTED_VALUE"""),"A.01.000653")</f>
        <v>A.01.000653</v>
      </c>
    </row>
    <row r="910" spans="1:2" ht="12.5" x14ac:dyDescent="0.25">
      <c r="A910" t="str">
        <f ca="1">IFERROR(__xludf.DUMMYFUNCTION("""COMPUTED_VALUE"""),"Dried apricots (Prunus armeniaca)")</f>
        <v>Dried apricots (Prunus armeniaca)</v>
      </c>
      <c r="B910" t="str">
        <f ca="1">IFERROR(__xludf.DUMMYFUNCTION("""COMPUTED_VALUE"""),"A.01.000651")</f>
        <v>A.01.000651</v>
      </c>
    </row>
    <row r="911" spans="1:2" ht="12.5" x14ac:dyDescent="0.25">
      <c r="A911" t="str">
        <f ca="1">IFERROR(__xludf.DUMMYFUNCTION("""COMPUTED_VALUE"""),"Dried bananas (Musa × paradisica)")</f>
        <v>Dried bananas (Musa × paradisica)</v>
      </c>
      <c r="B911" t="str">
        <f ca="1">IFERROR(__xludf.DUMMYFUNCTION("""COMPUTED_VALUE"""),"A.01.000655")</f>
        <v>A.01.000655</v>
      </c>
    </row>
    <row r="912" spans="1:2" ht="12.5" x14ac:dyDescent="0.25">
      <c r="A912" t="str">
        <f ca="1">IFERROR(__xludf.DUMMYFUNCTION("""COMPUTED_VALUE"""),"Dried carob pod meal, micronised")</f>
        <v>Dried carob pod meal, micronised</v>
      </c>
      <c r="B912" t="str">
        <f ca="1">IFERROR(__xludf.DUMMYFUNCTION("""COMPUTED_VALUE"""),"G.3.2.3")</f>
        <v>G.3.2.3</v>
      </c>
    </row>
    <row r="913" spans="1:2" ht="12.5" x14ac:dyDescent="0.25">
      <c r="A913" t="str">
        <f ca="1">IFERROR(__xludf.DUMMYFUNCTION("""COMPUTED_VALUE"""),"Dried chicory pulp")</f>
        <v>Dried chicory pulp</v>
      </c>
      <c r="B913" t="str">
        <f ca="1">IFERROR(__xludf.DUMMYFUNCTION("""COMPUTED_VALUE"""),"G.4.4.5")</f>
        <v>G.4.4.5</v>
      </c>
    </row>
    <row r="914" spans="1:2" ht="12.5" x14ac:dyDescent="0.25">
      <c r="A914" t="str">
        <f ca="1">IFERROR(__xludf.DUMMYFUNCTION("""COMPUTED_VALUE"""),"Dried dates (Phoenix dactylifera)")</f>
        <v>Dried dates (Phoenix dactylifera)</v>
      </c>
      <c r="B914" t="str">
        <f ca="1">IFERROR(__xludf.DUMMYFUNCTION("""COMPUTED_VALUE"""),"A.01.000654")</f>
        <v>A.01.000654</v>
      </c>
    </row>
    <row r="915" spans="1:2" ht="12.5" x14ac:dyDescent="0.25">
      <c r="A915" t="str">
        <f ca="1">IFERROR(__xludf.DUMMYFUNCTION("""COMPUTED_VALUE"""),"Dried egg white")</f>
        <v>Dried egg white</v>
      </c>
      <c r="B915" t="str">
        <f ca="1">IFERROR(__xludf.DUMMYFUNCTION("""COMPUTED_VALUE"""),"A.01.001266")</f>
        <v>A.01.001266</v>
      </c>
    </row>
    <row r="916" spans="1:2" ht="12.5" x14ac:dyDescent="0.25">
      <c r="A916" t="str">
        <f ca="1">IFERROR(__xludf.DUMMYFUNCTION("""COMPUTED_VALUE"""),"Dried egg yolk")</f>
        <v>Dried egg yolk</v>
      </c>
      <c r="B916" t="str">
        <f ca="1">IFERROR(__xludf.DUMMYFUNCTION("""COMPUTED_VALUE"""),"A.01.001265")</f>
        <v>A.01.001265</v>
      </c>
    </row>
    <row r="917" spans="1:2" ht="12.5" x14ac:dyDescent="0.25">
      <c r="A917" t="str">
        <f ca="1">IFERROR(__xludf.DUMMYFUNCTION("""COMPUTED_VALUE"""),"Dried egg, whole")</f>
        <v>Dried egg, whole</v>
      </c>
      <c r="B917" t="str">
        <f ca="1">IFERROR(__xludf.DUMMYFUNCTION("""COMPUTED_VALUE"""),"A.01.001264")</f>
        <v>A.01.001264</v>
      </c>
    </row>
    <row r="918" spans="1:2" ht="12.5" x14ac:dyDescent="0.25">
      <c r="A918" t="str">
        <f ca="1">IFERROR(__xludf.DUMMYFUNCTION("""COMPUTED_VALUE"""),"Dried figs (Ficus carica)")</f>
        <v>Dried figs (Ficus carica)</v>
      </c>
      <c r="B918" t="str">
        <f ca="1">IFERROR(__xludf.DUMMYFUNCTION("""COMPUTED_VALUE"""),"A.01.000649")</f>
        <v>A.01.000649</v>
      </c>
    </row>
    <row r="919" spans="1:2" ht="12.5" x14ac:dyDescent="0.25">
      <c r="A919" t="str">
        <f ca="1">IFERROR(__xludf.DUMMYFUNCTION("""COMPUTED_VALUE"""),"Dried fruits")</f>
        <v>Dried fruits</v>
      </c>
      <c r="B919" t="str">
        <f ca="1">IFERROR(__xludf.DUMMYFUNCTION("""COMPUTED_VALUE"""),"C06_3")</f>
        <v>C06_3</v>
      </c>
    </row>
    <row r="920" spans="1:2" ht="12.5" x14ac:dyDescent="0.25">
      <c r="A920" t="str">
        <f ca="1">IFERROR(__xludf.DUMMYFUNCTION("""COMPUTED_VALUE"""),"Dried fruits")</f>
        <v>Dried fruits</v>
      </c>
      <c r="B920" t="str">
        <f ca="1">IFERROR(__xludf.DUMMYFUNCTION("""COMPUTED_VALUE"""),"A.01.000647")</f>
        <v>A.01.000647</v>
      </c>
    </row>
    <row r="921" spans="1:2" ht="12.5" x14ac:dyDescent="0.25">
      <c r="A921" t="str">
        <f ca="1">IFERROR(__xludf.DUMMYFUNCTION("""COMPUTED_VALUE"""),"Dried mangoes (Mangifera indica)")</f>
        <v>Dried mangoes (Mangifera indica)</v>
      </c>
      <c r="B921" t="str">
        <f ca="1">IFERROR(__xludf.DUMMYFUNCTION("""COMPUTED_VALUE"""),"A.01.000656")</f>
        <v>A.01.000656</v>
      </c>
    </row>
    <row r="922" spans="1:2" ht="12.5" x14ac:dyDescent="0.25">
      <c r="A922" t="str">
        <f ca="1">IFERROR(__xludf.DUMMYFUNCTION("""COMPUTED_VALUE"""),"Dried milk")</f>
        <v>Dried milk</v>
      </c>
      <c r="B922" t="str">
        <f ca="1">IFERROR(__xludf.DUMMYFUNCTION("""COMPUTED_VALUE"""),"A.01.000981")</f>
        <v>A.01.000981</v>
      </c>
    </row>
    <row r="923" spans="1:2" ht="12.5" x14ac:dyDescent="0.25">
      <c r="A923" t="str">
        <f ca="1">IFERROR(__xludf.DUMMYFUNCTION("""COMPUTED_VALUE"""),"Dried pears  (Pyrus communis)")</f>
        <v>Dried pears  (Pyrus communis)</v>
      </c>
      <c r="B923" t="str">
        <f ca="1">IFERROR(__xludf.DUMMYFUNCTION("""COMPUTED_VALUE"""),"A.01.000652")</f>
        <v>A.01.000652</v>
      </c>
    </row>
    <row r="924" spans="1:2" ht="12.5" x14ac:dyDescent="0.25">
      <c r="A924" t="str">
        <f ca="1">IFERROR(__xludf.DUMMYFUNCTION("""COMPUTED_VALUE"""),"Dried prunes (Prunus domestica)")</f>
        <v>Dried prunes (Prunus domestica)</v>
      </c>
      <c r="B924" t="str">
        <f ca="1">IFERROR(__xludf.DUMMYFUNCTION("""COMPUTED_VALUE"""),"A.01.000650")</f>
        <v>A.01.000650</v>
      </c>
    </row>
    <row r="925" spans="1:2" ht="12.5" x14ac:dyDescent="0.25">
      <c r="A925" t="str">
        <f ca="1">IFERROR(__xludf.DUMMYFUNCTION("""COMPUTED_VALUE"""),"Dried vegetables")</f>
        <v>Dried vegetables</v>
      </c>
      <c r="B925" t="str">
        <f ca="1">IFERROR(__xludf.DUMMYFUNCTION("""COMPUTED_VALUE"""),"C04B_10")</f>
        <v>C04B_10</v>
      </c>
    </row>
    <row r="926" spans="1:2" ht="12.5" x14ac:dyDescent="0.25">
      <c r="A926" t="str">
        <f ca="1">IFERROR(__xludf.DUMMYFUNCTION("""COMPUTED_VALUE"""),"Dried vine fruits (currants, raisins and sultanas)")</f>
        <v>Dried vine fruits (currants, raisins and sultanas)</v>
      </c>
      <c r="B926" t="str">
        <f ca="1">IFERROR(__xludf.DUMMYFUNCTION("""COMPUTED_VALUE"""),"A.01.000648")</f>
        <v>A.01.000648</v>
      </c>
    </row>
    <row r="927" spans="1:2" ht="12.5" x14ac:dyDescent="0.25">
      <c r="A927" t="str">
        <f ca="1">IFERROR(__xludf.DUMMYFUNCTION("""COMPUTED_VALUE"""),"Drinking water (water without any additives except carbon dioxide; includes water ice for consumption)")</f>
        <v>Drinking water (water without any additives except carbon dioxide; includes water ice for consumption)</v>
      </c>
      <c r="B927" t="str">
        <f ca="1">IFERROR(__xludf.DUMMYFUNCTION("""COMPUTED_VALUE"""),"A.01.001573")</f>
        <v>A.01.001573</v>
      </c>
    </row>
    <row r="928" spans="1:2" ht="12.5" x14ac:dyDescent="0.25">
      <c r="A928" t="str">
        <f ca="1">IFERROR(__xludf.DUMMYFUNCTION("""COMPUTED_VALUE"""),"Dry herbs")</f>
        <v>Dry herbs</v>
      </c>
      <c r="B928" t="str">
        <f ca="1">IFERROR(__xludf.DUMMYFUNCTION("""COMPUTED_VALUE"""),"C14A_3")</f>
        <v>C14A_3</v>
      </c>
    </row>
    <row r="929" spans="1:2" ht="12.5" x14ac:dyDescent="0.25">
      <c r="A929" t="str">
        <f ca="1">IFERROR(__xludf.DUMMYFUNCTION("""COMPUTED_VALUE"""),"Dry sausage")</f>
        <v>Dry sausage</v>
      </c>
      <c r="B929" t="str">
        <f ca="1">IFERROR(__xludf.DUMMYFUNCTION("""COMPUTED_VALUE"""),"A.01.000844")</f>
        <v>A.01.000844</v>
      </c>
    </row>
    <row r="930" spans="1:2" ht="12.5" x14ac:dyDescent="0.25">
      <c r="A930" t="str">
        <f ca="1">IFERROR(__xludf.DUMMYFUNCTION("""COMPUTED_VALUE"""),"Duck eggs")</f>
        <v>Duck eggs</v>
      </c>
      <c r="B930" t="str">
        <f ca="1">IFERROR(__xludf.DUMMYFUNCTION("""COMPUTED_VALUE"""),"A.01.001258")</f>
        <v>A.01.001258</v>
      </c>
    </row>
    <row r="931" spans="1:2" ht="12.5" x14ac:dyDescent="0.25">
      <c r="A931" t="str">
        <f ca="1">IFERROR(__xludf.DUMMYFUNCTION("""COMPUTED_VALUE"""),"Duck fat")</f>
        <v>Duck fat</v>
      </c>
      <c r="B931" t="str">
        <f ca="1">IFERROR(__xludf.DUMMYFUNCTION("""COMPUTED_VALUE"""),"A.01.001354")</f>
        <v>A.01.001354</v>
      </c>
    </row>
    <row r="932" spans="1:2" ht="12.5" x14ac:dyDescent="0.25">
      <c r="A932" t="str">
        <f ca="1">IFERROR(__xludf.DUMMYFUNCTION("""COMPUTED_VALUE"""),"Duck liver")</f>
        <v>Duck liver</v>
      </c>
      <c r="B932" t="str">
        <f ca="1">IFERROR(__xludf.DUMMYFUNCTION("""COMPUTED_VALUE"""),"A.01.000773")</f>
        <v>A.01.000773</v>
      </c>
    </row>
    <row r="933" spans="1:2" ht="12.5" x14ac:dyDescent="0.25">
      <c r="A933" t="str">
        <f ca="1">IFERROR(__xludf.DUMMYFUNCTION("""COMPUTED_VALUE"""),"Duck meat (Anas spp.)")</f>
        <v>Duck meat (Anas spp.)</v>
      </c>
      <c r="B933" t="str">
        <f ca="1">IFERROR(__xludf.DUMMYFUNCTION("""COMPUTED_VALUE"""),"A.01.000739")</f>
        <v>A.01.000739</v>
      </c>
    </row>
    <row r="934" spans="1:2" ht="12.5" x14ac:dyDescent="0.25">
      <c r="A934" t="str">
        <f ca="1">IFERROR(__xludf.DUMMYFUNCTION("""COMPUTED_VALUE"""),"Dumpling")</f>
        <v>Dumpling</v>
      </c>
      <c r="B934" t="str">
        <f ca="1">IFERROR(__xludf.DUMMYFUNCTION("""COMPUTED_VALUE"""),"A.01.000298")</f>
        <v>A.01.000298</v>
      </c>
    </row>
    <row r="935" spans="1:2" ht="12.5" x14ac:dyDescent="0.25">
      <c r="A935" t="str">
        <f ca="1">IFERROR(__xludf.DUMMYFUNCTION("""COMPUTED_VALUE"""),"Durian (Durio zibethinus)")</f>
        <v>Durian (Durio zibethinus)</v>
      </c>
      <c r="B935" t="str">
        <f ca="1">IFERROR(__xludf.DUMMYFUNCTION("""COMPUTED_VALUE"""),"A.01.000634")</f>
        <v>A.01.000634</v>
      </c>
    </row>
    <row r="936" spans="1:2" ht="12.5" x14ac:dyDescent="0.25">
      <c r="A936" t="str">
        <f ca="1">IFERROR(__xludf.DUMMYFUNCTION("""COMPUTED_VALUE"""),"Easter Nola")</f>
        <v>Easter Nola</v>
      </c>
      <c r="B936" t="str">
        <f ca="1">IFERROR(__xludf.DUMMYFUNCTION("""COMPUTED_VALUE"""),"A.01.000851")</f>
        <v>A.01.000851</v>
      </c>
    </row>
    <row r="937" spans="1:2" ht="12.5" x14ac:dyDescent="0.25">
      <c r="A937" t="str">
        <f ca="1">IFERROR(__xludf.DUMMYFUNCTION("""COMPUTED_VALUE"""),"Éclair")</f>
        <v>Éclair</v>
      </c>
      <c r="B937" t="str">
        <f ca="1">IFERROR(__xludf.DUMMYFUNCTION("""COMPUTED_VALUE"""),"A.01.000271")</f>
        <v>A.01.000271</v>
      </c>
    </row>
    <row r="938" spans="1:2" ht="12.5" x14ac:dyDescent="0.25">
      <c r="A938" t="str">
        <f ca="1">IFERROR(__xludf.DUMMYFUNCTION("""COMPUTED_VALUE"""),"Edible offal and offal products")</f>
        <v>Edible offal and offal products</v>
      </c>
      <c r="B938" t="str">
        <f ca="1">IFERROR(__xludf.DUMMYFUNCTION("""COMPUTED_VALUE"""),"C10B")</f>
        <v>C10B</v>
      </c>
    </row>
    <row r="939" spans="1:2" ht="12.5" x14ac:dyDescent="0.25">
      <c r="A939" t="str">
        <f ca="1">IFERROR(__xludf.DUMMYFUNCTION("""COMPUTED_VALUE"""),"Edible offal, farmed animals")</f>
        <v>Edible offal, farmed animals</v>
      </c>
      <c r="B939" t="str">
        <f ca="1">IFERROR(__xludf.DUMMYFUNCTION("""COMPUTED_VALUE"""),"A.01.000766")</f>
        <v>A.01.000766</v>
      </c>
    </row>
    <row r="940" spans="1:2" ht="12.5" x14ac:dyDescent="0.25">
      <c r="A940" t="str">
        <f ca="1">IFERROR(__xludf.DUMMYFUNCTION("""COMPUTED_VALUE"""),"Edible offal, game animals")</f>
        <v>Edible offal, game animals</v>
      </c>
      <c r="B940" t="str">
        <f ca="1">IFERROR(__xludf.DUMMYFUNCTION("""COMPUTED_VALUE"""),"A.01.000791")</f>
        <v>A.01.000791</v>
      </c>
    </row>
    <row r="941" spans="1:2" ht="12.5" x14ac:dyDescent="0.25">
      <c r="A941" t="str">
        <f ca="1">IFERROR(__xludf.DUMMYFUNCTION("""COMPUTED_VALUE"""),"Eels (Apodes)")</f>
        <v>Eels (Apodes)</v>
      </c>
      <c r="B941" t="str">
        <f ca="1">IFERROR(__xludf.DUMMYFUNCTION("""COMPUTED_VALUE"""),"A.01.000904")</f>
        <v>A.01.000904</v>
      </c>
    </row>
    <row r="942" spans="1:2" ht="12.5" x14ac:dyDescent="0.25">
      <c r="A942" t="str">
        <f ca="1">IFERROR(__xludf.DUMMYFUNCTION("""COMPUTED_VALUE"""),"Eels and eel products")</f>
        <v>Eels and eel products</v>
      </c>
      <c r="B942" t="str">
        <f ca="1">IFERROR(__xludf.DUMMYFUNCTION("""COMPUTED_VALUE"""),"C11B_2")</f>
        <v>C11B_2</v>
      </c>
    </row>
    <row r="943" spans="1:2" ht="12.5" x14ac:dyDescent="0.25">
      <c r="A943" t="str">
        <f ca="1">IFERROR(__xludf.DUMMYFUNCTION("""COMPUTED_VALUE"""),"Egg liqueur")</f>
        <v>Egg liqueur</v>
      </c>
      <c r="B943" t="str">
        <f ca="1">IFERROR(__xludf.DUMMYFUNCTION("""COMPUTED_VALUE"""),"A.01.001557")</f>
        <v>A.01.001557</v>
      </c>
    </row>
    <row r="944" spans="1:2" ht="12.5" x14ac:dyDescent="0.25">
      <c r="A944" t="str">
        <f ca="1">IFERROR(__xludf.DUMMYFUNCTION("""COMPUTED_VALUE"""),"Egg powder sugared")</f>
        <v>Egg powder sugared</v>
      </c>
      <c r="B944" t="str">
        <f ca="1">IFERROR(__xludf.DUMMYFUNCTION("""COMPUTED_VALUE"""),"G.9.15.4")</f>
        <v>G.9.15.4</v>
      </c>
    </row>
    <row r="945" spans="1:2" ht="12.5" x14ac:dyDescent="0.25">
      <c r="A945" t="str">
        <f ca="1">IFERROR(__xludf.DUMMYFUNCTION("""COMPUTED_VALUE"""),"Egg products, dried")</f>
        <v>Egg products, dried</v>
      </c>
      <c r="B945" t="str">
        <f ca="1">IFERROR(__xludf.DUMMYFUNCTION("""COMPUTED_VALUE"""),"G.9.15.3")</f>
        <v>G.9.15.3</v>
      </c>
    </row>
    <row r="946" spans="1:2" ht="12.5" x14ac:dyDescent="0.25">
      <c r="A946" t="str">
        <f ca="1">IFERROR(__xludf.DUMMYFUNCTION("""COMPUTED_VALUE"""),"Egg shells, dried")</f>
        <v>Egg shells, dried</v>
      </c>
      <c r="B946" t="str">
        <f ca="1">IFERROR(__xludf.DUMMYFUNCTION("""COMPUTED_VALUE"""),"G.9.15.5")</f>
        <v>G.9.15.5</v>
      </c>
    </row>
    <row r="947" spans="1:2" ht="12.5" x14ac:dyDescent="0.25">
      <c r="A947" t="str">
        <f ca="1">IFERROR(__xludf.DUMMYFUNCTION("""COMPUTED_VALUE"""),"Egg white, chicken")</f>
        <v>Egg white, chicken</v>
      </c>
      <c r="B947" t="str">
        <f ca="1">IFERROR(__xludf.DUMMYFUNCTION("""COMPUTED_VALUE"""),"A.01.001256")</f>
        <v>A.01.001256</v>
      </c>
    </row>
    <row r="948" spans="1:2" ht="12.5" x14ac:dyDescent="0.25">
      <c r="A948" t="str">
        <f ca="1">IFERROR(__xludf.DUMMYFUNCTION("""COMPUTED_VALUE"""),"Egg yolk, chicken")</f>
        <v>Egg yolk, chicken</v>
      </c>
      <c r="B948" t="str">
        <f ca="1">IFERROR(__xludf.DUMMYFUNCTION("""COMPUTED_VALUE"""),"A.01.001255")</f>
        <v>A.01.001255</v>
      </c>
    </row>
    <row r="949" spans="1:2" ht="12.5" x14ac:dyDescent="0.25">
      <c r="A949" t="str">
        <f ca="1">IFERROR(__xludf.DUMMYFUNCTION("""COMPUTED_VALUE"""),"Egg-based meal (e.g., omelette)")</f>
        <v>Egg-based meal (e.g., omelette)</v>
      </c>
      <c r="B949" t="str">
        <f ca="1">IFERROR(__xludf.DUMMYFUNCTION("""COMPUTED_VALUE"""),"A.01.001847")</f>
        <v>A.01.001847</v>
      </c>
    </row>
    <row r="950" spans="1:2" ht="12.5" x14ac:dyDescent="0.25">
      <c r="A950" t="str">
        <f ca="1">IFERROR(__xludf.DUMMYFUNCTION("""COMPUTED_VALUE"""),"Eggs")</f>
        <v>Eggs</v>
      </c>
      <c r="B950" t="str">
        <f ca="1">IFERROR(__xludf.DUMMYFUNCTION("""COMPUTED_VALUE"""),"C12")</f>
        <v>C12</v>
      </c>
    </row>
    <row r="951" spans="1:2" ht="12.5" x14ac:dyDescent="0.25">
      <c r="A951" t="str">
        <f ca="1">IFERROR(__xludf.DUMMYFUNCTION("""COMPUTED_VALUE"""),"Eggs")</f>
        <v>Eggs</v>
      </c>
      <c r="B951" t="str">
        <f ca="1">IFERROR(__xludf.DUMMYFUNCTION("""COMPUTED_VALUE"""),"G.9.15")</f>
        <v>G.9.15</v>
      </c>
    </row>
    <row r="952" spans="1:2" ht="12.5" x14ac:dyDescent="0.25">
      <c r="A952" t="str">
        <f ca="1">IFERROR(__xludf.DUMMYFUNCTION("""COMPUTED_VALUE"""),"Eggs and egg products")</f>
        <v>Eggs and egg products</v>
      </c>
      <c r="B952" t="str">
        <f ca="1">IFERROR(__xludf.DUMMYFUNCTION("""COMPUTED_VALUE"""),"A.01.001252")</f>
        <v>A.01.001252</v>
      </c>
    </row>
    <row r="953" spans="1:2" ht="12.5" x14ac:dyDescent="0.25">
      <c r="A953" t="str">
        <f ca="1">IFERROR(__xludf.DUMMYFUNCTION("""COMPUTED_VALUE"""),"Eggs, fresh")</f>
        <v>Eggs, fresh</v>
      </c>
      <c r="B953" t="str">
        <f ca="1">IFERROR(__xludf.DUMMYFUNCTION("""COMPUTED_VALUE"""),"A.01.001253")</f>
        <v>A.01.001253</v>
      </c>
    </row>
    <row r="954" spans="1:2" ht="12.5" x14ac:dyDescent="0.25">
      <c r="A954" t="str">
        <f ca="1">IFERROR(__xludf.DUMMYFUNCTION("""COMPUTED_VALUE"""),"Eggs, powder")</f>
        <v>Eggs, powder</v>
      </c>
      <c r="B954" t="str">
        <f ca="1">IFERROR(__xludf.DUMMYFUNCTION("""COMPUTED_VALUE"""),"A.01.001263")</f>
        <v>A.01.001263</v>
      </c>
    </row>
    <row r="955" spans="1:2" ht="12.5" x14ac:dyDescent="0.25">
      <c r="A955" t="str">
        <f ca="1">IFERROR(__xludf.DUMMYFUNCTION("""COMPUTED_VALUE"""),"Einkorn")</f>
        <v>Einkorn</v>
      </c>
      <c r="B955" t="str">
        <f ca="1">IFERROR(__xludf.DUMMYFUNCTION("""COMPUTED_VALUE"""),"A.01.000041")</f>
        <v>A.01.000041</v>
      </c>
    </row>
    <row r="956" spans="1:2" ht="12.5" x14ac:dyDescent="0.25">
      <c r="A956" t="str">
        <f ca="1">IFERROR(__xludf.DUMMYFUNCTION("""COMPUTED_VALUE"""),"Elderberries (Sambucus nigra)")</f>
        <v>Elderberries (Sambucus nigra)</v>
      </c>
      <c r="B956" t="str">
        <f ca="1">IFERROR(__xludf.DUMMYFUNCTION("""COMPUTED_VALUE"""),"A.01.000590")</f>
        <v>A.01.000590</v>
      </c>
    </row>
    <row r="957" spans="1:2" ht="12.5" x14ac:dyDescent="0.25">
      <c r="A957" t="str">
        <f ca="1">IFERROR(__xludf.DUMMYFUNCTION("""COMPUTED_VALUE"""),"Elk meat (Alces alces)")</f>
        <v>Elk meat (Alces alces)</v>
      </c>
      <c r="B957" t="str">
        <f ca="1">IFERROR(__xludf.DUMMYFUNCTION("""COMPUTED_VALUE"""),"A.01.000747")</f>
        <v>A.01.000747</v>
      </c>
    </row>
    <row r="958" spans="1:2" ht="12.5" x14ac:dyDescent="0.25">
      <c r="A958" t="str">
        <f ca="1">IFERROR(__xludf.DUMMYFUNCTION("""COMPUTED_VALUE"""),"Emmer")</f>
        <v>Emmer</v>
      </c>
      <c r="B958" t="str">
        <f ca="1">IFERROR(__xludf.DUMMYFUNCTION("""COMPUTED_VALUE"""),"A.01.000042")</f>
        <v>A.01.000042</v>
      </c>
    </row>
    <row r="959" spans="1:2" ht="12.5" x14ac:dyDescent="0.25">
      <c r="A959" t="str">
        <f ca="1">IFERROR(__xludf.DUMMYFUNCTION("""COMPUTED_VALUE"""),"Emulsion sauce (Hollandaise sauce)")</f>
        <v>Emulsion sauce (Hollandaise sauce)</v>
      </c>
      <c r="B959" t="str">
        <f ca="1">IFERROR(__xludf.DUMMYFUNCTION("""COMPUTED_VALUE"""),"A.01.001689")</f>
        <v>A.01.001689</v>
      </c>
    </row>
    <row r="960" spans="1:2" ht="12.5" x14ac:dyDescent="0.25">
      <c r="A960" t="str">
        <f ca="1">IFERROR(__xludf.DUMMYFUNCTION("""COMPUTED_VALUE"""),"Endive, scarole (broad-leaf endive) (Cichorium endiva)")</f>
        <v>Endive, scarole (broad-leaf endive) (Cichorium endiva)</v>
      </c>
      <c r="B960" t="str">
        <f ca="1">IFERROR(__xludf.DUMMYFUNCTION("""COMPUTED_VALUE"""),"A.01.000363")</f>
        <v>A.01.000363</v>
      </c>
    </row>
    <row r="961" spans="1:2" ht="12.5" x14ac:dyDescent="0.25">
      <c r="A961" t="str">
        <f ca="1">IFERROR(__xludf.DUMMYFUNCTION("""COMPUTED_VALUE"""),"Enzyme-based supplement")</f>
        <v>Enzyme-based supplement</v>
      </c>
      <c r="B961" t="str">
        <f ca="1">IFERROR(__xludf.DUMMYFUNCTION("""COMPUTED_VALUE"""),"A.01.001761")</f>
        <v>A.01.001761</v>
      </c>
    </row>
    <row r="962" spans="1:2" ht="12.5" x14ac:dyDescent="0.25">
      <c r="A962" t="str">
        <f ca="1">IFERROR(__xludf.DUMMYFUNCTION("""COMPUTED_VALUE"""),"Ervil")</f>
        <v>Ervil</v>
      </c>
      <c r="B962" t="str">
        <f ca="1">IFERROR(__xludf.DUMMYFUNCTION("""COMPUTED_VALUE"""),"F03.03")</f>
        <v>F03.03</v>
      </c>
    </row>
    <row r="963" spans="1:2" ht="12.5" x14ac:dyDescent="0.25">
      <c r="A963" t="str">
        <f ca="1">IFERROR(__xludf.DUMMYFUNCTION("""COMPUTED_VALUE"""),"Ervil")</f>
        <v>Ervil</v>
      </c>
      <c r="B963" t="str">
        <f ca="1">IFERROR(__xludf.DUMMYFUNCTION("""COMPUTED_VALUE"""),"G.3.4")</f>
        <v>G.3.4</v>
      </c>
    </row>
    <row r="964" spans="1:2" ht="12.5" x14ac:dyDescent="0.25">
      <c r="A964" t="str">
        <f ca="1">IFERROR(__xludf.DUMMYFUNCTION("""COMPUTED_VALUE"""),"Erythritol")</f>
        <v>Erythritol</v>
      </c>
      <c r="B964" t="str">
        <f ca="1">IFERROR(__xludf.DUMMYFUNCTION("""COMPUTED_VALUE"""),"A.01.001286")</f>
        <v>A.01.001286</v>
      </c>
    </row>
    <row r="965" spans="1:2" ht="12.5" x14ac:dyDescent="0.25">
      <c r="A965" t="str">
        <f ca="1">IFERROR(__xludf.DUMMYFUNCTION("""COMPUTED_VALUE"""),"Ethanol 10 % (v/v) (Food Simulant A)")</f>
        <v>Ethanol 10 % (v/v) (Food Simulant A)</v>
      </c>
      <c r="B965" t="str">
        <f ca="1">IFERROR(__xludf.DUMMYFUNCTION("""COMPUTED_VALUE"""),"A0BA8")</f>
        <v>A0BA8</v>
      </c>
    </row>
    <row r="966" spans="1:2" ht="12.5" x14ac:dyDescent="0.25">
      <c r="A966" t="str">
        <f ca="1">IFERROR(__xludf.DUMMYFUNCTION("""COMPUTED_VALUE"""),"Ethanol 20% (v/v) (Food Simulant C)")</f>
        <v>Ethanol 20% (v/v) (Food Simulant C)</v>
      </c>
      <c r="B966" t="str">
        <f ca="1">IFERROR(__xludf.DUMMYFUNCTION("""COMPUTED_VALUE"""),"A0BAD")</f>
        <v>A0BAD</v>
      </c>
    </row>
    <row r="967" spans="1:2" ht="12.5" x14ac:dyDescent="0.25">
      <c r="A967" t="str">
        <f ca="1">IFERROR(__xludf.DUMMYFUNCTION("""COMPUTED_VALUE"""),"Ethanol 50% (v/v) (Food Simulant D1)")</f>
        <v>Ethanol 50% (v/v) (Food Simulant D1)</v>
      </c>
      <c r="B967" t="str">
        <f ca="1">IFERROR(__xludf.DUMMYFUNCTION("""COMPUTED_VALUE"""),"A0BAC")</f>
        <v>A0BAC</v>
      </c>
    </row>
    <row r="968" spans="1:2" ht="12.5" x14ac:dyDescent="0.25">
      <c r="A968" t="str">
        <f ca="1">IFERROR(__xludf.DUMMYFUNCTION("""COMPUTED_VALUE"""),"Ethanol 95% (v/v) (replacement for Food Simulant D2)")</f>
        <v>Ethanol 95% (v/v) (replacement for Food Simulant D2)</v>
      </c>
      <c r="B968" t="str">
        <f ca="1">IFERROR(__xludf.DUMMYFUNCTION("""COMPUTED_VALUE"""),"A0BAB")</f>
        <v>A0BAB</v>
      </c>
    </row>
    <row r="969" spans="1:2" ht="12.5" x14ac:dyDescent="0.25">
      <c r="A969" t="str">
        <f ca="1">IFERROR(__xludf.DUMMYFUNCTION("""COMPUTED_VALUE"""),"Evaporated milk (milk evaporated down to less than a half of its original volume. It is unsweetened.)")</f>
        <v>Evaporated milk (milk evaporated down to less than a half of its original volume. It is unsweetened.)</v>
      </c>
      <c r="B969" t="str">
        <f ca="1">IFERROR(__xludf.DUMMYFUNCTION("""COMPUTED_VALUE"""),"A.01.000974")</f>
        <v>A.01.000974</v>
      </c>
    </row>
    <row r="970" spans="1:2" ht="12.5" x14ac:dyDescent="0.25">
      <c r="A970" t="str">
        <f ca="1">IFERROR(__xludf.DUMMYFUNCTION("""COMPUTED_VALUE"""),"Extruded bread")</f>
        <v>Extruded bread</v>
      </c>
      <c r="B970" t="str">
        <f ca="1">IFERROR(__xludf.DUMMYFUNCTION("""COMPUTED_VALUE"""),"A.01.000157")</f>
        <v>A.01.000157</v>
      </c>
    </row>
    <row r="971" spans="1:2" ht="12.5" x14ac:dyDescent="0.25">
      <c r="A971" t="str">
        <f ca="1">IFERROR(__xludf.DUMMYFUNCTION("""COMPUTED_VALUE"""),"Farmer cervelat")</f>
        <v>Farmer cervelat</v>
      </c>
      <c r="B971" t="str">
        <f ca="1">IFERROR(__xludf.DUMMYFUNCTION("""COMPUTED_VALUE"""),"A.01.000836")</f>
        <v>A.01.000836</v>
      </c>
    </row>
    <row r="972" spans="1:2" ht="12.5" x14ac:dyDescent="0.25">
      <c r="A972" t="str">
        <f ca="1">IFERROR(__xludf.DUMMYFUNCTION("""COMPUTED_VALUE"""),"Fat emulsions")</f>
        <v>Fat emulsions</v>
      </c>
      <c r="B972" t="str">
        <f ca="1">IFERROR(__xludf.DUMMYFUNCTION("""COMPUTED_VALUE"""),"A.01.001393")</f>
        <v>A.01.001393</v>
      </c>
    </row>
    <row r="973" spans="1:2" ht="12.5" x14ac:dyDescent="0.25">
      <c r="A973" t="str">
        <f ca="1">IFERROR(__xludf.DUMMYFUNCTION("""COMPUTED_VALUE"""),"Fat of bovine animals and sheep")</f>
        <v>Fat of bovine animals and sheep</v>
      </c>
      <c r="B973" t="str">
        <f ca="1">IFERROR(__xludf.DUMMYFUNCTION("""COMPUTED_VALUE"""),"C03_1A")</f>
        <v>C03_1A</v>
      </c>
    </row>
    <row r="974" spans="1:2" ht="12.5" x14ac:dyDescent="0.25">
      <c r="A974" t="str">
        <f ca="1">IFERROR(__xludf.DUMMYFUNCTION("""COMPUTED_VALUE"""),"Fat of pig")</f>
        <v>Fat of pig</v>
      </c>
      <c r="B974" t="str">
        <f ca="1">IFERROR(__xludf.DUMMYFUNCTION("""COMPUTED_VALUE"""),"C03_1C")</f>
        <v>C03_1C</v>
      </c>
    </row>
    <row r="975" spans="1:2" ht="12.5" x14ac:dyDescent="0.25">
      <c r="A975" t="str">
        <f ca="1">IFERROR(__xludf.DUMMYFUNCTION("""COMPUTED_VALUE"""),"Fat of poultry")</f>
        <v>Fat of poultry</v>
      </c>
      <c r="B975" t="str">
        <f ca="1">IFERROR(__xludf.DUMMYFUNCTION("""COMPUTED_VALUE"""),"C03_1B")</f>
        <v>C03_1B</v>
      </c>
    </row>
    <row r="976" spans="1:2" ht="12.5" x14ac:dyDescent="0.25">
      <c r="A976" t="str">
        <f ca="1">IFERROR(__xludf.DUMMYFUNCTION("""COMPUTED_VALUE"""),"Fats (Vegetable and animal)")</f>
        <v>Fats (Vegetable and animal)</v>
      </c>
      <c r="B976" t="str">
        <f ca="1">IFERROR(__xludf.DUMMYFUNCTION("""COMPUTED_VALUE"""),"C03")</f>
        <v>C03</v>
      </c>
    </row>
    <row r="977" spans="1:2" ht="12.5" x14ac:dyDescent="0.25">
      <c r="A977" t="str">
        <f ca="1">IFERROR(__xludf.DUMMYFUNCTION("""COMPUTED_VALUE"""),"Fats of mixed origin")</f>
        <v>Fats of mixed origin</v>
      </c>
      <c r="B977" t="str">
        <f ca="1">IFERROR(__xludf.DUMMYFUNCTION("""COMPUTED_VALUE"""),"A.01.001388")</f>
        <v>A.01.001388</v>
      </c>
    </row>
    <row r="978" spans="1:2" ht="12.5" x14ac:dyDescent="0.25">
      <c r="A978" t="str">
        <f ca="1">IFERROR(__xludf.DUMMYFUNCTION("""COMPUTED_VALUE"""),"Fattening calves (weaning diets) / Complementary feed")</f>
        <v>Fattening calves (weaning diets) / Complementary feed</v>
      </c>
      <c r="B978" t="str">
        <f ca="1">IFERROR(__xludf.DUMMYFUNCTION("""COMPUTED_VALUE"""),"G.14.2.2")</f>
        <v>G.14.2.2</v>
      </c>
    </row>
    <row r="979" spans="1:2" ht="12.5" x14ac:dyDescent="0.25">
      <c r="A979" t="str">
        <f ca="1">IFERROR(__xludf.DUMMYFUNCTION("""COMPUTED_VALUE"""),"Fattening calves (weaning diets) / Complete feed")</f>
        <v>Fattening calves (weaning diets) / Complete feed</v>
      </c>
      <c r="B979" t="str">
        <f ca="1">IFERROR(__xludf.DUMMYFUNCTION("""COMPUTED_VALUE"""),"G.14.1.2")</f>
        <v>G.14.1.2</v>
      </c>
    </row>
    <row r="980" spans="1:2" ht="12.5" x14ac:dyDescent="0.25">
      <c r="A980" t="str">
        <f ca="1">IFERROR(__xludf.DUMMYFUNCTION("""COMPUTED_VALUE"""),"Fattening cattle / Complementary feed")</f>
        <v>Fattening cattle / Complementary feed</v>
      </c>
      <c r="B980" t="str">
        <f ca="1">IFERROR(__xludf.DUMMYFUNCTION("""COMPUTED_VALUE"""),"G.14.2.3")</f>
        <v>G.14.2.3</v>
      </c>
    </row>
    <row r="981" spans="1:2" ht="12.5" x14ac:dyDescent="0.25">
      <c r="A981" t="str">
        <f ca="1">IFERROR(__xludf.DUMMYFUNCTION("""COMPUTED_VALUE"""),"Fattening cattle / Complete feed")</f>
        <v>Fattening cattle / Complete feed</v>
      </c>
      <c r="B981" t="str">
        <f ca="1">IFERROR(__xludf.DUMMYFUNCTION("""COMPUTED_VALUE"""),"G.14.1.3")</f>
        <v>G.14.1.3</v>
      </c>
    </row>
    <row r="982" spans="1:2" ht="12.5" x14ac:dyDescent="0.25">
      <c r="A982" t="str">
        <f ca="1">IFERROR(__xludf.DUMMYFUNCTION("""COMPUTED_VALUE"""),"Fattening chickens (broilers) / Complementary feed")</f>
        <v>Fattening chickens (broilers) / Complementary feed</v>
      </c>
      <c r="B982" t="str">
        <f ca="1">IFERROR(__xludf.DUMMYFUNCTION("""COMPUTED_VALUE"""),"G.14.2.17")</f>
        <v>G.14.2.17</v>
      </c>
    </row>
    <row r="983" spans="1:2" ht="12.5" x14ac:dyDescent="0.25">
      <c r="A983" t="str">
        <f ca="1">IFERROR(__xludf.DUMMYFUNCTION("""COMPUTED_VALUE"""),"Fattening chickens (broilers) / Complete feed")</f>
        <v>Fattening chickens (broilers) / Complete feed</v>
      </c>
      <c r="B983" t="str">
        <f ca="1">IFERROR(__xludf.DUMMYFUNCTION("""COMPUTED_VALUE"""),"G.14.1.17")</f>
        <v>G.14.1.17</v>
      </c>
    </row>
    <row r="984" spans="1:2" ht="12.5" x14ac:dyDescent="0.25">
      <c r="A984" t="str">
        <f ca="1">IFERROR(__xludf.DUMMYFUNCTION("""COMPUTED_VALUE"""),"Fattening ducks / Complementary feed")</f>
        <v>Fattening ducks / Complementary feed</v>
      </c>
      <c r="B984" t="str">
        <f ca="1">IFERROR(__xludf.DUMMYFUNCTION("""COMPUTED_VALUE"""),"G.14.2.20")</f>
        <v>G.14.2.20</v>
      </c>
    </row>
    <row r="985" spans="1:2" ht="12.5" x14ac:dyDescent="0.25">
      <c r="A985" t="str">
        <f ca="1">IFERROR(__xludf.DUMMYFUNCTION("""COMPUTED_VALUE"""),"Fattening ducks / Complete feed")</f>
        <v>Fattening ducks / Complete feed</v>
      </c>
      <c r="B985" t="str">
        <f ca="1">IFERROR(__xludf.DUMMYFUNCTION("""COMPUTED_VALUE"""),"G.14.1.20")</f>
        <v>G.14.1.20</v>
      </c>
    </row>
    <row r="986" spans="1:2" ht="12.5" x14ac:dyDescent="0.25">
      <c r="A986" t="str">
        <f ca="1">IFERROR(__xludf.DUMMYFUNCTION("""COMPUTED_VALUE"""),"Fattening geese / Complementary feed")</f>
        <v>Fattening geese / Complementary feed</v>
      </c>
      <c r="B986" t="str">
        <f ca="1">IFERROR(__xludf.DUMMYFUNCTION("""COMPUTED_VALUE"""),"G.14.2.21")</f>
        <v>G.14.2.21</v>
      </c>
    </row>
    <row r="987" spans="1:2" ht="12.5" x14ac:dyDescent="0.25">
      <c r="A987" t="str">
        <f ca="1">IFERROR(__xludf.DUMMYFUNCTION("""COMPUTED_VALUE"""),"Fattening geese / Complete feed")</f>
        <v>Fattening geese / Complete feed</v>
      </c>
      <c r="B987" t="str">
        <f ca="1">IFERROR(__xludf.DUMMYFUNCTION("""COMPUTED_VALUE"""),"G.14.1.21")</f>
        <v>G.14.1.21</v>
      </c>
    </row>
    <row r="988" spans="1:2" ht="12.5" x14ac:dyDescent="0.25">
      <c r="A988" t="str">
        <f ca="1">IFERROR(__xludf.DUMMYFUNCTION("""COMPUTED_VALUE"""),"Fattening goats / Complementary feed")</f>
        <v>Fattening goats / Complementary feed</v>
      </c>
      <c r="B988" t="str">
        <f ca="1">IFERROR(__xludf.DUMMYFUNCTION("""COMPUTED_VALUE"""),"G.14.2.13")</f>
        <v>G.14.2.13</v>
      </c>
    </row>
    <row r="989" spans="1:2" ht="12.5" x14ac:dyDescent="0.25">
      <c r="A989" t="str">
        <f ca="1">IFERROR(__xludf.DUMMYFUNCTION("""COMPUTED_VALUE"""),"Fattening goats / Complete feed")</f>
        <v>Fattening goats / Complete feed</v>
      </c>
      <c r="B989" t="str">
        <f ca="1">IFERROR(__xludf.DUMMYFUNCTION("""COMPUTED_VALUE"""),"G.14.1.13")</f>
        <v>G.14.1.13</v>
      </c>
    </row>
    <row r="990" spans="1:2" ht="12.5" x14ac:dyDescent="0.25">
      <c r="A990" t="str">
        <f ca="1">IFERROR(__xludf.DUMMYFUNCTION("""COMPUTED_VALUE"""),"Fattening ostrich / Complementary feed")</f>
        <v>Fattening ostrich / Complementary feed</v>
      </c>
      <c r="B990" t="str">
        <f ca="1">IFERROR(__xludf.DUMMYFUNCTION("""COMPUTED_VALUE"""),"G.14.2.23")</f>
        <v>G.14.2.23</v>
      </c>
    </row>
    <row r="991" spans="1:2" ht="12.5" x14ac:dyDescent="0.25">
      <c r="A991" t="str">
        <f ca="1">IFERROR(__xludf.DUMMYFUNCTION("""COMPUTED_VALUE"""),"Fattening ostrich / Complete feed")</f>
        <v>Fattening ostrich / Complete feed</v>
      </c>
      <c r="B991" t="str">
        <f ca="1">IFERROR(__xludf.DUMMYFUNCTION("""COMPUTED_VALUE"""),"G.14.1.23")</f>
        <v>G.14.1.23</v>
      </c>
    </row>
    <row r="992" spans="1:2" ht="12.5" x14ac:dyDescent="0.25">
      <c r="A992" t="str">
        <f ca="1">IFERROR(__xludf.DUMMYFUNCTION("""COMPUTED_VALUE"""),"Fattening pigeon / Complementary feed")</f>
        <v>Fattening pigeon / Complementary feed</v>
      </c>
      <c r="B992" t="str">
        <f ca="1">IFERROR(__xludf.DUMMYFUNCTION("""COMPUTED_VALUE"""),"G.14.2.22")</f>
        <v>G.14.2.22</v>
      </c>
    </row>
    <row r="993" spans="1:2" ht="12.5" x14ac:dyDescent="0.25">
      <c r="A993" t="str">
        <f ca="1">IFERROR(__xludf.DUMMYFUNCTION("""COMPUTED_VALUE"""),"Fattening pigeon / Complete feed")</f>
        <v>Fattening pigeon / Complete feed</v>
      </c>
      <c r="B993" t="str">
        <f ca="1">IFERROR(__xludf.DUMMYFUNCTION("""COMPUTED_VALUE"""),"G.14.1.22")</f>
        <v>G.14.1.22</v>
      </c>
    </row>
    <row r="994" spans="1:2" ht="12.5" x14ac:dyDescent="0.25">
      <c r="A994" t="str">
        <f ca="1">IFERROR(__xludf.DUMMYFUNCTION("""COMPUTED_VALUE"""),"Fattening rabbits / Complementary feed")</f>
        <v>Fattening rabbits / Complementary feed</v>
      </c>
      <c r="B994" t="str">
        <f ca="1">IFERROR(__xludf.DUMMYFUNCTION("""COMPUTED_VALUE"""),"G.14.2.24")</f>
        <v>G.14.2.24</v>
      </c>
    </row>
    <row r="995" spans="1:2" ht="12.5" x14ac:dyDescent="0.25">
      <c r="A995" t="str">
        <f ca="1">IFERROR(__xludf.DUMMYFUNCTION("""COMPUTED_VALUE"""),"Fattening rabbits / Complete feed")</f>
        <v>Fattening rabbits / Complete feed</v>
      </c>
      <c r="B995" t="str">
        <f ca="1">IFERROR(__xludf.DUMMYFUNCTION("""COMPUTED_VALUE"""),"G.14.1.24")</f>
        <v>G.14.1.24</v>
      </c>
    </row>
    <row r="996" spans="1:2" ht="12.5" x14ac:dyDescent="0.25">
      <c r="A996" t="str">
        <f ca="1">IFERROR(__xludf.DUMMYFUNCTION("""COMPUTED_VALUE"""),"Fattening sheep / Complementary feed")</f>
        <v>Fattening sheep / Complementary feed</v>
      </c>
      <c r="B996" t="str">
        <f ca="1">IFERROR(__xludf.DUMMYFUNCTION("""COMPUTED_VALUE"""),"G.14.2.10")</f>
        <v>G.14.2.10</v>
      </c>
    </row>
    <row r="997" spans="1:2" ht="12.5" x14ac:dyDescent="0.25">
      <c r="A997" t="str">
        <f ca="1">IFERROR(__xludf.DUMMYFUNCTION("""COMPUTED_VALUE"""),"Fattening sheep / Complete feed")</f>
        <v>Fattening sheep / Complete feed</v>
      </c>
      <c r="B997" t="str">
        <f ca="1">IFERROR(__xludf.DUMMYFUNCTION("""COMPUTED_VALUE"""),"G.14.1.10")</f>
        <v>G.14.1.10</v>
      </c>
    </row>
    <row r="998" spans="1:2" ht="12.5" x14ac:dyDescent="0.25">
      <c r="A998" t="str">
        <f ca="1">IFERROR(__xludf.DUMMYFUNCTION("""COMPUTED_VALUE"""),"Fattening turkeys / Complementary feed")</f>
        <v>Fattening turkeys / Complementary feed</v>
      </c>
      <c r="B998" t="str">
        <f ca="1">IFERROR(__xludf.DUMMYFUNCTION("""COMPUTED_VALUE"""),"G.14.2.19")</f>
        <v>G.14.2.19</v>
      </c>
    </row>
    <row r="999" spans="1:2" ht="12.5" x14ac:dyDescent="0.25">
      <c r="A999" t="str">
        <f ca="1">IFERROR(__xludf.DUMMYFUNCTION("""COMPUTED_VALUE"""),"Fattening turkeys / Complete feed")</f>
        <v>Fattening turkeys / Complete feed</v>
      </c>
      <c r="B999" t="str">
        <f ca="1">IFERROR(__xludf.DUMMYFUNCTION("""COMPUTED_VALUE"""),"G.14.1.19")</f>
        <v>G.14.1.19</v>
      </c>
    </row>
    <row r="1000" spans="1:2" ht="12.5" x14ac:dyDescent="0.25">
      <c r="A1000" t="str">
        <f ca="1">IFERROR(__xludf.DUMMYFUNCTION("""COMPUTED_VALUE"""),"Fatty acids")</f>
        <v>Fatty acids</v>
      </c>
      <c r="B1000" t="str">
        <f ca="1">IFERROR(__xludf.DUMMYFUNCTION("""COMPUTED_VALUE"""),"F12.04")</f>
        <v>F12.04</v>
      </c>
    </row>
    <row r="1001" spans="1:2" ht="12.5" x14ac:dyDescent="0.25">
      <c r="A1001" t="str">
        <f ca="1">IFERROR(__xludf.DUMMYFUNCTION("""COMPUTED_VALUE"""),"Fatty acids")</f>
        <v>Fatty acids</v>
      </c>
      <c r="B1001" t="str">
        <f ca="1">IFERROR(__xludf.DUMMYFUNCTION("""COMPUTED_VALUE"""),"G.13.6")</f>
        <v>G.13.6</v>
      </c>
    </row>
    <row r="1002" spans="1:2" ht="12.5" x14ac:dyDescent="0.25">
      <c r="A1002" t="str">
        <f ca="1">IFERROR(__xludf.DUMMYFUNCTION("""COMPUTED_VALUE"""),"Fatty acids esterified with glycerol")</f>
        <v>Fatty acids esterified with glycerol</v>
      </c>
      <c r="B1002" t="str">
        <f ca="1">IFERROR(__xludf.DUMMYFUNCTION("""COMPUTED_VALUE"""),"G.13.6.2")</f>
        <v>G.13.6.2</v>
      </c>
    </row>
    <row r="1003" spans="1:2" ht="12.5" x14ac:dyDescent="0.25">
      <c r="A1003" t="str">
        <f ca="1">IFERROR(__xludf.DUMMYFUNCTION("""COMPUTED_VALUE"""),"Feather meal")</f>
        <v>Feather meal</v>
      </c>
      <c r="B1003" t="str">
        <f ca="1">IFERROR(__xludf.DUMMYFUNCTION("""COMPUTED_VALUE"""),"G.9.11")</f>
        <v>G.9.11</v>
      </c>
    </row>
    <row r="1004" spans="1:2" ht="12.5" x14ac:dyDescent="0.25">
      <c r="A1004" t="str">
        <f ca="1">IFERROR(__xludf.DUMMYFUNCTION("""COMPUTED_VALUE"""),"Feather meal, hydrolysed")</f>
        <v>Feather meal, hydrolysed</v>
      </c>
      <c r="B1004" t="str">
        <f ca="1">IFERROR(__xludf.DUMMYFUNCTION("""COMPUTED_VALUE"""),"F09.06")</f>
        <v>F09.06</v>
      </c>
    </row>
    <row r="1005" spans="1:2" ht="12.5" x14ac:dyDescent="0.25">
      <c r="A1005" t="str">
        <f ca="1">IFERROR(__xludf.DUMMYFUNCTION("""COMPUTED_VALUE"""),"Feed")</f>
        <v>Feed</v>
      </c>
      <c r="B1005" t="str">
        <f ca="1">IFERROR(__xludf.DUMMYFUNCTION("""COMPUTED_VALUE"""),"C16")</f>
        <v>C16</v>
      </c>
    </row>
    <row r="1006" spans="1:2" ht="12.5" x14ac:dyDescent="0.25">
      <c r="A1006" t="str">
        <f ca="1">IFERROR(__xludf.DUMMYFUNCTION("""COMPUTED_VALUE"""),"Feed beer")</f>
        <v>Feed beer</v>
      </c>
      <c r="B1006" t="str">
        <f ca="1">IFERROR(__xludf.DUMMYFUNCTION("""COMPUTED_VALUE"""),"G.13.1.15")</f>
        <v>G.13.1.15</v>
      </c>
    </row>
    <row r="1007" spans="1:2" ht="12.5" x14ac:dyDescent="0.25">
      <c r="A1007" t="str">
        <f ca="1">IFERROR(__xludf.DUMMYFUNCTION("""COMPUTED_VALUE"""),"Feed for fur animals, pets and fish")</f>
        <v>Feed for fur animals, pets and fish</v>
      </c>
      <c r="B1007" t="str">
        <f ca="1">IFERROR(__xludf.DUMMYFUNCTION("""COMPUTED_VALUE"""),"C16_M")</f>
        <v>C16_M</v>
      </c>
    </row>
    <row r="1008" spans="1:2" ht="12.5" x14ac:dyDescent="0.25">
      <c r="A1008" t="str">
        <f ca="1">IFERROR(__xludf.DUMMYFUNCTION("""COMPUTED_VALUE"""),"Feed materials of mineral origin")</f>
        <v>Feed materials of mineral origin</v>
      </c>
      <c r="B1008" t="str">
        <f ca="1">IFERROR(__xludf.DUMMYFUNCTION("""COMPUTED_VALUE"""),"C16_C")</f>
        <v>C16_C</v>
      </c>
    </row>
    <row r="1009" spans="1:2" ht="12.5" x14ac:dyDescent="0.25">
      <c r="A1009" t="str">
        <f ca="1">IFERROR(__xludf.DUMMYFUNCTION("""COMPUTED_VALUE"""),"Feed materials of plant origin with the exception of vegetable oils and their byproducts")</f>
        <v>Feed materials of plant origin with the exception of vegetable oils and their byproducts</v>
      </c>
      <c r="B1009" t="str">
        <f ca="1">IFERROR(__xludf.DUMMYFUNCTION("""COMPUTED_VALUE"""),"C16_A")</f>
        <v>C16_A</v>
      </c>
    </row>
    <row r="1010" spans="1:2" ht="12.5" x14ac:dyDescent="0.25">
      <c r="A1010" t="str">
        <f ca="1">IFERROR(__xludf.DUMMYFUNCTION("""COMPUTED_VALUE"""),"Feed terms (Commission Regulation (EU) No 242/2010)")</f>
        <v>Feed terms (Commission Regulation (EU) No 242/2010)</v>
      </c>
      <c r="B1010" t="str">
        <f ca="1">IFERROR(__xludf.DUMMYFUNCTION("""COMPUTED_VALUE"""),"F00")</f>
        <v>F00</v>
      </c>
    </row>
    <row r="1011" spans="1:2" ht="12.5" x14ac:dyDescent="0.25">
      <c r="A1011" t="str">
        <f ca="1">IFERROR(__xludf.DUMMYFUNCTION("""COMPUTED_VALUE"""),"Feed terms (Commission Regulation (EU) No 575/2011)")</f>
        <v>Feed terms (Commission Regulation (EU) No 575/2011)</v>
      </c>
      <c r="B1011" t="str">
        <f ca="1">IFERROR(__xludf.DUMMYFUNCTION("""COMPUTED_VALUE"""),"G.0.0")</f>
        <v>G.0.0</v>
      </c>
    </row>
    <row r="1012" spans="1:2" ht="12.5" x14ac:dyDescent="0.25">
      <c r="A1012" t="str">
        <f ca="1">IFERROR(__xludf.DUMMYFUNCTION("""COMPUTED_VALUE"""),"Feijoa, Pineapple Guava (Feijoa sellowiana)")</f>
        <v>Feijoa, Pineapple Guava (Feijoa sellowiana)</v>
      </c>
      <c r="B1012" t="str">
        <f ca="1">IFERROR(__xludf.DUMMYFUNCTION("""COMPUTED_VALUE"""),"A.01.000639")</f>
        <v>A.01.000639</v>
      </c>
    </row>
    <row r="1013" spans="1:2" ht="12.5" x14ac:dyDescent="0.25">
      <c r="A1013" t="str">
        <f ca="1">IFERROR(__xludf.DUMMYFUNCTION("""COMPUTED_VALUE"""),"Fennel (Foeniculum vulgare)")</f>
        <v>Fennel (Foeniculum vulgare)</v>
      </c>
      <c r="B1013" t="str">
        <f ca="1">IFERROR(__xludf.DUMMYFUNCTION("""COMPUTED_VALUE"""),"A.01.000389")</f>
        <v>A.01.000389</v>
      </c>
    </row>
    <row r="1014" spans="1:2" ht="12.5" x14ac:dyDescent="0.25">
      <c r="A1014" t="str">
        <f ca="1">IFERROR(__xludf.DUMMYFUNCTION("""COMPUTED_VALUE"""),"Fennel seed")</f>
        <v>Fennel seed</v>
      </c>
      <c r="B1014" t="str">
        <f ca="1">IFERROR(__xludf.DUMMYFUNCTION("""COMPUTED_VALUE"""),"G.5.20")</f>
        <v>G.5.20</v>
      </c>
    </row>
    <row r="1015" spans="1:2" ht="12.5" x14ac:dyDescent="0.25">
      <c r="A1015" t="str">
        <f ca="1">IFERROR(__xludf.DUMMYFUNCTION("""COMPUTED_VALUE"""),"Fennel seed (Foeniculum vulgare)")</f>
        <v>Fennel seed (Foeniculum vulgare)</v>
      </c>
      <c r="B1015" t="str">
        <f ca="1">IFERROR(__xludf.DUMMYFUNCTION("""COMPUTED_VALUE"""),"A.01.001612")</f>
        <v>A.01.001612</v>
      </c>
    </row>
    <row r="1016" spans="1:2" ht="12.5" x14ac:dyDescent="0.25">
      <c r="A1016" t="str">
        <f ca="1">IFERROR(__xludf.DUMMYFUNCTION("""COMPUTED_VALUE"""),"Fenugreek (Trigonella foenumgraecum)")</f>
        <v>Fenugreek (Trigonella foenumgraecum)</v>
      </c>
      <c r="B1016" t="str">
        <f ca="1">IFERROR(__xludf.DUMMYFUNCTION("""COMPUTED_VALUE"""),"A.01.001613")</f>
        <v>A.01.001613</v>
      </c>
    </row>
    <row r="1017" spans="1:2" ht="12.5" x14ac:dyDescent="0.25">
      <c r="A1017" t="str">
        <f ca="1">IFERROR(__xludf.DUMMYFUNCTION("""COMPUTED_VALUE"""),"Fenugreek seed")</f>
        <v>Fenugreek seed</v>
      </c>
      <c r="B1017" t="str">
        <f ca="1">IFERROR(__xludf.DUMMYFUNCTION("""COMPUTED_VALUE"""),"G.3.5")</f>
        <v>G.3.5</v>
      </c>
    </row>
    <row r="1018" spans="1:2" ht="12.5" x14ac:dyDescent="0.25">
      <c r="A1018" t="str">
        <f ca="1">IFERROR(__xludf.DUMMYFUNCTION("""COMPUTED_VALUE"""),"Fermentation (by-)products from microorganisms the cells of which have been inactivated or killed")</f>
        <v>Fermentation (by-)products from microorganisms the cells of which have been inactivated or killed</v>
      </c>
      <c r="B1018" t="str">
        <f ca="1">IFERROR(__xludf.DUMMYFUNCTION("""COMPUTED_VALUE"""),"G.12")</f>
        <v>G.12</v>
      </c>
    </row>
    <row r="1019" spans="1:2" ht="12.5" x14ac:dyDescent="0.25">
      <c r="A1019" t="str">
        <f ca="1">IFERROR(__xludf.DUMMYFUNCTION("""COMPUTED_VALUE"""),"Fermented fruit products")</f>
        <v>Fermented fruit products</v>
      </c>
      <c r="B1019" t="str">
        <f ca="1">IFERROR(__xludf.DUMMYFUNCTION("""COMPUTED_VALUE"""),"A.01.000724")</f>
        <v>A.01.000724</v>
      </c>
    </row>
    <row r="1020" spans="1:2" ht="12.5" x14ac:dyDescent="0.25">
      <c r="A1020" t="str">
        <f ca="1">IFERROR(__xludf.DUMMYFUNCTION("""COMPUTED_VALUE"""),"Fermented milk products")</f>
        <v>Fermented milk products</v>
      </c>
      <c r="B1020" t="str">
        <f ca="1">IFERROR(__xludf.DUMMYFUNCTION("""COMPUTED_VALUE"""),"A.01.001027")</f>
        <v>A.01.001027</v>
      </c>
    </row>
    <row r="1021" spans="1:2" ht="12.5" x14ac:dyDescent="0.25">
      <c r="A1021" t="str">
        <f ca="1">IFERROR(__xludf.DUMMYFUNCTION("""COMPUTED_VALUE"""),"Fermented milk products (Feed)")</f>
        <v>Fermented milk products (Feed)</v>
      </c>
      <c r="B1021" t="str">
        <f ca="1">IFERROR(__xludf.DUMMYFUNCTION("""COMPUTED_VALUE"""),"G.8.8")</f>
        <v>G.8.8</v>
      </c>
    </row>
    <row r="1022" spans="1:2" ht="12.5" x14ac:dyDescent="0.25">
      <c r="A1022" t="str">
        <f ca="1">IFERROR(__xludf.DUMMYFUNCTION("""COMPUTED_VALUE"""),"Fiber supplements")</f>
        <v>Fiber supplements</v>
      </c>
      <c r="B1022" t="str">
        <f ca="1">IFERROR(__xludf.DUMMYFUNCTION("""COMPUTED_VALUE"""),"A.01.001758")</f>
        <v>A.01.001758</v>
      </c>
    </row>
    <row r="1023" spans="1:2" ht="12.5" x14ac:dyDescent="0.25">
      <c r="A1023" t="str">
        <f ca="1">IFERROR(__xludf.DUMMYFUNCTION("""COMPUTED_VALUE"""),"Field mushroom (Agaricus campestris)")</f>
        <v>Field mushroom (Agaricus campestris)</v>
      </c>
      <c r="B1023" t="str">
        <f ca="1">IFERROR(__xludf.DUMMYFUNCTION("""COMPUTED_VALUE"""),"A.01.000459")</f>
        <v>A.01.000459</v>
      </c>
    </row>
    <row r="1024" spans="1:2" ht="12.5" x14ac:dyDescent="0.25">
      <c r="A1024" t="str">
        <f ca="1">IFERROR(__xludf.DUMMYFUNCTION("""COMPUTED_VALUE"""),"Fig coffee")</f>
        <v>Fig coffee</v>
      </c>
      <c r="B1024" t="str">
        <f ca="1">IFERROR(__xludf.DUMMYFUNCTION("""COMPUTED_VALUE"""),"A.01.000437")</f>
        <v>A.01.000437</v>
      </c>
    </row>
    <row r="1025" spans="1:2" ht="12.5" x14ac:dyDescent="0.25">
      <c r="A1025" t="str">
        <f ca="1">IFERROR(__xludf.DUMMYFUNCTION("""COMPUTED_VALUE"""),"Fig fruit")</f>
        <v>Fig fruit</v>
      </c>
      <c r="B1025" t="str">
        <f ca="1">IFERROR(__xludf.DUMMYFUNCTION("""COMPUTED_VALUE"""),"G.5.21")</f>
        <v>G.5.21</v>
      </c>
    </row>
    <row r="1026" spans="1:2" ht="12.5" x14ac:dyDescent="0.25">
      <c r="A1026" t="str">
        <f ca="1">IFERROR(__xludf.DUMMYFUNCTION("""COMPUTED_VALUE"""),"Figs (Ficus carica)")</f>
        <v>Figs (Ficus carica)</v>
      </c>
      <c r="B1026" t="str">
        <f ca="1">IFERROR(__xludf.DUMMYFUNCTION("""COMPUTED_VALUE"""),"A.01.000613")</f>
        <v>A.01.000613</v>
      </c>
    </row>
    <row r="1027" spans="1:2" ht="12.5" x14ac:dyDescent="0.25">
      <c r="A1027" t="str">
        <f ca="1">IFERROR(__xludf.DUMMYFUNCTION("""COMPUTED_VALUE"""),"Filled chocolate")</f>
        <v>Filled chocolate</v>
      </c>
      <c r="B1027" t="str">
        <f ca="1">IFERROR(__xludf.DUMMYFUNCTION("""COMPUTED_VALUE"""),"A.01.001302")</f>
        <v>A.01.001302</v>
      </c>
    </row>
    <row r="1028" spans="1:2" ht="12.5" x14ac:dyDescent="0.25">
      <c r="A1028" t="str">
        <f ca="1">IFERROR(__xludf.DUMMYFUNCTION("""COMPUTED_VALUE"""),"Film horse beans; [Faba bean hulls]")</f>
        <v>Film horse beans; [Faba bean hulls]</v>
      </c>
      <c r="B1028" t="str">
        <f ca="1">IFERROR(__xludf.DUMMYFUNCTION("""COMPUTED_VALUE"""),"G.3.7.3")</f>
        <v>G.3.7.3</v>
      </c>
    </row>
    <row r="1029" spans="1:2" ht="12.5" x14ac:dyDescent="0.25">
      <c r="A1029" t="str">
        <f ca="1">IFERROR(__xludf.DUMMYFUNCTION("""COMPUTED_VALUE"""),"Film lupins; [lupin hulls]")</f>
        <v>Film lupins; [lupin hulls]</v>
      </c>
      <c r="B1029" t="str">
        <f ca="1">IFERROR(__xludf.DUMMYFUNCTION("""COMPUTED_VALUE"""),"G.3.9.3")</f>
        <v>G.3.9.3</v>
      </c>
    </row>
    <row r="1030" spans="1:2" ht="12.5" x14ac:dyDescent="0.25">
      <c r="A1030" t="str">
        <f ca="1">IFERROR(__xludf.DUMMYFUNCTION("""COMPUTED_VALUE"""),"Filmjölk")</f>
        <v>Filmjölk</v>
      </c>
      <c r="B1030" t="str">
        <f ca="1">IFERROR(__xludf.DUMMYFUNCTION("""COMPUTED_VALUE"""),"A.01.001047")</f>
        <v>A.01.001047</v>
      </c>
    </row>
    <row r="1031" spans="1:2" ht="12.5" x14ac:dyDescent="0.25">
      <c r="A1031" t="str">
        <f ca="1">IFERROR(__xludf.DUMMYFUNCTION("""COMPUTED_VALUE"""),"Fine bakery products for diabetics")</f>
        <v>Fine bakery products for diabetics</v>
      </c>
      <c r="B1031" t="str">
        <f ca="1">IFERROR(__xludf.DUMMYFUNCTION("""COMPUTED_VALUE"""),"A.01.001772")</f>
        <v>A.01.001772</v>
      </c>
    </row>
    <row r="1032" spans="1:2" ht="12.5" x14ac:dyDescent="0.25">
      <c r="A1032" t="str">
        <f ca="1">IFERROR(__xludf.DUMMYFUNCTION("""COMPUTED_VALUE"""),"Fine bakery wares")</f>
        <v>Fine bakery wares</v>
      </c>
      <c r="B1032" t="str">
        <f ca="1">IFERROR(__xludf.DUMMYFUNCTION("""COMPUTED_VALUE"""),"A.01.000252")</f>
        <v>A.01.000252</v>
      </c>
    </row>
    <row r="1033" spans="1:2" ht="12.5" x14ac:dyDescent="0.25">
      <c r="A1033" t="str">
        <f ca="1">IFERROR(__xludf.DUMMYFUNCTION("""COMPUTED_VALUE"""),"Fish")</f>
        <v>Fish</v>
      </c>
      <c r="B1033" t="str">
        <f ca="1">IFERROR(__xludf.DUMMYFUNCTION("""COMPUTED_VALUE"""),"G.10.4")</f>
        <v>G.10.4</v>
      </c>
    </row>
    <row r="1034" spans="1:2" ht="12.5" x14ac:dyDescent="0.25">
      <c r="A1034" t="str">
        <f ca="1">IFERROR(__xludf.DUMMYFUNCTION("""COMPUTED_VALUE"""),"Fish / Complementary feed")</f>
        <v>Fish / Complementary feed</v>
      </c>
      <c r="B1034" t="str">
        <f ca="1">IFERROR(__xludf.DUMMYFUNCTION("""COMPUTED_VALUE"""),"G.14.2.25")</f>
        <v>G.14.2.25</v>
      </c>
    </row>
    <row r="1035" spans="1:2" ht="12.5" x14ac:dyDescent="0.25">
      <c r="A1035" t="str">
        <f ca="1">IFERROR(__xludf.DUMMYFUNCTION("""COMPUTED_VALUE"""),"Fish / Complete feed")</f>
        <v>Fish / Complete feed</v>
      </c>
      <c r="B1035" t="str">
        <f ca="1">IFERROR(__xludf.DUMMYFUNCTION("""COMPUTED_VALUE"""),"G.14.1.25")</f>
        <v>G.14.1.25</v>
      </c>
    </row>
    <row r="1036" spans="1:2" ht="12.5" x14ac:dyDescent="0.25">
      <c r="A1036" t="str">
        <f ca="1">IFERROR(__xludf.DUMMYFUNCTION("""COMPUTED_VALUE"""),"Fish and fish products")</f>
        <v>Fish and fish products</v>
      </c>
      <c r="B1036" t="str">
        <f ca="1">IFERROR(__xludf.DUMMYFUNCTION("""COMPUTED_VALUE"""),"C11B")</f>
        <v>C11B</v>
      </c>
    </row>
    <row r="1037" spans="1:2" ht="12.5" x14ac:dyDescent="0.25">
      <c r="A1037" t="str">
        <f ca="1">IFERROR(__xludf.DUMMYFUNCTION("""COMPUTED_VALUE"""),"Fish and fish products excl. Eels")</f>
        <v>Fish and fish products excl. Eels</v>
      </c>
      <c r="B1037" t="str">
        <f ca="1">IFERROR(__xludf.DUMMYFUNCTION("""COMPUTED_VALUE"""),"C11B_1")</f>
        <v>C11B_1</v>
      </c>
    </row>
    <row r="1038" spans="1:2" ht="12.5" x14ac:dyDescent="0.25">
      <c r="A1038" t="str">
        <f ca="1">IFERROR(__xludf.DUMMYFUNCTION("""COMPUTED_VALUE"""),"Fish and other seafood (including amphibians, reptiles, snails and insects)")</f>
        <v>Fish and other seafood (including amphibians, reptiles, snails and insects)</v>
      </c>
      <c r="B1038" t="str">
        <f ca="1">IFERROR(__xludf.DUMMYFUNCTION("""COMPUTED_VALUE"""),"A.01.000876")</f>
        <v>A.01.000876</v>
      </c>
    </row>
    <row r="1039" spans="1:2" ht="12.5" x14ac:dyDescent="0.25">
      <c r="A1039" t="str">
        <f ca="1">IFERROR(__xludf.DUMMYFUNCTION("""COMPUTED_VALUE"""),"Fish and potatoes meal")</f>
        <v>Fish and potatoes meal</v>
      </c>
      <c r="B1039" t="str">
        <f ca="1">IFERROR(__xludf.DUMMYFUNCTION("""COMPUTED_VALUE"""),"A.01.001835")</f>
        <v>A.01.001835</v>
      </c>
    </row>
    <row r="1040" spans="1:2" ht="12.5" x14ac:dyDescent="0.25">
      <c r="A1040" t="str">
        <f ca="1">IFERROR(__xludf.DUMMYFUNCTION("""COMPUTED_VALUE"""),"Fish and rice meal")</f>
        <v>Fish and rice meal</v>
      </c>
      <c r="B1040" t="str">
        <f ca="1">IFERROR(__xludf.DUMMYFUNCTION("""COMPUTED_VALUE"""),"A.01.001836")</f>
        <v>A.01.001836</v>
      </c>
    </row>
    <row r="1041" spans="1:2" ht="12.5" x14ac:dyDescent="0.25">
      <c r="A1041" t="str">
        <f ca="1">IFERROR(__xludf.DUMMYFUNCTION("""COMPUTED_VALUE"""),"Fish and seafood")</f>
        <v>Fish and seafood</v>
      </c>
      <c r="B1041" t="str">
        <f ca="1">IFERROR(__xludf.DUMMYFUNCTION("""COMPUTED_VALUE"""),"C11")</f>
        <v>C11</v>
      </c>
    </row>
    <row r="1042" spans="1:2" ht="12.5" x14ac:dyDescent="0.25">
      <c r="A1042" t="str">
        <f ca="1">IFERROR(__xludf.DUMMYFUNCTION("""COMPUTED_VALUE"""),"Fish and seafood based meals")</f>
        <v>Fish and seafood based meals</v>
      </c>
      <c r="B1042" t="str">
        <f ca="1">IFERROR(__xludf.DUMMYFUNCTION("""COMPUTED_VALUE"""),"A.01.001834")</f>
        <v>A.01.001834</v>
      </c>
    </row>
    <row r="1043" spans="1:2" ht="12.5" x14ac:dyDescent="0.25">
      <c r="A1043" t="str">
        <f ca="1">IFERROR(__xludf.DUMMYFUNCTION("""COMPUTED_VALUE"""),"Fish and vegetables meal")</f>
        <v>Fish and vegetables meal</v>
      </c>
      <c r="B1043" t="str">
        <f ca="1">IFERROR(__xludf.DUMMYFUNCTION("""COMPUTED_VALUE"""),"A.01.001837")</f>
        <v>A.01.001837</v>
      </c>
    </row>
    <row r="1044" spans="1:2" ht="12.5" x14ac:dyDescent="0.25">
      <c r="A1044" t="str">
        <f ca="1">IFERROR(__xludf.DUMMYFUNCTION("""COMPUTED_VALUE"""),"Fish balls")</f>
        <v>Fish balls</v>
      </c>
      <c r="B1044" t="str">
        <f ca="1">IFERROR(__xludf.DUMMYFUNCTION("""COMPUTED_VALUE"""),"A.01.000911")</f>
        <v>A.01.000911</v>
      </c>
    </row>
    <row r="1045" spans="1:2" ht="12.5" x14ac:dyDescent="0.25">
      <c r="A1045" t="str">
        <f ca="1">IFERROR(__xludf.DUMMYFUNCTION("""COMPUTED_VALUE"""),"Fish based mixed dishes")</f>
        <v>Fish based mixed dishes</v>
      </c>
      <c r="B1045" t="str">
        <f ca="1">IFERROR(__xludf.DUMMYFUNCTION("""COMPUTED_VALUE"""),"C11C")</f>
        <v>C11C</v>
      </c>
    </row>
    <row r="1046" spans="1:2" ht="12.5" x14ac:dyDescent="0.25">
      <c r="A1046" t="str">
        <f ca="1">IFERROR(__xludf.DUMMYFUNCTION("""COMPUTED_VALUE"""),"Fish fingers")</f>
        <v>Fish fingers</v>
      </c>
      <c r="B1046" t="str">
        <f ca="1">IFERROR(__xludf.DUMMYFUNCTION("""COMPUTED_VALUE"""),"A.01.000913")</f>
        <v>A.01.000913</v>
      </c>
    </row>
    <row r="1047" spans="1:2" ht="12.5" x14ac:dyDescent="0.25">
      <c r="A1047" t="str">
        <f ca="1">IFERROR(__xludf.DUMMYFUNCTION("""COMPUTED_VALUE"""),"Fish liver")</f>
        <v>Fish liver</v>
      </c>
      <c r="B1047" t="str">
        <f ca="1">IFERROR(__xludf.DUMMYFUNCTION("""COMPUTED_VALUE"""),"C11D")</f>
        <v>C11D</v>
      </c>
    </row>
    <row r="1048" spans="1:2" ht="12.5" x14ac:dyDescent="0.25">
      <c r="A1048" t="str">
        <f ca="1">IFERROR(__xludf.DUMMYFUNCTION("""COMPUTED_VALUE"""),"Fish meal")</f>
        <v>Fish meal</v>
      </c>
      <c r="B1048" t="str">
        <f ca="1">IFERROR(__xludf.DUMMYFUNCTION("""COMPUTED_VALUE"""),"F10.01")</f>
        <v>F10.01</v>
      </c>
    </row>
    <row r="1049" spans="1:2" ht="12.5" x14ac:dyDescent="0.25">
      <c r="A1049" t="str">
        <f ca="1">IFERROR(__xludf.DUMMYFUNCTION("""COMPUTED_VALUE"""),"Fish meal")</f>
        <v>Fish meal</v>
      </c>
      <c r="B1049" t="str">
        <f ca="1">IFERROR(__xludf.DUMMYFUNCTION("""COMPUTED_VALUE"""),"G.10.4.2")</f>
        <v>G.10.4.2</v>
      </c>
    </row>
    <row r="1050" spans="1:2" ht="12.5" x14ac:dyDescent="0.25">
      <c r="A1050" t="str">
        <f ca="1">IFERROR(__xludf.DUMMYFUNCTION("""COMPUTED_VALUE"""),"Fish meat")</f>
        <v>Fish meat</v>
      </c>
      <c r="B1050" t="str">
        <f ca="1">IFERROR(__xludf.DUMMYFUNCTION("""COMPUTED_VALUE"""),"A.01.000877")</f>
        <v>A.01.000877</v>
      </c>
    </row>
    <row r="1051" spans="1:2" ht="12.5" x14ac:dyDescent="0.25">
      <c r="A1051" t="str">
        <f ca="1">IFERROR(__xludf.DUMMYFUNCTION("""COMPUTED_VALUE"""),"Fish offal")</f>
        <v>Fish offal</v>
      </c>
      <c r="B1051" t="str">
        <f ca="1">IFERROR(__xludf.DUMMYFUNCTION("""COMPUTED_VALUE"""),"A.01.000916")</f>
        <v>A.01.000916</v>
      </c>
    </row>
    <row r="1052" spans="1:2" ht="12.5" x14ac:dyDescent="0.25">
      <c r="A1052" t="str">
        <f ca="1">IFERROR(__xludf.DUMMYFUNCTION("""COMPUTED_VALUE"""),"Fish oil")</f>
        <v>Fish oil</v>
      </c>
      <c r="B1052" t="str">
        <f ca="1">IFERROR(__xludf.DUMMYFUNCTION("""COMPUTED_VALUE"""),"A.01.001358")</f>
        <v>A.01.001358</v>
      </c>
    </row>
    <row r="1053" spans="1:2" ht="12.5" x14ac:dyDescent="0.25">
      <c r="A1053" t="str">
        <f ca="1">IFERROR(__xludf.DUMMYFUNCTION("""COMPUTED_VALUE"""),"Fish oil (Concise) (Deprecated)")</f>
        <v>Fish oil (Concise) (Deprecated)</v>
      </c>
      <c r="B1053" t="str">
        <f ca="1">IFERROR(__xludf.DUMMYFUNCTION("""COMPUTED_VALUE"""),"C16_F")</f>
        <v>C16_F</v>
      </c>
    </row>
    <row r="1054" spans="1:2" ht="12.5" x14ac:dyDescent="0.25">
      <c r="A1054" t="str">
        <f ca="1">IFERROR(__xludf.DUMMYFUNCTION("""COMPUTED_VALUE"""),"Fish oil (Deprecated)")</f>
        <v>Fish oil (Deprecated)</v>
      </c>
      <c r="B1054" t="str">
        <f ca="1">IFERROR(__xludf.DUMMYFUNCTION("""COMPUTED_VALUE"""),"F10.03")</f>
        <v>F10.03</v>
      </c>
    </row>
    <row r="1055" spans="1:2" ht="12.5" x14ac:dyDescent="0.25">
      <c r="A1055" t="str">
        <f ca="1">IFERROR(__xludf.DUMMYFUNCTION("""COMPUTED_VALUE"""),"Fish oil (Feed)")</f>
        <v>Fish oil (Feed)</v>
      </c>
      <c r="B1055" t="str">
        <f ca="1">IFERROR(__xludf.DUMMYFUNCTION("""COMPUTED_VALUE"""),"G.10.4.6")</f>
        <v>G.10.4.6</v>
      </c>
    </row>
    <row r="1056" spans="1:2" ht="12.5" x14ac:dyDescent="0.25">
      <c r="A1056" t="str">
        <f ca="1">IFERROR(__xludf.DUMMYFUNCTION("""COMPUTED_VALUE"""),"Fish oil, hydrogenated")</f>
        <v>Fish oil, hydrogenated</v>
      </c>
      <c r="B1056" t="str">
        <f ca="1">IFERROR(__xludf.DUMMYFUNCTION("""COMPUTED_VALUE"""),"G.10.4.7")</f>
        <v>G.10.4.7</v>
      </c>
    </row>
    <row r="1057" spans="1:2" ht="12.5" x14ac:dyDescent="0.25">
      <c r="A1057" t="str">
        <f ca="1">IFERROR(__xludf.DUMMYFUNCTION("""COMPUTED_VALUE"""),"Fish oil, refined, hardened")</f>
        <v>Fish oil, refined, hardened</v>
      </c>
      <c r="B1057" t="str">
        <f ca="1">IFERROR(__xludf.DUMMYFUNCTION("""COMPUTED_VALUE"""),"F10.04")</f>
        <v>F10.04</v>
      </c>
    </row>
    <row r="1058" spans="1:2" ht="12.5" x14ac:dyDescent="0.25">
      <c r="A1058" t="str">
        <f ca="1">IFERROR(__xludf.DUMMYFUNCTION("""COMPUTED_VALUE"""),"Fish paste")</f>
        <v>Fish paste</v>
      </c>
      <c r="B1058" t="str">
        <f ca="1">IFERROR(__xludf.DUMMYFUNCTION("""COMPUTED_VALUE"""),"A.01.000914")</f>
        <v>A.01.000914</v>
      </c>
    </row>
    <row r="1059" spans="1:2" ht="12.5" x14ac:dyDescent="0.25">
      <c r="A1059" t="str">
        <f ca="1">IFERROR(__xludf.DUMMYFUNCTION("""COMPUTED_VALUE"""),"Fish pâté")</f>
        <v>Fish pâté</v>
      </c>
      <c r="B1059" t="str">
        <f ca="1">IFERROR(__xludf.DUMMYFUNCTION("""COMPUTED_VALUE"""),"A.01.000915")</f>
        <v>A.01.000915</v>
      </c>
    </row>
    <row r="1060" spans="1:2" ht="12.5" x14ac:dyDescent="0.25">
      <c r="A1060" t="str">
        <f ca="1">IFERROR(__xludf.DUMMYFUNCTION("""COMPUTED_VALUE"""),"Fish products")</f>
        <v>Fish products</v>
      </c>
      <c r="B1060" t="str">
        <f ca="1">IFERROR(__xludf.DUMMYFUNCTION("""COMPUTED_VALUE"""),"A.01.000910")</f>
        <v>A.01.000910</v>
      </c>
    </row>
    <row r="1061" spans="1:2" ht="12.5" x14ac:dyDescent="0.25">
      <c r="A1061" t="str">
        <f ca="1">IFERROR(__xludf.DUMMYFUNCTION("""COMPUTED_VALUE"""),"Fish protein hydrolysates containing more than 20 % fat")</f>
        <v>Fish protein hydrolysates containing more than 20 % fat</v>
      </c>
      <c r="B1061" t="str">
        <f ca="1">IFERROR(__xludf.DUMMYFUNCTION("""COMPUTED_VALUE"""),"C16_H")</f>
        <v>C16_H</v>
      </c>
    </row>
    <row r="1062" spans="1:2" ht="12.5" x14ac:dyDescent="0.25">
      <c r="A1062" t="str">
        <f ca="1">IFERROR(__xludf.DUMMYFUNCTION("""COMPUTED_VALUE"""),"Fish protein, hydrolysed")</f>
        <v>Fish protein, hydrolysed</v>
      </c>
      <c r="B1062" t="str">
        <f ca="1">IFERROR(__xludf.DUMMYFUNCTION("""COMPUTED_VALUE"""),"G.10.4.4")</f>
        <v>G.10.4.4</v>
      </c>
    </row>
    <row r="1063" spans="1:2" ht="12.5" x14ac:dyDescent="0.25">
      <c r="A1063" t="str">
        <f ca="1">IFERROR(__xludf.DUMMYFUNCTION("""COMPUTED_VALUE"""),"Fish roe")</f>
        <v>Fish roe</v>
      </c>
      <c r="B1063" t="str">
        <f ca="1">IFERROR(__xludf.DUMMYFUNCTION("""COMPUTED_VALUE"""),"A.01.000917")</f>
        <v>A.01.000917</v>
      </c>
    </row>
    <row r="1064" spans="1:2" ht="12.5" x14ac:dyDescent="0.25">
      <c r="A1064" t="str">
        <f ca="1">IFERROR(__xludf.DUMMYFUNCTION("""COMPUTED_VALUE"""),"Fish sauce")</f>
        <v>Fish sauce</v>
      </c>
      <c r="B1064" t="str">
        <f ca="1">IFERROR(__xludf.DUMMYFUNCTION("""COMPUTED_VALUE"""),"A.01.001693")</f>
        <v>A.01.001693</v>
      </c>
    </row>
    <row r="1065" spans="1:2" ht="12.5" x14ac:dyDescent="0.25">
      <c r="A1065" t="str">
        <f ca="1">IFERROR(__xludf.DUMMYFUNCTION("""COMPUTED_VALUE"""),"Fish solubles")</f>
        <v>Fish solubles</v>
      </c>
      <c r="B1065" t="str">
        <f ca="1">IFERROR(__xludf.DUMMYFUNCTION("""COMPUTED_VALUE"""),"G.10.4.3")</f>
        <v>G.10.4.3</v>
      </c>
    </row>
    <row r="1066" spans="1:2" ht="12.5" x14ac:dyDescent="0.25">
      <c r="A1066" t="str">
        <f ca="1">IFERROR(__xludf.DUMMYFUNCTION("""COMPUTED_VALUE"""),"Fish solubles, condensed")</f>
        <v>Fish solubles, condensed</v>
      </c>
      <c r="B1066" t="str">
        <f ca="1">IFERROR(__xludf.DUMMYFUNCTION("""COMPUTED_VALUE"""),"F10.02")</f>
        <v>F10.02</v>
      </c>
    </row>
    <row r="1067" spans="1:2" ht="12.5" x14ac:dyDescent="0.25">
      <c r="A1067" t="str">
        <f ca="1">IFERROR(__xludf.DUMMYFUNCTION("""COMPUTED_VALUE"""),"Fish soup")</f>
        <v>Fish soup</v>
      </c>
      <c r="B1067" t="str">
        <f ca="1">IFERROR(__xludf.DUMMYFUNCTION("""COMPUTED_VALUE"""),"A.01.001861")</f>
        <v>A.01.001861</v>
      </c>
    </row>
    <row r="1068" spans="1:2" ht="12.5" x14ac:dyDescent="0.25">
      <c r="A1068" t="str">
        <f ca="1">IFERROR(__xludf.DUMMYFUNCTION("""COMPUTED_VALUE"""),"Fish-based snacks")</f>
        <v>Fish-based snacks</v>
      </c>
      <c r="B1068" t="str">
        <f ca="1">IFERROR(__xludf.DUMMYFUNCTION("""COMPUTED_VALUE"""),"A.01.001885")</f>
        <v>A.01.001885</v>
      </c>
    </row>
    <row r="1069" spans="1:2" ht="12.5" x14ac:dyDescent="0.25">
      <c r="A1069" t="str">
        <f ca="1">IFERROR(__xludf.DUMMYFUNCTION("""COMPUTED_VALUE"""),"Fish, other aquatic animals and products derived thereof")</f>
        <v>Fish, other aquatic animals and products derived thereof</v>
      </c>
      <c r="B1069" t="str">
        <f ca="1">IFERROR(__xludf.DUMMYFUNCTION("""COMPUTED_VALUE"""),"G.10")</f>
        <v>G.10</v>
      </c>
    </row>
    <row r="1070" spans="1:2" ht="12.5" x14ac:dyDescent="0.25">
      <c r="A1070" t="str">
        <f ca="1">IFERROR(__xludf.DUMMYFUNCTION("""COMPUTED_VALUE"""),"Fish, other aquatic animals, their products and by-products with the exception of fish oil and fish protein hydrolysates containing more than 20 % fat (****)")</f>
        <v>Fish, other aquatic animals, their products and by-products with the exception of fish oil and fish protein hydrolysates containing more than 20 % fat (****)</v>
      </c>
      <c r="B1070" t="str">
        <f ca="1">IFERROR(__xludf.DUMMYFUNCTION("""COMPUTED_VALUE"""),"C16_G")</f>
        <v>C16_G</v>
      </c>
    </row>
    <row r="1071" spans="1:2" ht="12.5" x14ac:dyDescent="0.25">
      <c r="A1071" t="str">
        <f ca="1">IFERROR(__xludf.DUMMYFUNCTION("""COMPUTED_VALUE"""),"Fish, other marine animals, their products and by-products")</f>
        <v>Fish, other marine animals, their products and by-products</v>
      </c>
      <c r="B1071" t="str">
        <f ca="1">IFERROR(__xludf.DUMMYFUNCTION("""COMPUTED_VALUE"""),"F10")</f>
        <v>F10</v>
      </c>
    </row>
    <row r="1072" spans="1:2" ht="12.5" x14ac:dyDescent="0.25">
      <c r="A1072" t="str">
        <f ca="1">IFERROR(__xludf.DUMMYFUNCTION("""COMPUTED_VALUE"""),"Fishbone meal")</f>
        <v>Fishbone meal</v>
      </c>
      <c r="B1072" t="str">
        <f ca="1">IFERROR(__xludf.DUMMYFUNCTION("""COMPUTED_VALUE"""),"G.10.4.5")</f>
        <v>G.10.4.5</v>
      </c>
    </row>
    <row r="1073" spans="1:2" ht="12.5" x14ac:dyDescent="0.25">
      <c r="A1073" t="str">
        <f ca="1">IFERROR(__xludf.DUMMYFUNCTION("""COMPUTED_VALUE"""),"Fishcakes")</f>
        <v>Fishcakes</v>
      </c>
      <c r="B1073" t="str">
        <f ca="1">IFERROR(__xludf.DUMMYFUNCTION("""COMPUTED_VALUE"""),"A.01.000912")</f>
        <v>A.01.000912</v>
      </c>
    </row>
    <row r="1074" spans="1:2" ht="12.5" x14ac:dyDescent="0.25">
      <c r="A1074" t="str">
        <f ca="1">IFERROR(__xludf.DUMMYFUNCTION("""COMPUTED_VALUE"""),"Flan")</f>
        <v>Flan</v>
      </c>
      <c r="B1074" t="str">
        <f ca="1">IFERROR(__xludf.DUMMYFUNCTION("""COMPUTED_VALUE"""),"A.01.000272")</f>
        <v>A.01.000272</v>
      </c>
    </row>
    <row r="1075" spans="1:2" ht="12.5" x14ac:dyDescent="0.25">
      <c r="A1075" t="str">
        <f ca="1">IFERROR(__xludf.DUMMYFUNCTION("""COMPUTED_VALUE"""),"Flavoured milk")</f>
        <v>Flavoured milk</v>
      </c>
      <c r="B1075" t="str">
        <f ca="1">IFERROR(__xludf.DUMMYFUNCTION("""COMPUTED_VALUE"""),"A.01.000964")</f>
        <v>A.01.000964</v>
      </c>
    </row>
    <row r="1076" spans="1:2" ht="12.5" x14ac:dyDescent="0.25">
      <c r="A1076" t="str">
        <f ca="1">IFERROR(__xludf.DUMMYFUNCTION("""COMPUTED_VALUE"""),"Flavoured sugar")</f>
        <v>Flavoured sugar</v>
      </c>
      <c r="B1076" t="str">
        <f ca="1">IFERROR(__xludf.DUMMYFUNCTION("""COMPUTED_VALUE"""),"A.01.001273")</f>
        <v>A.01.001273</v>
      </c>
    </row>
    <row r="1077" spans="1:2" ht="12.5" x14ac:dyDescent="0.25">
      <c r="A1077" t="str">
        <f ca="1">IFERROR(__xludf.DUMMYFUNCTION("""COMPUTED_VALUE"""),"Flavourings or essences")</f>
        <v>Flavourings or essences</v>
      </c>
      <c r="B1077" t="str">
        <f ca="1">IFERROR(__xludf.DUMMYFUNCTION("""COMPUTED_VALUE"""),"A.01.001695")</f>
        <v>A.01.001695</v>
      </c>
    </row>
    <row r="1078" spans="1:2" ht="12.5" x14ac:dyDescent="0.25">
      <c r="A1078" t="str">
        <f ca="1">IFERROR(__xludf.DUMMYFUNCTION("""COMPUTED_VALUE"""),"Flounder (Platichthys flesus)")</f>
        <v>Flounder (Platichthys flesus)</v>
      </c>
      <c r="B1078" t="str">
        <f ca="1">IFERROR(__xludf.DUMMYFUNCTION("""COMPUTED_VALUE"""),"A.01.000896")</f>
        <v>A.01.000896</v>
      </c>
    </row>
    <row r="1079" spans="1:2" ht="12.5" x14ac:dyDescent="0.25">
      <c r="A1079" t="str">
        <f ca="1">IFERROR(__xludf.DUMMYFUNCTION("""COMPUTED_VALUE"""),"Flour mix, wheat-rye-barley-oats")</f>
        <v>Flour mix, wheat-rye-barley-oats</v>
      </c>
      <c r="B1079" t="str">
        <f ca="1">IFERROR(__xludf.DUMMYFUNCTION("""COMPUTED_VALUE"""),"A.01.000094")</f>
        <v>A.01.000094</v>
      </c>
    </row>
    <row r="1080" spans="1:2" ht="12.5" x14ac:dyDescent="0.25">
      <c r="A1080" t="str">
        <f ca="1">IFERROR(__xludf.DUMMYFUNCTION("""COMPUTED_VALUE"""),"Flower of sulphur")</f>
        <v>Flower of sulphur</v>
      </c>
      <c r="B1080" t="str">
        <f ca="1">IFERROR(__xludf.DUMMYFUNCTION("""COMPUTED_VALUE"""),"G.11.6")</f>
        <v>G.11.6</v>
      </c>
    </row>
    <row r="1081" spans="1:2" ht="12.5" x14ac:dyDescent="0.25">
      <c r="A1081" t="str">
        <f ca="1">IFERROR(__xludf.DUMMYFUNCTION("""COMPUTED_VALUE"""),"Foamed sugar products (marshmallows)")</f>
        <v>Foamed sugar products (marshmallows)</v>
      </c>
      <c r="B1081" t="str">
        <f ca="1">IFERROR(__xludf.DUMMYFUNCTION("""COMPUTED_VALUE"""),"A.01.001320")</f>
        <v>A.01.001320</v>
      </c>
    </row>
    <row r="1082" spans="1:2" ht="12.5" x14ac:dyDescent="0.25">
      <c r="A1082" t="str">
        <f ca="1">IFERROR(__xludf.DUMMYFUNCTION("""COMPUTED_VALUE"""),"Fodder meal from parboiled rice")</f>
        <v>Fodder meal from parboiled rice</v>
      </c>
      <c r="B1082" t="str">
        <f ca="1">IFERROR(__xludf.DUMMYFUNCTION("""COMPUTED_VALUE"""),"G.1.6.15")</f>
        <v>G.1.6.15</v>
      </c>
    </row>
    <row r="1083" spans="1:2" ht="12.5" x14ac:dyDescent="0.25">
      <c r="A1083" t="str">
        <f ca="1">IFERROR(__xludf.DUMMYFUNCTION("""COMPUTED_VALUE"""),"Fodder meal of parboiled rice")</f>
        <v>Fodder meal of parboiled rice</v>
      </c>
      <c r="B1083" t="str">
        <f ca="1">IFERROR(__xludf.DUMMYFUNCTION("""COMPUTED_VALUE"""),"F01.12")</f>
        <v>F01.12</v>
      </c>
    </row>
    <row r="1084" spans="1:2" ht="12.5" x14ac:dyDescent="0.25">
      <c r="A1084" t="str">
        <f ca="1">IFERROR(__xludf.DUMMYFUNCTION("""COMPUTED_VALUE"""),"Fodder oat flour")</f>
        <v>Fodder oat flour</v>
      </c>
      <c r="B1084" t="str">
        <f ca="1">IFERROR(__xludf.DUMMYFUNCTION("""COMPUTED_VALUE"""),"G.1.4.10")</f>
        <v>G.1.4.10</v>
      </c>
    </row>
    <row r="1085" spans="1:2" ht="12.5" x14ac:dyDescent="0.25">
      <c r="A1085" t="str">
        <f ca="1">IFERROR(__xludf.DUMMYFUNCTION("""COMPUTED_VALUE"""),"Follow-on formula, based on protein hydrolysates, liquid")</f>
        <v>Follow-on formula, based on protein hydrolysates, liquid</v>
      </c>
      <c r="B1085" t="str">
        <f ca="1">IFERROR(__xludf.DUMMYFUNCTION("""COMPUTED_VALUE"""),"A.01.002015")</f>
        <v>A.01.002015</v>
      </c>
    </row>
    <row r="1086" spans="1:2" ht="12.5" x14ac:dyDescent="0.25">
      <c r="A1086" t="str">
        <f ca="1">IFERROR(__xludf.DUMMYFUNCTION("""COMPUTED_VALUE"""),"Follow-on formula, based on protein hydrolysates, powder")</f>
        <v>Follow-on formula, based on protein hydrolysates, powder</v>
      </c>
      <c r="B1086" t="str">
        <f ca="1">IFERROR(__xludf.DUMMYFUNCTION("""COMPUTED_VALUE"""),"A.01.001727")</f>
        <v>A.01.001727</v>
      </c>
    </row>
    <row r="1087" spans="1:2" ht="12.5" x14ac:dyDescent="0.25">
      <c r="A1087" t="str">
        <f ca="1">IFERROR(__xludf.DUMMYFUNCTION("""COMPUTED_VALUE"""),"Follow-on formula, hypoallergenic, liquid")</f>
        <v>Follow-on formula, hypoallergenic, liquid</v>
      </c>
      <c r="B1087" t="str">
        <f ca="1">IFERROR(__xludf.DUMMYFUNCTION("""COMPUTED_VALUE"""),"A.01.002012")</f>
        <v>A.01.002012</v>
      </c>
    </row>
    <row r="1088" spans="1:2" ht="12.5" x14ac:dyDescent="0.25">
      <c r="A1088" t="str">
        <f ca="1">IFERROR(__xludf.DUMMYFUNCTION("""COMPUTED_VALUE"""),"Follow-on formula, hypoallergenic, powder")</f>
        <v>Follow-on formula, hypoallergenic, powder</v>
      </c>
      <c r="B1088" t="str">
        <f ca="1">IFERROR(__xludf.DUMMYFUNCTION("""COMPUTED_VALUE"""),"A.01.001724")</f>
        <v>A.01.001724</v>
      </c>
    </row>
    <row r="1089" spans="1:2" ht="12.5" x14ac:dyDescent="0.25">
      <c r="A1089" t="str">
        <f ca="1">IFERROR(__xludf.DUMMYFUNCTION("""COMPUTED_VALUE"""),"Follow-on formula, milk and soya-based, liquid")</f>
        <v>Follow-on formula, milk and soya-based, liquid</v>
      </c>
      <c r="B1089" t="str">
        <f ca="1">IFERROR(__xludf.DUMMYFUNCTION("""COMPUTED_VALUE"""),"A.01.002014")</f>
        <v>A.01.002014</v>
      </c>
    </row>
    <row r="1090" spans="1:2" ht="12.5" x14ac:dyDescent="0.25">
      <c r="A1090" t="str">
        <f ca="1">IFERROR(__xludf.DUMMYFUNCTION("""COMPUTED_VALUE"""),"Follow-on formula, milk and soya-based, powder")</f>
        <v>Follow-on formula, milk and soya-based, powder</v>
      </c>
      <c r="B1090" t="str">
        <f ca="1">IFERROR(__xludf.DUMMYFUNCTION("""COMPUTED_VALUE"""),"A.01.001726")</f>
        <v>A.01.001726</v>
      </c>
    </row>
    <row r="1091" spans="1:2" ht="12.5" x14ac:dyDescent="0.25">
      <c r="A1091" t="str">
        <f ca="1">IFERROR(__xludf.DUMMYFUNCTION("""COMPUTED_VALUE"""),"Follow-on formula, milk-based, liquid")</f>
        <v>Follow-on formula, milk-based, liquid</v>
      </c>
      <c r="B1091" t="str">
        <f ca="1">IFERROR(__xludf.DUMMYFUNCTION("""COMPUTED_VALUE"""),"A.01.002011")</f>
        <v>A.01.002011</v>
      </c>
    </row>
    <row r="1092" spans="1:2" ht="12.5" x14ac:dyDescent="0.25">
      <c r="A1092" t="str">
        <f ca="1">IFERROR(__xludf.DUMMYFUNCTION("""COMPUTED_VALUE"""),"Follow-on formula, milk-based, powder")</f>
        <v>Follow-on formula, milk-based, powder</v>
      </c>
      <c r="B1092" t="str">
        <f ca="1">IFERROR(__xludf.DUMMYFUNCTION("""COMPUTED_VALUE"""),"A.01.001723")</f>
        <v>A.01.001723</v>
      </c>
    </row>
    <row r="1093" spans="1:2" ht="12.5" x14ac:dyDescent="0.25">
      <c r="A1093" t="str">
        <f ca="1">IFERROR(__xludf.DUMMYFUNCTION("""COMPUTED_VALUE"""),"Follow-on formula, soya-based, liquid")</f>
        <v>Follow-on formula, soya-based, liquid</v>
      </c>
      <c r="B1093" t="str">
        <f ca="1">IFERROR(__xludf.DUMMYFUNCTION("""COMPUTED_VALUE"""),"A.01.002013")</f>
        <v>A.01.002013</v>
      </c>
    </row>
    <row r="1094" spans="1:2" ht="12.5" x14ac:dyDescent="0.25">
      <c r="A1094" t="str">
        <f ca="1">IFERROR(__xludf.DUMMYFUNCTION("""COMPUTED_VALUE"""),"Follow-on formula, soya-based, powder")</f>
        <v>Follow-on formula, soya-based, powder</v>
      </c>
      <c r="B1094" t="str">
        <f ca="1">IFERROR(__xludf.DUMMYFUNCTION("""COMPUTED_VALUE"""),"A.01.001725")</f>
        <v>A.01.001725</v>
      </c>
    </row>
    <row r="1095" spans="1:2" ht="12.5" x14ac:dyDescent="0.25">
      <c r="A1095" t="str">
        <f ca="1">IFERROR(__xludf.DUMMYFUNCTION("""COMPUTED_VALUE"""),"Follow-on formulae, liquid")</f>
        <v>Follow-on formulae, liquid</v>
      </c>
      <c r="B1095" t="str">
        <f ca="1">IFERROR(__xludf.DUMMYFUNCTION("""COMPUTED_VALUE"""),"A.01.002010")</f>
        <v>A.01.002010</v>
      </c>
    </row>
    <row r="1096" spans="1:2" ht="12.5" x14ac:dyDescent="0.25">
      <c r="A1096" t="str">
        <f ca="1">IFERROR(__xludf.DUMMYFUNCTION("""COMPUTED_VALUE"""),"Follow-on formulae, powder")</f>
        <v>Follow-on formulae, powder</v>
      </c>
      <c r="B1096" t="str">
        <f ca="1">IFERROR(__xludf.DUMMYFUNCTION("""COMPUTED_VALUE"""),"A.01.001722")</f>
        <v>A.01.001722</v>
      </c>
    </row>
    <row r="1097" spans="1:2" ht="12.5" x14ac:dyDescent="0.25">
      <c r="A1097" t="str">
        <f ca="1">IFERROR(__xludf.DUMMYFUNCTION("""COMPUTED_VALUE"""),"Food for infants and small children")</f>
        <v>Food for infants and small children</v>
      </c>
      <c r="B1097" t="str">
        <f ca="1">IFERROR(__xludf.DUMMYFUNCTION("""COMPUTED_VALUE"""),"A.01.001715")</f>
        <v>A.01.001715</v>
      </c>
    </row>
    <row r="1098" spans="1:2" ht="12.5" x14ac:dyDescent="0.25">
      <c r="A1098" t="str">
        <f ca="1">IFERROR(__xludf.DUMMYFUNCTION("""COMPUTED_VALUE"""),"Food for special dietary uses")</f>
        <v>Food for special dietary uses</v>
      </c>
      <c r="B1098" t="str">
        <f ca="1">IFERROR(__xludf.DUMMYFUNCTION("""COMPUTED_VALUE"""),"C14B")</f>
        <v>C14B</v>
      </c>
    </row>
    <row r="1099" spans="1:2" ht="12.5" x14ac:dyDescent="0.25">
      <c r="A1099" t="str">
        <f ca="1">IFERROR(__xludf.DUMMYFUNCTION("""COMPUTED_VALUE"""),"Food for sports people (labelled as such)")</f>
        <v>Food for sports people (labelled as such)</v>
      </c>
      <c r="B1099" t="str">
        <f ca="1">IFERROR(__xludf.DUMMYFUNCTION("""COMPUTED_VALUE"""),"A.01.001765")</f>
        <v>A.01.001765</v>
      </c>
    </row>
    <row r="1100" spans="1:2" ht="12.5" x14ac:dyDescent="0.25">
      <c r="A1100" t="str">
        <f ca="1">IFERROR(__xludf.DUMMYFUNCTION("""COMPUTED_VALUE"""),"Food for weight reduction")</f>
        <v>Food for weight reduction</v>
      </c>
      <c r="B1100" t="str">
        <f ca="1">IFERROR(__xludf.DUMMYFUNCTION("""COMPUTED_VALUE"""),"A.01.001749")</f>
        <v>A.01.001749</v>
      </c>
    </row>
    <row r="1101" spans="1:2" ht="12.5" x14ac:dyDescent="0.25">
      <c r="A1101" t="str">
        <f ca="1">IFERROR(__xludf.DUMMYFUNCTION("""COMPUTED_VALUE"""),"Food simulant (Commission Regulation (EU) No 10/2011)")</f>
        <v>Food simulant (Commission Regulation (EU) No 10/2011)</v>
      </c>
      <c r="B1101" t="str">
        <f ca="1">IFERROR(__xludf.DUMMYFUNCTION("""COMPUTED_VALUE"""),"A0BA7")</f>
        <v>A0BA7</v>
      </c>
    </row>
    <row r="1102" spans="1:2" ht="12.5" x14ac:dyDescent="0.25">
      <c r="A1102" t="str">
        <f ca="1">IFERROR(__xludf.DUMMYFUNCTION("""COMPUTED_VALUE"""),"FOODEX1 terms")</f>
        <v>FOODEX1 terms</v>
      </c>
      <c r="B1102" t="str">
        <f ca="1">IFERROR(__xludf.DUMMYFUNCTION("""COMPUTED_VALUE"""),"A.01.000000")</f>
        <v>A.01.000000</v>
      </c>
    </row>
    <row r="1103" spans="1:2" ht="12.5" x14ac:dyDescent="0.25">
      <c r="A1103" t="str">
        <f ca="1">IFERROR(__xludf.DUMMYFUNCTION("""COMPUTED_VALUE"""),"Forage meal; [Grass meal]; [Green meal]")</f>
        <v>Forage meal; [Grass meal]; [Green meal]</v>
      </c>
      <c r="B1103" t="str">
        <f ca="1">IFERROR(__xludf.DUMMYFUNCTION("""COMPUTED_VALUE"""),"G.6.5")</f>
        <v>G.6.5</v>
      </c>
    </row>
    <row r="1104" spans="1:2" ht="12.5" x14ac:dyDescent="0.25">
      <c r="A1104" t="str">
        <f ca="1">IFERROR(__xludf.DUMMYFUNCTION("""COMPUTED_VALUE"""),"Forages and roughage")</f>
        <v>Forages and roughage</v>
      </c>
      <c r="B1104" t="str">
        <f ca="1">IFERROR(__xludf.DUMMYFUNCTION("""COMPUTED_VALUE"""),"F06")</f>
        <v>F06</v>
      </c>
    </row>
    <row r="1105" spans="1:2" ht="12.5" x14ac:dyDescent="0.25">
      <c r="A1105" t="str">
        <f ca="1">IFERROR(__xludf.DUMMYFUNCTION("""COMPUTED_VALUE"""),"Forages and roughage, and products derived thereof")</f>
        <v>Forages and roughage, and products derived thereof</v>
      </c>
      <c r="B1105" t="str">
        <f ca="1">IFERROR(__xludf.DUMMYFUNCTION("""COMPUTED_VALUE"""),"G.6")</f>
        <v>G.6</v>
      </c>
    </row>
    <row r="1106" spans="1:2" ht="12.5" x14ac:dyDescent="0.25">
      <c r="A1106" t="str">
        <f ca="1">IFERROR(__xludf.DUMMYFUNCTION("""COMPUTED_VALUE"""),"Formulas for metabolic disorders")</f>
        <v>Formulas for metabolic disorders</v>
      </c>
      <c r="B1106" t="str">
        <f ca="1">IFERROR(__xludf.DUMMYFUNCTION("""COMPUTED_VALUE"""),"A.01.001787")</f>
        <v>A.01.001787</v>
      </c>
    </row>
    <row r="1107" spans="1:2" ht="12.5" x14ac:dyDescent="0.25">
      <c r="A1107" t="str">
        <f ca="1">IFERROR(__xludf.DUMMYFUNCTION("""COMPUTED_VALUE"""),"Fortified and liqueur wines (e.g. Vermouth, Sherry, Madeira)")</f>
        <v>Fortified and liqueur wines (e.g. Vermouth, Sherry, Madeira)</v>
      </c>
      <c r="B1107" t="str">
        <f ca="1">IFERROR(__xludf.DUMMYFUNCTION("""COMPUTED_VALUE"""),"A.01.001546")</f>
        <v>A.01.001546</v>
      </c>
    </row>
    <row r="1108" spans="1:2" ht="12.5" x14ac:dyDescent="0.25">
      <c r="A1108" t="str">
        <f ca="1">IFERROR(__xludf.DUMMYFUNCTION("""COMPUTED_VALUE"""),"Frankfurters, sausage")</f>
        <v>Frankfurters, sausage</v>
      </c>
      <c r="B1108" t="str">
        <f ca="1">IFERROR(__xludf.DUMMYFUNCTION("""COMPUTED_VALUE"""),"A.01.000831")</f>
        <v>A.01.000831</v>
      </c>
    </row>
    <row r="1109" spans="1:2" ht="12.5" x14ac:dyDescent="0.25">
      <c r="A1109" t="str">
        <f ca="1">IFERROR(__xludf.DUMMYFUNCTION("""COMPUTED_VALUE"""),"French fries")</f>
        <v>French fries</v>
      </c>
      <c r="B1109" t="str">
        <f ca="1">IFERROR(__xludf.DUMMYFUNCTION("""COMPUTED_VALUE"""),"A.01.000471")</f>
        <v>A.01.000471</v>
      </c>
    </row>
    <row r="1110" spans="1:2" ht="12.5" x14ac:dyDescent="0.25">
      <c r="A1110" t="str">
        <f ca="1">IFERROR(__xludf.DUMMYFUNCTION("""COMPUTED_VALUE"""),"Fresh and lightly cooked sausage")</f>
        <v>Fresh and lightly cooked sausage</v>
      </c>
      <c r="B1110" t="str">
        <f ca="1">IFERROR(__xludf.DUMMYFUNCTION("""COMPUTED_VALUE"""),"A.01.000812")</f>
        <v>A.01.000812</v>
      </c>
    </row>
    <row r="1111" spans="1:2" ht="12.5" x14ac:dyDescent="0.25">
      <c r="A1111" t="str">
        <f ca="1">IFERROR(__xludf.DUMMYFUNCTION("""COMPUTED_VALUE"""),"Fresh herbs")</f>
        <v>Fresh herbs</v>
      </c>
      <c r="B1111" t="str">
        <f ca="1">IFERROR(__xludf.DUMMYFUNCTION("""COMPUTED_VALUE"""),"C04B_3")</f>
        <v>C04B_3</v>
      </c>
    </row>
    <row r="1112" spans="1:2" ht="12.5" x14ac:dyDescent="0.25">
      <c r="A1112" t="str">
        <f ca="1">IFERROR(__xludf.DUMMYFUNCTION("""COMPUTED_VALUE"""),"Fried eggs")</f>
        <v>Fried eggs</v>
      </c>
      <c r="B1112" t="str">
        <f ca="1">IFERROR(__xludf.DUMMYFUNCTION("""COMPUTED_VALUE"""),"A.01.001853")</f>
        <v>A.01.001853</v>
      </c>
    </row>
    <row r="1113" spans="1:2" ht="12.5" x14ac:dyDescent="0.25">
      <c r="A1113" t="str">
        <f ca="1">IFERROR(__xludf.DUMMYFUNCTION("""COMPUTED_VALUE"""),"Frizzes")</f>
        <v>Frizzes</v>
      </c>
      <c r="B1113" t="str">
        <f ca="1">IFERROR(__xludf.DUMMYFUNCTION("""COMPUTED_VALUE"""),"A.01.000855")</f>
        <v>A.01.000855</v>
      </c>
    </row>
    <row r="1114" spans="1:2" ht="12.5" x14ac:dyDescent="0.25">
      <c r="A1114" t="str">
        <f ca="1">IFERROR(__xludf.DUMMYFUNCTION("""COMPUTED_VALUE"""),"Frog legs (Rana spp.)")</f>
        <v>Frog legs (Rana spp.)</v>
      </c>
      <c r="B1114" t="str">
        <f ca="1">IFERROR(__xludf.DUMMYFUNCTION("""COMPUTED_VALUE"""),"A.01.000943")</f>
        <v>A.01.000943</v>
      </c>
    </row>
    <row r="1115" spans="1:2" ht="12.5" x14ac:dyDescent="0.25">
      <c r="A1115" t="str">
        <f ca="1">IFERROR(__xludf.DUMMYFUNCTION("""COMPUTED_VALUE"""),"Fructo-oligosaccharides")</f>
        <v>Fructo-oligosaccharides</v>
      </c>
      <c r="B1115" t="str">
        <f ca="1">IFERROR(__xludf.DUMMYFUNCTION("""COMPUTED_VALUE"""),"G.4.1.14")</f>
        <v>G.4.1.14</v>
      </c>
    </row>
    <row r="1116" spans="1:2" ht="12.5" x14ac:dyDescent="0.25">
      <c r="A1116" t="str">
        <f ca="1">IFERROR(__xludf.DUMMYFUNCTION("""COMPUTED_VALUE"""),"Fructose")</f>
        <v>Fructose</v>
      </c>
      <c r="B1116" t="str">
        <f ca="1">IFERROR(__xludf.DUMMYFUNCTION("""COMPUTED_VALUE"""),"A.01.001275")</f>
        <v>A.01.001275</v>
      </c>
    </row>
    <row r="1117" spans="1:2" ht="12.5" x14ac:dyDescent="0.25">
      <c r="A1117" t="str">
        <f ca="1">IFERROR(__xludf.DUMMYFUNCTION("""COMPUTED_VALUE"""),"Fructose (Feed)")</f>
        <v>Fructose (Feed)</v>
      </c>
      <c r="B1117" t="str">
        <f ca="1">IFERROR(__xludf.DUMMYFUNCTION("""COMPUTED_VALUE"""),"G.13.2.3")</f>
        <v>G.13.2.3</v>
      </c>
    </row>
    <row r="1118" spans="1:2" ht="12.5" x14ac:dyDescent="0.25">
      <c r="A1118" t="str">
        <f ca="1">IFERROR(__xludf.DUMMYFUNCTION("""COMPUTED_VALUE"""),"Fruit and fruit products")</f>
        <v>Fruit and fruit products</v>
      </c>
      <c r="B1118" t="str">
        <f ca="1">IFERROR(__xludf.DUMMYFUNCTION("""COMPUTED_VALUE"""),"A.01.000544")</f>
        <v>A.01.000544</v>
      </c>
    </row>
    <row r="1119" spans="1:2" ht="12.5" x14ac:dyDescent="0.25">
      <c r="A1119" t="str">
        <f ca="1">IFERROR(__xludf.DUMMYFUNCTION("""COMPUTED_VALUE"""),"Fruit and vegetable juices")</f>
        <v>Fruit and vegetable juices</v>
      </c>
      <c r="B1119" t="str">
        <f ca="1">IFERROR(__xludf.DUMMYFUNCTION("""COMPUTED_VALUE"""),"C07A")</f>
        <v>C07A</v>
      </c>
    </row>
    <row r="1120" spans="1:2" ht="12.5" x14ac:dyDescent="0.25">
      <c r="A1120" t="str">
        <f ca="1">IFERROR(__xludf.DUMMYFUNCTION("""COMPUTED_VALUE"""),"Fruit and vegetable juices")</f>
        <v>Fruit and vegetable juices</v>
      </c>
      <c r="B1120" t="str">
        <f ca="1">IFERROR(__xludf.DUMMYFUNCTION("""COMPUTED_VALUE"""),"A.01.001394")</f>
        <v>A.01.001394</v>
      </c>
    </row>
    <row r="1121" spans="1:2" ht="12.5" x14ac:dyDescent="0.25">
      <c r="A1121" t="str">
        <f ca="1">IFERROR(__xludf.DUMMYFUNCTION("""COMPUTED_VALUE"""),"Fruit and vegetable juices, soft drinks and bottled water")</f>
        <v>Fruit and vegetable juices, soft drinks and bottled water</v>
      </c>
      <c r="B1121" t="str">
        <f ca="1">IFERROR(__xludf.DUMMYFUNCTION("""COMPUTED_VALUE"""),"C07")</f>
        <v>C07</v>
      </c>
    </row>
    <row r="1122" spans="1:2" ht="12.5" x14ac:dyDescent="0.25">
      <c r="A1122" t="str">
        <f ca="1">IFERROR(__xludf.DUMMYFUNCTION("""COMPUTED_VALUE"""),"Fruit cake")</f>
        <v>Fruit cake</v>
      </c>
      <c r="B1122" t="str">
        <f ca="1">IFERROR(__xludf.DUMMYFUNCTION("""COMPUTED_VALUE"""),"A.01.000273")</f>
        <v>A.01.000273</v>
      </c>
    </row>
    <row r="1123" spans="1:2" ht="12.5" x14ac:dyDescent="0.25">
      <c r="A1123" t="str">
        <f ca="1">IFERROR(__xludf.DUMMYFUNCTION("""COMPUTED_VALUE"""),"Fruit chips")</f>
        <v>Fruit chips</v>
      </c>
      <c r="B1123" t="str">
        <f ca="1">IFERROR(__xludf.DUMMYFUNCTION("""COMPUTED_VALUE"""),"A.01.000685")</f>
        <v>A.01.000685</v>
      </c>
    </row>
    <row r="1124" spans="1:2" ht="12.5" x14ac:dyDescent="0.25">
      <c r="A1124" t="str">
        <f ca="1">IFERROR(__xludf.DUMMYFUNCTION("""COMPUTED_VALUE"""),"Fruit cocktail")</f>
        <v>Fruit cocktail</v>
      </c>
      <c r="B1124" t="str">
        <f ca="1">IFERROR(__xludf.DUMMYFUNCTION("""COMPUTED_VALUE"""),"A.01.000687")</f>
        <v>A.01.000687</v>
      </c>
    </row>
    <row r="1125" spans="1:2" ht="12.5" x14ac:dyDescent="0.25">
      <c r="A1125" t="str">
        <f ca="1">IFERROR(__xludf.DUMMYFUNCTION("""COMPUTED_VALUE"""),"Fruit compote")</f>
        <v>Fruit compote</v>
      </c>
      <c r="B1125" t="str">
        <f ca="1">IFERROR(__xludf.DUMMYFUNCTION("""COMPUTED_VALUE"""),"A.01.000701")</f>
        <v>A.01.000701</v>
      </c>
    </row>
    <row r="1126" spans="1:2" ht="12.5" x14ac:dyDescent="0.25">
      <c r="A1126" t="str">
        <f ca="1">IFERROR(__xludf.DUMMYFUNCTION("""COMPUTED_VALUE"""),"Fruit compote, Apple (Malus domesticus)")</f>
        <v>Fruit compote, Apple (Malus domesticus)</v>
      </c>
      <c r="B1126" t="str">
        <f ca="1">IFERROR(__xludf.DUMMYFUNCTION("""COMPUTED_VALUE"""),"A.01.000703")</f>
        <v>A.01.000703</v>
      </c>
    </row>
    <row r="1127" spans="1:2" ht="12.5" x14ac:dyDescent="0.25">
      <c r="A1127" t="str">
        <f ca="1">IFERROR(__xludf.DUMMYFUNCTION("""COMPUTED_VALUE"""),"Fruit compote, Apricot (Prunus armeniaca)")</f>
        <v>Fruit compote, Apricot (Prunus armeniaca)</v>
      </c>
      <c r="B1127" t="str">
        <f ca="1">IFERROR(__xludf.DUMMYFUNCTION("""COMPUTED_VALUE"""),"A.01.000705")</f>
        <v>A.01.000705</v>
      </c>
    </row>
    <row r="1128" spans="1:2" ht="12.5" x14ac:dyDescent="0.25">
      <c r="A1128" t="str">
        <f ca="1">IFERROR(__xludf.DUMMYFUNCTION("""COMPUTED_VALUE"""),"Fruit compote, Cranberry (Vaccinium macrocarpon)")</f>
        <v>Fruit compote, Cranberry (Vaccinium macrocarpon)</v>
      </c>
      <c r="B1128" t="str">
        <f ca="1">IFERROR(__xludf.DUMMYFUNCTION("""COMPUTED_VALUE"""),"A.01.000711")</f>
        <v>A.01.000711</v>
      </c>
    </row>
    <row r="1129" spans="1:2" ht="12.5" x14ac:dyDescent="0.25">
      <c r="A1129" t="str">
        <f ca="1">IFERROR(__xludf.DUMMYFUNCTION("""COMPUTED_VALUE"""),"Fruit compote, Mandarin (Citrus reticulata)")</f>
        <v>Fruit compote, Mandarin (Citrus reticulata)</v>
      </c>
      <c r="B1129" t="str">
        <f ca="1">IFERROR(__xludf.DUMMYFUNCTION("""COMPUTED_VALUE"""),"A.01.000702")</f>
        <v>A.01.000702</v>
      </c>
    </row>
    <row r="1130" spans="1:2" ht="12.5" x14ac:dyDescent="0.25">
      <c r="A1130" t="str">
        <f ca="1">IFERROR(__xludf.DUMMYFUNCTION("""COMPUTED_VALUE"""),"Fruit compote, Mixed fruit")</f>
        <v>Fruit compote, Mixed fruit</v>
      </c>
      <c r="B1130" t="str">
        <f ca="1">IFERROR(__xludf.DUMMYFUNCTION("""COMPUTED_VALUE"""),"A.01.000713")</f>
        <v>A.01.000713</v>
      </c>
    </row>
    <row r="1131" spans="1:2" ht="12.5" x14ac:dyDescent="0.25">
      <c r="A1131" t="str">
        <f ca="1">IFERROR(__xludf.DUMMYFUNCTION("""COMPUTED_VALUE"""),"Fruit compote, Peach (Prunus persica)")</f>
        <v>Fruit compote, Peach (Prunus persica)</v>
      </c>
      <c r="B1131" t="str">
        <f ca="1">IFERROR(__xludf.DUMMYFUNCTION("""COMPUTED_VALUE"""),"A.01.000709")</f>
        <v>A.01.000709</v>
      </c>
    </row>
    <row r="1132" spans="1:2" ht="12.5" x14ac:dyDescent="0.25">
      <c r="A1132" t="str">
        <f ca="1">IFERROR(__xludf.DUMMYFUNCTION("""COMPUTED_VALUE"""),"Fruit compote, Pear (Pyrus communis)")</f>
        <v>Fruit compote, Pear (Pyrus communis)</v>
      </c>
      <c r="B1132" t="str">
        <f ca="1">IFERROR(__xludf.DUMMYFUNCTION("""COMPUTED_VALUE"""),"A.01.000704")</f>
        <v>A.01.000704</v>
      </c>
    </row>
    <row r="1133" spans="1:2" ht="12.5" x14ac:dyDescent="0.25">
      <c r="A1133" t="str">
        <f ca="1">IFERROR(__xludf.DUMMYFUNCTION("""COMPUTED_VALUE"""),"Fruit compote, Pineapple (Ananas comosus)")</f>
        <v>Fruit compote, Pineapple (Ananas comosus)</v>
      </c>
      <c r="B1133" t="str">
        <f ca="1">IFERROR(__xludf.DUMMYFUNCTION("""COMPUTED_VALUE"""),"A.01.000712")</f>
        <v>A.01.000712</v>
      </c>
    </row>
    <row r="1134" spans="1:2" ht="12.5" x14ac:dyDescent="0.25">
      <c r="A1134" t="str">
        <f ca="1">IFERROR(__xludf.DUMMYFUNCTION("""COMPUTED_VALUE"""),"Fruit compote, Plum (Prunus domestica)")</f>
        <v>Fruit compote, Plum (Prunus domestica)</v>
      </c>
      <c r="B1134" t="str">
        <f ca="1">IFERROR(__xludf.DUMMYFUNCTION("""COMPUTED_VALUE"""),"A.01.000706")</f>
        <v>A.01.000706</v>
      </c>
    </row>
    <row r="1135" spans="1:2" ht="12.5" x14ac:dyDescent="0.25">
      <c r="A1135" t="str">
        <f ca="1">IFERROR(__xludf.DUMMYFUNCTION("""COMPUTED_VALUE"""),"Fruit compote, Sour cherry (Prunus cerasus)")</f>
        <v>Fruit compote, Sour cherry (Prunus cerasus)</v>
      </c>
      <c r="B1135" t="str">
        <f ca="1">IFERROR(__xludf.DUMMYFUNCTION("""COMPUTED_VALUE"""),"A.01.000708")</f>
        <v>A.01.000708</v>
      </c>
    </row>
    <row r="1136" spans="1:2" ht="12.5" x14ac:dyDescent="0.25">
      <c r="A1136" t="str">
        <f ca="1">IFERROR(__xludf.DUMMYFUNCTION("""COMPUTED_VALUE"""),"Fruit compote, Sweet cherry (Prunus avium)")</f>
        <v>Fruit compote, Sweet cherry (Prunus avium)</v>
      </c>
      <c r="B1136" t="str">
        <f ca="1">IFERROR(__xludf.DUMMYFUNCTION("""COMPUTED_VALUE"""),"A.01.000707")</f>
        <v>A.01.000707</v>
      </c>
    </row>
    <row r="1137" spans="1:2" ht="12.5" x14ac:dyDescent="0.25">
      <c r="A1137" t="str">
        <f ca="1">IFERROR(__xludf.DUMMYFUNCTION("""COMPUTED_VALUE"""),"Fruit compote, Table grape (Vitis euvitis)")</f>
        <v>Fruit compote, Table grape (Vitis euvitis)</v>
      </c>
      <c r="B1137" t="str">
        <f ca="1">IFERROR(__xludf.DUMMYFUNCTION("""COMPUTED_VALUE"""),"A.01.000710")</f>
        <v>A.01.000710</v>
      </c>
    </row>
    <row r="1138" spans="1:2" ht="12.5" x14ac:dyDescent="0.25">
      <c r="A1138" t="str">
        <f ca="1">IFERROR(__xludf.DUMMYFUNCTION("""COMPUTED_VALUE"""),"Fruit fillings for pastries")</f>
        <v>Fruit fillings for pastries</v>
      </c>
      <c r="B1138" t="str">
        <f ca="1">IFERROR(__xludf.DUMMYFUNCTION("""COMPUTED_VALUE"""),"A.01.000725")</f>
        <v>A.01.000725</v>
      </c>
    </row>
    <row r="1139" spans="1:2" ht="12.5" x14ac:dyDescent="0.25">
      <c r="A1139" t="str">
        <f ca="1">IFERROR(__xludf.DUMMYFUNCTION("""COMPUTED_VALUE"""),"Fruit in vinegar, oil, or brine")</f>
        <v>Fruit in vinegar, oil, or brine</v>
      </c>
      <c r="B1139" t="str">
        <f ca="1">IFERROR(__xludf.DUMMYFUNCTION("""COMPUTED_VALUE"""),"A.01.000723")</f>
        <v>A.01.000723</v>
      </c>
    </row>
    <row r="1140" spans="1:2" ht="12.5" x14ac:dyDescent="0.25">
      <c r="A1140" t="str">
        <f ca="1">IFERROR(__xludf.DUMMYFUNCTION("""COMPUTED_VALUE"""),"Fruit juice")</f>
        <v>Fruit juice</v>
      </c>
      <c r="B1140" t="str">
        <f ca="1">IFERROR(__xludf.DUMMYFUNCTION("""COMPUTED_VALUE"""),"A.01.001395")</f>
        <v>A.01.001395</v>
      </c>
    </row>
    <row r="1141" spans="1:2" ht="12.5" x14ac:dyDescent="0.25">
      <c r="A1141" t="str">
        <f ca="1">IFERROR(__xludf.DUMMYFUNCTION("""COMPUTED_VALUE"""),"Fruit juice and herbal tea for infants and young children")</f>
        <v>Fruit juice and herbal tea for infants and young children</v>
      </c>
      <c r="B1141" t="str">
        <f ca="1">IFERROR(__xludf.DUMMYFUNCTION("""COMPUTED_VALUE"""),"A.01.001743")</f>
        <v>A.01.001743</v>
      </c>
    </row>
    <row r="1142" spans="1:2" ht="12.5" x14ac:dyDescent="0.25">
      <c r="A1142" t="str">
        <f ca="1">IFERROR(__xludf.DUMMYFUNCTION("""COMPUTED_VALUE"""),"Fruit juice for infants and young children")</f>
        <v>Fruit juice for infants and young children</v>
      </c>
      <c r="B1142" t="str">
        <f ca="1">IFERROR(__xludf.DUMMYFUNCTION("""COMPUTED_VALUE"""),"A.01.001744")</f>
        <v>A.01.001744</v>
      </c>
    </row>
    <row r="1143" spans="1:2" ht="12.5" x14ac:dyDescent="0.25">
      <c r="A1143" t="str">
        <f ca="1">IFERROR(__xludf.DUMMYFUNCTION("""COMPUTED_VALUE"""),"Fruit juices")</f>
        <v>Fruit juices</v>
      </c>
      <c r="B1143" t="str">
        <f ca="1">IFERROR(__xludf.DUMMYFUNCTION("""COMPUTED_VALUE"""),"C07A_1")</f>
        <v>C07A_1</v>
      </c>
    </row>
    <row r="1144" spans="1:2" ht="12.5" x14ac:dyDescent="0.25">
      <c r="A1144" t="str">
        <f ca="1">IFERROR(__xludf.DUMMYFUNCTION("""COMPUTED_VALUE"""),"Fruit kernels")</f>
        <v>Fruit kernels</v>
      </c>
      <c r="B1144" t="str">
        <f ca="1">IFERROR(__xludf.DUMMYFUNCTION("""COMPUTED_VALUE"""),"G.5.22")</f>
        <v>G.5.22</v>
      </c>
    </row>
    <row r="1145" spans="1:2" ht="12.5" x14ac:dyDescent="0.25">
      <c r="A1145" t="str">
        <f ca="1">IFERROR(__xludf.DUMMYFUNCTION("""COMPUTED_VALUE"""),"Fruit liqueur")</f>
        <v>Fruit liqueur</v>
      </c>
      <c r="B1145" t="str">
        <f ca="1">IFERROR(__xludf.DUMMYFUNCTION("""COMPUTED_VALUE"""),"A.01.001553")</f>
        <v>A.01.001553</v>
      </c>
    </row>
    <row r="1146" spans="1:2" ht="12.5" x14ac:dyDescent="0.25">
      <c r="A1146" t="str">
        <f ca="1">IFERROR(__xludf.DUMMYFUNCTION("""COMPUTED_VALUE"""),"Fruit milkshake")</f>
        <v>Fruit milkshake</v>
      </c>
      <c r="B1146" t="str">
        <f ca="1">IFERROR(__xludf.DUMMYFUNCTION("""COMPUTED_VALUE"""),"A.01.000970")</f>
        <v>A.01.000970</v>
      </c>
    </row>
    <row r="1147" spans="1:2" ht="12.5" x14ac:dyDescent="0.25">
      <c r="A1147" t="str">
        <f ca="1">IFERROR(__xludf.DUMMYFUNCTION("""COMPUTED_VALUE"""),"Fruit nectar")</f>
        <v>Fruit nectar</v>
      </c>
      <c r="B1147" t="str">
        <f ca="1">IFERROR(__xludf.DUMMYFUNCTION("""COMPUTED_VALUE"""),"A.01.001434")</f>
        <v>A.01.001434</v>
      </c>
    </row>
    <row r="1148" spans="1:2" ht="12.5" x14ac:dyDescent="0.25">
      <c r="A1148" t="str">
        <f ca="1">IFERROR(__xludf.DUMMYFUNCTION("""COMPUTED_VALUE"""),"Fruit nectar for infants and young children")</f>
        <v>Fruit nectar for infants and young children</v>
      </c>
      <c r="B1148" t="str">
        <f ca="1">IFERROR(__xludf.DUMMYFUNCTION("""COMPUTED_VALUE"""),"A.01.001745")</f>
        <v>A.01.001745</v>
      </c>
    </row>
    <row r="1149" spans="1:2" ht="12.5" x14ac:dyDescent="0.25">
      <c r="A1149" t="str">
        <f ca="1">IFERROR(__xludf.DUMMYFUNCTION("""COMPUTED_VALUE"""),"Fruit pie")</f>
        <v>Fruit pie</v>
      </c>
      <c r="B1149" t="str">
        <f ca="1">IFERROR(__xludf.DUMMYFUNCTION("""COMPUTED_VALUE"""),"A.01.000274")</f>
        <v>A.01.000274</v>
      </c>
    </row>
    <row r="1150" spans="1:2" ht="12.5" x14ac:dyDescent="0.25">
      <c r="A1150" t="str">
        <f ca="1">IFERROR(__xludf.DUMMYFUNCTION("""COMPUTED_VALUE"""),"Fruit pulp")</f>
        <v>Fruit pulp</v>
      </c>
      <c r="B1150" t="str">
        <f ca="1">IFERROR(__xludf.DUMMYFUNCTION("""COMPUTED_VALUE"""),"F05.03")</f>
        <v>F05.03</v>
      </c>
    </row>
    <row r="1151" spans="1:2" ht="12.5" x14ac:dyDescent="0.25">
      <c r="A1151" t="str">
        <f ca="1">IFERROR(__xludf.DUMMYFUNCTION("""COMPUTED_VALUE"""),"Fruit pulp")</f>
        <v>Fruit pulp</v>
      </c>
      <c r="B1151" t="str">
        <f ca="1">IFERROR(__xludf.DUMMYFUNCTION("""COMPUTED_VALUE"""),"G.5.22.2")</f>
        <v>G.5.22.2</v>
      </c>
    </row>
    <row r="1152" spans="1:2" ht="12.5" x14ac:dyDescent="0.25">
      <c r="A1152" t="str">
        <f ca="1">IFERROR(__xludf.DUMMYFUNCTION("""COMPUTED_VALUE"""),"Fruit pulp, dried")</f>
        <v>Fruit pulp, dried</v>
      </c>
      <c r="B1152" t="str">
        <f ca="1">IFERROR(__xludf.DUMMYFUNCTION("""COMPUTED_VALUE"""),"G.5.22.3")</f>
        <v>G.5.22.3</v>
      </c>
    </row>
    <row r="1153" spans="1:2" ht="12.5" x14ac:dyDescent="0.25">
      <c r="A1153" t="str">
        <f ca="1">IFERROR(__xludf.DUMMYFUNCTION("""COMPUTED_VALUE"""),"Fruit purée for children")</f>
        <v>Fruit purée for children</v>
      </c>
      <c r="B1153" t="str">
        <f ca="1">IFERROR(__xludf.DUMMYFUNCTION("""COMPUTED_VALUE"""),"A.01.001738")</f>
        <v>A.01.001738</v>
      </c>
    </row>
    <row r="1154" spans="1:2" ht="12.5" x14ac:dyDescent="0.25">
      <c r="A1154" t="str">
        <f ca="1">IFERROR(__xludf.DUMMYFUNCTION("""COMPUTED_VALUE"""),"Fruit salad")</f>
        <v>Fruit salad</v>
      </c>
      <c r="B1154" t="str">
        <f ca="1">IFERROR(__xludf.DUMMYFUNCTION("""COMPUTED_VALUE"""),"A.01.000684")</f>
        <v>A.01.000684</v>
      </c>
    </row>
    <row r="1155" spans="1:2" ht="12.5" x14ac:dyDescent="0.25">
      <c r="A1155" t="str">
        <f ca="1">IFERROR(__xludf.DUMMYFUNCTION("""COMPUTED_VALUE"""),"Fruit sauce")</f>
        <v>Fruit sauce</v>
      </c>
      <c r="B1155" t="str">
        <f ca="1">IFERROR(__xludf.DUMMYFUNCTION("""COMPUTED_VALUE"""),"A.01.001329")</f>
        <v>A.01.001329</v>
      </c>
    </row>
    <row r="1156" spans="1:2" ht="12.5" x14ac:dyDescent="0.25">
      <c r="A1156" t="str">
        <f ca="1">IFERROR(__xludf.DUMMYFUNCTION("""COMPUTED_VALUE"""),"Fruit soft drink, Currant  red")</f>
        <v>Fruit soft drink, Currant  red</v>
      </c>
      <c r="B1156" t="str">
        <f ca="1">IFERROR(__xludf.DUMMYFUNCTION("""COMPUTED_VALUE"""),"A.01.001473")</f>
        <v>A.01.001473</v>
      </c>
    </row>
    <row r="1157" spans="1:2" ht="12.5" x14ac:dyDescent="0.25">
      <c r="A1157" t="str">
        <f ca="1">IFERROR(__xludf.DUMMYFUNCTION("""COMPUTED_VALUE"""),"Fruit soft drink, Currant  white")</f>
        <v>Fruit soft drink, Currant  white</v>
      </c>
      <c r="B1157" t="str">
        <f ca="1">IFERROR(__xludf.DUMMYFUNCTION("""COMPUTED_VALUE"""),"A.01.001474")</f>
        <v>A.01.001474</v>
      </c>
    </row>
    <row r="1158" spans="1:2" ht="12.5" x14ac:dyDescent="0.25">
      <c r="A1158" t="str">
        <f ca="1">IFERROR(__xludf.DUMMYFUNCTION("""COMPUTED_VALUE"""),"Fruit soft drink, Gooseberry")</f>
        <v>Fruit soft drink, Gooseberry</v>
      </c>
      <c r="B1158" t="str">
        <f ca="1">IFERROR(__xludf.DUMMYFUNCTION("""COMPUTED_VALUE"""),"A.01.001475")</f>
        <v>A.01.001475</v>
      </c>
    </row>
    <row r="1159" spans="1:2" ht="12.5" x14ac:dyDescent="0.25">
      <c r="A1159" t="str">
        <f ca="1">IFERROR(__xludf.DUMMYFUNCTION("""COMPUTED_VALUE"""),"Fruit soft drink, Grape red")</f>
        <v>Fruit soft drink, Grape red</v>
      </c>
      <c r="B1159" t="str">
        <f ca="1">IFERROR(__xludf.DUMMYFUNCTION("""COMPUTED_VALUE"""),"A.01.001476")</f>
        <v>A.01.001476</v>
      </c>
    </row>
    <row r="1160" spans="1:2" ht="12.5" x14ac:dyDescent="0.25">
      <c r="A1160" t="str">
        <f ca="1">IFERROR(__xludf.DUMMYFUNCTION("""COMPUTED_VALUE"""),"Fruit soft drink, Grape white")</f>
        <v>Fruit soft drink, Grape white</v>
      </c>
      <c r="B1160" t="str">
        <f ca="1">IFERROR(__xludf.DUMMYFUNCTION("""COMPUTED_VALUE"""),"A.01.001477")</f>
        <v>A.01.001477</v>
      </c>
    </row>
    <row r="1161" spans="1:2" ht="12.5" x14ac:dyDescent="0.25">
      <c r="A1161" t="str">
        <f ca="1">IFERROR(__xludf.DUMMYFUNCTION("""COMPUTED_VALUE"""),"Fruit soft drink, Grapefruit")</f>
        <v>Fruit soft drink, Grapefruit</v>
      </c>
      <c r="B1161" t="str">
        <f ca="1">IFERROR(__xludf.DUMMYFUNCTION("""COMPUTED_VALUE"""),"A.01.001478")</f>
        <v>A.01.001478</v>
      </c>
    </row>
    <row r="1162" spans="1:2" ht="12.5" x14ac:dyDescent="0.25">
      <c r="A1162" t="str">
        <f ca="1">IFERROR(__xludf.DUMMYFUNCTION("""COMPUTED_VALUE"""),"Fruit soft drink, Mango")</f>
        <v>Fruit soft drink, Mango</v>
      </c>
      <c r="B1162" t="str">
        <f ca="1">IFERROR(__xludf.DUMMYFUNCTION("""COMPUTED_VALUE"""),"A.01.001479")</f>
        <v>A.01.001479</v>
      </c>
    </row>
    <row r="1163" spans="1:2" ht="12.5" x14ac:dyDescent="0.25">
      <c r="A1163" t="str">
        <f ca="1">IFERROR(__xludf.DUMMYFUNCTION("""COMPUTED_VALUE"""),"Fruit soft drink, mixed fruit")</f>
        <v>Fruit soft drink, mixed fruit</v>
      </c>
      <c r="B1163" t="str">
        <f ca="1">IFERROR(__xludf.DUMMYFUNCTION("""COMPUTED_VALUE"""),"A.01.001492")</f>
        <v>A.01.001492</v>
      </c>
    </row>
    <row r="1164" spans="1:2" ht="12.5" x14ac:dyDescent="0.25">
      <c r="A1164" t="str">
        <f ca="1">IFERROR(__xludf.DUMMYFUNCTION("""COMPUTED_VALUE"""),"Fruit soft drink, mixed fruit, with sweetener")</f>
        <v>Fruit soft drink, mixed fruit, with sweetener</v>
      </c>
      <c r="B1164" t="str">
        <f ca="1">IFERROR(__xludf.DUMMYFUNCTION("""COMPUTED_VALUE"""),"A.01.001493")</f>
        <v>A.01.001493</v>
      </c>
    </row>
    <row r="1165" spans="1:2" ht="12.5" x14ac:dyDescent="0.25">
      <c r="A1165" t="str">
        <f ca="1">IFERROR(__xludf.DUMMYFUNCTION("""COMPUTED_VALUE"""),"Fruit soft drink, Mulberry")</f>
        <v>Fruit soft drink, Mulberry</v>
      </c>
      <c r="B1165" t="str">
        <f ca="1">IFERROR(__xludf.DUMMYFUNCTION("""COMPUTED_VALUE"""),"A.01.001480")</f>
        <v>A.01.001480</v>
      </c>
    </row>
    <row r="1166" spans="1:2" ht="12.5" x14ac:dyDescent="0.25">
      <c r="A1166" t="str">
        <f ca="1">IFERROR(__xludf.DUMMYFUNCTION("""COMPUTED_VALUE"""),"Fruit soft drink, multi-vitamin beverage prepared from concentrate ready-to-drink")</f>
        <v>Fruit soft drink, multi-vitamin beverage prepared from concentrate ready-to-drink</v>
      </c>
      <c r="B1166" t="str">
        <f ca="1">IFERROR(__xludf.DUMMYFUNCTION("""COMPUTED_VALUE"""),"A.01.001491")</f>
        <v>A.01.001491</v>
      </c>
    </row>
    <row r="1167" spans="1:2" ht="12.5" x14ac:dyDescent="0.25">
      <c r="A1167" t="str">
        <f ca="1">IFERROR(__xludf.DUMMYFUNCTION("""COMPUTED_VALUE"""),"Fruit soft drink, multiple vitamin, with sweetener")</f>
        <v>Fruit soft drink, multiple vitamin, with sweetener</v>
      </c>
      <c r="B1167" t="str">
        <f ca="1">IFERROR(__xludf.DUMMYFUNCTION("""COMPUTED_VALUE"""),"A.01.001490")</f>
        <v>A.01.001490</v>
      </c>
    </row>
    <row r="1168" spans="1:2" ht="12.5" x14ac:dyDescent="0.25">
      <c r="A1168" t="str">
        <f ca="1">IFERROR(__xludf.DUMMYFUNCTION("""COMPUTED_VALUE"""),"Fruit soft drink, Nectarine")</f>
        <v>Fruit soft drink, Nectarine</v>
      </c>
      <c r="B1168" t="str">
        <f ca="1">IFERROR(__xludf.DUMMYFUNCTION("""COMPUTED_VALUE"""),"A.01.001481")</f>
        <v>A.01.001481</v>
      </c>
    </row>
    <row r="1169" spans="1:2" ht="12.5" x14ac:dyDescent="0.25">
      <c r="A1169" t="str">
        <f ca="1">IFERROR(__xludf.DUMMYFUNCTION("""COMPUTED_VALUE"""),"Fruit soft drink, Orange")</f>
        <v>Fruit soft drink, Orange</v>
      </c>
      <c r="B1169" t="str">
        <f ca="1">IFERROR(__xludf.DUMMYFUNCTION("""COMPUTED_VALUE"""),"A.01.001482")</f>
        <v>A.01.001482</v>
      </c>
    </row>
    <row r="1170" spans="1:2" ht="12.5" x14ac:dyDescent="0.25">
      <c r="A1170" t="str">
        <f ca="1">IFERROR(__xludf.DUMMYFUNCTION("""COMPUTED_VALUE"""),"Fruit soft drink, Papaya")</f>
        <v>Fruit soft drink, Papaya</v>
      </c>
      <c r="B1170" t="str">
        <f ca="1">IFERROR(__xludf.DUMMYFUNCTION("""COMPUTED_VALUE"""),"A.01.001483")</f>
        <v>A.01.001483</v>
      </c>
    </row>
    <row r="1171" spans="1:2" ht="12.5" x14ac:dyDescent="0.25">
      <c r="A1171" t="str">
        <f ca="1">IFERROR(__xludf.DUMMYFUNCTION("""COMPUTED_VALUE"""),"Fruit soft drink, Peach")</f>
        <v>Fruit soft drink, Peach</v>
      </c>
      <c r="B1171" t="str">
        <f ca="1">IFERROR(__xludf.DUMMYFUNCTION("""COMPUTED_VALUE"""),"A.01.001484")</f>
        <v>A.01.001484</v>
      </c>
    </row>
    <row r="1172" spans="1:2" ht="12.5" x14ac:dyDescent="0.25">
      <c r="A1172" t="str">
        <f ca="1">IFERROR(__xludf.DUMMYFUNCTION("""COMPUTED_VALUE"""),"Fruit soft drink, Pear")</f>
        <v>Fruit soft drink, Pear</v>
      </c>
      <c r="B1172" t="str">
        <f ca="1">IFERROR(__xludf.DUMMYFUNCTION("""COMPUTED_VALUE"""),"A.01.001485")</f>
        <v>A.01.001485</v>
      </c>
    </row>
    <row r="1173" spans="1:2" ht="12.5" x14ac:dyDescent="0.25">
      <c r="A1173" t="str">
        <f ca="1">IFERROR(__xludf.DUMMYFUNCTION("""COMPUTED_VALUE"""),"Fruit soft drink, Pineapple")</f>
        <v>Fruit soft drink, Pineapple</v>
      </c>
      <c r="B1173" t="str">
        <f ca="1">IFERROR(__xludf.DUMMYFUNCTION("""COMPUTED_VALUE"""),"A.01.001486")</f>
        <v>A.01.001486</v>
      </c>
    </row>
    <row r="1174" spans="1:2" ht="12.5" x14ac:dyDescent="0.25">
      <c r="A1174" t="str">
        <f ca="1">IFERROR(__xludf.DUMMYFUNCTION("""COMPUTED_VALUE"""),"Fruit soft drink, Plum/prune")</f>
        <v>Fruit soft drink, Plum/prune</v>
      </c>
      <c r="B1174" t="str">
        <f ca="1">IFERROR(__xludf.DUMMYFUNCTION("""COMPUTED_VALUE"""),"A.01.001487")</f>
        <v>A.01.001487</v>
      </c>
    </row>
    <row r="1175" spans="1:2" ht="12.5" x14ac:dyDescent="0.25">
      <c r="A1175" t="str">
        <f ca="1">IFERROR(__xludf.DUMMYFUNCTION("""COMPUTED_VALUE"""),"Fruit soft drink, Pomegranate")</f>
        <v>Fruit soft drink, Pomegranate</v>
      </c>
      <c r="B1175" t="str">
        <f ca="1">IFERROR(__xludf.DUMMYFUNCTION("""COMPUTED_VALUE"""),"A.01.001488")</f>
        <v>A.01.001488</v>
      </c>
    </row>
    <row r="1176" spans="1:2" ht="12.5" x14ac:dyDescent="0.25">
      <c r="A1176" t="str">
        <f ca="1">IFERROR(__xludf.DUMMYFUNCTION("""COMPUTED_VALUE"""),"Fruit soft drink, Raspberry")</f>
        <v>Fruit soft drink, Raspberry</v>
      </c>
      <c r="B1176" t="str">
        <f ca="1">IFERROR(__xludf.DUMMYFUNCTION("""COMPUTED_VALUE"""),"A.01.001489")</f>
        <v>A.01.001489</v>
      </c>
    </row>
    <row r="1177" spans="1:2" ht="12.5" x14ac:dyDescent="0.25">
      <c r="A1177" t="str">
        <f ca="1">IFERROR(__xludf.DUMMYFUNCTION("""COMPUTED_VALUE"""),"Fruit soup")</f>
        <v>Fruit soup</v>
      </c>
      <c r="B1177" t="str">
        <f ca="1">IFERROR(__xludf.DUMMYFUNCTION("""COMPUTED_VALUE"""),"A.01.001865")</f>
        <v>A.01.001865</v>
      </c>
    </row>
    <row r="1178" spans="1:2" ht="12.5" x14ac:dyDescent="0.25">
      <c r="A1178" t="str">
        <f ca="1">IFERROR(__xludf.DUMMYFUNCTION("""COMPUTED_VALUE"""),"Fruit tart")</f>
        <v>Fruit tart</v>
      </c>
      <c r="B1178" t="str">
        <f ca="1">IFERROR(__xludf.DUMMYFUNCTION("""COMPUTED_VALUE"""),"A.01.000276")</f>
        <v>A.01.000276</v>
      </c>
    </row>
    <row r="1179" spans="1:2" ht="12.5" x14ac:dyDescent="0.25">
      <c r="A1179" t="str">
        <f ca="1">IFERROR(__xludf.DUMMYFUNCTION("""COMPUTED_VALUE"""),"Fruit tee, infusion")</f>
        <v>Fruit tee, infusion</v>
      </c>
      <c r="B1179" t="str">
        <f ca="1">IFERROR(__xludf.DUMMYFUNCTION("""COMPUTED_VALUE"""),"A.01.001518")</f>
        <v>A.01.001518</v>
      </c>
    </row>
    <row r="1180" spans="1:2" ht="12.5" x14ac:dyDescent="0.25">
      <c r="A1180" t="str">
        <f ca="1">IFERROR(__xludf.DUMMYFUNCTION("""COMPUTED_VALUE"""),"Fruit-based beverages for diabetics")</f>
        <v>Fruit-based beverages for diabetics</v>
      </c>
      <c r="B1180" t="str">
        <f ca="1">IFERROR(__xludf.DUMMYFUNCTION("""COMPUTED_VALUE"""),"A.01.001776")</f>
        <v>A.01.001776</v>
      </c>
    </row>
    <row r="1181" spans="1:2" ht="12.5" x14ac:dyDescent="0.25">
      <c r="A1181" t="str">
        <f ca="1">IFERROR(__xludf.DUMMYFUNCTION("""COMPUTED_VALUE"""),"Fruit-flavoured milk")</f>
        <v>Fruit-flavoured milk</v>
      </c>
      <c r="B1181" t="str">
        <f ca="1">IFERROR(__xludf.DUMMYFUNCTION("""COMPUTED_VALUE"""),"A.01.000965")</f>
        <v>A.01.000965</v>
      </c>
    </row>
    <row r="1182" spans="1:2" ht="12.5" x14ac:dyDescent="0.25">
      <c r="A1182" t="str">
        <f ca="1">IFERROR(__xludf.DUMMYFUNCTION("""COMPUTED_VALUE"""),"Fruit, canned")</f>
        <v>Fruit, canned</v>
      </c>
      <c r="B1182" t="str">
        <f ca="1">IFERROR(__xludf.DUMMYFUNCTION("""COMPUTED_VALUE"""),"A.01.000688")</f>
        <v>A.01.000688</v>
      </c>
    </row>
    <row r="1183" spans="1:2" ht="12.5" x14ac:dyDescent="0.25">
      <c r="A1183" t="str">
        <f ca="1">IFERROR(__xludf.DUMMYFUNCTION("""COMPUTED_VALUE"""),"Fruit, chocolate coated")</f>
        <v>Fruit, chocolate coated</v>
      </c>
      <c r="B1183" t="str">
        <f ca="1">IFERROR(__xludf.DUMMYFUNCTION("""COMPUTED_VALUE"""),"A.01.000726")</f>
        <v>A.01.000726</v>
      </c>
    </row>
    <row r="1184" spans="1:2" ht="12.5" x14ac:dyDescent="0.25">
      <c r="A1184" t="str">
        <f ca="1">IFERROR(__xludf.DUMMYFUNCTION("""COMPUTED_VALUE"""),"Fruit, purèe")</f>
        <v>Fruit, purèe</v>
      </c>
      <c r="B1184" t="str">
        <f ca="1">IFERROR(__xludf.DUMMYFUNCTION("""COMPUTED_VALUE"""),"A.01.000686")</f>
        <v>A.01.000686</v>
      </c>
    </row>
    <row r="1185" spans="1:2" ht="12.5" x14ac:dyDescent="0.25">
      <c r="A1185" t="str">
        <f ca="1">IFERROR(__xludf.DUMMYFUNCTION("""COMPUTED_VALUE"""),"Fruiting vegetables")</f>
        <v>Fruiting vegetables</v>
      </c>
      <c r="B1185" t="str">
        <f ca="1">IFERROR(__xludf.DUMMYFUNCTION("""COMPUTED_VALUE"""),"A.01.000337")</f>
        <v>A.01.000337</v>
      </c>
    </row>
    <row r="1186" spans="1:2" ht="12.5" x14ac:dyDescent="0.25">
      <c r="A1186" t="str">
        <f ca="1">IFERROR(__xludf.DUMMYFUNCTION("""COMPUTED_VALUE"""),"Fruits")</f>
        <v>Fruits</v>
      </c>
      <c r="B1186" t="str">
        <f ca="1">IFERROR(__xludf.DUMMYFUNCTION("""COMPUTED_VALUE"""),"C06")</f>
        <v>C06</v>
      </c>
    </row>
    <row r="1187" spans="1:2" ht="12.5" x14ac:dyDescent="0.25">
      <c r="A1187" t="str">
        <f ca="1">IFERROR(__xludf.DUMMYFUNCTION("""COMPUTED_VALUE"""),"Fudge")</f>
        <v>Fudge</v>
      </c>
      <c r="B1187" t="str">
        <f ca="1">IFERROR(__xludf.DUMMYFUNCTION("""COMPUTED_VALUE"""),"A.01.001317")</f>
        <v>A.01.001317</v>
      </c>
    </row>
    <row r="1188" spans="1:2" ht="12.5" x14ac:dyDescent="0.25">
      <c r="A1188" t="str">
        <f ca="1">IFERROR(__xludf.DUMMYFUNCTION("""COMPUTED_VALUE"""),"Fudge sauce")</f>
        <v>Fudge sauce</v>
      </c>
      <c r="B1188" t="str">
        <f ca="1">IFERROR(__xludf.DUMMYFUNCTION("""COMPUTED_VALUE"""),"A.01.001331")</f>
        <v>A.01.001331</v>
      </c>
    </row>
    <row r="1189" spans="1:2" ht="12.5" x14ac:dyDescent="0.25">
      <c r="A1189" t="str">
        <f ca="1">IFERROR(__xludf.DUMMYFUNCTION("""COMPUTED_VALUE"""),"Fungi")</f>
        <v>Fungi</v>
      </c>
      <c r="B1189" t="str">
        <f ca="1">IFERROR(__xludf.DUMMYFUNCTION("""COMPUTED_VALUE"""),"C04B_2")</f>
        <v>C04B_2</v>
      </c>
    </row>
    <row r="1190" spans="1:2" ht="12.5" x14ac:dyDescent="0.25">
      <c r="A1190" t="str">
        <f ca="1">IFERROR(__xludf.DUMMYFUNCTION("""COMPUTED_VALUE"""),"Fungi, cultivated")</f>
        <v>Fungi, cultivated</v>
      </c>
      <c r="B1190" t="str">
        <f ca="1">IFERROR(__xludf.DUMMYFUNCTION("""COMPUTED_VALUE"""),"A.01.000453")</f>
        <v>A.01.000453</v>
      </c>
    </row>
    <row r="1191" spans="1:2" ht="12.5" x14ac:dyDescent="0.25">
      <c r="A1191" t="str">
        <f ca="1">IFERROR(__xludf.DUMMYFUNCTION("""COMPUTED_VALUE"""),"Fungi, wild, edible")</f>
        <v>Fungi, wild, edible</v>
      </c>
      <c r="B1191" t="str">
        <f ca="1">IFERROR(__xludf.DUMMYFUNCTION("""COMPUTED_VALUE"""),"A.01.000458")</f>
        <v>A.01.000458</v>
      </c>
    </row>
    <row r="1192" spans="1:2" ht="12.5" x14ac:dyDescent="0.25">
      <c r="A1192" t="str">
        <f ca="1">IFERROR(__xludf.DUMMYFUNCTION("""COMPUTED_VALUE"""),"Fur animals / Complementary feed")</f>
        <v>Fur animals / Complementary feed</v>
      </c>
      <c r="B1192" t="str">
        <f ca="1">IFERROR(__xludf.DUMMYFUNCTION("""COMPUTED_VALUE"""),"G.14.2.30")</f>
        <v>G.14.2.30</v>
      </c>
    </row>
    <row r="1193" spans="1:2" ht="12.5" x14ac:dyDescent="0.25">
      <c r="A1193" t="str">
        <f ca="1">IFERROR(__xludf.DUMMYFUNCTION("""COMPUTED_VALUE"""),"Fur animals / Complete feed")</f>
        <v>Fur animals / Complete feed</v>
      </c>
      <c r="B1193" t="str">
        <f ca="1">IFERROR(__xludf.DUMMYFUNCTION("""COMPUTED_VALUE"""),"G.14.1.30")</f>
        <v>G.14.1.30</v>
      </c>
    </row>
    <row r="1194" spans="1:2" ht="12.5" x14ac:dyDescent="0.25">
      <c r="A1194" t="str">
        <f ca="1">IFERROR(__xludf.DUMMYFUNCTION("""COMPUTED_VALUE"""),"Galactose")</f>
        <v>Galactose</v>
      </c>
      <c r="B1194" t="str">
        <f ca="1">IFERROR(__xludf.DUMMYFUNCTION("""COMPUTED_VALUE"""),"A.01.001277")</f>
        <v>A.01.001277</v>
      </c>
    </row>
    <row r="1195" spans="1:2" ht="12.5" x14ac:dyDescent="0.25">
      <c r="A1195" t="str">
        <f ca="1">IFERROR(__xludf.DUMMYFUNCTION("""COMPUTED_VALUE"""),"Galangal (Alpinia spp.)")</f>
        <v>Galangal (Alpinia spp.)</v>
      </c>
      <c r="B1195" t="str">
        <f ca="1">IFERROR(__xludf.DUMMYFUNCTION("""COMPUTED_VALUE"""),"A.01.001614")</f>
        <v>A.01.001614</v>
      </c>
    </row>
    <row r="1196" spans="1:2" ht="12.5" x14ac:dyDescent="0.25">
      <c r="A1196" t="str">
        <f ca="1">IFERROR(__xludf.DUMMYFUNCTION("""COMPUTED_VALUE"""),"Game birds")</f>
        <v>Game birds</v>
      </c>
      <c r="B1196" t="str">
        <f ca="1">IFERROR(__xludf.DUMMYFUNCTION("""COMPUTED_VALUE"""),"A.01.000751")</f>
        <v>A.01.000751</v>
      </c>
    </row>
    <row r="1197" spans="1:2" ht="12.5" x14ac:dyDescent="0.25">
      <c r="A1197" t="str">
        <f ca="1">IFERROR(__xludf.DUMMYFUNCTION("""COMPUTED_VALUE"""),"Game mammals")</f>
        <v>Game mammals</v>
      </c>
      <c r="B1197" t="str">
        <f ca="1">IFERROR(__xludf.DUMMYFUNCTION("""COMPUTED_VALUE"""),"A.01.000744")</f>
        <v>A.01.000744</v>
      </c>
    </row>
    <row r="1198" spans="1:2" ht="12.5" x14ac:dyDescent="0.25">
      <c r="A1198" t="str">
        <f ca="1">IFERROR(__xludf.DUMMYFUNCTION("""COMPUTED_VALUE"""),"Game meat")</f>
        <v>Game meat</v>
      </c>
      <c r="B1198" t="str">
        <f ca="1">IFERROR(__xludf.DUMMYFUNCTION("""COMPUTED_VALUE"""),"C10A_3")</f>
        <v>C10A_3</v>
      </c>
    </row>
    <row r="1199" spans="1:2" ht="12.5" x14ac:dyDescent="0.25">
      <c r="A1199" t="str">
        <f ca="1">IFERROR(__xludf.DUMMYFUNCTION("""COMPUTED_VALUE"""),"Garam masala")</f>
        <v>Garam masala</v>
      </c>
      <c r="B1199" t="str">
        <f ca="1">IFERROR(__xludf.DUMMYFUNCTION("""COMPUTED_VALUE"""),"A.01.001630")</f>
        <v>A.01.001630</v>
      </c>
    </row>
    <row r="1200" spans="1:2" ht="12.5" x14ac:dyDescent="0.25">
      <c r="A1200" t="str">
        <f ca="1">IFERROR(__xludf.DUMMYFUNCTION("""COMPUTED_VALUE"""),"Garden cress")</f>
        <v>Garden cress</v>
      </c>
      <c r="B1200" t="str">
        <f ca="1">IFERROR(__xludf.DUMMYFUNCTION("""COMPUTED_VALUE"""),"G.5.23")</f>
        <v>G.5.23</v>
      </c>
    </row>
    <row r="1201" spans="1:2" ht="12.5" x14ac:dyDescent="0.25">
      <c r="A1201" t="str">
        <f ca="1">IFERROR(__xludf.DUMMYFUNCTION("""COMPUTED_VALUE"""),"Garden orache (Atriplex hortensis)")</f>
        <v>Garden orache (Atriplex hortensis)</v>
      </c>
      <c r="B1201" t="str">
        <f ca="1">IFERROR(__xludf.DUMMYFUNCTION("""COMPUTED_VALUE"""),"A.01.000376")</f>
        <v>A.01.000376</v>
      </c>
    </row>
    <row r="1202" spans="1:2" ht="12.5" x14ac:dyDescent="0.25">
      <c r="A1202" t="str">
        <f ca="1">IFERROR(__xludf.DUMMYFUNCTION("""COMPUTED_VALUE"""),"Garlic purée")</f>
        <v>Garlic purée</v>
      </c>
      <c r="B1202" t="str">
        <f ca="1">IFERROR(__xludf.DUMMYFUNCTION("""COMPUTED_VALUE"""),"A.01.000442")</f>
        <v>A.01.000442</v>
      </c>
    </row>
    <row r="1203" spans="1:2" ht="12.5" x14ac:dyDescent="0.25">
      <c r="A1203" t="str">
        <f ca="1">IFERROR(__xludf.DUMMYFUNCTION("""COMPUTED_VALUE"""),"Garlic, bulb (Allium sativum)")</f>
        <v>Garlic, bulb (Allium sativum)</v>
      </c>
      <c r="B1203" t="str">
        <f ca="1">IFERROR(__xludf.DUMMYFUNCTION("""COMPUTED_VALUE"""),"A.01.000332")</f>
        <v>A.01.000332</v>
      </c>
    </row>
    <row r="1204" spans="1:2" ht="12.5" x14ac:dyDescent="0.25">
      <c r="A1204" t="str">
        <f ca="1">IFERROR(__xludf.DUMMYFUNCTION("""COMPUTED_VALUE"""),"Garlic, dried")</f>
        <v>Garlic, dried</v>
      </c>
      <c r="B1204" t="str">
        <f ca="1">IFERROR(__xludf.DUMMYFUNCTION("""COMPUTED_VALUE"""),"G.4.5")</f>
        <v>G.4.5</v>
      </c>
    </row>
    <row r="1205" spans="1:2" ht="12.5" x14ac:dyDescent="0.25">
      <c r="A1205" t="str">
        <f ca="1">IFERROR(__xludf.DUMMYFUNCTION("""COMPUTED_VALUE"""),"Gelatine")</f>
        <v>Gelatine</v>
      </c>
      <c r="B1205" t="str">
        <f ca="1">IFERROR(__xludf.DUMMYFUNCTION("""COMPUTED_VALUE"""),"A.01.001712")</f>
        <v>A.01.001712</v>
      </c>
    </row>
    <row r="1206" spans="1:2" ht="12.5" x14ac:dyDescent="0.25">
      <c r="A1206" t="str">
        <f ca="1">IFERROR(__xludf.DUMMYFUNCTION("""COMPUTED_VALUE"""),"Gelatine (Feed)")</f>
        <v>Gelatine (Feed)</v>
      </c>
      <c r="B1206" t="str">
        <f ca="1">IFERROR(__xludf.DUMMYFUNCTION("""COMPUTED_VALUE"""),"G.9.12")</f>
        <v>G.9.12</v>
      </c>
    </row>
    <row r="1207" spans="1:2" ht="12.5" x14ac:dyDescent="0.25">
      <c r="A1207" t="str">
        <f ca="1">IFERROR(__xludf.DUMMYFUNCTION("""COMPUTED_VALUE"""),"Gelatine dessert")</f>
        <v>Gelatine dessert</v>
      </c>
      <c r="B1207" t="str">
        <f ca="1">IFERROR(__xludf.DUMMYFUNCTION("""COMPUTED_VALUE"""),"A.01.001894")</f>
        <v>A.01.001894</v>
      </c>
    </row>
    <row r="1208" spans="1:2" ht="12.5" x14ac:dyDescent="0.25">
      <c r="A1208" t="str">
        <f ca="1">IFERROR(__xludf.DUMMYFUNCTION("""COMPUTED_VALUE"""),"Gelatine process derived proteins")</f>
        <v>Gelatine process derived proteins</v>
      </c>
      <c r="B1208" t="str">
        <f ca="1">IFERROR(__xludf.DUMMYFUNCTION("""COMPUTED_VALUE"""),"G.9.5")</f>
        <v>G.9.5</v>
      </c>
    </row>
    <row r="1209" spans="1:2" ht="12.5" x14ac:dyDescent="0.25">
      <c r="A1209" t="str">
        <f ca="1">IFERROR(__xludf.DUMMYFUNCTION("""COMPUTED_VALUE"""),"German salami")</f>
        <v>German salami</v>
      </c>
      <c r="B1209" t="str">
        <f ca="1">IFERROR(__xludf.DUMMYFUNCTION("""COMPUTED_VALUE"""),"A.01.000852")</f>
        <v>A.01.000852</v>
      </c>
    </row>
    <row r="1210" spans="1:2" ht="12.5" x14ac:dyDescent="0.25">
      <c r="A1210" t="str">
        <f ca="1">IFERROR(__xludf.DUMMYFUNCTION("""COMPUTED_VALUE"""),"Ghee")</f>
        <v>Ghee</v>
      </c>
      <c r="B1210" t="str">
        <f ca="1">IFERROR(__xludf.DUMMYFUNCTION("""COMPUTED_VALUE"""),"A.01.001350")</f>
        <v>A.01.001350</v>
      </c>
    </row>
    <row r="1211" spans="1:2" ht="12.5" x14ac:dyDescent="0.25">
      <c r="A1211" t="str">
        <f ca="1">IFERROR(__xludf.DUMMYFUNCTION("""COMPUTED_VALUE"""),"Gherkins (Cucumis sativus)")</f>
        <v>Gherkins (Cucumis sativus)</v>
      </c>
      <c r="B1211" t="str">
        <f ca="1">IFERROR(__xludf.DUMMYFUNCTION("""COMPUTED_VALUE"""),"A.01.000344")</f>
        <v>A.01.000344</v>
      </c>
    </row>
    <row r="1212" spans="1:2" ht="12.5" x14ac:dyDescent="0.25">
      <c r="A1212" t="str">
        <f ca="1">IFERROR(__xludf.DUMMYFUNCTION("""COMPUTED_VALUE"""),"Giblets (chicken, turkey, duck, goose)")</f>
        <v>Giblets (chicken, turkey, duck, goose)</v>
      </c>
      <c r="B1212" t="str">
        <f ca="1">IFERROR(__xludf.DUMMYFUNCTION("""COMPUTED_VALUE"""),"A.01.000790")</f>
        <v>A.01.000790</v>
      </c>
    </row>
    <row r="1213" spans="1:2" ht="12.5" x14ac:dyDescent="0.25">
      <c r="A1213" t="str">
        <f ca="1">IFERROR(__xludf.DUMMYFUNCTION("""COMPUTED_VALUE"""),"Gin")</f>
        <v>Gin</v>
      </c>
      <c r="B1213" t="str">
        <f ca="1">IFERROR(__xludf.DUMMYFUNCTION("""COMPUTED_VALUE"""),"A.01.001564")</f>
        <v>A.01.001564</v>
      </c>
    </row>
    <row r="1214" spans="1:2" ht="12.5" x14ac:dyDescent="0.25">
      <c r="A1214" t="str">
        <f ca="1">IFERROR(__xludf.DUMMYFUNCTION("""COMPUTED_VALUE"""),"Ginger (Zingiber officinale)")</f>
        <v>Ginger (Zingiber officinale)</v>
      </c>
      <c r="B1214" t="str">
        <f ca="1">IFERROR(__xludf.DUMMYFUNCTION("""COMPUTED_VALUE"""),"A.01.001615")</f>
        <v>A.01.001615</v>
      </c>
    </row>
    <row r="1215" spans="1:2" ht="12.5" x14ac:dyDescent="0.25">
      <c r="A1215" t="str">
        <f ca="1">IFERROR(__xludf.DUMMYFUNCTION("""COMPUTED_VALUE"""),"Gingerbread")</f>
        <v>Gingerbread</v>
      </c>
      <c r="B1215" t="str">
        <f ca="1">IFERROR(__xludf.DUMMYFUNCTION("""COMPUTED_VALUE"""),"A.01.000277")</f>
        <v>A.01.000277</v>
      </c>
    </row>
    <row r="1216" spans="1:2" ht="12.5" x14ac:dyDescent="0.25">
      <c r="A1216" t="str">
        <f ca="1">IFERROR(__xludf.DUMMYFUNCTION("""COMPUTED_VALUE"""),"Ginseng root (Panax ginseng)")</f>
        <v>Ginseng root (Panax ginseng)</v>
      </c>
      <c r="B1216" t="str">
        <f ca="1">IFERROR(__xludf.DUMMYFUNCTION("""COMPUTED_VALUE"""),"A.01.000417")</f>
        <v>A.01.000417</v>
      </c>
    </row>
    <row r="1217" spans="1:2" ht="12.5" x14ac:dyDescent="0.25">
      <c r="A1217" t="str">
        <f ca="1">IFERROR(__xludf.DUMMYFUNCTION("""COMPUTED_VALUE"""),"Glass noodle")</f>
        <v>Glass noodle</v>
      </c>
      <c r="B1217" t="str">
        <f ca="1">IFERROR(__xludf.DUMMYFUNCTION("""COMPUTED_VALUE"""),"A.01.000169")</f>
        <v>A.01.000169</v>
      </c>
    </row>
    <row r="1218" spans="1:2" ht="12.5" x14ac:dyDescent="0.25">
      <c r="A1218" t="str">
        <f ca="1">IFERROR(__xludf.DUMMYFUNCTION("""COMPUTED_VALUE"""),"Glaze")</f>
        <v>Glaze</v>
      </c>
      <c r="B1218" t="str">
        <f ca="1">IFERROR(__xludf.DUMMYFUNCTION("""COMPUTED_VALUE"""),"A.01.001714")</f>
        <v>A.01.001714</v>
      </c>
    </row>
    <row r="1219" spans="1:2" ht="12.5" x14ac:dyDescent="0.25">
      <c r="A1219" t="str">
        <f ca="1">IFERROR(__xludf.DUMMYFUNCTION("""COMPUTED_VALUE"""),"Globe artichokes (Cynara scolymus)")</f>
        <v>Globe artichokes (Cynara scolymus)</v>
      </c>
      <c r="B1219" t="str">
        <f ca="1">IFERROR(__xludf.DUMMYFUNCTION("""COMPUTED_VALUE"""),"A.01.000390")</f>
        <v>A.01.000390</v>
      </c>
    </row>
    <row r="1220" spans="1:2" ht="12.5" x14ac:dyDescent="0.25">
      <c r="A1220" t="str">
        <f ca="1">IFERROR(__xludf.DUMMYFUNCTION("""COMPUTED_VALUE"""),"Glucosamine (Chitosamine)")</f>
        <v>Glucosamine (Chitosamine)</v>
      </c>
      <c r="B1220" t="str">
        <f ca="1">IFERROR(__xludf.DUMMYFUNCTION("""COMPUTED_VALUE"""),"G.13.2.8")</f>
        <v>G.13.2.8</v>
      </c>
    </row>
    <row r="1221" spans="1:2" ht="12.5" x14ac:dyDescent="0.25">
      <c r="A1221" t="str">
        <f ca="1">IFERROR(__xludf.DUMMYFUNCTION("""COMPUTED_VALUE"""),"Glucose")</f>
        <v>Glucose</v>
      </c>
      <c r="B1221" t="str">
        <f ca="1">IFERROR(__xludf.DUMMYFUNCTION("""COMPUTED_VALUE"""),"A.01.001276")</f>
        <v>A.01.001276</v>
      </c>
    </row>
    <row r="1222" spans="1:2" ht="12.5" x14ac:dyDescent="0.25">
      <c r="A1222" t="str">
        <f ca="1">IFERROR(__xludf.DUMMYFUNCTION("""COMPUTED_VALUE"""),"Glucose molasses")</f>
        <v>Glucose molasses</v>
      </c>
      <c r="B1222" t="str">
        <f ca="1">IFERROR(__xludf.DUMMYFUNCTION("""COMPUTED_VALUE"""),"G.13.2.5")</f>
        <v>G.13.2.5</v>
      </c>
    </row>
    <row r="1223" spans="1:2" ht="12.5" x14ac:dyDescent="0.25">
      <c r="A1223" t="str">
        <f ca="1">IFERROR(__xludf.DUMMYFUNCTION("""COMPUTED_VALUE"""),"Glucose syrup")</f>
        <v>Glucose syrup</v>
      </c>
      <c r="B1223" t="str">
        <f ca="1">IFERROR(__xludf.DUMMYFUNCTION("""COMPUTED_VALUE"""),"G.13.2.4")</f>
        <v>G.13.2.4</v>
      </c>
    </row>
    <row r="1224" spans="1:2" ht="12.5" x14ac:dyDescent="0.25">
      <c r="A1224" t="str">
        <f ca="1">IFERROR(__xludf.DUMMYFUNCTION("""COMPUTED_VALUE"""),"Glycerine")</f>
        <v>Glycerine</v>
      </c>
      <c r="B1224" t="str">
        <f ca="1">IFERROR(__xludf.DUMMYFUNCTION("""COMPUTED_VALUE"""),"G.13.8.2")</f>
        <v>G.13.8.2</v>
      </c>
    </row>
    <row r="1225" spans="1:2" ht="12.5" x14ac:dyDescent="0.25">
      <c r="A1225" t="str">
        <f ca="1">IFERROR(__xludf.DUMMYFUNCTION("""COMPUTED_VALUE"""),"Glycerine, crude")</f>
        <v>Glycerine, crude</v>
      </c>
      <c r="B1225" t="str">
        <f ca="1">IFERROR(__xludf.DUMMYFUNCTION("""COMPUTED_VALUE"""),"G.13.8")</f>
        <v>G.13.8</v>
      </c>
    </row>
    <row r="1226" spans="1:2" ht="12.5" x14ac:dyDescent="0.25">
      <c r="A1226" t="str">
        <f ca="1">IFERROR(__xludf.DUMMYFUNCTION("""COMPUTED_VALUE"""),"Goat (kids) (weaning diets) / Complementary feed")</f>
        <v>Goat (kids) (weaning diets) / Complementary feed</v>
      </c>
      <c r="B1226" t="str">
        <f ca="1">IFERROR(__xludf.DUMMYFUNCTION("""COMPUTED_VALUE"""),"G.14.2.12")</f>
        <v>G.14.2.12</v>
      </c>
    </row>
    <row r="1227" spans="1:2" ht="12.5" x14ac:dyDescent="0.25">
      <c r="A1227" t="str">
        <f ca="1">IFERROR(__xludf.DUMMYFUNCTION("""COMPUTED_VALUE"""),"Goat (kids) (weaning diets) / Complete feed")</f>
        <v>Goat (kids) (weaning diets) / Complete feed</v>
      </c>
      <c r="B1227" t="str">
        <f ca="1">IFERROR(__xludf.DUMMYFUNCTION("""COMPUTED_VALUE"""),"G.14.1.12")</f>
        <v>G.14.1.12</v>
      </c>
    </row>
    <row r="1228" spans="1:2" ht="12.5" x14ac:dyDescent="0.25">
      <c r="A1228" t="str">
        <f ca="1">IFERROR(__xludf.DUMMYFUNCTION("""COMPUTED_VALUE"""),"Goat / kid meat (Capra hircus)")</f>
        <v>Goat / kid meat (Capra hircus)</v>
      </c>
      <c r="B1228" t="str">
        <f ca="1">IFERROR(__xludf.DUMMYFUNCTION("""COMPUTED_VALUE"""),"A.01.000733")</f>
        <v>A.01.000733</v>
      </c>
    </row>
    <row r="1229" spans="1:2" ht="12.5" x14ac:dyDescent="0.25">
      <c r="A1229" t="str">
        <f ca="1">IFERROR(__xludf.DUMMYFUNCTION("""COMPUTED_VALUE"""),"Goat milk")</f>
        <v>Goat milk</v>
      </c>
      <c r="B1229" t="str">
        <f ca="1">IFERROR(__xludf.DUMMYFUNCTION("""COMPUTED_VALUE"""),"A.01.000958")</f>
        <v>A.01.000958</v>
      </c>
    </row>
    <row r="1230" spans="1:2" ht="12.5" x14ac:dyDescent="0.25">
      <c r="A1230" t="str">
        <f ca="1">IFERROR(__xludf.DUMMYFUNCTION("""COMPUTED_VALUE"""),"Goettinger cervelat")</f>
        <v>Goettinger cervelat</v>
      </c>
      <c r="B1230" t="str">
        <f ca="1">IFERROR(__xludf.DUMMYFUNCTION("""COMPUTED_VALUE"""),"A.01.000837")</f>
        <v>A.01.000837</v>
      </c>
    </row>
    <row r="1231" spans="1:2" ht="12.5" x14ac:dyDescent="0.25">
      <c r="A1231" t="str">
        <f ca="1">IFERROR(__xludf.DUMMYFUNCTION("""COMPUTED_VALUE"""),"Gold of pleasure (Camelina sativa)")</f>
        <v>Gold of pleasure (Camelina sativa)</v>
      </c>
      <c r="B1231" t="str">
        <f ca="1">IFERROR(__xludf.DUMMYFUNCTION("""COMPUTED_VALUE"""),"A.01.000540")</f>
        <v>A.01.000540</v>
      </c>
    </row>
    <row r="1232" spans="1:2" ht="12.5" x14ac:dyDescent="0.25">
      <c r="A1232" t="str">
        <f ca="1">IFERROR(__xludf.DUMMYFUNCTION("""COMPUTED_VALUE"""),"Goose eggs")</f>
        <v>Goose eggs</v>
      </c>
      <c r="B1232" t="str">
        <f ca="1">IFERROR(__xludf.DUMMYFUNCTION("""COMPUTED_VALUE"""),"A.01.001259")</f>
        <v>A.01.001259</v>
      </c>
    </row>
    <row r="1233" spans="1:2" ht="12.5" x14ac:dyDescent="0.25">
      <c r="A1233" t="str">
        <f ca="1">IFERROR(__xludf.DUMMYFUNCTION("""COMPUTED_VALUE"""),"Goose fat")</f>
        <v>Goose fat</v>
      </c>
      <c r="B1233" t="str">
        <f ca="1">IFERROR(__xludf.DUMMYFUNCTION("""COMPUTED_VALUE"""),"A.01.001353")</f>
        <v>A.01.001353</v>
      </c>
    </row>
    <row r="1234" spans="1:2" ht="12.5" x14ac:dyDescent="0.25">
      <c r="A1234" t="str">
        <f ca="1">IFERROR(__xludf.DUMMYFUNCTION("""COMPUTED_VALUE"""),"Goose liver")</f>
        <v>Goose liver</v>
      </c>
      <c r="B1234" t="str">
        <f ca="1">IFERROR(__xludf.DUMMYFUNCTION("""COMPUTED_VALUE"""),"A.01.000774")</f>
        <v>A.01.000774</v>
      </c>
    </row>
    <row r="1235" spans="1:2" ht="12.5" x14ac:dyDescent="0.25">
      <c r="A1235" t="str">
        <f ca="1">IFERROR(__xludf.DUMMYFUNCTION("""COMPUTED_VALUE"""),"Goose meat (Anser, Branta, Chen)")</f>
        <v>Goose meat (Anser, Branta, Chen)</v>
      </c>
      <c r="B1235" t="str">
        <f ca="1">IFERROR(__xludf.DUMMYFUNCTION("""COMPUTED_VALUE"""),"A.01.000740")</f>
        <v>A.01.000740</v>
      </c>
    </row>
    <row r="1236" spans="1:2" ht="12.5" x14ac:dyDescent="0.25">
      <c r="A1236" t="str">
        <f ca="1">IFERROR(__xludf.DUMMYFUNCTION("""COMPUTED_VALUE"""),"Gooseberries (Ribes uva-crispa)")</f>
        <v>Gooseberries (Ribes uva-crispa)</v>
      </c>
      <c r="B1236" t="str">
        <f ca="1">IFERROR(__xludf.DUMMYFUNCTION("""COMPUTED_VALUE"""),"A.01.000586")</f>
        <v>A.01.000586</v>
      </c>
    </row>
    <row r="1237" spans="1:2" ht="12.5" x14ac:dyDescent="0.25">
      <c r="A1237" t="str">
        <f ca="1">IFERROR(__xludf.DUMMYFUNCTION("""COMPUTED_VALUE"""),"Goteborg cervelat")</f>
        <v>Goteborg cervelat</v>
      </c>
      <c r="B1237" t="str">
        <f ca="1">IFERROR(__xludf.DUMMYFUNCTION("""COMPUTED_VALUE"""),"A.01.000838")</f>
        <v>A.01.000838</v>
      </c>
    </row>
    <row r="1238" spans="1:2" ht="12.5" x14ac:dyDescent="0.25">
      <c r="A1238" t="str">
        <f ca="1">IFERROR(__xludf.DUMMYFUNCTION("""COMPUTED_VALUE"""),"Gothaer, cervelat")</f>
        <v>Gothaer, cervelat</v>
      </c>
      <c r="B1238" t="str">
        <f ca="1">IFERROR(__xludf.DUMMYFUNCTION("""COMPUTED_VALUE"""),"A.01.000835")</f>
        <v>A.01.000835</v>
      </c>
    </row>
    <row r="1239" spans="1:2" ht="12.5" x14ac:dyDescent="0.25">
      <c r="A1239" t="str">
        <f ca="1">IFERROR(__xludf.DUMMYFUNCTION("""COMPUTED_VALUE"""),"Gougere")</f>
        <v>Gougere</v>
      </c>
      <c r="B1239" t="str">
        <f ca="1">IFERROR(__xludf.DUMMYFUNCTION("""COMPUTED_VALUE"""),"A.01.000278")</f>
        <v>A.01.000278</v>
      </c>
    </row>
    <row r="1240" spans="1:2" ht="12.5" x14ac:dyDescent="0.25">
      <c r="A1240" t="str">
        <f ca="1">IFERROR(__xludf.DUMMYFUNCTION("""COMPUTED_VALUE"""),"Goulash")</f>
        <v>Goulash</v>
      </c>
      <c r="B1240" t="str">
        <f ca="1">IFERROR(__xludf.DUMMYFUNCTION("""COMPUTED_VALUE"""),"A.01.001832")</f>
        <v>A.01.001832</v>
      </c>
    </row>
    <row r="1241" spans="1:2" ht="12.5" x14ac:dyDescent="0.25">
      <c r="A1241" t="str">
        <f ca="1">IFERROR(__xludf.DUMMYFUNCTION("""COMPUTED_VALUE"""),"Graham flour")</f>
        <v>Graham flour</v>
      </c>
      <c r="B1241" t="str">
        <f ca="1">IFERROR(__xludf.DUMMYFUNCTION("""COMPUTED_VALUE"""),"A.01.000049")</f>
        <v>A.01.000049</v>
      </c>
    </row>
    <row r="1242" spans="1:2" ht="12.5" x14ac:dyDescent="0.25">
      <c r="A1242" t="str">
        <f ca="1">IFERROR(__xludf.DUMMYFUNCTION("""COMPUTED_VALUE"""),"Grain flour")</f>
        <v>Grain flour</v>
      </c>
      <c r="B1242" t="str">
        <f ca="1">IFERROR(__xludf.DUMMYFUNCTION("""COMPUTED_VALUE"""),"G.1.12.2")</f>
        <v>G.1.12.2</v>
      </c>
    </row>
    <row r="1243" spans="1:2" ht="12.5" x14ac:dyDescent="0.25">
      <c r="A1243" t="str">
        <f ca="1">IFERROR(__xludf.DUMMYFUNCTION("""COMPUTED_VALUE"""),"Grain germ")</f>
        <v>Grain germ</v>
      </c>
      <c r="B1243" t="str">
        <f ca="1">IFERROR(__xludf.DUMMYFUNCTION("""COMPUTED_VALUE"""),"G.1.12.5")</f>
        <v>G.1.12.5</v>
      </c>
    </row>
    <row r="1244" spans="1:2" ht="12.5" x14ac:dyDescent="0.25">
      <c r="A1244" t="str">
        <f ca="1">IFERROR(__xludf.DUMMYFUNCTION("""COMPUTED_VALUE"""),"Grain milling products")</f>
        <v>Grain milling products</v>
      </c>
      <c r="B1244" t="str">
        <f ca="1">IFERROR(__xludf.DUMMYFUNCTION("""COMPUTED_VALUE"""),"A.01.000043")</f>
        <v>A.01.000043</v>
      </c>
    </row>
    <row r="1245" spans="1:2" ht="12.5" x14ac:dyDescent="0.25">
      <c r="A1245" t="str">
        <f ca="1">IFERROR(__xludf.DUMMYFUNCTION("""COMPUTED_VALUE"""),"Grain protein concentrate")</f>
        <v>Grain protein concentrate</v>
      </c>
      <c r="B1245" t="str">
        <f ca="1">IFERROR(__xludf.DUMMYFUNCTION("""COMPUTED_VALUE"""),"G.1.12.3")</f>
        <v>G.1.12.3</v>
      </c>
    </row>
    <row r="1246" spans="1:2" ht="12.5" x14ac:dyDescent="0.25">
      <c r="A1246" t="str">
        <f ca="1">IFERROR(__xludf.DUMMYFUNCTION("""COMPUTED_VALUE"""),"Grain soup")</f>
        <v>Grain soup</v>
      </c>
      <c r="B1246" t="str">
        <f ca="1">IFERROR(__xludf.DUMMYFUNCTION("""COMPUTED_VALUE"""),"A.01.001858")</f>
        <v>A.01.001858</v>
      </c>
    </row>
    <row r="1247" spans="1:2" ht="12.5" x14ac:dyDescent="0.25">
      <c r="A1247" t="str">
        <f ca="1">IFERROR(__xludf.DUMMYFUNCTION("""COMPUTED_VALUE"""),"Grain spent wash syrup")</f>
        <v>Grain spent wash syrup</v>
      </c>
      <c r="B1247" t="str">
        <f ca="1">IFERROR(__xludf.DUMMYFUNCTION("""COMPUTED_VALUE"""),"G.1.12.6")</f>
        <v>G.1.12.6</v>
      </c>
    </row>
    <row r="1248" spans="1:2" ht="12.5" x14ac:dyDescent="0.25">
      <c r="A1248" t="str">
        <f ca="1">IFERROR(__xludf.DUMMYFUNCTION("""COMPUTED_VALUE"""),"Grains and grain-based products")</f>
        <v>Grains and grain-based products</v>
      </c>
      <c r="B1248" t="str">
        <f ca="1">IFERROR(__xludf.DUMMYFUNCTION("""COMPUTED_VALUE"""),"A.01.000001")</f>
        <v>A.01.000001</v>
      </c>
    </row>
    <row r="1249" spans="1:2" ht="12.5" x14ac:dyDescent="0.25">
      <c r="A1249" t="str">
        <f ca="1">IFERROR(__xludf.DUMMYFUNCTION("""COMPUTED_VALUE"""),"Grains as crops")</f>
        <v>Grains as crops</v>
      </c>
      <c r="B1249" t="str">
        <f ca="1">IFERROR(__xludf.DUMMYFUNCTION("""COMPUTED_VALUE"""),"A.01.000002")</f>
        <v>A.01.000002</v>
      </c>
    </row>
    <row r="1250" spans="1:2" ht="12.5" x14ac:dyDescent="0.25">
      <c r="A1250" t="str">
        <f ca="1">IFERROR(__xludf.DUMMYFUNCTION("""COMPUTED_VALUE"""),"Grains for human consumption")</f>
        <v>Grains for human consumption</v>
      </c>
      <c r="B1250" t="str">
        <f ca="1">IFERROR(__xludf.DUMMYFUNCTION("""COMPUTED_VALUE"""),"A.01.000013")</f>
        <v>A.01.000013</v>
      </c>
    </row>
    <row r="1251" spans="1:2" ht="12.5" x14ac:dyDescent="0.25">
      <c r="A1251" t="str">
        <f ca="1">IFERROR(__xludf.DUMMYFUNCTION("""COMPUTED_VALUE"""),"Graminaceous seeds")</f>
        <v>Graminaceous seeds</v>
      </c>
      <c r="B1251" t="str">
        <f ca="1">IFERROR(__xludf.DUMMYFUNCTION("""COMPUTED_VALUE"""),"G.5.24")</f>
        <v>G.5.24</v>
      </c>
    </row>
    <row r="1252" spans="1:2" ht="12.5" x14ac:dyDescent="0.25">
      <c r="A1252" t="str">
        <f ca="1">IFERROR(__xludf.DUMMYFUNCTION("""COMPUTED_VALUE"""),"Granita")</f>
        <v>Granita</v>
      </c>
      <c r="B1252" t="str">
        <f ca="1">IFERROR(__xludf.DUMMYFUNCTION("""COMPUTED_VALUE"""),"A.01.001895")</f>
        <v>A.01.001895</v>
      </c>
    </row>
    <row r="1253" spans="1:2" ht="12.5" x14ac:dyDescent="0.25">
      <c r="A1253" t="str">
        <f ca="1">IFERROR(__xludf.DUMMYFUNCTION("""COMPUTED_VALUE"""),"Grape pips")</f>
        <v>Grape pips</v>
      </c>
      <c r="B1253" t="str">
        <f ca="1">IFERROR(__xludf.DUMMYFUNCTION("""COMPUTED_VALUE"""),"F05.07")</f>
        <v>F05.07</v>
      </c>
    </row>
    <row r="1254" spans="1:2" ht="12.5" x14ac:dyDescent="0.25">
      <c r="A1254" t="str">
        <f ca="1">IFERROR(__xludf.DUMMYFUNCTION("""COMPUTED_VALUE"""),"Grape pips")</f>
        <v>Grape pips</v>
      </c>
      <c r="B1254" t="str">
        <f ca="1">IFERROR(__xludf.DUMMYFUNCTION("""COMPUTED_VALUE"""),"G.5.25")</f>
        <v>G.5.25</v>
      </c>
    </row>
    <row r="1255" spans="1:2" ht="12.5" x14ac:dyDescent="0.25">
      <c r="A1255" t="str">
        <f ca="1">IFERROR(__xludf.DUMMYFUNCTION("""COMPUTED_VALUE"""),"Grape pips meal")</f>
        <v>Grape pips meal</v>
      </c>
      <c r="B1255" t="str">
        <f ca="1">IFERROR(__xludf.DUMMYFUNCTION("""COMPUTED_VALUE"""),"G.5.25.2")</f>
        <v>G.5.25.2</v>
      </c>
    </row>
    <row r="1256" spans="1:2" ht="12.5" x14ac:dyDescent="0.25">
      <c r="A1256" t="str">
        <f ca="1">IFERROR(__xludf.DUMMYFUNCTION("""COMPUTED_VALUE"""),"Grape pips, extracted")</f>
        <v>Grape pips, extracted</v>
      </c>
      <c r="B1256" t="str">
        <f ca="1">IFERROR(__xludf.DUMMYFUNCTION("""COMPUTED_VALUE"""),"F05.05")</f>
        <v>F05.05</v>
      </c>
    </row>
    <row r="1257" spans="1:2" ht="12.5" x14ac:dyDescent="0.25">
      <c r="A1257" t="str">
        <f ca="1">IFERROR(__xludf.DUMMYFUNCTION("""COMPUTED_VALUE"""),"Grape pulp")</f>
        <v>Grape pulp</v>
      </c>
      <c r="B1257" t="str">
        <f ca="1">IFERROR(__xludf.DUMMYFUNCTION("""COMPUTED_VALUE"""),"F05.06")</f>
        <v>F05.06</v>
      </c>
    </row>
    <row r="1258" spans="1:2" ht="12.5" x14ac:dyDescent="0.25">
      <c r="A1258" t="str">
        <f ca="1">IFERROR(__xludf.DUMMYFUNCTION("""COMPUTED_VALUE"""),"Grape pulp [Grape marc]")</f>
        <v>Grape pulp [Grape marc]</v>
      </c>
      <c r="B1258" t="str">
        <f ca="1">IFERROR(__xludf.DUMMYFUNCTION("""COMPUTED_VALUE"""),"G.5.25.3")</f>
        <v>G.5.25.3</v>
      </c>
    </row>
    <row r="1259" spans="1:2" ht="12.5" x14ac:dyDescent="0.25">
      <c r="A1259" t="str">
        <f ca="1">IFERROR(__xludf.DUMMYFUNCTION("""COMPUTED_VALUE"""),"Grape seed oil")</f>
        <v>Grape seed oil</v>
      </c>
      <c r="B1259" t="str">
        <f ca="1">IFERROR(__xludf.DUMMYFUNCTION("""COMPUTED_VALUE"""),"A.01.001372")</f>
        <v>A.01.001372</v>
      </c>
    </row>
    <row r="1260" spans="1:2" ht="12.5" x14ac:dyDescent="0.25">
      <c r="A1260" t="str">
        <f ca="1">IFERROR(__xludf.DUMMYFUNCTION("""COMPUTED_VALUE"""),"Grapefruit (Citrus paradisi)")</f>
        <v>Grapefruit (Citrus paradisi)</v>
      </c>
      <c r="B1260" t="str">
        <f ca="1">IFERROR(__xludf.DUMMYFUNCTION("""COMPUTED_VALUE"""),"A.01.000546")</f>
        <v>A.01.000546</v>
      </c>
    </row>
    <row r="1261" spans="1:2" ht="12.5" x14ac:dyDescent="0.25">
      <c r="A1261" t="str">
        <f ca="1">IFERROR(__xludf.DUMMYFUNCTION("""COMPUTED_VALUE"""),"Grass meal")</f>
        <v>Grass meal</v>
      </c>
      <c r="B1261" t="str">
        <f ca="1">IFERROR(__xludf.DUMMYFUNCTION("""COMPUTED_VALUE"""),"F06.05")</f>
        <v>F06.05</v>
      </c>
    </row>
    <row r="1262" spans="1:2" ht="12.5" x14ac:dyDescent="0.25">
      <c r="A1262" t="str">
        <f ca="1">IFERROR(__xludf.DUMMYFUNCTION("""COMPUTED_VALUE"""),"Grass, field dried, [Hay]")</f>
        <v>Grass, field dried, [Hay]</v>
      </c>
      <c r="B1262" t="str">
        <f ca="1">IFERROR(__xludf.DUMMYFUNCTION("""COMPUTED_VALUE"""),"G.6.6")</f>
        <v>G.6.6</v>
      </c>
    </row>
    <row r="1263" spans="1:2" ht="12.5" x14ac:dyDescent="0.25">
      <c r="A1263" t="str">
        <f ca="1">IFERROR(__xludf.DUMMYFUNCTION("""COMPUTED_VALUE"""),"Grass, herbs, legume plants, [green forage]")</f>
        <v>Grass, herbs, legume plants, [green forage]</v>
      </c>
      <c r="B1263" t="str">
        <f ca="1">IFERROR(__xludf.DUMMYFUNCTION("""COMPUTED_VALUE"""),"G.6.6.3")</f>
        <v>G.6.6.3</v>
      </c>
    </row>
    <row r="1264" spans="1:2" ht="12.5" x14ac:dyDescent="0.25">
      <c r="A1264" t="str">
        <f ca="1">IFERROR(__xludf.DUMMYFUNCTION("""COMPUTED_VALUE"""),"Grass, high temperature dried")</f>
        <v>Grass, high temperature dried</v>
      </c>
      <c r="B1264" t="str">
        <f ca="1">IFERROR(__xludf.DUMMYFUNCTION("""COMPUTED_VALUE"""),"G.6.6.2")</f>
        <v>G.6.6.2</v>
      </c>
    </row>
    <row r="1265" spans="1:2" ht="12.5" x14ac:dyDescent="0.25">
      <c r="A1265" t="str">
        <f ca="1">IFERROR(__xludf.DUMMYFUNCTION("""COMPUTED_VALUE"""),"Gravy browning")</f>
        <v>Gravy browning</v>
      </c>
      <c r="B1265" t="str">
        <f ca="1">IFERROR(__xludf.DUMMYFUNCTION("""COMPUTED_VALUE"""),"A.01.001642")</f>
        <v>A.01.001642</v>
      </c>
    </row>
    <row r="1266" spans="1:2" ht="12.5" x14ac:dyDescent="0.25">
      <c r="A1266" t="str">
        <f ca="1">IFERROR(__xludf.DUMMYFUNCTION("""COMPUTED_VALUE"""),"Gravy instant granules")</f>
        <v>Gravy instant granules</v>
      </c>
      <c r="B1266" t="str">
        <f ca="1">IFERROR(__xludf.DUMMYFUNCTION("""COMPUTED_VALUE"""),"A.01.001643")</f>
        <v>A.01.001643</v>
      </c>
    </row>
    <row r="1267" spans="1:2" ht="12.5" x14ac:dyDescent="0.25">
      <c r="A1267" t="str">
        <f ca="1">IFERROR(__xludf.DUMMYFUNCTION("""COMPUTED_VALUE"""),"Gravy thickener")</f>
        <v>Gravy thickener</v>
      </c>
      <c r="B1267" t="str">
        <f ca="1">IFERROR(__xludf.DUMMYFUNCTION("""COMPUTED_VALUE"""),"A.01.001641")</f>
        <v>A.01.001641</v>
      </c>
    </row>
    <row r="1268" spans="1:2" ht="12.5" x14ac:dyDescent="0.25">
      <c r="A1268" t="str">
        <f ca="1">IFERROR(__xludf.DUMMYFUNCTION("""COMPUTED_VALUE"""),"Greaves")</f>
        <v>Greaves</v>
      </c>
      <c r="B1268" t="str">
        <f ca="1">IFERROR(__xludf.DUMMYFUNCTION("""COMPUTED_VALUE"""),"F09.04")</f>
        <v>F09.04</v>
      </c>
    </row>
    <row r="1269" spans="1:2" ht="12.5" x14ac:dyDescent="0.25">
      <c r="A1269" t="str">
        <f ca="1">IFERROR(__xludf.DUMMYFUNCTION("""COMPUTED_VALUE"""),"Greaves")</f>
        <v>Greaves</v>
      </c>
      <c r="B1269" t="str">
        <f ca="1">IFERROR(__xludf.DUMMYFUNCTION("""COMPUTED_VALUE"""),"G.9.13")</f>
        <v>G.9.13</v>
      </c>
    </row>
    <row r="1270" spans="1:2" ht="12.5" x14ac:dyDescent="0.25">
      <c r="A1270" t="str">
        <f ca="1">IFERROR(__xludf.DUMMYFUNCTION("""COMPUTED_VALUE"""),"Green tee, infusion")</f>
        <v>Green tee, infusion</v>
      </c>
      <c r="B1270" t="str">
        <f ca="1">IFERROR(__xludf.DUMMYFUNCTION("""COMPUTED_VALUE"""),"A.01.001517")</f>
        <v>A.01.001517</v>
      </c>
    </row>
    <row r="1271" spans="1:2" ht="12.5" x14ac:dyDescent="0.25">
      <c r="A1271" t="str">
        <f ca="1">IFERROR(__xludf.DUMMYFUNCTION("""COMPUTED_VALUE"""),"Greengage (Prunus domestica var italica)")</f>
        <v>Greengage (Prunus domestica var italica)</v>
      </c>
      <c r="B1271" t="str">
        <f ca="1">IFERROR(__xludf.DUMMYFUNCTION("""COMPUTED_VALUE"""),"A.01.000567")</f>
        <v>A.01.000567</v>
      </c>
    </row>
    <row r="1272" spans="1:2" ht="12.5" x14ac:dyDescent="0.25">
      <c r="A1272" t="str">
        <f ca="1">IFERROR(__xludf.DUMMYFUNCTION("""COMPUTED_VALUE"""),"Grey mullet (Mugil)")</f>
        <v>Grey mullet (Mugil)</v>
      </c>
      <c r="B1272" t="str">
        <f ca="1">IFERROR(__xludf.DUMMYFUNCTION("""COMPUTED_VALUE"""),"A.01.000893")</f>
        <v>A.01.000893</v>
      </c>
    </row>
    <row r="1273" spans="1:2" ht="12.5" x14ac:dyDescent="0.25">
      <c r="A1273" t="str">
        <f ca="1">IFERROR(__xludf.DUMMYFUNCTION("""COMPUTED_VALUE"""),"Grits")</f>
        <v>Grits</v>
      </c>
      <c r="B1273" t="str">
        <f ca="1">IFERROR(__xludf.DUMMYFUNCTION("""COMPUTED_VALUE"""),"A.01.000240")</f>
        <v>A.01.000240</v>
      </c>
    </row>
    <row r="1274" spans="1:2" ht="12.5" x14ac:dyDescent="0.25">
      <c r="A1274" t="str">
        <f ca="1">IFERROR(__xludf.DUMMYFUNCTION("""COMPUTED_VALUE"""),"Ground fodder rice")</f>
        <v>Ground fodder rice</v>
      </c>
      <c r="B1274" t="str">
        <f ca="1">IFERROR(__xludf.DUMMYFUNCTION("""COMPUTED_VALUE"""),"F01.13")</f>
        <v>F01.13</v>
      </c>
    </row>
    <row r="1275" spans="1:2" ht="12.5" x14ac:dyDescent="0.25">
      <c r="A1275" t="str">
        <f ca="1">IFERROR(__xludf.DUMMYFUNCTION("""COMPUTED_VALUE"""),"Ground fodder rice")</f>
        <v>Ground fodder rice</v>
      </c>
      <c r="B1275" t="str">
        <f ca="1">IFERROR(__xludf.DUMMYFUNCTION("""COMPUTED_VALUE"""),"G.1.6.7")</f>
        <v>G.1.6.7</v>
      </c>
    </row>
    <row r="1276" spans="1:2" ht="12.5" x14ac:dyDescent="0.25">
      <c r="A1276" t="str">
        <f ca="1">IFERROR(__xludf.DUMMYFUNCTION("""COMPUTED_VALUE"""),"Groundnut expeller, decorticated")</f>
        <v>Groundnut expeller, decorticated</v>
      </c>
      <c r="B1276" t="str">
        <f ca="1">IFERROR(__xludf.DUMMYFUNCTION("""COMPUTED_VALUE"""),"G.2.6.3")</f>
        <v>G.2.6.3</v>
      </c>
    </row>
    <row r="1277" spans="1:2" ht="12.5" x14ac:dyDescent="0.25">
      <c r="A1277" t="str">
        <f ca="1">IFERROR(__xludf.DUMMYFUNCTION("""COMPUTED_VALUE"""),"Groundnut expeller, partially decorticated")</f>
        <v>Groundnut expeller, partially decorticated</v>
      </c>
      <c r="B1277" t="str">
        <f ca="1">IFERROR(__xludf.DUMMYFUNCTION("""COMPUTED_VALUE"""),"G.2.6")</f>
        <v>G.2.6</v>
      </c>
    </row>
    <row r="1278" spans="1:2" ht="12.5" x14ac:dyDescent="0.25">
      <c r="A1278" t="str">
        <f ca="1">IFERROR(__xludf.DUMMYFUNCTION("""COMPUTED_VALUE"""),"Groundnut meal, decorticated")</f>
        <v>Groundnut meal, decorticated</v>
      </c>
      <c r="B1278" t="str">
        <f ca="1">IFERROR(__xludf.DUMMYFUNCTION("""COMPUTED_VALUE"""),"G.2.6.4")</f>
        <v>G.2.6.4</v>
      </c>
    </row>
    <row r="1279" spans="1:2" ht="12.5" x14ac:dyDescent="0.25">
      <c r="A1279" t="str">
        <f ca="1">IFERROR(__xludf.DUMMYFUNCTION("""COMPUTED_VALUE"""),"Groundnut meal, partially decorticated")</f>
        <v>Groundnut meal, partially decorticated</v>
      </c>
      <c r="B1279" t="str">
        <f ca="1">IFERROR(__xludf.DUMMYFUNCTION("""COMPUTED_VALUE"""),"G.2.6.2")</f>
        <v>G.2.6.2</v>
      </c>
    </row>
    <row r="1280" spans="1:2" ht="12.5" x14ac:dyDescent="0.25">
      <c r="A1280" t="str">
        <f ca="1">IFERROR(__xludf.DUMMYFUNCTION("""COMPUTED_VALUE"""),"Groundnut, decorticated, expeller")</f>
        <v>Groundnut, decorticated, expeller</v>
      </c>
      <c r="B1280" t="str">
        <f ca="1">IFERROR(__xludf.DUMMYFUNCTION("""COMPUTED_VALUE"""),"F02.03")</f>
        <v>F02.03</v>
      </c>
    </row>
    <row r="1281" spans="1:2" ht="12.5" x14ac:dyDescent="0.25">
      <c r="A1281" t="str">
        <f ca="1">IFERROR(__xludf.DUMMYFUNCTION("""COMPUTED_VALUE"""),"Groundnut, decorticated, extracted")</f>
        <v>Groundnut, decorticated, extracted</v>
      </c>
      <c r="B1281" t="str">
        <f ca="1">IFERROR(__xludf.DUMMYFUNCTION("""COMPUTED_VALUE"""),"F02.04")</f>
        <v>F02.04</v>
      </c>
    </row>
    <row r="1282" spans="1:2" ht="12.5" x14ac:dyDescent="0.25">
      <c r="A1282" t="str">
        <f ca="1">IFERROR(__xludf.DUMMYFUNCTION("""COMPUTED_VALUE"""),"Groundnut, partially decorticated, expeller")</f>
        <v>Groundnut, partially decorticated, expeller</v>
      </c>
      <c r="B1282" t="str">
        <f ca="1">IFERROR(__xludf.DUMMYFUNCTION("""COMPUTED_VALUE"""),"F02.01")</f>
        <v>F02.01</v>
      </c>
    </row>
    <row r="1283" spans="1:2" ht="12.5" x14ac:dyDescent="0.25">
      <c r="A1283" t="str">
        <f ca="1">IFERROR(__xludf.DUMMYFUNCTION("""COMPUTED_VALUE"""),"Groundnut, partially decorticated, extracted")</f>
        <v>Groundnut, partially decorticated, extracted</v>
      </c>
      <c r="B1283" t="str">
        <f ca="1">IFERROR(__xludf.DUMMYFUNCTION("""COMPUTED_VALUE"""),"F02.02")</f>
        <v>F02.02</v>
      </c>
    </row>
    <row r="1284" spans="1:2" ht="12.5" x14ac:dyDescent="0.25">
      <c r="A1284" t="str">
        <f ca="1">IFERROR(__xludf.DUMMYFUNCTION("""COMPUTED_VALUE"""),"Grouse meat (Lagopus scroticus)")</f>
        <v>Grouse meat (Lagopus scroticus)</v>
      </c>
      <c r="B1284" t="str">
        <f ca="1">IFERROR(__xludf.DUMMYFUNCTION("""COMPUTED_VALUE"""),"A.01.000758")</f>
        <v>A.01.000758</v>
      </c>
    </row>
    <row r="1285" spans="1:2" ht="12.5" x14ac:dyDescent="0.25">
      <c r="A1285" t="str">
        <f ca="1">IFERROR(__xludf.DUMMYFUNCTION("""COMPUTED_VALUE"""),"Growing/Fattening pigs / Complementary feed")</f>
        <v>Growing/Fattening pigs / Complementary feed</v>
      </c>
      <c r="B1285" t="str">
        <f ca="1">IFERROR(__xludf.DUMMYFUNCTION("""COMPUTED_VALUE"""),"G.14.2.6")</f>
        <v>G.14.2.6</v>
      </c>
    </row>
    <row r="1286" spans="1:2" ht="12.5" x14ac:dyDescent="0.25">
      <c r="A1286" t="str">
        <f ca="1">IFERROR(__xludf.DUMMYFUNCTION("""COMPUTED_VALUE"""),"Growing/Fattening pigs / Complete feed")</f>
        <v>Growing/Fattening pigs / Complete feed</v>
      </c>
      <c r="B1286" t="str">
        <f ca="1">IFERROR(__xludf.DUMMYFUNCTION("""COMPUTED_VALUE"""),"G.14.1.6")</f>
        <v>G.14.1.6</v>
      </c>
    </row>
    <row r="1287" spans="1:2" ht="12.5" x14ac:dyDescent="0.25">
      <c r="A1287" t="str">
        <f ca="1">IFERROR(__xludf.DUMMYFUNCTION("""COMPUTED_VALUE"""),"Guar germs meal")</f>
        <v>Guar germs meal</v>
      </c>
      <c r="B1287" t="str">
        <f ca="1">IFERROR(__xludf.DUMMYFUNCTION("""COMPUTED_VALUE"""),"G.3.6.2")</f>
        <v>G.3.6.2</v>
      </c>
    </row>
    <row r="1288" spans="1:2" ht="12.5" x14ac:dyDescent="0.25">
      <c r="A1288" t="str">
        <f ca="1">IFERROR(__xludf.DUMMYFUNCTION("""COMPUTED_VALUE"""),"Guar meal")</f>
        <v>Guar meal</v>
      </c>
      <c r="B1288" t="str">
        <f ca="1">IFERROR(__xludf.DUMMYFUNCTION("""COMPUTED_VALUE"""),"G.3.6")</f>
        <v>G.3.6</v>
      </c>
    </row>
    <row r="1289" spans="1:2" ht="12.5" x14ac:dyDescent="0.25">
      <c r="A1289" t="str">
        <f ca="1">IFERROR(__xludf.DUMMYFUNCTION("""COMPUTED_VALUE"""),"Guar meal, extracted")</f>
        <v>Guar meal, extracted</v>
      </c>
      <c r="B1289" t="str">
        <f ca="1">IFERROR(__xludf.DUMMYFUNCTION("""COMPUTED_VALUE"""),"F03.02")</f>
        <v>F03.02</v>
      </c>
    </row>
    <row r="1290" spans="1:2" ht="12.5" x14ac:dyDescent="0.25">
      <c r="A1290" t="str">
        <f ca="1">IFERROR(__xludf.DUMMYFUNCTION("""COMPUTED_VALUE"""),"Guava (Psidium guajava)")</f>
        <v>Guava (Psidium guajava)</v>
      </c>
      <c r="B1290" t="str">
        <f ca="1">IFERROR(__xludf.DUMMYFUNCTION("""COMPUTED_VALUE"""),"A.01.000631")</f>
        <v>A.01.000631</v>
      </c>
    </row>
    <row r="1291" spans="1:2" ht="12.5" x14ac:dyDescent="0.25">
      <c r="A1291" t="str">
        <f ca="1">IFERROR(__xludf.DUMMYFUNCTION("""COMPUTED_VALUE"""),"Guinea fowl meat (Numida meleagris)")</f>
        <v>Guinea fowl meat (Numida meleagris)</v>
      </c>
      <c r="B1291" t="str">
        <f ca="1">IFERROR(__xludf.DUMMYFUNCTION("""COMPUTED_VALUE"""),"A.01.000742")</f>
        <v>A.01.000742</v>
      </c>
    </row>
    <row r="1292" spans="1:2" ht="12.5" x14ac:dyDescent="0.25">
      <c r="A1292" t="str">
        <f ca="1">IFERROR(__xludf.DUMMYFUNCTION("""COMPUTED_VALUE"""),"Gum")</f>
        <v>Gum</v>
      </c>
      <c r="B1292" t="str">
        <f ca="1">IFERROR(__xludf.DUMMYFUNCTION("""COMPUTED_VALUE"""),"A.01.001711")</f>
        <v>A.01.001711</v>
      </c>
    </row>
    <row r="1293" spans="1:2" ht="12.5" x14ac:dyDescent="0.25">
      <c r="A1293" t="str">
        <f ca="1">IFERROR(__xludf.DUMMYFUNCTION("""COMPUTED_VALUE"""),"Gum drops")</f>
        <v>Gum drops</v>
      </c>
      <c r="B1293" t="str">
        <f ca="1">IFERROR(__xludf.DUMMYFUNCTION("""COMPUTED_VALUE"""),"A.01.001322")</f>
        <v>A.01.001322</v>
      </c>
    </row>
    <row r="1294" spans="1:2" ht="12.5" x14ac:dyDescent="0.25">
      <c r="A1294" t="str">
        <f ca="1">IFERROR(__xludf.DUMMYFUNCTION("""COMPUTED_VALUE"""),"Gypsy mushroom (Cortinarius caperatus)")</f>
        <v>Gypsy mushroom (Cortinarius caperatus)</v>
      </c>
      <c r="B1294" t="str">
        <f ca="1">IFERROR(__xludf.DUMMYFUNCTION("""COMPUTED_VALUE"""),"A.01.000466")</f>
        <v>A.01.000466</v>
      </c>
    </row>
    <row r="1295" spans="1:2" ht="12.5" x14ac:dyDescent="0.25">
      <c r="A1295" t="str">
        <f ca="1">IFERROR(__xludf.DUMMYFUNCTION("""COMPUTED_VALUE"""),"Hake (Merluccius)")</f>
        <v>Hake (Merluccius)</v>
      </c>
      <c r="B1295" t="str">
        <f ca="1">IFERROR(__xludf.DUMMYFUNCTION("""COMPUTED_VALUE"""),"A.01.000895")</f>
        <v>A.01.000895</v>
      </c>
    </row>
    <row r="1296" spans="1:2" ht="12.5" x14ac:dyDescent="0.25">
      <c r="A1296" t="str">
        <f ca="1">IFERROR(__xludf.DUMMYFUNCTION("""COMPUTED_VALUE"""),"Halibut (Hippoglossus spp.)")</f>
        <v>Halibut (Hippoglossus spp.)</v>
      </c>
      <c r="B1296" t="str">
        <f ca="1">IFERROR(__xludf.DUMMYFUNCTION("""COMPUTED_VALUE"""),"A.01.000897")</f>
        <v>A.01.000897</v>
      </c>
    </row>
    <row r="1297" spans="1:2" ht="12.5" x14ac:dyDescent="0.25">
      <c r="A1297" t="str">
        <f ca="1">IFERROR(__xludf.DUMMYFUNCTION("""COMPUTED_VALUE"""),"Halva")</f>
        <v>Halva</v>
      </c>
      <c r="B1297" t="str">
        <f ca="1">IFERROR(__xludf.DUMMYFUNCTION("""COMPUTED_VALUE"""),"A.01.001325")</f>
        <v>A.01.001325</v>
      </c>
    </row>
    <row r="1298" spans="1:2" ht="12.5" x14ac:dyDescent="0.25">
      <c r="A1298" t="str">
        <f ca="1">IFERROR(__xludf.DUMMYFUNCTION("""COMPUTED_VALUE"""),"Ham and cheese loaf")</f>
        <v>Ham and cheese loaf</v>
      </c>
      <c r="B1298" t="str">
        <f ca="1">IFERROR(__xludf.DUMMYFUNCTION("""COMPUTED_VALUE"""),"A.01.000861")</f>
        <v>A.01.000861</v>
      </c>
    </row>
    <row r="1299" spans="1:2" ht="12.5" x14ac:dyDescent="0.25">
      <c r="A1299" t="str">
        <f ca="1">IFERROR(__xludf.DUMMYFUNCTION("""COMPUTED_VALUE"""),"Ham, beef")</f>
        <v>Ham, beef</v>
      </c>
      <c r="B1299" t="str">
        <f ca="1">IFERROR(__xludf.DUMMYFUNCTION("""COMPUTED_VALUE"""),"A.01.000797")</f>
        <v>A.01.000797</v>
      </c>
    </row>
    <row r="1300" spans="1:2" ht="12.5" x14ac:dyDescent="0.25">
      <c r="A1300" t="str">
        <f ca="1">IFERROR(__xludf.DUMMYFUNCTION("""COMPUTED_VALUE"""),"Ham, pork")</f>
        <v>Ham, pork</v>
      </c>
      <c r="B1300" t="str">
        <f ca="1">IFERROR(__xludf.DUMMYFUNCTION("""COMPUTED_VALUE"""),"A.01.000796")</f>
        <v>A.01.000796</v>
      </c>
    </row>
    <row r="1301" spans="1:2" ht="12.5" x14ac:dyDescent="0.25">
      <c r="A1301" t="str">
        <f ca="1">IFERROR(__xludf.DUMMYFUNCTION("""COMPUTED_VALUE"""),"Ham, turkey")</f>
        <v>Ham, turkey</v>
      </c>
      <c r="B1301" t="str">
        <f ca="1">IFERROR(__xludf.DUMMYFUNCTION("""COMPUTED_VALUE"""),"A.01.000801")</f>
        <v>A.01.000801</v>
      </c>
    </row>
    <row r="1302" spans="1:2" ht="12.5" x14ac:dyDescent="0.25">
      <c r="A1302" t="str">
        <f ca="1">IFERROR(__xludf.DUMMYFUNCTION("""COMPUTED_VALUE"""),"Hare meat (Lepus europaeus)")</f>
        <v>Hare meat (Lepus europaeus)</v>
      </c>
      <c r="B1302" t="str">
        <f ca="1">IFERROR(__xludf.DUMMYFUNCTION("""COMPUTED_VALUE"""),"A.01.000750")</f>
        <v>A.01.000750</v>
      </c>
    </row>
    <row r="1303" spans="1:2" ht="12.5" x14ac:dyDescent="0.25">
      <c r="A1303" t="str">
        <f ca="1">IFERROR(__xludf.DUMMYFUNCTION("""COMPUTED_VALUE"""),"Hawthorn (Crataegus and Rhaphiolepis)")</f>
        <v>Hawthorn (Crataegus and Rhaphiolepis)</v>
      </c>
      <c r="B1303" t="str">
        <f ca="1">IFERROR(__xludf.DUMMYFUNCTION("""COMPUTED_VALUE"""),"A.01.000558")</f>
        <v>A.01.000558</v>
      </c>
    </row>
    <row r="1304" spans="1:2" ht="12.5" x14ac:dyDescent="0.25">
      <c r="A1304" t="str">
        <f ca="1">IFERROR(__xludf.DUMMYFUNCTION("""COMPUTED_VALUE"""),"Hazelnut")</f>
        <v>Hazelnut</v>
      </c>
      <c r="B1304" t="str">
        <f ca="1">IFERROR(__xludf.DUMMYFUNCTION("""COMPUTED_VALUE"""),"G.5.26")</f>
        <v>G.5.26</v>
      </c>
    </row>
    <row r="1305" spans="1:2" ht="12.5" x14ac:dyDescent="0.25">
      <c r="A1305" t="str">
        <f ca="1">IFERROR(__xludf.DUMMYFUNCTION("""COMPUTED_VALUE"""),"Hazelnuts (Corylus avellana)")</f>
        <v>Hazelnuts (Corylus avellana)</v>
      </c>
      <c r="B1305" t="str">
        <f ca="1">IFERROR(__xludf.DUMMYFUNCTION("""COMPUTED_VALUE"""),"A.01.000520")</f>
        <v>A.01.000520</v>
      </c>
    </row>
    <row r="1306" spans="1:2" ht="12.5" x14ac:dyDescent="0.25">
      <c r="A1306" t="str">
        <f ca="1">IFERROR(__xludf.DUMMYFUNCTION("""COMPUTED_VALUE"""),"Head cabbage (Brassica oleracea convar. capitata)")</f>
        <v>Head cabbage (Brassica oleracea convar. capitata)</v>
      </c>
      <c r="B1306" t="str">
        <f ca="1">IFERROR(__xludf.DUMMYFUNCTION("""COMPUTED_VALUE"""),"A.01.000354")</f>
        <v>A.01.000354</v>
      </c>
    </row>
    <row r="1307" spans="1:2" ht="12.5" x14ac:dyDescent="0.25">
      <c r="A1307" t="str">
        <f ca="1">IFERROR(__xludf.DUMMYFUNCTION("""COMPUTED_VALUE"""),"Head cheese (Brawn)")</f>
        <v>Head cheese (Brawn)</v>
      </c>
      <c r="B1307" t="str">
        <f ca="1">IFERROR(__xludf.DUMMYFUNCTION("""COMPUTED_VALUE"""),"A.01.000865")</f>
        <v>A.01.000865</v>
      </c>
    </row>
    <row r="1308" spans="1:2" ht="12.5" x14ac:dyDescent="0.25">
      <c r="A1308" t="str">
        <f ca="1">IFERROR(__xludf.DUMMYFUNCTION("""COMPUTED_VALUE"""),"Heart (beef, veal, pork, mutton, lamb)")</f>
        <v>Heart (beef, veal, pork, mutton, lamb)</v>
      </c>
      <c r="B1308" t="str">
        <f ca="1">IFERROR(__xludf.DUMMYFUNCTION("""COMPUTED_VALUE"""),"A.01.000780")</f>
        <v>A.01.000780</v>
      </c>
    </row>
    <row r="1309" spans="1:2" ht="12.5" x14ac:dyDescent="0.25">
      <c r="A1309" t="str">
        <f ca="1">IFERROR(__xludf.DUMMYFUNCTION("""COMPUTED_VALUE"""),"Hemp expeller")</f>
        <v>Hemp expeller</v>
      </c>
      <c r="B1309" t="str">
        <f ca="1">IFERROR(__xludf.DUMMYFUNCTION("""COMPUTED_VALUE"""),"G.2.22.2")</f>
        <v>G.2.22.2</v>
      </c>
    </row>
    <row r="1310" spans="1:2" ht="12.5" x14ac:dyDescent="0.25">
      <c r="A1310" t="str">
        <f ca="1">IFERROR(__xludf.DUMMYFUNCTION("""COMPUTED_VALUE"""),"Hemp fibre")</f>
        <v>Hemp fibre</v>
      </c>
      <c r="B1310" t="str">
        <f ca="1">IFERROR(__xludf.DUMMYFUNCTION("""COMPUTED_VALUE"""),"G.6.7.2")</f>
        <v>G.6.7.2</v>
      </c>
    </row>
    <row r="1311" spans="1:2" ht="12.5" x14ac:dyDescent="0.25">
      <c r="A1311" t="str">
        <f ca="1">IFERROR(__xludf.DUMMYFUNCTION("""COMPUTED_VALUE"""),"Hemp flour")</f>
        <v>Hemp flour</v>
      </c>
      <c r="B1311" t="str">
        <f ca="1">IFERROR(__xludf.DUMMYFUNCTION("""COMPUTED_VALUE"""),"G.6.7")</f>
        <v>G.6.7</v>
      </c>
    </row>
    <row r="1312" spans="1:2" ht="12.5" x14ac:dyDescent="0.25">
      <c r="A1312" t="str">
        <f ca="1">IFERROR(__xludf.DUMMYFUNCTION("""COMPUTED_VALUE"""),"Hemp oil")</f>
        <v>Hemp oil</v>
      </c>
      <c r="B1312" t="str">
        <f ca="1">IFERROR(__xludf.DUMMYFUNCTION("""COMPUTED_VALUE"""),"G.2.22.3")</f>
        <v>G.2.22.3</v>
      </c>
    </row>
    <row r="1313" spans="1:2" ht="12.5" x14ac:dyDescent="0.25">
      <c r="A1313" t="str">
        <f ca="1">IFERROR(__xludf.DUMMYFUNCTION("""COMPUTED_VALUE"""),"Hemp seed")</f>
        <v>Hemp seed</v>
      </c>
      <c r="B1313" t="str">
        <f ca="1">IFERROR(__xludf.DUMMYFUNCTION("""COMPUTED_VALUE"""),"G.2.22")</f>
        <v>G.2.22</v>
      </c>
    </row>
    <row r="1314" spans="1:2" ht="12.5" x14ac:dyDescent="0.25">
      <c r="A1314" t="str">
        <f ca="1">IFERROR(__xludf.DUMMYFUNCTION("""COMPUTED_VALUE"""),"Hempseed (Cannabis sativa)")</f>
        <v>Hempseed (Cannabis sativa)</v>
      </c>
      <c r="B1314" t="str">
        <f ca="1">IFERROR(__xludf.DUMMYFUNCTION("""COMPUTED_VALUE"""),"A.01.000541")</f>
        <v>A.01.000541</v>
      </c>
    </row>
    <row r="1315" spans="1:2" ht="12.5" x14ac:dyDescent="0.25">
      <c r="A1315" t="str">
        <f ca="1">IFERROR(__xludf.DUMMYFUNCTION("""COMPUTED_VALUE"""),"Herb and spice mixtures")</f>
        <v>Herb and spice mixtures</v>
      </c>
      <c r="B1315" t="str">
        <f ca="1">IFERROR(__xludf.DUMMYFUNCTION("""COMPUTED_VALUE"""),"A.01.001625")</f>
        <v>A.01.001625</v>
      </c>
    </row>
    <row r="1316" spans="1:2" ht="12.5" x14ac:dyDescent="0.25">
      <c r="A1316" t="str">
        <f ca="1">IFERROR(__xludf.DUMMYFUNCTION("""COMPUTED_VALUE"""),"Herb liqueur")</f>
        <v>Herb liqueur</v>
      </c>
      <c r="B1316" t="str">
        <f ca="1">IFERROR(__xludf.DUMMYFUNCTION("""COMPUTED_VALUE"""),"A.01.001554")</f>
        <v>A.01.001554</v>
      </c>
    </row>
    <row r="1317" spans="1:2" ht="12.5" x14ac:dyDescent="0.25">
      <c r="A1317" t="str">
        <f ca="1">IFERROR(__xludf.DUMMYFUNCTION("""COMPUTED_VALUE"""),"Herbal tea, infusion")</f>
        <v>Herbal tea, infusion</v>
      </c>
      <c r="B1317" t="str">
        <f ca="1">IFERROR(__xludf.DUMMYFUNCTION("""COMPUTED_VALUE"""),"A.01.001519")</f>
        <v>A.01.001519</v>
      </c>
    </row>
    <row r="1318" spans="1:2" ht="12.5" x14ac:dyDescent="0.25">
      <c r="A1318" t="str">
        <f ca="1">IFERROR(__xludf.DUMMYFUNCTION("""COMPUTED_VALUE"""),"Herbs")</f>
        <v>Herbs</v>
      </c>
      <c r="B1318" t="str">
        <f ca="1">IFERROR(__xludf.DUMMYFUNCTION("""COMPUTED_VALUE"""),"A.01.001581")</f>
        <v>A.01.001581</v>
      </c>
    </row>
    <row r="1319" spans="1:2" ht="12.5" x14ac:dyDescent="0.25">
      <c r="A1319" t="str">
        <f ca="1">IFERROR(__xludf.DUMMYFUNCTION("""COMPUTED_VALUE"""),"Herbs, spices and condiments")</f>
        <v>Herbs, spices and condiments</v>
      </c>
      <c r="B1319" t="str">
        <f ca="1">IFERROR(__xludf.DUMMYFUNCTION("""COMPUTED_VALUE"""),"A.01.001580")</f>
        <v>A.01.001580</v>
      </c>
    </row>
    <row r="1320" spans="1:2" ht="12.5" x14ac:dyDescent="0.25">
      <c r="A1320" t="str">
        <f ca="1">IFERROR(__xludf.DUMMYFUNCTION("""COMPUTED_VALUE"""),"Herring (Clupea)")</f>
        <v>Herring (Clupea)</v>
      </c>
      <c r="B1320" t="str">
        <f ca="1">IFERROR(__xludf.DUMMYFUNCTION("""COMPUTED_VALUE"""),"A.01.000878")</f>
        <v>A.01.000878</v>
      </c>
    </row>
    <row r="1321" spans="1:2" ht="12.5" x14ac:dyDescent="0.25">
      <c r="A1321" t="str">
        <f ca="1">IFERROR(__xludf.DUMMYFUNCTION("""COMPUTED_VALUE"""),"Herring oil")</f>
        <v>Herring oil</v>
      </c>
      <c r="B1321" t="str">
        <f ca="1">IFERROR(__xludf.DUMMYFUNCTION("""COMPUTED_VALUE"""),"A.01.001359")</f>
        <v>A.01.001359</v>
      </c>
    </row>
    <row r="1322" spans="1:2" ht="12.5" x14ac:dyDescent="0.25">
      <c r="A1322" t="str">
        <f ca="1">IFERROR(__xludf.DUMMYFUNCTION("""COMPUTED_VALUE"""),"Hibiscus flowers (Hibiscus sabdariffa)")</f>
        <v>Hibiscus flowers (Hibiscus sabdariffa)</v>
      </c>
      <c r="B1322" t="str">
        <f ca="1">IFERROR(__xludf.DUMMYFUNCTION("""COMPUTED_VALUE"""),"A.01.000409")</f>
        <v>A.01.000409</v>
      </c>
    </row>
    <row r="1323" spans="1:2" ht="12.5" x14ac:dyDescent="0.25">
      <c r="A1323" t="str">
        <f ca="1">IFERROR(__xludf.DUMMYFUNCTION("""COMPUTED_VALUE"""),"Holsteiner cervelat")</f>
        <v>Holsteiner cervelat</v>
      </c>
      <c r="B1323" t="str">
        <f ca="1">IFERROR(__xludf.DUMMYFUNCTION("""COMPUTED_VALUE"""),"A.01.000839")</f>
        <v>A.01.000839</v>
      </c>
    </row>
    <row r="1324" spans="1:2" ht="12.5" x14ac:dyDescent="0.25">
      <c r="A1324" t="str">
        <f ca="1">IFERROR(__xludf.DUMMYFUNCTION("""COMPUTED_VALUE"""),"Honey")</f>
        <v>Honey</v>
      </c>
      <c r="B1324" t="str">
        <f ca="1">IFERROR(__xludf.DUMMYFUNCTION("""COMPUTED_VALUE"""),"A.01.001340")</f>
        <v>A.01.001340</v>
      </c>
    </row>
    <row r="1325" spans="1:2" ht="12.5" x14ac:dyDescent="0.25">
      <c r="A1325" t="str">
        <f ca="1">IFERROR(__xludf.DUMMYFUNCTION("""COMPUTED_VALUE"""),"Honey mushroom (Armillaria mellea)")</f>
        <v>Honey mushroom (Armillaria mellea)</v>
      </c>
      <c r="B1325" t="str">
        <f ca="1">IFERROR(__xludf.DUMMYFUNCTION("""COMPUTED_VALUE"""),"A.01.000460")</f>
        <v>A.01.000460</v>
      </c>
    </row>
    <row r="1326" spans="1:2" ht="12.5" x14ac:dyDescent="0.25">
      <c r="A1326" t="str">
        <f ca="1">IFERROR(__xludf.DUMMYFUNCTION("""COMPUTED_VALUE"""),"Honey, blended")</f>
        <v>Honey, blended</v>
      </c>
      <c r="B1326" t="str">
        <f ca="1">IFERROR(__xludf.DUMMYFUNCTION("""COMPUTED_VALUE"""),"A.01.001343")</f>
        <v>A.01.001343</v>
      </c>
    </row>
    <row r="1327" spans="1:2" ht="12.5" x14ac:dyDescent="0.25">
      <c r="A1327" t="str">
        <f ca="1">IFERROR(__xludf.DUMMYFUNCTION("""COMPUTED_VALUE"""),"Honey, monofloral")</f>
        <v>Honey, monofloral</v>
      </c>
      <c r="B1327" t="str">
        <f ca="1">IFERROR(__xludf.DUMMYFUNCTION("""COMPUTED_VALUE"""),"A.01.001341")</f>
        <v>A.01.001341</v>
      </c>
    </row>
    <row r="1328" spans="1:2" ht="12.5" x14ac:dyDescent="0.25">
      <c r="A1328" t="str">
        <f ca="1">IFERROR(__xludf.DUMMYFUNCTION("""COMPUTED_VALUE"""),"Honey, polyfloral")</f>
        <v>Honey, polyfloral</v>
      </c>
      <c r="B1328" t="str">
        <f ca="1">IFERROR(__xludf.DUMMYFUNCTION("""COMPUTED_VALUE"""),"A.01.001342")</f>
        <v>A.01.001342</v>
      </c>
    </row>
    <row r="1329" spans="1:2" ht="12.5" x14ac:dyDescent="0.25">
      <c r="A1329" t="str">
        <f ca="1">IFERROR(__xludf.DUMMYFUNCTION("""COMPUTED_VALUE"""),"Honeydew honey")</f>
        <v>Honeydew honey</v>
      </c>
      <c r="B1329" t="str">
        <f ca="1">IFERROR(__xludf.DUMMYFUNCTION("""COMPUTED_VALUE"""),"A.01.001344")</f>
        <v>A.01.001344</v>
      </c>
    </row>
    <row r="1330" spans="1:2" ht="12.5" x14ac:dyDescent="0.25">
      <c r="A1330" t="str">
        <f ca="1">IFERROR(__xludf.DUMMYFUNCTION("""COMPUTED_VALUE"""),"Hops (dried), including hop pellets and
unconcentrated powder (Humulus lupulus)")</f>
        <v>Hops (dried), including hop pellets and
unconcentrated powder (Humulus lupulus)</v>
      </c>
      <c r="B1330" t="str">
        <f ca="1">IFERROR(__xludf.DUMMYFUNCTION("""COMPUTED_VALUE"""),"A.01.000452")</f>
        <v>A.01.000452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IFERROR(__xludf.DUMMYFUNCTION("importrange(""https://docs.google.com/spreadsheets/d/1C6N4-YWX9OMmNStd2rYlSUaVys-aiJGLj00cD44aVc8/edit#gid=1894320575"",""Type of records!A1:O500"")"),"Value")</f>
        <v>Value</v>
      </c>
      <c r="B1" t="str">
        <f ca="1">IFERROR(__xludf.DUMMYFUNCTION("""COMPUTED_VALUE"""),"ID")</f>
        <v>ID</v>
      </c>
      <c r="C1" t="str">
        <f ca="1">IFERROR(__xludf.DUMMYFUNCTION("""COMPUTED_VALUE"""),"Comment")</f>
        <v>Comment</v>
      </c>
    </row>
    <row r="2" spans="1:3" ht="12.5" x14ac:dyDescent="0.25">
      <c r="A2" t="str">
        <f ca="1">IFERROR(__xludf.DUMMYFUNCTION("""COMPUTED_VALUE"""),"Consumption occasion")</f>
        <v>Consumption occasion</v>
      </c>
      <c r="B2" t="str">
        <f ca="1">IFERROR(__xludf.DUMMYFUNCTION("""COMPUTED_VALUE"""),"Type of records_1")</f>
        <v>Type of records_1</v>
      </c>
    </row>
    <row r="3" spans="1:3" ht="12.5" x14ac:dyDescent="0.25">
      <c r="A3" t="str">
        <f ca="1">IFERROR(__xludf.DUMMYFUNCTION("""COMPUTED_VALUE"""),"Mean of consumption")</f>
        <v>Mean of consumption</v>
      </c>
      <c r="B3" t="str">
        <f ca="1">IFERROR(__xludf.DUMMYFUNCTION("""COMPUTED_VALUE"""),"Type of records_2")</f>
        <v>Type of records_2</v>
      </c>
    </row>
    <row r="4" spans="1:3" ht="12.5" x14ac:dyDescent="0.25">
      <c r="A4" t="str">
        <f ca="1">IFERROR(__xludf.DUMMYFUNCTION("""COMPUTED_VALUE"""),"Other")</f>
        <v>Other</v>
      </c>
      <c r="B4" t="str">
        <f ca="1">IFERROR(__xludf.DUMMYFUNCTION("""COMPUTED_VALUE"""),"Type of records_5")</f>
        <v>Type of records_5</v>
      </c>
    </row>
    <row r="5" spans="1:3" ht="12.5" x14ac:dyDescent="0.25">
      <c r="A5" t="str">
        <f ca="1">IFERROR(__xludf.DUMMYFUNCTION("""COMPUTED_VALUE"""),"Quantified and described as eaten")</f>
        <v>Quantified and described as eaten</v>
      </c>
      <c r="B5" t="str">
        <f ca="1">IFERROR(__xludf.DUMMYFUNCTION("""COMPUTED_VALUE"""),"Type of records_3")</f>
        <v>Type of records_3</v>
      </c>
    </row>
    <row r="6" spans="1:3" ht="12.5" x14ac:dyDescent="0.25">
      <c r="A6" t="str">
        <f ca="1">IFERROR(__xludf.DUMMYFUNCTION("""COMPUTED_VALUE"""),"Recipes for self-made")</f>
        <v>Recipes for self-made</v>
      </c>
      <c r="B6" t="str">
        <f ca="1">IFERROR(__xludf.DUMMYFUNCTION("""COMPUTED_VALUE"""),"Type of records_4")</f>
        <v>Type of records_4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86"/>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IFERROR(__xludf.DUMMYFUNCTION("Importrange(""https://docs.google.com/spreadsheets/d/1C6N4-YWX9OMmNStd2rYlSUaVys-aiJGLj00cD44aVc8/edit#gid=1894320575"",""Rights!A1:A"")"),"Value")</f>
        <v>Value</v>
      </c>
    </row>
    <row r="2" spans="1:1" ht="12.5" x14ac:dyDescent="0.25">
      <c r="A2" t="str">
        <f ca="1">IFERROR(__xludf.DUMMYFUNCTION("""COMPUTED_VALUE"""),"Academic Free License 3.0")</f>
        <v>Academic Free License 3.0</v>
      </c>
    </row>
    <row r="3" spans="1:1" ht="12.5" x14ac:dyDescent="0.25">
      <c r="A3" t="str">
        <f ca="1">IFERROR(__xludf.DUMMYFUNCTION("""COMPUTED_VALUE"""),"Adaptive Public License 1.0")</f>
        <v>Adaptive Public License 1.0</v>
      </c>
    </row>
    <row r="4" spans="1:1" ht="12.5" x14ac:dyDescent="0.25">
      <c r="A4" t="str">
        <f ca="1">IFERROR(__xludf.DUMMYFUNCTION("""COMPUTED_VALUE"""),"Apache Software License 1.1")</f>
        <v>Apache Software License 1.1</v>
      </c>
    </row>
    <row r="5" spans="1:1" ht="12.5" x14ac:dyDescent="0.25">
      <c r="A5" t="str">
        <f ca="1">IFERROR(__xludf.DUMMYFUNCTION("""COMPUTED_VALUE"""),"Apache Software License 2.0")</f>
        <v>Apache Software License 2.0</v>
      </c>
    </row>
    <row r="6" spans="1:1" ht="12.5" x14ac:dyDescent="0.25">
      <c r="A6" t="str">
        <f ca="1">IFERROR(__xludf.DUMMYFUNCTION("""COMPUTED_VALUE"""),"Apple Public Source License 2.0")</f>
        <v>Apple Public Source License 2.0</v>
      </c>
    </row>
    <row r="7" spans="1:1" ht="12.5" x14ac:dyDescent="0.25">
      <c r="A7" t="str">
        <f ca="1">IFERROR(__xludf.DUMMYFUNCTION("""COMPUTED_VALUE"""),"Artistic License 2.0")</f>
        <v>Artistic License 2.0</v>
      </c>
    </row>
    <row r="8" spans="1:1" ht="12.5" x14ac:dyDescent="0.25">
      <c r="A8" t="str">
        <f ca="1">IFERROR(__xludf.DUMMYFUNCTION("""COMPUTED_VALUE"""),"Attribution Assurance Licenses")</f>
        <v>Attribution Assurance Licenses</v>
      </c>
    </row>
    <row r="9" spans="1:1" ht="12.5" x14ac:dyDescent="0.25">
      <c r="A9" t="str">
        <f ca="1">IFERROR(__xludf.DUMMYFUNCTION("""COMPUTED_VALUE"""),"BSD 3-Clause ""New"" or ""Revised"" License (BSD-3-Clause)")</f>
        <v>BSD 3-Clause "New" or "Revised" License (BSD-3-Clause)</v>
      </c>
    </row>
    <row r="10" spans="1:1" ht="12.5" x14ac:dyDescent="0.25">
      <c r="A10" t="str">
        <f ca="1">IFERROR(__xludf.DUMMYFUNCTION("""COMPUTED_VALUE"""),"Boost Software License 1.0")</f>
        <v>Boost Software License 1.0</v>
      </c>
    </row>
    <row r="11" spans="1:1" ht="12.5" x14ac:dyDescent="0.25">
      <c r="A11" t="str">
        <f ca="1">IFERROR(__xludf.DUMMYFUNCTION("""COMPUTED_VALUE"""),"CC0 1.0")</f>
        <v>CC0 1.0</v>
      </c>
    </row>
    <row r="12" spans="1:1" ht="12.5" x14ac:dyDescent="0.25">
      <c r="A12" t="str">
        <f ca="1">IFERROR(__xludf.DUMMYFUNCTION("""COMPUTED_VALUE"""),"CUA Office Public License 1.0")</f>
        <v>CUA Office Public License 1.0</v>
      </c>
    </row>
    <row r="13" spans="1:1" ht="12.5" x14ac:dyDescent="0.25">
      <c r="A13" t="str">
        <f ca="1">IFERROR(__xludf.DUMMYFUNCTION("""COMPUTED_VALUE"""),"CeCILL License 2.1")</f>
        <v>CeCILL License 2.1</v>
      </c>
    </row>
    <row r="14" spans="1:1" ht="12.5" x14ac:dyDescent="0.25">
      <c r="A14" t="str">
        <f ca="1">IFERROR(__xludf.DUMMYFUNCTION("""COMPUTED_VALUE"""),"Common Development and Distribution License 1.0")</f>
        <v>Common Development and Distribution License 1.0</v>
      </c>
    </row>
    <row r="15" spans="1:1" ht="12.5" x14ac:dyDescent="0.25">
      <c r="A15" t="str">
        <f ca="1">IFERROR(__xludf.DUMMYFUNCTION("""COMPUTED_VALUE"""),"Common Public Attribution License 1.0")</f>
        <v>Common Public Attribution License 1.0</v>
      </c>
    </row>
    <row r="16" spans="1:1" ht="12.5" x14ac:dyDescent="0.25">
      <c r="A16" t="str">
        <f ca="1">IFERROR(__xludf.DUMMYFUNCTION("""COMPUTED_VALUE"""),"Computer Associates Trusted Open Source License 1.1 (CATOSL-1.1)")</f>
        <v>Computer Associates Trusted Open Source License 1.1 (CATOSL-1.1)</v>
      </c>
    </row>
    <row r="17" spans="1:1" ht="12.5" x14ac:dyDescent="0.25">
      <c r="A17" t="str">
        <f ca="1">IFERROR(__xludf.DUMMYFUNCTION("""COMPUTED_VALUE"""),"Creative Commons Attribution 4.0")</f>
        <v>Creative Commons Attribution 4.0</v>
      </c>
    </row>
    <row r="18" spans="1:1" ht="12.5" x14ac:dyDescent="0.25">
      <c r="A18" t="str">
        <f ca="1">IFERROR(__xludf.DUMMYFUNCTION("""COMPUTED_VALUE"""),"Creative Commons Attribution Share-Alike 4.0")</f>
        <v>Creative Commons Attribution Share-Alike 4.0</v>
      </c>
    </row>
    <row r="19" spans="1:1" ht="12.5" x14ac:dyDescent="0.25">
      <c r="A19" t="str">
        <f ca="1">IFERROR(__xludf.DUMMYFUNCTION("""COMPUTED_VALUE"""),"Creative Commons Attribution-NoDerivs 4.0")</f>
        <v>Creative Commons Attribution-NoDerivs 4.0</v>
      </c>
    </row>
    <row r="20" spans="1:1" ht="12.5" x14ac:dyDescent="0.25">
      <c r="A20" t="str">
        <f ca="1">IFERROR(__xludf.DUMMYFUNCTION("""COMPUTED_VALUE"""),"Creative Commons Attribution-NonCommercial 4.0")</f>
        <v>Creative Commons Attribution-NonCommercial 4.0</v>
      </c>
    </row>
    <row r="21" spans="1:1" ht="12.5" x14ac:dyDescent="0.25">
      <c r="A21" t="str">
        <f ca="1">IFERROR(__xludf.DUMMYFUNCTION("""COMPUTED_VALUE"""),"Creative Commons Attribution-NonCommercial-NoDerivatives 4.0")</f>
        <v>Creative Commons Attribution-NonCommercial-NoDerivatives 4.0</v>
      </c>
    </row>
    <row r="22" spans="1:1" ht="12.5" x14ac:dyDescent="0.25">
      <c r="A22" t="str">
        <f ca="1">IFERROR(__xludf.DUMMYFUNCTION("""COMPUTED_VALUE"""),"Creative Commons Attribution-NonCommercial-ShareAlike 4.0")</f>
        <v>Creative Commons Attribution-NonCommercial-ShareAlike 4.0</v>
      </c>
    </row>
    <row r="23" spans="1:1" ht="12.5" x14ac:dyDescent="0.25">
      <c r="A23" t="str">
        <f ca="1">IFERROR(__xludf.DUMMYFUNCTION("""COMPUTED_VALUE"""),"EU DataGrid Software License")</f>
        <v>EU DataGrid Software License</v>
      </c>
    </row>
    <row r="24" spans="1:1" ht="12.5" x14ac:dyDescent="0.25">
      <c r="A24" t="str">
        <f ca="1">IFERROR(__xludf.DUMMYFUNCTION("""COMPUTED_VALUE"""),"Eclipse Public License 1.0")</f>
        <v>Eclipse Public License 1.0</v>
      </c>
    </row>
    <row r="25" spans="1:1" ht="12.5" x14ac:dyDescent="0.25">
      <c r="A25" t="str">
        <f ca="1">IFERROR(__xludf.DUMMYFUNCTION("""COMPUTED_VALUE"""),"Educational Community License 2.0")</f>
        <v>Educational Community License 2.0</v>
      </c>
    </row>
    <row r="26" spans="1:1" ht="12.5" x14ac:dyDescent="0.25">
      <c r="A26" t="str">
        <f ca="1">IFERROR(__xludf.DUMMYFUNCTION("""COMPUTED_VALUE"""),"Eiffel Forum License 2.0")</f>
        <v>Eiffel Forum License 2.0</v>
      </c>
    </row>
    <row r="27" spans="1:1" ht="12.5" x14ac:dyDescent="0.25">
      <c r="A27" t="str">
        <f ca="1">IFERROR(__xludf.DUMMYFUNCTION("""COMPUTED_VALUE"""),"Entessa Public License")</f>
        <v>Entessa Public License</v>
      </c>
    </row>
    <row r="28" spans="1:1" ht="12.5" x14ac:dyDescent="0.25">
      <c r="A28" t="str">
        <f ca="1">IFERROR(__xludf.DUMMYFUNCTION("""COMPUTED_VALUE"""),"European Union Public License 1.1")</f>
        <v>European Union Public License 1.1</v>
      </c>
    </row>
    <row r="29" spans="1:1" ht="12.5" x14ac:dyDescent="0.25">
      <c r="A29" t="str">
        <f ca="1">IFERROR(__xludf.DUMMYFUNCTION("""COMPUTED_VALUE"""),"Fair License")</f>
        <v>Fair License</v>
      </c>
    </row>
    <row r="30" spans="1:1" ht="12.5" x14ac:dyDescent="0.25">
      <c r="A30" t="str">
        <f ca="1">IFERROR(__xludf.DUMMYFUNCTION("""COMPUTED_VALUE"""),"Frameworx License 1.0")</f>
        <v>Frameworx License 1.0</v>
      </c>
    </row>
    <row r="31" spans="1:1" ht="12.5" x14ac:dyDescent="0.25">
      <c r="A31" t="str">
        <f ca="1">IFERROR(__xludf.DUMMYFUNCTION("""COMPUTED_VALUE"""),"GNU Affero General Public License v3")</f>
        <v>GNU Affero General Public License v3</v>
      </c>
    </row>
    <row r="32" spans="1:1" ht="12.5" x14ac:dyDescent="0.25">
      <c r="A32" t="str">
        <f ca="1">IFERROR(__xludf.DUMMYFUNCTION("""COMPUTED_VALUE"""),"GNU Free Documentation License 1.3 with no cover texts and no invariant sections")</f>
        <v>GNU Free Documentation License 1.3 with no cover texts and no invariant sections</v>
      </c>
    </row>
    <row r="33" spans="1:1" ht="12.5" x14ac:dyDescent="0.25">
      <c r="A33" t="str">
        <f ca="1">IFERROR(__xludf.DUMMYFUNCTION("""COMPUTED_VALUE"""),"GNU General Public License 2.0")</f>
        <v>GNU General Public License 2.0</v>
      </c>
    </row>
    <row r="34" spans="1:1" ht="12.5" x14ac:dyDescent="0.25">
      <c r="A34" t="str">
        <f ca="1">IFERROR(__xludf.DUMMYFUNCTION("""COMPUTED_VALUE"""),"GNU General Public License 3.0")</f>
        <v>GNU General Public License 3.0</v>
      </c>
    </row>
    <row r="35" spans="1:1" ht="12.5" x14ac:dyDescent="0.25">
      <c r="A35" t="str">
        <f ca="1">IFERROR(__xludf.DUMMYFUNCTION("""COMPUTED_VALUE"""),"GNU Lesser General Public License 2.1")</f>
        <v>GNU Lesser General Public License 2.1</v>
      </c>
    </row>
    <row r="36" spans="1:1" ht="12.5" x14ac:dyDescent="0.25">
      <c r="A36" t="str">
        <f ca="1">IFERROR(__xludf.DUMMYFUNCTION("""COMPUTED_VALUE"""),"GNU Lesser General Public License 3.0")</f>
        <v>GNU Lesser General Public License 3.0</v>
      </c>
    </row>
    <row r="37" spans="1:1" ht="12.5" x14ac:dyDescent="0.25">
      <c r="A37" t="str">
        <f ca="1">IFERROR(__xludf.DUMMYFUNCTION("""COMPUTED_VALUE"""),"IBM Public License 1.0")</f>
        <v>IBM Public License 1.0</v>
      </c>
    </row>
    <row r="38" spans="1:1" ht="12.5" x14ac:dyDescent="0.25">
      <c r="A38" t="str">
        <f ca="1">IFERROR(__xludf.DUMMYFUNCTION("""COMPUTED_VALUE"""),"IPA Font License")</f>
        <v>IPA Font License</v>
      </c>
    </row>
    <row r="39" spans="1:1" ht="12.5" x14ac:dyDescent="0.25">
      <c r="A39" t="str">
        <f ca="1">IFERROR(__xludf.DUMMYFUNCTION("""COMPUTED_VALUE"""),"ISC License")</f>
        <v>ISC License</v>
      </c>
    </row>
    <row r="40" spans="1:1" ht="12.5" x14ac:dyDescent="0.25">
      <c r="A40" t="str">
        <f ca="1">IFERROR(__xludf.DUMMYFUNCTION("""COMPUTED_VALUE"""),"LaTeX Project Public License 1.3c")</f>
        <v>LaTeX Project Public License 1.3c</v>
      </c>
    </row>
    <row r="41" spans="1:1" ht="12.5" x14ac:dyDescent="0.25">
      <c r="A41" t="str">
        <f ca="1">IFERROR(__xludf.DUMMYFUNCTION("""COMPUTED_VALUE"""),"License Not Specified")</f>
        <v>License Not Specified</v>
      </c>
    </row>
    <row r="42" spans="1:1" ht="12.5" x14ac:dyDescent="0.25">
      <c r="A42" t="str">
        <f ca="1">IFERROR(__xludf.DUMMYFUNCTION("""COMPUTED_VALUE"""),"Lucent Public License (""Plan9"") 1.0")</f>
        <v>Lucent Public License ("Plan9") 1.0</v>
      </c>
    </row>
    <row r="43" spans="1:1" ht="12.5" x14ac:dyDescent="0.25">
      <c r="A43" t="str">
        <f ca="1">IFERROR(__xludf.DUMMYFUNCTION("""COMPUTED_VALUE"""),"MIT License")</f>
        <v>MIT License</v>
      </c>
    </row>
    <row r="44" spans="1:1" ht="12.5" x14ac:dyDescent="0.25">
      <c r="A44" t="str">
        <f ca="1">IFERROR(__xludf.DUMMYFUNCTION("""COMPUTED_VALUE"""),"Microsoft Public License")</f>
        <v>Microsoft Public License</v>
      </c>
    </row>
    <row r="45" spans="1:1" ht="12.5" x14ac:dyDescent="0.25">
      <c r="A45" t="str">
        <f ca="1">IFERROR(__xludf.DUMMYFUNCTION("""COMPUTED_VALUE"""),"Microsoft Reciprocal License")</f>
        <v>Microsoft Reciprocal License</v>
      </c>
    </row>
    <row r="46" spans="1:1" ht="12.5" x14ac:dyDescent="0.25">
      <c r="A46" t="str">
        <f ca="1">IFERROR(__xludf.DUMMYFUNCTION("""COMPUTED_VALUE"""),"MirOS Licence")</f>
        <v>MirOS Licence</v>
      </c>
    </row>
    <row r="47" spans="1:1" ht="12.5" x14ac:dyDescent="0.25">
      <c r="A47" t="str">
        <f ca="1">IFERROR(__xludf.DUMMYFUNCTION("""COMPUTED_VALUE"""),"Motosoto License")</f>
        <v>Motosoto License</v>
      </c>
    </row>
    <row r="48" spans="1:1" ht="12.5" x14ac:dyDescent="0.25">
      <c r="A48" t="str">
        <f ca="1">IFERROR(__xludf.DUMMYFUNCTION("""COMPUTED_VALUE"""),"Mozilla Public License 1.1")</f>
        <v>Mozilla Public License 1.1</v>
      </c>
    </row>
    <row r="49" spans="1:1" ht="12.5" x14ac:dyDescent="0.25">
      <c r="A49" t="str">
        <f ca="1">IFERROR(__xludf.DUMMYFUNCTION("""COMPUTED_VALUE"""),"Multics License")</f>
        <v>Multics License</v>
      </c>
    </row>
    <row r="50" spans="1:1" ht="12.5" x14ac:dyDescent="0.25">
      <c r="A50" t="str">
        <f ca="1">IFERROR(__xludf.DUMMYFUNCTION("""COMPUTED_VALUE"""),"NASA Open Source Agreement 1.3")</f>
        <v>NASA Open Source Agreement 1.3</v>
      </c>
    </row>
    <row r="51" spans="1:1" ht="12.5" x14ac:dyDescent="0.25">
      <c r="A51" t="str">
        <f ca="1">IFERROR(__xludf.DUMMYFUNCTION("""COMPUTED_VALUE"""),"NTP License")</f>
        <v>NTP License</v>
      </c>
    </row>
    <row r="52" spans="1:1" ht="12.5" x14ac:dyDescent="0.25">
      <c r="A52" t="str">
        <f ca="1">IFERROR(__xludf.DUMMYFUNCTION("""COMPUTED_VALUE"""),"Naumen Public License")</f>
        <v>Naumen Public License</v>
      </c>
    </row>
    <row r="53" spans="1:1" ht="12.5" x14ac:dyDescent="0.25">
      <c r="A53" t="str">
        <f ca="1">IFERROR(__xludf.DUMMYFUNCTION("""COMPUTED_VALUE"""),"Nethack General Public License")</f>
        <v>Nethack General Public License</v>
      </c>
    </row>
    <row r="54" spans="1:1" ht="12.5" x14ac:dyDescent="0.25">
      <c r="A54" t="str">
        <f ca="1">IFERROR(__xludf.DUMMYFUNCTION("""COMPUTED_VALUE"""),"Nokia Open Source License")</f>
        <v>Nokia Open Source License</v>
      </c>
    </row>
    <row r="55" spans="1:1" ht="12.5" x14ac:dyDescent="0.25">
      <c r="A55" t="str">
        <f ca="1">IFERROR(__xludf.DUMMYFUNCTION("""COMPUTED_VALUE"""),"Non-Profit Open Software License 3.0")</f>
        <v>Non-Profit Open Software License 3.0</v>
      </c>
    </row>
    <row r="56" spans="1:1" ht="12.5" x14ac:dyDescent="0.25">
      <c r="A56" t="str">
        <f ca="1">IFERROR(__xludf.DUMMYFUNCTION("""COMPUTED_VALUE"""),"OCLC Research Public License 2.0")</f>
        <v>OCLC Research Public License 2.0</v>
      </c>
    </row>
    <row r="57" spans="1:1" ht="12.5" x14ac:dyDescent="0.25">
      <c r="A57" t="str">
        <f ca="1">IFERROR(__xludf.DUMMYFUNCTION("""COMPUTED_VALUE"""),"Open Data Commons Attribution License 1.0")</f>
        <v>Open Data Commons Attribution License 1.0</v>
      </c>
    </row>
    <row r="58" spans="1:1" ht="12.5" x14ac:dyDescent="0.25">
      <c r="A58" t="str">
        <f ca="1">IFERROR(__xludf.DUMMYFUNCTION("""COMPUTED_VALUE"""),"Open Data Commons Open Database License 1.0")</f>
        <v>Open Data Commons Open Database License 1.0</v>
      </c>
    </row>
    <row r="59" spans="1:1" ht="12.5" x14ac:dyDescent="0.25">
      <c r="A59" t="str">
        <f ca="1">IFERROR(__xludf.DUMMYFUNCTION("""COMPUTED_VALUE"""),"Open Data Commons Public Domain Dedication and Licence 1.0")</f>
        <v>Open Data Commons Public Domain Dedication and Licence 1.0</v>
      </c>
    </row>
    <row r="60" spans="1:1" ht="12.5" x14ac:dyDescent="0.25">
      <c r="A60" t="str">
        <f ca="1">IFERROR(__xludf.DUMMYFUNCTION("""COMPUTED_VALUE"""),"Open Font License 1.1")</f>
        <v>Open Font License 1.1</v>
      </c>
    </row>
    <row r="61" spans="1:1" ht="12.5" x14ac:dyDescent="0.25">
      <c r="A61" t="str">
        <f ca="1">IFERROR(__xludf.DUMMYFUNCTION("""COMPUTED_VALUE"""),"Open Government Licence 2.0 (United Kingdom)")</f>
        <v>Open Government Licence 2.0 (United Kingdom)</v>
      </c>
    </row>
    <row r="62" spans="1:1" ht="12.5" x14ac:dyDescent="0.25">
      <c r="A62" t="str">
        <f ca="1">IFERROR(__xludf.DUMMYFUNCTION("""COMPUTED_VALUE"""),"Open Group Test Suite License")</f>
        <v>Open Group Test Suite License</v>
      </c>
    </row>
    <row r="63" spans="1:1" ht="12.5" x14ac:dyDescent="0.25">
      <c r="A63" t="str">
        <f ca="1">IFERROR(__xludf.DUMMYFUNCTION("""COMPUTED_VALUE"""),"Open Software License 3.0")</f>
        <v>Open Software License 3.0</v>
      </c>
    </row>
    <row r="64" spans="1:1" ht="12.5" x14ac:dyDescent="0.25">
      <c r="A64" t="str">
        <f ca="1">IFERROR(__xludf.DUMMYFUNCTION("""COMPUTED_VALUE"""),"Other (Attribution)")</f>
        <v>Other (Attribution)</v>
      </c>
    </row>
    <row r="65" spans="1:1" ht="12.5" x14ac:dyDescent="0.25">
      <c r="A65" t="str">
        <f ca="1">IFERROR(__xludf.DUMMYFUNCTION("""COMPUTED_VALUE"""),"Other (Non-Commercial)")</f>
        <v>Other (Non-Commercial)</v>
      </c>
    </row>
    <row r="66" spans="1:1" ht="12.5" x14ac:dyDescent="0.25">
      <c r="A66" t="str">
        <f ca="1">IFERROR(__xludf.DUMMYFUNCTION("""COMPUTED_VALUE"""),"Other (Not Open)")</f>
        <v>Other (Not Open)</v>
      </c>
    </row>
    <row r="67" spans="1:1" ht="12.5" x14ac:dyDescent="0.25">
      <c r="A67" t="str">
        <f ca="1">IFERROR(__xludf.DUMMYFUNCTION("""COMPUTED_VALUE"""),"Other (Open)")</f>
        <v>Other (Open)</v>
      </c>
    </row>
    <row r="68" spans="1:1" ht="12.5" x14ac:dyDescent="0.25">
      <c r="A68" t="str">
        <f ca="1">IFERROR(__xludf.DUMMYFUNCTION("""COMPUTED_VALUE"""),"Other (Public Domain)")</f>
        <v>Other (Public Domain)</v>
      </c>
    </row>
    <row r="69" spans="1:1" ht="12.5" x14ac:dyDescent="0.25">
      <c r="A69" t="str">
        <f ca="1">IFERROR(__xludf.DUMMYFUNCTION("""COMPUTED_VALUE"""),"PHP License 3.0")</f>
        <v>PHP License 3.0</v>
      </c>
    </row>
    <row r="70" spans="1:1" ht="12.5" x14ac:dyDescent="0.25">
      <c r="A70" t="str">
        <f ca="1">IFERROR(__xludf.DUMMYFUNCTION("""COMPUTED_VALUE"""),"PostgreSQL License")</f>
        <v>PostgreSQL License</v>
      </c>
    </row>
    <row r="71" spans="1:1" ht="12.5" x14ac:dyDescent="0.25">
      <c r="A71" t="str">
        <f ca="1">IFERROR(__xludf.DUMMYFUNCTION("""COMPUTED_VALUE"""),"Python License 2.0")</f>
        <v>Python License 2.0</v>
      </c>
    </row>
    <row r="72" spans="1:1" ht="12.5" x14ac:dyDescent="0.25">
      <c r="A72" t="str">
        <f ca="1">IFERROR(__xludf.DUMMYFUNCTION("""COMPUTED_VALUE"""),"Q Public License 1.0")</f>
        <v>Q Public License 1.0</v>
      </c>
    </row>
    <row r="73" spans="1:1" ht="12.5" x14ac:dyDescent="0.25">
      <c r="A73" t="str">
        <f ca="1">IFERROR(__xludf.DUMMYFUNCTION("""COMPUTED_VALUE"""),"RealNetworks Public Source License 1.0")</f>
        <v>RealNetworks Public Source License 1.0</v>
      </c>
    </row>
    <row r="74" spans="1:1" ht="12.5" x14ac:dyDescent="0.25">
      <c r="A74" t="str">
        <f ca="1">IFERROR(__xludf.DUMMYFUNCTION("""COMPUTED_VALUE"""),"Reciprocal Public License 1.5")</f>
        <v>Reciprocal Public License 1.5</v>
      </c>
    </row>
    <row r="75" spans="1:1" ht="12.5" x14ac:dyDescent="0.25">
      <c r="A75" t="str">
        <f ca="1">IFERROR(__xludf.DUMMYFUNCTION("""COMPUTED_VALUE"""),"Ricoh Source Code Public License")</f>
        <v>Ricoh Source Code Public License</v>
      </c>
    </row>
    <row r="76" spans="1:1" ht="12.5" x14ac:dyDescent="0.25">
      <c r="A76" t="str">
        <f ca="1">IFERROR(__xludf.DUMMYFUNCTION("""COMPUTED_VALUE"""),"Simple Public License 2.0")</f>
        <v>Simple Public License 2.0</v>
      </c>
    </row>
    <row r="77" spans="1:1" ht="12.5" x14ac:dyDescent="0.25">
      <c r="A77" t="str">
        <f ca="1">IFERROR(__xludf.DUMMYFUNCTION("""COMPUTED_VALUE"""),"Sleepycat License")</f>
        <v>Sleepycat License</v>
      </c>
    </row>
    <row r="78" spans="1:1" ht="12.5" x14ac:dyDescent="0.25">
      <c r="A78" t="str">
        <f ca="1">IFERROR(__xludf.DUMMYFUNCTION("""COMPUTED_VALUE"""),"Sun Public License 1.0")</f>
        <v>Sun Public License 1.0</v>
      </c>
    </row>
    <row r="79" spans="1:1" ht="12.5" x14ac:dyDescent="0.25">
      <c r="A79" t="str">
        <f ca="1">IFERROR(__xludf.DUMMYFUNCTION("""COMPUTED_VALUE"""),"Sybase Open Watcom Public License 1.0")</f>
        <v>Sybase Open Watcom Public License 1.0</v>
      </c>
    </row>
    <row r="80" spans="1:1" ht="12.5" x14ac:dyDescent="0.25">
      <c r="A80" t="str">
        <f ca="1">IFERROR(__xludf.DUMMYFUNCTION("""COMPUTED_VALUE"""),"Talis Community License")</f>
        <v>Talis Community License</v>
      </c>
    </row>
    <row r="81" spans="1:1" ht="12.5" x14ac:dyDescent="0.25">
      <c r="A81" t="str">
        <f ca="1">IFERROR(__xludf.DUMMYFUNCTION("""COMPUTED_VALUE"""),"University of Illinois/NCSA Open Source License")</f>
        <v>University of Illinois/NCSA Open Source License</v>
      </c>
    </row>
    <row r="82" spans="1:1" ht="12.5" x14ac:dyDescent="0.25">
      <c r="A82" t="str">
        <f ca="1">IFERROR(__xludf.DUMMYFUNCTION("""COMPUTED_VALUE"""),"Vovida Software License 1.0")</f>
        <v>Vovida Software License 1.0</v>
      </c>
    </row>
    <row r="83" spans="1:1" ht="12.5" x14ac:dyDescent="0.25">
      <c r="A83" t="str">
        <f ca="1">IFERROR(__xludf.DUMMYFUNCTION("""COMPUTED_VALUE"""),"W3C License")</f>
        <v>W3C License</v>
      </c>
    </row>
    <row r="84" spans="1:1" ht="12.5" x14ac:dyDescent="0.25">
      <c r="A84" t="str">
        <f ca="1">IFERROR(__xludf.DUMMYFUNCTION("""COMPUTED_VALUE"""),"X.Net License")</f>
        <v>X.Net License</v>
      </c>
    </row>
    <row r="85" spans="1:1" ht="12.5" x14ac:dyDescent="0.25">
      <c r="A85" t="str">
        <f ca="1">IFERROR(__xludf.DUMMYFUNCTION("""COMPUTED_VALUE"""),"Zope Public License 2.0")</f>
        <v>Zope Public License 2.0</v>
      </c>
    </row>
    <row r="86" spans="1:1" ht="12.5" x14ac:dyDescent="0.25">
      <c r="A86" t="str">
        <f ca="1">IFERROR(__xludf.DUMMYFUNCTION("""COMPUTED_VALUE"""),"zlib/libpng license")</f>
        <v>zlib/libpng license</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2"/>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IFERROR(__xludf.DUMMYFUNCTION("importrange(""https://docs.google.com/spreadsheets/d/1C6N4-YWX9OMmNStd2rYlSUaVys-aiJGLj00cD44aVc8/edit#gid=1894320575"",""Population name!A1:O500"")"),"Value")</f>
        <v>Value</v>
      </c>
      <c r="B1" t="str">
        <f ca="1">IFERROR(__xludf.DUMMYFUNCTION("""COMPUTED_VALUE"""),"ID")</f>
        <v>ID</v>
      </c>
      <c r="C1" t="str">
        <f ca="1">IFERROR(__xludf.DUMMYFUNCTION("""COMPUTED_VALUE"""),"Comment")</f>
        <v>Comment</v>
      </c>
    </row>
    <row r="2" spans="1:3" ht="12.5" x14ac:dyDescent="0.25">
      <c r="A2" t="str">
        <f ca="1">IFERROR(__xludf.DUMMYFUNCTION("""COMPUTED_VALUE"""),"children less than four years")</f>
        <v>children less than four years</v>
      </c>
      <c r="B2" t="str">
        <f ca="1">IFERROR(__xludf.DUMMYFUNCTION("""COMPUTED_VALUE"""),"FOODON_03510256")</f>
        <v>FOODON_03510256</v>
      </c>
    </row>
    <row r="3" spans="1:3" ht="12.5" x14ac:dyDescent="0.25">
      <c r="A3" t="str">
        <f ca="1">IFERROR(__xludf.DUMMYFUNCTION("""COMPUTED_VALUE"""),"human consumer, adult")</f>
        <v>human consumer, adult</v>
      </c>
      <c r="B3" t="str">
        <f ca="1">IFERROR(__xludf.DUMMYFUNCTION("""COMPUTED_VALUE"""),"FOODON_3510188")</f>
        <v>FOODON_3510188</v>
      </c>
    </row>
    <row r="4" spans="1:3" ht="12.5" x14ac:dyDescent="0.25">
      <c r="A4" t="str">
        <f ca="1">IFERROR(__xludf.DUMMYFUNCTION("""COMPUTED_VALUE"""),"human consumer, athletes")</f>
        <v>human consumer, athletes</v>
      </c>
      <c r="B4" t="str">
        <f ca="1">IFERROR(__xludf.DUMMYFUNCTION("""COMPUTED_VALUE"""),"FOODON_03510259")</f>
        <v>FOODON_03510259</v>
      </c>
    </row>
    <row r="5" spans="1:3" ht="12.5" x14ac:dyDescent="0.25">
      <c r="A5" t="str">
        <f ca="1">IFERROR(__xludf.DUMMYFUNCTION("""COMPUTED_VALUE"""),"human consumer, bodybuilders")</f>
        <v>human consumer, bodybuilders</v>
      </c>
      <c r="B5" t="str">
        <f ca="1">IFERROR(__xludf.DUMMYFUNCTION("""COMPUTED_VALUE"""),"FOODON_03510260")</f>
        <v>FOODON_03510260</v>
      </c>
    </row>
    <row r="6" spans="1:3" ht="12.5" x14ac:dyDescent="0.25">
      <c r="A6" t="str">
        <f ca="1">IFERROR(__xludf.DUMMYFUNCTION("""COMPUTED_VALUE"""),"human consumer, four years and above")</f>
        <v>human consumer, four years and above</v>
      </c>
      <c r="B6" t="str">
        <f ca="1">IFERROR(__xludf.DUMMYFUNCTION("""COMPUTED_VALUE"""),"FOODON_3510250")</f>
        <v>FOODON_3510250</v>
      </c>
    </row>
    <row r="7" spans="1:3" ht="12.5" x14ac:dyDescent="0.25">
      <c r="A7" t="str">
        <f ca="1">IFERROR(__xludf.DUMMYFUNCTION("""COMPUTED_VALUE"""),"human consumer, men")</f>
        <v>human consumer, men</v>
      </c>
      <c r="B7" t="str">
        <f ca="1">IFERROR(__xludf.DUMMYFUNCTION("""COMPUTED_VALUE"""),"FOODON_03510251")</f>
        <v>FOODON_03510251</v>
      </c>
    </row>
    <row r="8" spans="1:3" ht="12.5" x14ac:dyDescent="0.25">
      <c r="A8" t="str">
        <f ca="1">IFERROR(__xludf.DUMMYFUNCTION("""COMPUTED_VALUE"""),"human consumer, menopaused women")</f>
        <v>human consumer, menopaused women</v>
      </c>
      <c r="B8" t="str">
        <f ca="1">IFERROR(__xludf.DUMMYFUNCTION("""COMPUTED_VALUE"""),"FOODON_03510261")</f>
        <v>FOODON_03510261</v>
      </c>
    </row>
    <row r="9" spans="1:3" ht="12.5" x14ac:dyDescent="0.25">
      <c r="A9" t="str">
        <f ca="1">IFERROR(__xludf.DUMMYFUNCTION("""COMPUTED_VALUE"""),"human consumer, no age specification")</f>
        <v>human consumer, no age specification</v>
      </c>
      <c r="B9" t="str">
        <f ca="1">IFERROR(__xludf.DUMMYFUNCTION("""COMPUTED_VALUE"""),"FOODON_03510024")</f>
        <v>FOODON_03510024</v>
      </c>
    </row>
    <row r="10" spans="1:3" ht="12.5" x14ac:dyDescent="0.25">
      <c r="A10" t="str">
        <f ca="1">IFERROR(__xludf.DUMMYFUNCTION("""COMPUTED_VALUE"""),"human consumer, pregnant or lactanting women")</f>
        <v>human consumer, pregnant or lactanting women</v>
      </c>
      <c r="B10" t="str">
        <f ca="1">IFERROR(__xludf.DUMMYFUNCTION("""COMPUTED_VALUE"""),"FOODON_03510253")</f>
        <v>FOODON_03510253</v>
      </c>
    </row>
    <row r="11" spans="1:3" ht="12.5" x14ac:dyDescent="0.25">
      <c r="A11" t="str">
        <f ca="1">IFERROR(__xludf.DUMMYFUNCTION("""COMPUTED_VALUE"""),"human consumer, seniors")</f>
        <v>human consumer, seniors</v>
      </c>
      <c r="B11" t="str">
        <f ca="1">IFERROR(__xludf.DUMMYFUNCTION("""COMPUTED_VALUE"""),"FOODON_03510254")</f>
        <v>FOODON_03510254</v>
      </c>
    </row>
    <row r="12" spans="1:3" ht="12.5" x14ac:dyDescent="0.25">
      <c r="A12" t="str">
        <f ca="1">IFERROR(__xludf.DUMMYFUNCTION("""COMPUTED_VALUE"""),"human consumer, teenagers")</f>
        <v>human consumer, teenagers</v>
      </c>
      <c r="B12" t="str">
        <f ca="1">IFERROR(__xludf.DUMMYFUNCTION("""COMPUTED_VALUE"""),"FOODON_03510255")</f>
        <v>FOODON_03510255</v>
      </c>
    </row>
    <row r="13" spans="1:3" ht="12.5" x14ac:dyDescent="0.25">
      <c r="A13" t="str">
        <f ca="1">IFERROR(__xludf.DUMMYFUNCTION("""COMPUTED_VALUE"""),"human consumer, weight-reducers")</f>
        <v>human consumer, weight-reducers</v>
      </c>
      <c r="B13" t="str">
        <f ca="1">IFERROR(__xludf.DUMMYFUNCTION("""COMPUTED_VALUE"""),"FOODON_03510262")</f>
        <v>FOODON_03510262</v>
      </c>
    </row>
    <row r="14" spans="1:3" ht="12.5" x14ac:dyDescent="0.25">
      <c r="A14" t="str">
        <f ca="1">IFERROR(__xludf.DUMMYFUNCTION("""COMPUTED_VALUE"""),"human consumer, women")</f>
        <v>human consumer, women</v>
      </c>
      <c r="B14" t="str">
        <f ca="1">IFERROR(__xludf.DUMMYFUNCTION("""COMPUTED_VALUE"""),"FOODON_03510252")</f>
        <v>FOODON_03510252</v>
      </c>
    </row>
    <row r="15" spans="1:3" ht="12.5" x14ac:dyDescent="0.25">
      <c r="A15" t="str">
        <f ca="1">IFERROR(__xludf.DUMMYFUNCTION("""COMPUTED_VALUE"""),"infant food")</f>
        <v>infant food</v>
      </c>
      <c r="B15" t="str">
        <f ca="1">IFERROR(__xludf.DUMMYFUNCTION("""COMPUTED_VALUE"""),"FOODON_3510266")</f>
        <v>FOODON_3510266</v>
      </c>
    </row>
    <row r="16" spans="1:3" ht="12.5" x14ac:dyDescent="0.25">
      <c r="A16" t="str">
        <f ca="1">IFERROR(__xludf.DUMMYFUNCTION("""COMPUTED_VALUE"""),"infant food, 0 - 3 months")</f>
        <v>infant food, 0 - 3 months</v>
      </c>
      <c r="B16" t="str">
        <f ca="1">IFERROR(__xludf.DUMMYFUNCTION("""COMPUTED_VALUE"""),"FOODON_3510189")</f>
        <v>FOODON_3510189</v>
      </c>
    </row>
    <row r="17" spans="1:2" ht="12.5" x14ac:dyDescent="0.25">
      <c r="A17" t="str">
        <f ca="1">IFERROR(__xludf.DUMMYFUNCTION("""COMPUTED_VALUE"""),"infant food, 0 - 6 months")</f>
        <v>infant food, 0 - 6 months</v>
      </c>
      <c r="B17" t="str">
        <f ca="1">IFERROR(__xludf.DUMMYFUNCTION("""COMPUTED_VALUE"""),"FOODON_3510263")</f>
        <v>FOODON_3510263</v>
      </c>
    </row>
    <row r="18" spans="1:2" ht="12.5" x14ac:dyDescent="0.25">
      <c r="A18" t="str">
        <f ca="1">IFERROR(__xludf.DUMMYFUNCTION("""COMPUTED_VALUE"""),"infant food, 3 - 6 months")</f>
        <v>infant food, 3 - 6 months</v>
      </c>
      <c r="B18" t="str">
        <f ca="1">IFERROR(__xludf.DUMMYFUNCTION("""COMPUTED_VALUE"""),"FOODON_3510190")</f>
        <v>FOODON_3510190</v>
      </c>
    </row>
    <row r="19" spans="1:2" ht="12.5" x14ac:dyDescent="0.25">
      <c r="A19" t="str">
        <f ca="1">IFERROR(__xludf.DUMMYFUNCTION("""COMPUTED_VALUE"""),"infant food, 6 - 12 months")</f>
        <v>infant food, 6 - 12 months</v>
      </c>
      <c r="B19" t="str">
        <f ca="1">IFERROR(__xludf.DUMMYFUNCTION("""COMPUTED_VALUE"""),"FOODON_3510191")</f>
        <v>FOODON_3510191</v>
      </c>
    </row>
    <row r="20" spans="1:2" ht="12.5" x14ac:dyDescent="0.25">
      <c r="A20" t="str">
        <f ca="1">IFERROR(__xludf.DUMMYFUNCTION("""COMPUTED_VALUE"""),"infant or toddler food")</f>
        <v>infant or toddler food</v>
      </c>
      <c r="B20" t="str">
        <f ca="1">IFERROR(__xludf.DUMMYFUNCTION("""COMPUTED_VALUE"""),"FOODON_03510020")</f>
        <v>FOODON_03510020</v>
      </c>
    </row>
    <row r="21" spans="1:2" ht="12.5" x14ac:dyDescent="0.25">
      <c r="A21" t="str">
        <f ca="1">IFERROR(__xludf.DUMMYFUNCTION("""COMPUTED_VALUE"""),"Other")</f>
        <v>Other</v>
      </c>
      <c r="B21" t="str">
        <f ca="1">IFERROR(__xludf.DUMMYFUNCTION("""COMPUTED_VALUE"""),"Other")</f>
        <v>Other</v>
      </c>
    </row>
    <row r="22" spans="1:2" ht="12.5" x14ac:dyDescent="0.25">
      <c r="A22" t="str">
        <f ca="1">IFERROR(__xludf.DUMMYFUNCTION("""COMPUTED_VALUE"""),"toddler food, from 12 months onwards")</f>
        <v>toddler food, from 12 months onwards</v>
      </c>
      <c r="B22" t="str">
        <f ca="1">IFERROR(__xludf.DUMMYFUNCTION("""COMPUTED_VALUE"""),"FOODON_3510192")</f>
        <v>FOODON_3510192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00"/>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IFERROR(__xludf.DUMMYFUNCTION("importrange(""https://docs.google.com/spreadsheets/d/1C6N4-YWX9OMmNStd2rYlSUaVys-aiJGLj00cD44aVc8/edit#gid=1894320575"",""Region!A1:O1500"")"),"Value")</f>
        <v>Value</v>
      </c>
      <c r="B1" t="str">
        <f ca="1">IFERROR(__xludf.DUMMYFUNCTION("""COMPUTED_VALUE"""),"ID")</f>
        <v>ID</v>
      </c>
      <c r="C1" t="str">
        <f ca="1">IFERROR(__xludf.DUMMYFUNCTION("""COMPUTED_VALUE"""),"Comment")</f>
        <v>Comment</v>
      </c>
    </row>
    <row r="2" spans="1:3" ht="12.5" x14ac:dyDescent="0.25">
      <c r="A2" t="str">
        <f ca="1">IFERROR(__xludf.DUMMYFUNCTION("""COMPUTED_VALUE"""),"A Coruña")</f>
        <v>A Coruña</v>
      </c>
      <c r="B2" t="str">
        <f ca="1">IFERROR(__xludf.DUMMYFUNCTION("""COMPUTED_VALUE"""),"ES111")</f>
        <v>ES111</v>
      </c>
    </row>
    <row r="3" spans="1:3" ht="12.5" x14ac:dyDescent="0.25">
      <c r="A3" t="str">
        <f ca="1">IFERROR(__xludf.DUMMYFUNCTION("""COMPUTED_VALUE"""),"Aachen, Kreis")</f>
        <v>Aachen, Kreis</v>
      </c>
      <c r="B3" t="str">
        <f ca="1">IFERROR(__xludf.DUMMYFUNCTION("""COMPUTED_VALUE"""),"DEA25")</f>
        <v>DEA25</v>
      </c>
    </row>
    <row r="4" spans="1:3" ht="12.5" x14ac:dyDescent="0.25">
      <c r="A4" t="str">
        <f ca="1">IFERROR(__xludf.DUMMYFUNCTION("""COMPUTED_VALUE"""),"Aachen, Kreisfreie Stadt")</f>
        <v>Aachen, Kreisfreie Stadt</v>
      </c>
      <c r="B4" t="str">
        <f ca="1">IFERROR(__xludf.DUMMYFUNCTION("""COMPUTED_VALUE"""),"DEA21")</f>
        <v>DEA21</v>
      </c>
    </row>
    <row r="5" spans="1:3" ht="12.5" x14ac:dyDescent="0.25">
      <c r="A5" t="str">
        <f ca="1">IFERROR(__xludf.DUMMYFUNCTION("""COMPUTED_VALUE"""),"Aargau")</f>
        <v>Aargau</v>
      </c>
      <c r="B5" t="str">
        <f ca="1">IFERROR(__xludf.DUMMYFUNCTION("""COMPUTED_VALUE"""),"CH033")</f>
        <v>CH033</v>
      </c>
    </row>
    <row r="6" spans="1:3" ht="12.5" x14ac:dyDescent="0.25">
      <c r="A6" t="str">
        <f ca="1">IFERROR(__xludf.DUMMYFUNCTION("""COMPUTED_VALUE"""),"Aberdeen City And Aberdeenshire")</f>
        <v>Aberdeen City And Aberdeenshire</v>
      </c>
      <c r="B6" t="str">
        <f ca="1">IFERROR(__xludf.DUMMYFUNCTION("""COMPUTED_VALUE"""),"UKM50")</f>
        <v>UKM50</v>
      </c>
    </row>
    <row r="7" spans="1:3" ht="12.5" x14ac:dyDescent="0.25">
      <c r="A7" t="str">
        <f ca="1">IFERROR(__xludf.DUMMYFUNCTION("""COMPUTED_VALUE"""),"Abruzzo")</f>
        <v>Abruzzo</v>
      </c>
      <c r="B7" t="str">
        <f ca="1">IFERROR(__xludf.DUMMYFUNCTION("""COMPUTED_VALUE"""),"ITF1")</f>
        <v>ITF1</v>
      </c>
    </row>
    <row r="8" spans="1:3" ht="12.5" x14ac:dyDescent="0.25">
      <c r="A8" t="str">
        <f ca="1">IFERROR(__xludf.DUMMYFUNCTION("""COMPUTED_VALUE"""),"Achaia")</f>
        <v>Achaia</v>
      </c>
      <c r="B8" t="str">
        <f ca="1">IFERROR(__xludf.DUMMYFUNCTION("""COMPUTED_VALUE"""),"GR232")</f>
        <v>GR232</v>
      </c>
    </row>
    <row r="9" spans="1:3" ht="12.5" x14ac:dyDescent="0.25">
      <c r="A9" t="str">
        <f ca="1">IFERROR(__xludf.DUMMYFUNCTION("""COMPUTED_VALUE"""),"Achterhoek")</f>
        <v>Achterhoek</v>
      </c>
      <c r="B9" t="str">
        <f ca="1">IFERROR(__xludf.DUMMYFUNCTION("""COMPUTED_VALUE"""),"NL225")</f>
        <v>NL225</v>
      </c>
    </row>
    <row r="10" spans="1:3" ht="12.5" x14ac:dyDescent="0.25">
      <c r="A10" t="str">
        <f ca="1">IFERROR(__xludf.DUMMYFUNCTION("""COMPUTED_VALUE"""),"Agder Og Rogaland")</f>
        <v>Agder Og Rogaland</v>
      </c>
      <c r="B10" t="str">
        <f ca="1">IFERROR(__xludf.DUMMYFUNCTION("""COMPUTED_VALUE"""),"NO04")</f>
        <v>NO04</v>
      </c>
    </row>
    <row r="11" spans="1:3" ht="12.5" x14ac:dyDescent="0.25">
      <c r="A11" t="str">
        <f ca="1">IFERROR(__xludf.DUMMYFUNCTION("""COMPUTED_VALUE"""),"Agglomeratie 'S-Gravenhage")</f>
        <v>Agglomeratie 'S-Gravenhage</v>
      </c>
      <c r="B11" t="str">
        <f ca="1">IFERROR(__xludf.DUMMYFUNCTION("""COMPUTED_VALUE"""),"NL332")</f>
        <v>NL332</v>
      </c>
    </row>
    <row r="12" spans="1:3" ht="12.5" x14ac:dyDescent="0.25">
      <c r="A12" t="str">
        <f ca="1">IFERROR(__xludf.DUMMYFUNCTION("""COMPUTED_VALUE"""),"Agglomeratie Haarlem")</f>
        <v>Agglomeratie Haarlem</v>
      </c>
      <c r="B12" t="str">
        <f ca="1">IFERROR(__xludf.DUMMYFUNCTION("""COMPUTED_VALUE"""),"NL324")</f>
        <v>NL324</v>
      </c>
    </row>
    <row r="13" spans="1:3" ht="12.5" x14ac:dyDescent="0.25">
      <c r="A13" t="str">
        <f ca="1">IFERROR(__xludf.DUMMYFUNCTION("""COMPUTED_VALUE"""),"Agglomeratie Leiden En Bollenstreek")</f>
        <v>Agglomeratie Leiden En Bollenstreek</v>
      </c>
      <c r="B13" t="str">
        <f ca="1">IFERROR(__xludf.DUMMYFUNCTION("""COMPUTED_VALUE"""),"NL331")</f>
        <v>NL331</v>
      </c>
    </row>
    <row r="14" spans="1:3" ht="12.5" x14ac:dyDescent="0.25">
      <c r="A14" t="str">
        <f ca="1">IFERROR(__xludf.DUMMYFUNCTION("""COMPUTED_VALUE"""),"Agrigento")</f>
        <v>Agrigento</v>
      </c>
      <c r="B14" t="str">
        <f ca="1">IFERROR(__xludf.DUMMYFUNCTION("""COMPUTED_VALUE"""),"ITG14")</f>
        <v>ITG14</v>
      </c>
    </row>
    <row r="15" spans="1:3" ht="12.5" x14ac:dyDescent="0.25">
      <c r="A15" t="str">
        <f ca="1">IFERROR(__xludf.DUMMYFUNCTION("""COMPUTED_VALUE"""),"Ahrweiler")</f>
        <v>Ahrweiler</v>
      </c>
      <c r="B15" t="str">
        <f ca="1">IFERROR(__xludf.DUMMYFUNCTION("""COMPUTED_VALUE"""),"DEB12")</f>
        <v>DEB12</v>
      </c>
    </row>
    <row r="16" spans="1:3" ht="12.5" x14ac:dyDescent="0.25">
      <c r="A16" t="str">
        <f ca="1">IFERROR(__xludf.DUMMYFUNCTION("""COMPUTED_VALUE"""),"Aichach-Friedberg")</f>
        <v>Aichach-Friedberg</v>
      </c>
      <c r="B16" t="str">
        <f ca="1">IFERROR(__xludf.DUMMYFUNCTION("""COMPUTED_VALUE"""),"DE275")</f>
        <v>DE275</v>
      </c>
    </row>
    <row r="17" spans="1:2" ht="12.5" x14ac:dyDescent="0.25">
      <c r="A17" t="str">
        <f ca="1">IFERROR(__xludf.DUMMYFUNCTION("""COMPUTED_VALUE"""),"Ain")</f>
        <v>Ain</v>
      </c>
      <c r="B17" t="str">
        <f ca="1">IFERROR(__xludf.DUMMYFUNCTION("""COMPUTED_VALUE"""),"FR711")</f>
        <v>FR711</v>
      </c>
    </row>
    <row r="18" spans="1:2" ht="12.5" x14ac:dyDescent="0.25">
      <c r="A18" t="str">
        <f ca="1">IFERROR(__xludf.DUMMYFUNCTION("""COMPUTED_VALUE"""),"Aisne")</f>
        <v>Aisne</v>
      </c>
      <c r="B18" t="str">
        <f ca="1">IFERROR(__xludf.DUMMYFUNCTION("""COMPUTED_VALUE"""),"FR221")</f>
        <v>FR221</v>
      </c>
    </row>
    <row r="19" spans="1:2" ht="12.5" x14ac:dyDescent="0.25">
      <c r="A19" t="str">
        <f ca="1">IFERROR(__xludf.DUMMYFUNCTION("""COMPUTED_VALUE"""),"Aitoloakarnania")</f>
        <v>Aitoloakarnania</v>
      </c>
      <c r="B19" t="str">
        <f ca="1">IFERROR(__xludf.DUMMYFUNCTION("""COMPUTED_VALUE"""),"GR231")</f>
        <v>GR231</v>
      </c>
    </row>
    <row r="20" spans="1:2" ht="12.5" x14ac:dyDescent="0.25">
      <c r="A20" t="str">
        <f ca="1">IFERROR(__xludf.DUMMYFUNCTION("""COMPUTED_VALUE"""),"Akershus")</f>
        <v>Akershus</v>
      </c>
      <c r="B20" t="str">
        <f ca="1">IFERROR(__xludf.DUMMYFUNCTION("""COMPUTED_VALUE"""),"NO012")</f>
        <v>NO012</v>
      </c>
    </row>
    <row r="21" spans="1:2" ht="12.5" x14ac:dyDescent="0.25">
      <c r="A21" t="str">
        <f ca="1">IFERROR(__xludf.DUMMYFUNCTION("""COMPUTED_VALUE"""),"Åland")</f>
        <v>Åland</v>
      </c>
      <c r="B21" t="str">
        <f ca="1">IFERROR(__xludf.DUMMYFUNCTION("""COMPUTED_VALUE"""),"FI2")</f>
        <v>FI2</v>
      </c>
    </row>
    <row r="22" spans="1:2" ht="12.5" x14ac:dyDescent="0.25">
      <c r="A22" t="str">
        <f ca="1">IFERROR(__xludf.DUMMYFUNCTION("""COMPUTED_VALUE"""),"Åland (*)")</f>
        <v>Åland (*)</v>
      </c>
      <c r="B22" t="str">
        <f ca="1">IFERROR(__xludf.DUMMYFUNCTION("""COMPUTED_VALUE"""),"FI20")</f>
        <v>FI20</v>
      </c>
    </row>
    <row r="23" spans="1:2" ht="12.5" x14ac:dyDescent="0.25">
      <c r="A23" t="str">
        <f ca="1">IFERROR(__xludf.DUMMYFUNCTION("""COMPUTED_VALUE"""),"Åland (**)")</f>
        <v>Åland (**)</v>
      </c>
      <c r="B23" t="str">
        <f ca="1">IFERROR(__xludf.DUMMYFUNCTION("""COMPUTED_VALUE"""),"FI200")</f>
        <v>FI200</v>
      </c>
    </row>
    <row r="24" spans="1:2" ht="12.5" x14ac:dyDescent="0.25">
      <c r="A24" t="str">
        <f ca="1">IFERROR(__xludf.DUMMYFUNCTION("""COMPUTED_VALUE"""),"Álava")</f>
        <v>Álava</v>
      </c>
      <c r="B24" t="str">
        <f ca="1">IFERROR(__xludf.DUMMYFUNCTION("""COMPUTED_VALUE"""),"ES211")</f>
        <v>ES211</v>
      </c>
    </row>
    <row r="25" spans="1:2" ht="12.5" x14ac:dyDescent="0.25">
      <c r="A25" t="str">
        <f ca="1">IFERROR(__xludf.DUMMYFUNCTION("""COMPUTED_VALUE"""),"Alb-Donau-Kreis")</f>
        <v>Alb-Donau-Kreis</v>
      </c>
      <c r="B25" t="str">
        <f ca="1">IFERROR(__xludf.DUMMYFUNCTION("""COMPUTED_VALUE"""),"DE145")</f>
        <v>DE145</v>
      </c>
    </row>
    <row r="26" spans="1:2" ht="12.5" x14ac:dyDescent="0.25">
      <c r="A26" t="str">
        <f ca="1">IFERROR(__xludf.DUMMYFUNCTION("""COMPUTED_VALUE"""),"Alba")</f>
        <v>Alba</v>
      </c>
      <c r="B26" t="str">
        <f ca="1">IFERROR(__xludf.DUMMYFUNCTION("""COMPUTED_VALUE"""),"RO121")</f>
        <v>RO121</v>
      </c>
    </row>
    <row r="27" spans="1:2" ht="12.5" x14ac:dyDescent="0.25">
      <c r="A27" t="str">
        <f ca="1">IFERROR(__xludf.DUMMYFUNCTION("""COMPUTED_VALUE"""),"Albacete")</f>
        <v>Albacete</v>
      </c>
      <c r="B27" t="str">
        <f ca="1">IFERROR(__xludf.DUMMYFUNCTION("""COMPUTED_VALUE"""),"ES421")</f>
        <v>ES421</v>
      </c>
    </row>
    <row r="28" spans="1:2" ht="12.5" x14ac:dyDescent="0.25">
      <c r="A28" t="str">
        <f ca="1">IFERROR(__xludf.DUMMYFUNCTION("""COMPUTED_VALUE"""),"Alentejo")</f>
        <v>Alentejo</v>
      </c>
      <c r="B28" t="str">
        <f ca="1">IFERROR(__xludf.DUMMYFUNCTION("""COMPUTED_VALUE"""),"PT18")</f>
        <v>PT18</v>
      </c>
    </row>
    <row r="29" spans="1:2" ht="12.5" x14ac:dyDescent="0.25">
      <c r="A29" t="str">
        <f ca="1">IFERROR(__xludf.DUMMYFUNCTION("""COMPUTED_VALUE"""),"Alentejo Central")</f>
        <v>Alentejo Central</v>
      </c>
      <c r="B29" t="str">
        <f ca="1">IFERROR(__xludf.DUMMYFUNCTION("""COMPUTED_VALUE"""),"PT183")</f>
        <v>PT183</v>
      </c>
    </row>
    <row r="30" spans="1:2" ht="12.5" x14ac:dyDescent="0.25">
      <c r="A30" t="str">
        <f ca="1">IFERROR(__xludf.DUMMYFUNCTION("""COMPUTED_VALUE"""),"Alentejo Litoral")</f>
        <v>Alentejo Litoral</v>
      </c>
      <c r="B30" t="str">
        <f ca="1">IFERROR(__xludf.DUMMYFUNCTION("""COMPUTED_VALUE"""),"PT181")</f>
        <v>PT181</v>
      </c>
    </row>
    <row r="31" spans="1:2" ht="12.5" x14ac:dyDescent="0.25">
      <c r="A31" t="str">
        <f ca="1">IFERROR(__xludf.DUMMYFUNCTION("""COMPUTED_VALUE"""),"Alessandria")</f>
        <v>Alessandria</v>
      </c>
      <c r="B31" t="str">
        <f ca="1">IFERROR(__xludf.DUMMYFUNCTION("""COMPUTED_VALUE"""),"ITC18")</f>
        <v>ITC18</v>
      </c>
    </row>
    <row r="32" spans="1:2" ht="12.5" x14ac:dyDescent="0.25">
      <c r="A32" t="str">
        <f ca="1">IFERROR(__xludf.DUMMYFUNCTION("""COMPUTED_VALUE"""),"Alfold Es Eszak")</f>
        <v>Alfold Es Eszak</v>
      </c>
      <c r="B32" t="str">
        <f ca="1">IFERROR(__xludf.DUMMYFUNCTION("""COMPUTED_VALUE"""),"HU3")</f>
        <v>HU3</v>
      </c>
    </row>
    <row r="33" spans="1:2" ht="12.5" x14ac:dyDescent="0.25">
      <c r="A33" t="str">
        <f ca="1">IFERROR(__xludf.DUMMYFUNCTION("""COMPUTED_VALUE"""),"Algarve")</f>
        <v>Algarve</v>
      </c>
      <c r="B33" t="str">
        <f ca="1">IFERROR(__xludf.DUMMYFUNCTION("""COMPUTED_VALUE"""),"PT15")</f>
        <v>PT15</v>
      </c>
    </row>
    <row r="34" spans="1:2" ht="12.5" x14ac:dyDescent="0.25">
      <c r="A34" t="str">
        <f ca="1">IFERROR(__xludf.DUMMYFUNCTION("""COMPUTED_VALUE"""),"Algarve (*)")</f>
        <v>Algarve (*)</v>
      </c>
      <c r="B34" t="str">
        <f ca="1">IFERROR(__xludf.DUMMYFUNCTION("""COMPUTED_VALUE"""),"PT150")</f>
        <v>PT150</v>
      </c>
    </row>
    <row r="35" spans="1:2" ht="12.5" x14ac:dyDescent="0.25">
      <c r="A35" t="str">
        <f ca="1">IFERROR(__xludf.DUMMYFUNCTION("""COMPUTED_VALUE"""),"Alicante - Alacant")</f>
        <v>Alicante - Alacant</v>
      </c>
      <c r="B35" t="str">
        <f ca="1">IFERROR(__xludf.DUMMYFUNCTION("""COMPUTED_VALUE"""),"ES521")</f>
        <v>ES521</v>
      </c>
    </row>
    <row r="36" spans="1:2" ht="12.5" x14ac:dyDescent="0.25">
      <c r="A36" t="str">
        <f ca="1">IFERROR(__xludf.DUMMYFUNCTION("""COMPUTED_VALUE"""),"Alkmaar En Omgeving")</f>
        <v>Alkmaar En Omgeving</v>
      </c>
      <c r="B36" t="str">
        <f ca="1">IFERROR(__xludf.DUMMYFUNCTION("""COMPUTED_VALUE"""),"NL322")</f>
        <v>NL322</v>
      </c>
    </row>
    <row r="37" spans="1:2" ht="12.5" x14ac:dyDescent="0.25">
      <c r="A37" t="str">
        <f ca="1">IFERROR(__xludf.DUMMYFUNCTION("""COMPUTED_VALUE"""),"Allier")</f>
        <v>Allier</v>
      </c>
      <c r="B37" t="str">
        <f ca="1">IFERROR(__xludf.DUMMYFUNCTION("""COMPUTED_VALUE"""),"FR721")</f>
        <v>FR721</v>
      </c>
    </row>
    <row r="38" spans="1:2" ht="12.5" x14ac:dyDescent="0.25">
      <c r="A38" t="str">
        <f ca="1">IFERROR(__xludf.DUMMYFUNCTION("""COMPUTED_VALUE"""),"Almería")</f>
        <v>Almería</v>
      </c>
      <c r="B38" t="str">
        <f ca="1">IFERROR(__xludf.DUMMYFUNCTION("""COMPUTED_VALUE"""),"ES611")</f>
        <v>ES611</v>
      </c>
    </row>
    <row r="39" spans="1:2" ht="12.5" x14ac:dyDescent="0.25">
      <c r="A39" t="str">
        <f ca="1">IFERROR(__xludf.DUMMYFUNCTION("""COMPUTED_VALUE"""),"Alpes-De-Haute-Provence")</f>
        <v>Alpes-De-Haute-Provence</v>
      </c>
      <c r="B39" t="str">
        <f ca="1">IFERROR(__xludf.DUMMYFUNCTION("""COMPUTED_VALUE"""),"FR821")</f>
        <v>FR821</v>
      </c>
    </row>
    <row r="40" spans="1:2" ht="12.5" x14ac:dyDescent="0.25">
      <c r="A40" t="str">
        <f ca="1">IFERROR(__xludf.DUMMYFUNCTION("""COMPUTED_VALUE"""),"Alpes-Maritimes")</f>
        <v>Alpes-Maritimes</v>
      </c>
      <c r="B40" t="str">
        <f ca="1">IFERROR(__xludf.DUMMYFUNCTION("""COMPUTED_VALUE"""),"FR823")</f>
        <v>FR823</v>
      </c>
    </row>
    <row r="41" spans="1:2" ht="12.5" x14ac:dyDescent="0.25">
      <c r="A41" t="str">
        <f ca="1">IFERROR(__xludf.DUMMYFUNCTION("""COMPUTED_VALUE"""),"Alsace")</f>
        <v>Alsace</v>
      </c>
      <c r="B41" t="str">
        <f ca="1">IFERROR(__xludf.DUMMYFUNCTION("""COMPUTED_VALUE"""),"FR42")</f>
        <v>FR42</v>
      </c>
    </row>
    <row r="42" spans="1:2" ht="12.5" x14ac:dyDescent="0.25">
      <c r="A42" t="str">
        <f ca="1">IFERROR(__xludf.DUMMYFUNCTION("""COMPUTED_VALUE"""),"Altenburger Land")</f>
        <v>Altenburger Land</v>
      </c>
      <c r="B42" t="str">
        <f ca="1">IFERROR(__xludf.DUMMYFUNCTION("""COMPUTED_VALUE"""),"DEG0M")</f>
        <v>DEG0M</v>
      </c>
    </row>
    <row r="43" spans="1:2" ht="12.5" x14ac:dyDescent="0.25">
      <c r="A43" t="str">
        <f ca="1">IFERROR(__xludf.DUMMYFUNCTION("""COMPUTED_VALUE"""),"Altenkirchen (Westerwald)")</f>
        <v>Altenkirchen (Westerwald)</v>
      </c>
      <c r="B43" t="str">
        <f ca="1">IFERROR(__xludf.DUMMYFUNCTION("""COMPUTED_VALUE"""),"DEB13")</f>
        <v>DEB13</v>
      </c>
    </row>
    <row r="44" spans="1:2" ht="12.5" x14ac:dyDescent="0.25">
      <c r="A44" t="str">
        <f ca="1">IFERROR(__xludf.DUMMYFUNCTION("""COMPUTED_VALUE"""),"Altmarkkreis Salzwedel")</f>
        <v>Altmarkkreis Salzwedel</v>
      </c>
      <c r="B44" t="str">
        <f ca="1">IFERROR(__xludf.DUMMYFUNCTION("""COMPUTED_VALUE"""),"DEE04")</f>
        <v>DEE04</v>
      </c>
    </row>
    <row r="45" spans="1:2" ht="12.5" x14ac:dyDescent="0.25">
      <c r="A45" t="str">
        <f ca="1">IFERROR(__xludf.DUMMYFUNCTION("""COMPUTED_VALUE"""),"Alto Alentejo")</f>
        <v>Alto Alentejo</v>
      </c>
      <c r="B45" t="str">
        <f ca="1">IFERROR(__xludf.DUMMYFUNCTION("""COMPUTED_VALUE"""),"PT182")</f>
        <v>PT182</v>
      </c>
    </row>
    <row r="46" spans="1:2" ht="12.5" x14ac:dyDescent="0.25">
      <c r="A46" t="str">
        <f ca="1">IFERROR(__xludf.DUMMYFUNCTION("""COMPUTED_VALUE"""),"Alto Trás-Os-Montes")</f>
        <v>Alto Trás-Os-Montes</v>
      </c>
      <c r="B46" t="str">
        <f ca="1">IFERROR(__xludf.DUMMYFUNCTION("""COMPUTED_VALUE"""),"PT118")</f>
        <v>PT118</v>
      </c>
    </row>
    <row r="47" spans="1:2" ht="12.5" x14ac:dyDescent="0.25">
      <c r="A47" t="str">
        <f ca="1">IFERROR(__xludf.DUMMYFUNCTION("""COMPUTED_VALUE"""),"Altötting")</f>
        <v>Altötting</v>
      </c>
      <c r="B47" t="str">
        <f ca="1">IFERROR(__xludf.DUMMYFUNCTION("""COMPUTED_VALUE"""),"DE214")</f>
        <v>DE214</v>
      </c>
    </row>
    <row r="48" spans="1:2" ht="12.5" x14ac:dyDescent="0.25">
      <c r="A48" t="str">
        <f ca="1">IFERROR(__xludf.DUMMYFUNCTION("""COMPUTED_VALUE"""),"Alytaus Apskritis")</f>
        <v>Alytaus Apskritis</v>
      </c>
      <c r="B48" t="str">
        <f ca="1">IFERROR(__xludf.DUMMYFUNCTION("""COMPUTED_VALUE"""),"LT001")</f>
        <v>LT001</v>
      </c>
    </row>
    <row r="49" spans="1:2" ht="12.5" x14ac:dyDescent="0.25">
      <c r="A49" t="str">
        <f ca="1">IFERROR(__xludf.DUMMYFUNCTION("""COMPUTED_VALUE"""),"Alzey-Worms")</f>
        <v>Alzey-Worms</v>
      </c>
      <c r="B49" t="str">
        <f ca="1">IFERROR(__xludf.DUMMYFUNCTION("""COMPUTED_VALUE"""),"DEB3B")</f>
        <v>DEB3B</v>
      </c>
    </row>
    <row r="50" spans="1:2" ht="12.5" x14ac:dyDescent="0.25">
      <c r="A50" t="str">
        <f ca="1">IFERROR(__xludf.DUMMYFUNCTION("""COMPUTED_VALUE"""),"Amberg-Sulzbach")</f>
        <v>Amberg-Sulzbach</v>
      </c>
      <c r="B50" t="str">
        <f ca="1">IFERROR(__xludf.DUMMYFUNCTION("""COMPUTED_VALUE"""),"DE234")</f>
        <v>DE234</v>
      </c>
    </row>
    <row r="51" spans="1:2" ht="12.5" x14ac:dyDescent="0.25">
      <c r="A51" t="str">
        <f ca="1">IFERROR(__xludf.DUMMYFUNCTION("""COMPUTED_VALUE"""),"Amberg, Kreisfreie Stadt")</f>
        <v>Amberg, Kreisfreie Stadt</v>
      </c>
      <c r="B51" t="str">
        <f ca="1">IFERROR(__xludf.DUMMYFUNCTION("""COMPUTED_VALUE"""),"DE231")</f>
        <v>DE231</v>
      </c>
    </row>
    <row r="52" spans="1:2" ht="12.5" x14ac:dyDescent="0.25">
      <c r="A52" t="str">
        <f ca="1">IFERROR(__xludf.DUMMYFUNCTION("""COMPUTED_VALUE"""),"Ammerland")</f>
        <v>Ammerland</v>
      </c>
      <c r="B52" t="str">
        <f ca="1">IFERROR(__xludf.DUMMYFUNCTION("""COMPUTED_VALUE"""),"DE946")</f>
        <v>DE946</v>
      </c>
    </row>
    <row r="53" spans="1:2" ht="12.5" x14ac:dyDescent="0.25">
      <c r="A53" t="str">
        <f ca="1">IFERROR(__xludf.DUMMYFUNCTION("""COMPUTED_VALUE"""),"Anatoliki Makedonia, Thraki")</f>
        <v>Anatoliki Makedonia, Thraki</v>
      </c>
      <c r="B53" t="str">
        <f ca="1">IFERROR(__xludf.DUMMYFUNCTION("""COMPUTED_VALUE"""),"GR11")</f>
        <v>GR11</v>
      </c>
    </row>
    <row r="54" spans="1:2" ht="12.5" x14ac:dyDescent="0.25">
      <c r="A54" t="str">
        <f ca="1">IFERROR(__xludf.DUMMYFUNCTION("""COMPUTED_VALUE"""),"Ancona")</f>
        <v>Ancona</v>
      </c>
      <c r="B54" t="str">
        <f ca="1">IFERROR(__xludf.DUMMYFUNCTION("""COMPUTED_VALUE"""),"ITE32")</f>
        <v>ITE32</v>
      </c>
    </row>
    <row r="55" spans="1:2" ht="12.5" x14ac:dyDescent="0.25">
      <c r="A55" t="str">
        <f ca="1">IFERROR(__xludf.DUMMYFUNCTION("""COMPUTED_VALUE"""),"Andalucía")</f>
        <v>Andalucía</v>
      </c>
      <c r="B55" t="str">
        <f ca="1">IFERROR(__xludf.DUMMYFUNCTION("""COMPUTED_VALUE"""),"ES61")</f>
        <v>ES61</v>
      </c>
    </row>
    <row r="56" spans="1:2" ht="12.5" x14ac:dyDescent="0.25">
      <c r="A56" t="str">
        <f ca="1">IFERROR(__xludf.DUMMYFUNCTION("""COMPUTED_VALUE"""),"Angus And Dundee City")</f>
        <v>Angus And Dundee City</v>
      </c>
      <c r="B56" t="str">
        <f ca="1">IFERROR(__xludf.DUMMYFUNCTION("""COMPUTED_VALUE"""),"UKM21")</f>
        <v>UKM21</v>
      </c>
    </row>
    <row r="57" spans="1:2" ht="12.5" x14ac:dyDescent="0.25">
      <c r="A57" t="str">
        <f ca="1">IFERROR(__xludf.DUMMYFUNCTION("""COMPUTED_VALUE"""),"Anhalt-Bitterfeld")</f>
        <v>Anhalt-Bitterfeld</v>
      </c>
      <c r="B57" t="str">
        <f ca="1">IFERROR(__xludf.DUMMYFUNCTION("""COMPUTED_VALUE"""),"DEE05")</f>
        <v>DEE05</v>
      </c>
    </row>
    <row r="58" spans="1:2" ht="12.5" x14ac:dyDescent="0.25">
      <c r="A58" t="str">
        <f ca="1">IFERROR(__xludf.DUMMYFUNCTION("""COMPUTED_VALUE"""),"Annaberg")</f>
        <v>Annaberg</v>
      </c>
      <c r="B58" t="str">
        <f ca="1">IFERROR(__xludf.DUMMYFUNCTION("""COMPUTED_VALUE"""),"DED14")</f>
        <v>DED14</v>
      </c>
    </row>
    <row r="59" spans="1:2" ht="12.5" x14ac:dyDescent="0.25">
      <c r="A59" t="str">
        <f ca="1">IFERROR(__xludf.DUMMYFUNCTION("""COMPUTED_VALUE"""),"Ansbach, Kreisfreie Stadt")</f>
        <v>Ansbach, Kreisfreie Stadt</v>
      </c>
      <c r="B59" t="str">
        <f ca="1">IFERROR(__xludf.DUMMYFUNCTION("""COMPUTED_VALUE"""),"DE251")</f>
        <v>DE251</v>
      </c>
    </row>
    <row r="60" spans="1:2" ht="12.5" x14ac:dyDescent="0.25">
      <c r="A60" t="str">
        <f ca="1">IFERROR(__xludf.DUMMYFUNCTION("""COMPUTED_VALUE"""),"Ansbach, Landkreis")</f>
        <v>Ansbach, Landkreis</v>
      </c>
      <c r="B60" t="str">
        <f ca="1">IFERROR(__xludf.DUMMYFUNCTION("""COMPUTED_VALUE"""),"DE256")</f>
        <v>DE256</v>
      </c>
    </row>
    <row r="61" spans="1:2" ht="12.5" x14ac:dyDescent="0.25">
      <c r="A61" t="str">
        <f ca="1">IFERROR(__xludf.DUMMYFUNCTION("""COMPUTED_VALUE"""),"Appenzell Ausserrhoden")</f>
        <v>Appenzell Ausserrhoden</v>
      </c>
      <c r="B61" t="str">
        <f ca="1">IFERROR(__xludf.DUMMYFUNCTION("""COMPUTED_VALUE"""),"CH053")</f>
        <v>CH053</v>
      </c>
    </row>
    <row r="62" spans="1:2" ht="12.5" x14ac:dyDescent="0.25">
      <c r="A62" t="str">
        <f ca="1">IFERROR(__xludf.DUMMYFUNCTION("""COMPUTED_VALUE"""),"Appenzell Innerrhoden")</f>
        <v>Appenzell Innerrhoden</v>
      </c>
      <c r="B62" t="str">
        <f ca="1">IFERROR(__xludf.DUMMYFUNCTION("""COMPUTED_VALUE"""),"CH054")</f>
        <v>CH054</v>
      </c>
    </row>
    <row r="63" spans="1:2" ht="12.5" x14ac:dyDescent="0.25">
      <c r="A63" t="str">
        <f ca="1">IFERROR(__xludf.DUMMYFUNCTION("""COMPUTED_VALUE"""),"Aquitaine")</f>
        <v>Aquitaine</v>
      </c>
      <c r="B63" t="str">
        <f ca="1">IFERROR(__xludf.DUMMYFUNCTION("""COMPUTED_VALUE"""),"FR61")</f>
        <v>FR61</v>
      </c>
    </row>
    <row r="64" spans="1:2" ht="12.5" x14ac:dyDescent="0.25">
      <c r="A64" t="str">
        <f ca="1">IFERROR(__xludf.DUMMYFUNCTION("""COMPUTED_VALUE"""),"Arad")</f>
        <v>Arad</v>
      </c>
      <c r="B64" t="str">
        <f ca="1">IFERROR(__xludf.DUMMYFUNCTION("""COMPUTED_VALUE"""),"RO421")</f>
        <v>RO421</v>
      </c>
    </row>
    <row r="65" spans="1:2" ht="12.5" x14ac:dyDescent="0.25">
      <c r="A65" t="str">
        <f ca="1">IFERROR(__xludf.DUMMYFUNCTION("""COMPUTED_VALUE"""),"Aragón")</f>
        <v>Aragón</v>
      </c>
      <c r="B65" t="str">
        <f ca="1">IFERROR(__xludf.DUMMYFUNCTION("""COMPUTED_VALUE"""),"ES24")</f>
        <v>ES24</v>
      </c>
    </row>
    <row r="66" spans="1:2" ht="12.5" x14ac:dyDescent="0.25">
      <c r="A66" t="str">
        <f ca="1">IFERROR(__xludf.DUMMYFUNCTION("""COMPUTED_VALUE"""),"Ardèche")</f>
        <v>Ardèche</v>
      </c>
      <c r="B66" t="str">
        <f ca="1">IFERROR(__xludf.DUMMYFUNCTION("""COMPUTED_VALUE"""),"FR712")</f>
        <v>FR712</v>
      </c>
    </row>
    <row r="67" spans="1:2" ht="12.5" x14ac:dyDescent="0.25">
      <c r="A67" t="str">
        <f ca="1">IFERROR(__xludf.DUMMYFUNCTION("""COMPUTED_VALUE"""),"Ardennes")</f>
        <v>Ardennes</v>
      </c>
      <c r="B67" t="str">
        <f ca="1">IFERROR(__xludf.DUMMYFUNCTION("""COMPUTED_VALUE"""),"FR211")</f>
        <v>FR211</v>
      </c>
    </row>
    <row r="68" spans="1:2" ht="12.5" x14ac:dyDescent="0.25">
      <c r="A68" t="str">
        <f ca="1">IFERROR(__xludf.DUMMYFUNCTION("""COMPUTED_VALUE"""),"Arezzo")</f>
        <v>Arezzo</v>
      </c>
      <c r="B68" t="str">
        <f ca="1">IFERROR(__xludf.DUMMYFUNCTION("""COMPUTED_VALUE"""),"ITE18")</f>
        <v>ITE18</v>
      </c>
    </row>
    <row r="69" spans="1:2" ht="12.5" x14ac:dyDescent="0.25">
      <c r="A69" t="str">
        <f ca="1">IFERROR(__xludf.DUMMYFUNCTION("""COMPUTED_VALUE"""),"Arges")</f>
        <v>Arges</v>
      </c>
      <c r="B69" t="str">
        <f ca="1">IFERROR(__xludf.DUMMYFUNCTION("""COMPUTED_VALUE"""),"RO311")</f>
        <v>RO311</v>
      </c>
    </row>
    <row r="70" spans="1:2" ht="12.5" x14ac:dyDescent="0.25">
      <c r="A70" t="str">
        <f ca="1">IFERROR(__xludf.DUMMYFUNCTION("""COMPUTED_VALUE"""),"Argolida")</f>
        <v>Argolida</v>
      </c>
      <c r="B70" t="str">
        <f ca="1">IFERROR(__xludf.DUMMYFUNCTION("""COMPUTED_VALUE"""),"GR251")</f>
        <v>GR251</v>
      </c>
    </row>
    <row r="71" spans="1:2" ht="12.5" x14ac:dyDescent="0.25">
      <c r="A71" t="str">
        <f ca="1">IFERROR(__xludf.DUMMYFUNCTION("""COMPUTED_VALUE"""),"Ariège")</f>
        <v>Ariège</v>
      </c>
      <c r="B71" t="str">
        <f ca="1">IFERROR(__xludf.DUMMYFUNCTION("""COMPUTED_VALUE"""),"FR621")</f>
        <v>FR621</v>
      </c>
    </row>
    <row r="72" spans="1:2" ht="12.5" x14ac:dyDescent="0.25">
      <c r="A72" t="str">
        <f ca="1">IFERROR(__xludf.DUMMYFUNCTION("""COMPUTED_VALUE"""),"Arkadia")</f>
        <v>Arkadia</v>
      </c>
      <c r="B72" t="str">
        <f ca="1">IFERROR(__xludf.DUMMYFUNCTION("""COMPUTED_VALUE"""),"GR252")</f>
        <v>GR252</v>
      </c>
    </row>
    <row r="73" spans="1:2" ht="12.5" x14ac:dyDescent="0.25">
      <c r="A73" t="str">
        <f ca="1">IFERROR(__xludf.DUMMYFUNCTION("""COMPUTED_VALUE"""),"Arnhem-Nijmegen")</f>
        <v>Arnhem-Nijmegen</v>
      </c>
      <c r="B73" t="str">
        <f ca="1">IFERROR(__xludf.DUMMYFUNCTION("""COMPUTED_VALUE"""),"NL226")</f>
        <v>NL226</v>
      </c>
    </row>
    <row r="74" spans="1:2" ht="12.5" x14ac:dyDescent="0.25">
      <c r="A74" t="str">
        <f ca="1">IFERROR(__xludf.DUMMYFUNCTION("""COMPUTED_VALUE"""),"Arnsberg")</f>
        <v>Arnsberg</v>
      </c>
      <c r="B74" t="str">
        <f ca="1">IFERROR(__xludf.DUMMYFUNCTION("""COMPUTED_VALUE"""),"DEA5")</f>
        <v>DEA5</v>
      </c>
    </row>
    <row r="75" spans="1:2" ht="12.5" x14ac:dyDescent="0.25">
      <c r="A75" t="str">
        <f ca="1">IFERROR(__xludf.DUMMYFUNCTION("""COMPUTED_VALUE"""),"Arr. Aalst")</f>
        <v>Arr. Aalst</v>
      </c>
      <c r="B75" t="str">
        <f ca="1">IFERROR(__xludf.DUMMYFUNCTION("""COMPUTED_VALUE"""),"BE231")</f>
        <v>BE231</v>
      </c>
    </row>
    <row r="76" spans="1:2" ht="12.5" x14ac:dyDescent="0.25">
      <c r="A76" t="str">
        <f ca="1">IFERROR(__xludf.DUMMYFUNCTION("""COMPUTED_VALUE"""),"Arr. Antwerpen")</f>
        <v>Arr. Antwerpen</v>
      </c>
      <c r="B76" t="str">
        <f ca="1">IFERROR(__xludf.DUMMYFUNCTION("""COMPUTED_VALUE"""),"BE211")</f>
        <v>BE211</v>
      </c>
    </row>
    <row r="77" spans="1:2" ht="12.5" x14ac:dyDescent="0.25">
      <c r="A77" t="str">
        <f ca="1">IFERROR(__xludf.DUMMYFUNCTION("""COMPUTED_VALUE"""),"Arr. Arlon")</f>
        <v>Arr. Arlon</v>
      </c>
      <c r="B77" t="str">
        <f ca="1">IFERROR(__xludf.DUMMYFUNCTION("""COMPUTED_VALUE"""),"BE341")</f>
        <v>BE341</v>
      </c>
    </row>
    <row r="78" spans="1:2" ht="12.5" x14ac:dyDescent="0.25">
      <c r="A78" t="str">
        <f ca="1">IFERROR(__xludf.DUMMYFUNCTION("""COMPUTED_VALUE"""),"Arr. Ath")</f>
        <v>Arr. Ath</v>
      </c>
      <c r="B78" t="str">
        <f ca="1">IFERROR(__xludf.DUMMYFUNCTION("""COMPUTED_VALUE"""),"BE321")</f>
        <v>BE321</v>
      </c>
    </row>
    <row r="79" spans="1:2" ht="12.5" x14ac:dyDescent="0.25">
      <c r="A79" t="str">
        <f ca="1">IFERROR(__xludf.DUMMYFUNCTION("""COMPUTED_VALUE"""),"Arr. Bastogne")</f>
        <v>Arr. Bastogne</v>
      </c>
      <c r="B79" t="str">
        <f ca="1">IFERROR(__xludf.DUMMYFUNCTION("""COMPUTED_VALUE"""),"BE342")</f>
        <v>BE342</v>
      </c>
    </row>
    <row r="80" spans="1:2" ht="12.5" x14ac:dyDescent="0.25">
      <c r="A80" t="str">
        <f ca="1">IFERROR(__xludf.DUMMYFUNCTION("""COMPUTED_VALUE"""),"Arr. Brugge")</f>
        <v>Arr. Brugge</v>
      </c>
      <c r="B80" t="str">
        <f ca="1">IFERROR(__xludf.DUMMYFUNCTION("""COMPUTED_VALUE"""),"BE251")</f>
        <v>BE251</v>
      </c>
    </row>
    <row r="81" spans="1:2" ht="12.5" x14ac:dyDescent="0.25">
      <c r="A81" t="str">
        <f ca="1">IFERROR(__xludf.DUMMYFUNCTION("""COMPUTED_VALUE"""),"Arr. Charleroi")</f>
        <v>Arr. Charleroi</v>
      </c>
      <c r="B81" t="str">
        <f ca="1">IFERROR(__xludf.DUMMYFUNCTION("""COMPUTED_VALUE"""),"BE322")</f>
        <v>BE322</v>
      </c>
    </row>
    <row r="82" spans="1:2" ht="12.5" x14ac:dyDescent="0.25">
      <c r="A82" t="str">
        <f ca="1">IFERROR(__xludf.DUMMYFUNCTION("""COMPUTED_VALUE"""),"Arr. De Bruxelles-Capitale - Arr. Van Brussel-Hoofdstad")</f>
        <v>Arr. De Bruxelles-Capitale - Arr. Van Brussel-Hoofdstad</v>
      </c>
      <c r="B82" t="str">
        <f ca="1">IFERROR(__xludf.DUMMYFUNCTION("""COMPUTED_VALUE"""),"BE100")</f>
        <v>BE100</v>
      </c>
    </row>
    <row r="83" spans="1:2" ht="12.5" x14ac:dyDescent="0.25">
      <c r="A83" t="str">
        <f ca="1">IFERROR(__xludf.DUMMYFUNCTION("""COMPUTED_VALUE"""),"Arr. Dendermonde")</f>
        <v>Arr. Dendermonde</v>
      </c>
      <c r="B83" t="str">
        <f ca="1">IFERROR(__xludf.DUMMYFUNCTION("""COMPUTED_VALUE"""),"BE232")</f>
        <v>BE232</v>
      </c>
    </row>
    <row r="84" spans="1:2" ht="12.5" x14ac:dyDescent="0.25">
      <c r="A84" t="str">
        <f ca="1">IFERROR(__xludf.DUMMYFUNCTION("""COMPUTED_VALUE"""),"Arr. Diksmuide")</f>
        <v>Arr. Diksmuide</v>
      </c>
      <c r="B84" t="str">
        <f ca="1">IFERROR(__xludf.DUMMYFUNCTION("""COMPUTED_VALUE"""),"BE252")</f>
        <v>BE252</v>
      </c>
    </row>
    <row r="85" spans="1:2" ht="12.5" x14ac:dyDescent="0.25">
      <c r="A85" t="str">
        <f ca="1">IFERROR(__xludf.DUMMYFUNCTION("""COMPUTED_VALUE"""),"Arr. Dinant")</f>
        <v>Arr. Dinant</v>
      </c>
      <c r="B85" t="str">
        <f ca="1">IFERROR(__xludf.DUMMYFUNCTION("""COMPUTED_VALUE"""),"BE351")</f>
        <v>BE351</v>
      </c>
    </row>
    <row r="86" spans="1:2" ht="12.5" x14ac:dyDescent="0.25">
      <c r="A86" t="str">
        <f ca="1">IFERROR(__xludf.DUMMYFUNCTION("""COMPUTED_VALUE"""),"Arr. Eeklo")</f>
        <v>Arr. Eeklo</v>
      </c>
      <c r="B86" t="str">
        <f ca="1">IFERROR(__xludf.DUMMYFUNCTION("""COMPUTED_VALUE"""),"BE233")</f>
        <v>BE233</v>
      </c>
    </row>
    <row r="87" spans="1:2" ht="12.5" x14ac:dyDescent="0.25">
      <c r="A87" t="str">
        <f ca="1">IFERROR(__xludf.DUMMYFUNCTION("""COMPUTED_VALUE"""),"Arr. Gent")</f>
        <v>Arr. Gent</v>
      </c>
      <c r="B87" t="str">
        <f ca="1">IFERROR(__xludf.DUMMYFUNCTION("""COMPUTED_VALUE"""),"BE234")</f>
        <v>BE234</v>
      </c>
    </row>
    <row r="88" spans="1:2" ht="12.5" x14ac:dyDescent="0.25">
      <c r="A88" t="str">
        <f ca="1">IFERROR(__xludf.DUMMYFUNCTION("""COMPUTED_VALUE"""),"Arr. Halle-Vilvoorde")</f>
        <v>Arr. Halle-Vilvoorde</v>
      </c>
      <c r="B88" t="str">
        <f ca="1">IFERROR(__xludf.DUMMYFUNCTION("""COMPUTED_VALUE"""),"BE241")</f>
        <v>BE241</v>
      </c>
    </row>
    <row r="89" spans="1:2" ht="12.5" x14ac:dyDescent="0.25">
      <c r="A89" t="str">
        <f ca="1">IFERROR(__xludf.DUMMYFUNCTION("""COMPUTED_VALUE"""),"Arr. Hasselt")</f>
        <v>Arr. Hasselt</v>
      </c>
      <c r="B89" t="str">
        <f ca="1">IFERROR(__xludf.DUMMYFUNCTION("""COMPUTED_VALUE"""),"BE221")</f>
        <v>BE221</v>
      </c>
    </row>
    <row r="90" spans="1:2" ht="12.5" x14ac:dyDescent="0.25">
      <c r="A90" t="str">
        <f ca="1">IFERROR(__xludf.DUMMYFUNCTION("""COMPUTED_VALUE"""),"Arr. Huy")</f>
        <v>Arr. Huy</v>
      </c>
      <c r="B90" t="str">
        <f ca="1">IFERROR(__xludf.DUMMYFUNCTION("""COMPUTED_VALUE"""),"BE331")</f>
        <v>BE331</v>
      </c>
    </row>
    <row r="91" spans="1:2" ht="12.5" x14ac:dyDescent="0.25">
      <c r="A91" t="str">
        <f ca="1">IFERROR(__xludf.DUMMYFUNCTION("""COMPUTED_VALUE"""),"Arr. Ieper")</f>
        <v>Arr. Ieper</v>
      </c>
      <c r="B91" t="str">
        <f ca="1">IFERROR(__xludf.DUMMYFUNCTION("""COMPUTED_VALUE"""),"BE253")</f>
        <v>BE253</v>
      </c>
    </row>
    <row r="92" spans="1:2" ht="12.5" x14ac:dyDescent="0.25">
      <c r="A92" t="str">
        <f ca="1">IFERROR(__xludf.DUMMYFUNCTION("""COMPUTED_VALUE"""),"Arr. Kortrijk")</f>
        <v>Arr. Kortrijk</v>
      </c>
      <c r="B92" t="str">
        <f ca="1">IFERROR(__xludf.DUMMYFUNCTION("""COMPUTED_VALUE"""),"BE254")</f>
        <v>BE254</v>
      </c>
    </row>
    <row r="93" spans="1:2" ht="12.5" x14ac:dyDescent="0.25">
      <c r="A93" t="str">
        <f ca="1">IFERROR(__xludf.DUMMYFUNCTION("""COMPUTED_VALUE"""),"Arr. Leuven")</f>
        <v>Arr. Leuven</v>
      </c>
      <c r="B93" t="str">
        <f ca="1">IFERROR(__xludf.DUMMYFUNCTION("""COMPUTED_VALUE"""),"BE242")</f>
        <v>BE242</v>
      </c>
    </row>
    <row r="94" spans="1:2" ht="12.5" x14ac:dyDescent="0.25">
      <c r="A94" t="str">
        <f ca="1">IFERROR(__xludf.DUMMYFUNCTION("""COMPUTED_VALUE"""),"Arr. Liège")</f>
        <v>Arr. Liège</v>
      </c>
      <c r="B94" t="str">
        <f ca="1">IFERROR(__xludf.DUMMYFUNCTION("""COMPUTED_VALUE"""),"BE332")</f>
        <v>BE332</v>
      </c>
    </row>
    <row r="95" spans="1:2" ht="12.5" x14ac:dyDescent="0.25">
      <c r="A95" t="str">
        <f ca="1">IFERROR(__xludf.DUMMYFUNCTION("""COMPUTED_VALUE"""),"Arr. Maaseik")</f>
        <v>Arr. Maaseik</v>
      </c>
      <c r="B95" t="str">
        <f ca="1">IFERROR(__xludf.DUMMYFUNCTION("""COMPUTED_VALUE"""),"BE222")</f>
        <v>BE222</v>
      </c>
    </row>
    <row r="96" spans="1:2" ht="12.5" x14ac:dyDescent="0.25">
      <c r="A96" t="str">
        <f ca="1">IFERROR(__xludf.DUMMYFUNCTION("""COMPUTED_VALUE"""),"Arr. Marche-En-Famenne")</f>
        <v>Arr. Marche-En-Famenne</v>
      </c>
      <c r="B96" t="str">
        <f ca="1">IFERROR(__xludf.DUMMYFUNCTION("""COMPUTED_VALUE"""),"BE343")</f>
        <v>BE343</v>
      </c>
    </row>
    <row r="97" spans="1:2" ht="12.5" x14ac:dyDescent="0.25">
      <c r="A97" t="str">
        <f ca="1">IFERROR(__xludf.DUMMYFUNCTION("""COMPUTED_VALUE"""),"Arr. Mechelen")</f>
        <v>Arr. Mechelen</v>
      </c>
      <c r="B97" t="str">
        <f ca="1">IFERROR(__xludf.DUMMYFUNCTION("""COMPUTED_VALUE"""),"BE212")</f>
        <v>BE212</v>
      </c>
    </row>
    <row r="98" spans="1:2" ht="12.5" x14ac:dyDescent="0.25">
      <c r="A98" t="str">
        <f ca="1">IFERROR(__xludf.DUMMYFUNCTION("""COMPUTED_VALUE"""),"Arr. Mons")</f>
        <v>Arr. Mons</v>
      </c>
      <c r="B98" t="str">
        <f ca="1">IFERROR(__xludf.DUMMYFUNCTION("""COMPUTED_VALUE"""),"BE323")</f>
        <v>BE323</v>
      </c>
    </row>
    <row r="99" spans="1:2" ht="12.5" x14ac:dyDescent="0.25">
      <c r="A99" t="str">
        <f ca="1">IFERROR(__xludf.DUMMYFUNCTION("""COMPUTED_VALUE"""),"Arr. Mouscron")</f>
        <v>Arr. Mouscron</v>
      </c>
      <c r="B99" t="str">
        <f ca="1">IFERROR(__xludf.DUMMYFUNCTION("""COMPUTED_VALUE"""),"BE324")</f>
        <v>BE324</v>
      </c>
    </row>
    <row r="100" spans="1:2" ht="12.5" x14ac:dyDescent="0.25">
      <c r="A100" t="str">
        <f ca="1">IFERROR(__xludf.DUMMYFUNCTION("""COMPUTED_VALUE"""),"Arr. Namur")</f>
        <v>Arr. Namur</v>
      </c>
      <c r="B100" t="str">
        <f ca="1">IFERROR(__xludf.DUMMYFUNCTION("""COMPUTED_VALUE"""),"BE352")</f>
        <v>BE352</v>
      </c>
    </row>
    <row r="101" spans="1:2" ht="12.5" x14ac:dyDescent="0.25">
      <c r="A101" t="str">
        <f ca="1">IFERROR(__xludf.DUMMYFUNCTION("""COMPUTED_VALUE"""),"Arr. Neufchâteau")</f>
        <v>Arr. Neufchâteau</v>
      </c>
      <c r="B101" t="str">
        <f ca="1">IFERROR(__xludf.DUMMYFUNCTION("""COMPUTED_VALUE"""),"BE344")</f>
        <v>BE344</v>
      </c>
    </row>
    <row r="102" spans="1:2" ht="12.5" x14ac:dyDescent="0.25">
      <c r="A102" t="str">
        <f ca="1">IFERROR(__xludf.DUMMYFUNCTION("""COMPUTED_VALUE"""),"Arr. Nivelles")</f>
        <v>Arr. Nivelles</v>
      </c>
      <c r="B102" t="str">
        <f ca="1">IFERROR(__xludf.DUMMYFUNCTION("""COMPUTED_VALUE"""),"BE310")</f>
        <v>BE310</v>
      </c>
    </row>
    <row r="103" spans="1:2" ht="12.5" x14ac:dyDescent="0.25">
      <c r="A103" t="str">
        <f ca="1">IFERROR(__xludf.DUMMYFUNCTION("""COMPUTED_VALUE"""),"Arr. Oostende")</f>
        <v>Arr. Oostende</v>
      </c>
      <c r="B103" t="str">
        <f ca="1">IFERROR(__xludf.DUMMYFUNCTION("""COMPUTED_VALUE"""),"BE255")</f>
        <v>BE255</v>
      </c>
    </row>
    <row r="104" spans="1:2" ht="12.5" x14ac:dyDescent="0.25">
      <c r="A104" t="str">
        <f ca="1">IFERROR(__xludf.DUMMYFUNCTION("""COMPUTED_VALUE"""),"Arr. Oudenaarde")</f>
        <v>Arr. Oudenaarde</v>
      </c>
      <c r="B104" t="str">
        <f ca="1">IFERROR(__xludf.DUMMYFUNCTION("""COMPUTED_VALUE"""),"BE235")</f>
        <v>BE235</v>
      </c>
    </row>
    <row r="105" spans="1:2" ht="12.5" x14ac:dyDescent="0.25">
      <c r="A105" t="str">
        <f ca="1">IFERROR(__xludf.DUMMYFUNCTION("""COMPUTED_VALUE"""),"Arr. Philippeville")</f>
        <v>Arr. Philippeville</v>
      </c>
      <c r="B105" t="str">
        <f ca="1">IFERROR(__xludf.DUMMYFUNCTION("""COMPUTED_VALUE"""),"BE353")</f>
        <v>BE353</v>
      </c>
    </row>
    <row r="106" spans="1:2" ht="12.5" x14ac:dyDescent="0.25">
      <c r="A106" t="str">
        <f ca="1">IFERROR(__xludf.DUMMYFUNCTION("""COMPUTED_VALUE"""),"Arr. Roeselare")</f>
        <v>Arr. Roeselare</v>
      </c>
      <c r="B106" t="str">
        <f ca="1">IFERROR(__xludf.DUMMYFUNCTION("""COMPUTED_VALUE"""),"BE256")</f>
        <v>BE256</v>
      </c>
    </row>
    <row r="107" spans="1:2" ht="12.5" x14ac:dyDescent="0.25">
      <c r="A107" t="str">
        <f ca="1">IFERROR(__xludf.DUMMYFUNCTION("""COMPUTED_VALUE"""),"Arr. Sint-Niklaas")</f>
        <v>Arr. Sint-Niklaas</v>
      </c>
      <c r="B107" t="str">
        <f ca="1">IFERROR(__xludf.DUMMYFUNCTION("""COMPUTED_VALUE"""),"BE236")</f>
        <v>BE236</v>
      </c>
    </row>
    <row r="108" spans="1:2" ht="12.5" x14ac:dyDescent="0.25">
      <c r="A108" t="str">
        <f ca="1">IFERROR(__xludf.DUMMYFUNCTION("""COMPUTED_VALUE"""),"Arr. Soignies")</f>
        <v>Arr. Soignies</v>
      </c>
      <c r="B108" t="str">
        <f ca="1">IFERROR(__xludf.DUMMYFUNCTION("""COMPUTED_VALUE"""),"BE325")</f>
        <v>BE325</v>
      </c>
    </row>
    <row r="109" spans="1:2" ht="12.5" x14ac:dyDescent="0.25">
      <c r="A109" t="str">
        <f ca="1">IFERROR(__xludf.DUMMYFUNCTION("""COMPUTED_VALUE"""),"Arr. Thuin")</f>
        <v>Arr. Thuin</v>
      </c>
      <c r="B109" t="str">
        <f ca="1">IFERROR(__xludf.DUMMYFUNCTION("""COMPUTED_VALUE"""),"BE326")</f>
        <v>BE326</v>
      </c>
    </row>
    <row r="110" spans="1:2" ht="12.5" x14ac:dyDescent="0.25">
      <c r="A110" t="str">
        <f ca="1">IFERROR(__xludf.DUMMYFUNCTION("""COMPUTED_VALUE"""),"Arr. Tielt")</f>
        <v>Arr. Tielt</v>
      </c>
      <c r="B110" t="str">
        <f ca="1">IFERROR(__xludf.DUMMYFUNCTION("""COMPUTED_VALUE"""),"BE257")</f>
        <v>BE257</v>
      </c>
    </row>
    <row r="111" spans="1:2" ht="12.5" x14ac:dyDescent="0.25">
      <c r="A111" t="str">
        <f ca="1">IFERROR(__xludf.DUMMYFUNCTION("""COMPUTED_VALUE"""),"Arr. Tongeren")</f>
        <v>Arr. Tongeren</v>
      </c>
      <c r="B111" t="str">
        <f ca="1">IFERROR(__xludf.DUMMYFUNCTION("""COMPUTED_VALUE"""),"BE223")</f>
        <v>BE223</v>
      </c>
    </row>
    <row r="112" spans="1:2" ht="12.5" x14ac:dyDescent="0.25">
      <c r="A112" t="str">
        <f ca="1">IFERROR(__xludf.DUMMYFUNCTION("""COMPUTED_VALUE"""),"Arr. Tournai")</f>
        <v>Arr. Tournai</v>
      </c>
      <c r="B112" t="str">
        <f ca="1">IFERROR(__xludf.DUMMYFUNCTION("""COMPUTED_VALUE"""),"BE327")</f>
        <v>BE327</v>
      </c>
    </row>
    <row r="113" spans="1:2" ht="12.5" x14ac:dyDescent="0.25">
      <c r="A113" t="str">
        <f ca="1">IFERROR(__xludf.DUMMYFUNCTION("""COMPUTED_VALUE"""),"Arr. Turnhout")</f>
        <v>Arr. Turnhout</v>
      </c>
      <c r="B113" t="str">
        <f ca="1">IFERROR(__xludf.DUMMYFUNCTION("""COMPUTED_VALUE"""),"BE213")</f>
        <v>BE213</v>
      </c>
    </row>
    <row r="114" spans="1:2" ht="12.5" x14ac:dyDescent="0.25">
      <c r="A114" t="str">
        <f ca="1">IFERROR(__xludf.DUMMYFUNCTION("""COMPUTED_VALUE"""),"Arr. Verviers - Communes Francophones")</f>
        <v>Arr. Verviers - Communes Francophones</v>
      </c>
      <c r="B114" t="str">
        <f ca="1">IFERROR(__xludf.DUMMYFUNCTION("""COMPUTED_VALUE"""),"BE335")</f>
        <v>BE335</v>
      </c>
    </row>
    <row r="115" spans="1:2" ht="12.5" x14ac:dyDescent="0.25">
      <c r="A115" t="str">
        <f ca="1">IFERROR(__xludf.DUMMYFUNCTION("""COMPUTED_VALUE"""),"Arr. Veurne")</f>
        <v>Arr. Veurne</v>
      </c>
      <c r="B115" t="str">
        <f ca="1">IFERROR(__xludf.DUMMYFUNCTION("""COMPUTED_VALUE"""),"BE258")</f>
        <v>BE258</v>
      </c>
    </row>
    <row r="116" spans="1:2" ht="12.5" x14ac:dyDescent="0.25">
      <c r="A116" t="str">
        <f ca="1">IFERROR(__xludf.DUMMYFUNCTION("""COMPUTED_VALUE"""),"Arr. Virton")</f>
        <v>Arr. Virton</v>
      </c>
      <c r="B116" t="str">
        <f ca="1">IFERROR(__xludf.DUMMYFUNCTION("""COMPUTED_VALUE"""),"BE345")</f>
        <v>BE345</v>
      </c>
    </row>
    <row r="117" spans="1:2" ht="12.5" x14ac:dyDescent="0.25">
      <c r="A117" t="str">
        <f ca="1">IFERROR(__xludf.DUMMYFUNCTION("""COMPUTED_VALUE"""),"Arr. Waremme")</f>
        <v>Arr. Waremme</v>
      </c>
      <c r="B117" t="str">
        <f ca="1">IFERROR(__xludf.DUMMYFUNCTION("""COMPUTED_VALUE"""),"BE334")</f>
        <v>BE334</v>
      </c>
    </row>
    <row r="118" spans="1:2" ht="12.5" x14ac:dyDescent="0.25">
      <c r="A118" t="str">
        <f ca="1">IFERROR(__xludf.DUMMYFUNCTION("""COMPUTED_VALUE"""),"Arta")</f>
        <v>Arta</v>
      </c>
      <c r="B118" t="str">
        <f ca="1">IFERROR(__xludf.DUMMYFUNCTION("""COMPUTED_VALUE"""),"GR211")</f>
        <v>GR211</v>
      </c>
    </row>
    <row r="119" spans="1:2" ht="12.5" x14ac:dyDescent="0.25">
      <c r="A119" t="str">
        <f ca="1">IFERROR(__xludf.DUMMYFUNCTION("""COMPUTED_VALUE"""),"Aschaffenburg, Kreisfreie Stadt")</f>
        <v>Aschaffenburg, Kreisfreie Stadt</v>
      </c>
      <c r="B119" t="str">
        <f ca="1">IFERROR(__xludf.DUMMYFUNCTION("""COMPUTED_VALUE"""),"DE261")</f>
        <v>DE261</v>
      </c>
    </row>
    <row r="120" spans="1:2" ht="12.5" x14ac:dyDescent="0.25">
      <c r="A120" t="str">
        <f ca="1">IFERROR(__xludf.DUMMYFUNCTION("""COMPUTED_VALUE"""),"Aschaffenburg, Landkreis")</f>
        <v>Aschaffenburg, Landkreis</v>
      </c>
      <c r="B120" t="str">
        <f ca="1">IFERROR(__xludf.DUMMYFUNCTION("""COMPUTED_VALUE"""),"DE264")</f>
        <v>DE264</v>
      </c>
    </row>
    <row r="121" spans="1:2" ht="12.5" x14ac:dyDescent="0.25">
      <c r="A121" t="str">
        <f ca="1">IFERROR(__xludf.DUMMYFUNCTION("""COMPUTED_VALUE"""),"Ascoli Piceno")</f>
        <v>Ascoli Piceno</v>
      </c>
      <c r="B121" t="str">
        <f ca="1">IFERROR(__xludf.DUMMYFUNCTION("""COMPUTED_VALUE"""),"ITE34")</f>
        <v>ITE34</v>
      </c>
    </row>
    <row r="122" spans="1:2" ht="12.5" x14ac:dyDescent="0.25">
      <c r="A122" t="str">
        <f ca="1">IFERROR(__xludf.DUMMYFUNCTION("""COMPUTED_VALUE"""),"Asti")</f>
        <v>Asti</v>
      </c>
      <c r="B122" t="str">
        <f ca="1">IFERROR(__xludf.DUMMYFUNCTION("""COMPUTED_VALUE"""),"ITC17")</f>
        <v>ITC17</v>
      </c>
    </row>
    <row r="123" spans="1:2" ht="12.5" x14ac:dyDescent="0.25">
      <c r="A123" t="str">
        <f ca="1">IFERROR(__xludf.DUMMYFUNCTION("""COMPUTED_VALUE"""),"Asturias")</f>
        <v>Asturias</v>
      </c>
      <c r="B123" t="str">
        <f ca="1">IFERROR(__xludf.DUMMYFUNCTION("""COMPUTED_VALUE"""),"ES120")</f>
        <v>ES120</v>
      </c>
    </row>
    <row r="124" spans="1:2" ht="12.5" x14ac:dyDescent="0.25">
      <c r="A124" t="str">
        <f ca="1">IFERROR(__xludf.DUMMYFUNCTION("""COMPUTED_VALUE"""),"Attiki")</f>
        <v>Attiki</v>
      </c>
      <c r="B124" t="str">
        <f ca="1">IFERROR(__xludf.DUMMYFUNCTION("""COMPUTED_VALUE"""),"GR3")</f>
        <v>GR3</v>
      </c>
    </row>
    <row r="125" spans="1:2" ht="12.5" x14ac:dyDescent="0.25">
      <c r="A125" t="str">
        <f ca="1">IFERROR(__xludf.DUMMYFUNCTION("""COMPUTED_VALUE"""),"Attiki (*)")</f>
        <v>Attiki (*)</v>
      </c>
      <c r="B125" t="str">
        <f ca="1">IFERROR(__xludf.DUMMYFUNCTION("""COMPUTED_VALUE"""),"GR30")</f>
        <v>GR30</v>
      </c>
    </row>
    <row r="126" spans="1:2" ht="12.5" x14ac:dyDescent="0.25">
      <c r="A126" t="str">
        <f ca="1">IFERROR(__xludf.DUMMYFUNCTION("""COMPUTED_VALUE"""),"Attiki (**)")</f>
        <v>Attiki (**)</v>
      </c>
      <c r="B126" t="str">
        <f ca="1">IFERROR(__xludf.DUMMYFUNCTION("""COMPUTED_VALUE"""),"GR300")</f>
        <v>GR300</v>
      </c>
    </row>
    <row r="127" spans="1:2" ht="12.5" x14ac:dyDescent="0.25">
      <c r="A127" t="str">
        <f ca="1">IFERROR(__xludf.DUMMYFUNCTION("""COMPUTED_VALUE"""),"Aube")</f>
        <v>Aube</v>
      </c>
      <c r="B127" t="str">
        <f ca="1">IFERROR(__xludf.DUMMYFUNCTION("""COMPUTED_VALUE"""),"FR212")</f>
        <v>FR212</v>
      </c>
    </row>
    <row r="128" spans="1:2" ht="12.5" x14ac:dyDescent="0.25">
      <c r="A128" t="str">
        <f ca="1">IFERROR(__xludf.DUMMYFUNCTION("""COMPUTED_VALUE"""),"Aude")</f>
        <v>Aude</v>
      </c>
      <c r="B128" t="str">
        <f ca="1">IFERROR(__xludf.DUMMYFUNCTION("""COMPUTED_VALUE"""),"FR811")</f>
        <v>FR811</v>
      </c>
    </row>
    <row r="129" spans="1:2" ht="12.5" x14ac:dyDescent="0.25">
      <c r="A129" t="str">
        <f ca="1">IFERROR(__xludf.DUMMYFUNCTION("""COMPUTED_VALUE"""),"Aue-Schwarzenberg")</f>
        <v>Aue-Schwarzenberg</v>
      </c>
      <c r="B129" t="str">
        <f ca="1">IFERROR(__xludf.DUMMYFUNCTION("""COMPUTED_VALUE"""),"DED1B")</f>
        <v>DED1B</v>
      </c>
    </row>
    <row r="130" spans="1:2" ht="12.5" x14ac:dyDescent="0.25">
      <c r="A130" t="str">
        <f ca="1">IFERROR(__xludf.DUMMYFUNCTION("""COMPUTED_VALUE"""),"Augsburg, Kreisfreie Stadt")</f>
        <v>Augsburg, Kreisfreie Stadt</v>
      </c>
      <c r="B130" t="str">
        <f ca="1">IFERROR(__xludf.DUMMYFUNCTION("""COMPUTED_VALUE"""),"DE271")</f>
        <v>DE271</v>
      </c>
    </row>
    <row r="131" spans="1:2" ht="12.5" x14ac:dyDescent="0.25">
      <c r="A131" t="str">
        <f ca="1">IFERROR(__xludf.DUMMYFUNCTION("""COMPUTED_VALUE"""),"Augsburg, Landkreis")</f>
        <v>Augsburg, Landkreis</v>
      </c>
      <c r="B131" t="str">
        <f ca="1">IFERROR(__xludf.DUMMYFUNCTION("""COMPUTED_VALUE"""),"DE276")</f>
        <v>DE276</v>
      </c>
    </row>
    <row r="132" spans="1:2" ht="12.5" x14ac:dyDescent="0.25">
      <c r="A132" t="str">
        <f ca="1">IFERROR(__xludf.DUMMYFUNCTION("""COMPUTED_VALUE"""),"Aurich")</f>
        <v>Aurich</v>
      </c>
      <c r="B132" t="str">
        <f ca="1">IFERROR(__xludf.DUMMYFUNCTION("""COMPUTED_VALUE"""),"DE947")</f>
        <v>DE947</v>
      </c>
    </row>
    <row r="133" spans="1:2" ht="12.5" x14ac:dyDescent="0.25">
      <c r="A133" t="str">
        <f ca="1">IFERROR(__xludf.DUMMYFUNCTION("""COMPUTED_VALUE"""),"Außerfern")</f>
        <v>Außerfern</v>
      </c>
      <c r="B133" t="str">
        <f ca="1">IFERROR(__xludf.DUMMYFUNCTION("""COMPUTED_VALUE"""),"AT331")</f>
        <v>AT331</v>
      </c>
    </row>
    <row r="134" spans="1:2" ht="12.5" x14ac:dyDescent="0.25">
      <c r="A134" t="str">
        <f ca="1">IFERROR(__xludf.DUMMYFUNCTION("""COMPUTED_VALUE"""),"Aust-Agder")</f>
        <v>Aust-Agder</v>
      </c>
      <c r="B134" t="str">
        <f ca="1">IFERROR(__xludf.DUMMYFUNCTION("""COMPUTED_VALUE"""),"NO041")</f>
        <v>NO041</v>
      </c>
    </row>
    <row r="135" spans="1:2" ht="12.5" x14ac:dyDescent="0.25">
      <c r="A135" t="str">
        <f ca="1">IFERROR(__xludf.DUMMYFUNCTION("""COMPUTED_VALUE"""),"Auvergne")</f>
        <v>Auvergne</v>
      </c>
      <c r="B135" t="str">
        <f ca="1">IFERROR(__xludf.DUMMYFUNCTION("""COMPUTED_VALUE"""),"FR72")</f>
        <v>FR72</v>
      </c>
    </row>
    <row r="136" spans="1:2" ht="12.5" x14ac:dyDescent="0.25">
      <c r="A136" t="str">
        <f ca="1">IFERROR(__xludf.DUMMYFUNCTION("""COMPUTED_VALUE"""),"Ave")</f>
        <v>Ave</v>
      </c>
      <c r="B136" t="str">
        <f ca="1">IFERROR(__xludf.DUMMYFUNCTION("""COMPUTED_VALUE"""),"PT113")</f>
        <v>PT113</v>
      </c>
    </row>
    <row r="137" spans="1:2" ht="12.5" x14ac:dyDescent="0.25">
      <c r="A137" t="str">
        <f ca="1">IFERROR(__xludf.DUMMYFUNCTION("""COMPUTED_VALUE"""),"Avellino")</f>
        <v>Avellino</v>
      </c>
      <c r="B137" t="str">
        <f ca="1">IFERROR(__xludf.DUMMYFUNCTION("""COMPUTED_VALUE"""),"ITF34")</f>
        <v>ITF34</v>
      </c>
    </row>
    <row r="138" spans="1:2" ht="12.5" x14ac:dyDescent="0.25">
      <c r="A138" t="str">
        <f ca="1">IFERROR(__xludf.DUMMYFUNCTION("""COMPUTED_VALUE"""),"Aveyron")</f>
        <v>Aveyron</v>
      </c>
      <c r="B138" t="str">
        <f ca="1">IFERROR(__xludf.DUMMYFUNCTION("""COMPUTED_VALUE"""),"FR622")</f>
        <v>FR622</v>
      </c>
    </row>
    <row r="139" spans="1:2" ht="12.5" x14ac:dyDescent="0.25">
      <c r="A139" t="str">
        <f ca="1">IFERROR(__xludf.DUMMYFUNCTION("""COMPUTED_VALUE"""),"Ávila")</f>
        <v>Ávila</v>
      </c>
      <c r="B139" t="str">
        <f ca="1">IFERROR(__xludf.DUMMYFUNCTION("""COMPUTED_VALUE"""),"ES411")</f>
        <v>ES411</v>
      </c>
    </row>
    <row r="140" spans="1:2" ht="12.5" x14ac:dyDescent="0.25">
      <c r="A140" t="str">
        <f ca="1">IFERROR(__xludf.DUMMYFUNCTION("""COMPUTED_VALUE"""),"Bacau")</f>
        <v>Bacau</v>
      </c>
      <c r="B140" t="str">
        <f ca="1">IFERROR(__xludf.DUMMYFUNCTION("""COMPUTED_VALUE"""),"RO211")</f>
        <v>RO211</v>
      </c>
    </row>
    <row r="141" spans="1:2" ht="12.5" x14ac:dyDescent="0.25">
      <c r="A141" t="str">
        <f ca="1">IFERROR(__xludf.DUMMYFUNCTION("""COMPUTED_VALUE"""),"Bacs-Kiskun")</f>
        <v>Bacs-Kiskun</v>
      </c>
      <c r="B141" t="str">
        <f ca="1">IFERROR(__xludf.DUMMYFUNCTION("""COMPUTED_VALUE"""),"HU331")</f>
        <v>HU331</v>
      </c>
    </row>
    <row r="142" spans="1:2" ht="12.5" x14ac:dyDescent="0.25">
      <c r="A142" t="str">
        <f ca="1">IFERROR(__xludf.DUMMYFUNCTION("""COMPUTED_VALUE"""),"Bad Doberan")</f>
        <v>Bad Doberan</v>
      </c>
      <c r="B142" t="str">
        <f ca="1">IFERROR(__xludf.DUMMYFUNCTION("""COMPUTED_VALUE"""),"DE807")</f>
        <v>DE807</v>
      </c>
    </row>
    <row r="143" spans="1:2" ht="12.5" x14ac:dyDescent="0.25">
      <c r="A143" t="str">
        <f ca="1">IFERROR(__xludf.DUMMYFUNCTION("""COMPUTED_VALUE"""),"Bad Dürkheim")</f>
        <v>Bad Dürkheim</v>
      </c>
      <c r="B143" t="str">
        <f ca="1">IFERROR(__xludf.DUMMYFUNCTION("""COMPUTED_VALUE"""),"DEB3C")</f>
        <v>DEB3C</v>
      </c>
    </row>
    <row r="144" spans="1:2" ht="12.5" x14ac:dyDescent="0.25">
      <c r="A144" t="str">
        <f ca="1">IFERROR(__xludf.DUMMYFUNCTION("""COMPUTED_VALUE"""),"Bad Kissingen")</f>
        <v>Bad Kissingen</v>
      </c>
      <c r="B144" t="str">
        <f ca="1">IFERROR(__xludf.DUMMYFUNCTION("""COMPUTED_VALUE"""),"DE265")</f>
        <v>DE265</v>
      </c>
    </row>
    <row r="145" spans="1:2" ht="12.5" x14ac:dyDescent="0.25">
      <c r="A145" t="str">
        <f ca="1">IFERROR(__xludf.DUMMYFUNCTION("""COMPUTED_VALUE"""),"Bad Kreuznach")</f>
        <v>Bad Kreuznach</v>
      </c>
      <c r="B145" t="str">
        <f ca="1">IFERROR(__xludf.DUMMYFUNCTION("""COMPUTED_VALUE"""),"DEB14")</f>
        <v>DEB14</v>
      </c>
    </row>
    <row r="146" spans="1:2" ht="12.5" x14ac:dyDescent="0.25">
      <c r="A146" t="str">
        <f ca="1">IFERROR(__xludf.DUMMYFUNCTION("""COMPUTED_VALUE"""),"Bad Tölz-Wolfratshausen")</f>
        <v>Bad Tölz-Wolfratshausen</v>
      </c>
      <c r="B146" t="str">
        <f ca="1">IFERROR(__xludf.DUMMYFUNCTION("""COMPUTED_VALUE"""),"DE216")</f>
        <v>DE216</v>
      </c>
    </row>
    <row r="147" spans="1:2" ht="12.5" x14ac:dyDescent="0.25">
      <c r="A147" t="str">
        <f ca="1">IFERROR(__xludf.DUMMYFUNCTION("""COMPUTED_VALUE"""),"Badajoz")</f>
        <v>Badajoz</v>
      </c>
      <c r="B147" t="str">
        <f ca="1">IFERROR(__xludf.DUMMYFUNCTION("""COMPUTED_VALUE"""),"ES431")</f>
        <v>ES431</v>
      </c>
    </row>
    <row r="148" spans="1:2" ht="12.5" x14ac:dyDescent="0.25">
      <c r="A148" t="str">
        <f ca="1">IFERROR(__xludf.DUMMYFUNCTION("""COMPUTED_VALUE"""),"Baden-Baden, Stadtkreis")</f>
        <v>Baden-Baden, Stadtkreis</v>
      </c>
      <c r="B148" t="str">
        <f ca="1">IFERROR(__xludf.DUMMYFUNCTION("""COMPUTED_VALUE"""),"DE121")</f>
        <v>DE121</v>
      </c>
    </row>
    <row r="149" spans="1:2" ht="12.5" x14ac:dyDescent="0.25">
      <c r="A149" t="str">
        <f ca="1">IFERROR(__xludf.DUMMYFUNCTION("""COMPUTED_VALUE"""),"Baden-Württemberg")</f>
        <v>Baden-Württemberg</v>
      </c>
      <c r="B149" t="str">
        <f ca="1">IFERROR(__xludf.DUMMYFUNCTION("""COMPUTED_VALUE"""),"DE1")</f>
        <v>DE1</v>
      </c>
    </row>
    <row r="150" spans="1:2" ht="12.5" x14ac:dyDescent="0.25">
      <c r="A150" t="str">
        <f ca="1">IFERROR(__xludf.DUMMYFUNCTION("""COMPUTED_VALUE"""),"Baixo Alentejo")</f>
        <v>Baixo Alentejo</v>
      </c>
      <c r="B150" t="str">
        <f ca="1">IFERROR(__xludf.DUMMYFUNCTION("""COMPUTED_VALUE"""),"PT184")</f>
        <v>PT184</v>
      </c>
    </row>
    <row r="151" spans="1:2" ht="12.5" x14ac:dyDescent="0.25">
      <c r="A151" t="str">
        <f ca="1">IFERROR(__xludf.DUMMYFUNCTION("""COMPUTED_VALUE"""),"Baixo Mondego")</f>
        <v>Baixo Mondego</v>
      </c>
      <c r="B151" t="str">
        <f ca="1">IFERROR(__xludf.DUMMYFUNCTION("""COMPUTED_VALUE"""),"PT162")</f>
        <v>PT162</v>
      </c>
    </row>
    <row r="152" spans="1:2" ht="12.5" x14ac:dyDescent="0.25">
      <c r="A152" t="str">
        <f ca="1">IFERROR(__xludf.DUMMYFUNCTION("""COMPUTED_VALUE"""),"Baixo Vouga")</f>
        <v>Baixo Vouga</v>
      </c>
      <c r="B152" t="str">
        <f ca="1">IFERROR(__xludf.DUMMYFUNCTION("""COMPUTED_VALUE"""),"PT161")</f>
        <v>PT161</v>
      </c>
    </row>
    <row r="153" spans="1:2" ht="12.5" x14ac:dyDescent="0.25">
      <c r="A153" t="str">
        <f ca="1">IFERROR(__xludf.DUMMYFUNCTION("""COMPUTED_VALUE"""),"Bamberg, Kreisfreie Stadt")</f>
        <v>Bamberg, Kreisfreie Stadt</v>
      </c>
      <c r="B153" t="str">
        <f ca="1">IFERROR(__xludf.DUMMYFUNCTION("""COMPUTED_VALUE"""),"DE241")</f>
        <v>DE241</v>
      </c>
    </row>
    <row r="154" spans="1:2" ht="12.5" x14ac:dyDescent="0.25">
      <c r="A154" t="str">
        <f ca="1">IFERROR(__xludf.DUMMYFUNCTION("""COMPUTED_VALUE"""),"Bamberg, Landkreis")</f>
        <v>Bamberg, Landkreis</v>
      </c>
      <c r="B154" t="str">
        <f ca="1">IFERROR(__xludf.DUMMYFUNCTION("""COMPUTED_VALUE"""),"DE245")</f>
        <v>DE245</v>
      </c>
    </row>
    <row r="155" spans="1:2" ht="12.5" x14ac:dyDescent="0.25">
      <c r="A155" t="str">
        <f ca="1">IFERROR(__xludf.DUMMYFUNCTION("""COMPUTED_VALUE"""),"Banskobystricky Kraj")</f>
        <v>Banskobystricky Kraj</v>
      </c>
      <c r="B155" t="str">
        <f ca="1">IFERROR(__xludf.DUMMYFUNCTION("""COMPUTED_VALUE"""),"SK032")</f>
        <v>SK032</v>
      </c>
    </row>
    <row r="156" spans="1:2" ht="12.5" x14ac:dyDescent="0.25">
      <c r="A156" t="str">
        <f ca="1">IFERROR(__xludf.DUMMYFUNCTION("""COMPUTED_VALUE"""),"Baranya")</f>
        <v>Baranya</v>
      </c>
      <c r="B156" t="str">
        <f ca="1">IFERROR(__xludf.DUMMYFUNCTION("""COMPUTED_VALUE"""),"HU231")</f>
        <v>HU231</v>
      </c>
    </row>
    <row r="157" spans="1:2" ht="12.5" x14ac:dyDescent="0.25">
      <c r="A157" t="str">
        <f ca="1">IFERROR(__xludf.DUMMYFUNCTION("""COMPUTED_VALUE"""),"Barcelona")</f>
        <v>Barcelona</v>
      </c>
      <c r="B157" t="str">
        <f ca="1">IFERROR(__xludf.DUMMYFUNCTION("""COMPUTED_VALUE"""),"ES511")</f>
        <v>ES511</v>
      </c>
    </row>
    <row r="158" spans="1:2" ht="12.5" x14ac:dyDescent="0.25">
      <c r="A158" t="str">
        <f ca="1">IFERROR(__xludf.DUMMYFUNCTION("""COMPUTED_VALUE"""),"Bari")</f>
        <v>Bari</v>
      </c>
      <c r="B158" t="str">
        <f ca="1">IFERROR(__xludf.DUMMYFUNCTION("""COMPUTED_VALUE"""),"ITF42")</f>
        <v>ITF42</v>
      </c>
    </row>
    <row r="159" spans="1:2" ht="12.5" x14ac:dyDescent="0.25">
      <c r="A159" t="str">
        <f ca="1">IFERROR(__xludf.DUMMYFUNCTION("""COMPUTED_VALUE"""),"Barnim")</f>
        <v>Barnim</v>
      </c>
      <c r="B159" t="str">
        <f ca="1">IFERROR(__xludf.DUMMYFUNCTION("""COMPUTED_VALUE"""),"DE412")</f>
        <v>DE412</v>
      </c>
    </row>
    <row r="160" spans="1:2" ht="12.5" x14ac:dyDescent="0.25">
      <c r="A160" t="str">
        <f ca="1">IFERROR(__xludf.DUMMYFUNCTION("""COMPUTED_VALUE"""),"Barnsley, Doncaster And Rotherham")</f>
        <v>Barnsley, Doncaster And Rotherham</v>
      </c>
      <c r="B160" t="str">
        <f ca="1">IFERROR(__xludf.DUMMYFUNCTION("""COMPUTED_VALUE"""),"UKE31")</f>
        <v>UKE31</v>
      </c>
    </row>
    <row r="161" spans="1:2" ht="12.5" x14ac:dyDescent="0.25">
      <c r="A161" t="str">
        <f ca="1">IFERROR(__xludf.DUMMYFUNCTION("""COMPUTED_VALUE"""),"Bas-Rhin")</f>
        <v>Bas-Rhin</v>
      </c>
      <c r="B161" t="str">
        <f ca="1">IFERROR(__xludf.DUMMYFUNCTION("""COMPUTED_VALUE"""),"FR421")</f>
        <v>FR421</v>
      </c>
    </row>
    <row r="162" spans="1:2" ht="12.5" x14ac:dyDescent="0.25">
      <c r="A162" t="str">
        <f ca="1">IFERROR(__xludf.DUMMYFUNCTION("""COMPUTED_VALUE"""),"Basel-Landschaft")</f>
        <v>Basel-Landschaft</v>
      </c>
      <c r="B162" t="str">
        <f ca="1">IFERROR(__xludf.DUMMYFUNCTION("""COMPUTED_VALUE"""),"CH032")</f>
        <v>CH032</v>
      </c>
    </row>
    <row r="163" spans="1:2" ht="12.5" x14ac:dyDescent="0.25">
      <c r="A163" t="str">
        <f ca="1">IFERROR(__xludf.DUMMYFUNCTION("""COMPUTED_VALUE"""),"Basel-Stadt")</f>
        <v>Basel-Stadt</v>
      </c>
      <c r="B163" t="str">
        <f ca="1">IFERROR(__xludf.DUMMYFUNCTION("""COMPUTED_VALUE"""),"CH031")</f>
        <v>CH031</v>
      </c>
    </row>
    <row r="164" spans="1:2" ht="12.5" x14ac:dyDescent="0.25">
      <c r="A164" t="str">
        <f ca="1">IFERROR(__xludf.DUMMYFUNCTION("""COMPUTED_VALUE"""),"Basilicata")</f>
        <v>Basilicata</v>
      </c>
      <c r="B164" t="str">
        <f ca="1">IFERROR(__xludf.DUMMYFUNCTION("""COMPUTED_VALUE"""),"ITF5")</f>
        <v>ITF5</v>
      </c>
    </row>
    <row r="165" spans="1:2" ht="12.5" x14ac:dyDescent="0.25">
      <c r="A165" t="str">
        <f ca="1">IFERROR(__xludf.DUMMYFUNCTION("""COMPUTED_VALUE"""),"Basse-Normandie")</f>
        <v>Basse-Normandie</v>
      </c>
      <c r="B165" t="str">
        <f ca="1">IFERROR(__xludf.DUMMYFUNCTION("""COMPUTED_VALUE"""),"FR25")</f>
        <v>FR25</v>
      </c>
    </row>
    <row r="166" spans="1:2" ht="12.5" x14ac:dyDescent="0.25">
      <c r="A166" t="str">
        <f ca="1">IFERROR(__xludf.DUMMYFUNCTION("""COMPUTED_VALUE"""),"Bassin Parisien")</f>
        <v>Bassin Parisien</v>
      </c>
      <c r="B166" t="str">
        <f ca="1">IFERROR(__xludf.DUMMYFUNCTION("""COMPUTED_VALUE"""),"FR2")</f>
        <v>FR2</v>
      </c>
    </row>
    <row r="167" spans="1:2" ht="12.5" x14ac:dyDescent="0.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x14ac:dyDescent="0.25">
      <c r="A168" t="str">
        <f ca="1">IFERROR(__xludf.DUMMYFUNCTION("""COMPUTED_VALUE"""),"Bautzen")</f>
        <v>Bautzen</v>
      </c>
      <c r="B168" t="str">
        <f ca="1">IFERROR(__xludf.DUMMYFUNCTION("""COMPUTED_VALUE"""),"DED24")</f>
        <v>DED24</v>
      </c>
    </row>
    <row r="169" spans="1:2" ht="12.5" x14ac:dyDescent="0.25">
      <c r="A169" t="str">
        <f ca="1">IFERROR(__xludf.DUMMYFUNCTION("""COMPUTED_VALUE"""),"Bayern")</f>
        <v>Bayern</v>
      </c>
      <c r="B169" t="str">
        <f ca="1">IFERROR(__xludf.DUMMYFUNCTION("""COMPUTED_VALUE"""),"DE2")</f>
        <v>DE2</v>
      </c>
    </row>
    <row r="170" spans="1:2" ht="12.5" x14ac:dyDescent="0.25">
      <c r="A170" t="str">
        <f ca="1">IFERROR(__xludf.DUMMYFUNCTION("""COMPUTED_VALUE"""),"Bayreuth, Kreisfreie Stadt")</f>
        <v>Bayreuth, Kreisfreie Stadt</v>
      </c>
      <c r="B170" t="str">
        <f ca="1">IFERROR(__xludf.DUMMYFUNCTION("""COMPUTED_VALUE"""),"DE242")</f>
        <v>DE242</v>
      </c>
    </row>
    <row r="171" spans="1:2" ht="12.5" x14ac:dyDescent="0.25">
      <c r="A171" t="str">
        <f ca="1">IFERROR(__xludf.DUMMYFUNCTION("""COMPUTED_VALUE"""),"Bayreuth, Landkreis")</f>
        <v>Bayreuth, Landkreis</v>
      </c>
      <c r="B171" t="str">
        <f ca="1">IFERROR(__xludf.DUMMYFUNCTION("""COMPUTED_VALUE"""),"DE246")</f>
        <v>DE246</v>
      </c>
    </row>
    <row r="172" spans="1:2" ht="12.5" x14ac:dyDescent="0.25">
      <c r="A172" t="str">
        <f ca="1">IFERROR(__xludf.DUMMYFUNCTION("""COMPUTED_VALUE"""),"Bedfordshire And Hertfordshire")</f>
        <v>Bedfordshire And Hertfordshire</v>
      </c>
      <c r="B172" t="str">
        <f ca="1">IFERROR(__xludf.DUMMYFUNCTION("""COMPUTED_VALUE"""),"UKH2")</f>
        <v>UKH2</v>
      </c>
    </row>
    <row r="173" spans="1:2" ht="12.5" x14ac:dyDescent="0.25">
      <c r="A173" t="str">
        <f ca="1">IFERROR(__xludf.DUMMYFUNCTION("""COMPUTED_VALUE"""),"Bedfordshire Cc")</f>
        <v>Bedfordshire Cc</v>
      </c>
      <c r="B173" t="str">
        <f ca="1">IFERROR(__xludf.DUMMYFUNCTION("""COMPUTED_VALUE"""),"UKH22")</f>
        <v>UKH22</v>
      </c>
    </row>
    <row r="174" spans="1:2" ht="12.5" x14ac:dyDescent="0.25">
      <c r="A174" t="str">
        <f ca="1">IFERROR(__xludf.DUMMYFUNCTION("""COMPUTED_VALUE"""),"Beira Interior Norte")</f>
        <v>Beira Interior Norte</v>
      </c>
      <c r="B174" t="str">
        <f ca="1">IFERROR(__xludf.DUMMYFUNCTION("""COMPUTED_VALUE"""),"PT168")</f>
        <v>PT168</v>
      </c>
    </row>
    <row r="175" spans="1:2" ht="12.5" x14ac:dyDescent="0.25">
      <c r="A175" t="str">
        <f ca="1">IFERROR(__xludf.DUMMYFUNCTION("""COMPUTED_VALUE"""),"Beira Interior Sul")</f>
        <v>Beira Interior Sul</v>
      </c>
      <c r="B175" t="str">
        <f ca="1">IFERROR(__xludf.DUMMYFUNCTION("""COMPUTED_VALUE"""),"PT169")</f>
        <v>PT169</v>
      </c>
    </row>
    <row r="176" spans="1:2" ht="12.5" x14ac:dyDescent="0.25">
      <c r="A176" t="str">
        <f ca="1">IFERROR(__xludf.DUMMYFUNCTION("""COMPUTED_VALUE"""),"Bekes")</f>
        <v>Bekes</v>
      </c>
      <c r="B176" t="str">
        <f ca="1">IFERROR(__xludf.DUMMYFUNCTION("""COMPUTED_VALUE"""),"HU332")</f>
        <v>HU332</v>
      </c>
    </row>
    <row r="177" spans="1:2" ht="12.5" x14ac:dyDescent="0.25">
      <c r="A177" t="str">
        <f ca="1">IFERROR(__xludf.DUMMYFUNCTION("""COMPUTED_VALUE"""),"Belfast")</f>
        <v>Belfast</v>
      </c>
      <c r="B177" t="str">
        <f ca="1">IFERROR(__xludf.DUMMYFUNCTION("""COMPUTED_VALUE"""),"UKN01")</f>
        <v>UKN01</v>
      </c>
    </row>
    <row r="178" spans="1:2" ht="12.5" x14ac:dyDescent="0.25">
      <c r="A178" t="str">
        <f ca="1">IFERROR(__xludf.DUMMYFUNCTION("""COMPUTED_VALUE"""),"Belgique-België")</f>
        <v>Belgique-België</v>
      </c>
      <c r="B178" t="str">
        <f ca="1">IFERROR(__xludf.DUMMYFUNCTION("""COMPUTED_VALUE"""),"BE")</f>
        <v>BE</v>
      </c>
    </row>
    <row r="179" spans="1:2" ht="12.5" x14ac:dyDescent="0.25">
      <c r="A179" t="str">
        <f ca="1">IFERROR(__xludf.DUMMYFUNCTION("""COMPUTED_VALUE"""),"Belluno")</f>
        <v>Belluno</v>
      </c>
      <c r="B179" t="str">
        <f ca="1">IFERROR(__xludf.DUMMYFUNCTION("""COMPUTED_VALUE"""),"ITD33")</f>
        <v>ITD33</v>
      </c>
    </row>
    <row r="180" spans="1:2" ht="12.5" x14ac:dyDescent="0.25">
      <c r="A180" t="str">
        <f ca="1">IFERROR(__xludf.DUMMYFUNCTION("""COMPUTED_VALUE"""),"Benevento")</f>
        <v>Benevento</v>
      </c>
      <c r="B180" t="str">
        <f ca="1">IFERROR(__xludf.DUMMYFUNCTION("""COMPUTED_VALUE"""),"ITF32")</f>
        <v>ITF32</v>
      </c>
    </row>
    <row r="181" spans="1:2" ht="12.5" x14ac:dyDescent="0.25">
      <c r="A181" t="str">
        <f ca="1">IFERROR(__xludf.DUMMYFUNCTION("""COMPUTED_VALUE"""),"Berchtesgadener Land")</f>
        <v>Berchtesgadener Land</v>
      </c>
      <c r="B181" t="str">
        <f ca="1">IFERROR(__xludf.DUMMYFUNCTION("""COMPUTED_VALUE"""),"DE215")</f>
        <v>DE215</v>
      </c>
    </row>
    <row r="182" spans="1:2" ht="12.5" x14ac:dyDescent="0.25">
      <c r="A182" t="str">
        <f ca="1">IFERROR(__xludf.DUMMYFUNCTION("""COMPUTED_VALUE"""),"Bergamo")</f>
        <v>Bergamo</v>
      </c>
      <c r="B182" t="str">
        <f ca="1">IFERROR(__xludf.DUMMYFUNCTION("""COMPUTED_VALUE"""),"ITC46")</f>
        <v>ITC46</v>
      </c>
    </row>
    <row r="183" spans="1:2" ht="12.5" x14ac:dyDescent="0.25">
      <c r="A183" t="str">
        <f ca="1">IFERROR(__xludf.DUMMYFUNCTION("""COMPUTED_VALUE"""),"Bergstraße")</f>
        <v>Bergstraße</v>
      </c>
      <c r="B183" t="str">
        <f ca="1">IFERROR(__xludf.DUMMYFUNCTION("""COMPUTED_VALUE"""),"DE715")</f>
        <v>DE715</v>
      </c>
    </row>
    <row r="184" spans="1:2" ht="12.5" x14ac:dyDescent="0.25">
      <c r="A184" t="str">
        <f ca="1">IFERROR(__xludf.DUMMYFUNCTION("""COMPUTED_VALUE"""),"Berkshire")</f>
        <v>Berkshire</v>
      </c>
      <c r="B184" t="str">
        <f ca="1">IFERROR(__xludf.DUMMYFUNCTION("""COMPUTED_VALUE"""),"UKJ11")</f>
        <v>UKJ11</v>
      </c>
    </row>
    <row r="185" spans="1:2" ht="12.5" x14ac:dyDescent="0.25">
      <c r="A185" t="str">
        <f ca="1">IFERROR(__xludf.DUMMYFUNCTION("""COMPUTED_VALUE"""),"Berkshire, Buckinghamshire And Oxfordshire")</f>
        <v>Berkshire, Buckinghamshire And Oxfordshire</v>
      </c>
      <c r="B185" t="str">
        <f ca="1">IFERROR(__xludf.DUMMYFUNCTION("""COMPUTED_VALUE"""),"UKJ1")</f>
        <v>UKJ1</v>
      </c>
    </row>
    <row r="186" spans="1:2" ht="12.5" x14ac:dyDescent="0.25">
      <c r="A186" t="str">
        <f ca="1">IFERROR(__xludf.DUMMYFUNCTION("""COMPUTED_VALUE"""),"Berlin")</f>
        <v>Berlin</v>
      </c>
      <c r="B186" t="str">
        <f ca="1">IFERROR(__xludf.DUMMYFUNCTION("""COMPUTED_VALUE"""),"DE3")</f>
        <v>DE3</v>
      </c>
    </row>
    <row r="187" spans="1:2" ht="12.5" x14ac:dyDescent="0.25">
      <c r="A187" t="str">
        <f ca="1">IFERROR(__xludf.DUMMYFUNCTION("""COMPUTED_VALUE"""),"Berlin (*)")</f>
        <v>Berlin (*)</v>
      </c>
      <c r="B187" t="str">
        <f ca="1">IFERROR(__xludf.DUMMYFUNCTION("""COMPUTED_VALUE"""),"DE30")</f>
        <v>DE30</v>
      </c>
    </row>
    <row r="188" spans="1:2" ht="12.5" x14ac:dyDescent="0.25">
      <c r="A188" t="str">
        <f ca="1">IFERROR(__xludf.DUMMYFUNCTION("""COMPUTED_VALUE"""),"Berlin (**)")</f>
        <v>Berlin (**)</v>
      </c>
      <c r="B188" t="str">
        <f ca="1">IFERROR(__xludf.DUMMYFUNCTION("""COMPUTED_VALUE"""),"DE300")</f>
        <v>DE300</v>
      </c>
    </row>
    <row r="189" spans="1:2" ht="12.5" x14ac:dyDescent="0.25">
      <c r="A189" t="str">
        <f ca="1">IFERROR(__xludf.DUMMYFUNCTION("""COMPUTED_VALUE"""),"Bern")</f>
        <v>Bern</v>
      </c>
      <c r="B189" t="str">
        <f ca="1">IFERROR(__xludf.DUMMYFUNCTION("""COMPUTED_VALUE"""),"CH021")</f>
        <v>CH021</v>
      </c>
    </row>
    <row r="190" spans="1:2" ht="12.5" x14ac:dyDescent="0.25">
      <c r="A190" t="str">
        <f ca="1">IFERROR(__xludf.DUMMYFUNCTION("""COMPUTED_VALUE"""),"Bernkastel-Wittlich")</f>
        <v>Bernkastel-Wittlich</v>
      </c>
      <c r="B190" t="str">
        <f ca="1">IFERROR(__xludf.DUMMYFUNCTION("""COMPUTED_VALUE"""),"DEB22")</f>
        <v>DEB22</v>
      </c>
    </row>
    <row r="191" spans="1:2" ht="12.5" x14ac:dyDescent="0.25">
      <c r="A191" t="str">
        <f ca="1">IFERROR(__xludf.DUMMYFUNCTION("""COMPUTED_VALUE"""),"Bezirk Verviers - Deutschsprachige Gemeinschaft")</f>
        <v>Bezirk Verviers - Deutschsprachige Gemeinschaft</v>
      </c>
      <c r="B191" t="str">
        <f ca="1">IFERROR(__xludf.DUMMYFUNCTION("""COMPUTED_VALUE"""),"BE336")</f>
        <v>BE336</v>
      </c>
    </row>
    <row r="192" spans="1:2" ht="12.5" x14ac:dyDescent="0.25">
      <c r="A192" t="str">
        <f ca="1">IFERROR(__xludf.DUMMYFUNCTION("""COMPUTED_VALUE"""),"Bialostocki")</f>
        <v>Bialostocki</v>
      </c>
      <c r="B192" t="str">
        <f ca="1">IFERROR(__xludf.DUMMYFUNCTION("""COMPUTED_VALUE"""),"PL343")</f>
        <v>PL343</v>
      </c>
    </row>
    <row r="193" spans="1:2" ht="12.5" x14ac:dyDescent="0.25">
      <c r="A193" t="str">
        <f ca="1">IFERROR(__xludf.DUMMYFUNCTION("""COMPUTED_VALUE"""),"Bialski")</f>
        <v>Bialski</v>
      </c>
      <c r="B193" t="str">
        <f ca="1">IFERROR(__xludf.DUMMYFUNCTION("""COMPUTED_VALUE"""),"PL311")</f>
        <v>PL311</v>
      </c>
    </row>
    <row r="194" spans="1:2" ht="12.5" x14ac:dyDescent="0.25">
      <c r="A194" t="str">
        <f ca="1">IFERROR(__xludf.DUMMYFUNCTION("""COMPUTED_VALUE"""),"Biberach")</f>
        <v>Biberach</v>
      </c>
      <c r="B194" t="str">
        <f ca="1">IFERROR(__xludf.DUMMYFUNCTION("""COMPUTED_VALUE"""),"DE146")</f>
        <v>DE146</v>
      </c>
    </row>
    <row r="195" spans="1:2" ht="12.5" x14ac:dyDescent="0.25">
      <c r="A195" t="str">
        <f ca="1">IFERROR(__xludf.DUMMYFUNCTION("""COMPUTED_VALUE"""),"Bielefeld, Kreisfreie Stadt")</f>
        <v>Bielefeld, Kreisfreie Stadt</v>
      </c>
      <c r="B195" t="str">
        <f ca="1">IFERROR(__xludf.DUMMYFUNCTION("""COMPUTED_VALUE"""),"DEA41")</f>
        <v>DEA41</v>
      </c>
    </row>
    <row r="196" spans="1:2" ht="12.5" x14ac:dyDescent="0.25">
      <c r="A196" t="str">
        <f ca="1">IFERROR(__xludf.DUMMYFUNCTION("""COMPUTED_VALUE"""),"Biella")</f>
        <v>Biella</v>
      </c>
      <c r="B196" t="str">
        <f ca="1">IFERROR(__xludf.DUMMYFUNCTION("""COMPUTED_VALUE"""),"ITC13")</f>
        <v>ITC13</v>
      </c>
    </row>
    <row r="197" spans="1:2" ht="12.5" x14ac:dyDescent="0.25">
      <c r="A197" t="str">
        <f ca="1">IFERROR(__xludf.DUMMYFUNCTION("""COMPUTED_VALUE"""),"Bielski")</f>
        <v>Bielski</v>
      </c>
      <c r="B197" t="str">
        <f ca="1">IFERROR(__xludf.DUMMYFUNCTION("""COMPUTED_VALUE"""),"PL225")</f>
        <v>PL225</v>
      </c>
    </row>
    <row r="198" spans="1:2" ht="12.5" x14ac:dyDescent="0.25">
      <c r="A198" t="str">
        <f ca="1">IFERROR(__xludf.DUMMYFUNCTION("""COMPUTED_VALUE"""),"Bihor")</f>
        <v>Bihor</v>
      </c>
      <c r="B198" t="str">
        <f ca="1">IFERROR(__xludf.DUMMYFUNCTION("""COMPUTED_VALUE"""),"RO111")</f>
        <v>RO111</v>
      </c>
    </row>
    <row r="199" spans="1:2" ht="12.5" x14ac:dyDescent="0.25">
      <c r="A199" t="str">
        <f ca="1">IFERROR(__xludf.DUMMYFUNCTION("""COMPUTED_VALUE"""),"Birkenfeld")</f>
        <v>Birkenfeld</v>
      </c>
      <c r="B199" t="str">
        <f ca="1">IFERROR(__xludf.DUMMYFUNCTION("""COMPUTED_VALUE"""),"DEB15")</f>
        <v>DEB15</v>
      </c>
    </row>
    <row r="200" spans="1:2" ht="12.5" x14ac:dyDescent="0.25">
      <c r="A200" t="str">
        <f ca="1">IFERROR(__xludf.DUMMYFUNCTION("""COMPUTED_VALUE"""),"Birmingham")</f>
        <v>Birmingham</v>
      </c>
      <c r="B200" t="str">
        <f ca="1">IFERROR(__xludf.DUMMYFUNCTION("""COMPUTED_VALUE"""),"UKG31")</f>
        <v>UKG31</v>
      </c>
    </row>
    <row r="201" spans="1:2" ht="12.5" x14ac:dyDescent="0.25">
      <c r="A201" t="str">
        <f ca="1">IFERROR(__xludf.DUMMYFUNCTION("""COMPUTED_VALUE"""),"Bistrita-Nasaud")</f>
        <v>Bistrita-Nasaud</v>
      </c>
      <c r="B201" t="str">
        <f ca="1">IFERROR(__xludf.DUMMYFUNCTION("""COMPUTED_VALUE"""),"RO112")</f>
        <v>RO112</v>
      </c>
    </row>
    <row r="202" spans="1:2" ht="12.5" x14ac:dyDescent="0.25">
      <c r="A202" t="str">
        <f ca="1">IFERROR(__xludf.DUMMYFUNCTION("""COMPUTED_VALUE"""),"Bitburg-Prüm")</f>
        <v>Bitburg-Prüm</v>
      </c>
      <c r="B202" t="str">
        <f ca="1">IFERROR(__xludf.DUMMYFUNCTION("""COMPUTED_VALUE"""),"DEB23")</f>
        <v>DEB23</v>
      </c>
    </row>
    <row r="203" spans="1:2" ht="12.5" x14ac:dyDescent="0.25">
      <c r="A203" t="str">
        <f ca="1">IFERROR(__xludf.DUMMYFUNCTION("""COMPUTED_VALUE"""),"Blackburn With Darwen")</f>
        <v>Blackburn With Darwen</v>
      </c>
      <c r="B203" t="str">
        <f ca="1">IFERROR(__xludf.DUMMYFUNCTION("""COMPUTED_VALUE"""),"UKD41")</f>
        <v>UKD41</v>
      </c>
    </row>
    <row r="204" spans="1:2" ht="12.5" x14ac:dyDescent="0.25">
      <c r="A204" t="str">
        <f ca="1">IFERROR(__xludf.DUMMYFUNCTION("""COMPUTED_VALUE"""),"Blackpool")</f>
        <v>Blackpool</v>
      </c>
      <c r="B204" t="str">
        <f ca="1">IFERROR(__xludf.DUMMYFUNCTION("""COMPUTED_VALUE"""),"UKD42")</f>
        <v>UKD42</v>
      </c>
    </row>
    <row r="205" spans="1:2" ht="12.5" x14ac:dyDescent="0.25">
      <c r="A205" t="str">
        <f ca="1">IFERROR(__xludf.DUMMYFUNCTION("""COMPUTED_VALUE"""),"Blagoevgrad")</f>
        <v>Blagoevgrad</v>
      </c>
      <c r="B205" t="str">
        <f ca="1">IFERROR(__xludf.DUMMYFUNCTION("""COMPUTED_VALUE"""),"BG413")</f>
        <v>BG413</v>
      </c>
    </row>
    <row r="206" spans="1:2" ht="12.5" x14ac:dyDescent="0.25">
      <c r="A206" t="str">
        <f ca="1">IFERROR(__xludf.DUMMYFUNCTION("""COMPUTED_VALUE"""),"Blekinge Län")</f>
        <v>Blekinge Län</v>
      </c>
      <c r="B206" t="str">
        <f ca="1">IFERROR(__xludf.DUMMYFUNCTION("""COMPUTED_VALUE"""),"SE221")</f>
        <v>SE221</v>
      </c>
    </row>
    <row r="207" spans="1:2" ht="12.5" x14ac:dyDescent="0.25">
      <c r="A207" t="str">
        <f ca="1">IFERROR(__xludf.DUMMYFUNCTION("""COMPUTED_VALUE"""),"Bludenz-Bregenzer Wald")</f>
        <v>Bludenz-Bregenzer Wald</v>
      </c>
      <c r="B207" t="str">
        <f ca="1">IFERROR(__xludf.DUMMYFUNCTION("""COMPUTED_VALUE"""),"AT341")</f>
        <v>AT341</v>
      </c>
    </row>
    <row r="208" spans="1:2" ht="12.5" x14ac:dyDescent="0.25">
      <c r="A208" t="str">
        <f ca="1">IFERROR(__xludf.DUMMYFUNCTION("""COMPUTED_VALUE"""),"Böblingen")</f>
        <v>Böblingen</v>
      </c>
      <c r="B208" t="str">
        <f ca="1">IFERROR(__xludf.DUMMYFUNCTION("""COMPUTED_VALUE"""),"DE112")</f>
        <v>DE112</v>
      </c>
    </row>
    <row r="209" spans="1:2" ht="12.5" x14ac:dyDescent="0.25">
      <c r="A209" t="str">
        <f ca="1">IFERROR(__xludf.DUMMYFUNCTION("""COMPUTED_VALUE"""),"Bochum, Kreisfreie Stadt")</f>
        <v>Bochum, Kreisfreie Stadt</v>
      </c>
      <c r="B209" t="str">
        <f ca="1">IFERROR(__xludf.DUMMYFUNCTION("""COMPUTED_VALUE"""),"DEA51")</f>
        <v>DEA51</v>
      </c>
    </row>
    <row r="210" spans="1:2" ht="12.5" x14ac:dyDescent="0.25">
      <c r="A210" t="str">
        <f ca="1">IFERROR(__xludf.DUMMYFUNCTION("""COMPUTED_VALUE"""),"Bodenseekreis")</f>
        <v>Bodenseekreis</v>
      </c>
      <c r="B210" t="str">
        <f ca="1">IFERROR(__xludf.DUMMYFUNCTION("""COMPUTED_VALUE"""),"DE147")</f>
        <v>DE147</v>
      </c>
    </row>
    <row r="211" spans="1:2" ht="12.5" x14ac:dyDescent="0.25">
      <c r="A211" t="str">
        <f ca="1">IFERROR(__xludf.DUMMYFUNCTION("""COMPUTED_VALUE"""),"Bologna")</f>
        <v>Bologna</v>
      </c>
      <c r="B211" t="str">
        <f ca="1">IFERROR(__xludf.DUMMYFUNCTION("""COMPUTED_VALUE"""),"ITD55")</f>
        <v>ITD55</v>
      </c>
    </row>
    <row r="212" spans="1:2" ht="12.5" x14ac:dyDescent="0.25">
      <c r="A212" t="str">
        <f ca="1">IFERROR(__xludf.DUMMYFUNCTION("""COMPUTED_VALUE"""),"Bolzano-Bozen")</f>
        <v>Bolzano-Bozen</v>
      </c>
      <c r="B212" t="str">
        <f ca="1">IFERROR(__xludf.DUMMYFUNCTION("""COMPUTED_VALUE"""),"ITD10")</f>
        <v>ITD10</v>
      </c>
    </row>
    <row r="213" spans="1:2" ht="12.5" x14ac:dyDescent="0.25">
      <c r="A213" t="str">
        <f ca="1">IFERROR(__xludf.DUMMYFUNCTION("""COMPUTED_VALUE"""),"Bonn, Kreisfreie Stadt")</f>
        <v>Bonn, Kreisfreie Stadt</v>
      </c>
      <c r="B213" t="str">
        <f ca="1">IFERROR(__xludf.DUMMYFUNCTION("""COMPUTED_VALUE"""),"DEA22")</f>
        <v>DEA22</v>
      </c>
    </row>
    <row r="214" spans="1:2" ht="12.5" x14ac:dyDescent="0.25">
      <c r="A214" t="str">
        <f ca="1">IFERROR(__xludf.DUMMYFUNCTION("""COMPUTED_VALUE"""),"Börde")</f>
        <v>Börde</v>
      </c>
      <c r="B214" t="str">
        <f ca="1">IFERROR(__xludf.DUMMYFUNCTION("""COMPUTED_VALUE"""),"DEE07")</f>
        <v>DEE07</v>
      </c>
    </row>
    <row r="215" spans="1:2" ht="12.5" x14ac:dyDescent="0.25">
      <c r="A215" t="str">
        <f ca="1">IFERROR(__xludf.DUMMYFUNCTION("""COMPUTED_VALUE"""),"Border")</f>
        <v>Border</v>
      </c>
      <c r="B215" t="str">
        <f ca="1">IFERROR(__xludf.DUMMYFUNCTION("""COMPUTED_VALUE"""),"IE011")</f>
        <v>IE011</v>
      </c>
    </row>
    <row r="216" spans="1:2" ht="12.5" x14ac:dyDescent="0.25">
      <c r="A216" t="str">
        <f ca="1">IFERROR(__xludf.DUMMYFUNCTION("""COMPUTED_VALUE"""),"Border, Midland And Western")</f>
        <v>Border, Midland And Western</v>
      </c>
      <c r="B216" t="str">
        <f ca="1">IFERROR(__xludf.DUMMYFUNCTION("""COMPUTED_VALUE"""),"IE01")</f>
        <v>IE01</v>
      </c>
    </row>
    <row r="217" spans="1:2" ht="12.5" x14ac:dyDescent="0.25">
      <c r="A217" t="str">
        <f ca="1">IFERROR(__xludf.DUMMYFUNCTION("""COMPUTED_VALUE"""),"Borken")</f>
        <v>Borken</v>
      </c>
      <c r="B217" t="str">
        <f ca="1">IFERROR(__xludf.DUMMYFUNCTION("""COMPUTED_VALUE"""),"DEA34")</f>
        <v>DEA34</v>
      </c>
    </row>
    <row r="218" spans="1:2" ht="12.5" x14ac:dyDescent="0.25">
      <c r="A218" t="str">
        <f ca="1">IFERROR(__xludf.DUMMYFUNCTION("""COMPUTED_VALUE"""),"Bornholm")</f>
        <v>Bornholm</v>
      </c>
      <c r="B218" t="str">
        <f ca="1">IFERROR(__xludf.DUMMYFUNCTION("""COMPUTED_VALUE"""),"DK014")</f>
        <v>DK014</v>
      </c>
    </row>
    <row r="219" spans="1:2" ht="12.5" x14ac:dyDescent="0.25">
      <c r="A219" t="str">
        <f ca="1">IFERROR(__xludf.DUMMYFUNCTION("""COMPUTED_VALUE"""),"Borsod-Abauj-Zemplen")</f>
        <v>Borsod-Abauj-Zemplen</v>
      </c>
      <c r="B219" t="str">
        <f ca="1">IFERROR(__xludf.DUMMYFUNCTION("""COMPUTED_VALUE"""),"HU311")</f>
        <v>HU311</v>
      </c>
    </row>
    <row r="220" spans="1:2" ht="12.5" x14ac:dyDescent="0.25">
      <c r="A220" t="str">
        <f ca="1">IFERROR(__xludf.DUMMYFUNCTION("""COMPUTED_VALUE"""),"Botosani")</f>
        <v>Botosani</v>
      </c>
      <c r="B220" t="str">
        <f ca="1">IFERROR(__xludf.DUMMYFUNCTION("""COMPUTED_VALUE"""),"RO212")</f>
        <v>RO212</v>
      </c>
    </row>
    <row r="221" spans="1:2" ht="12.5" x14ac:dyDescent="0.25">
      <c r="A221" t="str">
        <f ca="1">IFERROR(__xludf.DUMMYFUNCTION("""COMPUTED_VALUE"""),"Bottrop, Kreisfreie Stadt")</f>
        <v>Bottrop, Kreisfreie Stadt</v>
      </c>
      <c r="B221" t="str">
        <f ca="1">IFERROR(__xludf.DUMMYFUNCTION("""COMPUTED_VALUE"""),"DEA31")</f>
        <v>DEA31</v>
      </c>
    </row>
    <row r="222" spans="1:2" ht="12.5" x14ac:dyDescent="0.25">
      <c r="A222" t="str">
        <f ca="1">IFERROR(__xludf.DUMMYFUNCTION("""COMPUTED_VALUE"""),"Bouches-Du-Rhône")</f>
        <v>Bouches-Du-Rhône</v>
      </c>
      <c r="B222" t="str">
        <f ca="1">IFERROR(__xludf.DUMMYFUNCTION("""COMPUTED_VALUE"""),"FR824")</f>
        <v>FR824</v>
      </c>
    </row>
    <row r="223" spans="1:2" ht="12.5" x14ac:dyDescent="0.25">
      <c r="A223" t="str">
        <f ca="1">IFERROR(__xludf.DUMMYFUNCTION("""COMPUTED_VALUE"""),"Bourgogne")</f>
        <v>Bourgogne</v>
      </c>
      <c r="B223" t="str">
        <f ca="1">IFERROR(__xludf.DUMMYFUNCTION("""COMPUTED_VALUE"""),"FR26")</f>
        <v>FR26</v>
      </c>
    </row>
    <row r="224" spans="1:2" ht="12.5" x14ac:dyDescent="0.25">
      <c r="A224" t="str">
        <f ca="1">IFERROR(__xludf.DUMMYFUNCTION("""COMPUTED_VALUE"""),"Bournemouth And Poole")</f>
        <v>Bournemouth And Poole</v>
      </c>
      <c r="B224" t="str">
        <f ca="1">IFERROR(__xludf.DUMMYFUNCTION("""COMPUTED_VALUE"""),"UKK21")</f>
        <v>UKK21</v>
      </c>
    </row>
    <row r="225" spans="1:2" ht="12.5" x14ac:dyDescent="0.25">
      <c r="A225" t="str">
        <f ca="1">IFERROR(__xludf.DUMMYFUNCTION("""COMPUTED_VALUE"""),"Bradford")</f>
        <v>Bradford</v>
      </c>
      <c r="B225" t="str">
        <f ca="1">IFERROR(__xludf.DUMMYFUNCTION("""COMPUTED_VALUE"""),"UKE41")</f>
        <v>UKE41</v>
      </c>
    </row>
    <row r="226" spans="1:2" ht="12.5" x14ac:dyDescent="0.25">
      <c r="A226" t="str">
        <f ca="1">IFERROR(__xludf.DUMMYFUNCTION("""COMPUTED_VALUE"""),"Braila")</f>
        <v>Braila</v>
      </c>
      <c r="B226" t="str">
        <f ca="1">IFERROR(__xludf.DUMMYFUNCTION("""COMPUTED_VALUE"""),"RO221")</f>
        <v>RO221</v>
      </c>
    </row>
    <row r="227" spans="1:2" ht="12.5" x14ac:dyDescent="0.25">
      <c r="A227" t="str">
        <f ca="1">IFERROR(__xludf.DUMMYFUNCTION("""COMPUTED_VALUE"""),"Brandenburg")</f>
        <v>Brandenburg</v>
      </c>
      <c r="B227" t="str">
        <f ca="1">IFERROR(__xludf.DUMMYFUNCTION("""COMPUTED_VALUE"""),"DE4")</f>
        <v>DE4</v>
      </c>
    </row>
    <row r="228" spans="1:2" ht="12.5" x14ac:dyDescent="0.25">
      <c r="A228" t="str">
        <f ca="1">IFERROR(__xludf.DUMMYFUNCTION("""COMPUTED_VALUE"""),"Brandenburg - Nordost")</f>
        <v>Brandenburg - Nordost</v>
      </c>
      <c r="B228" t="str">
        <f ca="1">IFERROR(__xludf.DUMMYFUNCTION("""COMPUTED_VALUE"""),"DE41")</f>
        <v>DE41</v>
      </c>
    </row>
    <row r="229" spans="1:2" ht="12.5" x14ac:dyDescent="0.25">
      <c r="A229" t="str">
        <f ca="1">IFERROR(__xludf.DUMMYFUNCTION("""COMPUTED_VALUE"""),"Brandenburg - Südwest")</f>
        <v>Brandenburg - Südwest</v>
      </c>
      <c r="B229" t="str">
        <f ca="1">IFERROR(__xludf.DUMMYFUNCTION("""COMPUTED_VALUE"""),"DE42")</f>
        <v>DE42</v>
      </c>
    </row>
    <row r="230" spans="1:2" ht="12.5" x14ac:dyDescent="0.25">
      <c r="A230" t="str">
        <f ca="1">IFERROR(__xludf.DUMMYFUNCTION("""COMPUTED_VALUE"""),"Brandenburg An Der Havel, Kreisfreie Stadt")</f>
        <v>Brandenburg An Der Havel, Kreisfreie Stadt</v>
      </c>
      <c r="B230" t="str">
        <f ca="1">IFERROR(__xludf.DUMMYFUNCTION("""COMPUTED_VALUE"""),"DE421")</f>
        <v>DE421</v>
      </c>
    </row>
    <row r="231" spans="1:2" ht="12.5" x14ac:dyDescent="0.25">
      <c r="A231" t="str">
        <f ca="1">IFERROR(__xludf.DUMMYFUNCTION("""COMPUTED_VALUE"""),"Brasov")</f>
        <v>Brasov</v>
      </c>
      <c r="B231" t="str">
        <f ca="1">IFERROR(__xludf.DUMMYFUNCTION("""COMPUTED_VALUE"""),"RO122")</f>
        <v>RO122</v>
      </c>
    </row>
    <row r="232" spans="1:2" ht="12.5" x14ac:dyDescent="0.25">
      <c r="A232" t="str">
        <f ca="1">IFERROR(__xludf.DUMMYFUNCTION("""COMPUTED_VALUE"""),"Bratislavsky Kraj")</f>
        <v>Bratislavsky Kraj</v>
      </c>
      <c r="B232" t="str">
        <f ca="1">IFERROR(__xludf.DUMMYFUNCTION("""COMPUTED_VALUE"""),"SK01")</f>
        <v>SK01</v>
      </c>
    </row>
    <row r="233" spans="1:2" ht="12.5" x14ac:dyDescent="0.25">
      <c r="A233" t="str">
        <f ca="1">IFERROR(__xludf.DUMMYFUNCTION("""COMPUTED_VALUE"""),"Bratislavsky Kraj (*)")</f>
        <v>Bratislavsky Kraj (*)</v>
      </c>
      <c r="B233" t="str">
        <f ca="1">IFERROR(__xludf.DUMMYFUNCTION("""COMPUTED_VALUE"""),"SK010")</f>
        <v>SK010</v>
      </c>
    </row>
    <row r="234" spans="1:2" ht="12.5" x14ac:dyDescent="0.25">
      <c r="A234" t="str">
        <f ca="1">IFERROR(__xludf.DUMMYFUNCTION("""COMPUTED_VALUE"""),"Braunschweig")</f>
        <v>Braunschweig</v>
      </c>
      <c r="B234" t="str">
        <f ca="1">IFERROR(__xludf.DUMMYFUNCTION("""COMPUTED_VALUE"""),"DE91")</f>
        <v>DE91</v>
      </c>
    </row>
    <row r="235" spans="1:2" ht="12.5" x14ac:dyDescent="0.25">
      <c r="A235" t="str">
        <f ca="1">IFERROR(__xludf.DUMMYFUNCTION("""COMPUTED_VALUE"""),"Braunschweig, Kreisfreie Stadt")</f>
        <v>Braunschweig, Kreisfreie Stadt</v>
      </c>
      <c r="B235" t="str">
        <f ca="1">IFERROR(__xludf.DUMMYFUNCTION("""COMPUTED_VALUE"""),"DE911")</f>
        <v>DE911</v>
      </c>
    </row>
    <row r="236" spans="1:2" ht="12.5" x14ac:dyDescent="0.25">
      <c r="A236" t="str">
        <f ca="1">IFERROR(__xludf.DUMMYFUNCTION("""COMPUTED_VALUE"""),"Breisgau-Hochschwarzwald")</f>
        <v>Breisgau-Hochschwarzwald</v>
      </c>
      <c r="B236" t="str">
        <f ca="1">IFERROR(__xludf.DUMMYFUNCTION("""COMPUTED_VALUE"""),"DE132")</f>
        <v>DE132</v>
      </c>
    </row>
    <row r="237" spans="1:2" ht="12.5" x14ac:dyDescent="0.25">
      <c r="A237" t="str">
        <f ca="1">IFERROR(__xludf.DUMMYFUNCTION("""COMPUTED_VALUE"""),"Bremen")</f>
        <v>Bremen</v>
      </c>
      <c r="B237" t="str">
        <f ca="1">IFERROR(__xludf.DUMMYFUNCTION("""COMPUTED_VALUE"""),"DE5")</f>
        <v>DE5</v>
      </c>
    </row>
    <row r="238" spans="1:2" ht="12.5" x14ac:dyDescent="0.25">
      <c r="A238" t="str">
        <f ca="1">IFERROR(__xludf.DUMMYFUNCTION("""COMPUTED_VALUE"""),"Bremen (*)")</f>
        <v>Bremen (*)</v>
      </c>
      <c r="B238" t="str">
        <f ca="1">IFERROR(__xludf.DUMMYFUNCTION("""COMPUTED_VALUE"""),"DE50")</f>
        <v>DE50</v>
      </c>
    </row>
    <row r="239" spans="1:2" ht="12.5" x14ac:dyDescent="0.25">
      <c r="A239" t="str">
        <f ca="1">IFERROR(__xludf.DUMMYFUNCTION("""COMPUTED_VALUE"""),"Bremen, Kreisfreie Stadt")</f>
        <v>Bremen, Kreisfreie Stadt</v>
      </c>
      <c r="B239" t="str">
        <f ca="1">IFERROR(__xludf.DUMMYFUNCTION("""COMPUTED_VALUE"""),"DE501")</f>
        <v>DE501</v>
      </c>
    </row>
    <row r="240" spans="1:2" ht="12.5" x14ac:dyDescent="0.25">
      <c r="A240" t="str">
        <f ca="1">IFERROR(__xludf.DUMMYFUNCTION("""COMPUTED_VALUE"""),"Bremerhaven, Kreisfreie Stadt")</f>
        <v>Bremerhaven, Kreisfreie Stadt</v>
      </c>
      <c r="B240" t="str">
        <f ca="1">IFERROR(__xludf.DUMMYFUNCTION("""COMPUTED_VALUE"""),"DE502")</f>
        <v>DE502</v>
      </c>
    </row>
    <row r="241" spans="1:2" ht="12.5" x14ac:dyDescent="0.25">
      <c r="A241" t="str">
        <f ca="1">IFERROR(__xludf.DUMMYFUNCTION("""COMPUTED_VALUE"""),"Brescia")</f>
        <v>Brescia</v>
      </c>
      <c r="B241" t="str">
        <f ca="1">IFERROR(__xludf.DUMMYFUNCTION("""COMPUTED_VALUE"""),"ITC47")</f>
        <v>ITC47</v>
      </c>
    </row>
    <row r="242" spans="1:2" ht="12.5" x14ac:dyDescent="0.25">
      <c r="A242" t="str">
        <f ca="1">IFERROR(__xludf.DUMMYFUNCTION("""COMPUTED_VALUE"""),"Bretagne")</f>
        <v>Bretagne</v>
      </c>
      <c r="B242" t="str">
        <f ca="1">IFERROR(__xludf.DUMMYFUNCTION("""COMPUTED_VALUE"""),"FR52")</f>
        <v>FR52</v>
      </c>
    </row>
    <row r="243" spans="1:2" ht="12.5" x14ac:dyDescent="0.25">
      <c r="A243" t="str">
        <f ca="1">IFERROR(__xludf.DUMMYFUNCTION("""COMPUTED_VALUE"""),"Bridgend And Neath Port Talbot")</f>
        <v>Bridgend And Neath Port Talbot</v>
      </c>
      <c r="B243" t="str">
        <f ca="1">IFERROR(__xludf.DUMMYFUNCTION("""COMPUTED_VALUE"""),"UKL17")</f>
        <v>UKL17</v>
      </c>
    </row>
    <row r="244" spans="1:2" ht="12.5" x14ac:dyDescent="0.25">
      <c r="A244" t="str">
        <f ca="1">IFERROR(__xludf.DUMMYFUNCTION("""COMPUTED_VALUE"""),"Brighton And Hove")</f>
        <v>Brighton And Hove</v>
      </c>
      <c r="B244" t="str">
        <f ca="1">IFERROR(__xludf.DUMMYFUNCTION("""COMPUTED_VALUE"""),"UKJ21")</f>
        <v>UKJ21</v>
      </c>
    </row>
    <row r="245" spans="1:2" ht="12.5" x14ac:dyDescent="0.25">
      <c r="A245" t="str">
        <f ca="1">IFERROR(__xludf.DUMMYFUNCTION("""COMPUTED_VALUE"""),"Brindisi")</f>
        <v>Brindisi</v>
      </c>
      <c r="B245" t="str">
        <f ca="1">IFERROR(__xludf.DUMMYFUNCTION("""COMPUTED_VALUE"""),"ITF44")</f>
        <v>ITF44</v>
      </c>
    </row>
    <row r="246" spans="1:2" ht="12.5" x14ac:dyDescent="0.25">
      <c r="A246" t="str">
        <f ca="1">IFERROR(__xludf.DUMMYFUNCTION("""COMPUTED_VALUE"""),"Bristol, City Of")</f>
        <v>Bristol, City Of</v>
      </c>
      <c r="B246" t="str">
        <f ca="1">IFERROR(__xludf.DUMMYFUNCTION("""COMPUTED_VALUE"""),"UKK11")</f>
        <v>UKK11</v>
      </c>
    </row>
    <row r="247" spans="1:2" ht="12.5" x14ac:dyDescent="0.25">
      <c r="A247" t="str">
        <f ca="1">IFERROR(__xludf.DUMMYFUNCTION("""COMPUTED_VALUE"""),"Buckinghamshire Cc")</f>
        <v>Buckinghamshire Cc</v>
      </c>
      <c r="B247" t="str">
        <f ca="1">IFERROR(__xludf.DUMMYFUNCTION("""COMPUTED_VALUE"""),"UKJ13")</f>
        <v>UKJ13</v>
      </c>
    </row>
    <row r="248" spans="1:2" ht="12.5" x14ac:dyDescent="0.25">
      <c r="A248" t="str">
        <f ca="1">IFERROR(__xludf.DUMMYFUNCTION("""COMPUTED_VALUE"""),"Bucuresti")</f>
        <v>Bucuresti</v>
      </c>
      <c r="B248" t="str">
        <f ca="1">IFERROR(__xludf.DUMMYFUNCTION("""COMPUTED_VALUE"""),"RO321")</f>
        <v>RO321</v>
      </c>
    </row>
    <row r="249" spans="1:2" ht="12.5" x14ac:dyDescent="0.25">
      <c r="A249" t="str">
        <f ca="1">IFERROR(__xludf.DUMMYFUNCTION("""COMPUTED_VALUE"""),"Bucuresti - Ilfov")</f>
        <v>Bucuresti - Ilfov</v>
      </c>
      <c r="B249" t="str">
        <f ca="1">IFERROR(__xludf.DUMMYFUNCTION("""COMPUTED_VALUE"""),"RO32")</f>
        <v>RO32</v>
      </c>
    </row>
    <row r="250" spans="1:2" ht="12.5" x14ac:dyDescent="0.25">
      <c r="A250" t="str">
        <f ca="1">IFERROR(__xludf.DUMMYFUNCTION("""COMPUTED_VALUE"""),"Budapest")</f>
        <v>Budapest</v>
      </c>
      <c r="B250" t="str">
        <f ca="1">IFERROR(__xludf.DUMMYFUNCTION("""COMPUTED_VALUE"""),"HU101")</f>
        <v>HU101</v>
      </c>
    </row>
    <row r="251" spans="1:2" ht="12.5" x14ac:dyDescent="0.25">
      <c r="A251" t="str">
        <f ca="1">IFERROR(__xludf.DUMMYFUNCTION("""COMPUTED_VALUE"""),"Bulgaria")</f>
        <v>Bulgaria</v>
      </c>
      <c r="B251" t="str">
        <f ca="1">IFERROR(__xludf.DUMMYFUNCTION("""COMPUTED_VALUE"""),"BG")</f>
        <v>BG</v>
      </c>
    </row>
    <row r="252" spans="1:2" ht="12.5" x14ac:dyDescent="0.25">
      <c r="A252" t="str">
        <f ca="1">IFERROR(__xludf.DUMMYFUNCTION("""COMPUTED_VALUE"""),"Burgas")</f>
        <v>Burgas</v>
      </c>
      <c r="B252" t="str">
        <f ca="1">IFERROR(__xludf.DUMMYFUNCTION("""COMPUTED_VALUE"""),"BG341")</f>
        <v>BG341</v>
      </c>
    </row>
    <row r="253" spans="1:2" ht="12.5" x14ac:dyDescent="0.25">
      <c r="A253" t="str">
        <f ca="1">IFERROR(__xludf.DUMMYFUNCTION("""COMPUTED_VALUE"""),"Burgenland (A)")</f>
        <v>Burgenland (A)</v>
      </c>
      <c r="B253" t="str">
        <f ca="1">IFERROR(__xludf.DUMMYFUNCTION("""COMPUTED_VALUE"""),"AT11")</f>
        <v>AT11</v>
      </c>
    </row>
    <row r="254" spans="1:2" ht="12.5" x14ac:dyDescent="0.25">
      <c r="A254" t="str">
        <f ca="1">IFERROR(__xludf.DUMMYFUNCTION("""COMPUTED_VALUE"""),"Burgenland (D)")</f>
        <v>Burgenland (D)</v>
      </c>
      <c r="B254" t="str">
        <f ca="1">IFERROR(__xludf.DUMMYFUNCTION("""COMPUTED_VALUE"""),"DEE08")</f>
        <v>DEE08</v>
      </c>
    </row>
    <row r="255" spans="1:2" ht="12.5" x14ac:dyDescent="0.25">
      <c r="A255" t="str">
        <f ca="1">IFERROR(__xludf.DUMMYFUNCTION("""COMPUTED_VALUE"""),"Burgos")</f>
        <v>Burgos</v>
      </c>
      <c r="B255" t="str">
        <f ca="1">IFERROR(__xludf.DUMMYFUNCTION("""COMPUTED_VALUE"""),"ES412")</f>
        <v>ES412</v>
      </c>
    </row>
    <row r="256" spans="1:2" ht="12.5" x14ac:dyDescent="0.25">
      <c r="A256" t="str">
        <f ca="1">IFERROR(__xludf.DUMMYFUNCTION("""COMPUTED_VALUE"""),"Buskerud")</f>
        <v>Buskerud</v>
      </c>
      <c r="B256" t="str">
        <f ca="1">IFERROR(__xludf.DUMMYFUNCTION("""COMPUTED_VALUE"""),"NO032")</f>
        <v>NO032</v>
      </c>
    </row>
    <row r="257" spans="1:2" ht="12.5" x14ac:dyDescent="0.25">
      <c r="A257" t="str">
        <f ca="1">IFERROR(__xludf.DUMMYFUNCTION("""COMPUTED_VALUE"""),"Buzau")</f>
        <v>Buzau</v>
      </c>
      <c r="B257" t="str">
        <f ca="1">IFERROR(__xludf.DUMMYFUNCTION("""COMPUTED_VALUE"""),"RO222")</f>
        <v>RO222</v>
      </c>
    </row>
    <row r="258" spans="1:2" ht="12.5" x14ac:dyDescent="0.25">
      <c r="A258" t="str">
        <f ca="1">IFERROR(__xludf.DUMMYFUNCTION("""COMPUTED_VALUE"""),"Bydgosko-Torunski")</f>
        <v>Bydgosko-Torunski</v>
      </c>
      <c r="B258" t="str">
        <f ca="1">IFERROR(__xludf.DUMMYFUNCTION("""COMPUTED_VALUE"""),"PL613")</f>
        <v>PL613</v>
      </c>
    </row>
    <row r="259" spans="1:2" ht="12.5" x14ac:dyDescent="0.25">
      <c r="A259" t="str">
        <f ca="1">IFERROR(__xludf.DUMMYFUNCTION("""COMPUTED_VALUE"""),"Byen København")</f>
        <v>Byen København</v>
      </c>
      <c r="B259" t="str">
        <f ca="1">IFERROR(__xludf.DUMMYFUNCTION("""COMPUTED_VALUE"""),"DK011")</f>
        <v>DK011</v>
      </c>
    </row>
    <row r="260" spans="1:2" ht="12.5" x14ac:dyDescent="0.25">
      <c r="A260" t="str">
        <f ca="1">IFERROR(__xludf.DUMMYFUNCTION("""COMPUTED_VALUE"""),"Bytomski")</f>
        <v>Bytomski</v>
      </c>
      <c r="B260" t="str">
        <f ca="1">IFERROR(__xludf.DUMMYFUNCTION("""COMPUTED_VALUE"""),"PL228")</f>
        <v>PL228</v>
      </c>
    </row>
    <row r="261" spans="1:2" ht="12.5" x14ac:dyDescent="0.25">
      <c r="A261" t="str">
        <f ca="1">IFERROR(__xludf.DUMMYFUNCTION("""COMPUTED_VALUE"""),"Cáceres")</f>
        <v>Cáceres</v>
      </c>
      <c r="B261" t="str">
        <f ca="1">IFERROR(__xludf.DUMMYFUNCTION("""COMPUTED_VALUE"""),"ES432")</f>
        <v>ES432</v>
      </c>
    </row>
    <row r="262" spans="1:2" ht="12.5" x14ac:dyDescent="0.25">
      <c r="A262" t="str">
        <f ca="1">IFERROR(__xludf.DUMMYFUNCTION("""COMPUTED_VALUE"""),"Cádiz")</f>
        <v>Cádiz</v>
      </c>
      <c r="B262" t="str">
        <f ca="1">IFERROR(__xludf.DUMMYFUNCTION("""COMPUTED_VALUE"""),"ES612")</f>
        <v>ES612</v>
      </c>
    </row>
    <row r="263" spans="1:2" ht="12.5" x14ac:dyDescent="0.25">
      <c r="A263" t="str">
        <f ca="1">IFERROR(__xludf.DUMMYFUNCTION("""COMPUTED_VALUE"""),"Cagliari")</f>
        <v>Cagliari</v>
      </c>
      <c r="B263" t="str">
        <f ca="1">IFERROR(__xludf.DUMMYFUNCTION("""COMPUTED_VALUE"""),"ITG27")</f>
        <v>ITG27</v>
      </c>
    </row>
    <row r="264" spans="1:2" ht="12.5" x14ac:dyDescent="0.25">
      <c r="A264" t="str">
        <f ca="1">IFERROR(__xludf.DUMMYFUNCTION("""COMPUTED_VALUE"""),"Caithness &amp; Sutherland And Ross &amp; Cromarty")</f>
        <v>Caithness &amp; Sutherland And Ross &amp; Cromarty</v>
      </c>
      <c r="B264" t="str">
        <f ca="1">IFERROR(__xludf.DUMMYFUNCTION("""COMPUTED_VALUE"""),"UKM61")</f>
        <v>UKM61</v>
      </c>
    </row>
    <row r="265" spans="1:2" ht="12.5" x14ac:dyDescent="0.25">
      <c r="A265" t="str">
        <f ca="1">IFERROR(__xludf.DUMMYFUNCTION("""COMPUTED_VALUE"""),"Calabria")</f>
        <v>Calabria</v>
      </c>
      <c r="B265" t="str">
        <f ca="1">IFERROR(__xludf.DUMMYFUNCTION("""COMPUTED_VALUE"""),"ITF6")</f>
        <v>ITF6</v>
      </c>
    </row>
    <row r="266" spans="1:2" ht="12.5" x14ac:dyDescent="0.25">
      <c r="A266" t="str">
        <f ca="1">IFERROR(__xludf.DUMMYFUNCTION("""COMPUTED_VALUE"""),"Calarasi")</f>
        <v>Calarasi</v>
      </c>
      <c r="B266" t="str">
        <f ca="1">IFERROR(__xludf.DUMMYFUNCTION("""COMPUTED_VALUE"""),"RO312")</f>
        <v>RO312</v>
      </c>
    </row>
    <row r="267" spans="1:2" ht="12.5" x14ac:dyDescent="0.25">
      <c r="A267" t="str">
        <f ca="1">IFERROR(__xludf.DUMMYFUNCTION("""COMPUTED_VALUE"""),"Calderdale, Kirklees And Wakefield")</f>
        <v>Calderdale, Kirklees And Wakefield</v>
      </c>
      <c r="B267" t="str">
        <f ca="1">IFERROR(__xludf.DUMMYFUNCTION("""COMPUTED_VALUE"""),"UKE43")</f>
        <v>UKE43</v>
      </c>
    </row>
    <row r="268" spans="1:2" ht="12.5" x14ac:dyDescent="0.25">
      <c r="A268" t="str">
        <f ca="1">IFERROR(__xludf.DUMMYFUNCTION("""COMPUTED_VALUE"""),"Caltanissetta")</f>
        <v>Caltanissetta</v>
      </c>
      <c r="B268" t="str">
        <f ca="1">IFERROR(__xludf.DUMMYFUNCTION("""COMPUTED_VALUE"""),"ITG15")</f>
        <v>ITG15</v>
      </c>
    </row>
    <row r="269" spans="1:2" ht="12.5" x14ac:dyDescent="0.25">
      <c r="A269" t="str">
        <f ca="1">IFERROR(__xludf.DUMMYFUNCTION("""COMPUTED_VALUE"""),"Calvados")</f>
        <v>Calvados</v>
      </c>
      <c r="B269" t="str">
        <f ca="1">IFERROR(__xludf.DUMMYFUNCTION("""COMPUTED_VALUE"""),"FR251")</f>
        <v>FR251</v>
      </c>
    </row>
    <row r="270" spans="1:2" ht="12.5" x14ac:dyDescent="0.25">
      <c r="A270" t="str">
        <f ca="1">IFERROR(__xludf.DUMMYFUNCTION("""COMPUTED_VALUE"""),"Calw")</f>
        <v>Calw</v>
      </c>
      <c r="B270" t="str">
        <f ca="1">IFERROR(__xludf.DUMMYFUNCTION("""COMPUTED_VALUE"""),"DE12A")</f>
        <v>DE12A</v>
      </c>
    </row>
    <row r="271" spans="1:2" ht="12.5" x14ac:dyDescent="0.25">
      <c r="A271" t="str">
        <f ca="1">IFERROR(__xludf.DUMMYFUNCTION("""COMPUTED_VALUE"""),"Cambridgeshire Cc")</f>
        <v>Cambridgeshire Cc</v>
      </c>
      <c r="B271" t="str">
        <f ca="1">IFERROR(__xludf.DUMMYFUNCTION("""COMPUTED_VALUE"""),"UKH12")</f>
        <v>UKH12</v>
      </c>
    </row>
    <row r="272" spans="1:2" ht="12.5" x14ac:dyDescent="0.25">
      <c r="A272" t="str">
        <f ca="1">IFERROR(__xludf.DUMMYFUNCTION("""COMPUTED_VALUE"""),"Campania")</f>
        <v>Campania</v>
      </c>
      <c r="B272" t="str">
        <f ca="1">IFERROR(__xludf.DUMMYFUNCTION("""COMPUTED_VALUE"""),"ITF3")</f>
        <v>ITF3</v>
      </c>
    </row>
    <row r="273" spans="1:2" ht="12.5" x14ac:dyDescent="0.25">
      <c r="A273" t="str">
        <f ca="1">IFERROR(__xludf.DUMMYFUNCTION("""COMPUTED_VALUE"""),"Campobasso")</f>
        <v>Campobasso</v>
      </c>
      <c r="B273" t="str">
        <f ca="1">IFERROR(__xludf.DUMMYFUNCTION("""COMPUTED_VALUE"""),"ITF22")</f>
        <v>ITF22</v>
      </c>
    </row>
    <row r="274" spans="1:2" ht="12.5" x14ac:dyDescent="0.25">
      <c r="A274" t="str">
        <f ca="1">IFERROR(__xludf.DUMMYFUNCTION("""COMPUTED_VALUE"""),"Canarias")</f>
        <v>Canarias</v>
      </c>
      <c r="B274" t="str">
        <f ca="1">IFERROR(__xludf.DUMMYFUNCTION("""COMPUTED_VALUE"""),"ES7")</f>
        <v>ES7</v>
      </c>
    </row>
    <row r="275" spans="1:2" ht="12.5" x14ac:dyDescent="0.25">
      <c r="A275" t="str">
        <f ca="1">IFERROR(__xludf.DUMMYFUNCTION("""COMPUTED_VALUE"""),"Canarias (*)")</f>
        <v>Canarias (*)</v>
      </c>
      <c r="B275" t="str">
        <f ca="1">IFERROR(__xludf.DUMMYFUNCTION("""COMPUTED_VALUE"""),"ES70")</f>
        <v>ES70</v>
      </c>
    </row>
    <row r="276" spans="1:2" ht="12.5" x14ac:dyDescent="0.25">
      <c r="A276" t="str">
        <f ca="1">IFERROR(__xludf.DUMMYFUNCTION("""COMPUTED_VALUE"""),"Cantabria")</f>
        <v>Cantabria</v>
      </c>
      <c r="B276" t="str">
        <f ca="1">IFERROR(__xludf.DUMMYFUNCTION("""COMPUTED_VALUE"""),"ES13")</f>
        <v>ES13</v>
      </c>
    </row>
    <row r="277" spans="1:2" ht="12.5" x14ac:dyDescent="0.25">
      <c r="A277" t="str">
        <f ca="1">IFERROR(__xludf.DUMMYFUNCTION("""COMPUTED_VALUE"""),"Cantabria (*)")</f>
        <v>Cantabria (*)</v>
      </c>
      <c r="B277" t="str">
        <f ca="1">IFERROR(__xludf.DUMMYFUNCTION("""COMPUTED_VALUE"""),"ES130")</f>
        <v>ES130</v>
      </c>
    </row>
    <row r="278" spans="1:2" ht="12.5" x14ac:dyDescent="0.25">
      <c r="A278" t="str">
        <f ca="1">IFERROR(__xludf.DUMMYFUNCTION("""COMPUTED_VALUE"""),"Cantal")</f>
        <v>Cantal</v>
      </c>
      <c r="B278" t="str">
        <f ca="1">IFERROR(__xludf.DUMMYFUNCTION("""COMPUTED_VALUE"""),"FR722")</f>
        <v>FR722</v>
      </c>
    </row>
    <row r="279" spans="1:2" ht="12.5" x14ac:dyDescent="0.25">
      <c r="A279" t="str">
        <f ca="1">IFERROR(__xludf.DUMMYFUNCTION("""COMPUTED_VALUE"""),"Caras-Severin")</f>
        <v>Caras-Severin</v>
      </c>
      <c r="B279" t="str">
        <f ca="1">IFERROR(__xludf.DUMMYFUNCTION("""COMPUTED_VALUE"""),"RO422")</f>
        <v>RO422</v>
      </c>
    </row>
    <row r="280" spans="1:2" ht="12.5" x14ac:dyDescent="0.25">
      <c r="A280" t="str">
        <f ca="1">IFERROR(__xludf.DUMMYFUNCTION("""COMPUTED_VALUE"""),"Carbonia-Iglesias")</f>
        <v>Carbonia-Iglesias</v>
      </c>
      <c r="B280" t="str">
        <f ca="1">IFERROR(__xludf.DUMMYFUNCTION("""COMPUTED_VALUE"""),"ITG2C")</f>
        <v>ITG2C</v>
      </c>
    </row>
    <row r="281" spans="1:2" ht="12.5" x14ac:dyDescent="0.25">
      <c r="A281" t="str">
        <f ca="1">IFERROR(__xludf.DUMMYFUNCTION("""COMPUTED_VALUE"""),"Cardiff And Vale Of Glamorgan")</f>
        <v>Cardiff And Vale Of Glamorgan</v>
      </c>
      <c r="B281" t="str">
        <f ca="1">IFERROR(__xludf.DUMMYFUNCTION("""COMPUTED_VALUE"""),"UKL22")</f>
        <v>UKL22</v>
      </c>
    </row>
    <row r="282" spans="1:2" ht="12.5" x14ac:dyDescent="0.25">
      <c r="A282" t="str">
        <f ca="1">IFERROR(__xludf.DUMMYFUNCTION("""COMPUTED_VALUE"""),"Caserta")</f>
        <v>Caserta</v>
      </c>
      <c r="B282" t="str">
        <f ca="1">IFERROR(__xludf.DUMMYFUNCTION("""COMPUTED_VALUE"""),"ITF31")</f>
        <v>ITF31</v>
      </c>
    </row>
    <row r="283" spans="1:2" ht="12.5" x14ac:dyDescent="0.25">
      <c r="A283" t="str">
        <f ca="1">IFERROR(__xludf.DUMMYFUNCTION("""COMPUTED_VALUE"""),"Castellón - Castelló")</f>
        <v>Castellón - Castelló</v>
      </c>
      <c r="B283" t="str">
        <f ca="1">IFERROR(__xludf.DUMMYFUNCTION("""COMPUTED_VALUE"""),"ES522")</f>
        <v>ES522</v>
      </c>
    </row>
    <row r="284" spans="1:2" ht="12.5" x14ac:dyDescent="0.25">
      <c r="A284" t="str">
        <f ca="1">IFERROR(__xludf.DUMMYFUNCTION("""COMPUTED_VALUE"""),"Castilla Y León")</f>
        <v>Castilla Y León</v>
      </c>
      <c r="B284" t="str">
        <f ca="1">IFERROR(__xludf.DUMMYFUNCTION("""COMPUTED_VALUE"""),"ES41")</f>
        <v>ES41</v>
      </c>
    </row>
    <row r="285" spans="1:2" ht="12.5" x14ac:dyDescent="0.25">
      <c r="A285" t="str">
        <f ca="1">IFERROR(__xludf.DUMMYFUNCTION("""COMPUTED_VALUE"""),"Castilla-La Mancha")</f>
        <v>Castilla-La Mancha</v>
      </c>
      <c r="B285" t="str">
        <f ca="1">IFERROR(__xludf.DUMMYFUNCTION("""COMPUTED_VALUE"""),"ES42")</f>
        <v>ES42</v>
      </c>
    </row>
    <row r="286" spans="1:2" ht="12.5" x14ac:dyDescent="0.25">
      <c r="A286" t="str">
        <f ca="1">IFERROR(__xludf.DUMMYFUNCTION("""COMPUTED_VALUE"""),"Cataluña")</f>
        <v>Cataluña</v>
      </c>
      <c r="B286" t="str">
        <f ca="1">IFERROR(__xludf.DUMMYFUNCTION("""COMPUTED_VALUE"""),"ES51")</f>
        <v>ES51</v>
      </c>
    </row>
    <row r="287" spans="1:2" ht="12.5" x14ac:dyDescent="0.25">
      <c r="A287" t="str">
        <f ca="1">IFERROR(__xludf.DUMMYFUNCTION("""COMPUTED_VALUE"""),"Catania")</f>
        <v>Catania</v>
      </c>
      <c r="B287" t="str">
        <f ca="1">IFERROR(__xludf.DUMMYFUNCTION("""COMPUTED_VALUE"""),"ITG17")</f>
        <v>ITG17</v>
      </c>
    </row>
    <row r="288" spans="1:2" ht="12.5" x14ac:dyDescent="0.25">
      <c r="A288" t="str">
        <f ca="1">IFERROR(__xludf.DUMMYFUNCTION("""COMPUTED_VALUE"""),"Catanzaro")</f>
        <v>Catanzaro</v>
      </c>
      <c r="B288" t="str">
        <f ca="1">IFERROR(__xludf.DUMMYFUNCTION("""COMPUTED_VALUE"""),"ITF63")</f>
        <v>ITF63</v>
      </c>
    </row>
    <row r="289" spans="1:2" ht="12.5" x14ac:dyDescent="0.25">
      <c r="A289" t="str">
        <f ca="1">IFERROR(__xludf.DUMMYFUNCTION("""COMPUTED_VALUE"""),"Cávado")</f>
        <v>Cávado</v>
      </c>
      <c r="B289" t="str">
        <f ca="1">IFERROR(__xludf.DUMMYFUNCTION("""COMPUTED_VALUE"""),"PT112")</f>
        <v>PT112</v>
      </c>
    </row>
    <row r="290" spans="1:2" ht="12.5" x14ac:dyDescent="0.25">
      <c r="A290" t="str">
        <f ca="1">IFERROR(__xludf.DUMMYFUNCTION("""COMPUTED_VALUE"""),"Celle")</f>
        <v>Celle</v>
      </c>
      <c r="B290" t="str">
        <f ca="1">IFERROR(__xludf.DUMMYFUNCTION("""COMPUTED_VALUE"""),"DE931")</f>
        <v>DE931</v>
      </c>
    </row>
    <row r="291" spans="1:2" ht="12.5" x14ac:dyDescent="0.25">
      <c r="A291" t="str">
        <f ca="1">IFERROR(__xludf.DUMMYFUNCTION("""COMPUTED_VALUE"""),"Central Valleys")</f>
        <v>Central Valleys</v>
      </c>
      <c r="B291" t="str">
        <f ca="1">IFERROR(__xludf.DUMMYFUNCTION("""COMPUTED_VALUE"""),"UKL15")</f>
        <v>UKL15</v>
      </c>
    </row>
    <row r="292" spans="1:2" ht="12.5" x14ac:dyDescent="0.25">
      <c r="A292" t="str">
        <f ca="1">IFERROR(__xludf.DUMMYFUNCTION("""COMPUTED_VALUE"""),"Centre")</f>
        <v>Centre</v>
      </c>
      <c r="B292" t="str">
        <f ca="1">IFERROR(__xludf.DUMMYFUNCTION("""COMPUTED_VALUE"""),"FR24")</f>
        <v>FR24</v>
      </c>
    </row>
    <row r="293" spans="1:2" ht="12.5" x14ac:dyDescent="0.25">
      <c r="A293" t="str">
        <f ca="1">IFERROR(__xludf.DUMMYFUNCTION("""COMPUTED_VALUE"""),"Centre-Est")</f>
        <v>Centre-Est</v>
      </c>
      <c r="B293" t="str">
        <f ca="1">IFERROR(__xludf.DUMMYFUNCTION("""COMPUTED_VALUE"""),"FR7")</f>
        <v>FR7</v>
      </c>
    </row>
    <row r="294" spans="1:2" ht="12.5" x14ac:dyDescent="0.25">
      <c r="A294" t="str">
        <f ca="1">IFERROR(__xludf.DUMMYFUNCTION("""COMPUTED_VALUE"""),"Centro (E)")</f>
        <v>Centro (E)</v>
      </c>
      <c r="B294" t="str">
        <f ca="1">IFERROR(__xludf.DUMMYFUNCTION("""COMPUTED_VALUE"""),"ES4")</f>
        <v>ES4</v>
      </c>
    </row>
    <row r="295" spans="1:2" ht="12.5" x14ac:dyDescent="0.25">
      <c r="A295" t="str">
        <f ca="1">IFERROR(__xludf.DUMMYFUNCTION("""COMPUTED_VALUE"""),"Centro (I)")</f>
        <v>Centro (I)</v>
      </c>
      <c r="B295" t="str">
        <f ca="1">IFERROR(__xludf.DUMMYFUNCTION("""COMPUTED_VALUE"""),"ITE")</f>
        <v>ITE</v>
      </c>
    </row>
    <row r="296" spans="1:2" ht="12.5" x14ac:dyDescent="0.25">
      <c r="A296" t="str">
        <f ca="1">IFERROR(__xludf.DUMMYFUNCTION("""COMPUTED_VALUE"""),"Centro (P)")</f>
        <v>Centro (P)</v>
      </c>
      <c r="B296" t="str">
        <f ca="1">IFERROR(__xludf.DUMMYFUNCTION("""COMPUTED_VALUE"""),"PT16")</f>
        <v>PT16</v>
      </c>
    </row>
    <row r="297" spans="1:2" ht="12.5" x14ac:dyDescent="0.25">
      <c r="A297" t="str">
        <f ca="1">IFERROR(__xludf.DUMMYFUNCTION("""COMPUTED_VALUE"""),"Centru")</f>
        <v>Centru</v>
      </c>
      <c r="B297" t="str">
        <f ca="1">IFERROR(__xludf.DUMMYFUNCTION("""COMPUTED_VALUE"""),"RO12")</f>
        <v>RO12</v>
      </c>
    </row>
    <row r="298" spans="1:2" ht="12.5" x14ac:dyDescent="0.25">
      <c r="A298" t="str">
        <f ca="1">IFERROR(__xludf.DUMMYFUNCTION("""COMPUTED_VALUE"""),"Ceska Republika")</f>
        <v>Ceska Republika</v>
      </c>
      <c r="B298" t="str">
        <f ca="1">IFERROR(__xludf.DUMMYFUNCTION("""COMPUTED_VALUE"""),"CZ")</f>
        <v>CZ</v>
      </c>
    </row>
    <row r="299" spans="1:2" ht="12.5" x14ac:dyDescent="0.25">
      <c r="A299" t="str">
        <f ca="1">IFERROR(__xludf.DUMMYFUNCTION("""COMPUTED_VALUE"""),"Ceska Republika (*)")</f>
        <v>Ceska Republika (*)</v>
      </c>
      <c r="B299" t="str">
        <f ca="1">IFERROR(__xludf.DUMMYFUNCTION("""COMPUTED_VALUE"""),"CZ0")</f>
        <v>CZ0</v>
      </c>
    </row>
    <row r="300" spans="1:2" ht="12.5" x14ac:dyDescent="0.25">
      <c r="A300" t="str">
        <f ca="1">IFERROR(__xludf.DUMMYFUNCTION("""COMPUTED_VALUE"""),"Ceuta")</f>
        <v>Ceuta</v>
      </c>
      <c r="B300" t="str">
        <f ca="1">IFERROR(__xludf.DUMMYFUNCTION("""COMPUTED_VALUE"""),"ES630")</f>
        <v>ES630</v>
      </c>
    </row>
    <row r="301" spans="1:2" ht="12.5" x14ac:dyDescent="0.25">
      <c r="A301" t="str">
        <f ca="1">IFERROR(__xludf.DUMMYFUNCTION("""COMPUTED_VALUE"""),"Chalkidiki")</f>
        <v>Chalkidiki</v>
      </c>
      <c r="B301" t="str">
        <f ca="1">IFERROR(__xludf.DUMMYFUNCTION("""COMPUTED_VALUE"""),"GR127")</f>
        <v>GR127</v>
      </c>
    </row>
    <row r="302" spans="1:2" ht="12.5" x14ac:dyDescent="0.25">
      <c r="A302" t="str">
        <f ca="1">IFERROR(__xludf.DUMMYFUNCTION("""COMPUTED_VALUE"""),"Cham")</f>
        <v>Cham</v>
      </c>
      <c r="B302" t="str">
        <f ca="1">IFERROR(__xludf.DUMMYFUNCTION("""COMPUTED_VALUE"""),"DE235")</f>
        <v>DE235</v>
      </c>
    </row>
    <row r="303" spans="1:2" ht="12.5" x14ac:dyDescent="0.25">
      <c r="A303" t="str">
        <f ca="1">IFERROR(__xludf.DUMMYFUNCTION("""COMPUTED_VALUE"""),"Champagne-Ardenne")</f>
        <v>Champagne-Ardenne</v>
      </c>
      <c r="B303" t="str">
        <f ca="1">IFERROR(__xludf.DUMMYFUNCTION("""COMPUTED_VALUE"""),"FR21")</f>
        <v>FR21</v>
      </c>
    </row>
    <row r="304" spans="1:2" ht="12.5" x14ac:dyDescent="0.25">
      <c r="A304" t="str">
        <f ca="1">IFERROR(__xludf.DUMMYFUNCTION("""COMPUTED_VALUE"""),"Chania")</f>
        <v>Chania</v>
      </c>
      <c r="B304" t="str">
        <f ca="1">IFERROR(__xludf.DUMMYFUNCTION("""COMPUTED_VALUE"""),"GR434")</f>
        <v>GR434</v>
      </c>
    </row>
    <row r="305" spans="1:2" ht="12.5" x14ac:dyDescent="0.25">
      <c r="A305" t="str">
        <f ca="1">IFERROR(__xludf.DUMMYFUNCTION("""COMPUTED_VALUE"""),"Charente")</f>
        <v>Charente</v>
      </c>
      <c r="B305" t="str">
        <f ca="1">IFERROR(__xludf.DUMMYFUNCTION("""COMPUTED_VALUE"""),"FR531")</f>
        <v>FR531</v>
      </c>
    </row>
    <row r="306" spans="1:2" ht="12.5" x14ac:dyDescent="0.25">
      <c r="A306" t="str">
        <f ca="1">IFERROR(__xludf.DUMMYFUNCTION("""COMPUTED_VALUE"""),"Charente-Maritime")</f>
        <v>Charente-Maritime</v>
      </c>
      <c r="B306" t="str">
        <f ca="1">IFERROR(__xludf.DUMMYFUNCTION("""COMPUTED_VALUE"""),"FR532")</f>
        <v>FR532</v>
      </c>
    </row>
    <row r="307" spans="1:2" ht="12.5" x14ac:dyDescent="0.25">
      <c r="A307" t="str">
        <f ca="1">IFERROR(__xludf.DUMMYFUNCTION("""COMPUTED_VALUE"""),"Chelmsko-Zamojski")</f>
        <v>Chelmsko-Zamojski</v>
      </c>
      <c r="B307" t="str">
        <f ca="1">IFERROR(__xludf.DUMMYFUNCTION("""COMPUTED_VALUE"""),"PL312")</f>
        <v>PL312</v>
      </c>
    </row>
    <row r="308" spans="1:2" ht="12.5" x14ac:dyDescent="0.25">
      <c r="A308" t="str">
        <f ca="1">IFERROR(__xludf.DUMMYFUNCTION("""COMPUTED_VALUE"""),"Chemnitz")</f>
        <v>Chemnitz</v>
      </c>
      <c r="B308" t="str">
        <f ca="1">IFERROR(__xludf.DUMMYFUNCTION("""COMPUTED_VALUE"""),"DED1")</f>
        <v>DED1</v>
      </c>
    </row>
    <row r="309" spans="1:2" ht="12.5" x14ac:dyDescent="0.25">
      <c r="A309" t="str">
        <f ca="1">IFERROR(__xludf.DUMMYFUNCTION("""COMPUTED_VALUE"""),"Chemnitz, Kreisfreie Stadt")</f>
        <v>Chemnitz, Kreisfreie Stadt</v>
      </c>
      <c r="B309" t="str">
        <f ca="1">IFERROR(__xludf.DUMMYFUNCTION("""COMPUTED_VALUE"""),"DED11")</f>
        <v>DED11</v>
      </c>
    </row>
    <row r="310" spans="1:2" ht="12.5" x14ac:dyDescent="0.25">
      <c r="A310" t="str">
        <f ca="1">IFERROR(__xludf.DUMMYFUNCTION("""COMPUTED_VALUE"""),"Chemnitzer Land")</f>
        <v>Chemnitzer Land</v>
      </c>
      <c r="B310" t="str">
        <f ca="1">IFERROR(__xludf.DUMMYFUNCTION("""COMPUTED_VALUE"""),"DED15")</f>
        <v>DED15</v>
      </c>
    </row>
    <row r="311" spans="1:2" ht="12.5" x14ac:dyDescent="0.25">
      <c r="A311" t="str">
        <f ca="1">IFERROR(__xludf.DUMMYFUNCTION("""COMPUTED_VALUE"""),"Cher")</f>
        <v>Cher</v>
      </c>
      <c r="B311" t="str">
        <f ca="1">IFERROR(__xludf.DUMMYFUNCTION("""COMPUTED_VALUE"""),"FR241")</f>
        <v>FR241</v>
      </c>
    </row>
    <row r="312" spans="1:2" ht="12.5" x14ac:dyDescent="0.25">
      <c r="A312" t="str">
        <f ca="1">IFERROR(__xludf.DUMMYFUNCTION("""COMPUTED_VALUE"""),"Cheshire")</f>
        <v>Cheshire</v>
      </c>
      <c r="B312" t="str">
        <f ca="1">IFERROR(__xludf.DUMMYFUNCTION("""COMPUTED_VALUE"""),"UKD2")</f>
        <v>UKD2</v>
      </c>
    </row>
    <row r="313" spans="1:2" ht="12.5" x14ac:dyDescent="0.25">
      <c r="A313" t="str">
        <f ca="1">IFERROR(__xludf.DUMMYFUNCTION("""COMPUTED_VALUE"""),"Cheshire Cc")</f>
        <v>Cheshire Cc</v>
      </c>
      <c r="B313" t="str">
        <f ca="1">IFERROR(__xludf.DUMMYFUNCTION("""COMPUTED_VALUE"""),"UKD22")</f>
        <v>UKD22</v>
      </c>
    </row>
    <row r="314" spans="1:2" ht="12.5" x14ac:dyDescent="0.25">
      <c r="A314" t="str">
        <f ca="1">IFERROR(__xludf.DUMMYFUNCTION("""COMPUTED_VALUE"""),"Chieti")</f>
        <v>Chieti</v>
      </c>
      <c r="B314" t="str">
        <f ca="1">IFERROR(__xludf.DUMMYFUNCTION("""COMPUTED_VALUE"""),"ITF14")</f>
        <v>ITF14</v>
      </c>
    </row>
    <row r="315" spans="1:2" ht="12.5" x14ac:dyDescent="0.25">
      <c r="A315" t="str">
        <f ca="1">IFERROR(__xludf.DUMMYFUNCTION("""COMPUTED_VALUE"""),"Chios")</f>
        <v>Chios</v>
      </c>
      <c r="B315" t="str">
        <f ca="1">IFERROR(__xludf.DUMMYFUNCTION("""COMPUTED_VALUE"""),"GR413")</f>
        <v>GR413</v>
      </c>
    </row>
    <row r="316" spans="1:2" ht="12.5" x14ac:dyDescent="0.25">
      <c r="A316" t="str">
        <f ca="1">IFERROR(__xludf.DUMMYFUNCTION("""COMPUTED_VALUE"""),"Ciechanowsko-Plocki")</f>
        <v>Ciechanowsko-Plocki</v>
      </c>
      <c r="B316" t="str">
        <f ca="1">IFERROR(__xludf.DUMMYFUNCTION("""COMPUTED_VALUE"""),"PL121")</f>
        <v>PL121</v>
      </c>
    </row>
    <row r="317" spans="1:2" ht="12.5" x14ac:dyDescent="0.25">
      <c r="A317" t="str">
        <f ca="1">IFERROR(__xludf.DUMMYFUNCTION("""COMPUTED_VALUE"""),"Ciudad Autónoma De Ceuta")</f>
        <v>Ciudad Autónoma De Ceuta</v>
      </c>
      <c r="B317" t="str">
        <f ca="1">IFERROR(__xludf.DUMMYFUNCTION("""COMPUTED_VALUE"""),"ES63")</f>
        <v>ES63</v>
      </c>
    </row>
    <row r="318" spans="1:2" ht="12.5" x14ac:dyDescent="0.25">
      <c r="A318" t="str">
        <f ca="1">IFERROR(__xludf.DUMMYFUNCTION("""COMPUTED_VALUE"""),"Ciudad Autónoma De Melilla")</f>
        <v>Ciudad Autónoma De Melilla</v>
      </c>
      <c r="B318" t="str">
        <f ca="1">IFERROR(__xludf.DUMMYFUNCTION("""COMPUTED_VALUE"""),"ES64")</f>
        <v>ES64</v>
      </c>
    </row>
    <row r="319" spans="1:2" ht="12.5" x14ac:dyDescent="0.25">
      <c r="A319" t="str">
        <f ca="1">IFERROR(__xludf.DUMMYFUNCTION("""COMPUTED_VALUE"""),"Ciudad Real")</f>
        <v>Ciudad Real</v>
      </c>
      <c r="B319" t="str">
        <f ca="1">IFERROR(__xludf.DUMMYFUNCTION("""COMPUTED_VALUE"""),"ES422")</f>
        <v>ES422</v>
      </c>
    </row>
    <row r="320" spans="1:2" ht="12.5" x14ac:dyDescent="0.25">
      <c r="A320" t="str">
        <f ca="1">IFERROR(__xludf.DUMMYFUNCTION("""COMPUTED_VALUE"""),"Clackmannanshire And Fife")</f>
        <v>Clackmannanshire And Fife</v>
      </c>
      <c r="B320" t="str">
        <f ca="1">IFERROR(__xludf.DUMMYFUNCTION("""COMPUTED_VALUE"""),"UKM22")</f>
        <v>UKM22</v>
      </c>
    </row>
    <row r="321" spans="1:2" ht="12.5" x14ac:dyDescent="0.25">
      <c r="A321" t="str">
        <f ca="1">IFERROR(__xludf.DUMMYFUNCTION("""COMPUTED_VALUE"""),"Cloppenburg")</f>
        <v>Cloppenburg</v>
      </c>
      <c r="B321" t="str">
        <f ca="1">IFERROR(__xludf.DUMMYFUNCTION("""COMPUTED_VALUE"""),"DE948")</f>
        <v>DE948</v>
      </c>
    </row>
    <row r="322" spans="1:2" ht="12.5" x14ac:dyDescent="0.25">
      <c r="A322" t="str">
        <f ca="1">IFERROR(__xludf.DUMMYFUNCTION("""COMPUTED_VALUE"""),"Cluj")</f>
        <v>Cluj</v>
      </c>
      <c r="B322" t="str">
        <f ca="1">IFERROR(__xludf.DUMMYFUNCTION("""COMPUTED_VALUE"""),"RO113")</f>
        <v>RO113</v>
      </c>
    </row>
    <row r="323" spans="1:2" ht="12.5" x14ac:dyDescent="0.25">
      <c r="A323" t="str">
        <f ca="1">IFERROR(__xludf.DUMMYFUNCTION("""COMPUTED_VALUE"""),"Coburg, Kreisfreie Stadt")</f>
        <v>Coburg, Kreisfreie Stadt</v>
      </c>
      <c r="B323" t="str">
        <f ca="1">IFERROR(__xludf.DUMMYFUNCTION("""COMPUTED_VALUE"""),"DE243")</f>
        <v>DE243</v>
      </c>
    </row>
    <row r="324" spans="1:2" ht="12.5" x14ac:dyDescent="0.25">
      <c r="A324" t="str">
        <f ca="1">IFERROR(__xludf.DUMMYFUNCTION("""COMPUTED_VALUE"""),"Coburg, Landkreis")</f>
        <v>Coburg, Landkreis</v>
      </c>
      <c r="B324" t="str">
        <f ca="1">IFERROR(__xludf.DUMMYFUNCTION("""COMPUTED_VALUE"""),"DE247")</f>
        <v>DE247</v>
      </c>
    </row>
    <row r="325" spans="1:2" ht="12.5" x14ac:dyDescent="0.25">
      <c r="A325" t="str">
        <f ca="1">IFERROR(__xludf.DUMMYFUNCTION("""COMPUTED_VALUE"""),"Cochem-Zell")</f>
        <v>Cochem-Zell</v>
      </c>
      <c r="B325" t="str">
        <f ca="1">IFERROR(__xludf.DUMMYFUNCTION("""COMPUTED_VALUE"""),"DEB16")</f>
        <v>DEB16</v>
      </c>
    </row>
    <row r="326" spans="1:2" ht="12.5" x14ac:dyDescent="0.25">
      <c r="A326" t="str">
        <f ca="1">IFERROR(__xludf.DUMMYFUNCTION("""COMPUTED_VALUE"""),"Coesfeld")</f>
        <v>Coesfeld</v>
      </c>
      <c r="B326" t="str">
        <f ca="1">IFERROR(__xludf.DUMMYFUNCTION("""COMPUTED_VALUE"""),"DEA35")</f>
        <v>DEA35</v>
      </c>
    </row>
    <row r="327" spans="1:2" ht="12.5" x14ac:dyDescent="0.25">
      <c r="A327" t="str">
        <f ca="1">IFERROR(__xludf.DUMMYFUNCTION("""COMPUTED_VALUE"""),"Como")</f>
        <v>Como</v>
      </c>
      <c r="B327" t="str">
        <f ca="1">IFERROR(__xludf.DUMMYFUNCTION("""COMPUTED_VALUE"""),"ITC42")</f>
        <v>ITC42</v>
      </c>
    </row>
    <row r="328" spans="1:2" ht="12.5" x14ac:dyDescent="0.25">
      <c r="A328" t="str">
        <f ca="1">IFERROR(__xludf.DUMMYFUNCTION("""COMPUTED_VALUE"""),"Comunidad De Madrid")</f>
        <v>Comunidad De Madrid</v>
      </c>
      <c r="B328" t="str">
        <f ca="1">IFERROR(__xludf.DUMMYFUNCTION("""COMPUTED_VALUE"""),"ES3")</f>
        <v>ES3</v>
      </c>
    </row>
    <row r="329" spans="1:2" ht="12.5" x14ac:dyDescent="0.25">
      <c r="A329" t="str">
        <f ca="1">IFERROR(__xludf.DUMMYFUNCTION("""COMPUTED_VALUE"""),"Comunidad De Madrid (*)")</f>
        <v>Comunidad De Madrid (*)</v>
      </c>
      <c r="B329" t="str">
        <f ca="1">IFERROR(__xludf.DUMMYFUNCTION("""COMPUTED_VALUE"""),"ES30")</f>
        <v>ES30</v>
      </c>
    </row>
    <row r="330" spans="1:2" ht="12.5" x14ac:dyDescent="0.25">
      <c r="A330" t="str">
        <f ca="1">IFERROR(__xludf.DUMMYFUNCTION("""COMPUTED_VALUE"""),"Comunidad Foral De Navarra")</f>
        <v>Comunidad Foral De Navarra</v>
      </c>
      <c r="B330" t="str">
        <f ca="1">IFERROR(__xludf.DUMMYFUNCTION("""COMPUTED_VALUE"""),"ES22")</f>
        <v>ES22</v>
      </c>
    </row>
    <row r="331" spans="1:2" ht="12.5" x14ac:dyDescent="0.25">
      <c r="A331" t="str">
        <f ca="1">IFERROR(__xludf.DUMMYFUNCTION("""COMPUTED_VALUE"""),"Comunidad Valenciana")</f>
        <v>Comunidad Valenciana</v>
      </c>
      <c r="B331" t="str">
        <f ca="1">IFERROR(__xludf.DUMMYFUNCTION("""COMPUTED_VALUE"""),"ES52")</f>
        <v>ES52</v>
      </c>
    </row>
    <row r="332" spans="1:2" ht="12.5" x14ac:dyDescent="0.25">
      <c r="A332" t="str">
        <f ca="1">IFERROR(__xludf.DUMMYFUNCTION("""COMPUTED_VALUE"""),"Constanta")</f>
        <v>Constanta</v>
      </c>
      <c r="B332" t="str">
        <f ca="1">IFERROR(__xludf.DUMMYFUNCTION("""COMPUTED_VALUE"""),"RO223")</f>
        <v>RO223</v>
      </c>
    </row>
    <row r="333" spans="1:2" ht="12.5" x14ac:dyDescent="0.25">
      <c r="A333" t="str">
        <f ca="1">IFERROR(__xludf.DUMMYFUNCTION("""COMPUTED_VALUE"""),"Continente")</f>
        <v>Continente</v>
      </c>
      <c r="B333" t="str">
        <f ca="1">IFERROR(__xludf.DUMMYFUNCTION("""COMPUTED_VALUE"""),"PT1")</f>
        <v>PT1</v>
      </c>
    </row>
    <row r="334" spans="1:2" ht="12.5" x14ac:dyDescent="0.25">
      <c r="A334" t="str">
        <f ca="1">IFERROR(__xludf.DUMMYFUNCTION("""COMPUTED_VALUE"""),"Conwy And Denbighshire")</f>
        <v>Conwy And Denbighshire</v>
      </c>
      <c r="B334" t="str">
        <f ca="1">IFERROR(__xludf.DUMMYFUNCTION("""COMPUTED_VALUE"""),"UKL13")</f>
        <v>UKL13</v>
      </c>
    </row>
    <row r="335" spans="1:2" ht="12.5" x14ac:dyDescent="0.25">
      <c r="A335" t="str">
        <f ca="1">IFERROR(__xludf.DUMMYFUNCTION("""COMPUTED_VALUE"""),"Córdoba")</f>
        <v>Córdoba</v>
      </c>
      <c r="B335" t="str">
        <f ca="1">IFERROR(__xludf.DUMMYFUNCTION("""COMPUTED_VALUE"""),"ES613")</f>
        <v>ES613</v>
      </c>
    </row>
    <row r="336" spans="1:2" ht="12.5" x14ac:dyDescent="0.25">
      <c r="A336" t="str">
        <f ca="1">IFERROR(__xludf.DUMMYFUNCTION("""COMPUTED_VALUE"""),"Cornwall And Isles Of Scilly")</f>
        <v>Cornwall And Isles Of Scilly</v>
      </c>
      <c r="B336" t="str">
        <f ca="1">IFERROR(__xludf.DUMMYFUNCTION("""COMPUTED_VALUE"""),"UKK3")</f>
        <v>UKK3</v>
      </c>
    </row>
    <row r="337" spans="1:2" ht="12.5" x14ac:dyDescent="0.25">
      <c r="A337" t="str">
        <f ca="1">IFERROR(__xludf.DUMMYFUNCTION("""COMPUTED_VALUE"""),"Cornwall And Isles Of Scilly (*)")</f>
        <v>Cornwall And Isles Of Scilly (*)</v>
      </c>
      <c r="B337" t="str">
        <f ca="1">IFERROR(__xludf.DUMMYFUNCTION("""COMPUTED_VALUE"""),"UKK30")</f>
        <v>UKK30</v>
      </c>
    </row>
    <row r="338" spans="1:2" ht="12.5" x14ac:dyDescent="0.25">
      <c r="A338" t="str">
        <f ca="1">IFERROR(__xludf.DUMMYFUNCTION("""COMPUTED_VALUE"""),"Corrèze")</f>
        <v>Corrèze</v>
      </c>
      <c r="B338" t="str">
        <f ca="1">IFERROR(__xludf.DUMMYFUNCTION("""COMPUTED_VALUE"""),"FR631")</f>
        <v>FR631</v>
      </c>
    </row>
    <row r="339" spans="1:2" ht="12.5" x14ac:dyDescent="0.25">
      <c r="A339" t="str">
        <f ca="1">IFERROR(__xludf.DUMMYFUNCTION("""COMPUTED_VALUE"""),"Corse")</f>
        <v>Corse</v>
      </c>
      <c r="B339" t="str">
        <f ca="1">IFERROR(__xludf.DUMMYFUNCTION("""COMPUTED_VALUE"""),"FR83")</f>
        <v>FR83</v>
      </c>
    </row>
    <row r="340" spans="1:2" ht="12.5" x14ac:dyDescent="0.25">
      <c r="A340" t="str">
        <f ca="1">IFERROR(__xludf.DUMMYFUNCTION("""COMPUTED_VALUE"""),"Corse-Du-Sud")</f>
        <v>Corse-Du-Sud</v>
      </c>
      <c r="B340" t="str">
        <f ca="1">IFERROR(__xludf.DUMMYFUNCTION("""COMPUTED_VALUE"""),"FR831")</f>
        <v>FR831</v>
      </c>
    </row>
    <row r="341" spans="1:2" ht="12.5" x14ac:dyDescent="0.25">
      <c r="A341" t="str">
        <f ca="1">IFERROR(__xludf.DUMMYFUNCTION("""COMPUTED_VALUE"""),"Cosenza")</f>
        <v>Cosenza</v>
      </c>
      <c r="B341" t="str">
        <f ca="1">IFERROR(__xludf.DUMMYFUNCTION("""COMPUTED_VALUE"""),"ITF61")</f>
        <v>ITF61</v>
      </c>
    </row>
    <row r="342" spans="1:2" ht="12.5" x14ac:dyDescent="0.25">
      <c r="A342" t="str">
        <f ca="1">IFERROR(__xludf.DUMMYFUNCTION("""COMPUTED_VALUE"""),"Côte-D'Or")</f>
        <v>Côte-D'Or</v>
      </c>
      <c r="B342" t="str">
        <f ca="1">IFERROR(__xludf.DUMMYFUNCTION("""COMPUTED_VALUE"""),"FR261")</f>
        <v>FR261</v>
      </c>
    </row>
    <row r="343" spans="1:2" ht="12.5" x14ac:dyDescent="0.25">
      <c r="A343" t="str">
        <f ca="1">IFERROR(__xludf.DUMMYFUNCTION("""COMPUTED_VALUE"""),"Côtes-D'Armor")</f>
        <v>Côtes-D'Armor</v>
      </c>
      <c r="B343" t="str">
        <f ca="1">IFERROR(__xludf.DUMMYFUNCTION("""COMPUTED_VALUE"""),"FR521")</f>
        <v>FR521</v>
      </c>
    </row>
    <row r="344" spans="1:2" ht="12.5" x14ac:dyDescent="0.25">
      <c r="A344" t="str">
        <f ca="1">IFERROR(__xludf.DUMMYFUNCTION("""COMPUTED_VALUE"""),"Cottbus, Kreisfreie Stadt")</f>
        <v>Cottbus, Kreisfreie Stadt</v>
      </c>
      <c r="B344" t="str">
        <f ca="1">IFERROR(__xludf.DUMMYFUNCTION("""COMPUTED_VALUE"""),"DE422")</f>
        <v>DE422</v>
      </c>
    </row>
    <row r="345" spans="1:2" ht="12.5" x14ac:dyDescent="0.25">
      <c r="A345" t="str">
        <f ca="1">IFERROR(__xludf.DUMMYFUNCTION("""COMPUTED_VALUE"""),"Cova Da Beira")</f>
        <v>Cova Da Beira</v>
      </c>
      <c r="B345" t="str">
        <f ca="1">IFERROR(__xludf.DUMMYFUNCTION("""COMPUTED_VALUE"""),"PT16A")</f>
        <v>PT16A</v>
      </c>
    </row>
    <row r="346" spans="1:2" ht="12.5" x14ac:dyDescent="0.25">
      <c r="A346" t="str">
        <f ca="1">IFERROR(__xludf.DUMMYFUNCTION("""COMPUTED_VALUE"""),"Covasna")</f>
        <v>Covasna</v>
      </c>
      <c r="B346" t="str">
        <f ca="1">IFERROR(__xludf.DUMMYFUNCTION("""COMPUTED_VALUE"""),"RO123")</f>
        <v>RO123</v>
      </c>
    </row>
    <row r="347" spans="1:2" ht="12.5" x14ac:dyDescent="0.25">
      <c r="A347" t="str">
        <f ca="1">IFERROR(__xludf.DUMMYFUNCTION("""COMPUTED_VALUE"""),"Coventry")</f>
        <v>Coventry</v>
      </c>
      <c r="B347" t="str">
        <f ca="1">IFERROR(__xludf.DUMMYFUNCTION("""COMPUTED_VALUE"""),"UKG33")</f>
        <v>UKG33</v>
      </c>
    </row>
    <row r="348" spans="1:2" ht="12.5" x14ac:dyDescent="0.25">
      <c r="A348" t="str">
        <f ca="1">IFERROR(__xludf.DUMMYFUNCTION("""COMPUTED_VALUE"""),"Cremona")</f>
        <v>Cremona</v>
      </c>
      <c r="B348" t="str">
        <f ca="1">IFERROR(__xludf.DUMMYFUNCTION("""COMPUTED_VALUE"""),"ITC4A")</f>
        <v>ITC4A</v>
      </c>
    </row>
    <row r="349" spans="1:2" ht="12.5" x14ac:dyDescent="0.25">
      <c r="A349" t="str">
        <f ca="1">IFERROR(__xludf.DUMMYFUNCTION("""COMPUTED_VALUE"""),"Creuse")</f>
        <v>Creuse</v>
      </c>
      <c r="B349" t="str">
        <f ca="1">IFERROR(__xludf.DUMMYFUNCTION("""COMPUTED_VALUE"""),"FR632")</f>
        <v>FR632</v>
      </c>
    </row>
    <row r="350" spans="1:2" ht="12.5" x14ac:dyDescent="0.25">
      <c r="A350" t="str">
        <f ca="1">IFERROR(__xludf.DUMMYFUNCTION("""COMPUTED_VALUE"""),"Crotone")</f>
        <v>Crotone</v>
      </c>
      <c r="B350" t="str">
        <f ca="1">IFERROR(__xludf.DUMMYFUNCTION("""COMPUTED_VALUE"""),"ITF62")</f>
        <v>ITF62</v>
      </c>
    </row>
    <row r="351" spans="1:2" ht="12.5" x14ac:dyDescent="0.25">
      <c r="A351" t="str">
        <f ca="1">IFERROR(__xludf.DUMMYFUNCTION("""COMPUTED_VALUE"""),"Csongrad")</f>
        <v>Csongrad</v>
      </c>
      <c r="B351" t="str">
        <f ca="1">IFERROR(__xludf.DUMMYFUNCTION("""COMPUTED_VALUE"""),"HU333")</f>
        <v>HU333</v>
      </c>
    </row>
    <row r="352" spans="1:2" ht="12.5" x14ac:dyDescent="0.25">
      <c r="A352" t="str">
        <f ca="1">IFERROR(__xludf.DUMMYFUNCTION("""COMPUTED_VALUE"""),"Cuenca")</f>
        <v>Cuenca</v>
      </c>
      <c r="B352" t="str">
        <f ca="1">IFERROR(__xludf.DUMMYFUNCTION("""COMPUTED_VALUE"""),"ES423")</f>
        <v>ES423</v>
      </c>
    </row>
    <row r="353" spans="1:2" ht="12.5" x14ac:dyDescent="0.25">
      <c r="A353" t="str">
        <f ca="1">IFERROR(__xludf.DUMMYFUNCTION("""COMPUTED_VALUE"""),"Cumbria")</f>
        <v>Cumbria</v>
      </c>
      <c r="B353" t="str">
        <f ca="1">IFERROR(__xludf.DUMMYFUNCTION("""COMPUTED_VALUE"""),"UKD1")</f>
        <v>UKD1</v>
      </c>
    </row>
    <row r="354" spans="1:2" ht="12.5" x14ac:dyDescent="0.25">
      <c r="A354" t="str">
        <f ca="1">IFERROR(__xludf.DUMMYFUNCTION("""COMPUTED_VALUE"""),"Cuneo")</f>
        <v>Cuneo</v>
      </c>
      <c r="B354" t="str">
        <f ca="1">IFERROR(__xludf.DUMMYFUNCTION("""COMPUTED_VALUE"""),"ITC16")</f>
        <v>ITC16</v>
      </c>
    </row>
    <row r="355" spans="1:2" ht="12.5" x14ac:dyDescent="0.25">
      <c r="A355" t="str">
        <f ca="1">IFERROR(__xludf.DUMMYFUNCTION("""COMPUTED_VALUE"""),"Cuxhaven")</f>
        <v>Cuxhaven</v>
      </c>
      <c r="B355" t="str">
        <f ca="1">IFERROR(__xludf.DUMMYFUNCTION("""COMPUTED_VALUE"""),"DE932")</f>
        <v>DE932</v>
      </c>
    </row>
    <row r="356" spans="1:2" ht="12.5" x14ac:dyDescent="0.25">
      <c r="A356" t="str">
        <f ca="1">IFERROR(__xludf.DUMMYFUNCTION("""COMPUTED_VALUE"""),"Czestochowski")</f>
        <v>Czestochowski</v>
      </c>
      <c r="B356" t="str">
        <f ca="1">IFERROR(__xludf.DUMMYFUNCTION("""COMPUTED_VALUE"""),"PL224")</f>
        <v>PL224</v>
      </c>
    </row>
    <row r="357" spans="1:2" ht="12.5" x14ac:dyDescent="0.25">
      <c r="A357" t="str">
        <f ca="1">IFERROR(__xludf.DUMMYFUNCTION("""COMPUTED_VALUE"""),"Dachau")</f>
        <v>Dachau</v>
      </c>
      <c r="B357" t="str">
        <f ca="1">IFERROR(__xludf.DUMMYFUNCTION("""COMPUTED_VALUE"""),"DE217")</f>
        <v>DE217</v>
      </c>
    </row>
    <row r="358" spans="1:2" ht="12.5" x14ac:dyDescent="0.25">
      <c r="A358" t="str">
        <f ca="1">IFERROR(__xludf.DUMMYFUNCTION("""COMPUTED_VALUE"""),"Dahme-Spreewald")</f>
        <v>Dahme-Spreewald</v>
      </c>
      <c r="B358" t="str">
        <f ca="1">IFERROR(__xludf.DUMMYFUNCTION("""COMPUTED_VALUE"""),"DE424")</f>
        <v>DE424</v>
      </c>
    </row>
    <row r="359" spans="1:2" ht="12.5" x14ac:dyDescent="0.25">
      <c r="A359" t="str">
        <f ca="1">IFERROR(__xludf.DUMMYFUNCTION("""COMPUTED_VALUE"""),"Dalarnas Län")</f>
        <v>Dalarnas Län</v>
      </c>
      <c r="B359" t="str">
        <f ca="1">IFERROR(__xludf.DUMMYFUNCTION("""COMPUTED_VALUE"""),"SE312")</f>
        <v>SE312</v>
      </c>
    </row>
    <row r="360" spans="1:2" ht="12.5" x14ac:dyDescent="0.25">
      <c r="A360" t="str">
        <f ca="1">IFERROR(__xludf.DUMMYFUNCTION("""COMPUTED_VALUE"""),"Dambovita")</f>
        <v>Dambovita</v>
      </c>
      <c r="B360" t="str">
        <f ca="1">IFERROR(__xludf.DUMMYFUNCTION("""COMPUTED_VALUE"""),"RO313")</f>
        <v>RO313</v>
      </c>
    </row>
    <row r="361" spans="1:2" ht="12.5" x14ac:dyDescent="0.25">
      <c r="A361" t="str">
        <f ca="1">IFERROR(__xludf.DUMMYFUNCTION("""COMPUTED_VALUE"""),"Danmark")</f>
        <v>Danmark</v>
      </c>
      <c r="B361" t="str">
        <f ca="1">IFERROR(__xludf.DUMMYFUNCTION("""COMPUTED_VALUE"""),"DK")</f>
        <v>DK</v>
      </c>
    </row>
    <row r="362" spans="1:2" ht="12.5" x14ac:dyDescent="0.25">
      <c r="A362" t="str">
        <f ca="1">IFERROR(__xludf.DUMMYFUNCTION("""COMPUTED_VALUE"""),"Danmark (*)")</f>
        <v>Danmark (*)</v>
      </c>
      <c r="B362" t="str">
        <f ca="1">IFERROR(__xludf.DUMMYFUNCTION("""COMPUTED_VALUE"""),"DK0")</f>
        <v>DK0</v>
      </c>
    </row>
    <row r="363" spans="1:2" ht="12.5" x14ac:dyDescent="0.25">
      <c r="A363" t="str">
        <f ca="1">IFERROR(__xludf.DUMMYFUNCTION("""COMPUTED_VALUE"""),"Dâo-Lafôes")</f>
        <v>Dâo-Lafôes</v>
      </c>
      <c r="B363" t="str">
        <f ca="1">IFERROR(__xludf.DUMMYFUNCTION("""COMPUTED_VALUE"""),"PT165")</f>
        <v>PT165</v>
      </c>
    </row>
    <row r="364" spans="1:2" ht="12.5" x14ac:dyDescent="0.25">
      <c r="A364" t="str">
        <f ca="1">IFERROR(__xludf.DUMMYFUNCTION("""COMPUTED_VALUE"""),"Darlington")</f>
        <v>Darlington</v>
      </c>
      <c r="B364" t="str">
        <f ca="1">IFERROR(__xludf.DUMMYFUNCTION("""COMPUTED_VALUE"""),"UKC13")</f>
        <v>UKC13</v>
      </c>
    </row>
    <row r="365" spans="1:2" ht="12.5" x14ac:dyDescent="0.25">
      <c r="A365" t="str">
        <f ca="1">IFERROR(__xludf.DUMMYFUNCTION("""COMPUTED_VALUE"""),"Darmstadt")</f>
        <v>Darmstadt</v>
      </c>
      <c r="B365" t="str">
        <f ca="1">IFERROR(__xludf.DUMMYFUNCTION("""COMPUTED_VALUE"""),"DE71")</f>
        <v>DE71</v>
      </c>
    </row>
    <row r="366" spans="1:2" ht="12.5" x14ac:dyDescent="0.25">
      <c r="A366" t="str">
        <f ca="1">IFERROR(__xludf.DUMMYFUNCTION("""COMPUTED_VALUE"""),"Darmstadt-Dieburg")</f>
        <v>Darmstadt-Dieburg</v>
      </c>
      <c r="B366" t="str">
        <f ca="1">IFERROR(__xludf.DUMMYFUNCTION("""COMPUTED_VALUE"""),"DE716")</f>
        <v>DE716</v>
      </c>
    </row>
    <row r="367" spans="1:2" ht="12.5" x14ac:dyDescent="0.25">
      <c r="A367" t="str">
        <f ca="1">IFERROR(__xludf.DUMMYFUNCTION("""COMPUTED_VALUE"""),"Darmstadt, Kreisfreie Stadt")</f>
        <v>Darmstadt, Kreisfreie Stadt</v>
      </c>
      <c r="B367" t="str">
        <f ca="1">IFERROR(__xludf.DUMMYFUNCTION("""COMPUTED_VALUE"""),"DE711")</f>
        <v>DE711</v>
      </c>
    </row>
    <row r="368" spans="1:2" ht="12.5" x14ac:dyDescent="0.25">
      <c r="A368" t="str">
        <f ca="1">IFERROR(__xludf.DUMMYFUNCTION("""COMPUTED_VALUE"""),"Daun")</f>
        <v>Daun</v>
      </c>
      <c r="B368" t="str">
        <f ca="1">IFERROR(__xludf.DUMMYFUNCTION("""COMPUTED_VALUE"""),"DEB24")</f>
        <v>DEB24</v>
      </c>
    </row>
    <row r="369" spans="1:2" ht="12.5" x14ac:dyDescent="0.25">
      <c r="A369" t="str">
        <f ca="1">IFERROR(__xludf.DUMMYFUNCTION("""COMPUTED_VALUE"""),"Deggendorf")</f>
        <v>Deggendorf</v>
      </c>
      <c r="B369" t="str">
        <f ca="1">IFERROR(__xludf.DUMMYFUNCTION("""COMPUTED_VALUE"""),"DE224")</f>
        <v>DE224</v>
      </c>
    </row>
    <row r="370" spans="1:2" ht="12.5" x14ac:dyDescent="0.25">
      <c r="A370" t="str">
        <f ca="1">IFERROR(__xludf.DUMMYFUNCTION("""COMPUTED_VALUE"""),"Del-Alfold")</f>
        <v>Del-Alfold</v>
      </c>
      <c r="B370" t="str">
        <f ca="1">IFERROR(__xludf.DUMMYFUNCTION("""COMPUTED_VALUE"""),"HU33")</f>
        <v>HU33</v>
      </c>
    </row>
    <row r="371" spans="1:2" ht="12.5" x14ac:dyDescent="0.25">
      <c r="A371" t="str">
        <f ca="1">IFERROR(__xludf.DUMMYFUNCTION("""COMPUTED_VALUE"""),"Del-Dunantul")</f>
        <v>Del-Dunantul</v>
      </c>
      <c r="B371" t="str">
        <f ca="1">IFERROR(__xludf.DUMMYFUNCTION("""COMPUTED_VALUE"""),"HU23")</f>
        <v>HU23</v>
      </c>
    </row>
    <row r="372" spans="1:2" ht="12.5" x14ac:dyDescent="0.25">
      <c r="A372" t="str">
        <f ca="1">IFERROR(__xludf.DUMMYFUNCTION("""COMPUTED_VALUE"""),"Delft En Westland")</f>
        <v>Delft En Westland</v>
      </c>
      <c r="B372" t="str">
        <f ca="1">IFERROR(__xludf.DUMMYFUNCTION("""COMPUTED_VALUE"""),"NL333")</f>
        <v>NL333</v>
      </c>
    </row>
    <row r="373" spans="1:2" ht="12.5" x14ac:dyDescent="0.25">
      <c r="A373" t="str">
        <f ca="1">IFERROR(__xludf.DUMMYFUNCTION("""COMPUTED_VALUE"""),"Delfzijl En Omgeving")</f>
        <v>Delfzijl En Omgeving</v>
      </c>
      <c r="B373" t="str">
        <f ca="1">IFERROR(__xludf.DUMMYFUNCTION("""COMPUTED_VALUE"""),"NL112")</f>
        <v>NL112</v>
      </c>
    </row>
    <row r="374" spans="1:2" ht="12.5" x14ac:dyDescent="0.25">
      <c r="A374" t="str">
        <f ca="1">IFERROR(__xludf.DUMMYFUNCTION("""COMPUTED_VALUE"""),"Delitzsch")</f>
        <v>Delitzsch</v>
      </c>
      <c r="B374" t="str">
        <f ca="1">IFERROR(__xludf.DUMMYFUNCTION("""COMPUTED_VALUE"""),"DED32")</f>
        <v>DED32</v>
      </c>
    </row>
    <row r="375" spans="1:2" ht="12.5" x14ac:dyDescent="0.25">
      <c r="A375" t="str">
        <f ca="1">IFERROR(__xludf.DUMMYFUNCTION("""COMPUTED_VALUE"""),"Delmenhorst, Kreisfreie Stadt")</f>
        <v>Delmenhorst, Kreisfreie Stadt</v>
      </c>
      <c r="B375" t="str">
        <f ca="1">IFERROR(__xludf.DUMMYFUNCTION("""COMPUTED_VALUE"""),"DE941")</f>
        <v>DE941</v>
      </c>
    </row>
    <row r="376" spans="1:2" ht="12.5" x14ac:dyDescent="0.25">
      <c r="A376" t="str">
        <f ca="1">IFERROR(__xludf.DUMMYFUNCTION("""COMPUTED_VALUE"""),"Demmin")</f>
        <v>Demmin</v>
      </c>
      <c r="B376" t="str">
        <f ca="1">IFERROR(__xludf.DUMMYFUNCTION("""COMPUTED_VALUE"""),"DE808")</f>
        <v>DE808</v>
      </c>
    </row>
    <row r="377" spans="1:2" ht="12.5" x14ac:dyDescent="0.25">
      <c r="A377" t="str">
        <f ca="1">IFERROR(__xludf.DUMMYFUNCTION("""COMPUTED_VALUE"""),"Départements D'Outre-Mer")</f>
        <v>Départements D'Outre-Mer</v>
      </c>
      <c r="B377" t="str">
        <f ca="1">IFERROR(__xludf.DUMMYFUNCTION("""COMPUTED_VALUE"""),"FR9")</f>
        <v>FR9</v>
      </c>
    </row>
    <row r="378" spans="1:2" ht="12.5" x14ac:dyDescent="0.25">
      <c r="A378" t="str">
        <f ca="1">IFERROR(__xludf.DUMMYFUNCTION("""COMPUTED_VALUE"""),"Derby")</f>
        <v>Derby</v>
      </c>
      <c r="B378" t="str">
        <f ca="1">IFERROR(__xludf.DUMMYFUNCTION("""COMPUTED_VALUE"""),"UKF11")</f>
        <v>UKF11</v>
      </c>
    </row>
    <row r="379" spans="1:2" ht="12.5" x14ac:dyDescent="0.25">
      <c r="A379" t="str">
        <f ca="1">IFERROR(__xludf.DUMMYFUNCTION("""COMPUTED_VALUE"""),"Derbyshire And Nottinghamshire")</f>
        <v>Derbyshire And Nottinghamshire</v>
      </c>
      <c r="B379" t="str">
        <f ca="1">IFERROR(__xludf.DUMMYFUNCTION("""COMPUTED_VALUE"""),"UKF1")</f>
        <v>UKF1</v>
      </c>
    </row>
    <row r="380" spans="1:2" ht="12.5" x14ac:dyDescent="0.25">
      <c r="A380" t="str">
        <f ca="1">IFERROR(__xludf.DUMMYFUNCTION("""COMPUTED_VALUE"""),"Dessau-Roßlau, Kreisfreie Stadt")</f>
        <v>Dessau-Roßlau, Kreisfreie Stadt</v>
      </c>
      <c r="B380" t="str">
        <f ca="1">IFERROR(__xludf.DUMMYFUNCTION("""COMPUTED_VALUE"""),"DEE01")</f>
        <v>DEE01</v>
      </c>
    </row>
    <row r="381" spans="1:2" ht="12.5" x14ac:dyDescent="0.25">
      <c r="A381" t="str">
        <f ca="1">IFERROR(__xludf.DUMMYFUNCTION("""COMPUTED_VALUE"""),"Detmold")</f>
        <v>Detmold</v>
      </c>
      <c r="B381" t="str">
        <f ca="1">IFERROR(__xludf.DUMMYFUNCTION("""COMPUTED_VALUE"""),"DEA4")</f>
        <v>DEA4</v>
      </c>
    </row>
    <row r="382" spans="1:2" ht="12.5" x14ac:dyDescent="0.25">
      <c r="A382" t="str">
        <f ca="1">IFERROR(__xludf.DUMMYFUNCTION("""COMPUTED_VALUE"""),"Deutschland")</f>
        <v>Deutschland</v>
      </c>
      <c r="B382" t="str">
        <f ca="1">IFERROR(__xludf.DUMMYFUNCTION("""COMPUTED_VALUE"""),"DE")</f>
        <v>DE</v>
      </c>
    </row>
    <row r="383" spans="1:2" ht="12.5" x14ac:dyDescent="0.25">
      <c r="A383" t="str">
        <f ca="1">IFERROR(__xludf.DUMMYFUNCTION("""COMPUTED_VALUE"""),"Deux-Sèvres")</f>
        <v>Deux-Sèvres</v>
      </c>
      <c r="B383" t="str">
        <f ca="1">IFERROR(__xludf.DUMMYFUNCTION("""COMPUTED_VALUE"""),"FR533")</f>
        <v>FR533</v>
      </c>
    </row>
    <row r="384" spans="1:2" ht="12.5" x14ac:dyDescent="0.25">
      <c r="A384" t="str">
        <f ca="1">IFERROR(__xludf.DUMMYFUNCTION("""COMPUTED_VALUE"""),"Devon")</f>
        <v>Devon</v>
      </c>
      <c r="B384" t="str">
        <f ca="1">IFERROR(__xludf.DUMMYFUNCTION("""COMPUTED_VALUE"""),"UKK4")</f>
        <v>UKK4</v>
      </c>
    </row>
    <row r="385" spans="1:2" ht="12.5" x14ac:dyDescent="0.25">
      <c r="A385" t="str">
        <f ca="1">IFERROR(__xludf.DUMMYFUNCTION("""COMPUTED_VALUE"""),"Devon Cc")</f>
        <v>Devon Cc</v>
      </c>
      <c r="B385" t="str">
        <f ca="1">IFERROR(__xludf.DUMMYFUNCTION("""COMPUTED_VALUE"""),"UKK43")</f>
        <v>UKK43</v>
      </c>
    </row>
    <row r="386" spans="1:2" ht="12.5" x14ac:dyDescent="0.25">
      <c r="A386" t="str">
        <f ca="1">IFERROR(__xludf.DUMMYFUNCTION("""COMPUTED_VALUE"""),"Diepholz")</f>
        <v>Diepholz</v>
      </c>
      <c r="B386" t="str">
        <f ca="1">IFERROR(__xludf.DUMMYFUNCTION("""COMPUTED_VALUE"""),"DE922")</f>
        <v>DE922</v>
      </c>
    </row>
    <row r="387" spans="1:2" ht="12.5" x14ac:dyDescent="0.25">
      <c r="A387" t="str">
        <f ca="1">IFERROR(__xludf.DUMMYFUNCTION("""COMPUTED_VALUE"""),"Dillingen A.D. Donau")</f>
        <v>Dillingen A.D. Donau</v>
      </c>
      <c r="B387" t="str">
        <f ca="1">IFERROR(__xludf.DUMMYFUNCTION("""COMPUTED_VALUE"""),"DE277")</f>
        <v>DE277</v>
      </c>
    </row>
    <row r="388" spans="1:2" ht="12.5" x14ac:dyDescent="0.25">
      <c r="A388" t="str">
        <f ca="1">IFERROR(__xludf.DUMMYFUNCTION("""COMPUTED_VALUE"""),"Dingolfing-Landau")</f>
        <v>Dingolfing-Landau</v>
      </c>
      <c r="B388" t="str">
        <f ca="1">IFERROR(__xludf.DUMMYFUNCTION("""COMPUTED_VALUE"""),"DE22C")</f>
        <v>DE22C</v>
      </c>
    </row>
    <row r="389" spans="1:2" ht="12.5" x14ac:dyDescent="0.25">
      <c r="A389" t="str">
        <f ca="1">IFERROR(__xludf.DUMMYFUNCTION("""COMPUTED_VALUE"""),"Dithmarschen")</f>
        <v>Dithmarschen</v>
      </c>
      <c r="B389" t="str">
        <f ca="1">IFERROR(__xludf.DUMMYFUNCTION("""COMPUTED_VALUE"""),"DEF05")</f>
        <v>DEF05</v>
      </c>
    </row>
    <row r="390" spans="1:2" ht="12.5" x14ac:dyDescent="0.25">
      <c r="A390" t="str">
        <f ca="1">IFERROR(__xludf.DUMMYFUNCTION("""COMPUTED_VALUE"""),"Döbeln")</f>
        <v>Döbeln</v>
      </c>
      <c r="B390" t="str">
        <f ca="1">IFERROR(__xludf.DUMMYFUNCTION("""COMPUTED_VALUE"""),"DED33")</f>
        <v>DED33</v>
      </c>
    </row>
    <row r="391" spans="1:2" ht="12.5" x14ac:dyDescent="0.25">
      <c r="A391" t="str">
        <f ca="1">IFERROR(__xludf.DUMMYFUNCTION("""COMPUTED_VALUE"""),"Dobrich")</f>
        <v>Dobrich</v>
      </c>
      <c r="B391" t="str">
        <f ca="1">IFERROR(__xludf.DUMMYFUNCTION("""COMPUTED_VALUE"""),"BG332")</f>
        <v>BG332</v>
      </c>
    </row>
    <row r="392" spans="1:2" ht="12.5" x14ac:dyDescent="0.25">
      <c r="A392" t="str">
        <f ca="1">IFERROR(__xludf.DUMMYFUNCTION("""COMPUTED_VALUE"""),"Dodekanisos")</f>
        <v>Dodekanisos</v>
      </c>
      <c r="B392" t="str">
        <f ca="1">IFERROR(__xludf.DUMMYFUNCTION("""COMPUTED_VALUE"""),"GR421")</f>
        <v>GR421</v>
      </c>
    </row>
    <row r="393" spans="1:2" ht="12.5" x14ac:dyDescent="0.25">
      <c r="A393" t="str">
        <f ca="1">IFERROR(__xludf.DUMMYFUNCTION("""COMPUTED_VALUE"""),"Dolj")</f>
        <v>Dolj</v>
      </c>
      <c r="B393" t="str">
        <f ca="1">IFERROR(__xludf.DUMMYFUNCTION("""COMPUTED_VALUE"""),"RO411")</f>
        <v>RO411</v>
      </c>
    </row>
    <row r="394" spans="1:2" ht="12.5" x14ac:dyDescent="0.25">
      <c r="A394" t="str">
        <f ca="1">IFERROR(__xludf.DUMMYFUNCTION("""COMPUTED_VALUE"""),"Dolnoslaskie")</f>
        <v>Dolnoslaskie</v>
      </c>
      <c r="B394" t="str">
        <f ca="1">IFERROR(__xludf.DUMMYFUNCTION("""COMPUTED_VALUE"""),"PL51")</f>
        <v>PL51</v>
      </c>
    </row>
    <row r="395" spans="1:2" ht="12.5" x14ac:dyDescent="0.25">
      <c r="A395" t="str">
        <f ca="1">IFERROR(__xludf.DUMMYFUNCTION("""COMPUTED_VALUE"""),"Donau-Ries")</f>
        <v>Donau-Ries</v>
      </c>
      <c r="B395" t="str">
        <f ca="1">IFERROR(__xludf.DUMMYFUNCTION("""COMPUTED_VALUE"""),"DE27D")</f>
        <v>DE27D</v>
      </c>
    </row>
    <row r="396" spans="1:2" ht="12.5" x14ac:dyDescent="0.25">
      <c r="A396" t="str">
        <f ca="1">IFERROR(__xludf.DUMMYFUNCTION("""COMPUTED_VALUE"""),"Donnersbergkreis")</f>
        <v>Donnersbergkreis</v>
      </c>
      <c r="B396" t="str">
        <f ca="1">IFERROR(__xludf.DUMMYFUNCTION("""COMPUTED_VALUE"""),"DEB3D")</f>
        <v>DEB3D</v>
      </c>
    </row>
    <row r="397" spans="1:2" ht="12.5" x14ac:dyDescent="0.25">
      <c r="A397" t="str">
        <f ca="1">IFERROR(__xludf.DUMMYFUNCTION("""COMPUTED_VALUE"""),"Dordogne")</f>
        <v>Dordogne</v>
      </c>
      <c r="B397" t="str">
        <f ca="1">IFERROR(__xludf.DUMMYFUNCTION("""COMPUTED_VALUE"""),"FR611")</f>
        <v>FR611</v>
      </c>
    </row>
    <row r="398" spans="1:2" ht="12.5" x14ac:dyDescent="0.25">
      <c r="A398" t="str">
        <f ca="1">IFERROR(__xludf.DUMMYFUNCTION("""COMPUTED_VALUE"""),"Dorset And Somerset")</f>
        <v>Dorset And Somerset</v>
      </c>
      <c r="B398" t="str">
        <f ca="1">IFERROR(__xludf.DUMMYFUNCTION("""COMPUTED_VALUE"""),"UKK2")</f>
        <v>UKK2</v>
      </c>
    </row>
    <row r="399" spans="1:2" ht="12.5" x14ac:dyDescent="0.25">
      <c r="A399" t="str">
        <f ca="1">IFERROR(__xludf.DUMMYFUNCTION("""COMPUTED_VALUE"""),"Dorset Cc")</f>
        <v>Dorset Cc</v>
      </c>
      <c r="B399" t="str">
        <f ca="1">IFERROR(__xludf.DUMMYFUNCTION("""COMPUTED_VALUE"""),"UKK22")</f>
        <v>UKK22</v>
      </c>
    </row>
    <row r="400" spans="1:2" ht="12.5" x14ac:dyDescent="0.25">
      <c r="A400" t="str">
        <f ca="1">IFERROR(__xludf.DUMMYFUNCTION("""COMPUTED_VALUE"""),"Dortmund, Kreisfreie Stadt")</f>
        <v>Dortmund, Kreisfreie Stadt</v>
      </c>
      <c r="B400" t="str">
        <f ca="1">IFERROR(__xludf.DUMMYFUNCTION("""COMPUTED_VALUE"""),"DEA52")</f>
        <v>DEA52</v>
      </c>
    </row>
    <row r="401" spans="1:2" ht="12.5" x14ac:dyDescent="0.25">
      <c r="A401" t="str">
        <f ca="1">IFERROR(__xludf.DUMMYFUNCTION("""COMPUTED_VALUE"""),"Doubs")</f>
        <v>Doubs</v>
      </c>
      <c r="B401" t="str">
        <f ca="1">IFERROR(__xludf.DUMMYFUNCTION("""COMPUTED_VALUE"""),"FR431")</f>
        <v>FR431</v>
      </c>
    </row>
    <row r="402" spans="1:2" ht="12.5" x14ac:dyDescent="0.25">
      <c r="A402" t="str">
        <f ca="1">IFERROR(__xludf.DUMMYFUNCTION("""COMPUTED_VALUE"""),"Douro")</f>
        <v>Douro</v>
      </c>
      <c r="B402" t="str">
        <f ca="1">IFERROR(__xludf.DUMMYFUNCTION("""COMPUTED_VALUE"""),"PT117")</f>
        <v>PT117</v>
      </c>
    </row>
    <row r="403" spans="1:2" ht="12.5" x14ac:dyDescent="0.25">
      <c r="A403" t="str">
        <f ca="1">IFERROR(__xludf.DUMMYFUNCTION("""COMPUTED_VALUE"""),"Drama")</f>
        <v>Drama</v>
      </c>
      <c r="B403" t="str">
        <f ca="1">IFERROR(__xludf.DUMMYFUNCTION("""COMPUTED_VALUE"""),"GR114")</f>
        <v>GR114</v>
      </c>
    </row>
    <row r="404" spans="1:2" ht="12.5" x14ac:dyDescent="0.25">
      <c r="A404" t="str">
        <f ca="1">IFERROR(__xludf.DUMMYFUNCTION("""COMPUTED_VALUE"""),"Drenthe")</f>
        <v>Drenthe</v>
      </c>
      <c r="B404" t="str">
        <f ca="1">IFERROR(__xludf.DUMMYFUNCTION("""COMPUTED_VALUE"""),"NL13")</f>
        <v>NL13</v>
      </c>
    </row>
    <row r="405" spans="1:2" ht="12.5" x14ac:dyDescent="0.25">
      <c r="A405" t="str">
        <f ca="1">IFERROR(__xludf.DUMMYFUNCTION("""COMPUTED_VALUE"""),"Dresden")</f>
        <v>Dresden</v>
      </c>
      <c r="B405" t="str">
        <f ca="1">IFERROR(__xludf.DUMMYFUNCTION("""COMPUTED_VALUE"""),"DED2")</f>
        <v>DED2</v>
      </c>
    </row>
    <row r="406" spans="1:2" ht="12.5" x14ac:dyDescent="0.25">
      <c r="A406" t="str">
        <f ca="1">IFERROR(__xludf.DUMMYFUNCTION("""COMPUTED_VALUE"""),"Dresden, Kreisfreie Stadt")</f>
        <v>Dresden, Kreisfreie Stadt</v>
      </c>
      <c r="B406" t="str">
        <f ca="1">IFERROR(__xludf.DUMMYFUNCTION("""COMPUTED_VALUE"""),"DED21")</f>
        <v>DED21</v>
      </c>
    </row>
    <row r="407" spans="1:2" ht="12.5" x14ac:dyDescent="0.25">
      <c r="A407" t="str">
        <f ca="1">IFERROR(__xludf.DUMMYFUNCTION("""COMPUTED_VALUE"""),"Drôme")</f>
        <v>Drôme</v>
      </c>
      <c r="B407" t="str">
        <f ca="1">IFERROR(__xludf.DUMMYFUNCTION("""COMPUTED_VALUE"""),"FR713")</f>
        <v>FR713</v>
      </c>
    </row>
    <row r="408" spans="1:2" ht="12.5" x14ac:dyDescent="0.25">
      <c r="A408" t="str">
        <f ca="1">IFERROR(__xludf.DUMMYFUNCTION("""COMPUTED_VALUE"""),"Dublin")</f>
        <v>Dublin</v>
      </c>
      <c r="B408" t="str">
        <f ca="1">IFERROR(__xludf.DUMMYFUNCTION("""COMPUTED_VALUE"""),"IE021")</f>
        <v>IE021</v>
      </c>
    </row>
    <row r="409" spans="1:2" ht="12.5" x14ac:dyDescent="0.25">
      <c r="A409" t="str">
        <f ca="1">IFERROR(__xludf.DUMMYFUNCTION("""COMPUTED_VALUE"""),"Dudley And Sandwell")</f>
        <v>Dudley And Sandwell</v>
      </c>
      <c r="B409" t="str">
        <f ca="1">IFERROR(__xludf.DUMMYFUNCTION("""COMPUTED_VALUE"""),"UKG34")</f>
        <v>UKG34</v>
      </c>
    </row>
    <row r="410" spans="1:2" ht="12.5" x14ac:dyDescent="0.25">
      <c r="A410" t="str">
        <f ca="1">IFERROR(__xludf.DUMMYFUNCTION("""COMPUTED_VALUE"""),"Duisburg, Kreisfreie Stadt")</f>
        <v>Duisburg, Kreisfreie Stadt</v>
      </c>
      <c r="B410" t="str">
        <f ca="1">IFERROR(__xludf.DUMMYFUNCTION("""COMPUTED_VALUE"""),"DEA12")</f>
        <v>DEA12</v>
      </c>
    </row>
    <row r="411" spans="1:2" ht="12.5" x14ac:dyDescent="0.25">
      <c r="A411" t="str">
        <f ca="1">IFERROR(__xludf.DUMMYFUNCTION("""COMPUTED_VALUE"""),"Dumfries &amp; Galloway")</f>
        <v>Dumfries &amp; Galloway</v>
      </c>
      <c r="B411" t="str">
        <f ca="1">IFERROR(__xludf.DUMMYFUNCTION("""COMPUTED_VALUE"""),"UKM32")</f>
        <v>UKM32</v>
      </c>
    </row>
    <row r="412" spans="1:2" ht="12.5" x14ac:dyDescent="0.25">
      <c r="A412" t="str">
        <f ca="1">IFERROR(__xludf.DUMMYFUNCTION("""COMPUTED_VALUE"""),"Dunantul")</f>
        <v>Dunantul</v>
      </c>
      <c r="B412" t="str">
        <f ca="1">IFERROR(__xludf.DUMMYFUNCTION("""COMPUTED_VALUE"""),"HU2")</f>
        <v>HU2</v>
      </c>
    </row>
    <row r="413" spans="1:2" ht="12.5" x14ac:dyDescent="0.25">
      <c r="A413" t="str">
        <f ca="1">IFERROR(__xludf.DUMMYFUNCTION("""COMPUTED_VALUE"""),"Düren")</f>
        <v>Düren</v>
      </c>
      <c r="B413" t="str">
        <f ca="1">IFERROR(__xludf.DUMMYFUNCTION("""COMPUTED_VALUE"""),"DEA26")</f>
        <v>DEA26</v>
      </c>
    </row>
    <row r="414" spans="1:2" ht="12.5" x14ac:dyDescent="0.25">
      <c r="A414" t="str">
        <f ca="1">IFERROR(__xludf.DUMMYFUNCTION("""COMPUTED_VALUE"""),"Durham Cc")</f>
        <v>Durham Cc</v>
      </c>
      <c r="B414" t="str">
        <f ca="1">IFERROR(__xludf.DUMMYFUNCTION("""COMPUTED_VALUE"""),"UKC14")</f>
        <v>UKC14</v>
      </c>
    </row>
    <row r="415" spans="1:2" ht="12.5" x14ac:dyDescent="0.25">
      <c r="A415" t="str">
        <f ca="1">IFERROR(__xludf.DUMMYFUNCTION("""COMPUTED_VALUE"""),"Düsseldorf")</f>
        <v>Düsseldorf</v>
      </c>
      <c r="B415" t="str">
        <f ca="1">IFERROR(__xludf.DUMMYFUNCTION("""COMPUTED_VALUE"""),"DEA1")</f>
        <v>DEA1</v>
      </c>
    </row>
    <row r="416" spans="1:2" ht="12.5" x14ac:dyDescent="0.25">
      <c r="A416" t="str">
        <f ca="1">IFERROR(__xludf.DUMMYFUNCTION("""COMPUTED_VALUE"""),"Düsseldorf, Kreisfreie Stadt")</f>
        <v>Düsseldorf, Kreisfreie Stadt</v>
      </c>
      <c r="B416" t="str">
        <f ca="1">IFERROR(__xludf.DUMMYFUNCTION("""COMPUTED_VALUE"""),"DEA11")</f>
        <v>DEA11</v>
      </c>
    </row>
    <row r="417" spans="1:2" ht="12.5" x14ac:dyDescent="0.25">
      <c r="A417" t="str">
        <f ca="1">IFERROR(__xludf.DUMMYFUNCTION("""COMPUTED_VALUE"""),"Dytiki Ellada")</f>
        <v>Dytiki Ellada</v>
      </c>
      <c r="B417" t="str">
        <f ca="1">IFERROR(__xludf.DUMMYFUNCTION("""COMPUTED_VALUE"""),"GR23")</f>
        <v>GR23</v>
      </c>
    </row>
    <row r="418" spans="1:2" ht="12.5" x14ac:dyDescent="0.25">
      <c r="A418" t="str">
        <f ca="1">IFERROR(__xludf.DUMMYFUNCTION("""COMPUTED_VALUE"""),"Dytiki Makedonia")</f>
        <v>Dytiki Makedonia</v>
      </c>
      <c r="B418" t="str">
        <f ca="1">IFERROR(__xludf.DUMMYFUNCTION("""COMPUTED_VALUE"""),"GR13")</f>
        <v>GR13</v>
      </c>
    </row>
    <row r="419" spans="1:2" ht="12.5" x14ac:dyDescent="0.25">
      <c r="A419" t="str">
        <f ca="1">IFERROR(__xludf.DUMMYFUNCTION("""COMPUTED_VALUE"""),"East Anglia")</f>
        <v>East Anglia</v>
      </c>
      <c r="B419" t="str">
        <f ca="1">IFERROR(__xludf.DUMMYFUNCTION("""COMPUTED_VALUE"""),"UKH1")</f>
        <v>UKH1</v>
      </c>
    </row>
    <row r="420" spans="1:2" ht="12.5" x14ac:dyDescent="0.25">
      <c r="A420" t="str">
        <f ca="1">IFERROR(__xludf.DUMMYFUNCTION("""COMPUTED_VALUE"""),"East Ayrshire And North Ayrshire Mainland")</f>
        <v>East Ayrshire And North Ayrshire Mainland</v>
      </c>
      <c r="B420" t="str">
        <f ca="1">IFERROR(__xludf.DUMMYFUNCTION("""COMPUTED_VALUE"""),"UKM33")</f>
        <v>UKM33</v>
      </c>
    </row>
    <row r="421" spans="1:2" ht="12.5" x14ac:dyDescent="0.25">
      <c r="A421" t="str">
        <f ca="1">IFERROR(__xludf.DUMMYFUNCTION("""COMPUTED_VALUE"""),"East Cumbria")</f>
        <v>East Cumbria</v>
      </c>
      <c r="B421" t="str">
        <f ca="1">IFERROR(__xludf.DUMMYFUNCTION("""COMPUTED_VALUE"""),"UKD12")</f>
        <v>UKD12</v>
      </c>
    </row>
    <row r="422" spans="1:2" ht="12.5" x14ac:dyDescent="0.25">
      <c r="A422" t="str">
        <f ca="1">IFERROR(__xludf.DUMMYFUNCTION("""COMPUTED_VALUE"""),"East Derbyshire")</f>
        <v>East Derbyshire</v>
      </c>
      <c r="B422" t="str">
        <f ca="1">IFERROR(__xludf.DUMMYFUNCTION("""COMPUTED_VALUE"""),"UKF12")</f>
        <v>UKF12</v>
      </c>
    </row>
    <row r="423" spans="1:2" ht="12.5" x14ac:dyDescent="0.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x14ac:dyDescent="0.25">
      <c r="A424" t="str">
        <f ca="1">IFERROR(__xludf.DUMMYFUNCTION("""COMPUTED_VALUE"""),"East Lothian And Midlothian")</f>
        <v>East Lothian And Midlothian</v>
      </c>
      <c r="B424" t="str">
        <f ca="1">IFERROR(__xludf.DUMMYFUNCTION("""COMPUTED_VALUE"""),"UKM23")</f>
        <v>UKM23</v>
      </c>
    </row>
    <row r="425" spans="1:2" ht="12.5" x14ac:dyDescent="0.25">
      <c r="A425" t="str">
        <f ca="1">IFERROR(__xludf.DUMMYFUNCTION("""COMPUTED_VALUE"""),"East Merseyside")</f>
        <v>East Merseyside</v>
      </c>
      <c r="B425" t="str">
        <f ca="1">IFERROR(__xludf.DUMMYFUNCTION("""COMPUTED_VALUE"""),"UKD51")</f>
        <v>UKD51</v>
      </c>
    </row>
    <row r="426" spans="1:2" ht="12.5" x14ac:dyDescent="0.25">
      <c r="A426" t="str">
        <f ca="1">IFERROR(__xludf.DUMMYFUNCTION("""COMPUTED_VALUE"""),"East Midlands (England)")</f>
        <v>East Midlands (England)</v>
      </c>
      <c r="B426" t="str">
        <f ca="1">IFERROR(__xludf.DUMMYFUNCTION("""COMPUTED_VALUE"""),"UKF")</f>
        <v>UKF</v>
      </c>
    </row>
    <row r="427" spans="1:2" ht="12.5" x14ac:dyDescent="0.25">
      <c r="A427" t="str">
        <f ca="1">IFERROR(__xludf.DUMMYFUNCTION("""COMPUTED_VALUE"""),"East Of England")</f>
        <v>East Of England</v>
      </c>
      <c r="B427" t="str">
        <f ca="1">IFERROR(__xludf.DUMMYFUNCTION("""COMPUTED_VALUE"""),"UKH")</f>
        <v>UKH</v>
      </c>
    </row>
    <row r="428" spans="1:2" ht="12.5" x14ac:dyDescent="0.25">
      <c r="A428" t="str">
        <f ca="1">IFERROR(__xludf.DUMMYFUNCTION("""COMPUTED_VALUE"""),"East Of Northern Ireland")</f>
        <v>East Of Northern Ireland</v>
      </c>
      <c r="B428" t="str">
        <f ca="1">IFERROR(__xludf.DUMMYFUNCTION("""COMPUTED_VALUE"""),"UKN03")</f>
        <v>UKN03</v>
      </c>
    </row>
    <row r="429" spans="1:2" ht="12.5" x14ac:dyDescent="0.25">
      <c r="A429" t="str">
        <f ca="1">IFERROR(__xludf.DUMMYFUNCTION("""COMPUTED_VALUE"""),"East Riding Of Yorkshire")</f>
        <v>East Riding Of Yorkshire</v>
      </c>
      <c r="B429" t="str">
        <f ca="1">IFERROR(__xludf.DUMMYFUNCTION("""COMPUTED_VALUE"""),"UKE12")</f>
        <v>UKE12</v>
      </c>
    </row>
    <row r="430" spans="1:2" ht="12.5" x14ac:dyDescent="0.25">
      <c r="A430" t="str">
        <f ca="1">IFERROR(__xludf.DUMMYFUNCTION("""COMPUTED_VALUE"""),"East Sussex Cc")</f>
        <v>East Sussex Cc</v>
      </c>
      <c r="B430" t="str">
        <f ca="1">IFERROR(__xludf.DUMMYFUNCTION("""COMPUTED_VALUE"""),"UKJ22")</f>
        <v>UKJ22</v>
      </c>
    </row>
    <row r="431" spans="1:2" ht="12.5" x14ac:dyDescent="0.25">
      <c r="A431" t="str">
        <f ca="1">IFERROR(__xludf.DUMMYFUNCTION("""COMPUTED_VALUE"""),"East Wales")</f>
        <v>East Wales</v>
      </c>
      <c r="B431" t="str">
        <f ca="1">IFERROR(__xludf.DUMMYFUNCTION("""COMPUTED_VALUE"""),"UKL2")</f>
        <v>UKL2</v>
      </c>
    </row>
    <row r="432" spans="1:2" ht="12.5" x14ac:dyDescent="0.25">
      <c r="A432" t="str">
        <f ca="1">IFERROR(__xludf.DUMMYFUNCTION("""COMPUTED_VALUE"""),"East Yorkshire And Northern Lincolnshire")</f>
        <v>East Yorkshire And Northern Lincolnshire</v>
      </c>
      <c r="B432" t="str">
        <f ca="1">IFERROR(__xludf.DUMMYFUNCTION("""COMPUTED_VALUE"""),"UKE1")</f>
        <v>UKE1</v>
      </c>
    </row>
    <row r="433" spans="1:2" ht="12.5" x14ac:dyDescent="0.25">
      <c r="A433" t="str">
        <f ca="1">IFERROR(__xludf.DUMMYFUNCTION("""COMPUTED_VALUE"""),"Eastern Scotland")</f>
        <v>Eastern Scotland</v>
      </c>
      <c r="B433" t="str">
        <f ca="1">IFERROR(__xludf.DUMMYFUNCTION("""COMPUTED_VALUE"""),"UKM2")</f>
        <v>UKM2</v>
      </c>
    </row>
    <row r="434" spans="1:2" ht="12.5" x14ac:dyDescent="0.25">
      <c r="A434" t="str">
        <f ca="1">IFERROR(__xludf.DUMMYFUNCTION("""COMPUTED_VALUE"""),"Ebersberg")</f>
        <v>Ebersberg</v>
      </c>
      <c r="B434" t="str">
        <f ca="1">IFERROR(__xludf.DUMMYFUNCTION("""COMPUTED_VALUE"""),"DE218")</f>
        <v>DE218</v>
      </c>
    </row>
    <row r="435" spans="1:2" ht="12.5" x14ac:dyDescent="0.25">
      <c r="A435" t="str">
        <f ca="1">IFERROR(__xludf.DUMMYFUNCTION("""COMPUTED_VALUE"""),"Edinburgh, City Of")</f>
        <v>Edinburgh, City Of</v>
      </c>
      <c r="B435" t="str">
        <f ca="1">IFERROR(__xludf.DUMMYFUNCTION("""COMPUTED_VALUE"""),"UKM25")</f>
        <v>UKM25</v>
      </c>
    </row>
    <row r="436" spans="1:2" ht="12.5" x14ac:dyDescent="0.25">
      <c r="A436" t="str">
        <f ca="1">IFERROR(__xludf.DUMMYFUNCTION("""COMPUTED_VALUE"""),"Eesti")</f>
        <v>Eesti</v>
      </c>
      <c r="B436" t="str">
        <f ca="1">IFERROR(__xludf.DUMMYFUNCTION("""COMPUTED_VALUE"""),"EE")</f>
        <v>EE</v>
      </c>
    </row>
    <row r="437" spans="1:2" ht="12.5" x14ac:dyDescent="0.25">
      <c r="A437" t="str">
        <f ca="1">IFERROR(__xludf.DUMMYFUNCTION("""COMPUTED_VALUE"""),"Eesti (*)")</f>
        <v>Eesti (*)</v>
      </c>
      <c r="B437" t="str">
        <f ca="1">IFERROR(__xludf.DUMMYFUNCTION("""COMPUTED_VALUE"""),"EE0")</f>
        <v>EE0</v>
      </c>
    </row>
    <row r="438" spans="1:2" ht="12.5" x14ac:dyDescent="0.25">
      <c r="A438" t="str">
        <f ca="1">IFERROR(__xludf.DUMMYFUNCTION("""COMPUTED_VALUE"""),"Eesti (**)")</f>
        <v>Eesti (**)</v>
      </c>
      <c r="B438" t="str">
        <f ca="1">IFERROR(__xludf.DUMMYFUNCTION("""COMPUTED_VALUE"""),"EE00")</f>
        <v>EE00</v>
      </c>
    </row>
    <row r="439" spans="1:2" ht="12.5" x14ac:dyDescent="0.25">
      <c r="A439" t="str">
        <f ca="1">IFERROR(__xludf.DUMMYFUNCTION("""COMPUTED_VALUE"""),"Eichsfeld")</f>
        <v>Eichsfeld</v>
      </c>
      <c r="B439" t="str">
        <f ca="1">IFERROR(__xludf.DUMMYFUNCTION("""COMPUTED_VALUE"""),"DEG06")</f>
        <v>DEG06</v>
      </c>
    </row>
    <row r="440" spans="1:2" ht="12.5" x14ac:dyDescent="0.25">
      <c r="A440" t="str">
        <f ca="1">IFERROR(__xludf.DUMMYFUNCTION("""COMPUTED_VALUE"""),"Eichstätt")</f>
        <v>Eichstätt</v>
      </c>
      <c r="B440" t="str">
        <f ca="1">IFERROR(__xludf.DUMMYFUNCTION("""COMPUTED_VALUE"""),"DE219")</f>
        <v>DE219</v>
      </c>
    </row>
    <row r="441" spans="1:2" ht="12.5" x14ac:dyDescent="0.25">
      <c r="A441" t="str">
        <f ca="1">IFERROR(__xludf.DUMMYFUNCTION("""COMPUTED_VALUE"""),"Eilean Siar (Western Isles)")</f>
        <v>Eilean Siar (Western Isles)</v>
      </c>
      <c r="B441" t="str">
        <f ca="1">IFERROR(__xludf.DUMMYFUNCTION("""COMPUTED_VALUE"""),"UKM64")</f>
        <v>UKM64</v>
      </c>
    </row>
    <row r="442" spans="1:2" ht="12.5" x14ac:dyDescent="0.25">
      <c r="A442" t="str">
        <f ca="1">IFERROR(__xludf.DUMMYFUNCTION("""COMPUTED_VALUE"""),"Eisenach, Kreisfreie Stadt")</f>
        <v>Eisenach, Kreisfreie Stadt</v>
      </c>
      <c r="B442" t="str">
        <f ca="1">IFERROR(__xludf.DUMMYFUNCTION("""COMPUTED_VALUE"""),"DEG0N")</f>
        <v>DEG0N</v>
      </c>
    </row>
    <row r="443" spans="1:2" ht="12.5" x14ac:dyDescent="0.25">
      <c r="A443" t="str">
        <f ca="1">IFERROR(__xludf.DUMMYFUNCTION("""COMPUTED_VALUE"""),"Eivissa Y Formentera")</f>
        <v>Eivissa Y Formentera</v>
      </c>
      <c r="B443" t="str">
        <f ca="1">IFERROR(__xludf.DUMMYFUNCTION("""COMPUTED_VALUE"""),"ES531")</f>
        <v>ES531</v>
      </c>
    </row>
    <row r="444" spans="1:2" ht="12.5" x14ac:dyDescent="0.25">
      <c r="A444" t="str">
        <f ca="1">IFERROR(__xludf.DUMMYFUNCTION("""COMPUTED_VALUE"""),"El Hierro")</f>
        <v>El Hierro</v>
      </c>
      <c r="B444" t="str">
        <f ca="1">IFERROR(__xludf.DUMMYFUNCTION("""COMPUTED_VALUE"""),"ES703")</f>
        <v>ES703</v>
      </c>
    </row>
    <row r="445" spans="1:2" ht="12.5" x14ac:dyDescent="0.25">
      <c r="A445" t="str">
        <f ca="1">IFERROR(__xludf.DUMMYFUNCTION("""COMPUTED_VALUE"""),"Elbe-Elster")</f>
        <v>Elbe-Elster</v>
      </c>
      <c r="B445" t="str">
        <f ca="1">IFERROR(__xludf.DUMMYFUNCTION("""COMPUTED_VALUE"""),"DE425")</f>
        <v>DE425</v>
      </c>
    </row>
    <row r="446" spans="1:2" ht="12.5" x14ac:dyDescent="0.25">
      <c r="A446" t="str">
        <f ca="1">IFERROR(__xludf.DUMMYFUNCTION("""COMPUTED_VALUE"""),"Elblaski")</f>
        <v>Elblaski</v>
      </c>
      <c r="B446" t="str">
        <f ca="1">IFERROR(__xludf.DUMMYFUNCTION("""COMPUTED_VALUE"""),"PL621")</f>
        <v>PL621</v>
      </c>
    </row>
    <row r="447" spans="1:2" ht="12.5" x14ac:dyDescent="0.25">
      <c r="A447" t="str">
        <f ca="1">IFERROR(__xludf.DUMMYFUNCTION("""COMPUTED_VALUE"""),"Elcki")</f>
        <v>Elcki</v>
      </c>
      <c r="B447" t="str">
        <f ca="1">IFERROR(__xludf.DUMMYFUNCTION("""COMPUTED_VALUE"""),"PL623")</f>
        <v>PL623</v>
      </c>
    </row>
    <row r="448" spans="1:2" ht="12.5" x14ac:dyDescent="0.25">
      <c r="A448" t="str">
        <f ca="1">IFERROR(__xludf.DUMMYFUNCTION("""COMPUTED_VALUE"""),"Ellada")</f>
        <v>Ellada</v>
      </c>
      <c r="B448" t="str">
        <f ca="1">IFERROR(__xludf.DUMMYFUNCTION("""COMPUTED_VALUE"""),"GR")</f>
        <v>GR</v>
      </c>
    </row>
    <row r="449" spans="1:2" ht="12.5" x14ac:dyDescent="0.25">
      <c r="A449" t="str">
        <f ca="1">IFERROR(__xludf.DUMMYFUNCTION("""COMPUTED_VALUE"""),"Emden, Kreisfreie Stadt")</f>
        <v>Emden, Kreisfreie Stadt</v>
      </c>
      <c r="B449" t="str">
        <f ca="1">IFERROR(__xludf.DUMMYFUNCTION("""COMPUTED_VALUE"""),"DE942")</f>
        <v>DE942</v>
      </c>
    </row>
    <row r="450" spans="1:2" ht="12.5" x14ac:dyDescent="0.25">
      <c r="A450" t="str">
        <f ca="1">IFERROR(__xludf.DUMMYFUNCTION("""COMPUTED_VALUE"""),"Emilia-Romagna")</f>
        <v>Emilia-Romagna</v>
      </c>
      <c r="B450" t="str">
        <f ca="1">IFERROR(__xludf.DUMMYFUNCTION("""COMPUTED_VALUE"""),"ITD5")</f>
        <v>ITD5</v>
      </c>
    </row>
    <row r="451" spans="1:2" ht="12.5" x14ac:dyDescent="0.25">
      <c r="A451" t="str">
        <f ca="1">IFERROR(__xludf.DUMMYFUNCTION("""COMPUTED_VALUE"""),"Emmendingen")</f>
        <v>Emmendingen</v>
      </c>
      <c r="B451" t="str">
        <f ca="1">IFERROR(__xludf.DUMMYFUNCTION("""COMPUTED_VALUE"""),"DE133")</f>
        <v>DE133</v>
      </c>
    </row>
    <row r="452" spans="1:2" ht="12.5" x14ac:dyDescent="0.25">
      <c r="A452" t="str">
        <f ca="1">IFERROR(__xludf.DUMMYFUNCTION("""COMPUTED_VALUE"""),"Emsland")</f>
        <v>Emsland</v>
      </c>
      <c r="B452" t="str">
        <f ca="1">IFERROR(__xludf.DUMMYFUNCTION("""COMPUTED_VALUE"""),"DE949")</f>
        <v>DE949</v>
      </c>
    </row>
    <row r="453" spans="1:2" ht="12.5" x14ac:dyDescent="0.25">
      <c r="A453" t="str">
        <f ca="1">IFERROR(__xludf.DUMMYFUNCTION("""COMPUTED_VALUE"""),"Enna")</f>
        <v>Enna</v>
      </c>
      <c r="B453" t="str">
        <f ca="1">IFERROR(__xludf.DUMMYFUNCTION("""COMPUTED_VALUE"""),"ITG16")</f>
        <v>ITG16</v>
      </c>
    </row>
    <row r="454" spans="1:2" ht="12.5" x14ac:dyDescent="0.25">
      <c r="A454" t="str">
        <f ca="1">IFERROR(__xludf.DUMMYFUNCTION("""COMPUTED_VALUE"""),"Ennepe-Ruhr-Kreis")</f>
        <v>Ennepe-Ruhr-Kreis</v>
      </c>
      <c r="B454" t="str">
        <f ca="1">IFERROR(__xludf.DUMMYFUNCTION("""COMPUTED_VALUE"""),"DEA56")</f>
        <v>DEA56</v>
      </c>
    </row>
    <row r="455" spans="1:2" ht="12.5" x14ac:dyDescent="0.25">
      <c r="A455" t="str">
        <f ca="1">IFERROR(__xludf.DUMMYFUNCTION("""COMPUTED_VALUE"""),"Entre Douro E Vouga")</f>
        <v>Entre Douro E Vouga</v>
      </c>
      <c r="B455" t="str">
        <f ca="1">IFERROR(__xludf.DUMMYFUNCTION("""COMPUTED_VALUE"""),"PT116")</f>
        <v>PT116</v>
      </c>
    </row>
    <row r="456" spans="1:2" ht="12.5" x14ac:dyDescent="0.25">
      <c r="A456" t="str">
        <f ca="1">IFERROR(__xludf.DUMMYFUNCTION("""COMPUTED_VALUE"""),"Enzkreis")</f>
        <v>Enzkreis</v>
      </c>
      <c r="B456" t="str">
        <f ca="1">IFERROR(__xludf.DUMMYFUNCTION("""COMPUTED_VALUE"""),"DE12B")</f>
        <v>DE12B</v>
      </c>
    </row>
    <row r="457" spans="1:2" ht="12.5" x14ac:dyDescent="0.25">
      <c r="A457" t="str">
        <f ca="1">IFERROR(__xludf.DUMMYFUNCTION("""COMPUTED_VALUE"""),"Erding")</f>
        <v>Erding</v>
      </c>
      <c r="B457" t="str">
        <f ca="1">IFERROR(__xludf.DUMMYFUNCTION("""COMPUTED_VALUE"""),"DE21A")</f>
        <v>DE21A</v>
      </c>
    </row>
    <row r="458" spans="1:2" ht="12.5" x14ac:dyDescent="0.25">
      <c r="A458" t="str">
        <f ca="1">IFERROR(__xludf.DUMMYFUNCTION("""COMPUTED_VALUE"""),"Erfurt, Kreisfreie Stadt")</f>
        <v>Erfurt, Kreisfreie Stadt</v>
      </c>
      <c r="B458" t="str">
        <f ca="1">IFERROR(__xludf.DUMMYFUNCTION("""COMPUTED_VALUE"""),"DEG01")</f>
        <v>DEG01</v>
      </c>
    </row>
    <row r="459" spans="1:2" ht="12.5" x14ac:dyDescent="0.25">
      <c r="A459" t="str">
        <f ca="1">IFERROR(__xludf.DUMMYFUNCTION("""COMPUTED_VALUE"""),"Erlangen-Höchstadt")</f>
        <v>Erlangen-Höchstadt</v>
      </c>
      <c r="B459" t="str">
        <f ca="1">IFERROR(__xludf.DUMMYFUNCTION("""COMPUTED_VALUE"""),"DE257")</f>
        <v>DE257</v>
      </c>
    </row>
    <row r="460" spans="1:2" ht="12.5" x14ac:dyDescent="0.25">
      <c r="A460" t="str">
        <f ca="1">IFERROR(__xludf.DUMMYFUNCTION("""COMPUTED_VALUE"""),"Erlangen, Kreisfreie Stadt")</f>
        <v>Erlangen, Kreisfreie Stadt</v>
      </c>
      <c r="B460" t="str">
        <f ca="1">IFERROR(__xludf.DUMMYFUNCTION("""COMPUTED_VALUE"""),"DE252")</f>
        <v>DE252</v>
      </c>
    </row>
    <row r="461" spans="1:2" ht="12.5" x14ac:dyDescent="0.25">
      <c r="A461" t="str">
        <f ca="1">IFERROR(__xludf.DUMMYFUNCTION("""COMPUTED_VALUE"""),"Espace Mittelland")</f>
        <v>Espace Mittelland</v>
      </c>
      <c r="B461" t="str">
        <f ca="1">IFERROR(__xludf.DUMMYFUNCTION("""COMPUTED_VALUE"""),"CH02")</f>
        <v>CH02</v>
      </c>
    </row>
    <row r="462" spans="1:2" ht="12.5" x14ac:dyDescent="0.25">
      <c r="A462" t="str">
        <f ca="1">IFERROR(__xludf.DUMMYFUNCTION("""COMPUTED_VALUE"""),"España")</f>
        <v>España</v>
      </c>
      <c r="B462" t="str">
        <f ca="1">IFERROR(__xludf.DUMMYFUNCTION("""COMPUTED_VALUE"""),"ES")</f>
        <v>ES</v>
      </c>
    </row>
    <row r="463" spans="1:2" ht="12.5" x14ac:dyDescent="0.25">
      <c r="A463" t="str">
        <f ca="1">IFERROR(__xludf.DUMMYFUNCTION("""COMPUTED_VALUE"""),"Essen, Kreisfreie Stadt")</f>
        <v>Essen, Kreisfreie Stadt</v>
      </c>
      <c r="B463" t="str">
        <f ca="1">IFERROR(__xludf.DUMMYFUNCTION("""COMPUTED_VALUE"""),"DEA13")</f>
        <v>DEA13</v>
      </c>
    </row>
    <row r="464" spans="1:2" ht="12.5" x14ac:dyDescent="0.25">
      <c r="A464" t="str">
        <f ca="1">IFERROR(__xludf.DUMMYFUNCTION("""COMPUTED_VALUE"""),"Essex")</f>
        <v>Essex</v>
      </c>
      <c r="B464" t="str">
        <f ca="1">IFERROR(__xludf.DUMMYFUNCTION("""COMPUTED_VALUE"""),"UKH3")</f>
        <v>UKH3</v>
      </c>
    </row>
    <row r="465" spans="1:2" ht="12.5" x14ac:dyDescent="0.25">
      <c r="A465" t="str">
        <f ca="1">IFERROR(__xludf.DUMMYFUNCTION("""COMPUTED_VALUE"""),"Essex Cc")</f>
        <v>Essex Cc</v>
      </c>
      <c r="B465" t="str">
        <f ca="1">IFERROR(__xludf.DUMMYFUNCTION("""COMPUTED_VALUE"""),"UKH33")</f>
        <v>UKH33</v>
      </c>
    </row>
    <row r="466" spans="1:2" ht="12.5" x14ac:dyDescent="0.25">
      <c r="A466" t="str">
        <f ca="1">IFERROR(__xludf.DUMMYFUNCTION("""COMPUTED_VALUE"""),"Esslingen")</f>
        <v>Esslingen</v>
      </c>
      <c r="B466" t="str">
        <f ca="1">IFERROR(__xludf.DUMMYFUNCTION("""COMPUTED_VALUE"""),"DE113")</f>
        <v>DE113</v>
      </c>
    </row>
    <row r="467" spans="1:2" ht="12.5" x14ac:dyDescent="0.25">
      <c r="A467" t="str">
        <f ca="1">IFERROR(__xludf.DUMMYFUNCTION("""COMPUTED_VALUE"""),"Essonne")</f>
        <v>Essonne</v>
      </c>
      <c r="B467" t="str">
        <f ca="1">IFERROR(__xludf.DUMMYFUNCTION("""COMPUTED_VALUE"""),"FR104")</f>
        <v>FR104</v>
      </c>
    </row>
    <row r="468" spans="1:2" ht="12.5" x14ac:dyDescent="0.25">
      <c r="A468" t="str">
        <f ca="1">IFERROR(__xludf.DUMMYFUNCTION("""COMPUTED_VALUE"""),"Est")</f>
        <v>Est</v>
      </c>
      <c r="B468" t="str">
        <f ca="1">IFERROR(__xludf.DUMMYFUNCTION("""COMPUTED_VALUE"""),"FR4")</f>
        <v>FR4</v>
      </c>
    </row>
    <row r="469" spans="1:2" ht="12.5" x14ac:dyDescent="0.25">
      <c r="A469" t="str">
        <f ca="1">IFERROR(__xludf.DUMMYFUNCTION("""COMPUTED_VALUE"""),"Este")</f>
        <v>Este</v>
      </c>
      <c r="B469" t="str">
        <f ca="1">IFERROR(__xludf.DUMMYFUNCTION("""COMPUTED_VALUE"""),"ES5")</f>
        <v>ES5</v>
      </c>
    </row>
    <row r="470" spans="1:2" ht="12.5" x14ac:dyDescent="0.25">
      <c r="A470" t="str">
        <f ca="1">IFERROR(__xludf.DUMMYFUNCTION("""COMPUTED_VALUE"""),"Eszak-Alfold")</f>
        <v>Eszak-Alfold</v>
      </c>
      <c r="B470" t="str">
        <f ca="1">IFERROR(__xludf.DUMMYFUNCTION("""COMPUTED_VALUE"""),"HU32")</f>
        <v>HU32</v>
      </c>
    </row>
    <row r="471" spans="1:2" ht="12.5" x14ac:dyDescent="0.25">
      <c r="A471" t="str">
        <f ca="1">IFERROR(__xludf.DUMMYFUNCTION("""COMPUTED_VALUE"""),"Eszak-Magyarorszag")</f>
        <v>Eszak-Magyarorszag</v>
      </c>
      <c r="B471" t="str">
        <f ca="1">IFERROR(__xludf.DUMMYFUNCTION("""COMPUTED_VALUE"""),"HU31")</f>
        <v>HU31</v>
      </c>
    </row>
    <row r="472" spans="1:2" ht="12.5" x14ac:dyDescent="0.25">
      <c r="A472" t="str">
        <f ca="1">IFERROR(__xludf.DUMMYFUNCTION("""COMPUTED_VALUE"""),"Etelä-Karjala")</f>
        <v>Etelä-Karjala</v>
      </c>
      <c r="B472" t="str">
        <f ca="1">IFERROR(__xludf.DUMMYFUNCTION("""COMPUTED_VALUE"""),"FI187")</f>
        <v>FI187</v>
      </c>
    </row>
    <row r="473" spans="1:2" ht="12.5" x14ac:dyDescent="0.25">
      <c r="A473" t="str">
        <f ca="1">IFERROR(__xludf.DUMMYFUNCTION("""COMPUTED_VALUE"""),"Etelä-Pohjanmaa")</f>
        <v>Etelä-Pohjanmaa</v>
      </c>
      <c r="B473" t="str">
        <f ca="1">IFERROR(__xludf.DUMMYFUNCTION("""COMPUTED_VALUE"""),"FI194")</f>
        <v>FI194</v>
      </c>
    </row>
    <row r="474" spans="1:2" ht="12.5" x14ac:dyDescent="0.25">
      <c r="A474" t="str">
        <f ca="1">IFERROR(__xludf.DUMMYFUNCTION("""COMPUTED_VALUE"""),"Etelä-Savo")</f>
        <v>Etelä-Savo</v>
      </c>
      <c r="B474" t="str">
        <f ca="1">IFERROR(__xludf.DUMMYFUNCTION("""COMPUTED_VALUE"""),"FI131")</f>
        <v>FI131</v>
      </c>
    </row>
    <row r="475" spans="1:2" ht="12.5" x14ac:dyDescent="0.25">
      <c r="A475" t="str">
        <f ca="1">IFERROR(__xludf.DUMMYFUNCTION("""COMPUTED_VALUE"""),"Etelä-Suomi")</f>
        <v>Etelä-Suomi</v>
      </c>
      <c r="B475" t="str">
        <f ca="1">IFERROR(__xludf.DUMMYFUNCTION("""COMPUTED_VALUE"""),"FI18")</f>
        <v>FI18</v>
      </c>
    </row>
    <row r="476" spans="1:2" ht="12.5" x14ac:dyDescent="0.25">
      <c r="A476" t="str">
        <f ca="1">IFERROR(__xludf.DUMMYFUNCTION("""COMPUTED_VALUE"""),"Eure")</f>
        <v>Eure</v>
      </c>
      <c r="B476" t="str">
        <f ca="1">IFERROR(__xludf.DUMMYFUNCTION("""COMPUTED_VALUE"""),"FR231")</f>
        <v>FR231</v>
      </c>
    </row>
    <row r="477" spans="1:2" ht="12.5" x14ac:dyDescent="0.25">
      <c r="A477" t="str">
        <f ca="1">IFERROR(__xludf.DUMMYFUNCTION("""COMPUTED_VALUE"""),"Eure-Et-Loir")</f>
        <v>Eure-Et-Loir</v>
      </c>
      <c r="B477" t="str">
        <f ca="1">IFERROR(__xludf.DUMMYFUNCTION("""COMPUTED_VALUE"""),"FR242")</f>
        <v>FR242</v>
      </c>
    </row>
    <row r="478" spans="1:2" ht="12.5" x14ac:dyDescent="0.25">
      <c r="A478" t="str">
        <f ca="1">IFERROR(__xludf.DUMMYFUNCTION("""COMPUTED_VALUE"""),"Euskirchen")</f>
        <v>Euskirchen</v>
      </c>
      <c r="B478" t="str">
        <f ca="1">IFERROR(__xludf.DUMMYFUNCTION("""COMPUTED_VALUE"""),"DEA28")</f>
        <v>DEA28</v>
      </c>
    </row>
    <row r="479" spans="1:2" ht="12.5" x14ac:dyDescent="0.25">
      <c r="A479" t="str">
        <f ca="1">IFERROR(__xludf.DUMMYFUNCTION("""COMPUTED_VALUE"""),"Evros")</f>
        <v>Evros</v>
      </c>
      <c r="B479" t="str">
        <f ca="1">IFERROR(__xludf.DUMMYFUNCTION("""COMPUTED_VALUE"""),"GR111")</f>
        <v>GR111</v>
      </c>
    </row>
    <row r="480" spans="1:2" ht="12.5" x14ac:dyDescent="0.25">
      <c r="A480" t="str">
        <f ca="1">IFERROR(__xludf.DUMMYFUNCTION("""COMPUTED_VALUE"""),"Evrytania")</f>
        <v>Evrytania</v>
      </c>
      <c r="B480" t="str">
        <f ca="1">IFERROR(__xludf.DUMMYFUNCTION("""COMPUTED_VALUE"""),"GR243")</f>
        <v>GR243</v>
      </c>
    </row>
    <row r="481" spans="1:2" ht="12.5" x14ac:dyDescent="0.25">
      <c r="A481" t="str">
        <f ca="1">IFERROR(__xludf.DUMMYFUNCTION("""COMPUTED_VALUE"""),"Evvoia")</f>
        <v>Evvoia</v>
      </c>
      <c r="B481" t="str">
        <f ca="1">IFERROR(__xludf.DUMMYFUNCTION("""COMPUTED_VALUE"""),"GR242")</f>
        <v>GR242</v>
      </c>
    </row>
    <row r="482" spans="1:2" ht="12.5" x14ac:dyDescent="0.25">
      <c r="A482" t="str">
        <f ca="1">IFERROR(__xludf.DUMMYFUNCTION("""COMPUTED_VALUE"""),"Extra-Regio (ATZ)")</f>
        <v>Extra-Regio (ATZ)</v>
      </c>
      <c r="B482" t="str">
        <f ca="1">IFERROR(__xludf.DUMMYFUNCTION("""COMPUTED_VALUE"""),"ATZ")</f>
        <v>ATZ</v>
      </c>
    </row>
    <row r="483" spans="1:2" ht="12.5" x14ac:dyDescent="0.25">
      <c r="A483" t="str">
        <f ca="1">IFERROR(__xludf.DUMMYFUNCTION("""COMPUTED_VALUE"""),"Extra-Regio (ATZZ)")</f>
        <v>Extra-Regio (ATZZ)</v>
      </c>
      <c r="B483" t="str">
        <f ca="1">IFERROR(__xludf.DUMMYFUNCTION("""COMPUTED_VALUE"""),"ATZZ")</f>
        <v>ATZZ</v>
      </c>
    </row>
    <row r="484" spans="1:2" ht="12.5" x14ac:dyDescent="0.25">
      <c r="A484" t="str">
        <f ca="1">IFERROR(__xludf.DUMMYFUNCTION("""COMPUTED_VALUE"""),"Extra-Regio (ATZZZ)")</f>
        <v>Extra-Regio (ATZZZ)</v>
      </c>
      <c r="B484" t="str">
        <f ca="1">IFERROR(__xludf.DUMMYFUNCTION("""COMPUTED_VALUE"""),"ATZZZ")</f>
        <v>ATZZZ</v>
      </c>
    </row>
    <row r="485" spans="1:2" ht="12.5" x14ac:dyDescent="0.25">
      <c r="A485" t="str">
        <f ca="1">IFERROR(__xludf.DUMMYFUNCTION("""COMPUTED_VALUE"""),"Extra-Regio (BEZ)")</f>
        <v>Extra-Regio (BEZ)</v>
      </c>
      <c r="B485" t="str">
        <f ca="1">IFERROR(__xludf.DUMMYFUNCTION("""COMPUTED_VALUE"""),"BEZ")</f>
        <v>BEZ</v>
      </c>
    </row>
    <row r="486" spans="1:2" ht="12.5" x14ac:dyDescent="0.25">
      <c r="A486" t="str">
        <f ca="1">IFERROR(__xludf.DUMMYFUNCTION("""COMPUTED_VALUE"""),"Extra-Regio (BEZZ)")</f>
        <v>Extra-Regio (BEZZ)</v>
      </c>
      <c r="B486" t="str">
        <f ca="1">IFERROR(__xludf.DUMMYFUNCTION("""COMPUTED_VALUE"""),"BEZZ")</f>
        <v>BEZZ</v>
      </c>
    </row>
    <row r="487" spans="1:2" ht="12.5" x14ac:dyDescent="0.25">
      <c r="A487" t="str">
        <f ca="1">IFERROR(__xludf.DUMMYFUNCTION("""COMPUTED_VALUE"""),"Extra-Regio (BEZZZ)")</f>
        <v>Extra-Regio (BEZZZ)</v>
      </c>
      <c r="B487" t="str">
        <f ca="1">IFERROR(__xludf.DUMMYFUNCTION("""COMPUTED_VALUE"""),"BEZZZ")</f>
        <v>BEZZZ</v>
      </c>
    </row>
    <row r="488" spans="1:2" ht="12.5" x14ac:dyDescent="0.25">
      <c r="A488" t="str">
        <f ca="1">IFERROR(__xludf.DUMMYFUNCTION("""COMPUTED_VALUE"""),"Extra-Regio (BGZ)")</f>
        <v>Extra-Regio (BGZ)</v>
      </c>
      <c r="B488" t="str">
        <f ca="1">IFERROR(__xludf.DUMMYFUNCTION("""COMPUTED_VALUE"""),"BGZ")</f>
        <v>BGZ</v>
      </c>
    </row>
    <row r="489" spans="1:2" ht="12.5" x14ac:dyDescent="0.25">
      <c r="A489" t="str">
        <f ca="1">IFERROR(__xludf.DUMMYFUNCTION("""COMPUTED_VALUE"""),"Extra-Regio (BGZZ)")</f>
        <v>Extra-Regio (BGZZ)</v>
      </c>
      <c r="B489" t="str">
        <f ca="1">IFERROR(__xludf.DUMMYFUNCTION("""COMPUTED_VALUE"""),"BGZZ")</f>
        <v>BGZZ</v>
      </c>
    </row>
    <row r="490" spans="1:2" ht="12.5" x14ac:dyDescent="0.25">
      <c r="A490" t="str">
        <f ca="1">IFERROR(__xludf.DUMMYFUNCTION("""COMPUTED_VALUE"""),"Extra-Regio (BGZZZ)")</f>
        <v>Extra-Regio (BGZZZ)</v>
      </c>
      <c r="B490" t="str">
        <f ca="1">IFERROR(__xludf.DUMMYFUNCTION("""COMPUTED_VALUE"""),"BGZZZ")</f>
        <v>BGZZZ</v>
      </c>
    </row>
    <row r="491" spans="1:2" ht="12.5" x14ac:dyDescent="0.25">
      <c r="A491" t="str">
        <f ca="1">IFERROR(__xludf.DUMMYFUNCTION("""COMPUTED_VALUE"""),"Extra-Regio (CYZ)")</f>
        <v>Extra-Regio (CYZ)</v>
      </c>
      <c r="B491" t="str">
        <f ca="1">IFERROR(__xludf.DUMMYFUNCTION("""COMPUTED_VALUE"""),"CYZ")</f>
        <v>CYZ</v>
      </c>
    </row>
    <row r="492" spans="1:2" ht="12.5" x14ac:dyDescent="0.25">
      <c r="A492" t="str">
        <f ca="1">IFERROR(__xludf.DUMMYFUNCTION("""COMPUTED_VALUE"""),"Extra-Regio (CYZZ)")</f>
        <v>Extra-Regio (CYZZ)</v>
      </c>
      <c r="B492" t="str">
        <f ca="1">IFERROR(__xludf.DUMMYFUNCTION("""COMPUTED_VALUE"""),"CYZZ")</f>
        <v>CYZZ</v>
      </c>
    </row>
    <row r="493" spans="1:2" ht="12.5" x14ac:dyDescent="0.25">
      <c r="A493" t="str">
        <f ca="1">IFERROR(__xludf.DUMMYFUNCTION("""COMPUTED_VALUE"""),"Extra-Regio (CYZZZ)")</f>
        <v>Extra-Regio (CYZZZ)</v>
      </c>
      <c r="B493" t="str">
        <f ca="1">IFERROR(__xludf.DUMMYFUNCTION("""COMPUTED_VALUE"""),"CYZZZ")</f>
        <v>CYZZZ</v>
      </c>
    </row>
    <row r="494" spans="1:2" ht="12.5" x14ac:dyDescent="0.25">
      <c r="A494" t="str">
        <f ca="1">IFERROR(__xludf.DUMMYFUNCTION("""COMPUTED_VALUE"""),"Extra-Regio (CZZ)")</f>
        <v>Extra-Regio (CZZ)</v>
      </c>
      <c r="B494" t="str">
        <f ca="1">IFERROR(__xludf.DUMMYFUNCTION("""COMPUTED_VALUE"""),"CZZ")</f>
        <v>CZZ</v>
      </c>
    </row>
    <row r="495" spans="1:2" ht="12.5" x14ac:dyDescent="0.25">
      <c r="A495" t="str">
        <f ca="1">IFERROR(__xludf.DUMMYFUNCTION("""COMPUTED_VALUE"""),"Extra-Regio (CZZZ)")</f>
        <v>Extra-Regio (CZZZ)</v>
      </c>
      <c r="B495" t="str">
        <f ca="1">IFERROR(__xludf.DUMMYFUNCTION("""COMPUTED_VALUE"""),"CZZZ")</f>
        <v>CZZZ</v>
      </c>
    </row>
    <row r="496" spans="1:2" ht="12.5" x14ac:dyDescent="0.25">
      <c r="A496" t="str">
        <f ca="1">IFERROR(__xludf.DUMMYFUNCTION("""COMPUTED_VALUE"""),"Extra-Regio (CZZZZ)")</f>
        <v>Extra-Regio (CZZZZ)</v>
      </c>
      <c r="B496" t="str">
        <f ca="1">IFERROR(__xludf.DUMMYFUNCTION("""COMPUTED_VALUE"""),"CZZZZ")</f>
        <v>CZZZZ</v>
      </c>
    </row>
    <row r="497" spans="1:2" ht="12.5" x14ac:dyDescent="0.25">
      <c r="A497" t="str">
        <f ca="1">IFERROR(__xludf.DUMMYFUNCTION("""COMPUTED_VALUE"""),"Extra-Regio (DEZ)")</f>
        <v>Extra-Regio (DEZ)</v>
      </c>
      <c r="B497" t="str">
        <f ca="1">IFERROR(__xludf.DUMMYFUNCTION("""COMPUTED_VALUE"""),"DEZ")</f>
        <v>DEZ</v>
      </c>
    </row>
    <row r="498" spans="1:2" ht="12.5" x14ac:dyDescent="0.25">
      <c r="A498" t="str">
        <f ca="1">IFERROR(__xludf.DUMMYFUNCTION("""COMPUTED_VALUE"""),"Extra-Regio (DEZZ)")</f>
        <v>Extra-Regio (DEZZ)</v>
      </c>
      <c r="B498" t="str">
        <f ca="1">IFERROR(__xludf.DUMMYFUNCTION("""COMPUTED_VALUE"""),"DEZZ")</f>
        <v>DEZZ</v>
      </c>
    </row>
    <row r="499" spans="1:2" ht="12.5" x14ac:dyDescent="0.25">
      <c r="A499" t="str">
        <f ca="1">IFERROR(__xludf.DUMMYFUNCTION("""COMPUTED_VALUE"""),"Extra-Regio (DEZZZ)")</f>
        <v>Extra-Regio (DEZZZ)</v>
      </c>
      <c r="B499" t="str">
        <f ca="1">IFERROR(__xludf.DUMMYFUNCTION("""COMPUTED_VALUE"""),"DEZZZ")</f>
        <v>DEZZZ</v>
      </c>
    </row>
    <row r="500" spans="1:2" ht="12.5" x14ac:dyDescent="0.25">
      <c r="A500" t="str">
        <f ca="1">IFERROR(__xludf.DUMMYFUNCTION("""COMPUTED_VALUE"""),"Extra-Regio (DKZ)")</f>
        <v>Extra-Regio (DKZ)</v>
      </c>
      <c r="B500" t="str">
        <f ca="1">IFERROR(__xludf.DUMMYFUNCTION("""COMPUTED_VALUE"""),"DKZ")</f>
        <v>DKZ</v>
      </c>
    </row>
    <row r="501" spans="1:2" ht="12.5" x14ac:dyDescent="0.25">
      <c r="A501" t="str">
        <f ca="1">IFERROR(__xludf.DUMMYFUNCTION("""COMPUTED_VALUE"""),"Extra-Regio (DKZZ)")</f>
        <v>Extra-Regio (DKZZ)</v>
      </c>
      <c r="B501" t="str">
        <f ca="1">IFERROR(__xludf.DUMMYFUNCTION("""COMPUTED_VALUE"""),"DKZZ")</f>
        <v>DKZZ</v>
      </c>
    </row>
    <row r="502" spans="1:2" ht="12.5" x14ac:dyDescent="0.25">
      <c r="A502" t="str">
        <f ca="1">IFERROR(__xludf.DUMMYFUNCTION("""COMPUTED_VALUE"""),"Extra-Regio (DKZZZ)")</f>
        <v>Extra-Regio (DKZZZ)</v>
      </c>
      <c r="B502" t="str">
        <f ca="1">IFERROR(__xludf.DUMMYFUNCTION("""COMPUTED_VALUE"""),"DKZZZ")</f>
        <v>DKZZZ</v>
      </c>
    </row>
    <row r="503" spans="1:2" ht="12.5" x14ac:dyDescent="0.25">
      <c r="A503" t="str">
        <f ca="1">IFERROR(__xludf.DUMMYFUNCTION("""COMPUTED_VALUE"""),"Extra-Regio (EEZ)")</f>
        <v>Extra-Regio (EEZ)</v>
      </c>
      <c r="B503" t="str">
        <f ca="1">IFERROR(__xludf.DUMMYFUNCTION("""COMPUTED_VALUE"""),"EEZ")</f>
        <v>EEZ</v>
      </c>
    </row>
    <row r="504" spans="1:2" ht="12.5" x14ac:dyDescent="0.25">
      <c r="A504" t="str">
        <f ca="1">IFERROR(__xludf.DUMMYFUNCTION("""COMPUTED_VALUE"""),"Extra-Regio (EEZZ)")</f>
        <v>Extra-Regio (EEZZ)</v>
      </c>
      <c r="B504" t="str">
        <f ca="1">IFERROR(__xludf.DUMMYFUNCTION("""COMPUTED_VALUE"""),"EEZZ")</f>
        <v>EEZZ</v>
      </c>
    </row>
    <row r="505" spans="1:2" ht="12.5" x14ac:dyDescent="0.25">
      <c r="A505" t="str">
        <f ca="1">IFERROR(__xludf.DUMMYFUNCTION("""COMPUTED_VALUE"""),"Extra-Regio (EEZZZ)")</f>
        <v>Extra-Regio (EEZZZ)</v>
      </c>
      <c r="B505" t="str">
        <f ca="1">IFERROR(__xludf.DUMMYFUNCTION("""COMPUTED_VALUE"""),"EEZZZ")</f>
        <v>EEZZZ</v>
      </c>
    </row>
    <row r="506" spans="1:2" ht="12.5" x14ac:dyDescent="0.25">
      <c r="A506" t="str">
        <f ca="1">IFERROR(__xludf.DUMMYFUNCTION("""COMPUTED_VALUE"""),"Extra-Regio (ESZ)")</f>
        <v>Extra-Regio (ESZ)</v>
      </c>
      <c r="B506" t="str">
        <f ca="1">IFERROR(__xludf.DUMMYFUNCTION("""COMPUTED_VALUE"""),"ESZ")</f>
        <v>ESZ</v>
      </c>
    </row>
    <row r="507" spans="1:2" ht="12.5" x14ac:dyDescent="0.25">
      <c r="A507" t="str">
        <f ca="1">IFERROR(__xludf.DUMMYFUNCTION("""COMPUTED_VALUE"""),"Extra-Regio (ESZZ)")</f>
        <v>Extra-Regio (ESZZ)</v>
      </c>
      <c r="B507" t="str">
        <f ca="1">IFERROR(__xludf.DUMMYFUNCTION("""COMPUTED_VALUE"""),"ESZZ")</f>
        <v>ESZZ</v>
      </c>
    </row>
    <row r="508" spans="1:2" ht="12.5" x14ac:dyDescent="0.25">
      <c r="A508" t="str">
        <f ca="1">IFERROR(__xludf.DUMMYFUNCTION("""COMPUTED_VALUE"""),"Extra-Regio (ESZZZ)")</f>
        <v>Extra-Regio (ESZZZ)</v>
      </c>
      <c r="B508" t="str">
        <f ca="1">IFERROR(__xludf.DUMMYFUNCTION("""COMPUTED_VALUE"""),"ESZZZ")</f>
        <v>ESZZZ</v>
      </c>
    </row>
    <row r="509" spans="1:2" ht="12.5" x14ac:dyDescent="0.25">
      <c r="A509" t="str">
        <f ca="1">IFERROR(__xludf.DUMMYFUNCTION("""COMPUTED_VALUE"""),"Extra-Regio (FIZ)")</f>
        <v>Extra-Regio (FIZ)</v>
      </c>
      <c r="B509" t="str">
        <f ca="1">IFERROR(__xludf.DUMMYFUNCTION("""COMPUTED_VALUE"""),"FIZ")</f>
        <v>FIZ</v>
      </c>
    </row>
    <row r="510" spans="1:2" ht="12.5" x14ac:dyDescent="0.25">
      <c r="A510" t="str">
        <f ca="1">IFERROR(__xludf.DUMMYFUNCTION("""COMPUTED_VALUE"""),"Extra-Regio (FIZZ)")</f>
        <v>Extra-Regio (FIZZ)</v>
      </c>
      <c r="B510" t="str">
        <f ca="1">IFERROR(__xludf.DUMMYFUNCTION("""COMPUTED_VALUE"""),"FIZZ")</f>
        <v>FIZZ</v>
      </c>
    </row>
    <row r="511" spans="1:2" ht="12.5" x14ac:dyDescent="0.25">
      <c r="A511" t="str">
        <f ca="1">IFERROR(__xludf.DUMMYFUNCTION("""COMPUTED_VALUE"""),"Extra-Regio (FIZZZ)")</f>
        <v>Extra-Regio (FIZZZ)</v>
      </c>
      <c r="B511" t="str">
        <f ca="1">IFERROR(__xludf.DUMMYFUNCTION("""COMPUTED_VALUE"""),"FIZZZ")</f>
        <v>FIZZZ</v>
      </c>
    </row>
    <row r="512" spans="1:2" ht="12.5" x14ac:dyDescent="0.25">
      <c r="A512" t="str">
        <f ca="1">IFERROR(__xludf.DUMMYFUNCTION("""COMPUTED_VALUE"""),"Extra-Regio (FRZ)")</f>
        <v>Extra-Regio (FRZ)</v>
      </c>
      <c r="B512" t="str">
        <f ca="1">IFERROR(__xludf.DUMMYFUNCTION("""COMPUTED_VALUE"""),"FRZ")</f>
        <v>FRZ</v>
      </c>
    </row>
    <row r="513" spans="1:2" ht="12.5" x14ac:dyDescent="0.25">
      <c r="A513" t="str">
        <f ca="1">IFERROR(__xludf.DUMMYFUNCTION("""COMPUTED_VALUE"""),"Extra-Regio (FRZZ)")</f>
        <v>Extra-Regio (FRZZ)</v>
      </c>
      <c r="B513" t="str">
        <f ca="1">IFERROR(__xludf.DUMMYFUNCTION("""COMPUTED_VALUE"""),"FRZZ")</f>
        <v>FRZZ</v>
      </c>
    </row>
    <row r="514" spans="1:2" ht="12.5" x14ac:dyDescent="0.25">
      <c r="A514" t="str">
        <f ca="1">IFERROR(__xludf.DUMMYFUNCTION("""COMPUTED_VALUE"""),"Extra-Regio (FRZZZ)")</f>
        <v>Extra-Regio (FRZZZ)</v>
      </c>
      <c r="B514" t="str">
        <f ca="1">IFERROR(__xludf.DUMMYFUNCTION("""COMPUTED_VALUE"""),"FRZZZ")</f>
        <v>FRZZZ</v>
      </c>
    </row>
    <row r="515" spans="1:2" ht="12.5" x14ac:dyDescent="0.25">
      <c r="A515" t="str">
        <f ca="1">IFERROR(__xludf.DUMMYFUNCTION("""COMPUTED_VALUE"""),"Extra-Regio (GRZ)")</f>
        <v>Extra-Regio (GRZ)</v>
      </c>
      <c r="B515" t="str">
        <f ca="1">IFERROR(__xludf.DUMMYFUNCTION("""COMPUTED_VALUE"""),"GRZ")</f>
        <v>GRZ</v>
      </c>
    </row>
    <row r="516" spans="1:2" ht="12.5" x14ac:dyDescent="0.25">
      <c r="A516" t="str">
        <f ca="1">IFERROR(__xludf.DUMMYFUNCTION("""COMPUTED_VALUE"""),"Extra-Regio (GRZZ)")</f>
        <v>Extra-Regio (GRZZ)</v>
      </c>
      <c r="B516" t="str">
        <f ca="1">IFERROR(__xludf.DUMMYFUNCTION("""COMPUTED_VALUE"""),"GRZZ")</f>
        <v>GRZZ</v>
      </c>
    </row>
    <row r="517" spans="1:2" ht="12.5" x14ac:dyDescent="0.25">
      <c r="A517" t="str">
        <f ca="1">IFERROR(__xludf.DUMMYFUNCTION("""COMPUTED_VALUE"""),"Extra-Regio (GRZZZ)")</f>
        <v>Extra-Regio (GRZZZ)</v>
      </c>
      <c r="B517" t="str">
        <f ca="1">IFERROR(__xludf.DUMMYFUNCTION("""COMPUTED_VALUE"""),"GRZZZ")</f>
        <v>GRZZZ</v>
      </c>
    </row>
    <row r="518" spans="1:2" ht="12.5" x14ac:dyDescent="0.25">
      <c r="A518" t="str">
        <f ca="1">IFERROR(__xludf.DUMMYFUNCTION("""COMPUTED_VALUE"""),"Extra-Regio (HUZ)")</f>
        <v>Extra-Regio (HUZ)</v>
      </c>
      <c r="B518" t="str">
        <f ca="1">IFERROR(__xludf.DUMMYFUNCTION("""COMPUTED_VALUE"""),"HUZ")</f>
        <v>HUZ</v>
      </c>
    </row>
    <row r="519" spans="1:2" ht="12.5" x14ac:dyDescent="0.25">
      <c r="A519" t="str">
        <f ca="1">IFERROR(__xludf.DUMMYFUNCTION("""COMPUTED_VALUE"""),"Extra-Regio (HUZZ)")</f>
        <v>Extra-Regio (HUZZ)</v>
      </c>
      <c r="B519" t="str">
        <f ca="1">IFERROR(__xludf.DUMMYFUNCTION("""COMPUTED_VALUE"""),"HUZZ")</f>
        <v>HUZZ</v>
      </c>
    </row>
    <row r="520" spans="1:2" ht="12.5" x14ac:dyDescent="0.25">
      <c r="A520" t="str">
        <f ca="1">IFERROR(__xludf.DUMMYFUNCTION("""COMPUTED_VALUE"""),"Extra-Regio (HUZZZ)")</f>
        <v>Extra-Regio (HUZZZ)</v>
      </c>
      <c r="B520" t="str">
        <f ca="1">IFERROR(__xludf.DUMMYFUNCTION("""COMPUTED_VALUE"""),"HUZZZ")</f>
        <v>HUZZZ</v>
      </c>
    </row>
    <row r="521" spans="1:2" ht="12.5" x14ac:dyDescent="0.25">
      <c r="A521" t="str">
        <f ca="1">IFERROR(__xludf.DUMMYFUNCTION("""COMPUTED_VALUE"""),"Extra-Regio (IEZ)")</f>
        <v>Extra-Regio (IEZ)</v>
      </c>
      <c r="B521" t="str">
        <f ca="1">IFERROR(__xludf.DUMMYFUNCTION("""COMPUTED_VALUE"""),"IEZ")</f>
        <v>IEZ</v>
      </c>
    </row>
    <row r="522" spans="1:2" ht="12.5" x14ac:dyDescent="0.25">
      <c r="A522" t="str">
        <f ca="1">IFERROR(__xludf.DUMMYFUNCTION("""COMPUTED_VALUE"""),"Extra-Regio (IEZZ)")</f>
        <v>Extra-Regio (IEZZ)</v>
      </c>
      <c r="B522" t="str">
        <f ca="1">IFERROR(__xludf.DUMMYFUNCTION("""COMPUTED_VALUE"""),"IEZZ")</f>
        <v>IEZZ</v>
      </c>
    </row>
    <row r="523" spans="1:2" ht="12.5" x14ac:dyDescent="0.25">
      <c r="A523" t="str">
        <f ca="1">IFERROR(__xludf.DUMMYFUNCTION("""COMPUTED_VALUE"""),"Extra-Regio (IEZZZ)")</f>
        <v>Extra-Regio (IEZZZ)</v>
      </c>
      <c r="B523" t="str">
        <f ca="1">IFERROR(__xludf.DUMMYFUNCTION("""COMPUTED_VALUE"""),"IEZZZ")</f>
        <v>IEZZZ</v>
      </c>
    </row>
    <row r="524" spans="1:2" ht="12.5" x14ac:dyDescent="0.25">
      <c r="A524" t="str">
        <f ca="1">IFERROR(__xludf.DUMMYFUNCTION("""COMPUTED_VALUE"""),"Extra-Regio (ITZ)")</f>
        <v>Extra-Regio (ITZ)</v>
      </c>
      <c r="B524" t="str">
        <f ca="1">IFERROR(__xludf.DUMMYFUNCTION("""COMPUTED_VALUE"""),"ITZ")</f>
        <v>ITZ</v>
      </c>
    </row>
    <row r="525" spans="1:2" ht="12.5" x14ac:dyDescent="0.25">
      <c r="A525" t="str">
        <f ca="1">IFERROR(__xludf.DUMMYFUNCTION("""COMPUTED_VALUE"""),"Extra-Regio (ITZZ)")</f>
        <v>Extra-Regio (ITZZ)</v>
      </c>
      <c r="B525" t="str">
        <f ca="1">IFERROR(__xludf.DUMMYFUNCTION("""COMPUTED_VALUE"""),"ITZZ")</f>
        <v>ITZZ</v>
      </c>
    </row>
    <row r="526" spans="1:2" ht="12.5" x14ac:dyDescent="0.25">
      <c r="A526" t="str">
        <f ca="1">IFERROR(__xludf.DUMMYFUNCTION("""COMPUTED_VALUE"""),"Extra-Regio (ITZZZ)")</f>
        <v>Extra-Regio (ITZZZ)</v>
      </c>
      <c r="B526" t="str">
        <f ca="1">IFERROR(__xludf.DUMMYFUNCTION("""COMPUTED_VALUE"""),"ITZZZ")</f>
        <v>ITZZZ</v>
      </c>
    </row>
    <row r="527" spans="1:2" ht="12.5" x14ac:dyDescent="0.25">
      <c r="A527" t="str">
        <f ca="1">IFERROR(__xludf.DUMMYFUNCTION("""COMPUTED_VALUE"""),"Extra-Regio (LTZ)")</f>
        <v>Extra-Regio (LTZ)</v>
      </c>
      <c r="B527" t="str">
        <f ca="1">IFERROR(__xludf.DUMMYFUNCTION("""COMPUTED_VALUE"""),"LTZ")</f>
        <v>LTZ</v>
      </c>
    </row>
    <row r="528" spans="1:2" ht="12.5" x14ac:dyDescent="0.25">
      <c r="A528" t="str">
        <f ca="1">IFERROR(__xludf.DUMMYFUNCTION("""COMPUTED_VALUE"""),"Extra-Regio (LTZZ)")</f>
        <v>Extra-Regio (LTZZ)</v>
      </c>
      <c r="B528" t="str">
        <f ca="1">IFERROR(__xludf.DUMMYFUNCTION("""COMPUTED_VALUE"""),"LTZZ")</f>
        <v>LTZZ</v>
      </c>
    </row>
    <row r="529" spans="1:2" ht="12.5" x14ac:dyDescent="0.25">
      <c r="A529" t="str">
        <f ca="1">IFERROR(__xludf.DUMMYFUNCTION("""COMPUTED_VALUE"""),"Extra-Regio (LTZZZ)")</f>
        <v>Extra-Regio (LTZZZ)</v>
      </c>
      <c r="B529" t="str">
        <f ca="1">IFERROR(__xludf.DUMMYFUNCTION("""COMPUTED_VALUE"""),"LTZZZ")</f>
        <v>LTZZZ</v>
      </c>
    </row>
    <row r="530" spans="1:2" ht="12.5" x14ac:dyDescent="0.25">
      <c r="A530" t="str">
        <f ca="1">IFERROR(__xludf.DUMMYFUNCTION("""COMPUTED_VALUE"""),"Extra-Regio (LUZ)")</f>
        <v>Extra-Regio (LUZ)</v>
      </c>
      <c r="B530" t="str">
        <f ca="1">IFERROR(__xludf.DUMMYFUNCTION("""COMPUTED_VALUE"""),"LUZ")</f>
        <v>LUZ</v>
      </c>
    </row>
    <row r="531" spans="1:2" ht="12.5" x14ac:dyDescent="0.25">
      <c r="A531" t="str">
        <f ca="1">IFERROR(__xludf.DUMMYFUNCTION("""COMPUTED_VALUE"""),"Extra-Regio (LUZZ)")</f>
        <v>Extra-Regio (LUZZ)</v>
      </c>
      <c r="B531" t="str">
        <f ca="1">IFERROR(__xludf.DUMMYFUNCTION("""COMPUTED_VALUE"""),"LUZZ")</f>
        <v>LUZZ</v>
      </c>
    </row>
    <row r="532" spans="1:2" ht="12.5" x14ac:dyDescent="0.25">
      <c r="A532" t="str">
        <f ca="1">IFERROR(__xludf.DUMMYFUNCTION("""COMPUTED_VALUE"""),"Extra-Regio (LUZZZ)")</f>
        <v>Extra-Regio (LUZZZ)</v>
      </c>
      <c r="B532" t="str">
        <f ca="1">IFERROR(__xludf.DUMMYFUNCTION("""COMPUTED_VALUE"""),"LUZZZ")</f>
        <v>LUZZZ</v>
      </c>
    </row>
    <row r="533" spans="1:2" ht="12.5" x14ac:dyDescent="0.25">
      <c r="A533" t="str">
        <f ca="1">IFERROR(__xludf.DUMMYFUNCTION("""COMPUTED_VALUE"""),"Extra-Regio (LVZ)")</f>
        <v>Extra-Regio (LVZ)</v>
      </c>
      <c r="B533" t="str">
        <f ca="1">IFERROR(__xludf.DUMMYFUNCTION("""COMPUTED_VALUE"""),"LVZ")</f>
        <v>LVZ</v>
      </c>
    </row>
    <row r="534" spans="1:2" ht="12.5" x14ac:dyDescent="0.25">
      <c r="A534" t="str">
        <f ca="1">IFERROR(__xludf.DUMMYFUNCTION("""COMPUTED_VALUE"""),"Extra-Regio (LVZZ)")</f>
        <v>Extra-Regio (LVZZ)</v>
      </c>
      <c r="B534" t="str">
        <f ca="1">IFERROR(__xludf.DUMMYFUNCTION("""COMPUTED_VALUE"""),"LVZZ")</f>
        <v>LVZZ</v>
      </c>
    </row>
    <row r="535" spans="1:2" ht="12.5" x14ac:dyDescent="0.25">
      <c r="A535" t="str">
        <f ca="1">IFERROR(__xludf.DUMMYFUNCTION("""COMPUTED_VALUE"""),"Extra-Regio (LVZZZ)")</f>
        <v>Extra-Regio (LVZZZ)</v>
      </c>
      <c r="B535" t="str">
        <f ca="1">IFERROR(__xludf.DUMMYFUNCTION("""COMPUTED_VALUE"""),"LVZZZ")</f>
        <v>LVZZZ</v>
      </c>
    </row>
    <row r="536" spans="1:2" ht="12.5" x14ac:dyDescent="0.25">
      <c r="A536" t="str">
        <f ca="1">IFERROR(__xludf.DUMMYFUNCTION("""COMPUTED_VALUE"""),"Extra-Regio (MTZ)")</f>
        <v>Extra-Regio (MTZ)</v>
      </c>
      <c r="B536" t="str">
        <f ca="1">IFERROR(__xludf.DUMMYFUNCTION("""COMPUTED_VALUE"""),"MTZ")</f>
        <v>MTZ</v>
      </c>
    </row>
    <row r="537" spans="1:2" ht="12.5" x14ac:dyDescent="0.25">
      <c r="A537" t="str">
        <f ca="1">IFERROR(__xludf.DUMMYFUNCTION("""COMPUTED_VALUE"""),"Extra-Regio (MTZZ)")</f>
        <v>Extra-Regio (MTZZ)</v>
      </c>
      <c r="B537" t="str">
        <f ca="1">IFERROR(__xludf.DUMMYFUNCTION("""COMPUTED_VALUE"""),"MTZZ")</f>
        <v>MTZZ</v>
      </c>
    </row>
    <row r="538" spans="1:2" ht="12.5" x14ac:dyDescent="0.25">
      <c r="A538" t="str">
        <f ca="1">IFERROR(__xludf.DUMMYFUNCTION("""COMPUTED_VALUE"""),"Extra-Regio (MTZZZ)")</f>
        <v>Extra-Regio (MTZZZ)</v>
      </c>
      <c r="B538" t="str">
        <f ca="1">IFERROR(__xludf.DUMMYFUNCTION("""COMPUTED_VALUE"""),"MTZZZ")</f>
        <v>MTZZZ</v>
      </c>
    </row>
    <row r="539" spans="1:2" ht="12.5" x14ac:dyDescent="0.25">
      <c r="A539" t="str">
        <f ca="1">IFERROR(__xludf.DUMMYFUNCTION("""COMPUTED_VALUE"""),"Extra-Regio (NLZ)")</f>
        <v>Extra-Regio (NLZ)</v>
      </c>
      <c r="B539" t="str">
        <f ca="1">IFERROR(__xludf.DUMMYFUNCTION("""COMPUTED_VALUE"""),"NLZ")</f>
        <v>NLZ</v>
      </c>
    </row>
    <row r="540" spans="1:2" ht="12.5" x14ac:dyDescent="0.25">
      <c r="A540" t="str">
        <f ca="1">IFERROR(__xludf.DUMMYFUNCTION("""COMPUTED_VALUE"""),"Extra-Regio (NLZZ)")</f>
        <v>Extra-Regio (NLZZ)</v>
      </c>
      <c r="B540" t="str">
        <f ca="1">IFERROR(__xludf.DUMMYFUNCTION("""COMPUTED_VALUE"""),"NLZZ")</f>
        <v>NLZZ</v>
      </c>
    </row>
    <row r="541" spans="1:2" ht="12.5" x14ac:dyDescent="0.25">
      <c r="A541" t="str">
        <f ca="1">IFERROR(__xludf.DUMMYFUNCTION("""COMPUTED_VALUE"""),"Extra-Regio (NLZZZ)")</f>
        <v>Extra-Regio (NLZZZ)</v>
      </c>
      <c r="B541" t="str">
        <f ca="1">IFERROR(__xludf.DUMMYFUNCTION("""COMPUTED_VALUE"""),"NLZZZ")</f>
        <v>NLZZZ</v>
      </c>
    </row>
    <row r="542" spans="1:2" ht="12.5" x14ac:dyDescent="0.25">
      <c r="A542" t="str">
        <f ca="1">IFERROR(__xludf.DUMMYFUNCTION("""COMPUTED_VALUE"""),"Extra-Regio (PLZ)")</f>
        <v>Extra-Regio (PLZ)</v>
      </c>
      <c r="B542" t="str">
        <f ca="1">IFERROR(__xludf.DUMMYFUNCTION("""COMPUTED_VALUE"""),"PLZ")</f>
        <v>PLZ</v>
      </c>
    </row>
    <row r="543" spans="1:2" ht="12.5" x14ac:dyDescent="0.25">
      <c r="A543" t="str">
        <f ca="1">IFERROR(__xludf.DUMMYFUNCTION("""COMPUTED_VALUE"""),"Extra-Regio (PLZZ)")</f>
        <v>Extra-Regio (PLZZ)</v>
      </c>
      <c r="B543" t="str">
        <f ca="1">IFERROR(__xludf.DUMMYFUNCTION("""COMPUTED_VALUE"""),"PLZZ")</f>
        <v>PLZZ</v>
      </c>
    </row>
    <row r="544" spans="1:2" ht="12.5" x14ac:dyDescent="0.25">
      <c r="A544" t="str">
        <f ca="1">IFERROR(__xludf.DUMMYFUNCTION("""COMPUTED_VALUE"""),"Extra-Regio (PLZZZ)")</f>
        <v>Extra-Regio (PLZZZ)</v>
      </c>
      <c r="B544" t="str">
        <f ca="1">IFERROR(__xludf.DUMMYFUNCTION("""COMPUTED_VALUE"""),"PLZZZ")</f>
        <v>PLZZZ</v>
      </c>
    </row>
    <row r="545" spans="1:2" ht="12.5" x14ac:dyDescent="0.25">
      <c r="A545" t="str">
        <f ca="1">IFERROR(__xludf.DUMMYFUNCTION("""COMPUTED_VALUE"""),"Extra-Regio (PTZ)")</f>
        <v>Extra-Regio (PTZ)</v>
      </c>
      <c r="B545" t="str">
        <f ca="1">IFERROR(__xludf.DUMMYFUNCTION("""COMPUTED_VALUE"""),"PTZ")</f>
        <v>PTZ</v>
      </c>
    </row>
    <row r="546" spans="1:2" ht="12.5" x14ac:dyDescent="0.25">
      <c r="A546" t="str">
        <f ca="1">IFERROR(__xludf.DUMMYFUNCTION("""COMPUTED_VALUE"""),"Extra-Regio (PTZZ)")</f>
        <v>Extra-Regio (PTZZ)</v>
      </c>
      <c r="B546" t="str">
        <f ca="1">IFERROR(__xludf.DUMMYFUNCTION("""COMPUTED_VALUE"""),"PTZZ")</f>
        <v>PTZZ</v>
      </c>
    </row>
    <row r="547" spans="1:2" ht="12.5" x14ac:dyDescent="0.25">
      <c r="A547" t="str">
        <f ca="1">IFERROR(__xludf.DUMMYFUNCTION("""COMPUTED_VALUE"""),"Extra-Regio (PTZZZ)")</f>
        <v>Extra-Regio (PTZZZ)</v>
      </c>
      <c r="B547" t="str">
        <f ca="1">IFERROR(__xludf.DUMMYFUNCTION("""COMPUTED_VALUE"""),"PTZZZ")</f>
        <v>PTZZZ</v>
      </c>
    </row>
    <row r="548" spans="1:2" ht="12.5" x14ac:dyDescent="0.25">
      <c r="A548" t="str">
        <f ca="1">IFERROR(__xludf.DUMMYFUNCTION("""COMPUTED_VALUE"""),"Extra-Regio (ROZ)")</f>
        <v>Extra-Regio (ROZ)</v>
      </c>
      <c r="B548" t="str">
        <f ca="1">IFERROR(__xludf.DUMMYFUNCTION("""COMPUTED_VALUE"""),"ROZ")</f>
        <v>ROZ</v>
      </c>
    </row>
    <row r="549" spans="1:2" ht="12.5" x14ac:dyDescent="0.25">
      <c r="A549" t="str">
        <f ca="1">IFERROR(__xludf.DUMMYFUNCTION("""COMPUTED_VALUE"""),"Extra-Regio (ROZZ)")</f>
        <v>Extra-Regio (ROZZ)</v>
      </c>
      <c r="B549" t="str">
        <f ca="1">IFERROR(__xludf.DUMMYFUNCTION("""COMPUTED_VALUE"""),"ROZZ")</f>
        <v>ROZZ</v>
      </c>
    </row>
    <row r="550" spans="1:2" ht="12.5" x14ac:dyDescent="0.25">
      <c r="A550" t="str">
        <f ca="1">IFERROR(__xludf.DUMMYFUNCTION("""COMPUTED_VALUE"""),"Extra-Regio (ROZZZ)")</f>
        <v>Extra-Regio (ROZZZ)</v>
      </c>
      <c r="B550" t="str">
        <f ca="1">IFERROR(__xludf.DUMMYFUNCTION("""COMPUTED_VALUE"""),"ROZZZ")</f>
        <v>ROZZZ</v>
      </c>
    </row>
    <row r="551" spans="1:2" ht="12.5" x14ac:dyDescent="0.25">
      <c r="A551" t="str">
        <f ca="1">IFERROR(__xludf.DUMMYFUNCTION("""COMPUTED_VALUE"""),"Extra-Regio (SEZ)")</f>
        <v>Extra-Regio (SEZ)</v>
      </c>
      <c r="B551" t="str">
        <f ca="1">IFERROR(__xludf.DUMMYFUNCTION("""COMPUTED_VALUE"""),"SEZ")</f>
        <v>SEZ</v>
      </c>
    </row>
    <row r="552" spans="1:2" ht="12.5" x14ac:dyDescent="0.25">
      <c r="A552" t="str">
        <f ca="1">IFERROR(__xludf.DUMMYFUNCTION("""COMPUTED_VALUE"""),"Extra-Regio (SEZZ)")</f>
        <v>Extra-Regio (SEZZ)</v>
      </c>
      <c r="B552" t="str">
        <f ca="1">IFERROR(__xludf.DUMMYFUNCTION("""COMPUTED_VALUE"""),"SEZZ")</f>
        <v>SEZZ</v>
      </c>
    </row>
    <row r="553" spans="1:2" ht="12.5" x14ac:dyDescent="0.25">
      <c r="A553" t="str">
        <f ca="1">IFERROR(__xludf.DUMMYFUNCTION("""COMPUTED_VALUE"""),"Extra-Regio (SEZZZ)")</f>
        <v>Extra-Regio (SEZZZ)</v>
      </c>
      <c r="B553" t="str">
        <f ca="1">IFERROR(__xludf.DUMMYFUNCTION("""COMPUTED_VALUE"""),"SEZZZ")</f>
        <v>SEZZZ</v>
      </c>
    </row>
    <row r="554" spans="1:2" ht="12.5" x14ac:dyDescent="0.25">
      <c r="A554" t="str">
        <f ca="1">IFERROR(__xludf.DUMMYFUNCTION("""COMPUTED_VALUE"""),"Extra-Regio (SIZ)")</f>
        <v>Extra-Regio (SIZ)</v>
      </c>
      <c r="B554" t="str">
        <f ca="1">IFERROR(__xludf.DUMMYFUNCTION("""COMPUTED_VALUE"""),"SIZ")</f>
        <v>SIZ</v>
      </c>
    </row>
    <row r="555" spans="1:2" ht="12.5" x14ac:dyDescent="0.25">
      <c r="A555" t="str">
        <f ca="1">IFERROR(__xludf.DUMMYFUNCTION("""COMPUTED_VALUE"""),"Extra-Regio (SIZZ)")</f>
        <v>Extra-Regio (SIZZ)</v>
      </c>
      <c r="B555" t="str">
        <f ca="1">IFERROR(__xludf.DUMMYFUNCTION("""COMPUTED_VALUE"""),"SIZZ")</f>
        <v>SIZZ</v>
      </c>
    </row>
    <row r="556" spans="1:2" ht="12.5" x14ac:dyDescent="0.25">
      <c r="A556" t="str">
        <f ca="1">IFERROR(__xludf.DUMMYFUNCTION("""COMPUTED_VALUE"""),"Extra-Regio (SIZZZ)")</f>
        <v>Extra-Regio (SIZZZ)</v>
      </c>
      <c r="B556" t="str">
        <f ca="1">IFERROR(__xludf.DUMMYFUNCTION("""COMPUTED_VALUE"""),"SIZZZ")</f>
        <v>SIZZZ</v>
      </c>
    </row>
    <row r="557" spans="1:2" ht="12.5" x14ac:dyDescent="0.25">
      <c r="A557" t="str">
        <f ca="1">IFERROR(__xludf.DUMMYFUNCTION("""COMPUTED_VALUE"""),"Extra-Regio (SKZ)")</f>
        <v>Extra-Regio (SKZ)</v>
      </c>
      <c r="B557" t="str">
        <f ca="1">IFERROR(__xludf.DUMMYFUNCTION("""COMPUTED_VALUE"""),"SKZ")</f>
        <v>SKZ</v>
      </c>
    </row>
    <row r="558" spans="1:2" ht="12.5" x14ac:dyDescent="0.25">
      <c r="A558" t="str">
        <f ca="1">IFERROR(__xludf.DUMMYFUNCTION("""COMPUTED_VALUE"""),"Extra-Regio (SKZZ)")</f>
        <v>Extra-Regio (SKZZ)</v>
      </c>
      <c r="B558" t="str">
        <f ca="1">IFERROR(__xludf.DUMMYFUNCTION("""COMPUTED_VALUE"""),"SKZZ")</f>
        <v>SKZZ</v>
      </c>
    </row>
    <row r="559" spans="1:2" ht="12.5" x14ac:dyDescent="0.25">
      <c r="A559" t="str">
        <f ca="1">IFERROR(__xludf.DUMMYFUNCTION("""COMPUTED_VALUE"""),"Extra-Regio (SKZZZ)")</f>
        <v>Extra-Regio (SKZZZ)</v>
      </c>
      <c r="B559" t="str">
        <f ca="1">IFERROR(__xludf.DUMMYFUNCTION("""COMPUTED_VALUE"""),"SKZZZ")</f>
        <v>SKZZZ</v>
      </c>
    </row>
    <row r="560" spans="1:2" ht="12.5" x14ac:dyDescent="0.25">
      <c r="A560" t="str">
        <f ca="1">IFERROR(__xludf.DUMMYFUNCTION("""COMPUTED_VALUE"""),"Extra-Regio (UKZ)")</f>
        <v>Extra-Regio (UKZ)</v>
      </c>
      <c r="B560" t="str">
        <f ca="1">IFERROR(__xludf.DUMMYFUNCTION("""COMPUTED_VALUE"""),"UKZ")</f>
        <v>UKZ</v>
      </c>
    </row>
    <row r="561" spans="1:2" ht="12.5" x14ac:dyDescent="0.25">
      <c r="A561" t="str">
        <f ca="1">IFERROR(__xludf.DUMMYFUNCTION("""COMPUTED_VALUE"""),"Extra-Regio (UKZZ)")</f>
        <v>Extra-Regio (UKZZ)</v>
      </c>
      <c r="B561" t="str">
        <f ca="1">IFERROR(__xludf.DUMMYFUNCTION("""COMPUTED_VALUE"""),"UKZZ")</f>
        <v>UKZZ</v>
      </c>
    </row>
    <row r="562" spans="1:2" ht="12.5" x14ac:dyDescent="0.25">
      <c r="A562" t="str">
        <f ca="1">IFERROR(__xludf.DUMMYFUNCTION("""COMPUTED_VALUE"""),"Extra-Regio (UKZZZ)")</f>
        <v>Extra-Regio (UKZZZ)</v>
      </c>
      <c r="B562" t="str">
        <f ca="1">IFERROR(__xludf.DUMMYFUNCTION("""COMPUTED_VALUE"""),"UKZZZ")</f>
        <v>UKZZZ</v>
      </c>
    </row>
    <row r="563" spans="1:2" ht="12.5" x14ac:dyDescent="0.25">
      <c r="A563" t="str">
        <f ca="1">IFERROR(__xludf.DUMMYFUNCTION("""COMPUTED_VALUE"""),"Extremadura")</f>
        <v>Extremadura</v>
      </c>
      <c r="B563" t="str">
        <f ca="1">IFERROR(__xludf.DUMMYFUNCTION("""COMPUTED_VALUE"""),"ES43")</f>
        <v>ES43</v>
      </c>
    </row>
    <row r="564" spans="1:2" ht="12.5" x14ac:dyDescent="0.25">
      <c r="A564" t="str">
        <f ca="1">IFERROR(__xludf.DUMMYFUNCTION("""COMPUTED_VALUE"""),"Falkirk")</f>
        <v>Falkirk</v>
      </c>
      <c r="B564" t="str">
        <f ca="1">IFERROR(__xludf.DUMMYFUNCTION("""COMPUTED_VALUE"""),"UKM26")</f>
        <v>UKM26</v>
      </c>
    </row>
    <row r="565" spans="1:2" ht="12.5" x14ac:dyDescent="0.25">
      <c r="A565" t="str">
        <f ca="1">IFERROR(__xludf.DUMMYFUNCTION("""COMPUTED_VALUE"""),"Fejer")</f>
        <v>Fejer</v>
      </c>
      <c r="B565" t="str">
        <f ca="1">IFERROR(__xludf.DUMMYFUNCTION("""COMPUTED_VALUE"""),"HU211")</f>
        <v>HU211</v>
      </c>
    </row>
    <row r="566" spans="1:2" ht="12.5" x14ac:dyDescent="0.25">
      <c r="A566" t="str">
        <f ca="1">IFERROR(__xludf.DUMMYFUNCTION("""COMPUTED_VALUE"""),"Ferrara")</f>
        <v>Ferrara</v>
      </c>
      <c r="B566" t="str">
        <f ca="1">IFERROR(__xludf.DUMMYFUNCTION("""COMPUTED_VALUE"""),"ITD56")</f>
        <v>ITD56</v>
      </c>
    </row>
    <row r="567" spans="1:2" ht="12.5" x14ac:dyDescent="0.25">
      <c r="A567" t="str">
        <f ca="1">IFERROR(__xludf.DUMMYFUNCTION("""COMPUTED_VALUE"""),"Finistère")</f>
        <v>Finistère</v>
      </c>
      <c r="B567" t="str">
        <f ca="1">IFERROR(__xludf.DUMMYFUNCTION("""COMPUTED_VALUE"""),"FR522")</f>
        <v>FR522</v>
      </c>
    </row>
    <row r="568" spans="1:2" ht="12.5" x14ac:dyDescent="0.25">
      <c r="A568" t="str">
        <f ca="1">IFERROR(__xludf.DUMMYFUNCTION("""COMPUTED_VALUE"""),"Finnmark")</f>
        <v>Finnmark</v>
      </c>
      <c r="B568" t="str">
        <f ca="1">IFERROR(__xludf.DUMMYFUNCTION("""COMPUTED_VALUE"""),"NO073")</f>
        <v>NO073</v>
      </c>
    </row>
    <row r="569" spans="1:2" ht="12.5" x14ac:dyDescent="0.25">
      <c r="A569" t="str">
        <f ca="1">IFERROR(__xludf.DUMMYFUNCTION("""COMPUTED_VALUE"""),"Firenze")</f>
        <v>Firenze</v>
      </c>
      <c r="B569" t="str">
        <f ca="1">IFERROR(__xludf.DUMMYFUNCTION("""COMPUTED_VALUE"""),"ITE14")</f>
        <v>ITE14</v>
      </c>
    </row>
    <row r="570" spans="1:2" ht="12.5" x14ac:dyDescent="0.25">
      <c r="A570" t="str">
        <f ca="1">IFERROR(__xludf.DUMMYFUNCTION("""COMPUTED_VALUE"""),"Flensburg, Kreisfreie Stadt")</f>
        <v>Flensburg, Kreisfreie Stadt</v>
      </c>
      <c r="B570" t="str">
        <f ca="1">IFERROR(__xludf.DUMMYFUNCTION("""COMPUTED_VALUE"""),"DEF01")</f>
        <v>DEF01</v>
      </c>
    </row>
    <row r="571" spans="1:2" ht="12.5" x14ac:dyDescent="0.25">
      <c r="A571" t="str">
        <f ca="1">IFERROR(__xludf.DUMMYFUNCTION("""COMPUTED_VALUE"""),"Flevoland")</f>
        <v>Flevoland</v>
      </c>
      <c r="B571" t="str">
        <f ca="1">IFERROR(__xludf.DUMMYFUNCTION("""COMPUTED_VALUE"""),"NL23")</f>
        <v>NL23</v>
      </c>
    </row>
    <row r="572" spans="1:2" ht="12.5" x14ac:dyDescent="0.25">
      <c r="A572" t="str">
        <f ca="1">IFERROR(__xludf.DUMMYFUNCTION("""COMPUTED_VALUE"""),"Flevoland (*)")</f>
        <v>Flevoland (*)</v>
      </c>
      <c r="B572" t="str">
        <f ca="1">IFERROR(__xludf.DUMMYFUNCTION("""COMPUTED_VALUE"""),"NL230")</f>
        <v>NL230</v>
      </c>
    </row>
    <row r="573" spans="1:2" ht="12.5" x14ac:dyDescent="0.25">
      <c r="A573" t="str">
        <f ca="1">IFERROR(__xludf.DUMMYFUNCTION("""COMPUTED_VALUE"""),"Flintshire And Wrexham")</f>
        <v>Flintshire And Wrexham</v>
      </c>
      <c r="B573" t="str">
        <f ca="1">IFERROR(__xludf.DUMMYFUNCTION("""COMPUTED_VALUE"""),"UKL23")</f>
        <v>UKL23</v>
      </c>
    </row>
    <row r="574" spans="1:2" ht="12.5" x14ac:dyDescent="0.25">
      <c r="A574" t="str">
        <f ca="1">IFERROR(__xludf.DUMMYFUNCTION("""COMPUTED_VALUE"""),"Florina")</f>
        <v>Florina</v>
      </c>
      <c r="B574" t="str">
        <f ca="1">IFERROR(__xludf.DUMMYFUNCTION("""COMPUTED_VALUE"""),"GR134")</f>
        <v>GR134</v>
      </c>
    </row>
    <row r="575" spans="1:2" ht="12.5" x14ac:dyDescent="0.25">
      <c r="A575" t="str">
        <f ca="1">IFERROR(__xludf.DUMMYFUNCTION("""COMPUTED_VALUE"""),"Foggia")</f>
        <v>Foggia</v>
      </c>
      <c r="B575" t="str">
        <f ca="1">IFERROR(__xludf.DUMMYFUNCTION("""COMPUTED_VALUE"""),"ITF41")</f>
        <v>ITF41</v>
      </c>
    </row>
    <row r="576" spans="1:2" ht="12.5" x14ac:dyDescent="0.25">
      <c r="A576" t="str">
        <f ca="1">IFERROR(__xludf.DUMMYFUNCTION("""COMPUTED_VALUE"""),"Fokida")</f>
        <v>Fokida</v>
      </c>
      <c r="B576" t="str">
        <f ca="1">IFERROR(__xludf.DUMMYFUNCTION("""COMPUTED_VALUE"""),"GR245")</f>
        <v>GR245</v>
      </c>
    </row>
    <row r="577" spans="1:2" ht="12.5" x14ac:dyDescent="0.25">
      <c r="A577" t="str">
        <f ca="1">IFERROR(__xludf.DUMMYFUNCTION("""COMPUTED_VALUE"""),"Forchheim")</f>
        <v>Forchheim</v>
      </c>
      <c r="B577" t="str">
        <f ca="1">IFERROR(__xludf.DUMMYFUNCTION("""COMPUTED_VALUE"""),"DE248")</f>
        <v>DE248</v>
      </c>
    </row>
    <row r="578" spans="1:2" ht="12.5" x14ac:dyDescent="0.25">
      <c r="A578" t="str">
        <f ca="1">IFERROR(__xludf.DUMMYFUNCTION("""COMPUTED_VALUE"""),"Forlì-Cesena")</f>
        <v>Forlì-Cesena</v>
      </c>
      <c r="B578" t="str">
        <f ca="1">IFERROR(__xludf.DUMMYFUNCTION("""COMPUTED_VALUE"""),"ITD58")</f>
        <v>ITD58</v>
      </c>
    </row>
    <row r="579" spans="1:2" ht="12.5" x14ac:dyDescent="0.25">
      <c r="A579" t="str">
        <f ca="1">IFERROR(__xludf.DUMMYFUNCTION("""COMPUTED_VALUE"""),"France")</f>
        <v>France</v>
      </c>
      <c r="B579" t="str">
        <f ca="1">IFERROR(__xludf.DUMMYFUNCTION("""COMPUTED_VALUE"""),"FR")</f>
        <v>FR</v>
      </c>
    </row>
    <row r="580" spans="1:2" ht="12.5" x14ac:dyDescent="0.25">
      <c r="A580" t="str">
        <f ca="1">IFERROR(__xludf.DUMMYFUNCTION("""COMPUTED_VALUE"""),"Franche-Comté")</f>
        <v>Franche-Comté</v>
      </c>
      <c r="B580" t="str">
        <f ca="1">IFERROR(__xludf.DUMMYFUNCTION("""COMPUTED_VALUE"""),"FR43")</f>
        <v>FR43</v>
      </c>
    </row>
    <row r="581" spans="1:2" ht="12.5" x14ac:dyDescent="0.25">
      <c r="A581" t="str">
        <f ca="1">IFERROR(__xludf.DUMMYFUNCTION("""COMPUTED_VALUE"""),"Frankenthal (Pfalz), Kreisfreie Stadt")</f>
        <v>Frankenthal (Pfalz), Kreisfreie Stadt</v>
      </c>
      <c r="B581" t="str">
        <f ca="1">IFERROR(__xludf.DUMMYFUNCTION("""COMPUTED_VALUE"""),"DEB31")</f>
        <v>DEB31</v>
      </c>
    </row>
    <row r="582" spans="1:2" ht="12.5" x14ac:dyDescent="0.25">
      <c r="A582" t="str">
        <f ca="1">IFERROR(__xludf.DUMMYFUNCTION("""COMPUTED_VALUE"""),"Frankfurt (Oder), Kreisfreie Stadt")</f>
        <v>Frankfurt (Oder), Kreisfreie Stadt</v>
      </c>
      <c r="B582" t="str">
        <f ca="1">IFERROR(__xludf.DUMMYFUNCTION("""COMPUTED_VALUE"""),"DE411")</f>
        <v>DE411</v>
      </c>
    </row>
    <row r="583" spans="1:2" ht="12.5" x14ac:dyDescent="0.25">
      <c r="A583" t="str">
        <f ca="1">IFERROR(__xludf.DUMMYFUNCTION("""COMPUTED_VALUE"""),"Frankfurt Am Main, Kreisfreie Stadt")</f>
        <v>Frankfurt Am Main, Kreisfreie Stadt</v>
      </c>
      <c r="B583" t="str">
        <f ca="1">IFERROR(__xludf.DUMMYFUNCTION("""COMPUTED_VALUE"""),"DE712")</f>
        <v>DE712</v>
      </c>
    </row>
    <row r="584" spans="1:2" ht="12.5" x14ac:dyDescent="0.25">
      <c r="A584" t="str">
        <f ca="1">IFERROR(__xludf.DUMMYFUNCTION("""COMPUTED_VALUE"""),"Freiberg")</f>
        <v>Freiberg</v>
      </c>
      <c r="B584" t="str">
        <f ca="1">IFERROR(__xludf.DUMMYFUNCTION("""COMPUTED_VALUE"""),"DED16")</f>
        <v>DED16</v>
      </c>
    </row>
    <row r="585" spans="1:2" ht="12.5" x14ac:dyDescent="0.25">
      <c r="A585" t="str">
        <f ca="1">IFERROR(__xludf.DUMMYFUNCTION("""COMPUTED_VALUE"""),"Freiburg")</f>
        <v>Freiburg</v>
      </c>
      <c r="B585" t="str">
        <f ca="1">IFERROR(__xludf.DUMMYFUNCTION("""COMPUTED_VALUE"""),"CH022")</f>
        <v>CH022</v>
      </c>
    </row>
    <row r="586" spans="1:2" ht="12.5" x14ac:dyDescent="0.25">
      <c r="A586" t="str">
        <f ca="1">IFERROR(__xludf.DUMMYFUNCTION("""COMPUTED_VALUE"""),"Freiburg (*)")</f>
        <v>Freiburg (*)</v>
      </c>
      <c r="B586" t="str">
        <f ca="1">IFERROR(__xludf.DUMMYFUNCTION("""COMPUTED_VALUE"""),"DE13")</f>
        <v>DE13</v>
      </c>
    </row>
    <row r="587" spans="1:2" ht="12.5" x14ac:dyDescent="0.25">
      <c r="A587" t="str">
        <f ca="1">IFERROR(__xludf.DUMMYFUNCTION("""COMPUTED_VALUE"""),"Freiburg Im Breisgau, Stadtkreis")</f>
        <v>Freiburg Im Breisgau, Stadtkreis</v>
      </c>
      <c r="B587" t="str">
        <f ca="1">IFERROR(__xludf.DUMMYFUNCTION("""COMPUTED_VALUE"""),"DE131")</f>
        <v>DE131</v>
      </c>
    </row>
    <row r="588" spans="1:2" ht="12.5" x14ac:dyDescent="0.25">
      <c r="A588" t="str">
        <f ca="1">IFERROR(__xludf.DUMMYFUNCTION("""COMPUTED_VALUE"""),"Freising")</f>
        <v>Freising</v>
      </c>
      <c r="B588" t="str">
        <f ca="1">IFERROR(__xludf.DUMMYFUNCTION("""COMPUTED_VALUE"""),"DE21B")</f>
        <v>DE21B</v>
      </c>
    </row>
    <row r="589" spans="1:2" ht="12.5" x14ac:dyDescent="0.25">
      <c r="A589" t="str">
        <f ca="1">IFERROR(__xludf.DUMMYFUNCTION("""COMPUTED_VALUE"""),"Freudenstadt")</f>
        <v>Freudenstadt</v>
      </c>
      <c r="B589" t="str">
        <f ca="1">IFERROR(__xludf.DUMMYFUNCTION("""COMPUTED_VALUE"""),"DE12C")</f>
        <v>DE12C</v>
      </c>
    </row>
    <row r="590" spans="1:2" ht="12.5" x14ac:dyDescent="0.25">
      <c r="A590" t="str">
        <f ca="1">IFERROR(__xludf.DUMMYFUNCTION("""COMPUTED_VALUE"""),"Freyung-Grafenau")</f>
        <v>Freyung-Grafenau</v>
      </c>
      <c r="B590" t="str">
        <f ca="1">IFERROR(__xludf.DUMMYFUNCTION("""COMPUTED_VALUE"""),"DE225")</f>
        <v>DE225</v>
      </c>
    </row>
    <row r="591" spans="1:2" ht="12.5" x14ac:dyDescent="0.25">
      <c r="A591" t="str">
        <f ca="1">IFERROR(__xludf.DUMMYFUNCTION("""COMPUTED_VALUE"""),"Friesland (D)")</f>
        <v>Friesland (D)</v>
      </c>
      <c r="B591" t="str">
        <f ca="1">IFERROR(__xludf.DUMMYFUNCTION("""COMPUTED_VALUE"""),"DE94A")</f>
        <v>DE94A</v>
      </c>
    </row>
    <row r="592" spans="1:2" ht="12.5" x14ac:dyDescent="0.25">
      <c r="A592" t="str">
        <f ca="1">IFERROR(__xludf.DUMMYFUNCTION("""COMPUTED_VALUE"""),"Friesland (Nl)")</f>
        <v>Friesland (Nl)</v>
      </c>
      <c r="B592" t="str">
        <f ca="1">IFERROR(__xludf.DUMMYFUNCTION("""COMPUTED_VALUE"""),"NL12")</f>
        <v>NL12</v>
      </c>
    </row>
    <row r="593" spans="1:2" ht="12.5" x14ac:dyDescent="0.25">
      <c r="A593" t="str">
        <f ca="1">IFERROR(__xludf.DUMMYFUNCTION("""COMPUTED_VALUE"""),"Friuli-Venezia Giulia")</f>
        <v>Friuli-Venezia Giulia</v>
      </c>
      <c r="B593" t="str">
        <f ca="1">IFERROR(__xludf.DUMMYFUNCTION("""COMPUTED_VALUE"""),"ITD4")</f>
        <v>ITD4</v>
      </c>
    </row>
    <row r="594" spans="1:2" ht="12.5" x14ac:dyDescent="0.25">
      <c r="A594" t="str">
        <f ca="1">IFERROR(__xludf.DUMMYFUNCTION("""COMPUTED_VALUE"""),"Frosinone")</f>
        <v>Frosinone</v>
      </c>
      <c r="B594" t="str">
        <f ca="1">IFERROR(__xludf.DUMMYFUNCTION("""COMPUTED_VALUE"""),"ITE45")</f>
        <v>ITE45</v>
      </c>
    </row>
    <row r="595" spans="1:2" ht="12.5" x14ac:dyDescent="0.25">
      <c r="A595" t="str">
        <f ca="1">IFERROR(__xludf.DUMMYFUNCTION("""COMPUTED_VALUE"""),"Fthiotida")</f>
        <v>Fthiotida</v>
      </c>
      <c r="B595" t="str">
        <f ca="1">IFERROR(__xludf.DUMMYFUNCTION("""COMPUTED_VALUE"""),"GR244")</f>
        <v>GR244</v>
      </c>
    </row>
    <row r="596" spans="1:2" ht="12.5" x14ac:dyDescent="0.25">
      <c r="A596" t="str">
        <f ca="1">IFERROR(__xludf.DUMMYFUNCTION("""COMPUTED_VALUE"""),"Fuerteventura")</f>
        <v>Fuerteventura</v>
      </c>
      <c r="B596" t="str">
        <f ca="1">IFERROR(__xludf.DUMMYFUNCTION("""COMPUTED_VALUE"""),"ES704")</f>
        <v>ES704</v>
      </c>
    </row>
    <row r="597" spans="1:2" ht="12.5" x14ac:dyDescent="0.25">
      <c r="A597" t="str">
        <f ca="1">IFERROR(__xludf.DUMMYFUNCTION("""COMPUTED_VALUE"""),"Fulda")</f>
        <v>Fulda</v>
      </c>
      <c r="B597" t="str">
        <f ca="1">IFERROR(__xludf.DUMMYFUNCTION("""COMPUTED_VALUE"""),"DE732")</f>
        <v>DE732</v>
      </c>
    </row>
    <row r="598" spans="1:2" ht="12.5" x14ac:dyDescent="0.25">
      <c r="A598" t="str">
        <f ca="1">IFERROR(__xludf.DUMMYFUNCTION("""COMPUTED_VALUE"""),"Fürstenfeldbruck")</f>
        <v>Fürstenfeldbruck</v>
      </c>
      <c r="B598" t="str">
        <f ca="1">IFERROR(__xludf.DUMMYFUNCTION("""COMPUTED_VALUE"""),"DE21C")</f>
        <v>DE21C</v>
      </c>
    </row>
    <row r="599" spans="1:2" ht="12.5" x14ac:dyDescent="0.25">
      <c r="A599" t="str">
        <f ca="1">IFERROR(__xludf.DUMMYFUNCTION("""COMPUTED_VALUE"""),"Fürth, Kreisfreie Stadt")</f>
        <v>Fürth, Kreisfreie Stadt</v>
      </c>
      <c r="B599" t="str">
        <f ca="1">IFERROR(__xludf.DUMMYFUNCTION("""COMPUTED_VALUE"""),"DE253")</f>
        <v>DE253</v>
      </c>
    </row>
    <row r="600" spans="1:2" ht="12.5" x14ac:dyDescent="0.25">
      <c r="A600" t="str">
        <f ca="1">IFERROR(__xludf.DUMMYFUNCTION("""COMPUTED_VALUE"""),"Fürth, Landkreis")</f>
        <v>Fürth, Landkreis</v>
      </c>
      <c r="B600" t="str">
        <f ca="1">IFERROR(__xludf.DUMMYFUNCTION("""COMPUTED_VALUE"""),"DE258")</f>
        <v>DE258</v>
      </c>
    </row>
    <row r="601" spans="1:2" ht="12.5" x14ac:dyDescent="0.25">
      <c r="A601" t="str">
        <f ca="1">IFERROR(__xludf.DUMMYFUNCTION("""COMPUTED_VALUE"""),"Fyn")</f>
        <v>Fyn</v>
      </c>
      <c r="B601" t="str">
        <f ca="1">IFERROR(__xludf.DUMMYFUNCTION("""COMPUTED_VALUE"""),"DK031")</f>
        <v>DK031</v>
      </c>
    </row>
    <row r="602" spans="1:2" ht="12.5" x14ac:dyDescent="0.25">
      <c r="A602" t="str">
        <f ca="1">IFERROR(__xludf.DUMMYFUNCTION("""COMPUTED_VALUE"""),"Gabrovo")</f>
        <v>Gabrovo</v>
      </c>
      <c r="B602" t="str">
        <f ca="1">IFERROR(__xludf.DUMMYFUNCTION("""COMPUTED_VALUE"""),"BG322")</f>
        <v>BG322</v>
      </c>
    </row>
    <row r="603" spans="1:2" ht="12.5" x14ac:dyDescent="0.25">
      <c r="A603" t="str">
        <f ca="1">IFERROR(__xludf.DUMMYFUNCTION("""COMPUTED_VALUE"""),"Galati")</f>
        <v>Galati</v>
      </c>
      <c r="B603" t="str">
        <f ca="1">IFERROR(__xludf.DUMMYFUNCTION("""COMPUTED_VALUE"""),"RO224")</f>
        <v>RO224</v>
      </c>
    </row>
    <row r="604" spans="1:2" ht="12.5" x14ac:dyDescent="0.25">
      <c r="A604" t="str">
        <f ca="1">IFERROR(__xludf.DUMMYFUNCTION("""COMPUTED_VALUE"""),"Galicia")</f>
        <v>Galicia</v>
      </c>
      <c r="B604" t="str">
        <f ca="1">IFERROR(__xludf.DUMMYFUNCTION("""COMPUTED_VALUE"""),"ES11")</f>
        <v>ES11</v>
      </c>
    </row>
    <row r="605" spans="1:2" ht="12.5" x14ac:dyDescent="0.25">
      <c r="A605" t="str">
        <f ca="1">IFERROR(__xludf.DUMMYFUNCTION("""COMPUTED_VALUE"""),"Gard")</f>
        <v>Gard</v>
      </c>
      <c r="B605" t="str">
        <f ca="1">IFERROR(__xludf.DUMMYFUNCTION("""COMPUTED_VALUE"""),"FR812")</f>
        <v>FR812</v>
      </c>
    </row>
    <row r="606" spans="1:2" ht="12.5" x14ac:dyDescent="0.25">
      <c r="A606" t="str">
        <f ca="1">IFERROR(__xludf.DUMMYFUNCTION("""COMPUTED_VALUE"""),"Garmisch-Partenkirchen")</f>
        <v>Garmisch-Partenkirchen</v>
      </c>
      <c r="B606" t="str">
        <f ca="1">IFERROR(__xludf.DUMMYFUNCTION("""COMPUTED_VALUE"""),"DE21D")</f>
        <v>DE21D</v>
      </c>
    </row>
    <row r="607" spans="1:2" ht="12.5" x14ac:dyDescent="0.25">
      <c r="A607" t="str">
        <f ca="1">IFERROR(__xludf.DUMMYFUNCTION("""COMPUTED_VALUE"""),"Gävleborgs Län")</f>
        <v>Gävleborgs Län</v>
      </c>
      <c r="B607" t="str">
        <f ca="1">IFERROR(__xludf.DUMMYFUNCTION("""COMPUTED_VALUE"""),"SE313")</f>
        <v>SE313</v>
      </c>
    </row>
    <row r="608" spans="1:2" ht="12.5" x14ac:dyDescent="0.25">
      <c r="A608" t="str">
        <f ca="1">IFERROR(__xludf.DUMMYFUNCTION("""COMPUTED_VALUE"""),"Gdanski")</f>
        <v>Gdanski</v>
      </c>
      <c r="B608" t="str">
        <f ca="1">IFERROR(__xludf.DUMMYFUNCTION("""COMPUTED_VALUE"""),"PL634")</f>
        <v>PL634</v>
      </c>
    </row>
    <row r="609" spans="1:2" ht="12.5" x14ac:dyDescent="0.25">
      <c r="A609" t="str">
        <f ca="1">IFERROR(__xludf.DUMMYFUNCTION("""COMPUTED_VALUE"""),"Gelderland")</f>
        <v>Gelderland</v>
      </c>
      <c r="B609" t="str">
        <f ca="1">IFERROR(__xludf.DUMMYFUNCTION("""COMPUTED_VALUE"""),"NL22")</f>
        <v>NL22</v>
      </c>
    </row>
    <row r="610" spans="1:2" ht="12.5" x14ac:dyDescent="0.25">
      <c r="A610" t="str">
        <f ca="1">IFERROR(__xludf.DUMMYFUNCTION("""COMPUTED_VALUE"""),"Gelsenkirchen, Kreisfreie Stadt")</f>
        <v>Gelsenkirchen, Kreisfreie Stadt</v>
      </c>
      <c r="B610" t="str">
        <f ca="1">IFERROR(__xludf.DUMMYFUNCTION("""COMPUTED_VALUE"""),"DEA32")</f>
        <v>DEA32</v>
      </c>
    </row>
    <row r="611" spans="1:2" ht="12.5" x14ac:dyDescent="0.25">
      <c r="A611" t="str">
        <f ca="1">IFERROR(__xludf.DUMMYFUNCTION("""COMPUTED_VALUE"""),"Genève")</f>
        <v>Genève</v>
      </c>
      <c r="B611" t="str">
        <f ca="1">IFERROR(__xludf.DUMMYFUNCTION("""COMPUTED_VALUE"""),"CH013")</f>
        <v>CH013</v>
      </c>
    </row>
    <row r="612" spans="1:2" ht="12.5" x14ac:dyDescent="0.25">
      <c r="A612" t="str">
        <f ca="1">IFERROR(__xludf.DUMMYFUNCTION("""COMPUTED_VALUE"""),"Genova")</f>
        <v>Genova</v>
      </c>
      <c r="B612" t="str">
        <f ca="1">IFERROR(__xludf.DUMMYFUNCTION("""COMPUTED_VALUE"""),"ITC33")</f>
        <v>ITC33</v>
      </c>
    </row>
    <row r="613" spans="1:2" ht="12.5" x14ac:dyDescent="0.25">
      <c r="A613" t="str">
        <f ca="1">IFERROR(__xludf.DUMMYFUNCTION("""COMPUTED_VALUE"""),"Gera, Kreisfreie Stadt")</f>
        <v>Gera, Kreisfreie Stadt</v>
      </c>
      <c r="B613" t="str">
        <f ca="1">IFERROR(__xludf.DUMMYFUNCTION("""COMPUTED_VALUE"""),"DEG02")</f>
        <v>DEG02</v>
      </c>
    </row>
    <row r="614" spans="1:2" ht="12.5" x14ac:dyDescent="0.25">
      <c r="A614" t="str">
        <f ca="1">IFERROR(__xludf.DUMMYFUNCTION("""COMPUTED_VALUE"""),"Germersheim")</f>
        <v>Germersheim</v>
      </c>
      <c r="B614" t="str">
        <f ca="1">IFERROR(__xludf.DUMMYFUNCTION("""COMPUTED_VALUE"""),"DEB3E")</f>
        <v>DEB3E</v>
      </c>
    </row>
    <row r="615" spans="1:2" ht="12.5" x14ac:dyDescent="0.25">
      <c r="A615" t="str">
        <f ca="1">IFERROR(__xludf.DUMMYFUNCTION("""COMPUTED_VALUE"""),"Gers")</f>
        <v>Gers</v>
      </c>
      <c r="B615" t="str">
        <f ca="1">IFERROR(__xludf.DUMMYFUNCTION("""COMPUTED_VALUE"""),"FR624")</f>
        <v>FR624</v>
      </c>
    </row>
    <row r="616" spans="1:2" ht="12.5" x14ac:dyDescent="0.25">
      <c r="A616" t="str">
        <f ca="1">IFERROR(__xludf.DUMMYFUNCTION("""COMPUTED_VALUE"""),"Gießen")</f>
        <v>Gießen</v>
      </c>
      <c r="B616" t="str">
        <f ca="1">IFERROR(__xludf.DUMMYFUNCTION("""COMPUTED_VALUE"""),"DE72")</f>
        <v>DE72</v>
      </c>
    </row>
    <row r="617" spans="1:2" ht="12.5" x14ac:dyDescent="0.25">
      <c r="A617" t="str">
        <f ca="1">IFERROR(__xludf.DUMMYFUNCTION("""COMPUTED_VALUE"""),"Gießen, Landkreis")</f>
        <v>Gießen, Landkreis</v>
      </c>
      <c r="B617" t="str">
        <f ca="1">IFERROR(__xludf.DUMMYFUNCTION("""COMPUTED_VALUE"""),"DE721")</f>
        <v>DE721</v>
      </c>
    </row>
    <row r="618" spans="1:2" ht="12.5" x14ac:dyDescent="0.25">
      <c r="A618" t="str">
        <f ca="1">IFERROR(__xludf.DUMMYFUNCTION("""COMPUTED_VALUE"""),"Gifhorn")</f>
        <v>Gifhorn</v>
      </c>
      <c r="B618" t="str">
        <f ca="1">IFERROR(__xludf.DUMMYFUNCTION("""COMPUTED_VALUE"""),"DE914")</f>
        <v>DE914</v>
      </c>
    </row>
    <row r="619" spans="1:2" ht="12.5" x14ac:dyDescent="0.25">
      <c r="A619" t="str">
        <f ca="1">IFERROR(__xludf.DUMMYFUNCTION("""COMPUTED_VALUE"""),"Girona")</f>
        <v>Girona</v>
      </c>
      <c r="B619" t="str">
        <f ca="1">IFERROR(__xludf.DUMMYFUNCTION("""COMPUTED_VALUE"""),"ES512")</f>
        <v>ES512</v>
      </c>
    </row>
    <row r="620" spans="1:2" ht="12.5" x14ac:dyDescent="0.25">
      <c r="A620" t="str">
        <f ca="1">IFERROR(__xludf.DUMMYFUNCTION("""COMPUTED_VALUE"""),"Gironde")</f>
        <v>Gironde</v>
      </c>
      <c r="B620" t="str">
        <f ca="1">IFERROR(__xludf.DUMMYFUNCTION("""COMPUTED_VALUE"""),"FR612")</f>
        <v>FR612</v>
      </c>
    </row>
    <row r="621" spans="1:2" ht="12.5" x14ac:dyDescent="0.25">
      <c r="A621" t="str">
        <f ca="1">IFERROR(__xludf.DUMMYFUNCTION("""COMPUTED_VALUE"""),"Giurgiu")</f>
        <v>Giurgiu</v>
      </c>
      <c r="B621" t="str">
        <f ca="1">IFERROR(__xludf.DUMMYFUNCTION("""COMPUTED_VALUE"""),"RO314")</f>
        <v>RO314</v>
      </c>
    </row>
    <row r="622" spans="1:2" ht="12.5" x14ac:dyDescent="0.25">
      <c r="A622" t="str">
        <f ca="1">IFERROR(__xludf.DUMMYFUNCTION("""COMPUTED_VALUE"""),"Glarus")</f>
        <v>Glarus</v>
      </c>
      <c r="B622" t="str">
        <f ca="1">IFERROR(__xludf.DUMMYFUNCTION("""COMPUTED_VALUE"""),"CH051")</f>
        <v>CH051</v>
      </c>
    </row>
    <row r="623" spans="1:2" ht="12.5" x14ac:dyDescent="0.25">
      <c r="A623" t="str">
        <f ca="1">IFERROR(__xludf.DUMMYFUNCTION("""COMPUTED_VALUE"""),"Glasgow City")</f>
        <v>Glasgow City</v>
      </c>
      <c r="B623" t="str">
        <f ca="1">IFERROR(__xludf.DUMMYFUNCTION("""COMPUTED_VALUE"""),"UKM34")</f>
        <v>UKM34</v>
      </c>
    </row>
    <row r="624" spans="1:2" ht="12.5" x14ac:dyDescent="0.25">
      <c r="A624" t="str">
        <f ca="1">IFERROR(__xludf.DUMMYFUNCTION("""COMPUTED_VALUE"""),"Gliwicki")</f>
        <v>Gliwicki</v>
      </c>
      <c r="B624" t="str">
        <f ca="1">IFERROR(__xludf.DUMMYFUNCTION("""COMPUTED_VALUE"""),"PL229")</f>
        <v>PL229</v>
      </c>
    </row>
    <row r="625" spans="1:2" ht="12.5" x14ac:dyDescent="0.25">
      <c r="A625" t="str">
        <f ca="1">IFERROR(__xludf.DUMMYFUNCTION("""COMPUTED_VALUE"""),"Gloucestershire")</f>
        <v>Gloucestershire</v>
      </c>
      <c r="B625" t="str">
        <f ca="1">IFERROR(__xludf.DUMMYFUNCTION("""COMPUTED_VALUE"""),"UKK13")</f>
        <v>UKK13</v>
      </c>
    </row>
    <row r="626" spans="1:2" ht="12.5" x14ac:dyDescent="0.25">
      <c r="A626" t="str">
        <f ca="1">IFERROR(__xludf.DUMMYFUNCTION("""COMPUTED_VALUE"""),"Gloucestershire, Wiltshire And Bristol-Bath Area")</f>
        <v>Gloucestershire, Wiltshire And Bristol-Bath Area</v>
      </c>
      <c r="B626" t="str">
        <f ca="1">IFERROR(__xludf.DUMMYFUNCTION("""COMPUTED_VALUE"""),"UKK1")</f>
        <v>UKK1</v>
      </c>
    </row>
    <row r="627" spans="1:2" ht="12.5" x14ac:dyDescent="0.25">
      <c r="A627" t="str">
        <f ca="1">IFERROR(__xludf.DUMMYFUNCTION("""COMPUTED_VALUE"""),"Göppingen")</f>
        <v>Göppingen</v>
      </c>
      <c r="B627" t="str">
        <f ca="1">IFERROR(__xludf.DUMMYFUNCTION("""COMPUTED_VALUE"""),"DE114")</f>
        <v>DE114</v>
      </c>
    </row>
    <row r="628" spans="1:2" ht="12.5" x14ac:dyDescent="0.25">
      <c r="A628" t="str">
        <f ca="1">IFERROR(__xludf.DUMMYFUNCTION("""COMPUTED_VALUE"""),"Gorenjska")</f>
        <v>Gorenjska</v>
      </c>
      <c r="B628" t="str">
        <f ca="1">IFERROR(__xludf.DUMMYFUNCTION("""COMPUTED_VALUE"""),"SI022")</f>
        <v>SI022</v>
      </c>
    </row>
    <row r="629" spans="1:2" ht="12.5" x14ac:dyDescent="0.25">
      <c r="A629" t="str">
        <f ca="1">IFERROR(__xludf.DUMMYFUNCTION("""COMPUTED_VALUE"""),"Goriska")</f>
        <v>Goriska</v>
      </c>
      <c r="B629" t="str">
        <f ca="1">IFERROR(__xludf.DUMMYFUNCTION("""COMPUTED_VALUE"""),"SI023")</f>
        <v>SI023</v>
      </c>
    </row>
    <row r="630" spans="1:2" ht="12.5" x14ac:dyDescent="0.25">
      <c r="A630" t="str">
        <f ca="1">IFERROR(__xludf.DUMMYFUNCTION("""COMPUTED_VALUE"""),"Gorizia")</f>
        <v>Gorizia</v>
      </c>
      <c r="B630" t="str">
        <f ca="1">IFERROR(__xludf.DUMMYFUNCTION("""COMPUTED_VALUE"""),"ITD43")</f>
        <v>ITD43</v>
      </c>
    </row>
    <row r="631" spans="1:2" ht="12.5" x14ac:dyDescent="0.25">
      <c r="A631" t="str">
        <f ca="1">IFERROR(__xludf.DUMMYFUNCTION("""COMPUTED_VALUE"""),"Gorj")</f>
        <v>Gorj</v>
      </c>
      <c r="B631" t="str">
        <f ca="1">IFERROR(__xludf.DUMMYFUNCTION("""COMPUTED_VALUE"""),"RO412")</f>
        <v>RO412</v>
      </c>
    </row>
    <row r="632" spans="1:2" ht="12.5" x14ac:dyDescent="0.25">
      <c r="A632" t="str">
        <f ca="1">IFERROR(__xludf.DUMMYFUNCTION("""COMPUTED_VALUE"""),"Görlitz, Kreisfreie Stadt")</f>
        <v>Görlitz, Kreisfreie Stadt</v>
      </c>
      <c r="B632" t="str">
        <f ca="1">IFERROR(__xludf.DUMMYFUNCTION("""COMPUTED_VALUE"""),"DED22")</f>
        <v>DED22</v>
      </c>
    </row>
    <row r="633" spans="1:2" ht="12.5" x14ac:dyDescent="0.25">
      <c r="A633" t="str">
        <f ca="1">IFERROR(__xludf.DUMMYFUNCTION("""COMPUTED_VALUE"""),"Gorzowski")</f>
        <v>Gorzowski</v>
      </c>
      <c r="B633" t="str">
        <f ca="1">IFERROR(__xludf.DUMMYFUNCTION("""COMPUTED_VALUE"""),"PL431")</f>
        <v>PL431</v>
      </c>
    </row>
    <row r="634" spans="1:2" ht="12.5" x14ac:dyDescent="0.25">
      <c r="A634" t="str">
        <f ca="1">IFERROR(__xludf.DUMMYFUNCTION("""COMPUTED_VALUE"""),"Goslar")</f>
        <v>Goslar</v>
      </c>
      <c r="B634" t="str">
        <f ca="1">IFERROR(__xludf.DUMMYFUNCTION("""COMPUTED_VALUE"""),"DE916")</f>
        <v>DE916</v>
      </c>
    </row>
    <row r="635" spans="1:2" ht="12.5" x14ac:dyDescent="0.25">
      <c r="A635" t="str">
        <f ca="1">IFERROR(__xludf.DUMMYFUNCTION("""COMPUTED_VALUE"""),"Gotha")</f>
        <v>Gotha</v>
      </c>
      <c r="B635" t="str">
        <f ca="1">IFERROR(__xludf.DUMMYFUNCTION("""COMPUTED_VALUE"""),"DEG0C")</f>
        <v>DEG0C</v>
      </c>
    </row>
    <row r="636" spans="1:2" ht="12.5" x14ac:dyDescent="0.25">
      <c r="A636" t="str">
        <f ca="1">IFERROR(__xludf.DUMMYFUNCTION("""COMPUTED_VALUE"""),"Gotlands Län")</f>
        <v>Gotlands Län</v>
      </c>
      <c r="B636" t="str">
        <f ca="1">IFERROR(__xludf.DUMMYFUNCTION("""COMPUTED_VALUE"""),"SE214")</f>
        <v>SE214</v>
      </c>
    </row>
    <row r="637" spans="1:2" ht="12.5" x14ac:dyDescent="0.25">
      <c r="A637" t="str">
        <f ca="1">IFERROR(__xludf.DUMMYFUNCTION("""COMPUTED_VALUE"""),"Göttingen")</f>
        <v>Göttingen</v>
      </c>
      <c r="B637" t="str">
        <f ca="1">IFERROR(__xludf.DUMMYFUNCTION("""COMPUTED_VALUE"""),"DE915")</f>
        <v>DE915</v>
      </c>
    </row>
    <row r="638" spans="1:2" ht="12.5" x14ac:dyDescent="0.25">
      <c r="A638" t="str">
        <f ca="1">IFERROR(__xludf.DUMMYFUNCTION("""COMPUTED_VALUE"""),"Gozo And Comino-Ghawdex U Kemmuna")</f>
        <v>Gozo And Comino-Ghawdex U Kemmuna</v>
      </c>
      <c r="B638" t="str">
        <f ca="1">IFERROR(__xludf.DUMMYFUNCTION("""COMPUTED_VALUE"""),"MT002")</f>
        <v>MT002</v>
      </c>
    </row>
    <row r="639" spans="1:2" ht="12.5" x14ac:dyDescent="0.25">
      <c r="A639" t="str">
        <f ca="1">IFERROR(__xludf.DUMMYFUNCTION("""COMPUTED_VALUE"""),"Grafschaft Bentheim")</f>
        <v>Grafschaft Bentheim</v>
      </c>
      <c r="B639" t="str">
        <f ca="1">IFERROR(__xludf.DUMMYFUNCTION("""COMPUTED_VALUE"""),"DE94B")</f>
        <v>DE94B</v>
      </c>
    </row>
    <row r="640" spans="1:2" ht="12.5" x14ac:dyDescent="0.25">
      <c r="A640" t="str">
        <f ca="1">IFERROR(__xludf.DUMMYFUNCTION("""COMPUTED_VALUE"""),"Gran Canaria")</f>
        <v>Gran Canaria</v>
      </c>
      <c r="B640" t="str">
        <f ca="1">IFERROR(__xludf.DUMMYFUNCTION("""COMPUTED_VALUE"""),"ES705")</f>
        <v>ES705</v>
      </c>
    </row>
    <row r="641" spans="1:2" ht="12.5" x14ac:dyDescent="0.25">
      <c r="A641" t="str">
        <f ca="1">IFERROR(__xludf.DUMMYFUNCTION("""COMPUTED_VALUE"""),"Granada")</f>
        <v>Granada</v>
      </c>
      <c r="B641" t="str">
        <f ca="1">IFERROR(__xludf.DUMMYFUNCTION("""COMPUTED_VALUE"""),"ES614")</f>
        <v>ES614</v>
      </c>
    </row>
    <row r="642" spans="1:2" ht="12.5" x14ac:dyDescent="0.25">
      <c r="A642" t="str">
        <f ca="1">IFERROR(__xludf.DUMMYFUNCTION("""COMPUTED_VALUE"""),"Grande Lisboa")</f>
        <v>Grande Lisboa</v>
      </c>
      <c r="B642" t="str">
        <f ca="1">IFERROR(__xludf.DUMMYFUNCTION("""COMPUTED_VALUE"""),"PT171")</f>
        <v>PT171</v>
      </c>
    </row>
    <row r="643" spans="1:2" ht="12.5" x14ac:dyDescent="0.25">
      <c r="A643" t="str">
        <f ca="1">IFERROR(__xludf.DUMMYFUNCTION("""COMPUTED_VALUE"""),"Grande Porto")</f>
        <v>Grande Porto</v>
      </c>
      <c r="B643" t="str">
        <f ca="1">IFERROR(__xludf.DUMMYFUNCTION("""COMPUTED_VALUE"""),"PT114")</f>
        <v>PT114</v>
      </c>
    </row>
    <row r="644" spans="1:2" ht="12.5" x14ac:dyDescent="0.25">
      <c r="A644" t="str">
        <f ca="1">IFERROR(__xludf.DUMMYFUNCTION("""COMPUTED_VALUE"""),"Graubünden")</f>
        <v>Graubünden</v>
      </c>
      <c r="B644" t="str">
        <f ca="1">IFERROR(__xludf.DUMMYFUNCTION("""COMPUTED_VALUE"""),"CH056")</f>
        <v>CH056</v>
      </c>
    </row>
    <row r="645" spans="1:2" ht="12.5" x14ac:dyDescent="0.25">
      <c r="A645" t="str">
        <f ca="1">IFERROR(__xludf.DUMMYFUNCTION("""COMPUTED_VALUE"""),"Graz")</f>
        <v>Graz</v>
      </c>
      <c r="B645" t="str">
        <f ca="1">IFERROR(__xludf.DUMMYFUNCTION("""COMPUTED_VALUE"""),"AT221")</f>
        <v>AT221</v>
      </c>
    </row>
    <row r="646" spans="1:2" ht="12.5" x14ac:dyDescent="0.25">
      <c r="A646" t="str">
        <f ca="1">IFERROR(__xludf.DUMMYFUNCTION("""COMPUTED_VALUE"""),"Greater Manchester")</f>
        <v>Greater Manchester</v>
      </c>
      <c r="B646" t="str">
        <f ca="1">IFERROR(__xludf.DUMMYFUNCTION("""COMPUTED_VALUE"""),"UKD3")</f>
        <v>UKD3</v>
      </c>
    </row>
    <row r="647" spans="1:2" ht="12.5" x14ac:dyDescent="0.25">
      <c r="A647" t="str">
        <f ca="1">IFERROR(__xludf.DUMMYFUNCTION("""COMPUTED_VALUE"""),"Greater Manchester North")</f>
        <v>Greater Manchester North</v>
      </c>
      <c r="B647" t="str">
        <f ca="1">IFERROR(__xludf.DUMMYFUNCTION("""COMPUTED_VALUE"""),"UKD32")</f>
        <v>UKD32</v>
      </c>
    </row>
    <row r="648" spans="1:2" ht="12.5" x14ac:dyDescent="0.25">
      <c r="A648" t="str">
        <f ca="1">IFERROR(__xludf.DUMMYFUNCTION("""COMPUTED_VALUE"""),"Greater Manchester South")</f>
        <v>Greater Manchester South</v>
      </c>
      <c r="B648" t="str">
        <f ca="1">IFERROR(__xludf.DUMMYFUNCTION("""COMPUTED_VALUE"""),"UKD31")</f>
        <v>UKD31</v>
      </c>
    </row>
    <row r="649" spans="1:2" ht="12.5" x14ac:dyDescent="0.25">
      <c r="A649" t="str">
        <f ca="1">IFERROR(__xludf.DUMMYFUNCTION("""COMPUTED_VALUE"""),"Greifswald, Kreisfreie Stadt")</f>
        <v>Greifswald, Kreisfreie Stadt</v>
      </c>
      <c r="B649" t="str">
        <f ca="1">IFERROR(__xludf.DUMMYFUNCTION("""COMPUTED_VALUE"""),"DE801")</f>
        <v>DE801</v>
      </c>
    </row>
    <row r="650" spans="1:2" ht="12.5" x14ac:dyDescent="0.25">
      <c r="A650" t="str">
        <f ca="1">IFERROR(__xludf.DUMMYFUNCTION("""COMPUTED_VALUE"""),"Greiz")</f>
        <v>Greiz</v>
      </c>
      <c r="B650" t="str">
        <f ca="1">IFERROR(__xludf.DUMMYFUNCTION("""COMPUTED_VALUE"""),"DEG0L")</f>
        <v>DEG0L</v>
      </c>
    </row>
    <row r="651" spans="1:2" ht="12.5" x14ac:dyDescent="0.25">
      <c r="A651" t="str">
        <f ca="1">IFERROR(__xludf.DUMMYFUNCTION("""COMPUTED_VALUE"""),"Grevena")</f>
        <v>Grevena</v>
      </c>
      <c r="B651" t="str">
        <f ca="1">IFERROR(__xludf.DUMMYFUNCTION("""COMPUTED_VALUE"""),"GR131")</f>
        <v>GR131</v>
      </c>
    </row>
    <row r="652" spans="1:2" ht="12.5" x14ac:dyDescent="0.25">
      <c r="A652" t="str">
        <f ca="1">IFERROR(__xludf.DUMMYFUNCTION("""COMPUTED_VALUE"""),"Groningen")</f>
        <v>Groningen</v>
      </c>
      <c r="B652" t="str">
        <f ca="1">IFERROR(__xludf.DUMMYFUNCTION("""COMPUTED_VALUE"""),"NL11")</f>
        <v>NL11</v>
      </c>
    </row>
    <row r="653" spans="1:2" ht="12.5" x14ac:dyDescent="0.25">
      <c r="A653" t="str">
        <f ca="1">IFERROR(__xludf.DUMMYFUNCTION("""COMPUTED_VALUE"""),"Groot-Amsterdam")</f>
        <v>Groot-Amsterdam</v>
      </c>
      <c r="B653" t="str">
        <f ca="1">IFERROR(__xludf.DUMMYFUNCTION("""COMPUTED_VALUE"""),"NL326")</f>
        <v>NL326</v>
      </c>
    </row>
    <row r="654" spans="1:2" ht="12.5" x14ac:dyDescent="0.25">
      <c r="A654" t="str">
        <f ca="1">IFERROR(__xludf.DUMMYFUNCTION("""COMPUTED_VALUE"""),"Groot-Rijnmond")</f>
        <v>Groot-Rijnmond</v>
      </c>
      <c r="B654" t="str">
        <f ca="1">IFERROR(__xludf.DUMMYFUNCTION("""COMPUTED_VALUE"""),"NL335")</f>
        <v>NL335</v>
      </c>
    </row>
    <row r="655" spans="1:2" ht="12.5" x14ac:dyDescent="0.25">
      <c r="A655" t="str">
        <f ca="1">IFERROR(__xludf.DUMMYFUNCTION("""COMPUTED_VALUE"""),"Groß-Gerau")</f>
        <v>Groß-Gerau</v>
      </c>
      <c r="B655" t="str">
        <f ca="1">IFERROR(__xludf.DUMMYFUNCTION("""COMPUTED_VALUE"""),"DE717")</f>
        <v>DE717</v>
      </c>
    </row>
    <row r="656" spans="1:2" ht="12.5" x14ac:dyDescent="0.25">
      <c r="A656" t="str">
        <f ca="1">IFERROR(__xludf.DUMMYFUNCTION("""COMPUTED_VALUE"""),"Grosseto")</f>
        <v>Grosseto</v>
      </c>
      <c r="B656" t="str">
        <f ca="1">IFERROR(__xludf.DUMMYFUNCTION("""COMPUTED_VALUE"""),"ITE1A")</f>
        <v>ITE1A</v>
      </c>
    </row>
    <row r="657" spans="1:2" ht="12.5" x14ac:dyDescent="0.25">
      <c r="A657" t="str">
        <f ca="1">IFERROR(__xludf.DUMMYFUNCTION("""COMPUTED_VALUE"""),"Grudziadzki")</f>
        <v>Grudziadzki</v>
      </c>
      <c r="B657" t="str">
        <f ca="1">IFERROR(__xludf.DUMMYFUNCTION("""COMPUTED_VALUE"""),"PL614")</f>
        <v>PL614</v>
      </c>
    </row>
    <row r="658" spans="1:2" ht="12.5" x14ac:dyDescent="0.25">
      <c r="A658" t="str">
        <f ca="1">IFERROR(__xludf.DUMMYFUNCTION("""COMPUTED_VALUE"""),"Guadalajara")</f>
        <v>Guadalajara</v>
      </c>
      <c r="B658" t="str">
        <f ca="1">IFERROR(__xludf.DUMMYFUNCTION("""COMPUTED_VALUE"""),"ES424")</f>
        <v>ES424</v>
      </c>
    </row>
    <row r="659" spans="1:2" ht="12.5" x14ac:dyDescent="0.25">
      <c r="A659" t="str">
        <f ca="1">IFERROR(__xludf.DUMMYFUNCTION("""COMPUTED_VALUE"""),"Guadeloupe")</f>
        <v>Guadeloupe</v>
      </c>
      <c r="B659" t="str">
        <f ca="1">IFERROR(__xludf.DUMMYFUNCTION("""COMPUTED_VALUE"""),"FR91")</f>
        <v>FR91</v>
      </c>
    </row>
    <row r="660" spans="1:2" ht="12.5" x14ac:dyDescent="0.25">
      <c r="A660" t="str">
        <f ca="1">IFERROR(__xludf.DUMMYFUNCTION("""COMPUTED_VALUE"""),"Guadeloupe (*)")</f>
        <v>Guadeloupe (*)</v>
      </c>
      <c r="B660" t="str">
        <f ca="1">IFERROR(__xludf.DUMMYFUNCTION("""COMPUTED_VALUE"""),"FR910")</f>
        <v>FR910</v>
      </c>
    </row>
    <row r="661" spans="1:2" ht="12.5" x14ac:dyDescent="0.25">
      <c r="A661" t="str">
        <f ca="1">IFERROR(__xludf.DUMMYFUNCTION("""COMPUTED_VALUE"""),"Guipúzcoa")</f>
        <v>Guipúzcoa</v>
      </c>
      <c r="B661" t="str">
        <f ca="1">IFERROR(__xludf.DUMMYFUNCTION("""COMPUTED_VALUE"""),"ES212")</f>
        <v>ES212</v>
      </c>
    </row>
    <row r="662" spans="1:2" ht="12.5" x14ac:dyDescent="0.25">
      <c r="A662" t="str">
        <f ca="1">IFERROR(__xludf.DUMMYFUNCTION("""COMPUTED_VALUE"""),"Günzburg")</f>
        <v>Günzburg</v>
      </c>
      <c r="B662" t="str">
        <f ca="1">IFERROR(__xludf.DUMMYFUNCTION("""COMPUTED_VALUE"""),"DE278")</f>
        <v>DE278</v>
      </c>
    </row>
    <row r="663" spans="1:2" ht="12.5" x14ac:dyDescent="0.25">
      <c r="A663" t="str">
        <f ca="1">IFERROR(__xludf.DUMMYFUNCTION("""COMPUTED_VALUE"""),"Güstrow")</f>
        <v>Güstrow</v>
      </c>
      <c r="B663" t="str">
        <f ca="1">IFERROR(__xludf.DUMMYFUNCTION("""COMPUTED_VALUE"""),"DE809")</f>
        <v>DE809</v>
      </c>
    </row>
    <row r="664" spans="1:2" ht="12.5" x14ac:dyDescent="0.25">
      <c r="A664" t="str">
        <f ca="1">IFERROR(__xludf.DUMMYFUNCTION("""COMPUTED_VALUE"""),"Gütersloh")</f>
        <v>Gütersloh</v>
      </c>
      <c r="B664" t="str">
        <f ca="1">IFERROR(__xludf.DUMMYFUNCTION("""COMPUTED_VALUE"""),"DEA42")</f>
        <v>DEA42</v>
      </c>
    </row>
    <row r="665" spans="1:2" ht="12.5" x14ac:dyDescent="0.25">
      <c r="A665" t="str">
        <f ca="1">IFERROR(__xludf.DUMMYFUNCTION("""COMPUTED_VALUE"""),"Guyane")</f>
        <v>Guyane</v>
      </c>
      <c r="B665" t="str">
        <f ca="1">IFERROR(__xludf.DUMMYFUNCTION("""COMPUTED_VALUE"""),"FR93")</f>
        <v>FR93</v>
      </c>
    </row>
    <row r="666" spans="1:2" ht="12.5" x14ac:dyDescent="0.25">
      <c r="A666" t="str">
        <f ca="1">IFERROR(__xludf.DUMMYFUNCTION("""COMPUTED_VALUE"""),"Guyane (*)")</f>
        <v>Guyane (*)</v>
      </c>
      <c r="B666" t="str">
        <f ca="1">IFERROR(__xludf.DUMMYFUNCTION("""COMPUTED_VALUE"""),"FR930")</f>
        <v>FR930</v>
      </c>
    </row>
    <row r="667" spans="1:2" ht="12.5" x14ac:dyDescent="0.25">
      <c r="A667" t="str">
        <f ca="1">IFERROR(__xludf.DUMMYFUNCTION("""COMPUTED_VALUE"""),"Gwent Valleys")</f>
        <v>Gwent Valleys</v>
      </c>
      <c r="B667" t="str">
        <f ca="1">IFERROR(__xludf.DUMMYFUNCTION("""COMPUTED_VALUE"""),"UKL16")</f>
        <v>UKL16</v>
      </c>
    </row>
    <row r="668" spans="1:2" ht="12.5" x14ac:dyDescent="0.25">
      <c r="A668" t="str">
        <f ca="1">IFERROR(__xludf.DUMMYFUNCTION("""COMPUTED_VALUE"""),"Gwynedd")</f>
        <v>Gwynedd</v>
      </c>
      <c r="B668" t="str">
        <f ca="1">IFERROR(__xludf.DUMMYFUNCTION("""COMPUTED_VALUE"""),"UKL12")</f>
        <v>UKL12</v>
      </c>
    </row>
    <row r="669" spans="1:2" ht="12.5" x14ac:dyDescent="0.25">
      <c r="A669" t="str">
        <f ca="1">IFERROR(__xludf.DUMMYFUNCTION("""COMPUTED_VALUE"""),"Gyor-Moson-Sopron")</f>
        <v>Gyor-Moson-Sopron</v>
      </c>
      <c r="B669" t="str">
        <f ca="1">IFERROR(__xludf.DUMMYFUNCTION("""COMPUTED_VALUE"""),"HU221")</f>
        <v>HU221</v>
      </c>
    </row>
    <row r="670" spans="1:2" ht="12.5" x14ac:dyDescent="0.25">
      <c r="A670" t="str">
        <f ca="1">IFERROR(__xludf.DUMMYFUNCTION("""COMPUTED_VALUE"""),"Hagen, Kreisfreie Stadt")</f>
        <v>Hagen, Kreisfreie Stadt</v>
      </c>
      <c r="B670" t="str">
        <f ca="1">IFERROR(__xludf.DUMMYFUNCTION("""COMPUTED_VALUE"""),"DEA53")</f>
        <v>DEA53</v>
      </c>
    </row>
    <row r="671" spans="1:2" ht="12.5" x14ac:dyDescent="0.25">
      <c r="A671" t="str">
        <f ca="1">IFERROR(__xludf.DUMMYFUNCTION("""COMPUTED_VALUE"""),"Hajdu-Bihar")</f>
        <v>Hajdu-Bihar</v>
      </c>
      <c r="B671" t="str">
        <f ca="1">IFERROR(__xludf.DUMMYFUNCTION("""COMPUTED_VALUE"""),"HU321")</f>
        <v>HU321</v>
      </c>
    </row>
    <row r="672" spans="1:2" ht="12.5" x14ac:dyDescent="0.25">
      <c r="A672" t="str">
        <f ca="1">IFERROR(__xludf.DUMMYFUNCTION("""COMPUTED_VALUE"""),"Hallands Län")</f>
        <v>Hallands Län</v>
      </c>
      <c r="B672" t="str">
        <f ca="1">IFERROR(__xludf.DUMMYFUNCTION("""COMPUTED_VALUE"""),"SE231")</f>
        <v>SE231</v>
      </c>
    </row>
    <row r="673" spans="1:2" ht="12.5" x14ac:dyDescent="0.25">
      <c r="A673" t="str">
        <f ca="1">IFERROR(__xludf.DUMMYFUNCTION("""COMPUTED_VALUE"""),"Halle (Saale), Kreisfreie Stadt")</f>
        <v>Halle (Saale), Kreisfreie Stadt</v>
      </c>
      <c r="B673" t="str">
        <f ca="1">IFERROR(__xludf.DUMMYFUNCTION("""COMPUTED_VALUE"""),"DEE02")</f>
        <v>DEE02</v>
      </c>
    </row>
    <row r="674" spans="1:2" ht="12.5" x14ac:dyDescent="0.25">
      <c r="A674" t="str">
        <f ca="1">IFERROR(__xludf.DUMMYFUNCTION("""COMPUTED_VALUE"""),"Halton And Warrington")</f>
        <v>Halton And Warrington</v>
      </c>
      <c r="B674" t="str">
        <f ca="1">IFERROR(__xludf.DUMMYFUNCTION("""COMPUTED_VALUE"""),"UKD21")</f>
        <v>UKD21</v>
      </c>
    </row>
    <row r="675" spans="1:2" ht="12.5" x14ac:dyDescent="0.25">
      <c r="A675" t="str">
        <f ca="1">IFERROR(__xludf.DUMMYFUNCTION("""COMPUTED_VALUE"""),"Hamburg")</f>
        <v>Hamburg</v>
      </c>
      <c r="B675" t="str">
        <f ca="1">IFERROR(__xludf.DUMMYFUNCTION("""COMPUTED_VALUE"""),"DE6")</f>
        <v>DE6</v>
      </c>
    </row>
    <row r="676" spans="1:2" ht="12.5" x14ac:dyDescent="0.25">
      <c r="A676" t="str">
        <f ca="1">IFERROR(__xludf.DUMMYFUNCTION("""COMPUTED_VALUE"""),"Hamburg (*)")</f>
        <v>Hamburg (*)</v>
      </c>
      <c r="B676" t="str">
        <f ca="1">IFERROR(__xludf.DUMMYFUNCTION("""COMPUTED_VALUE"""),"DE60")</f>
        <v>DE60</v>
      </c>
    </row>
    <row r="677" spans="1:2" ht="12.5" x14ac:dyDescent="0.25">
      <c r="A677" t="str">
        <f ca="1">IFERROR(__xludf.DUMMYFUNCTION("""COMPUTED_VALUE"""),"Hamburg (**)")</f>
        <v>Hamburg (**)</v>
      </c>
      <c r="B677" t="str">
        <f ca="1">IFERROR(__xludf.DUMMYFUNCTION("""COMPUTED_VALUE"""),"DE600")</f>
        <v>DE600</v>
      </c>
    </row>
    <row r="678" spans="1:2" ht="12.5" x14ac:dyDescent="0.25">
      <c r="A678" t="str">
        <f ca="1">IFERROR(__xludf.DUMMYFUNCTION("""COMPUTED_VALUE"""),"Hameln-Pyrmont")</f>
        <v>Hameln-Pyrmont</v>
      </c>
      <c r="B678" t="str">
        <f ca="1">IFERROR(__xludf.DUMMYFUNCTION("""COMPUTED_VALUE"""),"DE923")</f>
        <v>DE923</v>
      </c>
    </row>
    <row r="679" spans="1:2" ht="12.5" x14ac:dyDescent="0.25">
      <c r="A679" t="str">
        <f ca="1">IFERROR(__xludf.DUMMYFUNCTION("""COMPUTED_VALUE"""),"Hamm, Kreisfreie Stadt")</f>
        <v>Hamm, Kreisfreie Stadt</v>
      </c>
      <c r="B679" t="str">
        <f ca="1">IFERROR(__xludf.DUMMYFUNCTION("""COMPUTED_VALUE"""),"DEA54")</f>
        <v>DEA54</v>
      </c>
    </row>
    <row r="680" spans="1:2" ht="12.5" x14ac:dyDescent="0.25">
      <c r="A680" t="str">
        <f ca="1">IFERROR(__xludf.DUMMYFUNCTION("""COMPUTED_VALUE"""),"Hampshire And Isle Of Wight")</f>
        <v>Hampshire And Isle Of Wight</v>
      </c>
      <c r="B680" t="str">
        <f ca="1">IFERROR(__xludf.DUMMYFUNCTION("""COMPUTED_VALUE"""),"UKJ3")</f>
        <v>UKJ3</v>
      </c>
    </row>
    <row r="681" spans="1:2" ht="12.5" x14ac:dyDescent="0.25">
      <c r="A681" t="str">
        <f ca="1">IFERROR(__xludf.DUMMYFUNCTION("""COMPUTED_VALUE"""),"Hampshire Cc")</f>
        <v>Hampshire Cc</v>
      </c>
      <c r="B681" t="str">
        <f ca="1">IFERROR(__xludf.DUMMYFUNCTION("""COMPUTED_VALUE"""),"UKJ33")</f>
        <v>UKJ33</v>
      </c>
    </row>
    <row r="682" spans="1:2" ht="12.5" x14ac:dyDescent="0.25">
      <c r="A682" t="str">
        <f ca="1">IFERROR(__xludf.DUMMYFUNCTION("""COMPUTED_VALUE"""),"Hannover")</f>
        <v>Hannover</v>
      </c>
      <c r="B682" t="str">
        <f ca="1">IFERROR(__xludf.DUMMYFUNCTION("""COMPUTED_VALUE"""),"DE92")</f>
        <v>DE92</v>
      </c>
    </row>
    <row r="683" spans="1:2" ht="12.5" x14ac:dyDescent="0.25">
      <c r="A683" t="str">
        <f ca="1">IFERROR(__xludf.DUMMYFUNCTION("""COMPUTED_VALUE"""),"Harburg")</f>
        <v>Harburg</v>
      </c>
      <c r="B683" t="str">
        <f ca="1">IFERROR(__xludf.DUMMYFUNCTION("""COMPUTED_VALUE"""),"DE933")</f>
        <v>DE933</v>
      </c>
    </row>
    <row r="684" spans="1:2" ht="12.5" x14ac:dyDescent="0.25">
      <c r="A684" t="str">
        <f ca="1">IFERROR(__xludf.DUMMYFUNCTION("""COMPUTED_VALUE"""),"Harghita")</f>
        <v>Harghita</v>
      </c>
      <c r="B684" t="str">
        <f ca="1">IFERROR(__xludf.DUMMYFUNCTION("""COMPUTED_VALUE"""),"RO124")</f>
        <v>RO124</v>
      </c>
    </row>
    <row r="685" spans="1:2" ht="12.5" x14ac:dyDescent="0.25">
      <c r="A685" t="str">
        <f ca="1">IFERROR(__xludf.DUMMYFUNCTION("""COMPUTED_VALUE"""),"Hartlepool And Stockton-On-Tees")</f>
        <v>Hartlepool And Stockton-On-Tees</v>
      </c>
      <c r="B685" t="str">
        <f ca="1">IFERROR(__xludf.DUMMYFUNCTION("""COMPUTED_VALUE"""),"UKC11")</f>
        <v>UKC11</v>
      </c>
    </row>
    <row r="686" spans="1:2" ht="12.5" x14ac:dyDescent="0.25">
      <c r="A686" t="str">
        <f ca="1">IFERROR(__xludf.DUMMYFUNCTION("""COMPUTED_VALUE"""),"Harz")</f>
        <v>Harz</v>
      </c>
      <c r="B686" t="str">
        <f ca="1">IFERROR(__xludf.DUMMYFUNCTION("""COMPUTED_VALUE"""),"DEE09")</f>
        <v>DEE09</v>
      </c>
    </row>
    <row r="687" spans="1:2" ht="12.5" x14ac:dyDescent="0.25">
      <c r="A687" t="str">
        <f ca="1">IFERROR(__xludf.DUMMYFUNCTION("""COMPUTED_VALUE"""),"Haskovo")</f>
        <v>Haskovo</v>
      </c>
      <c r="B687" t="str">
        <f ca="1">IFERROR(__xludf.DUMMYFUNCTION("""COMPUTED_VALUE"""),"BG422")</f>
        <v>BG422</v>
      </c>
    </row>
    <row r="688" spans="1:2" ht="12.5" x14ac:dyDescent="0.25">
      <c r="A688" t="str">
        <f ca="1">IFERROR(__xludf.DUMMYFUNCTION("""COMPUTED_VALUE"""),"Haßberge")</f>
        <v>Haßberge</v>
      </c>
      <c r="B688" t="str">
        <f ca="1">IFERROR(__xludf.DUMMYFUNCTION("""COMPUTED_VALUE"""),"DE267")</f>
        <v>DE267</v>
      </c>
    </row>
    <row r="689" spans="1:2" ht="12.5" x14ac:dyDescent="0.25">
      <c r="A689" t="str">
        <f ca="1">IFERROR(__xludf.DUMMYFUNCTION("""COMPUTED_VALUE"""),"Haut-Rhin")</f>
        <v>Haut-Rhin</v>
      </c>
      <c r="B689" t="str">
        <f ca="1">IFERROR(__xludf.DUMMYFUNCTION("""COMPUTED_VALUE"""),"FR422")</f>
        <v>FR422</v>
      </c>
    </row>
    <row r="690" spans="1:2" ht="12.5" x14ac:dyDescent="0.25">
      <c r="A690" t="str">
        <f ca="1">IFERROR(__xludf.DUMMYFUNCTION("""COMPUTED_VALUE"""),"Haute-Corse")</f>
        <v>Haute-Corse</v>
      </c>
      <c r="B690" t="str">
        <f ca="1">IFERROR(__xludf.DUMMYFUNCTION("""COMPUTED_VALUE"""),"FR832")</f>
        <v>FR832</v>
      </c>
    </row>
    <row r="691" spans="1:2" ht="12.5" x14ac:dyDescent="0.25">
      <c r="A691" t="str">
        <f ca="1">IFERROR(__xludf.DUMMYFUNCTION("""COMPUTED_VALUE"""),"Haute-Garonne")</f>
        <v>Haute-Garonne</v>
      </c>
      <c r="B691" t="str">
        <f ca="1">IFERROR(__xludf.DUMMYFUNCTION("""COMPUTED_VALUE"""),"FR623")</f>
        <v>FR623</v>
      </c>
    </row>
    <row r="692" spans="1:2" ht="12.5" x14ac:dyDescent="0.25">
      <c r="A692" t="str">
        <f ca="1">IFERROR(__xludf.DUMMYFUNCTION("""COMPUTED_VALUE"""),"Haute-Loire")</f>
        <v>Haute-Loire</v>
      </c>
      <c r="B692" t="str">
        <f ca="1">IFERROR(__xludf.DUMMYFUNCTION("""COMPUTED_VALUE"""),"FR723")</f>
        <v>FR723</v>
      </c>
    </row>
    <row r="693" spans="1:2" ht="12.5" x14ac:dyDescent="0.25">
      <c r="A693" t="str">
        <f ca="1">IFERROR(__xludf.DUMMYFUNCTION("""COMPUTED_VALUE"""),"Haute-Marne")</f>
        <v>Haute-Marne</v>
      </c>
      <c r="B693" t="str">
        <f ca="1">IFERROR(__xludf.DUMMYFUNCTION("""COMPUTED_VALUE"""),"FR214")</f>
        <v>FR214</v>
      </c>
    </row>
    <row r="694" spans="1:2" ht="12.5" x14ac:dyDescent="0.25">
      <c r="A694" t="str">
        <f ca="1">IFERROR(__xludf.DUMMYFUNCTION("""COMPUTED_VALUE"""),"Haute-Normandie")</f>
        <v>Haute-Normandie</v>
      </c>
      <c r="B694" t="str">
        <f ca="1">IFERROR(__xludf.DUMMYFUNCTION("""COMPUTED_VALUE"""),"FR23")</f>
        <v>FR23</v>
      </c>
    </row>
    <row r="695" spans="1:2" ht="12.5" x14ac:dyDescent="0.25">
      <c r="A695" t="str">
        <f ca="1">IFERROR(__xludf.DUMMYFUNCTION("""COMPUTED_VALUE"""),"Haute-Saône")</f>
        <v>Haute-Saône</v>
      </c>
      <c r="B695" t="str">
        <f ca="1">IFERROR(__xludf.DUMMYFUNCTION("""COMPUTED_VALUE"""),"FR433")</f>
        <v>FR433</v>
      </c>
    </row>
    <row r="696" spans="1:2" ht="12.5" x14ac:dyDescent="0.25">
      <c r="A696" t="str">
        <f ca="1">IFERROR(__xludf.DUMMYFUNCTION("""COMPUTED_VALUE"""),"Haute-Savoie")</f>
        <v>Haute-Savoie</v>
      </c>
      <c r="B696" t="str">
        <f ca="1">IFERROR(__xludf.DUMMYFUNCTION("""COMPUTED_VALUE"""),"FR718")</f>
        <v>FR718</v>
      </c>
    </row>
    <row r="697" spans="1:2" ht="12.5" x14ac:dyDescent="0.25">
      <c r="A697" t="str">
        <f ca="1">IFERROR(__xludf.DUMMYFUNCTION("""COMPUTED_VALUE"""),"Haute-Vienne")</f>
        <v>Haute-Vienne</v>
      </c>
      <c r="B697" t="str">
        <f ca="1">IFERROR(__xludf.DUMMYFUNCTION("""COMPUTED_VALUE"""),"FR633")</f>
        <v>FR633</v>
      </c>
    </row>
    <row r="698" spans="1:2" ht="12.5" x14ac:dyDescent="0.25">
      <c r="A698" t="str">
        <f ca="1">IFERROR(__xludf.DUMMYFUNCTION("""COMPUTED_VALUE"""),"Hautes-Alpes")</f>
        <v>Hautes-Alpes</v>
      </c>
      <c r="B698" t="str">
        <f ca="1">IFERROR(__xludf.DUMMYFUNCTION("""COMPUTED_VALUE"""),"FR822")</f>
        <v>FR822</v>
      </c>
    </row>
    <row r="699" spans="1:2" ht="12.5" x14ac:dyDescent="0.25">
      <c r="A699" t="str">
        <f ca="1">IFERROR(__xludf.DUMMYFUNCTION("""COMPUTED_VALUE"""),"Hautes-Pyrénées")</f>
        <v>Hautes-Pyrénées</v>
      </c>
      <c r="B699" t="str">
        <f ca="1">IFERROR(__xludf.DUMMYFUNCTION("""COMPUTED_VALUE"""),"FR626")</f>
        <v>FR626</v>
      </c>
    </row>
    <row r="700" spans="1:2" ht="12.5" x14ac:dyDescent="0.25">
      <c r="A700" t="str">
        <f ca="1">IFERROR(__xludf.DUMMYFUNCTION("""COMPUTED_VALUE"""),"Hauts-De-Seine")</f>
        <v>Hauts-De-Seine</v>
      </c>
      <c r="B700" t="str">
        <f ca="1">IFERROR(__xludf.DUMMYFUNCTION("""COMPUTED_VALUE"""),"FR105")</f>
        <v>FR105</v>
      </c>
    </row>
    <row r="701" spans="1:2" ht="12.5" x14ac:dyDescent="0.25">
      <c r="A701" t="str">
        <f ca="1">IFERROR(__xludf.DUMMYFUNCTION("""COMPUTED_VALUE"""),"Havelland")</f>
        <v>Havelland</v>
      </c>
      <c r="B701" t="str">
        <f ca="1">IFERROR(__xludf.DUMMYFUNCTION("""COMPUTED_VALUE"""),"DE426")</f>
        <v>DE426</v>
      </c>
    </row>
    <row r="702" spans="1:2" ht="12.5" x14ac:dyDescent="0.25">
      <c r="A702" t="str">
        <f ca="1">IFERROR(__xludf.DUMMYFUNCTION("""COMPUTED_VALUE"""),"Hedmark")</f>
        <v>Hedmark</v>
      </c>
      <c r="B702" t="str">
        <f ca="1">IFERROR(__xludf.DUMMYFUNCTION("""COMPUTED_VALUE"""),"NO021")</f>
        <v>NO021</v>
      </c>
    </row>
    <row r="703" spans="1:2" ht="12.5" x14ac:dyDescent="0.25">
      <c r="A703" t="str">
        <f ca="1">IFERROR(__xludf.DUMMYFUNCTION("""COMPUTED_VALUE"""),"Hedmark Og Oppland")</f>
        <v>Hedmark Og Oppland</v>
      </c>
      <c r="B703" t="str">
        <f ca="1">IFERROR(__xludf.DUMMYFUNCTION("""COMPUTED_VALUE"""),"NO02")</f>
        <v>NO02</v>
      </c>
    </row>
    <row r="704" spans="1:2" ht="12.5" x14ac:dyDescent="0.25">
      <c r="A704" t="str">
        <f ca="1">IFERROR(__xludf.DUMMYFUNCTION("""COMPUTED_VALUE"""),"Heidelberg, Stadtkreis")</f>
        <v>Heidelberg, Stadtkreis</v>
      </c>
      <c r="B704" t="str">
        <f ca="1">IFERROR(__xludf.DUMMYFUNCTION("""COMPUTED_VALUE"""),"DE125")</f>
        <v>DE125</v>
      </c>
    </row>
    <row r="705" spans="1:2" ht="12.5" x14ac:dyDescent="0.25">
      <c r="A705" t="str">
        <f ca="1">IFERROR(__xludf.DUMMYFUNCTION("""COMPUTED_VALUE"""),"Heidenheim")</f>
        <v>Heidenheim</v>
      </c>
      <c r="B705" t="str">
        <f ca="1">IFERROR(__xludf.DUMMYFUNCTION("""COMPUTED_VALUE"""),"DE11C")</f>
        <v>DE11C</v>
      </c>
    </row>
    <row r="706" spans="1:2" ht="12.5" x14ac:dyDescent="0.25">
      <c r="A706" t="str">
        <f ca="1">IFERROR(__xludf.DUMMYFUNCTION("""COMPUTED_VALUE"""),"Heilbronn, Landkreis")</f>
        <v>Heilbronn, Landkreis</v>
      </c>
      <c r="B706" t="str">
        <f ca="1">IFERROR(__xludf.DUMMYFUNCTION("""COMPUTED_VALUE"""),"DE118")</f>
        <v>DE118</v>
      </c>
    </row>
    <row r="707" spans="1:2" ht="12.5" x14ac:dyDescent="0.25">
      <c r="A707" t="str">
        <f ca="1">IFERROR(__xludf.DUMMYFUNCTION("""COMPUTED_VALUE"""),"Heilbronn, Stadtkreis")</f>
        <v>Heilbronn, Stadtkreis</v>
      </c>
      <c r="B707" t="str">
        <f ca="1">IFERROR(__xludf.DUMMYFUNCTION("""COMPUTED_VALUE"""),"DE117")</f>
        <v>DE117</v>
      </c>
    </row>
    <row r="708" spans="1:2" ht="12.5" x14ac:dyDescent="0.25">
      <c r="A708" t="str">
        <f ca="1">IFERROR(__xludf.DUMMYFUNCTION("""COMPUTED_VALUE"""),"Heinsberg")</f>
        <v>Heinsberg</v>
      </c>
      <c r="B708" t="str">
        <f ca="1">IFERROR(__xludf.DUMMYFUNCTION("""COMPUTED_VALUE"""),"DEA29")</f>
        <v>DEA29</v>
      </c>
    </row>
    <row r="709" spans="1:2" ht="12.5" x14ac:dyDescent="0.25">
      <c r="A709" t="str">
        <f ca="1">IFERROR(__xludf.DUMMYFUNCTION("""COMPUTED_VALUE"""),"Helmstedt")</f>
        <v>Helmstedt</v>
      </c>
      <c r="B709" t="str">
        <f ca="1">IFERROR(__xludf.DUMMYFUNCTION("""COMPUTED_VALUE"""),"DE917")</f>
        <v>DE917</v>
      </c>
    </row>
    <row r="710" spans="1:2" ht="12.5" x14ac:dyDescent="0.25">
      <c r="A710" t="str">
        <f ca="1">IFERROR(__xludf.DUMMYFUNCTION("""COMPUTED_VALUE"""),"Hérault")</f>
        <v>Hérault</v>
      </c>
      <c r="B710" t="str">
        <f ca="1">IFERROR(__xludf.DUMMYFUNCTION("""COMPUTED_VALUE"""),"FR813")</f>
        <v>FR813</v>
      </c>
    </row>
    <row r="711" spans="1:2" ht="12.5" x14ac:dyDescent="0.25">
      <c r="A711" t="str">
        <f ca="1">IFERROR(__xludf.DUMMYFUNCTION("""COMPUTED_VALUE"""),"Herefordshire, County Of")</f>
        <v>Herefordshire, County Of</v>
      </c>
      <c r="B711" t="str">
        <f ca="1">IFERROR(__xludf.DUMMYFUNCTION("""COMPUTED_VALUE"""),"UKG11")</f>
        <v>UKG11</v>
      </c>
    </row>
    <row r="712" spans="1:2" ht="12.5" x14ac:dyDescent="0.25">
      <c r="A712" t="str">
        <f ca="1">IFERROR(__xludf.DUMMYFUNCTION("""COMPUTED_VALUE"""),"Herefordshire, Worcestershire And Warwickshire")</f>
        <v>Herefordshire, Worcestershire And Warwickshire</v>
      </c>
      <c r="B712" t="str">
        <f ca="1">IFERROR(__xludf.DUMMYFUNCTION("""COMPUTED_VALUE"""),"UKG1")</f>
        <v>UKG1</v>
      </c>
    </row>
    <row r="713" spans="1:2" ht="12.5" x14ac:dyDescent="0.25">
      <c r="A713" t="str">
        <f ca="1">IFERROR(__xludf.DUMMYFUNCTION("""COMPUTED_VALUE"""),"Herford")</f>
        <v>Herford</v>
      </c>
      <c r="B713" t="str">
        <f ca="1">IFERROR(__xludf.DUMMYFUNCTION("""COMPUTED_VALUE"""),"DEA43")</f>
        <v>DEA43</v>
      </c>
    </row>
    <row r="714" spans="1:2" ht="12.5" x14ac:dyDescent="0.25">
      <c r="A714" t="str">
        <f ca="1">IFERROR(__xludf.DUMMYFUNCTION("""COMPUTED_VALUE"""),"Herne, Kreisfreie Stadt")</f>
        <v>Herne, Kreisfreie Stadt</v>
      </c>
      <c r="B714" t="str">
        <f ca="1">IFERROR(__xludf.DUMMYFUNCTION("""COMPUTED_VALUE"""),"DEA55")</f>
        <v>DEA55</v>
      </c>
    </row>
    <row r="715" spans="1:2" ht="12.5" x14ac:dyDescent="0.25">
      <c r="A715" t="str">
        <f ca="1">IFERROR(__xludf.DUMMYFUNCTION("""COMPUTED_VALUE"""),"Hersfeld-Rotenburg")</f>
        <v>Hersfeld-Rotenburg</v>
      </c>
      <c r="B715" t="str">
        <f ca="1">IFERROR(__xludf.DUMMYFUNCTION("""COMPUTED_VALUE"""),"DE733")</f>
        <v>DE733</v>
      </c>
    </row>
    <row r="716" spans="1:2" ht="12.5" x14ac:dyDescent="0.25">
      <c r="A716" t="str">
        <f ca="1">IFERROR(__xludf.DUMMYFUNCTION("""COMPUTED_VALUE"""),"Hertfordshire")</f>
        <v>Hertfordshire</v>
      </c>
      <c r="B716" t="str">
        <f ca="1">IFERROR(__xludf.DUMMYFUNCTION("""COMPUTED_VALUE"""),"UKH23")</f>
        <v>UKH23</v>
      </c>
    </row>
    <row r="717" spans="1:2" ht="12.5" x14ac:dyDescent="0.25">
      <c r="A717" t="str">
        <f ca="1">IFERROR(__xludf.DUMMYFUNCTION("""COMPUTED_VALUE"""),"Herzogtum Lauenburg")</f>
        <v>Herzogtum Lauenburg</v>
      </c>
      <c r="B717" t="str">
        <f ca="1">IFERROR(__xludf.DUMMYFUNCTION("""COMPUTED_VALUE"""),"DEF06")</f>
        <v>DEF06</v>
      </c>
    </row>
    <row r="718" spans="1:2" ht="12.5" x14ac:dyDescent="0.25">
      <c r="A718" t="str">
        <f ca="1">IFERROR(__xludf.DUMMYFUNCTION("""COMPUTED_VALUE"""),"Hessen")</f>
        <v>Hessen</v>
      </c>
      <c r="B718" t="str">
        <f ca="1">IFERROR(__xludf.DUMMYFUNCTION("""COMPUTED_VALUE"""),"DE7")</f>
        <v>DE7</v>
      </c>
    </row>
    <row r="719" spans="1:2" ht="12.5" x14ac:dyDescent="0.25">
      <c r="A719" t="str">
        <f ca="1">IFERROR(__xludf.DUMMYFUNCTION("""COMPUTED_VALUE"""),"Het Gooi En Vechtstreek")</f>
        <v>Het Gooi En Vechtstreek</v>
      </c>
      <c r="B719" t="str">
        <f ca="1">IFERROR(__xludf.DUMMYFUNCTION("""COMPUTED_VALUE"""),"NL327")</f>
        <v>NL327</v>
      </c>
    </row>
    <row r="720" spans="1:2" ht="12.5" x14ac:dyDescent="0.25">
      <c r="A720" t="str">
        <f ca="1">IFERROR(__xludf.DUMMYFUNCTION("""COMPUTED_VALUE"""),"Heves")</f>
        <v>Heves</v>
      </c>
      <c r="B720" t="str">
        <f ca="1">IFERROR(__xludf.DUMMYFUNCTION("""COMPUTED_VALUE"""),"HU312")</f>
        <v>HU312</v>
      </c>
    </row>
    <row r="721" spans="1:2" ht="12.5" x14ac:dyDescent="0.25">
      <c r="A721" t="str">
        <f ca="1">IFERROR(__xludf.DUMMYFUNCTION("""COMPUTED_VALUE"""),"Highlands And Islands")</f>
        <v>Highlands And Islands</v>
      </c>
      <c r="B721" t="str">
        <f ca="1">IFERROR(__xludf.DUMMYFUNCTION("""COMPUTED_VALUE"""),"UKM6")</f>
        <v>UKM6</v>
      </c>
    </row>
    <row r="722" spans="1:2" ht="12.5" x14ac:dyDescent="0.25">
      <c r="A722" t="str">
        <f ca="1">IFERROR(__xludf.DUMMYFUNCTION("""COMPUTED_VALUE"""),"Hildburghausen")</f>
        <v>Hildburghausen</v>
      </c>
      <c r="B722" t="str">
        <f ca="1">IFERROR(__xludf.DUMMYFUNCTION("""COMPUTED_VALUE"""),"DEG0E")</f>
        <v>DEG0E</v>
      </c>
    </row>
    <row r="723" spans="1:2" ht="12.5" x14ac:dyDescent="0.25">
      <c r="A723" t="str">
        <f ca="1">IFERROR(__xludf.DUMMYFUNCTION("""COMPUTED_VALUE"""),"Hildesheim")</f>
        <v>Hildesheim</v>
      </c>
      <c r="B723" t="str">
        <f ca="1">IFERROR(__xludf.DUMMYFUNCTION("""COMPUTED_VALUE"""),"DE925")</f>
        <v>DE925</v>
      </c>
    </row>
    <row r="724" spans="1:2" ht="12.5" x14ac:dyDescent="0.25">
      <c r="A724" t="str">
        <f ca="1">IFERROR(__xludf.DUMMYFUNCTION("""COMPUTED_VALUE"""),"Hlavni Mesto Praha")</f>
        <v>Hlavni Mesto Praha</v>
      </c>
      <c r="B724" t="str">
        <f ca="1">IFERROR(__xludf.DUMMYFUNCTION("""COMPUTED_VALUE"""),"CZ010")</f>
        <v>CZ010</v>
      </c>
    </row>
    <row r="725" spans="1:2" ht="12.5" x14ac:dyDescent="0.25">
      <c r="A725" t="str">
        <f ca="1">IFERROR(__xludf.DUMMYFUNCTION("""COMPUTED_VALUE"""),"Hochsauerlandkreis")</f>
        <v>Hochsauerlandkreis</v>
      </c>
      <c r="B725" t="str">
        <f ca="1">IFERROR(__xludf.DUMMYFUNCTION("""COMPUTED_VALUE"""),"DEA57")</f>
        <v>DEA57</v>
      </c>
    </row>
    <row r="726" spans="1:2" ht="12.5" x14ac:dyDescent="0.25">
      <c r="A726" t="str">
        <f ca="1">IFERROR(__xludf.DUMMYFUNCTION("""COMPUTED_VALUE"""),"Hochtaunuskreis")</f>
        <v>Hochtaunuskreis</v>
      </c>
      <c r="B726" t="str">
        <f ca="1">IFERROR(__xludf.DUMMYFUNCTION("""COMPUTED_VALUE"""),"DE718")</f>
        <v>DE718</v>
      </c>
    </row>
    <row r="727" spans="1:2" ht="12.5" x14ac:dyDescent="0.25">
      <c r="A727" t="str">
        <f ca="1">IFERROR(__xludf.DUMMYFUNCTION("""COMPUTED_VALUE"""),"Hof, Kreisfreie Stadt")</f>
        <v>Hof, Kreisfreie Stadt</v>
      </c>
      <c r="B727" t="str">
        <f ca="1">IFERROR(__xludf.DUMMYFUNCTION("""COMPUTED_VALUE"""),"DE244")</f>
        <v>DE244</v>
      </c>
    </row>
    <row r="728" spans="1:2" ht="12.5" x14ac:dyDescent="0.25">
      <c r="A728" t="str">
        <f ca="1">IFERROR(__xludf.DUMMYFUNCTION("""COMPUTED_VALUE"""),"Hof, Landkreis")</f>
        <v>Hof, Landkreis</v>
      </c>
      <c r="B728" t="str">
        <f ca="1">IFERROR(__xludf.DUMMYFUNCTION("""COMPUTED_VALUE"""),"DE249")</f>
        <v>DE249</v>
      </c>
    </row>
    <row r="729" spans="1:2" ht="12.5" x14ac:dyDescent="0.25">
      <c r="A729" t="str">
        <f ca="1">IFERROR(__xludf.DUMMYFUNCTION("""COMPUTED_VALUE"""),"Höfuðborgarsvæði")</f>
        <v>Höfuðborgarsvæði</v>
      </c>
      <c r="B729" t="str">
        <f ca="1">IFERROR(__xludf.DUMMYFUNCTION("""COMPUTED_VALUE"""),"IS001")</f>
        <v>IS001</v>
      </c>
    </row>
    <row r="730" spans="1:2" ht="12.5" x14ac:dyDescent="0.25">
      <c r="A730" t="str">
        <f ca="1">IFERROR(__xludf.DUMMYFUNCTION("""COMPUTED_VALUE"""),"Hohenlohekreis")</f>
        <v>Hohenlohekreis</v>
      </c>
      <c r="B730" t="str">
        <f ca="1">IFERROR(__xludf.DUMMYFUNCTION("""COMPUTED_VALUE"""),"DE119")</f>
        <v>DE119</v>
      </c>
    </row>
    <row r="731" spans="1:2" ht="12.5" x14ac:dyDescent="0.25">
      <c r="A731" t="str">
        <f ca="1">IFERROR(__xludf.DUMMYFUNCTION("""COMPUTED_VALUE"""),"Holzminden")</f>
        <v>Holzminden</v>
      </c>
      <c r="B731" t="str">
        <f ca="1">IFERROR(__xludf.DUMMYFUNCTION("""COMPUTED_VALUE"""),"DE926")</f>
        <v>DE926</v>
      </c>
    </row>
    <row r="732" spans="1:2" ht="12.5" x14ac:dyDescent="0.25">
      <c r="A732" t="str">
        <f ca="1">IFERROR(__xludf.DUMMYFUNCTION("""COMPUTED_VALUE"""),"Hordaland")</f>
        <v>Hordaland</v>
      </c>
      <c r="B732" t="str">
        <f ca="1">IFERROR(__xludf.DUMMYFUNCTION("""COMPUTED_VALUE"""),"NO051")</f>
        <v>NO051</v>
      </c>
    </row>
    <row r="733" spans="1:2" ht="12.5" x14ac:dyDescent="0.25">
      <c r="A733" t="str">
        <f ca="1">IFERROR(__xludf.DUMMYFUNCTION("""COMPUTED_VALUE"""),"Hovedstaden")</f>
        <v>Hovedstaden</v>
      </c>
      <c r="B733" t="str">
        <f ca="1">IFERROR(__xludf.DUMMYFUNCTION("""COMPUTED_VALUE"""),"DK01")</f>
        <v>DK01</v>
      </c>
    </row>
    <row r="734" spans="1:2" ht="12.5" x14ac:dyDescent="0.25">
      <c r="A734" t="str">
        <f ca="1">IFERROR(__xludf.DUMMYFUNCTION("""COMPUTED_VALUE"""),"Höxter")</f>
        <v>Höxter</v>
      </c>
      <c r="B734" t="str">
        <f ca="1">IFERROR(__xludf.DUMMYFUNCTION("""COMPUTED_VALUE"""),"DEA44")</f>
        <v>DEA44</v>
      </c>
    </row>
    <row r="735" spans="1:2" ht="12.5" x14ac:dyDescent="0.25">
      <c r="A735" t="str">
        <f ca="1">IFERROR(__xludf.DUMMYFUNCTION("""COMPUTED_VALUE"""),"Hoyerswerda, Kreisfreie Stadt")</f>
        <v>Hoyerswerda, Kreisfreie Stadt</v>
      </c>
      <c r="B735" t="str">
        <f ca="1">IFERROR(__xludf.DUMMYFUNCTION("""COMPUTED_VALUE"""),"DED23")</f>
        <v>DED23</v>
      </c>
    </row>
    <row r="736" spans="1:2" ht="12.5" x14ac:dyDescent="0.25">
      <c r="A736" t="str">
        <f ca="1">IFERROR(__xludf.DUMMYFUNCTION("""COMPUTED_VALUE"""),"Huelva")</f>
        <v>Huelva</v>
      </c>
      <c r="B736" t="str">
        <f ca="1">IFERROR(__xludf.DUMMYFUNCTION("""COMPUTED_VALUE"""),"ES615")</f>
        <v>ES615</v>
      </c>
    </row>
    <row r="737" spans="1:2" ht="12.5" x14ac:dyDescent="0.25">
      <c r="A737" t="str">
        <f ca="1">IFERROR(__xludf.DUMMYFUNCTION("""COMPUTED_VALUE"""),"Huesca")</f>
        <v>Huesca</v>
      </c>
      <c r="B737" t="str">
        <f ca="1">IFERROR(__xludf.DUMMYFUNCTION("""COMPUTED_VALUE"""),"ES241")</f>
        <v>ES241</v>
      </c>
    </row>
    <row r="738" spans="1:2" ht="12.5" x14ac:dyDescent="0.25">
      <c r="A738" t="str">
        <f ca="1">IFERROR(__xludf.DUMMYFUNCTION("""COMPUTED_VALUE"""),"Hunedoara")</f>
        <v>Hunedoara</v>
      </c>
      <c r="B738" t="str">
        <f ca="1">IFERROR(__xludf.DUMMYFUNCTION("""COMPUTED_VALUE"""),"RO423")</f>
        <v>RO423</v>
      </c>
    </row>
    <row r="739" spans="1:2" ht="12.5" x14ac:dyDescent="0.25">
      <c r="A739" t="str">
        <f ca="1">IFERROR(__xludf.DUMMYFUNCTION("""COMPUTED_VALUE"""),"Ialomita")</f>
        <v>Ialomita</v>
      </c>
      <c r="B739" t="str">
        <f ca="1">IFERROR(__xludf.DUMMYFUNCTION("""COMPUTED_VALUE"""),"RO315")</f>
        <v>RO315</v>
      </c>
    </row>
    <row r="740" spans="1:2" ht="12.5" x14ac:dyDescent="0.25">
      <c r="A740" t="str">
        <f ca="1">IFERROR(__xludf.DUMMYFUNCTION("""COMPUTED_VALUE"""),"Iasi")</f>
        <v>Iasi</v>
      </c>
      <c r="B740" t="str">
        <f ca="1">IFERROR(__xludf.DUMMYFUNCTION("""COMPUTED_VALUE"""),"RO213")</f>
        <v>RO213</v>
      </c>
    </row>
    <row r="741" spans="1:2" ht="12.5" x14ac:dyDescent="0.25">
      <c r="A741" t="str">
        <f ca="1">IFERROR(__xludf.DUMMYFUNCTION("""COMPUTED_VALUE"""),"Ijmond")</f>
        <v>Ijmond</v>
      </c>
      <c r="B741" t="str">
        <f ca="1">IFERROR(__xludf.DUMMYFUNCTION("""COMPUTED_VALUE"""),"NL323")</f>
        <v>NL323</v>
      </c>
    </row>
    <row r="742" spans="1:2" ht="12.5" x14ac:dyDescent="0.25">
      <c r="A742" t="str">
        <f ca="1">IFERROR(__xludf.DUMMYFUNCTION("""COMPUTED_VALUE"""),"Île De France")</f>
        <v>Île De France</v>
      </c>
      <c r="B742" t="str">
        <f ca="1">IFERROR(__xludf.DUMMYFUNCTION("""COMPUTED_VALUE"""),"FR1")</f>
        <v>FR1</v>
      </c>
    </row>
    <row r="743" spans="1:2" ht="12.5" x14ac:dyDescent="0.25">
      <c r="A743" t="str">
        <f ca="1">IFERROR(__xludf.DUMMYFUNCTION("""COMPUTED_VALUE"""),"Île De France (*)")</f>
        <v>Île De France (*)</v>
      </c>
      <c r="B743" t="str">
        <f ca="1">IFERROR(__xludf.DUMMYFUNCTION("""COMPUTED_VALUE"""),"FR10")</f>
        <v>FR10</v>
      </c>
    </row>
    <row r="744" spans="1:2" ht="12.5" x14ac:dyDescent="0.25">
      <c r="A744" t="str">
        <f ca="1">IFERROR(__xludf.DUMMYFUNCTION("""COMPUTED_VALUE"""),"Ileia")</f>
        <v>Ileia</v>
      </c>
      <c r="B744" t="str">
        <f ca="1">IFERROR(__xludf.DUMMYFUNCTION("""COMPUTED_VALUE"""),"GR233")</f>
        <v>GR233</v>
      </c>
    </row>
    <row r="745" spans="1:2" ht="12.5" x14ac:dyDescent="0.25">
      <c r="A745" t="str">
        <f ca="1">IFERROR(__xludf.DUMMYFUNCTION("""COMPUTED_VALUE"""),"Ilfov")</f>
        <v>Ilfov</v>
      </c>
      <c r="B745" t="str">
        <f ca="1">IFERROR(__xludf.DUMMYFUNCTION("""COMPUTED_VALUE"""),"RO322")</f>
        <v>RO322</v>
      </c>
    </row>
    <row r="746" spans="1:2" ht="12.5" x14ac:dyDescent="0.25">
      <c r="A746" t="str">
        <f ca="1">IFERROR(__xludf.DUMMYFUNCTION("""COMPUTED_VALUE"""),"Ille-Et-Vilaine")</f>
        <v>Ille-Et-Vilaine</v>
      </c>
      <c r="B746" t="str">
        <f ca="1">IFERROR(__xludf.DUMMYFUNCTION("""COMPUTED_VALUE"""),"FR523")</f>
        <v>FR523</v>
      </c>
    </row>
    <row r="747" spans="1:2" ht="12.5" x14ac:dyDescent="0.25">
      <c r="A747" t="str">
        <f ca="1">IFERROR(__xludf.DUMMYFUNCTION("""COMPUTED_VALUE"""),"Illes Balears")</f>
        <v>Illes Balears</v>
      </c>
      <c r="B747" t="str">
        <f ca="1">IFERROR(__xludf.DUMMYFUNCTION("""COMPUTED_VALUE"""),"ES53")</f>
        <v>ES53</v>
      </c>
    </row>
    <row r="748" spans="1:2" ht="12.5" x14ac:dyDescent="0.25">
      <c r="A748" t="str">
        <f ca="1">IFERROR(__xludf.DUMMYFUNCTION("""COMPUTED_VALUE"""),"Ilm-Kreis")</f>
        <v>Ilm-Kreis</v>
      </c>
      <c r="B748" t="str">
        <f ca="1">IFERROR(__xludf.DUMMYFUNCTION("""COMPUTED_VALUE"""),"DEG0F")</f>
        <v>DEG0F</v>
      </c>
    </row>
    <row r="749" spans="1:2" ht="12.5" x14ac:dyDescent="0.25">
      <c r="A749" t="str">
        <f ca="1">IFERROR(__xludf.DUMMYFUNCTION("""COMPUTED_VALUE"""),"Imathia")</f>
        <v>Imathia</v>
      </c>
      <c r="B749" t="str">
        <f ca="1">IFERROR(__xludf.DUMMYFUNCTION("""COMPUTED_VALUE"""),"GR121")</f>
        <v>GR121</v>
      </c>
    </row>
    <row r="750" spans="1:2" ht="12.5" x14ac:dyDescent="0.25">
      <c r="A750" t="str">
        <f ca="1">IFERROR(__xludf.DUMMYFUNCTION("""COMPUTED_VALUE"""),"Imperia")</f>
        <v>Imperia</v>
      </c>
      <c r="B750" t="str">
        <f ca="1">IFERROR(__xludf.DUMMYFUNCTION("""COMPUTED_VALUE"""),"ITC31")</f>
        <v>ITC31</v>
      </c>
    </row>
    <row r="751" spans="1:2" ht="12.5" x14ac:dyDescent="0.25">
      <c r="A751" t="str">
        <f ca="1">IFERROR(__xludf.DUMMYFUNCTION("""COMPUTED_VALUE"""),"Indre")</f>
        <v>Indre</v>
      </c>
      <c r="B751" t="str">
        <f ca="1">IFERROR(__xludf.DUMMYFUNCTION("""COMPUTED_VALUE"""),"FR243")</f>
        <v>FR243</v>
      </c>
    </row>
    <row r="752" spans="1:2" ht="12.5" x14ac:dyDescent="0.25">
      <c r="A752" t="str">
        <f ca="1">IFERROR(__xludf.DUMMYFUNCTION("""COMPUTED_VALUE"""),"Indre-Et-Loire")</f>
        <v>Indre-Et-Loire</v>
      </c>
      <c r="B752" t="str">
        <f ca="1">IFERROR(__xludf.DUMMYFUNCTION("""COMPUTED_VALUE"""),"FR244")</f>
        <v>FR244</v>
      </c>
    </row>
    <row r="753" spans="1:2" ht="12.5" x14ac:dyDescent="0.25">
      <c r="A753" t="str">
        <f ca="1">IFERROR(__xludf.DUMMYFUNCTION("""COMPUTED_VALUE"""),"Ingolstadt, Kreisfreie Stadt")</f>
        <v>Ingolstadt, Kreisfreie Stadt</v>
      </c>
      <c r="B753" t="str">
        <f ca="1">IFERROR(__xludf.DUMMYFUNCTION("""COMPUTED_VALUE"""),"DE211")</f>
        <v>DE211</v>
      </c>
    </row>
    <row r="754" spans="1:2" ht="12.5" x14ac:dyDescent="0.25">
      <c r="A754" t="str">
        <f ca="1">IFERROR(__xludf.DUMMYFUNCTION("""COMPUTED_VALUE"""),"Inner London")</f>
        <v>Inner London</v>
      </c>
      <c r="B754" t="str">
        <f ca="1">IFERROR(__xludf.DUMMYFUNCTION("""COMPUTED_VALUE"""),"UKI1")</f>
        <v>UKI1</v>
      </c>
    </row>
    <row r="755" spans="1:2" ht="12.5" x14ac:dyDescent="0.25">
      <c r="A755" t="str">
        <f ca="1">IFERROR(__xludf.DUMMYFUNCTION("""COMPUTED_VALUE"""),"Inner London - East")</f>
        <v>Inner London - East</v>
      </c>
      <c r="B755" t="str">
        <f ca="1">IFERROR(__xludf.DUMMYFUNCTION("""COMPUTED_VALUE"""),"UKI12")</f>
        <v>UKI12</v>
      </c>
    </row>
    <row r="756" spans="1:2" ht="12.5" x14ac:dyDescent="0.25">
      <c r="A756" t="str">
        <f ca="1">IFERROR(__xludf.DUMMYFUNCTION("""COMPUTED_VALUE"""),"Inner London - West")</f>
        <v>Inner London - West</v>
      </c>
      <c r="B756" t="str">
        <f ca="1">IFERROR(__xludf.DUMMYFUNCTION("""COMPUTED_VALUE"""),"UKI11")</f>
        <v>UKI11</v>
      </c>
    </row>
    <row r="757" spans="1:2" ht="12.5" x14ac:dyDescent="0.25">
      <c r="A757" t="str">
        <f ca="1">IFERROR(__xludf.DUMMYFUNCTION("""COMPUTED_VALUE"""),"Innsbruck")</f>
        <v>Innsbruck</v>
      </c>
      <c r="B757" t="str">
        <f ca="1">IFERROR(__xludf.DUMMYFUNCTION("""COMPUTED_VALUE"""),"AT332")</f>
        <v>AT332</v>
      </c>
    </row>
    <row r="758" spans="1:2" ht="12.5" x14ac:dyDescent="0.25">
      <c r="A758" t="str">
        <f ca="1">IFERROR(__xludf.DUMMYFUNCTION("""COMPUTED_VALUE"""),"Innviertel")</f>
        <v>Innviertel</v>
      </c>
      <c r="B758" t="str">
        <f ca="1">IFERROR(__xludf.DUMMYFUNCTION("""COMPUTED_VALUE"""),"AT311")</f>
        <v>AT311</v>
      </c>
    </row>
    <row r="759" spans="1:2" ht="12.5" x14ac:dyDescent="0.25">
      <c r="A759" t="str">
        <f ca="1">IFERROR(__xludf.DUMMYFUNCTION("""COMPUTED_VALUE"""),"Inverclyde, East Renfrewshire And Renfrewshire")</f>
        <v>Inverclyde, East Renfrewshire And Renfrewshire</v>
      </c>
      <c r="B759" t="str">
        <f ca="1">IFERROR(__xludf.DUMMYFUNCTION("""COMPUTED_VALUE"""),"UKM35")</f>
        <v>UKM35</v>
      </c>
    </row>
    <row r="760" spans="1:2" ht="12.5" x14ac:dyDescent="0.25">
      <c r="A760" t="str">
        <f ca="1">IFERROR(__xludf.DUMMYFUNCTION("""COMPUTED_VALUE"""),"Inverness &amp; Nairn And Moray, Badenoch &amp; Strathspey")</f>
        <v>Inverness &amp; Nairn And Moray, Badenoch &amp; Strathspey</v>
      </c>
      <c r="B760" t="str">
        <f ca="1">IFERROR(__xludf.DUMMYFUNCTION("""COMPUTED_VALUE"""),"UKM62")</f>
        <v>UKM62</v>
      </c>
    </row>
    <row r="761" spans="1:2" ht="12.5" x14ac:dyDescent="0.25">
      <c r="A761" t="str">
        <f ca="1">IFERROR(__xludf.DUMMYFUNCTION("""COMPUTED_VALUE"""),"Ioannina")</f>
        <v>Ioannina</v>
      </c>
      <c r="B761" t="str">
        <f ca="1">IFERROR(__xludf.DUMMYFUNCTION("""COMPUTED_VALUE"""),"GR213")</f>
        <v>GR213</v>
      </c>
    </row>
    <row r="762" spans="1:2" ht="12.5" x14ac:dyDescent="0.25">
      <c r="A762" t="str">
        <f ca="1">IFERROR(__xludf.DUMMYFUNCTION("""COMPUTED_VALUE"""),"Ionia Nisia")</f>
        <v>Ionia Nisia</v>
      </c>
      <c r="B762" t="str">
        <f ca="1">IFERROR(__xludf.DUMMYFUNCTION("""COMPUTED_VALUE"""),"GR22")</f>
        <v>GR22</v>
      </c>
    </row>
    <row r="763" spans="1:2" ht="12.5" x14ac:dyDescent="0.25">
      <c r="A763" t="str">
        <f ca="1">IFERROR(__xludf.DUMMYFUNCTION("""COMPUTED_VALUE"""),"Ipeiros")</f>
        <v>Ipeiros</v>
      </c>
      <c r="B763" t="str">
        <f ca="1">IFERROR(__xludf.DUMMYFUNCTION("""COMPUTED_VALUE"""),"GR21")</f>
        <v>GR21</v>
      </c>
    </row>
    <row r="764" spans="1:2" ht="12.5" x14ac:dyDescent="0.25">
      <c r="A764" t="str">
        <f ca="1">IFERROR(__xludf.DUMMYFUNCTION("""COMPUTED_VALUE"""),"Irakleio")</f>
        <v>Irakleio</v>
      </c>
      <c r="B764" t="str">
        <f ca="1">IFERROR(__xludf.DUMMYFUNCTION("""COMPUTED_VALUE"""),"GR431")</f>
        <v>GR431</v>
      </c>
    </row>
    <row r="765" spans="1:2" ht="12.5" x14ac:dyDescent="0.25">
      <c r="A765" t="str">
        <f ca="1">IFERROR(__xludf.DUMMYFUNCTION("""COMPUTED_VALUE"""),"Ireland")</f>
        <v>Ireland</v>
      </c>
      <c r="B765" t="str">
        <f ca="1">IFERROR(__xludf.DUMMYFUNCTION("""COMPUTED_VALUE"""),"IE")</f>
        <v>IE</v>
      </c>
    </row>
    <row r="766" spans="1:2" ht="12.5" x14ac:dyDescent="0.25">
      <c r="A766" t="str">
        <f ca="1">IFERROR(__xludf.DUMMYFUNCTION("""COMPUTED_VALUE"""),"Ireland (*)")</f>
        <v>Ireland (*)</v>
      </c>
      <c r="B766" t="str">
        <f ca="1">IFERROR(__xludf.DUMMYFUNCTION("""COMPUTED_VALUE"""),"IE0")</f>
        <v>IE0</v>
      </c>
    </row>
    <row r="767" spans="1:2" ht="12.5" x14ac:dyDescent="0.25">
      <c r="A767" t="str">
        <f ca="1">IFERROR(__xludf.DUMMYFUNCTION("""COMPUTED_VALUE"""),"Isère")</f>
        <v>Isère</v>
      </c>
      <c r="B767" t="str">
        <f ca="1">IFERROR(__xludf.DUMMYFUNCTION("""COMPUTED_VALUE"""),"FR714")</f>
        <v>FR714</v>
      </c>
    </row>
    <row r="768" spans="1:2" ht="12.5" x14ac:dyDescent="0.25">
      <c r="A768" t="str">
        <f ca="1">IFERROR(__xludf.DUMMYFUNCTION("""COMPUTED_VALUE"""),"Isernia")</f>
        <v>Isernia</v>
      </c>
      <c r="B768" t="str">
        <f ca="1">IFERROR(__xludf.DUMMYFUNCTION("""COMPUTED_VALUE"""),"ITF21")</f>
        <v>ITF21</v>
      </c>
    </row>
    <row r="769" spans="1:2" ht="12.5" x14ac:dyDescent="0.25">
      <c r="A769" t="str">
        <f ca="1">IFERROR(__xludf.DUMMYFUNCTION("""COMPUTED_VALUE"""),"Ísland")</f>
        <v>Ísland</v>
      </c>
      <c r="B769" t="str">
        <f ca="1">IFERROR(__xludf.DUMMYFUNCTION("""COMPUTED_VALUE"""),"IS")</f>
        <v>IS</v>
      </c>
    </row>
    <row r="770" spans="1:2" ht="12.5" x14ac:dyDescent="0.25">
      <c r="A770" t="str">
        <f ca="1">IFERROR(__xludf.DUMMYFUNCTION("""COMPUTED_VALUE"""),"Ísland (*)")</f>
        <v>Ísland (*)</v>
      </c>
      <c r="B770" t="str">
        <f ca="1">IFERROR(__xludf.DUMMYFUNCTION("""COMPUTED_VALUE"""),"IS0")</f>
        <v>IS0</v>
      </c>
    </row>
    <row r="771" spans="1:2" ht="12.5" x14ac:dyDescent="0.25">
      <c r="A771" t="str">
        <f ca="1">IFERROR(__xludf.DUMMYFUNCTION("""COMPUTED_VALUE"""),"Ísland (**)")</f>
        <v>Ísland (**)</v>
      </c>
      <c r="B771" t="str">
        <f ca="1">IFERROR(__xludf.DUMMYFUNCTION("""COMPUTED_VALUE"""),"IS00")</f>
        <v>IS00</v>
      </c>
    </row>
    <row r="772" spans="1:2" ht="12.5" x14ac:dyDescent="0.25">
      <c r="A772" t="str">
        <f ca="1">IFERROR(__xludf.DUMMYFUNCTION("""COMPUTED_VALUE"""),"Isle Of Anglesey")</f>
        <v>Isle Of Anglesey</v>
      </c>
      <c r="B772" t="str">
        <f ca="1">IFERROR(__xludf.DUMMYFUNCTION("""COMPUTED_VALUE"""),"UKL11")</f>
        <v>UKL11</v>
      </c>
    </row>
    <row r="773" spans="1:2" ht="12.5" x14ac:dyDescent="0.25">
      <c r="A773" t="str">
        <f ca="1">IFERROR(__xludf.DUMMYFUNCTION("""COMPUTED_VALUE"""),"Isle Of Wight")</f>
        <v>Isle Of Wight</v>
      </c>
      <c r="B773" t="str">
        <f ca="1">IFERROR(__xludf.DUMMYFUNCTION("""COMPUTED_VALUE"""),"UKJ34")</f>
        <v>UKJ34</v>
      </c>
    </row>
    <row r="774" spans="1:2" ht="12.5" x14ac:dyDescent="0.25">
      <c r="A774" t="str">
        <f ca="1">IFERROR(__xludf.DUMMYFUNCTION("""COMPUTED_VALUE"""),"Isole")</f>
        <v>Isole</v>
      </c>
      <c r="B774" t="str">
        <f ca="1">IFERROR(__xludf.DUMMYFUNCTION("""COMPUTED_VALUE"""),"ITG")</f>
        <v>ITG</v>
      </c>
    </row>
    <row r="775" spans="1:2" ht="12.5" x14ac:dyDescent="0.25">
      <c r="A775" t="str">
        <f ca="1">IFERROR(__xludf.DUMMYFUNCTION("""COMPUTED_VALUE"""),"Itä-Suomi")</f>
        <v>Itä-Suomi</v>
      </c>
      <c r="B775" t="str">
        <f ca="1">IFERROR(__xludf.DUMMYFUNCTION("""COMPUTED_VALUE"""),"FI13")</f>
        <v>FI13</v>
      </c>
    </row>
    <row r="776" spans="1:2" ht="12.5" x14ac:dyDescent="0.25">
      <c r="A776" t="str">
        <f ca="1">IFERROR(__xludf.DUMMYFUNCTION("""COMPUTED_VALUE"""),"Itä-Uusimaa")</f>
        <v>Itä-Uusimaa</v>
      </c>
      <c r="B776" t="str">
        <f ca="1">IFERROR(__xludf.DUMMYFUNCTION("""COMPUTED_VALUE"""),"FI182")</f>
        <v>FI182</v>
      </c>
    </row>
    <row r="777" spans="1:2" ht="12.5" x14ac:dyDescent="0.25">
      <c r="A777" t="str">
        <f ca="1">IFERROR(__xludf.DUMMYFUNCTION("""COMPUTED_VALUE"""),"Italia")</f>
        <v>Italia</v>
      </c>
      <c r="B777" t="str">
        <f ca="1">IFERROR(__xludf.DUMMYFUNCTION("""COMPUTED_VALUE"""),"IT")</f>
        <v>IT</v>
      </c>
    </row>
    <row r="778" spans="1:2" ht="12.5" x14ac:dyDescent="0.25">
      <c r="A778" t="str">
        <f ca="1">IFERROR(__xludf.DUMMYFUNCTION("""COMPUTED_VALUE"""),"Jaén")</f>
        <v>Jaén</v>
      </c>
      <c r="B778" t="str">
        <f ca="1">IFERROR(__xludf.DUMMYFUNCTION("""COMPUTED_VALUE"""),"ES616")</f>
        <v>ES616</v>
      </c>
    </row>
    <row r="779" spans="1:2" ht="12.5" x14ac:dyDescent="0.25">
      <c r="A779" t="str">
        <f ca="1">IFERROR(__xludf.DUMMYFUNCTION("""COMPUTED_VALUE"""),"Jämtlands Län")</f>
        <v>Jämtlands Län</v>
      </c>
      <c r="B779" t="str">
        <f ca="1">IFERROR(__xludf.DUMMYFUNCTION("""COMPUTED_VALUE"""),"SE322")</f>
        <v>SE322</v>
      </c>
    </row>
    <row r="780" spans="1:2" ht="12.5" x14ac:dyDescent="0.25">
      <c r="A780" t="str">
        <f ca="1">IFERROR(__xludf.DUMMYFUNCTION("""COMPUTED_VALUE"""),"Jasz-Nagykun-Szolnok")</f>
        <v>Jasz-Nagykun-Szolnok</v>
      </c>
      <c r="B780" t="str">
        <f ca="1">IFERROR(__xludf.DUMMYFUNCTION("""COMPUTED_VALUE"""),"HU322")</f>
        <v>HU322</v>
      </c>
    </row>
    <row r="781" spans="1:2" ht="12.5" x14ac:dyDescent="0.25">
      <c r="A781" t="str">
        <f ca="1">IFERROR(__xludf.DUMMYFUNCTION("""COMPUTED_VALUE"""),"Jeleniogorski")</f>
        <v>Jeleniogorski</v>
      </c>
      <c r="B781" t="str">
        <f ca="1">IFERROR(__xludf.DUMMYFUNCTION("""COMPUTED_VALUE"""),"PL515")</f>
        <v>PL515</v>
      </c>
    </row>
    <row r="782" spans="1:2" ht="12.5" x14ac:dyDescent="0.25">
      <c r="A782" t="str">
        <f ca="1">IFERROR(__xludf.DUMMYFUNCTION("""COMPUTED_VALUE"""),"Jena, Kreisfreie Stadt")</f>
        <v>Jena, Kreisfreie Stadt</v>
      </c>
      <c r="B782" t="str">
        <f ca="1">IFERROR(__xludf.DUMMYFUNCTION("""COMPUTED_VALUE"""),"DEG03")</f>
        <v>DEG03</v>
      </c>
    </row>
    <row r="783" spans="1:2" ht="12.5" x14ac:dyDescent="0.25">
      <c r="A783" t="str">
        <f ca="1">IFERROR(__xludf.DUMMYFUNCTION("""COMPUTED_VALUE"""),"Jerichower Land")</f>
        <v>Jerichower Land</v>
      </c>
      <c r="B783" t="str">
        <f ca="1">IFERROR(__xludf.DUMMYFUNCTION("""COMPUTED_VALUE"""),"DEE06")</f>
        <v>DEE06</v>
      </c>
    </row>
    <row r="784" spans="1:2" ht="12.5" x14ac:dyDescent="0.25">
      <c r="A784" t="str">
        <f ca="1">IFERROR(__xludf.DUMMYFUNCTION("""COMPUTED_VALUE"""),"Jihocesky Kraj")</f>
        <v>Jihocesky Kraj</v>
      </c>
      <c r="B784" t="str">
        <f ca="1">IFERROR(__xludf.DUMMYFUNCTION("""COMPUTED_VALUE"""),"CZ031")</f>
        <v>CZ031</v>
      </c>
    </row>
    <row r="785" spans="1:2" ht="12.5" x14ac:dyDescent="0.25">
      <c r="A785" t="str">
        <f ca="1">IFERROR(__xludf.DUMMYFUNCTION("""COMPUTED_VALUE"""),"Jihomoravsky Kraj")</f>
        <v>Jihomoravsky Kraj</v>
      </c>
      <c r="B785" t="str">
        <f ca="1">IFERROR(__xludf.DUMMYFUNCTION("""COMPUTED_VALUE"""),"CZ064")</f>
        <v>CZ064</v>
      </c>
    </row>
    <row r="786" spans="1:2" ht="12.5" x14ac:dyDescent="0.25">
      <c r="A786" t="str">
        <f ca="1">IFERROR(__xludf.DUMMYFUNCTION("""COMPUTED_VALUE"""),"Jihovychod")</f>
        <v>Jihovychod</v>
      </c>
      <c r="B786" t="str">
        <f ca="1">IFERROR(__xludf.DUMMYFUNCTION("""COMPUTED_VALUE"""),"CZ06")</f>
        <v>CZ06</v>
      </c>
    </row>
    <row r="787" spans="1:2" ht="12.5" x14ac:dyDescent="0.25">
      <c r="A787" t="str">
        <f ca="1">IFERROR(__xludf.DUMMYFUNCTION("""COMPUTED_VALUE"""),"Jihozapad")</f>
        <v>Jihozapad</v>
      </c>
      <c r="B787" t="str">
        <f ca="1">IFERROR(__xludf.DUMMYFUNCTION("""COMPUTED_VALUE"""),"CZ03")</f>
        <v>CZ03</v>
      </c>
    </row>
    <row r="788" spans="1:2" ht="12.5" x14ac:dyDescent="0.25">
      <c r="A788" t="str">
        <f ca="1">IFERROR(__xludf.DUMMYFUNCTION("""COMPUTED_VALUE"""),"Jönköpings Län")</f>
        <v>Jönköpings Län</v>
      </c>
      <c r="B788" t="str">
        <f ca="1">IFERROR(__xludf.DUMMYFUNCTION("""COMPUTED_VALUE"""),"SE211")</f>
        <v>SE211</v>
      </c>
    </row>
    <row r="789" spans="1:2" ht="12.5" x14ac:dyDescent="0.25">
      <c r="A789" t="str">
        <f ca="1">IFERROR(__xludf.DUMMYFUNCTION("""COMPUTED_VALUE"""),"Jugovzhodna Slovenija")</f>
        <v>Jugovzhodna Slovenija</v>
      </c>
      <c r="B789" t="str">
        <f ca="1">IFERROR(__xludf.DUMMYFUNCTION("""COMPUTED_VALUE"""),"SI017")</f>
        <v>SI017</v>
      </c>
    </row>
    <row r="790" spans="1:2" ht="12.5" x14ac:dyDescent="0.25">
      <c r="A790" t="str">
        <f ca="1">IFERROR(__xludf.DUMMYFUNCTION("""COMPUTED_VALUE"""),"Jura")</f>
        <v>Jura</v>
      </c>
      <c r="B790" t="str">
        <f ca="1">IFERROR(__xludf.DUMMYFUNCTION("""COMPUTED_VALUE"""),"CH025")</f>
        <v>CH025</v>
      </c>
    </row>
    <row r="791" spans="1:2" ht="12.5" x14ac:dyDescent="0.25">
      <c r="A791" t="str">
        <f ca="1">IFERROR(__xludf.DUMMYFUNCTION("""COMPUTED_VALUE"""),"Jura (*)")</f>
        <v>Jura (*)</v>
      </c>
      <c r="B791" t="str">
        <f ca="1">IFERROR(__xludf.DUMMYFUNCTION("""COMPUTED_VALUE"""),"FR432")</f>
        <v>FR432</v>
      </c>
    </row>
    <row r="792" spans="1:2" ht="12.5" x14ac:dyDescent="0.25">
      <c r="A792" t="str">
        <f ca="1">IFERROR(__xludf.DUMMYFUNCTION("""COMPUTED_VALUE"""),"Kainuu")</f>
        <v>Kainuu</v>
      </c>
      <c r="B792" t="str">
        <f ca="1">IFERROR(__xludf.DUMMYFUNCTION("""COMPUTED_VALUE"""),"FI134")</f>
        <v>FI134</v>
      </c>
    </row>
    <row r="793" spans="1:2" ht="12.5" x14ac:dyDescent="0.25">
      <c r="A793" t="str">
        <f ca="1">IFERROR(__xludf.DUMMYFUNCTION("""COMPUTED_VALUE"""),"Kaiserslautern, Kreisfreie Stadt")</f>
        <v>Kaiserslautern, Kreisfreie Stadt</v>
      </c>
      <c r="B793" t="str">
        <f ca="1">IFERROR(__xludf.DUMMYFUNCTION("""COMPUTED_VALUE"""),"DEB32")</f>
        <v>DEB32</v>
      </c>
    </row>
    <row r="794" spans="1:2" ht="12.5" x14ac:dyDescent="0.25">
      <c r="A794" t="str">
        <f ca="1">IFERROR(__xludf.DUMMYFUNCTION("""COMPUTED_VALUE"""),"Kaiserslautern, Landkreis")</f>
        <v>Kaiserslautern, Landkreis</v>
      </c>
      <c r="B794" t="str">
        <f ca="1">IFERROR(__xludf.DUMMYFUNCTION("""COMPUTED_VALUE"""),"DEB3F")</f>
        <v>DEB3F</v>
      </c>
    </row>
    <row r="795" spans="1:2" ht="12.5" x14ac:dyDescent="0.25">
      <c r="A795" t="str">
        <f ca="1">IFERROR(__xludf.DUMMYFUNCTION("""COMPUTED_VALUE"""),"Kaliski")</f>
        <v>Kaliski</v>
      </c>
      <c r="B795" t="str">
        <f ca="1">IFERROR(__xludf.DUMMYFUNCTION("""COMPUTED_VALUE"""),"PL416")</f>
        <v>PL416</v>
      </c>
    </row>
    <row r="796" spans="1:2" ht="12.5" x14ac:dyDescent="0.25">
      <c r="A796" t="str">
        <f ca="1">IFERROR(__xludf.DUMMYFUNCTION("""COMPUTED_VALUE"""),"Kalmar Län")</f>
        <v>Kalmar Län</v>
      </c>
      <c r="B796" t="str">
        <f ca="1">IFERROR(__xludf.DUMMYFUNCTION("""COMPUTED_VALUE"""),"SE213")</f>
        <v>SE213</v>
      </c>
    </row>
    <row r="797" spans="1:2" ht="12.5" x14ac:dyDescent="0.25">
      <c r="A797" t="str">
        <f ca="1">IFERROR(__xludf.DUMMYFUNCTION("""COMPUTED_VALUE"""),"Kamenz")</f>
        <v>Kamenz</v>
      </c>
      <c r="B797" t="str">
        <f ca="1">IFERROR(__xludf.DUMMYFUNCTION("""COMPUTED_VALUE"""),"DED2B")</f>
        <v>DED2B</v>
      </c>
    </row>
    <row r="798" spans="1:2" ht="12.5" x14ac:dyDescent="0.25">
      <c r="A798" t="str">
        <f ca="1">IFERROR(__xludf.DUMMYFUNCTION("""COMPUTED_VALUE"""),"Kanta-Häme")</f>
        <v>Kanta-Häme</v>
      </c>
      <c r="B798" t="str">
        <f ca="1">IFERROR(__xludf.DUMMYFUNCTION("""COMPUTED_VALUE"""),"FI184")</f>
        <v>FI184</v>
      </c>
    </row>
    <row r="799" spans="1:2" ht="12.5" x14ac:dyDescent="0.25">
      <c r="A799" t="str">
        <f ca="1">IFERROR(__xludf.DUMMYFUNCTION("""COMPUTED_VALUE"""),"Karditsa")</f>
        <v>Karditsa</v>
      </c>
      <c r="B799" t="str">
        <f ca="1">IFERROR(__xludf.DUMMYFUNCTION("""COMPUTED_VALUE"""),"GR141")</f>
        <v>GR141</v>
      </c>
    </row>
    <row r="800" spans="1:2" ht="12.5" x14ac:dyDescent="0.25">
      <c r="A800" t="str">
        <f ca="1">IFERROR(__xludf.DUMMYFUNCTION("""COMPUTED_VALUE"""),"Kardzhali")</f>
        <v>Kardzhali</v>
      </c>
      <c r="B800" t="str">
        <f ca="1">IFERROR(__xludf.DUMMYFUNCTION("""COMPUTED_VALUE"""),"BG425")</f>
        <v>BG425</v>
      </c>
    </row>
    <row r="801" spans="1:2" ht="12.5" x14ac:dyDescent="0.25">
      <c r="A801" t="str">
        <f ca="1">IFERROR(__xludf.DUMMYFUNCTION("""COMPUTED_VALUE"""),"Karlovarsky Kraj")</f>
        <v>Karlovarsky Kraj</v>
      </c>
      <c r="B801" t="str">
        <f ca="1">IFERROR(__xludf.DUMMYFUNCTION("""COMPUTED_VALUE"""),"CZ041")</f>
        <v>CZ041</v>
      </c>
    </row>
    <row r="802" spans="1:2" ht="12.5" x14ac:dyDescent="0.25">
      <c r="A802" t="str">
        <f ca="1">IFERROR(__xludf.DUMMYFUNCTION("""COMPUTED_VALUE"""),"Karlsruhe")</f>
        <v>Karlsruhe</v>
      </c>
      <c r="B802" t="str">
        <f ca="1">IFERROR(__xludf.DUMMYFUNCTION("""COMPUTED_VALUE"""),"DE12")</f>
        <v>DE12</v>
      </c>
    </row>
    <row r="803" spans="1:2" ht="12.5" x14ac:dyDescent="0.25">
      <c r="A803" t="str">
        <f ca="1">IFERROR(__xludf.DUMMYFUNCTION("""COMPUTED_VALUE"""),"Karlsruhe, Landkreis")</f>
        <v>Karlsruhe, Landkreis</v>
      </c>
      <c r="B803" t="str">
        <f ca="1">IFERROR(__xludf.DUMMYFUNCTION("""COMPUTED_VALUE"""),"DE123")</f>
        <v>DE123</v>
      </c>
    </row>
    <row r="804" spans="1:2" ht="12.5" x14ac:dyDescent="0.25">
      <c r="A804" t="str">
        <f ca="1">IFERROR(__xludf.DUMMYFUNCTION("""COMPUTED_VALUE"""),"Karlsruhe, Stadtkreis")</f>
        <v>Karlsruhe, Stadtkreis</v>
      </c>
      <c r="B804" t="str">
        <f ca="1">IFERROR(__xludf.DUMMYFUNCTION("""COMPUTED_VALUE"""),"DE122")</f>
        <v>DE122</v>
      </c>
    </row>
    <row r="805" spans="1:2" ht="12.5" x14ac:dyDescent="0.25">
      <c r="A805" t="str">
        <f ca="1">IFERROR(__xludf.DUMMYFUNCTION("""COMPUTED_VALUE"""),"Kärnten")</f>
        <v>Kärnten</v>
      </c>
      <c r="B805" t="str">
        <f ca="1">IFERROR(__xludf.DUMMYFUNCTION("""COMPUTED_VALUE"""),"AT21")</f>
        <v>AT21</v>
      </c>
    </row>
    <row r="806" spans="1:2" ht="12.5" x14ac:dyDescent="0.25">
      <c r="A806" t="str">
        <f ca="1">IFERROR(__xludf.DUMMYFUNCTION("""COMPUTED_VALUE"""),"Kassel")</f>
        <v>Kassel</v>
      </c>
      <c r="B806" t="str">
        <f ca="1">IFERROR(__xludf.DUMMYFUNCTION("""COMPUTED_VALUE"""),"DE73")</f>
        <v>DE73</v>
      </c>
    </row>
    <row r="807" spans="1:2" ht="12.5" x14ac:dyDescent="0.25">
      <c r="A807" t="str">
        <f ca="1">IFERROR(__xludf.DUMMYFUNCTION("""COMPUTED_VALUE"""),"Kassel, Kreisfreie Stadt")</f>
        <v>Kassel, Kreisfreie Stadt</v>
      </c>
      <c r="B807" t="str">
        <f ca="1">IFERROR(__xludf.DUMMYFUNCTION("""COMPUTED_VALUE"""),"DE731")</f>
        <v>DE731</v>
      </c>
    </row>
    <row r="808" spans="1:2" ht="12.5" x14ac:dyDescent="0.25">
      <c r="A808" t="str">
        <f ca="1">IFERROR(__xludf.DUMMYFUNCTION("""COMPUTED_VALUE"""),"Kassel, Landkreis")</f>
        <v>Kassel, Landkreis</v>
      </c>
      <c r="B808" t="str">
        <f ca="1">IFERROR(__xludf.DUMMYFUNCTION("""COMPUTED_VALUE"""),"DE734")</f>
        <v>DE734</v>
      </c>
    </row>
    <row r="809" spans="1:2" ht="12.5" x14ac:dyDescent="0.25">
      <c r="A809" t="str">
        <f ca="1">IFERROR(__xludf.DUMMYFUNCTION("""COMPUTED_VALUE"""),"Kastoria")</f>
        <v>Kastoria</v>
      </c>
      <c r="B809" t="str">
        <f ca="1">IFERROR(__xludf.DUMMYFUNCTION("""COMPUTED_VALUE"""),"GR132")</f>
        <v>GR132</v>
      </c>
    </row>
    <row r="810" spans="1:2" ht="12.5" x14ac:dyDescent="0.25">
      <c r="A810" t="str">
        <f ca="1">IFERROR(__xludf.DUMMYFUNCTION("""COMPUTED_VALUE"""),"Katowicki")</f>
        <v>Katowicki</v>
      </c>
      <c r="B810" t="str">
        <f ca="1">IFERROR(__xludf.DUMMYFUNCTION("""COMPUTED_VALUE"""),"PL22A")</f>
        <v>PL22A</v>
      </c>
    </row>
    <row r="811" spans="1:2" ht="12.5" x14ac:dyDescent="0.25">
      <c r="A811" t="str">
        <f ca="1">IFERROR(__xludf.DUMMYFUNCTION("""COMPUTED_VALUE"""),"Kaufbeuren, Kreisfreie Stadt")</f>
        <v>Kaufbeuren, Kreisfreie Stadt</v>
      </c>
      <c r="B811" t="str">
        <f ca="1">IFERROR(__xludf.DUMMYFUNCTION("""COMPUTED_VALUE"""),"DE272")</f>
        <v>DE272</v>
      </c>
    </row>
    <row r="812" spans="1:2" ht="12.5" x14ac:dyDescent="0.25">
      <c r="A812" t="str">
        <f ca="1">IFERROR(__xludf.DUMMYFUNCTION("""COMPUTED_VALUE"""),"Kauno Apskritis")</f>
        <v>Kauno Apskritis</v>
      </c>
      <c r="B812" t="str">
        <f ca="1">IFERROR(__xludf.DUMMYFUNCTION("""COMPUTED_VALUE"""),"LT002")</f>
        <v>LT002</v>
      </c>
    </row>
    <row r="813" spans="1:2" ht="12.5" x14ac:dyDescent="0.25">
      <c r="A813" t="str">
        <f ca="1">IFERROR(__xludf.DUMMYFUNCTION("""COMPUTED_VALUE"""),"Kavala")</f>
        <v>Kavala</v>
      </c>
      <c r="B813" t="str">
        <f ca="1">IFERROR(__xludf.DUMMYFUNCTION("""COMPUTED_VALUE"""),"GR115")</f>
        <v>GR115</v>
      </c>
    </row>
    <row r="814" spans="1:2" ht="12.5" x14ac:dyDescent="0.25">
      <c r="A814" t="str">
        <f ca="1">IFERROR(__xludf.DUMMYFUNCTION("""COMPUTED_VALUE"""),"Kefallinia")</f>
        <v>Kefallinia</v>
      </c>
      <c r="B814" t="str">
        <f ca="1">IFERROR(__xludf.DUMMYFUNCTION("""COMPUTED_VALUE"""),"GR223")</f>
        <v>GR223</v>
      </c>
    </row>
    <row r="815" spans="1:2" ht="12.5" x14ac:dyDescent="0.25">
      <c r="A815" t="str">
        <f ca="1">IFERROR(__xludf.DUMMYFUNCTION("""COMPUTED_VALUE"""),"Kelheim")</f>
        <v>Kelheim</v>
      </c>
      <c r="B815" t="str">
        <f ca="1">IFERROR(__xludf.DUMMYFUNCTION("""COMPUTED_VALUE"""),"DE226")</f>
        <v>DE226</v>
      </c>
    </row>
    <row r="816" spans="1:2" ht="12.5" x14ac:dyDescent="0.25">
      <c r="A816" t="str">
        <f ca="1">IFERROR(__xludf.DUMMYFUNCTION("""COMPUTED_VALUE"""),"Kempten (Allgäu), Kreisfreie Stadt")</f>
        <v>Kempten (Allgäu), Kreisfreie Stadt</v>
      </c>
      <c r="B816" t="str">
        <f ca="1">IFERROR(__xludf.DUMMYFUNCTION("""COMPUTED_VALUE"""),"DE273")</f>
        <v>DE273</v>
      </c>
    </row>
    <row r="817" spans="1:2" ht="12.5" x14ac:dyDescent="0.25">
      <c r="A817" t="str">
        <f ca="1">IFERROR(__xludf.DUMMYFUNCTION("""COMPUTED_VALUE"""),"Kent")</f>
        <v>Kent</v>
      </c>
      <c r="B817" t="str">
        <f ca="1">IFERROR(__xludf.DUMMYFUNCTION("""COMPUTED_VALUE"""),"UKJ4")</f>
        <v>UKJ4</v>
      </c>
    </row>
    <row r="818" spans="1:2" ht="12.5" x14ac:dyDescent="0.25">
      <c r="A818" t="str">
        <f ca="1">IFERROR(__xludf.DUMMYFUNCTION("""COMPUTED_VALUE"""),"Kent Cc")</f>
        <v>Kent Cc</v>
      </c>
      <c r="B818" t="str">
        <f ca="1">IFERROR(__xludf.DUMMYFUNCTION("""COMPUTED_VALUE"""),"UKJ42")</f>
        <v>UKJ42</v>
      </c>
    </row>
    <row r="819" spans="1:2" ht="12.5" x14ac:dyDescent="0.25">
      <c r="A819" t="str">
        <f ca="1">IFERROR(__xludf.DUMMYFUNCTION("""COMPUTED_VALUE"""),"Kentriki Ellada")</f>
        <v>Kentriki Ellada</v>
      </c>
      <c r="B819" t="str">
        <f ca="1">IFERROR(__xludf.DUMMYFUNCTION("""COMPUTED_VALUE"""),"GR2")</f>
        <v>GR2</v>
      </c>
    </row>
    <row r="820" spans="1:2" ht="12.5" x14ac:dyDescent="0.25">
      <c r="A820" t="str">
        <f ca="1">IFERROR(__xludf.DUMMYFUNCTION("""COMPUTED_VALUE"""),"Kentriki Makedonia")</f>
        <v>Kentriki Makedonia</v>
      </c>
      <c r="B820" t="str">
        <f ca="1">IFERROR(__xludf.DUMMYFUNCTION("""COMPUTED_VALUE"""),"GR12")</f>
        <v>GR12</v>
      </c>
    </row>
    <row r="821" spans="1:2" ht="12.5" x14ac:dyDescent="0.25">
      <c r="A821" t="str">
        <f ca="1">IFERROR(__xludf.DUMMYFUNCTION("""COMPUTED_VALUE"""),"Kerkyra")</f>
        <v>Kerkyra</v>
      </c>
      <c r="B821" t="str">
        <f ca="1">IFERROR(__xludf.DUMMYFUNCTION("""COMPUTED_VALUE"""),"GR222")</f>
        <v>GR222</v>
      </c>
    </row>
    <row r="822" spans="1:2" ht="12.5" x14ac:dyDescent="0.25">
      <c r="A822" t="str">
        <f ca="1">IFERROR(__xludf.DUMMYFUNCTION("""COMPUTED_VALUE"""),"Kesk-Eesti")</f>
        <v>Kesk-Eesti</v>
      </c>
      <c r="B822" t="str">
        <f ca="1">IFERROR(__xludf.DUMMYFUNCTION("""COMPUTED_VALUE"""),"EE006")</f>
        <v>EE006</v>
      </c>
    </row>
    <row r="823" spans="1:2" ht="12.5" x14ac:dyDescent="0.25">
      <c r="A823" t="str">
        <f ca="1">IFERROR(__xludf.DUMMYFUNCTION("""COMPUTED_VALUE"""),"Keski-Pohjanmaa")</f>
        <v>Keski-Pohjanmaa</v>
      </c>
      <c r="B823" t="str">
        <f ca="1">IFERROR(__xludf.DUMMYFUNCTION("""COMPUTED_VALUE"""),"FI1A1")</f>
        <v>FI1A1</v>
      </c>
    </row>
    <row r="824" spans="1:2" ht="12.5" x14ac:dyDescent="0.25">
      <c r="A824" t="str">
        <f ca="1">IFERROR(__xludf.DUMMYFUNCTION("""COMPUTED_VALUE"""),"Keski-Suomi")</f>
        <v>Keski-Suomi</v>
      </c>
      <c r="B824" t="str">
        <f ca="1">IFERROR(__xludf.DUMMYFUNCTION("""COMPUTED_VALUE"""),"FI193")</f>
        <v>FI193</v>
      </c>
    </row>
    <row r="825" spans="1:2" ht="12.5" x14ac:dyDescent="0.25">
      <c r="A825" t="str">
        <f ca="1">IFERROR(__xludf.DUMMYFUNCTION("""COMPUTED_VALUE"""),"Kiel, Kreisfreie Stadt")</f>
        <v>Kiel, Kreisfreie Stadt</v>
      </c>
      <c r="B825" t="str">
        <f ca="1">IFERROR(__xludf.DUMMYFUNCTION("""COMPUTED_VALUE"""),"DEF02")</f>
        <v>DEF02</v>
      </c>
    </row>
    <row r="826" spans="1:2" ht="12.5" x14ac:dyDescent="0.25">
      <c r="A826" t="str">
        <f ca="1">IFERROR(__xludf.DUMMYFUNCTION("""COMPUTED_VALUE"""),"Kielecki")</f>
        <v>Kielecki</v>
      </c>
      <c r="B826" t="str">
        <f ca="1">IFERROR(__xludf.DUMMYFUNCTION("""COMPUTED_VALUE"""),"PL331")</f>
        <v>PL331</v>
      </c>
    </row>
    <row r="827" spans="1:2" ht="12.5" x14ac:dyDescent="0.25">
      <c r="A827" t="str">
        <f ca="1">IFERROR(__xludf.DUMMYFUNCTION("""COMPUTED_VALUE"""),"Kilkis")</f>
        <v>Kilkis</v>
      </c>
      <c r="B827" t="str">
        <f ca="1">IFERROR(__xludf.DUMMYFUNCTION("""COMPUTED_VALUE"""),"GR123")</f>
        <v>GR123</v>
      </c>
    </row>
    <row r="828" spans="1:2" ht="12.5" x14ac:dyDescent="0.25">
      <c r="A828" t="str">
        <f ca="1">IFERROR(__xludf.DUMMYFUNCTION("""COMPUTED_VALUE"""),"Kingston Upon Hull, City Of")</f>
        <v>Kingston Upon Hull, City Of</v>
      </c>
      <c r="B828" t="str">
        <f ca="1">IFERROR(__xludf.DUMMYFUNCTION("""COMPUTED_VALUE"""),"UKE11")</f>
        <v>UKE11</v>
      </c>
    </row>
    <row r="829" spans="1:2" ht="12.5" x14ac:dyDescent="0.25">
      <c r="A829" t="str">
        <f ca="1">IFERROR(__xludf.DUMMYFUNCTION("""COMPUTED_VALUE"""),"Kirde-Eesti")</f>
        <v>Kirde-Eesti</v>
      </c>
      <c r="B829" t="str">
        <f ca="1">IFERROR(__xludf.DUMMYFUNCTION("""COMPUTED_VALUE"""),"EE007")</f>
        <v>EE007</v>
      </c>
    </row>
    <row r="830" spans="1:2" ht="12.5" x14ac:dyDescent="0.25">
      <c r="A830" t="str">
        <f ca="1">IFERROR(__xludf.DUMMYFUNCTION("""COMPUTED_VALUE"""),"Kitzingen")</f>
        <v>Kitzingen</v>
      </c>
      <c r="B830" t="str">
        <f ca="1">IFERROR(__xludf.DUMMYFUNCTION("""COMPUTED_VALUE"""),"DE268")</f>
        <v>DE268</v>
      </c>
    </row>
    <row r="831" spans="1:2" ht="12.5" x14ac:dyDescent="0.25">
      <c r="A831" t="str">
        <f ca="1">IFERROR(__xludf.DUMMYFUNCTION("""COMPUTED_VALUE"""),"Klagenfurt-Villach")</f>
        <v>Klagenfurt-Villach</v>
      </c>
      <c r="B831" t="str">
        <f ca="1">IFERROR(__xludf.DUMMYFUNCTION("""COMPUTED_VALUE"""),"AT211")</f>
        <v>AT211</v>
      </c>
    </row>
    <row r="832" spans="1:2" ht="12.5" x14ac:dyDescent="0.25">
      <c r="A832" t="str">
        <f ca="1">IFERROR(__xludf.DUMMYFUNCTION("""COMPUTED_VALUE"""),"Klaipedos Apskritis")</f>
        <v>Klaipedos Apskritis</v>
      </c>
      <c r="B832" t="str">
        <f ca="1">IFERROR(__xludf.DUMMYFUNCTION("""COMPUTED_VALUE"""),"LT003")</f>
        <v>LT003</v>
      </c>
    </row>
    <row r="833" spans="1:2" ht="12.5" x14ac:dyDescent="0.25">
      <c r="A833" t="str">
        <f ca="1">IFERROR(__xludf.DUMMYFUNCTION("""COMPUTED_VALUE"""),"Kleve")</f>
        <v>Kleve</v>
      </c>
      <c r="B833" t="str">
        <f ca="1">IFERROR(__xludf.DUMMYFUNCTION("""COMPUTED_VALUE"""),"DEA1B")</f>
        <v>DEA1B</v>
      </c>
    </row>
    <row r="834" spans="1:2" ht="12.5" x14ac:dyDescent="0.25">
      <c r="A834" t="str">
        <f ca="1">IFERROR(__xludf.DUMMYFUNCTION("""COMPUTED_VALUE"""),"Københavns Omegn")</f>
        <v>Københavns Omegn</v>
      </c>
      <c r="B834" t="str">
        <f ca="1">IFERROR(__xludf.DUMMYFUNCTION("""COMPUTED_VALUE"""),"DK012")</f>
        <v>DK012</v>
      </c>
    </row>
    <row r="835" spans="1:2" ht="12.5" x14ac:dyDescent="0.25">
      <c r="A835" t="str">
        <f ca="1">IFERROR(__xludf.DUMMYFUNCTION("""COMPUTED_VALUE"""),"Koblenz")</f>
        <v>Koblenz</v>
      </c>
      <c r="B835" t="str">
        <f ca="1">IFERROR(__xludf.DUMMYFUNCTION("""COMPUTED_VALUE"""),"DEB1")</f>
        <v>DEB1</v>
      </c>
    </row>
    <row r="836" spans="1:2" ht="12.5" x14ac:dyDescent="0.25">
      <c r="A836" t="str">
        <f ca="1">IFERROR(__xludf.DUMMYFUNCTION("""COMPUTED_VALUE"""),"Koblenz, Kreisfreie Stadt")</f>
        <v>Koblenz, Kreisfreie Stadt</v>
      </c>
      <c r="B836" t="str">
        <f ca="1">IFERROR(__xludf.DUMMYFUNCTION("""COMPUTED_VALUE"""),"DEB11")</f>
        <v>DEB11</v>
      </c>
    </row>
    <row r="837" spans="1:2" ht="12.5" x14ac:dyDescent="0.25">
      <c r="A837" t="str">
        <f ca="1">IFERROR(__xludf.DUMMYFUNCTION("""COMPUTED_VALUE"""),"Köln")</f>
        <v>Köln</v>
      </c>
      <c r="B837" t="str">
        <f ca="1">IFERROR(__xludf.DUMMYFUNCTION("""COMPUTED_VALUE"""),"DEA2")</f>
        <v>DEA2</v>
      </c>
    </row>
    <row r="838" spans="1:2" ht="12.5" x14ac:dyDescent="0.25">
      <c r="A838" t="str">
        <f ca="1">IFERROR(__xludf.DUMMYFUNCTION("""COMPUTED_VALUE"""),"Köln, Kreisfreie Stadt")</f>
        <v>Köln, Kreisfreie Stadt</v>
      </c>
      <c r="B838" t="str">
        <f ca="1">IFERROR(__xludf.DUMMYFUNCTION("""COMPUTED_VALUE"""),"DEA23")</f>
        <v>DEA23</v>
      </c>
    </row>
    <row r="839" spans="1:2" ht="12.5" x14ac:dyDescent="0.25">
      <c r="A839" t="str">
        <f ca="1">IFERROR(__xludf.DUMMYFUNCTION("""COMPUTED_VALUE"""),"Komarom-Esztergom")</f>
        <v>Komarom-Esztergom</v>
      </c>
      <c r="B839" t="str">
        <f ca="1">IFERROR(__xludf.DUMMYFUNCTION("""COMPUTED_VALUE"""),"HU212")</f>
        <v>HU212</v>
      </c>
    </row>
    <row r="840" spans="1:2" ht="12.5" x14ac:dyDescent="0.25">
      <c r="A840" t="str">
        <f ca="1">IFERROR(__xludf.DUMMYFUNCTION("""COMPUTED_VALUE"""),"Koninski")</f>
        <v>Koninski</v>
      </c>
      <c r="B840" t="str">
        <f ca="1">IFERROR(__xludf.DUMMYFUNCTION("""COMPUTED_VALUE"""),"PL414")</f>
        <v>PL414</v>
      </c>
    </row>
    <row r="841" spans="1:2" ht="12.5" x14ac:dyDescent="0.25">
      <c r="A841" t="str">
        <f ca="1">IFERROR(__xludf.DUMMYFUNCTION("""COMPUTED_VALUE"""),"Konstanz")</f>
        <v>Konstanz</v>
      </c>
      <c r="B841" t="str">
        <f ca="1">IFERROR(__xludf.DUMMYFUNCTION("""COMPUTED_VALUE"""),"DE138")</f>
        <v>DE138</v>
      </c>
    </row>
    <row r="842" spans="1:2" ht="12.5" x14ac:dyDescent="0.25">
      <c r="A842" t="str">
        <f ca="1">IFERROR(__xludf.DUMMYFUNCTION("""COMPUTED_VALUE"""),"Kop Van Noord-Holland")</f>
        <v>Kop Van Noord-Holland</v>
      </c>
      <c r="B842" t="str">
        <f ca="1">IFERROR(__xludf.DUMMYFUNCTION("""COMPUTED_VALUE"""),"NL321")</f>
        <v>NL321</v>
      </c>
    </row>
    <row r="843" spans="1:2" ht="12.5" x14ac:dyDescent="0.25">
      <c r="A843" t="str">
        <f ca="1">IFERROR(__xludf.DUMMYFUNCTION("""COMPUTED_VALUE"""),"Korinthia")</f>
        <v>Korinthia</v>
      </c>
      <c r="B843" t="str">
        <f ca="1">IFERROR(__xludf.DUMMYFUNCTION("""COMPUTED_VALUE"""),"GR253")</f>
        <v>GR253</v>
      </c>
    </row>
    <row r="844" spans="1:2" ht="12.5" x14ac:dyDescent="0.25">
      <c r="A844" t="str">
        <f ca="1">IFERROR(__xludf.DUMMYFUNCTION("""COMPUTED_VALUE"""),"Koroska")</f>
        <v>Koroska</v>
      </c>
      <c r="B844" t="str">
        <f ca="1">IFERROR(__xludf.DUMMYFUNCTION("""COMPUTED_VALUE"""),"SI013")</f>
        <v>SI013</v>
      </c>
    </row>
    <row r="845" spans="1:2" ht="12.5" x14ac:dyDescent="0.25">
      <c r="A845" t="str">
        <f ca="1">IFERROR(__xludf.DUMMYFUNCTION("""COMPUTED_VALUE"""),"Kosicky Kraj")</f>
        <v>Kosicky Kraj</v>
      </c>
      <c r="B845" t="str">
        <f ca="1">IFERROR(__xludf.DUMMYFUNCTION("""COMPUTED_VALUE"""),"SK042")</f>
        <v>SK042</v>
      </c>
    </row>
    <row r="846" spans="1:2" ht="12.5" x14ac:dyDescent="0.25">
      <c r="A846" t="str">
        <f ca="1">IFERROR(__xludf.DUMMYFUNCTION("""COMPUTED_VALUE"""),"Koszalinski")</f>
        <v>Koszalinski</v>
      </c>
      <c r="B846" t="str">
        <f ca="1">IFERROR(__xludf.DUMMYFUNCTION("""COMPUTED_VALUE"""),"PL422")</f>
        <v>PL422</v>
      </c>
    </row>
    <row r="847" spans="1:2" ht="12.5" x14ac:dyDescent="0.25">
      <c r="A847" t="str">
        <f ca="1">IFERROR(__xludf.DUMMYFUNCTION("""COMPUTED_VALUE"""),"Kozani")</f>
        <v>Kozani</v>
      </c>
      <c r="B847" t="str">
        <f ca="1">IFERROR(__xludf.DUMMYFUNCTION("""COMPUTED_VALUE"""),"GR133")</f>
        <v>GR133</v>
      </c>
    </row>
    <row r="848" spans="1:2" ht="12.5" x14ac:dyDescent="0.25">
      <c r="A848" t="str">
        <f ca="1">IFERROR(__xludf.DUMMYFUNCTION("""COMPUTED_VALUE"""),"Kozep-Dunantul")</f>
        <v>Kozep-Dunantul</v>
      </c>
      <c r="B848" t="str">
        <f ca="1">IFERROR(__xludf.DUMMYFUNCTION("""COMPUTED_VALUE"""),"HU21")</f>
        <v>HU21</v>
      </c>
    </row>
    <row r="849" spans="1:2" ht="12.5" x14ac:dyDescent="0.25">
      <c r="A849" t="str">
        <f ca="1">IFERROR(__xludf.DUMMYFUNCTION("""COMPUTED_VALUE"""),"Kozep-Magyarorszag")</f>
        <v>Kozep-Magyarorszag</v>
      </c>
      <c r="B849" t="str">
        <f ca="1">IFERROR(__xludf.DUMMYFUNCTION("""COMPUTED_VALUE"""),"HU1")</f>
        <v>HU1</v>
      </c>
    </row>
    <row r="850" spans="1:2" ht="12.5" x14ac:dyDescent="0.25">
      <c r="A850" t="str">
        <f ca="1">IFERROR(__xludf.DUMMYFUNCTION("""COMPUTED_VALUE"""),"Kozep-Magyarorszag (*)")</f>
        <v>Kozep-Magyarorszag (*)</v>
      </c>
      <c r="B850" t="str">
        <f ca="1">IFERROR(__xludf.DUMMYFUNCTION("""COMPUTED_VALUE"""),"HU10")</f>
        <v>HU10</v>
      </c>
    </row>
    <row r="851" spans="1:2" ht="12.5" x14ac:dyDescent="0.25">
      <c r="A851" t="str">
        <f ca="1">IFERROR(__xludf.DUMMYFUNCTION("""COMPUTED_VALUE"""),"Krakowski")</f>
        <v>Krakowski</v>
      </c>
      <c r="B851" t="str">
        <f ca="1">IFERROR(__xludf.DUMMYFUNCTION("""COMPUTED_VALUE"""),"PL214")</f>
        <v>PL214</v>
      </c>
    </row>
    <row r="852" spans="1:2" ht="12.5" x14ac:dyDescent="0.25">
      <c r="A852" t="str">
        <f ca="1">IFERROR(__xludf.DUMMYFUNCTION("""COMPUTED_VALUE"""),"Kralovehradecky Kraj")</f>
        <v>Kralovehradecky Kraj</v>
      </c>
      <c r="B852" t="str">
        <f ca="1">IFERROR(__xludf.DUMMYFUNCTION("""COMPUTED_VALUE"""),"CZ052")</f>
        <v>CZ052</v>
      </c>
    </row>
    <row r="853" spans="1:2" ht="12.5" x14ac:dyDescent="0.25">
      <c r="A853" t="str">
        <f ca="1">IFERROR(__xludf.DUMMYFUNCTION("""COMPUTED_VALUE"""),"Krefeld, Kreisfreie Stadt")</f>
        <v>Krefeld, Kreisfreie Stadt</v>
      </c>
      <c r="B853" t="str">
        <f ca="1">IFERROR(__xludf.DUMMYFUNCTION("""COMPUTED_VALUE"""),"DEA14")</f>
        <v>DEA14</v>
      </c>
    </row>
    <row r="854" spans="1:2" ht="12.5" x14ac:dyDescent="0.25">
      <c r="A854" t="str">
        <f ca="1">IFERROR(__xludf.DUMMYFUNCTION("""COMPUTED_VALUE"""),"Kriti")</f>
        <v>Kriti</v>
      </c>
      <c r="B854" t="str">
        <f ca="1">IFERROR(__xludf.DUMMYFUNCTION("""COMPUTED_VALUE"""),"GR43")</f>
        <v>GR43</v>
      </c>
    </row>
    <row r="855" spans="1:2" ht="12.5" x14ac:dyDescent="0.25">
      <c r="A855" t="str">
        <f ca="1">IFERROR(__xludf.DUMMYFUNCTION("""COMPUTED_VALUE"""),"Kronach")</f>
        <v>Kronach</v>
      </c>
      <c r="B855" t="str">
        <f ca="1">IFERROR(__xludf.DUMMYFUNCTION("""COMPUTED_VALUE"""),"DE24A")</f>
        <v>DE24A</v>
      </c>
    </row>
    <row r="856" spans="1:2" ht="12.5" x14ac:dyDescent="0.25">
      <c r="A856" t="str">
        <f ca="1">IFERROR(__xludf.DUMMYFUNCTION("""COMPUTED_VALUE"""),"Kronobergs Län")</f>
        <v>Kronobergs Län</v>
      </c>
      <c r="B856" t="str">
        <f ca="1">IFERROR(__xludf.DUMMYFUNCTION("""COMPUTED_VALUE"""),"SE212")</f>
        <v>SE212</v>
      </c>
    </row>
    <row r="857" spans="1:2" ht="12.5" x14ac:dyDescent="0.25">
      <c r="A857" t="str">
        <f ca="1">IFERROR(__xludf.DUMMYFUNCTION("""COMPUTED_VALUE"""),"Krosnienski")</f>
        <v>Krosnienski</v>
      </c>
      <c r="B857" t="str">
        <f ca="1">IFERROR(__xludf.DUMMYFUNCTION("""COMPUTED_VALUE"""),"PL323")</f>
        <v>PL323</v>
      </c>
    </row>
    <row r="858" spans="1:2" ht="12.5" x14ac:dyDescent="0.25">
      <c r="A858" t="str">
        <f ca="1">IFERROR(__xludf.DUMMYFUNCTION("""COMPUTED_VALUE"""),"Kujawsko-Pomorskie")</f>
        <v>Kujawsko-Pomorskie</v>
      </c>
      <c r="B858" t="str">
        <f ca="1">IFERROR(__xludf.DUMMYFUNCTION("""COMPUTED_VALUE"""),"PL61")</f>
        <v>PL61</v>
      </c>
    </row>
    <row r="859" spans="1:2" ht="12.5" x14ac:dyDescent="0.25">
      <c r="A859" t="str">
        <f ca="1">IFERROR(__xludf.DUMMYFUNCTION("""COMPUTED_VALUE"""),"Kulmbach")</f>
        <v>Kulmbach</v>
      </c>
      <c r="B859" t="str">
        <f ca="1">IFERROR(__xludf.DUMMYFUNCTION("""COMPUTED_VALUE"""),"DE24B")</f>
        <v>DE24B</v>
      </c>
    </row>
    <row r="860" spans="1:2" ht="12.5" x14ac:dyDescent="0.25">
      <c r="A860" t="str">
        <f ca="1">IFERROR(__xludf.DUMMYFUNCTION("""COMPUTED_VALUE"""),"Kurzeme")</f>
        <v>Kurzeme</v>
      </c>
      <c r="B860" t="str">
        <f ca="1">IFERROR(__xludf.DUMMYFUNCTION("""COMPUTED_VALUE"""),"LV003")</f>
        <v>LV003</v>
      </c>
    </row>
    <row r="861" spans="1:2" ht="12.5" x14ac:dyDescent="0.25">
      <c r="A861" t="str">
        <f ca="1">IFERROR(__xludf.DUMMYFUNCTION("""COMPUTED_VALUE"""),"Kusel")</f>
        <v>Kusel</v>
      </c>
      <c r="B861" t="str">
        <f ca="1">IFERROR(__xludf.DUMMYFUNCTION("""COMPUTED_VALUE"""),"DEB3G")</f>
        <v>DEB3G</v>
      </c>
    </row>
    <row r="862" spans="1:2" ht="12.5" x14ac:dyDescent="0.25">
      <c r="A862" t="str">
        <f ca="1">IFERROR(__xludf.DUMMYFUNCTION("""COMPUTED_VALUE"""),"Kyffhäuserkreis")</f>
        <v>Kyffhäuserkreis</v>
      </c>
      <c r="B862" t="str">
        <f ca="1">IFERROR(__xludf.DUMMYFUNCTION("""COMPUTED_VALUE"""),"DEG0A")</f>
        <v>DEG0A</v>
      </c>
    </row>
    <row r="863" spans="1:2" ht="12.5" x14ac:dyDescent="0.25">
      <c r="A863" t="str">
        <f ca="1">IFERROR(__xludf.DUMMYFUNCTION("""COMPUTED_VALUE"""),"Kyklades")</f>
        <v>Kyklades</v>
      </c>
      <c r="B863" t="str">
        <f ca="1">IFERROR(__xludf.DUMMYFUNCTION("""COMPUTED_VALUE"""),"GR422")</f>
        <v>GR422</v>
      </c>
    </row>
    <row r="864" spans="1:2" ht="12.5" x14ac:dyDescent="0.25">
      <c r="A864" t="str">
        <f ca="1">IFERROR(__xludf.DUMMYFUNCTION("""COMPUTED_VALUE"""),"Kymenlaakso")</f>
        <v>Kymenlaakso</v>
      </c>
      <c r="B864" t="str">
        <f ca="1">IFERROR(__xludf.DUMMYFUNCTION("""COMPUTED_VALUE"""),"FI186")</f>
        <v>FI186</v>
      </c>
    </row>
    <row r="865" spans="1:2" ht="12.5" x14ac:dyDescent="0.25">
      <c r="A865" t="str">
        <f ca="1">IFERROR(__xludf.DUMMYFUNCTION("""COMPUTED_VALUE"""),"Kypros - Kibris")</f>
        <v>Kypros - Kibris</v>
      </c>
      <c r="B865" t="str">
        <f ca="1">IFERROR(__xludf.DUMMYFUNCTION("""COMPUTED_VALUE"""),"CY")</f>
        <v>CY</v>
      </c>
    </row>
    <row r="866" spans="1:2" ht="12.5" x14ac:dyDescent="0.25">
      <c r="A866" t="str">
        <f ca="1">IFERROR(__xludf.DUMMYFUNCTION("""COMPUTED_VALUE"""),"Kypros - Kibris (*)")</f>
        <v>Kypros - Kibris (*)</v>
      </c>
      <c r="B866" t="str">
        <f ca="1">IFERROR(__xludf.DUMMYFUNCTION("""COMPUTED_VALUE"""),"CY0")</f>
        <v>CY0</v>
      </c>
    </row>
    <row r="867" spans="1:2" ht="12.5" x14ac:dyDescent="0.25">
      <c r="A867" t="str">
        <f ca="1">IFERROR(__xludf.DUMMYFUNCTION("""COMPUTED_VALUE"""),"Kypros - Kibris (**)")</f>
        <v>Kypros - Kibris (**)</v>
      </c>
      <c r="B867" t="str">
        <f ca="1">IFERROR(__xludf.DUMMYFUNCTION("""COMPUTED_VALUE"""),"CY00")</f>
        <v>CY00</v>
      </c>
    </row>
    <row r="868" spans="1:2" ht="12.5" x14ac:dyDescent="0.25">
      <c r="A868" t="str">
        <f ca="1">IFERROR(__xludf.DUMMYFUNCTION("""COMPUTED_VALUE"""),"Kypros - Kibris (***)")</f>
        <v>Kypros - Kibris (***)</v>
      </c>
      <c r="B868" t="str">
        <f ca="1">IFERROR(__xludf.DUMMYFUNCTION("""COMPUTED_VALUE"""),"CY000")</f>
        <v>CY000</v>
      </c>
    </row>
    <row r="869" spans="1:2" ht="12.5" x14ac:dyDescent="0.25">
      <c r="A869" t="str">
        <f ca="1">IFERROR(__xludf.DUMMYFUNCTION("""COMPUTED_VALUE"""),"Kyustendil")</f>
        <v>Kyustendil</v>
      </c>
      <c r="B869" t="str">
        <f ca="1">IFERROR(__xludf.DUMMYFUNCTION("""COMPUTED_VALUE"""),"BG415")</f>
        <v>BG415</v>
      </c>
    </row>
    <row r="870" spans="1:2" ht="12.5" x14ac:dyDescent="0.25">
      <c r="A870" t="str">
        <f ca="1">IFERROR(__xludf.DUMMYFUNCTION("""COMPUTED_VALUE"""),"L'Aquila")</f>
        <v>L'Aquila</v>
      </c>
      <c r="B870" t="str">
        <f ca="1">IFERROR(__xludf.DUMMYFUNCTION("""COMPUTED_VALUE"""),"ITF11")</f>
        <v>ITF11</v>
      </c>
    </row>
    <row r="871" spans="1:2" ht="12.5" x14ac:dyDescent="0.25">
      <c r="A871" t="str">
        <f ca="1">IFERROR(__xludf.DUMMYFUNCTION("""COMPUTED_VALUE"""),"La Gomera")</f>
        <v>La Gomera</v>
      </c>
      <c r="B871" t="str">
        <f ca="1">IFERROR(__xludf.DUMMYFUNCTION("""COMPUTED_VALUE"""),"ES706")</f>
        <v>ES706</v>
      </c>
    </row>
    <row r="872" spans="1:2" ht="12.5" x14ac:dyDescent="0.25">
      <c r="A872" t="str">
        <f ca="1">IFERROR(__xludf.DUMMYFUNCTION("""COMPUTED_VALUE"""),"La Palma")</f>
        <v>La Palma</v>
      </c>
      <c r="B872" t="str">
        <f ca="1">IFERROR(__xludf.DUMMYFUNCTION("""COMPUTED_VALUE"""),"ES707")</f>
        <v>ES707</v>
      </c>
    </row>
    <row r="873" spans="1:2" ht="12.5" x14ac:dyDescent="0.25">
      <c r="A873" t="str">
        <f ca="1">IFERROR(__xludf.DUMMYFUNCTION("""COMPUTED_VALUE"""),"La Rioja")</f>
        <v>La Rioja</v>
      </c>
      <c r="B873" t="str">
        <f ca="1">IFERROR(__xludf.DUMMYFUNCTION("""COMPUTED_VALUE"""),"ES23")</f>
        <v>ES23</v>
      </c>
    </row>
    <row r="874" spans="1:2" ht="12.5" x14ac:dyDescent="0.25">
      <c r="A874" t="str">
        <f ca="1">IFERROR(__xludf.DUMMYFUNCTION("""COMPUTED_VALUE"""),"La Rioja (*)")</f>
        <v>La Rioja (*)</v>
      </c>
      <c r="B874" t="str">
        <f ca="1">IFERROR(__xludf.DUMMYFUNCTION("""COMPUTED_VALUE"""),"ES230")</f>
        <v>ES230</v>
      </c>
    </row>
    <row r="875" spans="1:2" ht="12.5" x14ac:dyDescent="0.25">
      <c r="A875" t="str">
        <f ca="1">IFERROR(__xludf.DUMMYFUNCTION("""COMPUTED_VALUE"""),"La Spezia")</f>
        <v>La Spezia</v>
      </c>
      <c r="B875" t="str">
        <f ca="1">IFERROR(__xludf.DUMMYFUNCTION("""COMPUTED_VALUE"""),"ITC34")</f>
        <v>ITC34</v>
      </c>
    </row>
    <row r="876" spans="1:2" ht="12.5" x14ac:dyDescent="0.25">
      <c r="A876" t="str">
        <f ca="1">IFERROR(__xludf.DUMMYFUNCTION("""COMPUTED_VALUE"""),"Lääne-Eesti")</f>
        <v>Lääne-Eesti</v>
      </c>
      <c r="B876" t="str">
        <f ca="1">IFERROR(__xludf.DUMMYFUNCTION("""COMPUTED_VALUE"""),"EE004")</f>
        <v>EE004</v>
      </c>
    </row>
    <row r="877" spans="1:2" ht="12.5" x14ac:dyDescent="0.25">
      <c r="A877" t="str">
        <f ca="1">IFERROR(__xludf.DUMMYFUNCTION("""COMPUTED_VALUE"""),"Lahn-Dill-Kreis")</f>
        <v>Lahn-Dill-Kreis</v>
      </c>
      <c r="B877" t="str">
        <f ca="1">IFERROR(__xludf.DUMMYFUNCTION("""COMPUTED_VALUE"""),"DE722")</f>
        <v>DE722</v>
      </c>
    </row>
    <row r="878" spans="1:2" ht="12.5" x14ac:dyDescent="0.25">
      <c r="A878" t="str">
        <f ca="1">IFERROR(__xludf.DUMMYFUNCTION("""COMPUTED_VALUE"""),"Lakonia")</f>
        <v>Lakonia</v>
      </c>
      <c r="B878" t="str">
        <f ca="1">IFERROR(__xludf.DUMMYFUNCTION("""COMPUTED_VALUE"""),"GR254")</f>
        <v>GR254</v>
      </c>
    </row>
    <row r="879" spans="1:2" ht="12.5" x14ac:dyDescent="0.25">
      <c r="A879" t="str">
        <f ca="1">IFERROR(__xludf.DUMMYFUNCTION("""COMPUTED_VALUE"""),"Lancashire")</f>
        <v>Lancashire</v>
      </c>
      <c r="B879" t="str">
        <f ca="1">IFERROR(__xludf.DUMMYFUNCTION("""COMPUTED_VALUE"""),"UKD4")</f>
        <v>UKD4</v>
      </c>
    </row>
    <row r="880" spans="1:2" ht="12.5" x14ac:dyDescent="0.25">
      <c r="A880" t="str">
        <f ca="1">IFERROR(__xludf.DUMMYFUNCTION("""COMPUTED_VALUE"""),"Lancashire Cc")</f>
        <v>Lancashire Cc</v>
      </c>
      <c r="B880" t="str">
        <f ca="1">IFERROR(__xludf.DUMMYFUNCTION("""COMPUTED_VALUE"""),"UKD43")</f>
        <v>UKD43</v>
      </c>
    </row>
    <row r="881" spans="1:2" ht="12.5" x14ac:dyDescent="0.25">
      <c r="A881" t="str">
        <f ca="1">IFERROR(__xludf.DUMMYFUNCTION("""COMPUTED_VALUE"""),"Landau In Der Pfalz, Kreisfreie Stadt")</f>
        <v>Landau In Der Pfalz, Kreisfreie Stadt</v>
      </c>
      <c r="B881" t="str">
        <f ca="1">IFERROR(__xludf.DUMMYFUNCTION("""COMPUTED_VALUE"""),"DEB33")</f>
        <v>DEB33</v>
      </c>
    </row>
    <row r="882" spans="1:2" ht="12.5" x14ac:dyDescent="0.25">
      <c r="A882" t="str">
        <f ca="1">IFERROR(__xludf.DUMMYFUNCTION("""COMPUTED_VALUE"""),"Landes")</f>
        <v>Landes</v>
      </c>
      <c r="B882" t="str">
        <f ca="1">IFERROR(__xludf.DUMMYFUNCTION("""COMPUTED_VALUE"""),"FR613")</f>
        <v>FR613</v>
      </c>
    </row>
    <row r="883" spans="1:2" ht="12.5" x14ac:dyDescent="0.25">
      <c r="A883" t="str">
        <f ca="1">IFERROR(__xludf.DUMMYFUNCTION("""COMPUTED_VALUE"""),"Landsberg A. Lech")</f>
        <v>Landsberg A. Lech</v>
      </c>
      <c r="B883" t="str">
        <f ca="1">IFERROR(__xludf.DUMMYFUNCTION("""COMPUTED_VALUE"""),"DE21E")</f>
        <v>DE21E</v>
      </c>
    </row>
    <row r="884" spans="1:2" ht="12.5" x14ac:dyDescent="0.25">
      <c r="A884" t="str">
        <f ca="1">IFERROR(__xludf.DUMMYFUNCTION("""COMPUTED_VALUE"""),"Landsbyggð")</f>
        <v>Landsbyggð</v>
      </c>
      <c r="B884" t="str">
        <f ca="1">IFERROR(__xludf.DUMMYFUNCTION("""COMPUTED_VALUE"""),"IS002")</f>
        <v>IS002</v>
      </c>
    </row>
    <row r="885" spans="1:2" ht="12.5" x14ac:dyDescent="0.25">
      <c r="A885" t="str">
        <f ca="1">IFERROR(__xludf.DUMMYFUNCTION("""COMPUTED_VALUE"""),"Landshut, Kreisfreie Stadt")</f>
        <v>Landshut, Kreisfreie Stadt</v>
      </c>
      <c r="B885" t="str">
        <f ca="1">IFERROR(__xludf.DUMMYFUNCTION("""COMPUTED_VALUE"""),"DE221")</f>
        <v>DE221</v>
      </c>
    </row>
    <row r="886" spans="1:2" ht="12.5" x14ac:dyDescent="0.25">
      <c r="A886" t="str">
        <f ca="1">IFERROR(__xludf.DUMMYFUNCTION("""COMPUTED_VALUE"""),"Landshut, Landkreis")</f>
        <v>Landshut, Landkreis</v>
      </c>
      <c r="B886" t="str">
        <f ca="1">IFERROR(__xludf.DUMMYFUNCTION("""COMPUTED_VALUE"""),"DE227")</f>
        <v>DE227</v>
      </c>
    </row>
    <row r="887" spans="1:2" ht="12.5" x14ac:dyDescent="0.25">
      <c r="A887" t="str">
        <f ca="1">IFERROR(__xludf.DUMMYFUNCTION("""COMPUTED_VALUE"""),"Languedoc-Roussillon")</f>
        <v>Languedoc-Roussillon</v>
      </c>
      <c r="B887" t="str">
        <f ca="1">IFERROR(__xludf.DUMMYFUNCTION("""COMPUTED_VALUE"""),"FR81")</f>
        <v>FR81</v>
      </c>
    </row>
    <row r="888" spans="1:2" ht="12.5" x14ac:dyDescent="0.25">
      <c r="A888" t="str">
        <f ca="1">IFERROR(__xludf.DUMMYFUNCTION("""COMPUTED_VALUE"""),"Länsi-Suomi")</f>
        <v>Länsi-Suomi</v>
      </c>
      <c r="B888" t="str">
        <f ca="1">IFERROR(__xludf.DUMMYFUNCTION("""COMPUTED_VALUE"""),"FI19")</f>
        <v>FI19</v>
      </c>
    </row>
    <row r="889" spans="1:2" ht="12.5" x14ac:dyDescent="0.25">
      <c r="A889" t="str">
        <f ca="1">IFERROR(__xludf.DUMMYFUNCTION("""COMPUTED_VALUE"""),"Lanzarote")</f>
        <v>Lanzarote</v>
      </c>
      <c r="B889" t="str">
        <f ca="1">IFERROR(__xludf.DUMMYFUNCTION("""COMPUTED_VALUE"""),"ES708")</f>
        <v>ES708</v>
      </c>
    </row>
    <row r="890" spans="1:2" ht="12.5" x14ac:dyDescent="0.25">
      <c r="A890" t="str">
        <f ca="1">IFERROR(__xludf.DUMMYFUNCTION("""COMPUTED_VALUE"""),"Lappi")</f>
        <v>Lappi</v>
      </c>
      <c r="B890" t="str">
        <f ca="1">IFERROR(__xludf.DUMMYFUNCTION("""COMPUTED_VALUE"""),"FI1A3")</f>
        <v>FI1A3</v>
      </c>
    </row>
    <row r="891" spans="1:2" ht="12.5" x14ac:dyDescent="0.25">
      <c r="A891" t="str">
        <f ca="1">IFERROR(__xludf.DUMMYFUNCTION("""COMPUTED_VALUE"""),"Larisa")</f>
        <v>Larisa</v>
      </c>
      <c r="B891" t="str">
        <f ca="1">IFERROR(__xludf.DUMMYFUNCTION("""COMPUTED_VALUE"""),"GR142")</f>
        <v>GR142</v>
      </c>
    </row>
    <row r="892" spans="1:2" ht="12.5" x14ac:dyDescent="0.25">
      <c r="A892" t="str">
        <f ca="1">IFERROR(__xludf.DUMMYFUNCTION("""COMPUTED_VALUE"""),"Lasithi")</f>
        <v>Lasithi</v>
      </c>
      <c r="B892" t="str">
        <f ca="1">IFERROR(__xludf.DUMMYFUNCTION("""COMPUTED_VALUE"""),"GR432")</f>
        <v>GR432</v>
      </c>
    </row>
    <row r="893" spans="1:2" ht="12.5" x14ac:dyDescent="0.25">
      <c r="A893" t="str">
        <f ca="1">IFERROR(__xludf.DUMMYFUNCTION("""COMPUTED_VALUE"""),"Latgale")</f>
        <v>Latgale</v>
      </c>
      <c r="B893" t="str">
        <f ca="1">IFERROR(__xludf.DUMMYFUNCTION("""COMPUTED_VALUE"""),"LV005")</f>
        <v>LV005</v>
      </c>
    </row>
    <row r="894" spans="1:2" ht="12.5" x14ac:dyDescent="0.25">
      <c r="A894" t="str">
        <f ca="1">IFERROR(__xludf.DUMMYFUNCTION("""COMPUTED_VALUE"""),"Latina")</f>
        <v>Latina</v>
      </c>
      <c r="B894" t="str">
        <f ca="1">IFERROR(__xludf.DUMMYFUNCTION("""COMPUTED_VALUE"""),"ITE44")</f>
        <v>ITE44</v>
      </c>
    </row>
    <row r="895" spans="1:2" ht="12.5" x14ac:dyDescent="0.25">
      <c r="A895" t="str">
        <f ca="1">IFERROR(__xludf.DUMMYFUNCTION("""COMPUTED_VALUE"""),"Latvija")</f>
        <v>Latvija</v>
      </c>
      <c r="B895" t="str">
        <f ca="1">IFERROR(__xludf.DUMMYFUNCTION("""COMPUTED_VALUE"""),"LV")</f>
        <v>LV</v>
      </c>
    </row>
    <row r="896" spans="1:2" ht="12.5" x14ac:dyDescent="0.25">
      <c r="A896" t="str">
        <f ca="1">IFERROR(__xludf.DUMMYFUNCTION("""COMPUTED_VALUE"""),"Latvija (*)")</f>
        <v>Latvija (*)</v>
      </c>
      <c r="B896" t="str">
        <f ca="1">IFERROR(__xludf.DUMMYFUNCTION("""COMPUTED_VALUE"""),"LV0")</f>
        <v>LV0</v>
      </c>
    </row>
    <row r="897" spans="1:2" ht="12.5" x14ac:dyDescent="0.25">
      <c r="A897" t="str">
        <f ca="1">IFERROR(__xludf.DUMMYFUNCTION("""COMPUTED_VALUE"""),"Latvija (**)")</f>
        <v>Latvija (**)</v>
      </c>
      <c r="B897" t="str">
        <f ca="1">IFERROR(__xludf.DUMMYFUNCTION("""COMPUTED_VALUE"""),"LV00")</f>
        <v>LV00</v>
      </c>
    </row>
    <row r="898" spans="1:2" ht="12.5" x14ac:dyDescent="0.25">
      <c r="A898" t="str">
        <f ca="1">IFERROR(__xludf.DUMMYFUNCTION("""COMPUTED_VALUE"""),"Lazio")</f>
        <v>Lazio</v>
      </c>
      <c r="B898" t="str">
        <f ca="1">IFERROR(__xludf.DUMMYFUNCTION("""COMPUTED_VALUE"""),"ITE4")</f>
        <v>ITE4</v>
      </c>
    </row>
    <row r="899" spans="1:2" ht="12.5" x14ac:dyDescent="0.25">
      <c r="A899" t="str">
        <f ca="1">IFERROR(__xludf.DUMMYFUNCTION("""COMPUTED_VALUE"""),"Lecce")</f>
        <v>Lecce</v>
      </c>
      <c r="B899" t="str">
        <f ca="1">IFERROR(__xludf.DUMMYFUNCTION("""COMPUTED_VALUE"""),"ITF45")</f>
        <v>ITF45</v>
      </c>
    </row>
    <row r="900" spans="1:2" ht="12.5" x14ac:dyDescent="0.25">
      <c r="A900" t="str">
        <f ca="1">IFERROR(__xludf.DUMMYFUNCTION("""COMPUTED_VALUE"""),"Lecco")</f>
        <v>Lecco</v>
      </c>
      <c r="B900" t="str">
        <f ca="1">IFERROR(__xludf.DUMMYFUNCTION("""COMPUTED_VALUE"""),"ITC43")</f>
        <v>ITC43</v>
      </c>
    </row>
    <row r="901" spans="1:2" ht="12.5" x14ac:dyDescent="0.25">
      <c r="A901" t="str">
        <f ca="1">IFERROR(__xludf.DUMMYFUNCTION("""COMPUTED_VALUE"""),"Leeds")</f>
        <v>Leeds</v>
      </c>
      <c r="B901" t="str">
        <f ca="1">IFERROR(__xludf.DUMMYFUNCTION("""COMPUTED_VALUE"""),"UKE42")</f>
        <v>UKE42</v>
      </c>
    </row>
    <row r="902" spans="1:2" ht="12.5" x14ac:dyDescent="0.25">
      <c r="A902" t="str">
        <f ca="1">IFERROR(__xludf.DUMMYFUNCTION("""COMPUTED_VALUE"""),"Leer")</f>
        <v>Leer</v>
      </c>
      <c r="B902" t="str">
        <f ca="1">IFERROR(__xludf.DUMMYFUNCTION("""COMPUTED_VALUE"""),"DE94C")</f>
        <v>DE94C</v>
      </c>
    </row>
    <row r="903" spans="1:2" ht="12.5" x14ac:dyDescent="0.25">
      <c r="A903" t="str">
        <f ca="1">IFERROR(__xludf.DUMMYFUNCTION("""COMPUTED_VALUE"""),"Lefkada")</f>
        <v>Lefkada</v>
      </c>
      <c r="B903" t="str">
        <f ca="1">IFERROR(__xludf.DUMMYFUNCTION("""COMPUTED_VALUE"""),"GR224")</f>
        <v>GR224</v>
      </c>
    </row>
    <row r="904" spans="1:2" ht="12.5" x14ac:dyDescent="0.25">
      <c r="A904" t="str">
        <f ca="1">IFERROR(__xludf.DUMMYFUNCTION("""COMPUTED_VALUE"""),"Legnicko-Glogowski")</f>
        <v>Legnicko-Glogowski</v>
      </c>
      <c r="B904" t="str">
        <f ca="1">IFERROR(__xludf.DUMMYFUNCTION("""COMPUTED_VALUE"""),"PL516")</f>
        <v>PL516</v>
      </c>
    </row>
    <row r="905" spans="1:2" ht="12.5" x14ac:dyDescent="0.25">
      <c r="A905" t="str">
        <f ca="1">IFERROR(__xludf.DUMMYFUNCTION("""COMPUTED_VALUE"""),"Leicester")</f>
        <v>Leicester</v>
      </c>
      <c r="B905" t="str">
        <f ca="1">IFERROR(__xludf.DUMMYFUNCTION("""COMPUTED_VALUE"""),"UKF21")</f>
        <v>UKF21</v>
      </c>
    </row>
    <row r="906" spans="1:2" ht="12.5" x14ac:dyDescent="0.25">
      <c r="A906" t="str">
        <f ca="1">IFERROR(__xludf.DUMMYFUNCTION("""COMPUTED_VALUE"""),"Leicestershire Cc And Rutland")</f>
        <v>Leicestershire Cc And Rutland</v>
      </c>
      <c r="B906" t="str">
        <f ca="1">IFERROR(__xludf.DUMMYFUNCTION("""COMPUTED_VALUE"""),"UKF22")</f>
        <v>UKF22</v>
      </c>
    </row>
    <row r="907" spans="1:2" ht="12.5" x14ac:dyDescent="0.25">
      <c r="A907" t="str">
        <f ca="1">IFERROR(__xludf.DUMMYFUNCTION("""COMPUTED_VALUE"""),"Leicestershire, Rutland And Northamptonshire")</f>
        <v>Leicestershire, Rutland And Northamptonshire</v>
      </c>
      <c r="B907" t="str">
        <f ca="1">IFERROR(__xludf.DUMMYFUNCTION("""COMPUTED_VALUE"""),"UKF2")</f>
        <v>UKF2</v>
      </c>
    </row>
    <row r="908" spans="1:2" ht="12.5" x14ac:dyDescent="0.25">
      <c r="A908" t="str">
        <f ca="1">IFERROR(__xludf.DUMMYFUNCTION("""COMPUTED_VALUE"""),"Leipzig")</f>
        <v>Leipzig</v>
      </c>
      <c r="B908" t="str">
        <f ca="1">IFERROR(__xludf.DUMMYFUNCTION("""COMPUTED_VALUE"""),"DED3")</f>
        <v>DED3</v>
      </c>
    </row>
    <row r="909" spans="1:2" ht="12.5" x14ac:dyDescent="0.25">
      <c r="A909" t="str">
        <f ca="1">IFERROR(__xludf.DUMMYFUNCTION("""COMPUTED_VALUE"""),"Leipzig, Kreisfreie Stadt")</f>
        <v>Leipzig, Kreisfreie Stadt</v>
      </c>
      <c r="B909" t="str">
        <f ca="1">IFERROR(__xludf.DUMMYFUNCTION("""COMPUTED_VALUE"""),"DED31")</f>
        <v>DED31</v>
      </c>
    </row>
    <row r="910" spans="1:2" ht="12.5" x14ac:dyDescent="0.25">
      <c r="A910" t="str">
        <f ca="1">IFERROR(__xludf.DUMMYFUNCTION("""COMPUTED_VALUE"""),"Leipziger Land")</f>
        <v>Leipziger Land</v>
      </c>
      <c r="B910" t="str">
        <f ca="1">IFERROR(__xludf.DUMMYFUNCTION("""COMPUTED_VALUE"""),"DED34")</f>
        <v>DED34</v>
      </c>
    </row>
    <row r="911" spans="1:2" ht="12.5" x14ac:dyDescent="0.25">
      <c r="A911" t="str">
        <f ca="1">IFERROR(__xludf.DUMMYFUNCTION("""COMPUTED_VALUE"""),"León")</f>
        <v>León</v>
      </c>
      <c r="B911" t="str">
        <f ca="1">IFERROR(__xludf.DUMMYFUNCTION("""COMPUTED_VALUE"""),"ES413")</f>
        <v>ES413</v>
      </c>
    </row>
    <row r="912" spans="1:2" ht="12.5" x14ac:dyDescent="0.25">
      <c r="A912" t="str">
        <f ca="1">IFERROR(__xludf.DUMMYFUNCTION("""COMPUTED_VALUE"""),"Lesvos")</f>
        <v>Lesvos</v>
      </c>
      <c r="B912" t="str">
        <f ca="1">IFERROR(__xludf.DUMMYFUNCTION("""COMPUTED_VALUE"""),"GR411")</f>
        <v>GR411</v>
      </c>
    </row>
    <row r="913" spans="1:2" ht="12.5" x14ac:dyDescent="0.25">
      <c r="A913" t="str">
        <f ca="1">IFERROR(__xludf.DUMMYFUNCTION("""COMPUTED_VALUE"""),"Leszczynski")</f>
        <v>Leszczynski</v>
      </c>
      <c r="B913" t="str">
        <f ca="1">IFERROR(__xludf.DUMMYFUNCTION("""COMPUTED_VALUE"""),"PL417")</f>
        <v>PL417</v>
      </c>
    </row>
    <row r="914" spans="1:2" ht="12.5" x14ac:dyDescent="0.25">
      <c r="A914" t="str">
        <f ca="1">IFERROR(__xludf.DUMMYFUNCTION("""COMPUTED_VALUE"""),"Leverkusen, Kreisfreie Stadt")</f>
        <v>Leverkusen, Kreisfreie Stadt</v>
      </c>
      <c r="B914" t="str">
        <f ca="1">IFERROR(__xludf.DUMMYFUNCTION("""COMPUTED_VALUE"""),"DEA24")</f>
        <v>DEA24</v>
      </c>
    </row>
    <row r="915" spans="1:2" ht="12.5" x14ac:dyDescent="0.25">
      <c r="A915" t="str">
        <f ca="1">IFERROR(__xludf.DUMMYFUNCTION("""COMPUTED_VALUE"""),"Lezíria Do Tejo")</f>
        <v>Lezíria Do Tejo</v>
      </c>
      <c r="B915" t="str">
        <f ca="1">IFERROR(__xludf.DUMMYFUNCTION("""COMPUTED_VALUE"""),"PT185")</f>
        <v>PT185</v>
      </c>
    </row>
    <row r="916" spans="1:2" ht="12.5" x14ac:dyDescent="0.25">
      <c r="A916" t="str">
        <f ca="1">IFERROR(__xludf.DUMMYFUNCTION("""COMPUTED_VALUE"""),"Liberecky Kraj")</f>
        <v>Liberecky Kraj</v>
      </c>
      <c r="B916" t="str">
        <f ca="1">IFERROR(__xludf.DUMMYFUNCTION("""COMPUTED_VALUE"""),"CZ051")</f>
        <v>CZ051</v>
      </c>
    </row>
    <row r="917" spans="1:2" ht="12.5" x14ac:dyDescent="0.25">
      <c r="A917" t="str">
        <f ca="1">IFERROR(__xludf.DUMMYFUNCTION("""COMPUTED_VALUE"""),"Lichtenfels")</f>
        <v>Lichtenfels</v>
      </c>
      <c r="B917" t="str">
        <f ca="1">IFERROR(__xludf.DUMMYFUNCTION("""COMPUTED_VALUE"""),"DE24C")</f>
        <v>DE24C</v>
      </c>
    </row>
    <row r="918" spans="1:2" ht="12.5" x14ac:dyDescent="0.25">
      <c r="A918" t="str">
        <f ca="1">IFERROR(__xludf.DUMMYFUNCTION("""COMPUTED_VALUE"""),"Liechtenstein")</f>
        <v>Liechtenstein</v>
      </c>
      <c r="B918" t="str">
        <f ca="1">IFERROR(__xludf.DUMMYFUNCTION("""COMPUTED_VALUE"""),"LI")</f>
        <v>LI</v>
      </c>
    </row>
    <row r="919" spans="1:2" ht="12.5" x14ac:dyDescent="0.25">
      <c r="A919" t="str">
        <f ca="1">IFERROR(__xludf.DUMMYFUNCTION("""COMPUTED_VALUE"""),"Liechtenstein (*)")</f>
        <v>Liechtenstein (*)</v>
      </c>
      <c r="B919" t="str">
        <f ca="1">IFERROR(__xludf.DUMMYFUNCTION("""COMPUTED_VALUE"""),"LI0")</f>
        <v>LI0</v>
      </c>
    </row>
    <row r="920" spans="1:2" ht="12.5" x14ac:dyDescent="0.25">
      <c r="A920" t="str">
        <f ca="1">IFERROR(__xludf.DUMMYFUNCTION("""COMPUTED_VALUE"""),"Liechtenstein (**)")</f>
        <v>Liechtenstein (**)</v>
      </c>
      <c r="B920" t="str">
        <f ca="1">IFERROR(__xludf.DUMMYFUNCTION("""COMPUTED_VALUE"""),"LI00")</f>
        <v>LI00</v>
      </c>
    </row>
    <row r="921" spans="1:2" ht="12.5" x14ac:dyDescent="0.25">
      <c r="A921" t="str">
        <f ca="1">IFERROR(__xludf.DUMMYFUNCTION("""COMPUTED_VALUE"""),"Liechtenstein (***)")</f>
        <v>Liechtenstein (***)</v>
      </c>
      <c r="B921" t="str">
        <f ca="1">IFERROR(__xludf.DUMMYFUNCTION("""COMPUTED_VALUE"""),"LI000")</f>
        <v>LI000</v>
      </c>
    </row>
    <row r="922" spans="1:2" ht="12.5" x14ac:dyDescent="0.25">
      <c r="A922" t="str">
        <f ca="1">IFERROR(__xludf.DUMMYFUNCTION("""COMPUTED_VALUE"""),"Lietuva")</f>
        <v>Lietuva</v>
      </c>
      <c r="B922" t="str">
        <f ca="1">IFERROR(__xludf.DUMMYFUNCTION("""COMPUTED_VALUE"""),"LT")</f>
        <v>LT</v>
      </c>
    </row>
    <row r="923" spans="1:2" ht="12.5" x14ac:dyDescent="0.25">
      <c r="A923" t="str">
        <f ca="1">IFERROR(__xludf.DUMMYFUNCTION("""COMPUTED_VALUE"""),"Lietuva (*)")</f>
        <v>Lietuva (*)</v>
      </c>
      <c r="B923" t="str">
        <f ca="1">IFERROR(__xludf.DUMMYFUNCTION("""COMPUTED_VALUE"""),"LT0")</f>
        <v>LT0</v>
      </c>
    </row>
    <row r="924" spans="1:2" ht="12.5" x14ac:dyDescent="0.25">
      <c r="A924" t="str">
        <f ca="1">IFERROR(__xludf.DUMMYFUNCTION("""COMPUTED_VALUE"""),"Lietuva (**)")</f>
        <v>Lietuva (**)</v>
      </c>
      <c r="B924" t="str">
        <f ca="1">IFERROR(__xludf.DUMMYFUNCTION("""COMPUTED_VALUE"""),"LT00")</f>
        <v>LT00</v>
      </c>
    </row>
    <row r="925" spans="1:2" ht="12.5" x14ac:dyDescent="0.25">
      <c r="A925" t="str">
        <f ca="1">IFERROR(__xludf.DUMMYFUNCTION("""COMPUTED_VALUE"""),"Liezen")</f>
        <v>Liezen</v>
      </c>
      <c r="B925" t="str">
        <f ca="1">IFERROR(__xludf.DUMMYFUNCTION("""COMPUTED_VALUE"""),"AT222")</f>
        <v>AT222</v>
      </c>
    </row>
    <row r="926" spans="1:2" ht="12.5" x14ac:dyDescent="0.25">
      <c r="A926" t="str">
        <f ca="1">IFERROR(__xludf.DUMMYFUNCTION("""COMPUTED_VALUE"""),"Liguria")</f>
        <v>Liguria</v>
      </c>
      <c r="B926" t="str">
        <f ca="1">IFERROR(__xludf.DUMMYFUNCTION("""COMPUTED_VALUE"""),"ITC3")</f>
        <v>ITC3</v>
      </c>
    </row>
    <row r="927" spans="1:2" ht="12.5" x14ac:dyDescent="0.25">
      <c r="A927" t="str">
        <f ca="1">IFERROR(__xludf.DUMMYFUNCTION("""COMPUTED_VALUE"""),"Limburg (Nl)")</f>
        <v>Limburg (Nl)</v>
      </c>
      <c r="B927" t="str">
        <f ca="1">IFERROR(__xludf.DUMMYFUNCTION("""COMPUTED_VALUE"""),"NL42")</f>
        <v>NL42</v>
      </c>
    </row>
    <row r="928" spans="1:2" ht="12.5" x14ac:dyDescent="0.25">
      <c r="A928" t="str">
        <f ca="1">IFERROR(__xludf.DUMMYFUNCTION("""COMPUTED_VALUE"""),"Limburg-Weilburg")</f>
        <v>Limburg-Weilburg</v>
      </c>
      <c r="B928" t="str">
        <f ca="1">IFERROR(__xludf.DUMMYFUNCTION("""COMPUTED_VALUE"""),"DE723")</f>
        <v>DE723</v>
      </c>
    </row>
    <row r="929" spans="1:2" ht="12.5" x14ac:dyDescent="0.25">
      <c r="A929" t="str">
        <f ca="1">IFERROR(__xludf.DUMMYFUNCTION("""COMPUTED_VALUE"""),"Limousin")</f>
        <v>Limousin</v>
      </c>
      <c r="B929" t="str">
        <f ca="1">IFERROR(__xludf.DUMMYFUNCTION("""COMPUTED_VALUE"""),"FR63")</f>
        <v>FR63</v>
      </c>
    </row>
    <row r="930" spans="1:2" ht="12.5" x14ac:dyDescent="0.25">
      <c r="A930" t="str">
        <f ca="1">IFERROR(__xludf.DUMMYFUNCTION("""COMPUTED_VALUE"""),"Lincolnshire")</f>
        <v>Lincolnshire</v>
      </c>
      <c r="B930" t="str">
        <f ca="1">IFERROR(__xludf.DUMMYFUNCTION("""COMPUTED_VALUE"""),"UKF3")</f>
        <v>UKF3</v>
      </c>
    </row>
    <row r="931" spans="1:2" ht="12.5" x14ac:dyDescent="0.25">
      <c r="A931" t="str">
        <f ca="1">IFERROR(__xludf.DUMMYFUNCTION("""COMPUTED_VALUE"""),"Lincolnshire (*)")</f>
        <v>Lincolnshire (*)</v>
      </c>
      <c r="B931" t="str">
        <f ca="1">IFERROR(__xludf.DUMMYFUNCTION("""COMPUTED_VALUE"""),"UKF30")</f>
        <v>UKF30</v>
      </c>
    </row>
    <row r="932" spans="1:2" ht="12.5" x14ac:dyDescent="0.25">
      <c r="A932" t="str">
        <f ca="1">IFERROR(__xludf.DUMMYFUNCTION("""COMPUTED_VALUE"""),"Lindau (Bodensee)")</f>
        <v>Lindau (Bodensee)</v>
      </c>
      <c r="B932" t="str">
        <f ca="1">IFERROR(__xludf.DUMMYFUNCTION("""COMPUTED_VALUE"""),"DE27A")</f>
        <v>DE27A</v>
      </c>
    </row>
    <row r="933" spans="1:2" ht="12.5" x14ac:dyDescent="0.25">
      <c r="A933" t="str">
        <f ca="1">IFERROR(__xludf.DUMMYFUNCTION("""COMPUTED_VALUE"""),"Linz-Wels")</f>
        <v>Linz-Wels</v>
      </c>
      <c r="B933" t="str">
        <f ca="1">IFERROR(__xludf.DUMMYFUNCTION("""COMPUTED_VALUE"""),"AT312")</f>
        <v>AT312</v>
      </c>
    </row>
    <row r="934" spans="1:2" ht="12.5" x14ac:dyDescent="0.25">
      <c r="A934" t="str">
        <f ca="1">IFERROR(__xludf.DUMMYFUNCTION("""COMPUTED_VALUE"""),"Lippe")</f>
        <v>Lippe</v>
      </c>
      <c r="B934" t="str">
        <f ca="1">IFERROR(__xludf.DUMMYFUNCTION("""COMPUTED_VALUE"""),"DEA45")</f>
        <v>DEA45</v>
      </c>
    </row>
    <row r="935" spans="1:2" ht="12.5" x14ac:dyDescent="0.25">
      <c r="A935" t="str">
        <f ca="1">IFERROR(__xludf.DUMMYFUNCTION("""COMPUTED_VALUE"""),"Lisboa")</f>
        <v>Lisboa</v>
      </c>
      <c r="B935" t="str">
        <f ca="1">IFERROR(__xludf.DUMMYFUNCTION("""COMPUTED_VALUE"""),"PT17")</f>
        <v>PT17</v>
      </c>
    </row>
    <row r="936" spans="1:2" ht="12.5" x14ac:dyDescent="0.25">
      <c r="A936" t="str">
        <f ca="1">IFERROR(__xludf.DUMMYFUNCTION("""COMPUTED_VALUE"""),"Liverpool")</f>
        <v>Liverpool</v>
      </c>
      <c r="B936" t="str">
        <f ca="1">IFERROR(__xludf.DUMMYFUNCTION("""COMPUTED_VALUE"""),"UKD52")</f>
        <v>UKD52</v>
      </c>
    </row>
    <row r="937" spans="1:2" ht="12.5" x14ac:dyDescent="0.25">
      <c r="A937" t="str">
        <f ca="1">IFERROR(__xludf.DUMMYFUNCTION("""COMPUTED_VALUE"""),"Livorno")</f>
        <v>Livorno</v>
      </c>
      <c r="B937" t="str">
        <f ca="1">IFERROR(__xludf.DUMMYFUNCTION("""COMPUTED_VALUE"""),"ITE16")</f>
        <v>ITE16</v>
      </c>
    </row>
    <row r="938" spans="1:2" ht="12.5" x14ac:dyDescent="0.25">
      <c r="A938" t="str">
        <f ca="1">IFERROR(__xludf.DUMMYFUNCTION("""COMPUTED_VALUE"""),"Lleida")</f>
        <v>Lleida</v>
      </c>
      <c r="B938" t="str">
        <f ca="1">IFERROR(__xludf.DUMMYFUNCTION("""COMPUTED_VALUE"""),"ES513")</f>
        <v>ES513</v>
      </c>
    </row>
    <row r="939" spans="1:2" ht="12.5" x14ac:dyDescent="0.25">
      <c r="A939" t="str">
        <f ca="1">IFERROR(__xludf.DUMMYFUNCTION("""COMPUTED_VALUE"""),"Löbau-Zittau")</f>
        <v>Löbau-Zittau</v>
      </c>
      <c r="B939" t="str">
        <f ca="1">IFERROR(__xludf.DUMMYFUNCTION("""COMPUTED_VALUE"""),"DED28")</f>
        <v>DED28</v>
      </c>
    </row>
    <row r="940" spans="1:2" ht="12.5" x14ac:dyDescent="0.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x14ac:dyDescent="0.25">
      <c r="A941" t="str">
        <f ca="1">IFERROR(__xludf.DUMMYFUNCTION("""COMPUTED_VALUE"""),"Lodi")</f>
        <v>Lodi</v>
      </c>
      <c r="B941" t="str">
        <f ca="1">IFERROR(__xludf.DUMMYFUNCTION("""COMPUTED_VALUE"""),"ITC49")</f>
        <v>ITC49</v>
      </c>
    </row>
    <row r="942" spans="1:2" ht="12.5" x14ac:dyDescent="0.25">
      <c r="A942" t="str">
        <f ca="1">IFERROR(__xludf.DUMMYFUNCTION("""COMPUTED_VALUE"""),"Lodzki")</f>
        <v>Lodzki</v>
      </c>
      <c r="B942" t="str">
        <f ca="1">IFERROR(__xludf.DUMMYFUNCTION("""COMPUTED_VALUE"""),"PL114")</f>
        <v>PL114</v>
      </c>
    </row>
    <row r="943" spans="1:2" ht="12.5" x14ac:dyDescent="0.25">
      <c r="A943" t="str">
        <f ca="1">IFERROR(__xludf.DUMMYFUNCTION("""COMPUTED_VALUE"""),"Lodzkie")</f>
        <v>Lodzkie</v>
      </c>
      <c r="B943" t="str">
        <f ca="1">IFERROR(__xludf.DUMMYFUNCTION("""COMPUTED_VALUE"""),"PL11")</f>
        <v>PL11</v>
      </c>
    </row>
    <row r="944" spans="1:2" ht="12.5" x14ac:dyDescent="0.25">
      <c r="A944" t="str">
        <f ca="1">IFERROR(__xludf.DUMMYFUNCTION("""COMPUTED_VALUE"""),"Loir-Et-Cher")</f>
        <v>Loir-Et-Cher</v>
      </c>
      <c r="B944" t="str">
        <f ca="1">IFERROR(__xludf.DUMMYFUNCTION("""COMPUTED_VALUE"""),"FR245")</f>
        <v>FR245</v>
      </c>
    </row>
    <row r="945" spans="1:2" ht="12.5" x14ac:dyDescent="0.25">
      <c r="A945" t="str">
        <f ca="1">IFERROR(__xludf.DUMMYFUNCTION("""COMPUTED_VALUE"""),"Loire")</f>
        <v>Loire</v>
      </c>
      <c r="B945" t="str">
        <f ca="1">IFERROR(__xludf.DUMMYFUNCTION("""COMPUTED_VALUE"""),"FR715")</f>
        <v>FR715</v>
      </c>
    </row>
    <row r="946" spans="1:2" ht="12.5" x14ac:dyDescent="0.25">
      <c r="A946" t="str">
        <f ca="1">IFERROR(__xludf.DUMMYFUNCTION("""COMPUTED_VALUE"""),"Loire-Atlantique")</f>
        <v>Loire-Atlantique</v>
      </c>
      <c r="B946" t="str">
        <f ca="1">IFERROR(__xludf.DUMMYFUNCTION("""COMPUTED_VALUE"""),"FR511")</f>
        <v>FR511</v>
      </c>
    </row>
    <row r="947" spans="1:2" ht="12.5" x14ac:dyDescent="0.25">
      <c r="A947" t="str">
        <f ca="1">IFERROR(__xludf.DUMMYFUNCTION("""COMPUTED_VALUE"""),"Loiret")</f>
        <v>Loiret</v>
      </c>
      <c r="B947" t="str">
        <f ca="1">IFERROR(__xludf.DUMMYFUNCTION("""COMPUTED_VALUE"""),"FR246")</f>
        <v>FR246</v>
      </c>
    </row>
    <row r="948" spans="1:2" ht="12.5" x14ac:dyDescent="0.25">
      <c r="A948" t="str">
        <f ca="1">IFERROR(__xludf.DUMMYFUNCTION("""COMPUTED_VALUE"""),"Lombardia")</f>
        <v>Lombardia</v>
      </c>
      <c r="B948" t="str">
        <f ca="1">IFERROR(__xludf.DUMMYFUNCTION("""COMPUTED_VALUE"""),"ITC4")</f>
        <v>ITC4</v>
      </c>
    </row>
    <row r="949" spans="1:2" ht="12.5" x14ac:dyDescent="0.25">
      <c r="A949" t="str">
        <f ca="1">IFERROR(__xludf.DUMMYFUNCTION("""COMPUTED_VALUE"""),"Lomzynski")</f>
        <v>Lomzynski</v>
      </c>
      <c r="B949" t="str">
        <f ca="1">IFERROR(__xludf.DUMMYFUNCTION("""COMPUTED_VALUE"""),"PL344")</f>
        <v>PL344</v>
      </c>
    </row>
    <row r="950" spans="1:2" ht="12.5" x14ac:dyDescent="0.25">
      <c r="A950" t="str">
        <f ca="1">IFERROR(__xludf.DUMMYFUNCTION("""COMPUTED_VALUE"""),"London")</f>
        <v>London</v>
      </c>
      <c r="B950" t="str">
        <f ca="1">IFERROR(__xludf.DUMMYFUNCTION("""COMPUTED_VALUE"""),"UKI")</f>
        <v>UKI</v>
      </c>
    </row>
    <row r="951" spans="1:2" ht="12.5" x14ac:dyDescent="0.25">
      <c r="A951" t="str">
        <f ca="1">IFERROR(__xludf.DUMMYFUNCTION("""COMPUTED_VALUE"""),"Lörrach")</f>
        <v>Lörrach</v>
      </c>
      <c r="B951" t="str">
        <f ca="1">IFERROR(__xludf.DUMMYFUNCTION("""COMPUTED_VALUE"""),"DE139")</f>
        <v>DE139</v>
      </c>
    </row>
    <row r="952" spans="1:2" ht="12.5" x14ac:dyDescent="0.25">
      <c r="A952" t="str">
        <f ca="1">IFERROR(__xludf.DUMMYFUNCTION("""COMPUTED_VALUE"""),"Lorraine")</f>
        <v>Lorraine</v>
      </c>
      <c r="B952" t="str">
        <f ca="1">IFERROR(__xludf.DUMMYFUNCTION("""COMPUTED_VALUE"""),"FR41")</f>
        <v>FR41</v>
      </c>
    </row>
    <row r="953" spans="1:2" ht="12.5" x14ac:dyDescent="0.25">
      <c r="A953" t="str">
        <f ca="1">IFERROR(__xludf.DUMMYFUNCTION("""COMPUTED_VALUE"""),"Lot")</f>
        <v>Lot</v>
      </c>
      <c r="B953" t="str">
        <f ca="1">IFERROR(__xludf.DUMMYFUNCTION("""COMPUTED_VALUE"""),"FR625")</f>
        <v>FR625</v>
      </c>
    </row>
    <row r="954" spans="1:2" ht="12.5" x14ac:dyDescent="0.25">
      <c r="A954" t="str">
        <f ca="1">IFERROR(__xludf.DUMMYFUNCTION("""COMPUTED_VALUE"""),"Lot-Et-Garonne")</f>
        <v>Lot-Et-Garonne</v>
      </c>
      <c r="B954" t="str">
        <f ca="1">IFERROR(__xludf.DUMMYFUNCTION("""COMPUTED_VALUE"""),"FR614")</f>
        <v>FR614</v>
      </c>
    </row>
    <row r="955" spans="1:2" ht="12.5" x14ac:dyDescent="0.25">
      <c r="A955" t="str">
        <f ca="1">IFERROR(__xludf.DUMMYFUNCTION("""COMPUTED_VALUE"""),"Lõuna-Eesti")</f>
        <v>Lõuna-Eesti</v>
      </c>
      <c r="B955" t="str">
        <f ca="1">IFERROR(__xludf.DUMMYFUNCTION("""COMPUTED_VALUE"""),"EE008")</f>
        <v>EE008</v>
      </c>
    </row>
    <row r="956" spans="1:2" ht="12.5" x14ac:dyDescent="0.25">
      <c r="A956" t="str">
        <f ca="1">IFERROR(__xludf.DUMMYFUNCTION("""COMPUTED_VALUE"""),"Lovech")</f>
        <v>Lovech</v>
      </c>
      <c r="B956" t="str">
        <f ca="1">IFERROR(__xludf.DUMMYFUNCTION("""COMPUTED_VALUE"""),"BG315")</f>
        <v>BG315</v>
      </c>
    </row>
    <row r="957" spans="1:2" ht="12.5" x14ac:dyDescent="0.25">
      <c r="A957" t="str">
        <f ca="1">IFERROR(__xludf.DUMMYFUNCTION("""COMPUTED_VALUE"""),"Lozère")</f>
        <v>Lozère</v>
      </c>
      <c r="B957" t="str">
        <f ca="1">IFERROR(__xludf.DUMMYFUNCTION("""COMPUTED_VALUE"""),"FR814")</f>
        <v>FR814</v>
      </c>
    </row>
    <row r="958" spans="1:2" ht="12.5" x14ac:dyDescent="0.25">
      <c r="A958" t="str">
        <f ca="1">IFERROR(__xludf.DUMMYFUNCTION("""COMPUTED_VALUE"""),"Lübeck, Kreisfreie Stadt")</f>
        <v>Lübeck, Kreisfreie Stadt</v>
      </c>
      <c r="B958" t="str">
        <f ca="1">IFERROR(__xludf.DUMMYFUNCTION("""COMPUTED_VALUE"""),"DEF03")</f>
        <v>DEF03</v>
      </c>
    </row>
    <row r="959" spans="1:2" ht="12.5" x14ac:dyDescent="0.25">
      <c r="A959" t="str">
        <f ca="1">IFERROR(__xludf.DUMMYFUNCTION("""COMPUTED_VALUE"""),"Lubelski")</f>
        <v>Lubelski</v>
      </c>
      <c r="B959" t="str">
        <f ca="1">IFERROR(__xludf.DUMMYFUNCTION("""COMPUTED_VALUE"""),"PL314")</f>
        <v>PL314</v>
      </c>
    </row>
    <row r="960" spans="1:2" ht="12.5" x14ac:dyDescent="0.25">
      <c r="A960" t="str">
        <f ca="1">IFERROR(__xludf.DUMMYFUNCTION("""COMPUTED_VALUE"""),"Lubelskie")</f>
        <v>Lubelskie</v>
      </c>
      <c r="B960" t="str">
        <f ca="1">IFERROR(__xludf.DUMMYFUNCTION("""COMPUTED_VALUE"""),"PL31")</f>
        <v>PL31</v>
      </c>
    </row>
    <row r="961" spans="1:2" ht="12.5" x14ac:dyDescent="0.25">
      <c r="A961" t="str">
        <f ca="1">IFERROR(__xludf.DUMMYFUNCTION("""COMPUTED_VALUE"""),"Lubuskie")</f>
        <v>Lubuskie</v>
      </c>
      <c r="B961" t="str">
        <f ca="1">IFERROR(__xludf.DUMMYFUNCTION("""COMPUTED_VALUE"""),"PL43")</f>
        <v>PL43</v>
      </c>
    </row>
    <row r="962" spans="1:2" ht="12.5" x14ac:dyDescent="0.25">
      <c r="A962" t="str">
        <f ca="1">IFERROR(__xludf.DUMMYFUNCTION("""COMPUTED_VALUE"""),"Lucca")</f>
        <v>Lucca</v>
      </c>
      <c r="B962" t="str">
        <f ca="1">IFERROR(__xludf.DUMMYFUNCTION("""COMPUTED_VALUE"""),"ITE12")</f>
        <v>ITE12</v>
      </c>
    </row>
    <row r="963" spans="1:2" ht="12.5" x14ac:dyDescent="0.25">
      <c r="A963" t="str">
        <f ca="1">IFERROR(__xludf.DUMMYFUNCTION("""COMPUTED_VALUE"""),"Lüchow-Dannenberg")</f>
        <v>Lüchow-Dannenberg</v>
      </c>
      <c r="B963" t="str">
        <f ca="1">IFERROR(__xludf.DUMMYFUNCTION("""COMPUTED_VALUE"""),"DE934")</f>
        <v>DE934</v>
      </c>
    </row>
    <row r="964" spans="1:2" ht="12.5" x14ac:dyDescent="0.25">
      <c r="A964" t="str">
        <f ca="1">IFERROR(__xludf.DUMMYFUNCTION("""COMPUTED_VALUE"""),"Ludwigsburg")</f>
        <v>Ludwigsburg</v>
      </c>
      <c r="B964" t="str">
        <f ca="1">IFERROR(__xludf.DUMMYFUNCTION("""COMPUTED_VALUE"""),"DE115")</f>
        <v>DE115</v>
      </c>
    </row>
    <row r="965" spans="1:2" ht="12.5" x14ac:dyDescent="0.25">
      <c r="A965" t="str">
        <f ca="1">IFERROR(__xludf.DUMMYFUNCTION("""COMPUTED_VALUE"""),"Ludwigshafen Am Rhein, Kreisfreie Stadt")</f>
        <v>Ludwigshafen Am Rhein, Kreisfreie Stadt</v>
      </c>
      <c r="B965" t="str">
        <f ca="1">IFERROR(__xludf.DUMMYFUNCTION("""COMPUTED_VALUE"""),"DEB34")</f>
        <v>DEB34</v>
      </c>
    </row>
    <row r="966" spans="1:2" ht="12.5" x14ac:dyDescent="0.25">
      <c r="A966" t="str">
        <f ca="1">IFERROR(__xludf.DUMMYFUNCTION("""COMPUTED_VALUE"""),"Ludwigslust")</f>
        <v>Ludwigslust</v>
      </c>
      <c r="B966" t="str">
        <f ca="1">IFERROR(__xludf.DUMMYFUNCTION("""COMPUTED_VALUE"""),"DE80A")</f>
        <v>DE80A</v>
      </c>
    </row>
    <row r="967" spans="1:2" ht="12.5" x14ac:dyDescent="0.25">
      <c r="A967" t="str">
        <f ca="1">IFERROR(__xludf.DUMMYFUNCTION("""COMPUTED_VALUE"""),"Lugo")</f>
        <v>Lugo</v>
      </c>
      <c r="B967" t="str">
        <f ca="1">IFERROR(__xludf.DUMMYFUNCTION("""COMPUTED_VALUE"""),"ES112")</f>
        <v>ES112</v>
      </c>
    </row>
    <row r="968" spans="1:2" ht="12.5" x14ac:dyDescent="0.25">
      <c r="A968" t="str">
        <f ca="1">IFERROR(__xludf.DUMMYFUNCTION("""COMPUTED_VALUE"""),"Lüneburg")</f>
        <v>Lüneburg</v>
      </c>
      <c r="B968" t="str">
        <f ca="1">IFERROR(__xludf.DUMMYFUNCTION("""COMPUTED_VALUE"""),"DE93")</f>
        <v>DE93</v>
      </c>
    </row>
    <row r="969" spans="1:2" ht="12.5" x14ac:dyDescent="0.25">
      <c r="A969" t="str">
        <f ca="1">IFERROR(__xludf.DUMMYFUNCTION("""COMPUTED_VALUE"""),"Lüneburg, Landkreis")</f>
        <v>Lüneburg, Landkreis</v>
      </c>
      <c r="B969" t="str">
        <f ca="1">IFERROR(__xludf.DUMMYFUNCTION("""COMPUTED_VALUE"""),"DE935")</f>
        <v>DE935</v>
      </c>
    </row>
    <row r="970" spans="1:2" ht="12.5" x14ac:dyDescent="0.25">
      <c r="A970" t="str">
        <f ca="1">IFERROR(__xludf.DUMMYFUNCTION("""COMPUTED_VALUE"""),"Lungau")</f>
        <v>Lungau</v>
      </c>
      <c r="B970" t="str">
        <f ca="1">IFERROR(__xludf.DUMMYFUNCTION("""COMPUTED_VALUE"""),"AT321")</f>
        <v>AT321</v>
      </c>
    </row>
    <row r="971" spans="1:2" ht="12.5" x14ac:dyDescent="0.25">
      <c r="A971" t="str">
        <f ca="1">IFERROR(__xludf.DUMMYFUNCTION("""COMPUTED_VALUE"""),"Luton")</f>
        <v>Luton</v>
      </c>
      <c r="B971" t="str">
        <f ca="1">IFERROR(__xludf.DUMMYFUNCTION("""COMPUTED_VALUE"""),"UKH21")</f>
        <v>UKH21</v>
      </c>
    </row>
    <row r="972" spans="1:2" ht="12.5" x14ac:dyDescent="0.25">
      <c r="A972" t="str">
        <f ca="1">IFERROR(__xludf.DUMMYFUNCTION("""COMPUTED_VALUE"""),"Luxembourg (Grand-Duché)")</f>
        <v>Luxembourg (Grand-Duché)</v>
      </c>
      <c r="B972" t="str">
        <f ca="1">IFERROR(__xludf.DUMMYFUNCTION("""COMPUTED_VALUE"""),"LU")</f>
        <v>LU</v>
      </c>
    </row>
    <row r="973" spans="1:2" ht="12.5" x14ac:dyDescent="0.25">
      <c r="A973" t="str">
        <f ca="1">IFERROR(__xludf.DUMMYFUNCTION("""COMPUTED_VALUE"""),"Luxembourg (Grand-Duché) (*)")</f>
        <v>Luxembourg (Grand-Duché) (*)</v>
      </c>
      <c r="B973" t="str">
        <f ca="1">IFERROR(__xludf.DUMMYFUNCTION("""COMPUTED_VALUE"""),"LU0")</f>
        <v>LU0</v>
      </c>
    </row>
    <row r="974" spans="1:2" ht="12.5" x14ac:dyDescent="0.25">
      <c r="A974" t="str">
        <f ca="1">IFERROR(__xludf.DUMMYFUNCTION("""COMPUTED_VALUE"""),"Luxembourg (Grand-Duché) (**)")</f>
        <v>Luxembourg (Grand-Duché) (**)</v>
      </c>
      <c r="B974" t="str">
        <f ca="1">IFERROR(__xludf.DUMMYFUNCTION("""COMPUTED_VALUE"""),"LU00")</f>
        <v>LU00</v>
      </c>
    </row>
    <row r="975" spans="1:2" ht="12.5" x14ac:dyDescent="0.25">
      <c r="A975" t="str">
        <f ca="1">IFERROR(__xludf.DUMMYFUNCTION("""COMPUTED_VALUE"""),"Luxembourg (Grand-Duché) (***)")</f>
        <v>Luxembourg (Grand-Duché) (***)</v>
      </c>
      <c r="B975" t="str">
        <f ca="1">IFERROR(__xludf.DUMMYFUNCTION("""COMPUTED_VALUE"""),"LU000")</f>
        <v>LU000</v>
      </c>
    </row>
    <row r="976" spans="1:2" ht="12.5" x14ac:dyDescent="0.25">
      <c r="A976" t="str">
        <f ca="1">IFERROR(__xludf.DUMMYFUNCTION("""COMPUTED_VALUE"""),"Luzern")</f>
        <v>Luzern</v>
      </c>
      <c r="B976" t="str">
        <f ca="1">IFERROR(__xludf.DUMMYFUNCTION("""COMPUTED_VALUE"""),"CH061")</f>
        <v>CH061</v>
      </c>
    </row>
    <row r="977" spans="1:2" ht="12.5" x14ac:dyDescent="0.25">
      <c r="A977" t="str">
        <f ca="1">IFERROR(__xludf.DUMMYFUNCTION("""COMPUTED_VALUE"""),"Macerata")</f>
        <v>Macerata</v>
      </c>
      <c r="B977" t="str">
        <f ca="1">IFERROR(__xludf.DUMMYFUNCTION("""COMPUTED_VALUE"""),"ITE33")</f>
        <v>ITE33</v>
      </c>
    </row>
    <row r="978" spans="1:2" ht="12.5" x14ac:dyDescent="0.25">
      <c r="A978" t="str">
        <f ca="1">IFERROR(__xludf.DUMMYFUNCTION("""COMPUTED_VALUE"""),"Macroregiunea Doi")</f>
        <v>Macroregiunea Doi</v>
      </c>
      <c r="B978" t="str">
        <f ca="1">IFERROR(__xludf.DUMMYFUNCTION("""COMPUTED_VALUE"""),"RO2")</f>
        <v>RO2</v>
      </c>
    </row>
    <row r="979" spans="1:2" ht="12.5" x14ac:dyDescent="0.25">
      <c r="A979" t="str">
        <f ca="1">IFERROR(__xludf.DUMMYFUNCTION("""COMPUTED_VALUE"""),"Macroregiunea Patru")</f>
        <v>Macroregiunea Patru</v>
      </c>
      <c r="B979" t="str">
        <f ca="1">IFERROR(__xludf.DUMMYFUNCTION("""COMPUTED_VALUE"""),"RO4")</f>
        <v>RO4</v>
      </c>
    </row>
    <row r="980" spans="1:2" ht="12.5" x14ac:dyDescent="0.25">
      <c r="A980" t="str">
        <f ca="1">IFERROR(__xludf.DUMMYFUNCTION("""COMPUTED_VALUE"""),"Macroregiunea Trei")</f>
        <v>Macroregiunea Trei</v>
      </c>
      <c r="B980" t="str">
        <f ca="1">IFERROR(__xludf.DUMMYFUNCTION("""COMPUTED_VALUE"""),"RO3")</f>
        <v>RO3</v>
      </c>
    </row>
    <row r="981" spans="1:2" ht="12.5" x14ac:dyDescent="0.25">
      <c r="A981" t="str">
        <f ca="1">IFERROR(__xludf.DUMMYFUNCTION("""COMPUTED_VALUE"""),"Macroregiunea Unu")</f>
        <v>Macroregiunea Unu</v>
      </c>
      <c r="B981" t="str">
        <f ca="1">IFERROR(__xludf.DUMMYFUNCTION("""COMPUTED_VALUE"""),"RO1")</f>
        <v>RO1</v>
      </c>
    </row>
    <row r="982" spans="1:2" ht="12.5" x14ac:dyDescent="0.25">
      <c r="A982" t="str">
        <f ca="1">IFERROR(__xludf.DUMMYFUNCTION("""COMPUTED_VALUE"""),"Madrid")</f>
        <v>Madrid</v>
      </c>
      <c r="B982" t="str">
        <f ca="1">IFERROR(__xludf.DUMMYFUNCTION("""COMPUTED_VALUE"""),"ES300")</f>
        <v>ES300</v>
      </c>
    </row>
    <row r="983" spans="1:2" ht="12.5" x14ac:dyDescent="0.25">
      <c r="A983" t="str">
        <f ca="1">IFERROR(__xludf.DUMMYFUNCTION("""COMPUTED_VALUE"""),"Magdeburg, Kreisfreie Stadt")</f>
        <v>Magdeburg, Kreisfreie Stadt</v>
      </c>
      <c r="B983" t="str">
        <f ca="1">IFERROR(__xludf.DUMMYFUNCTION("""COMPUTED_VALUE"""),"DEE03")</f>
        <v>DEE03</v>
      </c>
    </row>
    <row r="984" spans="1:2" ht="12.5" x14ac:dyDescent="0.25">
      <c r="A984" t="str">
        <f ca="1">IFERROR(__xludf.DUMMYFUNCTION("""COMPUTED_VALUE"""),"Magnisia")</f>
        <v>Magnisia</v>
      </c>
      <c r="B984" t="str">
        <f ca="1">IFERROR(__xludf.DUMMYFUNCTION("""COMPUTED_VALUE"""),"GR143")</f>
        <v>GR143</v>
      </c>
    </row>
    <row r="985" spans="1:2" ht="12.5" x14ac:dyDescent="0.25">
      <c r="A985" t="str">
        <f ca="1">IFERROR(__xludf.DUMMYFUNCTION("""COMPUTED_VALUE"""),"Magyarorszag")</f>
        <v>Magyarorszag</v>
      </c>
      <c r="B985" t="str">
        <f ca="1">IFERROR(__xludf.DUMMYFUNCTION("""COMPUTED_VALUE"""),"HU")</f>
        <v>HU</v>
      </c>
    </row>
    <row r="986" spans="1:2" ht="12.5" x14ac:dyDescent="0.25">
      <c r="A986" t="str">
        <f ca="1">IFERROR(__xludf.DUMMYFUNCTION("""COMPUTED_VALUE"""),"Main-Kinzig-Kreis")</f>
        <v>Main-Kinzig-Kreis</v>
      </c>
      <c r="B986" t="str">
        <f ca="1">IFERROR(__xludf.DUMMYFUNCTION("""COMPUTED_VALUE"""),"DE719")</f>
        <v>DE719</v>
      </c>
    </row>
    <row r="987" spans="1:2" ht="12.5" x14ac:dyDescent="0.25">
      <c r="A987" t="str">
        <f ca="1">IFERROR(__xludf.DUMMYFUNCTION("""COMPUTED_VALUE"""),"Main-Spessart")</f>
        <v>Main-Spessart</v>
      </c>
      <c r="B987" t="str">
        <f ca="1">IFERROR(__xludf.DUMMYFUNCTION("""COMPUTED_VALUE"""),"DE26A")</f>
        <v>DE26A</v>
      </c>
    </row>
    <row r="988" spans="1:2" ht="12.5" x14ac:dyDescent="0.25">
      <c r="A988" t="str">
        <f ca="1">IFERROR(__xludf.DUMMYFUNCTION("""COMPUTED_VALUE"""),"Main-Tauber-Kreis")</f>
        <v>Main-Tauber-Kreis</v>
      </c>
      <c r="B988" t="str">
        <f ca="1">IFERROR(__xludf.DUMMYFUNCTION("""COMPUTED_VALUE"""),"DE11B")</f>
        <v>DE11B</v>
      </c>
    </row>
    <row r="989" spans="1:2" ht="12.5" x14ac:dyDescent="0.25">
      <c r="A989" t="str">
        <f ca="1">IFERROR(__xludf.DUMMYFUNCTION("""COMPUTED_VALUE"""),"Main-Taunus-Kreis")</f>
        <v>Main-Taunus-Kreis</v>
      </c>
      <c r="B989" t="str">
        <f ca="1">IFERROR(__xludf.DUMMYFUNCTION("""COMPUTED_VALUE"""),"DE71A")</f>
        <v>DE71A</v>
      </c>
    </row>
    <row r="990" spans="1:2" ht="12.5" x14ac:dyDescent="0.25">
      <c r="A990" t="str">
        <f ca="1">IFERROR(__xludf.DUMMYFUNCTION("""COMPUTED_VALUE"""),"Maine-Et-Loire")</f>
        <v>Maine-Et-Loire</v>
      </c>
      <c r="B990" t="str">
        <f ca="1">IFERROR(__xludf.DUMMYFUNCTION("""COMPUTED_VALUE"""),"FR512")</f>
        <v>FR512</v>
      </c>
    </row>
    <row r="991" spans="1:2" ht="12.5" x14ac:dyDescent="0.25">
      <c r="A991" t="str">
        <f ca="1">IFERROR(__xludf.DUMMYFUNCTION("""COMPUTED_VALUE"""),"Mainz-Bingen")</f>
        <v>Mainz-Bingen</v>
      </c>
      <c r="B991" t="str">
        <f ca="1">IFERROR(__xludf.DUMMYFUNCTION("""COMPUTED_VALUE"""),"DEB3J")</f>
        <v>DEB3J</v>
      </c>
    </row>
    <row r="992" spans="1:2" ht="12.5" x14ac:dyDescent="0.25">
      <c r="A992" t="str">
        <f ca="1">IFERROR(__xludf.DUMMYFUNCTION("""COMPUTED_VALUE"""),"Mainz, Kreisfreie Stadt")</f>
        <v>Mainz, Kreisfreie Stadt</v>
      </c>
      <c r="B992" t="str">
        <f ca="1">IFERROR(__xludf.DUMMYFUNCTION("""COMPUTED_VALUE"""),"DEB35")</f>
        <v>DEB35</v>
      </c>
    </row>
    <row r="993" spans="1:2" ht="12.5" x14ac:dyDescent="0.25">
      <c r="A993" t="str">
        <f ca="1">IFERROR(__xludf.DUMMYFUNCTION("""COMPUTED_VALUE"""),"Málaga")</f>
        <v>Málaga</v>
      </c>
      <c r="B993" t="str">
        <f ca="1">IFERROR(__xludf.DUMMYFUNCTION("""COMPUTED_VALUE"""),"ES617")</f>
        <v>ES617</v>
      </c>
    </row>
    <row r="994" spans="1:2" ht="12.5" x14ac:dyDescent="0.25">
      <c r="A994" t="str">
        <f ca="1">IFERROR(__xludf.DUMMYFUNCTION("""COMPUTED_VALUE"""),"Mallorca")</f>
        <v>Mallorca</v>
      </c>
      <c r="B994" t="str">
        <f ca="1">IFERROR(__xludf.DUMMYFUNCTION("""COMPUTED_VALUE"""),"ES532")</f>
        <v>ES532</v>
      </c>
    </row>
    <row r="995" spans="1:2" ht="12.5" x14ac:dyDescent="0.25">
      <c r="A995" t="str">
        <f ca="1">IFERROR(__xludf.DUMMYFUNCTION("""COMPUTED_VALUE"""),"Malopolskie")</f>
        <v>Malopolskie</v>
      </c>
      <c r="B995" t="str">
        <f ca="1">IFERROR(__xludf.DUMMYFUNCTION("""COMPUTED_VALUE"""),"PL21")</f>
        <v>PL21</v>
      </c>
    </row>
    <row r="996" spans="1:2" ht="12.5" x14ac:dyDescent="0.25">
      <c r="A996" t="str">
        <f ca="1">IFERROR(__xludf.DUMMYFUNCTION("""COMPUTED_VALUE"""),"Malta")</f>
        <v>Malta</v>
      </c>
      <c r="B996" t="str">
        <f ca="1">IFERROR(__xludf.DUMMYFUNCTION("""COMPUTED_VALUE"""),"MT")</f>
        <v>MT</v>
      </c>
    </row>
    <row r="997" spans="1:2" ht="12.5" x14ac:dyDescent="0.25">
      <c r="A997" t="str">
        <f ca="1">IFERROR(__xludf.DUMMYFUNCTION("""COMPUTED_VALUE"""),"Malta (*)")</f>
        <v>Malta (*)</v>
      </c>
      <c r="B997" t="str">
        <f ca="1">IFERROR(__xludf.DUMMYFUNCTION("""COMPUTED_VALUE"""),"MT0")</f>
        <v>MT0</v>
      </c>
    </row>
    <row r="998" spans="1:2" ht="12.5" x14ac:dyDescent="0.25">
      <c r="A998" t="str">
        <f ca="1">IFERROR(__xludf.DUMMYFUNCTION("""COMPUTED_VALUE"""),"Malta (**)")</f>
        <v>Malta (**)</v>
      </c>
      <c r="B998" t="str">
        <f ca="1">IFERROR(__xludf.DUMMYFUNCTION("""COMPUTED_VALUE"""),"MT00")</f>
        <v>MT00</v>
      </c>
    </row>
    <row r="999" spans="1:2" ht="12.5" x14ac:dyDescent="0.25">
      <c r="A999" t="str">
        <f ca="1">IFERROR(__xludf.DUMMYFUNCTION("""COMPUTED_VALUE"""),"Malta (***)")</f>
        <v>Malta (***)</v>
      </c>
      <c r="B999" t="str">
        <f ca="1">IFERROR(__xludf.DUMMYFUNCTION("""COMPUTED_VALUE"""),"MT001")</f>
        <v>MT001</v>
      </c>
    </row>
    <row r="1000" spans="1:2" ht="12.5" x14ac:dyDescent="0.25">
      <c r="A1000" t="str">
        <f ca="1">IFERROR(__xludf.DUMMYFUNCTION("""COMPUTED_VALUE"""),"Manche")</f>
        <v>Manche</v>
      </c>
      <c r="B1000" t="str">
        <f ca="1">IFERROR(__xludf.DUMMYFUNCTION("""COMPUTED_VALUE"""),"FR252")</f>
        <v>FR252</v>
      </c>
    </row>
    <row r="1001" spans="1:2" ht="12.5" x14ac:dyDescent="0.25">
      <c r="A1001" t="str">
        <f ca="1">IFERROR(__xludf.DUMMYFUNCTION("""COMPUTED_VALUE"""),"Manner-Suomi")</f>
        <v>Manner-Suomi</v>
      </c>
      <c r="B1001" t="str">
        <f ca="1">IFERROR(__xludf.DUMMYFUNCTION("""COMPUTED_VALUE"""),"FI1")</f>
        <v>FI1</v>
      </c>
    </row>
    <row r="1002" spans="1:2" ht="12.5" x14ac:dyDescent="0.25">
      <c r="A1002" t="str">
        <f ca="1">IFERROR(__xludf.DUMMYFUNCTION("""COMPUTED_VALUE"""),"Mannheim, Stadtkreis")</f>
        <v>Mannheim, Stadtkreis</v>
      </c>
      <c r="B1002" t="str">
        <f ca="1">IFERROR(__xludf.DUMMYFUNCTION("""COMPUTED_VALUE"""),"DE126")</f>
        <v>DE126</v>
      </c>
    </row>
    <row r="1003" spans="1:2" ht="12.5" x14ac:dyDescent="0.25">
      <c r="A1003" t="str">
        <f ca="1">IFERROR(__xludf.DUMMYFUNCTION("""COMPUTED_VALUE"""),"Mansfeld-Südharz")</f>
        <v>Mansfeld-Südharz</v>
      </c>
      <c r="B1003" t="str">
        <f ca="1">IFERROR(__xludf.DUMMYFUNCTION("""COMPUTED_VALUE"""),"DEE0A")</f>
        <v>DEE0A</v>
      </c>
    </row>
    <row r="1004" spans="1:2" ht="12.5" x14ac:dyDescent="0.25">
      <c r="A1004" t="str">
        <f ca="1">IFERROR(__xludf.DUMMYFUNCTION("""COMPUTED_VALUE"""),"Mantova")</f>
        <v>Mantova</v>
      </c>
      <c r="B1004" t="str">
        <f ca="1">IFERROR(__xludf.DUMMYFUNCTION("""COMPUTED_VALUE"""),"ITC4B")</f>
        <v>ITC4B</v>
      </c>
    </row>
    <row r="1005" spans="1:2" ht="12.5" x14ac:dyDescent="0.25">
      <c r="A1005" t="str">
        <f ca="1">IFERROR(__xludf.DUMMYFUNCTION("""COMPUTED_VALUE"""),"Maramures")</f>
        <v>Maramures</v>
      </c>
      <c r="B1005" t="str">
        <f ca="1">IFERROR(__xludf.DUMMYFUNCTION("""COMPUTED_VALUE"""),"RO114")</f>
        <v>RO114</v>
      </c>
    </row>
    <row r="1006" spans="1:2" ht="12.5" x14ac:dyDescent="0.25">
      <c r="A1006" t="str">
        <f ca="1">IFERROR(__xludf.DUMMYFUNCTION("""COMPUTED_VALUE"""),"Marburg-Biedenkopf")</f>
        <v>Marburg-Biedenkopf</v>
      </c>
      <c r="B1006" t="str">
        <f ca="1">IFERROR(__xludf.DUMMYFUNCTION("""COMPUTED_VALUE"""),"DE724")</f>
        <v>DE724</v>
      </c>
    </row>
    <row r="1007" spans="1:2" ht="12.5" x14ac:dyDescent="0.25">
      <c r="A1007" t="str">
        <f ca="1">IFERROR(__xludf.DUMMYFUNCTION("""COMPUTED_VALUE"""),"Marche")</f>
        <v>Marche</v>
      </c>
      <c r="B1007" t="str">
        <f ca="1">IFERROR(__xludf.DUMMYFUNCTION("""COMPUTED_VALUE"""),"ITE3")</f>
        <v>ITE3</v>
      </c>
    </row>
    <row r="1008" spans="1:2" ht="12.5" x14ac:dyDescent="0.25">
      <c r="A1008" t="str">
        <f ca="1">IFERROR(__xludf.DUMMYFUNCTION("""COMPUTED_VALUE"""),"Marijampoles Apskritis")</f>
        <v>Marijampoles Apskritis</v>
      </c>
      <c r="B1008" t="str">
        <f ca="1">IFERROR(__xludf.DUMMYFUNCTION("""COMPUTED_VALUE"""),"LT004")</f>
        <v>LT004</v>
      </c>
    </row>
    <row r="1009" spans="1:2" ht="12.5" x14ac:dyDescent="0.25">
      <c r="A1009" t="str">
        <f ca="1">IFERROR(__xludf.DUMMYFUNCTION("""COMPUTED_VALUE"""),"Märkisch-Oderland")</f>
        <v>Märkisch-Oderland</v>
      </c>
      <c r="B1009" t="str">
        <f ca="1">IFERROR(__xludf.DUMMYFUNCTION("""COMPUTED_VALUE"""),"DE413")</f>
        <v>DE413</v>
      </c>
    </row>
    <row r="1010" spans="1:2" ht="12.5" x14ac:dyDescent="0.25">
      <c r="A1010" t="str">
        <f ca="1">IFERROR(__xludf.DUMMYFUNCTION("""COMPUTED_VALUE"""),"Märkischer Kreis")</f>
        <v>Märkischer Kreis</v>
      </c>
      <c r="B1010" t="str">
        <f ca="1">IFERROR(__xludf.DUMMYFUNCTION("""COMPUTED_VALUE"""),"DEA58")</f>
        <v>DEA58</v>
      </c>
    </row>
    <row r="1011" spans="1:2" ht="12.5" x14ac:dyDescent="0.25">
      <c r="A1011" t="str">
        <f ca="1">IFERROR(__xludf.DUMMYFUNCTION("""COMPUTED_VALUE"""),"Marne")</f>
        <v>Marne</v>
      </c>
      <c r="B1011" t="str">
        <f ca="1">IFERROR(__xludf.DUMMYFUNCTION("""COMPUTED_VALUE"""),"FR213")</f>
        <v>FR213</v>
      </c>
    </row>
    <row r="1012" spans="1:2" ht="12.5" x14ac:dyDescent="0.25">
      <c r="A1012" t="str">
        <f ca="1">IFERROR(__xludf.DUMMYFUNCTION("""COMPUTED_VALUE"""),"Martinique")</f>
        <v>Martinique</v>
      </c>
      <c r="B1012" t="str">
        <f ca="1">IFERROR(__xludf.DUMMYFUNCTION("""COMPUTED_VALUE"""),"FR92")</f>
        <v>FR92</v>
      </c>
    </row>
    <row r="1013" spans="1:2" ht="12.5" x14ac:dyDescent="0.25">
      <c r="A1013" t="str">
        <f ca="1">IFERROR(__xludf.DUMMYFUNCTION("""COMPUTED_VALUE"""),"Martinique (*)")</f>
        <v>Martinique (*)</v>
      </c>
      <c r="B1013" t="str">
        <f ca="1">IFERROR(__xludf.DUMMYFUNCTION("""COMPUTED_VALUE"""),"FR920")</f>
        <v>FR920</v>
      </c>
    </row>
    <row r="1014" spans="1:2" ht="12.5" x14ac:dyDescent="0.25">
      <c r="A1014" t="str">
        <f ca="1">IFERROR(__xludf.DUMMYFUNCTION("""COMPUTED_VALUE"""),"Massa-Carrara")</f>
        <v>Massa-Carrara</v>
      </c>
      <c r="B1014" t="str">
        <f ca="1">IFERROR(__xludf.DUMMYFUNCTION("""COMPUTED_VALUE"""),"ITE11")</f>
        <v>ITE11</v>
      </c>
    </row>
    <row r="1015" spans="1:2" ht="12.5" x14ac:dyDescent="0.25">
      <c r="A1015" t="str">
        <f ca="1">IFERROR(__xludf.DUMMYFUNCTION("""COMPUTED_VALUE"""),"Matera")</f>
        <v>Matera</v>
      </c>
      <c r="B1015" t="str">
        <f ca="1">IFERROR(__xludf.DUMMYFUNCTION("""COMPUTED_VALUE"""),"ITF52")</f>
        <v>ITF52</v>
      </c>
    </row>
    <row r="1016" spans="1:2" ht="12.5" x14ac:dyDescent="0.25">
      <c r="A1016" t="str">
        <f ca="1">IFERROR(__xludf.DUMMYFUNCTION("""COMPUTED_VALUE"""),"Mayen-Koblenz")</f>
        <v>Mayen-Koblenz</v>
      </c>
      <c r="B1016" t="str">
        <f ca="1">IFERROR(__xludf.DUMMYFUNCTION("""COMPUTED_VALUE"""),"DEB17")</f>
        <v>DEB17</v>
      </c>
    </row>
    <row r="1017" spans="1:2" ht="12.5" x14ac:dyDescent="0.25">
      <c r="A1017" t="str">
        <f ca="1">IFERROR(__xludf.DUMMYFUNCTION("""COMPUTED_VALUE"""),"Mayenne")</f>
        <v>Mayenne</v>
      </c>
      <c r="B1017" t="str">
        <f ca="1">IFERROR(__xludf.DUMMYFUNCTION("""COMPUTED_VALUE"""),"FR513")</f>
        <v>FR513</v>
      </c>
    </row>
    <row r="1018" spans="1:2" ht="12.5" x14ac:dyDescent="0.25">
      <c r="A1018" t="str">
        <f ca="1">IFERROR(__xludf.DUMMYFUNCTION("""COMPUTED_VALUE"""),"Mazowieckie")</f>
        <v>Mazowieckie</v>
      </c>
      <c r="B1018" t="str">
        <f ca="1">IFERROR(__xludf.DUMMYFUNCTION("""COMPUTED_VALUE"""),"PL12")</f>
        <v>PL12</v>
      </c>
    </row>
    <row r="1019" spans="1:2" ht="12.5" x14ac:dyDescent="0.25">
      <c r="A1019" t="str">
        <f ca="1">IFERROR(__xludf.DUMMYFUNCTION("""COMPUTED_VALUE"""),"Mecklenburg-Strelitz")</f>
        <v>Mecklenburg-Strelitz</v>
      </c>
      <c r="B1019" t="str">
        <f ca="1">IFERROR(__xludf.DUMMYFUNCTION("""COMPUTED_VALUE"""),"DE80B")</f>
        <v>DE80B</v>
      </c>
    </row>
    <row r="1020" spans="1:2" ht="12.5" x14ac:dyDescent="0.25">
      <c r="A1020" t="str">
        <f ca="1">IFERROR(__xludf.DUMMYFUNCTION("""COMPUTED_VALUE"""),"Mecklenburg-Vorpommern")</f>
        <v>Mecklenburg-Vorpommern</v>
      </c>
      <c r="B1020" t="str">
        <f ca="1">IFERROR(__xludf.DUMMYFUNCTION("""COMPUTED_VALUE"""),"DE8")</f>
        <v>DE8</v>
      </c>
    </row>
    <row r="1021" spans="1:2" ht="12.5" x14ac:dyDescent="0.25">
      <c r="A1021" t="str">
        <f ca="1">IFERROR(__xludf.DUMMYFUNCTION("""COMPUTED_VALUE"""),"Mecklenburg-Vorpommern (*)")</f>
        <v>Mecklenburg-Vorpommern (*)</v>
      </c>
      <c r="B1021" t="str">
        <f ca="1">IFERROR(__xludf.DUMMYFUNCTION("""COMPUTED_VALUE"""),"DE80")</f>
        <v>DE80</v>
      </c>
    </row>
    <row r="1022" spans="1:2" ht="12.5" x14ac:dyDescent="0.25">
      <c r="A1022" t="str">
        <f ca="1">IFERROR(__xludf.DUMMYFUNCTION("""COMPUTED_VALUE"""),"Medio Campidano")</f>
        <v>Medio Campidano</v>
      </c>
      <c r="B1022" t="str">
        <f ca="1">IFERROR(__xludf.DUMMYFUNCTION("""COMPUTED_VALUE"""),"ITG2B")</f>
        <v>ITG2B</v>
      </c>
    </row>
    <row r="1023" spans="1:2" ht="12.5" x14ac:dyDescent="0.25">
      <c r="A1023" t="str">
        <f ca="1">IFERROR(__xludf.DUMMYFUNCTION("""COMPUTED_VALUE"""),"Médio Tejo")</f>
        <v>Médio Tejo</v>
      </c>
      <c r="B1023" t="str">
        <f ca="1">IFERROR(__xludf.DUMMYFUNCTION("""COMPUTED_VALUE"""),"PT16C")</f>
        <v>PT16C</v>
      </c>
    </row>
    <row r="1024" spans="1:2" ht="12.5" x14ac:dyDescent="0.25">
      <c r="A1024" t="str">
        <f ca="1">IFERROR(__xludf.DUMMYFUNCTION("""COMPUTED_VALUE"""),"Méditerranée")</f>
        <v>Méditerranée</v>
      </c>
      <c r="B1024" t="str">
        <f ca="1">IFERROR(__xludf.DUMMYFUNCTION("""COMPUTED_VALUE"""),"FR8")</f>
        <v>FR8</v>
      </c>
    </row>
    <row r="1025" spans="1:2" ht="12.5" x14ac:dyDescent="0.25">
      <c r="A1025" t="str">
        <f ca="1">IFERROR(__xludf.DUMMYFUNCTION("""COMPUTED_VALUE"""),"Medway")</f>
        <v>Medway</v>
      </c>
      <c r="B1025" t="str">
        <f ca="1">IFERROR(__xludf.DUMMYFUNCTION("""COMPUTED_VALUE"""),"UKJ41")</f>
        <v>UKJ41</v>
      </c>
    </row>
    <row r="1026" spans="1:2" ht="12.5" x14ac:dyDescent="0.25">
      <c r="A1026" t="str">
        <f ca="1">IFERROR(__xludf.DUMMYFUNCTION("""COMPUTED_VALUE"""),"Mehedinti")</f>
        <v>Mehedinti</v>
      </c>
      <c r="B1026" t="str">
        <f ca="1">IFERROR(__xludf.DUMMYFUNCTION("""COMPUTED_VALUE"""),"RO413")</f>
        <v>RO413</v>
      </c>
    </row>
    <row r="1027" spans="1:2" ht="12.5" x14ac:dyDescent="0.25">
      <c r="A1027" t="str">
        <f ca="1">IFERROR(__xludf.DUMMYFUNCTION("""COMPUTED_VALUE"""),"Meißen")</f>
        <v>Meißen</v>
      </c>
      <c r="B1027" t="str">
        <f ca="1">IFERROR(__xludf.DUMMYFUNCTION("""COMPUTED_VALUE"""),"DED25")</f>
        <v>DED25</v>
      </c>
    </row>
    <row r="1028" spans="1:2" ht="12.5" x14ac:dyDescent="0.25">
      <c r="A1028" t="str">
        <f ca="1">IFERROR(__xludf.DUMMYFUNCTION("""COMPUTED_VALUE"""),"Melilla")</f>
        <v>Melilla</v>
      </c>
      <c r="B1028" t="str">
        <f ca="1">IFERROR(__xludf.DUMMYFUNCTION("""COMPUTED_VALUE"""),"ES640")</f>
        <v>ES640</v>
      </c>
    </row>
    <row r="1029" spans="1:2" ht="12.5" x14ac:dyDescent="0.25">
      <c r="A1029" t="str">
        <f ca="1">IFERROR(__xludf.DUMMYFUNCTION("""COMPUTED_VALUE"""),"Mellersta Norrland")</f>
        <v>Mellersta Norrland</v>
      </c>
      <c r="B1029" t="str">
        <f ca="1">IFERROR(__xludf.DUMMYFUNCTION("""COMPUTED_VALUE"""),"SE32")</f>
        <v>SE32</v>
      </c>
    </row>
    <row r="1030" spans="1:2" ht="12.5" x14ac:dyDescent="0.25">
      <c r="A1030" t="str">
        <f ca="1">IFERROR(__xludf.DUMMYFUNCTION("""COMPUTED_VALUE"""),"Memmingen, Kreisfreie Stadt")</f>
        <v>Memmingen, Kreisfreie Stadt</v>
      </c>
      <c r="B1030" t="str">
        <f ca="1">IFERROR(__xludf.DUMMYFUNCTION("""COMPUTED_VALUE"""),"DE274")</f>
        <v>DE274</v>
      </c>
    </row>
    <row r="1031" spans="1:2" ht="12.5" x14ac:dyDescent="0.25">
      <c r="A1031" t="str">
        <f ca="1">IFERROR(__xludf.DUMMYFUNCTION("""COMPUTED_VALUE"""),"Menorca")</f>
        <v>Menorca</v>
      </c>
      <c r="B1031" t="str">
        <f ca="1">IFERROR(__xludf.DUMMYFUNCTION("""COMPUTED_VALUE"""),"ES533")</f>
        <v>ES533</v>
      </c>
    </row>
    <row r="1032" spans="1:2" ht="12.5" x14ac:dyDescent="0.25">
      <c r="A1032" t="str">
        <f ca="1">IFERROR(__xludf.DUMMYFUNCTION("""COMPUTED_VALUE"""),"Merseyside")</f>
        <v>Merseyside</v>
      </c>
      <c r="B1032" t="str">
        <f ca="1">IFERROR(__xludf.DUMMYFUNCTION("""COMPUTED_VALUE"""),"UKD5")</f>
        <v>UKD5</v>
      </c>
    </row>
    <row r="1033" spans="1:2" ht="12.5" x14ac:dyDescent="0.25">
      <c r="A1033" t="str">
        <f ca="1">IFERROR(__xludf.DUMMYFUNCTION("""COMPUTED_VALUE"""),"Merzig-Wadern")</f>
        <v>Merzig-Wadern</v>
      </c>
      <c r="B1033" t="str">
        <f ca="1">IFERROR(__xludf.DUMMYFUNCTION("""COMPUTED_VALUE"""),"DEC02")</f>
        <v>DEC02</v>
      </c>
    </row>
    <row r="1034" spans="1:2" ht="12.5" x14ac:dyDescent="0.25">
      <c r="A1034" t="str">
        <f ca="1">IFERROR(__xludf.DUMMYFUNCTION("""COMPUTED_VALUE"""),"Messina")</f>
        <v>Messina</v>
      </c>
      <c r="B1034" t="str">
        <f ca="1">IFERROR(__xludf.DUMMYFUNCTION("""COMPUTED_VALUE"""),"ITG13")</f>
        <v>ITG13</v>
      </c>
    </row>
    <row r="1035" spans="1:2" ht="12.5" x14ac:dyDescent="0.25">
      <c r="A1035" t="str">
        <f ca="1">IFERROR(__xludf.DUMMYFUNCTION("""COMPUTED_VALUE"""),"Messinia")</f>
        <v>Messinia</v>
      </c>
      <c r="B1035" t="str">
        <f ca="1">IFERROR(__xludf.DUMMYFUNCTION("""COMPUTED_VALUE"""),"GR255")</f>
        <v>GR255</v>
      </c>
    </row>
    <row r="1036" spans="1:2" ht="12.5" x14ac:dyDescent="0.25">
      <c r="A1036" t="str">
        <f ca="1">IFERROR(__xludf.DUMMYFUNCTION("""COMPUTED_VALUE"""),"Mettmann")</f>
        <v>Mettmann</v>
      </c>
      <c r="B1036" t="str">
        <f ca="1">IFERROR(__xludf.DUMMYFUNCTION("""COMPUTED_VALUE"""),"DEA1C")</f>
        <v>DEA1C</v>
      </c>
    </row>
    <row r="1037" spans="1:2" ht="12.5" x14ac:dyDescent="0.25">
      <c r="A1037" t="str">
        <f ca="1">IFERROR(__xludf.DUMMYFUNCTION("""COMPUTED_VALUE"""),"Meurthe-Et-Moselle")</f>
        <v>Meurthe-Et-Moselle</v>
      </c>
      <c r="B1037" t="str">
        <f ca="1">IFERROR(__xludf.DUMMYFUNCTION("""COMPUTED_VALUE"""),"FR411")</f>
        <v>FR411</v>
      </c>
    </row>
    <row r="1038" spans="1:2" ht="12.5" x14ac:dyDescent="0.25">
      <c r="A1038" t="str">
        <f ca="1">IFERROR(__xludf.DUMMYFUNCTION("""COMPUTED_VALUE"""),"Meuse")</f>
        <v>Meuse</v>
      </c>
      <c r="B1038" t="str">
        <f ca="1">IFERROR(__xludf.DUMMYFUNCTION("""COMPUTED_VALUE"""),"FR412")</f>
        <v>FR412</v>
      </c>
    </row>
    <row r="1039" spans="1:2" ht="12.5" x14ac:dyDescent="0.25">
      <c r="A1039" t="str">
        <f ca="1">IFERROR(__xludf.DUMMYFUNCTION("""COMPUTED_VALUE"""),"Miasto Krakow")</f>
        <v>Miasto Krakow</v>
      </c>
      <c r="B1039" t="str">
        <f ca="1">IFERROR(__xludf.DUMMYFUNCTION("""COMPUTED_VALUE"""),"PL213")</f>
        <v>PL213</v>
      </c>
    </row>
    <row r="1040" spans="1:2" ht="12.5" x14ac:dyDescent="0.25">
      <c r="A1040" t="str">
        <f ca="1">IFERROR(__xludf.DUMMYFUNCTION("""COMPUTED_VALUE"""),"Miasto Lodz")</f>
        <v>Miasto Lodz</v>
      </c>
      <c r="B1040" t="str">
        <f ca="1">IFERROR(__xludf.DUMMYFUNCTION("""COMPUTED_VALUE"""),"PL113")</f>
        <v>PL113</v>
      </c>
    </row>
    <row r="1041" spans="1:2" ht="12.5" x14ac:dyDescent="0.25">
      <c r="A1041" t="str">
        <f ca="1">IFERROR(__xludf.DUMMYFUNCTION("""COMPUTED_VALUE"""),"Miasto Poznan")</f>
        <v>Miasto Poznan</v>
      </c>
      <c r="B1041" t="str">
        <f ca="1">IFERROR(__xludf.DUMMYFUNCTION("""COMPUTED_VALUE"""),"PL415")</f>
        <v>PL415</v>
      </c>
    </row>
    <row r="1042" spans="1:2" ht="12.5" x14ac:dyDescent="0.25">
      <c r="A1042" t="str">
        <f ca="1">IFERROR(__xludf.DUMMYFUNCTION("""COMPUTED_VALUE"""),"Miasto Szczecin")</f>
        <v>Miasto Szczecin</v>
      </c>
      <c r="B1042" t="str">
        <f ca="1">IFERROR(__xludf.DUMMYFUNCTION("""COMPUTED_VALUE"""),"PL424")</f>
        <v>PL424</v>
      </c>
    </row>
    <row r="1043" spans="1:2" ht="12.5" x14ac:dyDescent="0.25">
      <c r="A1043" t="str">
        <f ca="1">IFERROR(__xludf.DUMMYFUNCTION("""COMPUTED_VALUE"""),"Miasto Warszawa")</f>
        <v>Miasto Warszawa</v>
      </c>
      <c r="B1043" t="str">
        <f ca="1">IFERROR(__xludf.DUMMYFUNCTION("""COMPUTED_VALUE"""),"PL127")</f>
        <v>PL127</v>
      </c>
    </row>
    <row r="1044" spans="1:2" ht="12.5" x14ac:dyDescent="0.25">
      <c r="A1044" t="str">
        <f ca="1">IFERROR(__xludf.DUMMYFUNCTION("""COMPUTED_VALUE"""),"Miasto Wroclaw")</f>
        <v>Miasto Wroclaw</v>
      </c>
      <c r="B1044" t="str">
        <f ca="1">IFERROR(__xludf.DUMMYFUNCTION("""COMPUTED_VALUE"""),"PL514")</f>
        <v>PL514</v>
      </c>
    </row>
    <row r="1045" spans="1:2" ht="12.5" x14ac:dyDescent="0.25">
      <c r="A1045" t="str">
        <f ca="1">IFERROR(__xludf.DUMMYFUNCTION("""COMPUTED_VALUE"""),"Mid-East")</f>
        <v>Mid-East</v>
      </c>
      <c r="B1045" t="str">
        <f ca="1">IFERROR(__xludf.DUMMYFUNCTION("""COMPUTED_VALUE"""),"IE022")</f>
        <v>IE022</v>
      </c>
    </row>
    <row r="1046" spans="1:2" ht="12.5" x14ac:dyDescent="0.25">
      <c r="A1046" t="str">
        <f ca="1">IFERROR(__xludf.DUMMYFUNCTION("""COMPUTED_VALUE"""),"Mid-West")</f>
        <v>Mid-West</v>
      </c>
      <c r="B1046" t="str">
        <f ca="1">IFERROR(__xludf.DUMMYFUNCTION("""COMPUTED_VALUE"""),"IE023")</f>
        <v>IE023</v>
      </c>
    </row>
    <row r="1047" spans="1:2" ht="12.5" x14ac:dyDescent="0.25">
      <c r="A1047" t="str">
        <f ca="1">IFERROR(__xludf.DUMMYFUNCTION("""COMPUTED_VALUE"""),"Midden-Limburg")</f>
        <v>Midden-Limburg</v>
      </c>
      <c r="B1047" t="str">
        <f ca="1">IFERROR(__xludf.DUMMYFUNCTION("""COMPUTED_VALUE"""),"NL422")</f>
        <v>NL422</v>
      </c>
    </row>
    <row r="1048" spans="1:2" ht="12.5" x14ac:dyDescent="0.25">
      <c r="A1048" t="str">
        <f ca="1">IFERROR(__xludf.DUMMYFUNCTION("""COMPUTED_VALUE"""),"Midden-Noord-Brabant")</f>
        <v>Midden-Noord-Brabant</v>
      </c>
      <c r="B1048" t="str">
        <f ca="1">IFERROR(__xludf.DUMMYFUNCTION("""COMPUTED_VALUE"""),"NL412")</f>
        <v>NL412</v>
      </c>
    </row>
    <row r="1049" spans="1:2" ht="12.5" x14ac:dyDescent="0.25">
      <c r="A1049" t="str">
        <f ca="1">IFERROR(__xludf.DUMMYFUNCTION("""COMPUTED_VALUE"""),"Midi-Pyrénées")</f>
        <v>Midi-Pyrénées</v>
      </c>
      <c r="B1049" t="str">
        <f ca="1">IFERROR(__xludf.DUMMYFUNCTION("""COMPUTED_VALUE"""),"FR62")</f>
        <v>FR62</v>
      </c>
    </row>
    <row r="1050" spans="1:2" ht="12.5" x14ac:dyDescent="0.25">
      <c r="A1050" t="str">
        <f ca="1">IFERROR(__xludf.DUMMYFUNCTION("""COMPUTED_VALUE"""),"Midland")</f>
        <v>Midland</v>
      </c>
      <c r="B1050" t="str">
        <f ca="1">IFERROR(__xludf.DUMMYFUNCTION("""COMPUTED_VALUE"""),"IE012")</f>
        <v>IE012</v>
      </c>
    </row>
    <row r="1051" spans="1:2" ht="12.5" x14ac:dyDescent="0.25">
      <c r="A1051" t="str">
        <f ca="1">IFERROR(__xludf.DUMMYFUNCTION("""COMPUTED_VALUE"""),"Midtjylland")</f>
        <v>Midtjylland</v>
      </c>
      <c r="B1051" t="str">
        <f ca="1">IFERROR(__xludf.DUMMYFUNCTION("""COMPUTED_VALUE"""),"DK04")</f>
        <v>DK04</v>
      </c>
    </row>
    <row r="1052" spans="1:2" ht="12.5" x14ac:dyDescent="0.25">
      <c r="A1052" t="str">
        <f ca="1">IFERROR(__xludf.DUMMYFUNCTION("""COMPUTED_VALUE"""),"Miesbach")</f>
        <v>Miesbach</v>
      </c>
      <c r="B1052" t="str">
        <f ca="1">IFERROR(__xludf.DUMMYFUNCTION("""COMPUTED_VALUE"""),"DE21F")</f>
        <v>DE21F</v>
      </c>
    </row>
    <row r="1053" spans="1:2" ht="12.5" x14ac:dyDescent="0.25">
      <c r="A1053" t="str">
        <f ca="1">IFERROR(__xludf.DUMMYFUNCTION("""COMPUTED_VALUE"""),"Milano")</f>
        <v>Milano</v>
      </c>
      <c r="B1053" t="str">
        <f ca="1">IFERROR(__xludf.DUMMYFUNCTION("""COMPUTED_VALUE"""),"ITC45")</f>
        <v>ITC45</v>
      </c>
    </row>
    <row r="1054" spans="1:2" ht="12.5" x14ac:dyDescent="0.25">
      <c r="A1054" t="str">
        <f ca="1">IFERROR(__xludf.DUMMYFUNCTION("""COMPUTED_VALUE"""),"Miltenberg")</f>
        <v>Miltenberg</v>
      </c>
      <c r="B1054" t="str">
        <f ca="1">IFERROR(__xludf.DUMMYFUNCTION("""COMPUTED_VALUE"""),"DE269")</f>
        <v>DE269</v>
      </c>
    </row>
    <row r="1055" spans="1:2" ht="12.5" x14ac:dyDescent="0.25">
      <c r="A1055" t="str">
        <f ca="1">IFERROR(__xludf.DUMMYFUNCTION("""COMPUTED_VALUE"""),"Milton Keynes")</f>
        <v>Milton Keynes</v>
      </c>
      <c r="B1055" t="str">
        <f ca="1">IFERROR(__xludf.DUMMYFUNCTION("""COMPUTED_VALUE"""),"UKJ12")</f>
        <v>UKJ12</v>
      </c>
    </row>
    <row r="1056" spans="1:2" ht="12.5" x14ac:dyDescent="0.25">
      <c r="A1056" t="str">
        <f ca="1">IFERROR(__xludf.DUMMYFUNCTION("""COMPUTED_VALUE"""),"Minden-Lübbecke")</f>
        <v>Minden-Lübbecke</v>
      </c>
      <c r="B1056" t="str">
        <f ca="1">IFERROR(__xludf.DUMMYFUNCTION("""COMPUTED_VALUE"""),"DEA46")</f>
        <v>DEA46</v>
      </c>
    </row>
    <row r="1057" spans="1:2" ht="12.5" x14ac:dyDescent="0.25">
      <c r="A1057" t="str">
        <f ca="1">IFERROR(__xludf.DUMMYFUNCTION("""COMPUTED_VALUE"""),"Minho-Lima")</f>
        <v>Minho-Lima</v>
      </c>
      <c r="B1057" t="str">
        <f ca="1">IFERROR(__xludf.DUMMYFUNCTION("""COMPUTED_VALUE"""),"PT111")</f>
        <v>PT111</v>
      </c>
    </row>
    <row r="1058" spans="1:2" ht="12.5" x14ac:dyDescent="0.25">
      <c r="A1058" t="str">
        <f ca="1">IFERROR(__xludf.DUMMYFUNCTION("""COMPUTED_VALUE"""),"Mittelburgenland")</f>
        <v>Mittelburgenland</v>
      </c>
      <c r="B1058" t="str">
        <f ca="1">IFERROR(__xludf.DUMMYFUNCTION("""COMPUTED_VALUE"""),"AT111")</f>
        <v>AT111</v>
      </c>
    </row>
    <row r="1059" spans="1:2" ht="12.5" x14ac:dyDescent="0.25">
      <c r="A1059" t="str">
        <f ca="1">IFERROR(__xludf.DUMMYFUNCTION("""COMPUTED_VALUE"""),"Mittelfranken")</f>
        <v>Mittelfranken</v>
      </c>
      <c r="B1059" t="str">
        <f ca="1">IFERROR(__xludf.DUMMYFUNCTION("""COMPUTED_VALUE"""),"DE25")</f>
        <v>DE25</v>
      </c>
    </row>
    <row r="1060" spans="1:2" ht="12.5" x14ac:dyDescent="0.25">
      <c r="A1060" t="str">
        <f ca="1">IFERROR(__xludf.DUMMYFUNCTION("""COMPUTED_VALUE"""),"Mittlerer Erzgebirgskreis")</f>
        <v>Mittlerer Erzgebirgskreis</v>
      </c>
      <c r="B1060" t="str">
        <f ca="1">IFERROR(__xludf.DUMMYFUNCTION("""COMPUTED_VALUE"""),"DED18")</f>
        <v>DED18</v>
      </c>
    </row>
    <row r="1061" spans="1:2" ht="12.5" x14ac:dyDescent="0.25">
      <c r="A1061" t="str">
        <f ca="1">IFERROR(__xludf.DUMMYFUNCTION("""COMPUTED_VALUE"""),"Mittweida")</f>
        <v>Mittweida</v>
      </c>
      <c r="B1061" t="str">
        <f ca="1">IFERROR(__xludf.DUMMYFUNCTION("""COMPUTED_VALUE"""),"DED19")</f>
        <v>DED19</v>
      </c>
    </row>
    <row r="1062" spans="1:2" ht="12.5" x14ac:dyDescent="0.25">
      <c r="A1062" t="str">
        <f ca="1">IFERROR(__xludf.DUMMYFUNCTION("""COMPUTED_VALUE"""),"Modena")</f>
        <v>Modena</v>
      </c>
      <c r="B1062" t="str">
        <f ca="1">IFERROR(__xludf.DUMMYFUNCTION("""COMPUTED_VALUE"""),"ITD54")</f>
        <v>ITD54</v>
      </c>
    </row>
    <row r="1063" spans="1:2" ht="12.5" x14ac:dyDescent="0.25">
      <c r="A1063" t="str">
        <f ca="1">IFERROR(__xludf.DUMMYFUNCTION("""COMPUTED_VALUE"""),"Molise")</f>
        <v>Molise</v>
      </c>
      <c r="B1063" t="str">
        <f ca="1">IFERROR(__xludf.DUMMYFUNCTION("""COMPUTED_VALUE"""),"ITF2")</f>
        <v>ITF2</v>
      </c>
    </row>
    <row r="1064" spans="1:2" ht="12.5" x14ac:dyDescent="0.25">
      <c r="A1064" t="str">
        <f ca="1">IFERROR(__xludf.DUMMYFUNCTION("""COMPUTED_VALUE"""),"Mönchengladbach, Kreisfreie Stadt")</f>
        <v>Mönchengladbach, Kreisfreie Stadt</v>
      </c>
      <c r="B1064" t="str">
        <f ca="1">IFERROR(__xludf.DUMMYFUNCTION("""COMPUTED_VALUE"""),"DEA15")</f>
        <v>DEA15</v>
      </c>
    </row>
    <row r="1065" spans="1:2" ht="12.5" x14ac:dyDescent="0.25">
      <c r="A1065" t="str">
        <f ca="1">IFERROR(__xludf.DUMMYFUNCTION("""COMPUTED_VALUE"""),"Monmouthshire And Newport")</f>
        <v>Monmouthshire And Newport</v>
      </c>
      <c r="B1065" t="str">
        <f ca="1">IFERROR(__xludf.DUMMYFUNCTION("""COMPUTED_VALUE"""),"UKL21")</f>
        <v>UKL21</v>
      </c>
    </row>
    <row r="1066" spans="1:2" ht="12.5" x14ac:dyDescent="0.25">
      <c r="A1066" t="str">
        <f ca="1">IFERROR(__xludf.DUMMYFUNCTION("""COMPUTED_VALUE"""),"Montana")</f>
        <v>Montana</v>
      </c>
      <c r="B1066" t="str">
        <f ca="1">IFERROR(__xludf.DUMMYFUNCTION("""COMPUTED_VALUE"""),"BG312")</f>
        <v>BG312</v>
      </c>
    </row>
    <row r="1067" spans="1:2" ht="12.5" x14ac:dyDescent="0.25">
      <c r="A1067" t="str">
        <f ca="1">IFERROR(__xludf.DUMMYFUNCTION("""COMPUTED_VALUE"""),"Moravskoslezsko")</f>
        <v>Moravskoslezsko</v>
      </c>
      <c r="B1067" t="str">
        <f ca="1">IFERROR(__xludf.DUMMYFUNCTION("""COMPUTED_VALUE"""),"CZ08")</f>
        <v>CZ08</v>
      </c>
    </row>
    <row r="1068" spans="1:2" ht="12.5" x14ac:dyDescent="0.25">
      <c r="A1068" t="str">
        <f ca="1">IFERROR(__xludf.DUMMYFUNCTION("""COMPUTED_VALUE"""),"Moravskoslezsky Kraj")</f>
        <v>Moravskoslezsky Kraj</v>
      </c>
      <c r="B1068" t="str">
        <f ca="1">IFERROR(__xludf.DUMMYFUNCTION("""COMPUTED_VALUE"""),"CZ080")</f>
        <v>CZ080</v>
      </c>
    </row>
    <row r="1069" spans="1:2" ht="12.5" x14ac:dyDescent="0.25">
      <c r="A1069" t="str">
        <f ca="1">IFERROR(__xludf.DUMMYFUNCTION("""COMPUTED_VALUE"""),"Morbihan")</f>
        <v>Morbihan</v>
      </c>
      <c r="B1069" t="str">
        <f ca="1">IFERROR(__xludf.DUMMYFUNCTION("""COMPUTED_VALUE"""),"FR524")</f>
        <v>FR524</v>
      </c>
    </row>
    <row r="1070" spans="1:2" ht="12.5" x14ac:dyDescent="0.25">
      <c r="A1070" t="str">
        <f ca="1">IFERROR(__xludf.DUMMYFUNCTION("""COMPUTED_VALUE"""),"Møre Og Romsdal")</f>
        <v>Møre Og Romsdal</v>
      </c>
      <c r="B1070" t="str">
        <f ca="1">IFERROR(__xludf.DUMMYFUNCTION("""COMPUTED_VALUE"""),"NO053")</f>
        <v>NO053</v>
      </c>
    </row>
    <row r="1071" spans="1:2" ht="12.5" x14ac:dyDescent="0.25">
      <c r="A1071" t="str">
        <f ca="1">IFERROR(__xludf.DUMMYFUNCTION("""COMPUTED_VALUE"""),"Moselle")</f>
        <v>Moselle</v>
      </c>
      <c r="B1071" t="str">
        <f ca="1">IFERROR(__xludf.DUMMYFUNCTION("""COMPUTED_VALUE"""),"FR413")</f>
        <v>FR413</v>
      </c>
    </row>
    <row r="1072" spans="1:2" ht="12.5" x14ac:dyDescent="0.25">
      <c r="A1072" t="str">
        <f ca="1">IFERROR(__xludf.DUMMYFUNCTION("""COMPUTED_VALUE"""),"Mostviertel-Eisenwurzen")</f>
        <v>Mostviertel-Eisenwurzen</v>
      </c>
      <c r="B1072" t="str">
        <f ca="1">IFERROR(__xludf.DUMMYFUNCTION("""COMPUTED_VALUE"""),"AT121")</f>
        <v>AT121</v>
      </c>
    </row>
    <row r="1073" spans="1:2" ht="12.5" x14ac:dyDescent="0.25">
      <c r="A1073" t="str">
        <f ca="1">IFERROR(__xludf.DUMMYFUNCTION("""COMPUTED_VALUE"""),"Mühldorf A. Inn")</f>
        <v>Mühldorf A. Inn</v>
      </c>
      <c r="B1073" t="str">
        <f ca="1">IFERROR(__xludf.DUMMYFUNCTION("""COMPUTED_VALUE"""),"DE21G")</f>
        <v>DE21G</v>
      </c>
    </row>
    <row r="1074" spans="1:2" ht="12.5" x14ac:dyDescent="0.25">
      <c r="A1074" t="str">
        <f ca="1">IFERROR(__xludf.DUMMYFUNCTION("""COMPUTED_VALUE"""),"Mühlviertel")</f>
        <v>Mühlviertel</v>
      </c>
      <c r="B1074" t="str">
        <f ca="1">IFERROR(__xludf.DUMMYFUNCTION("""COMPUTED_VALUE"""),"AT313")</f>
        <v>AT313</v>
      </c>
    </row>
    <row r="1075" spans="1:2" ht="12.5" x14ac:dyDescent="0.25">
      <c r="A1075" t="str">
        <f ca="1">IFERROR(__xludf.DUMMYFUNCTION("""COMPUTED_VALUE"""),"Muldentalkreis")</f>
        <v>Muldentalkreis</v>
      </c>
      <c r="B1075" t="str">
        <f ca="1">IFERROR(__xludf.DUMMYFUNCTION("""COMPUTED_VALUE"""),"DED35")</f>
        <v>DED35</v>
      </c>
    </row>
    <row r="1076" spans="1:2" ht="12.5" x14ac:dyDescent="0.25">
      <c r="A1076" t="str">
        <f ca="1">IFERROR(__xludf.DUMMYFUNCTION("""COMPUTED_VALUE"""),"Mülheim An Der Ruhr,Kreisfreie Stadt")</f>
        <v>Mülheim An Der Ruhr,Kreisfreie Stadt</v>
      </c>
      <c r="B1076" t="str">
        <f ca="1">IFERROR(__xludf.DUMMYFUNCTION("""COMPUTED_VALUE"""),"DEA16")</f>
        <v>DEA16</v>
      </c>
    </row>
    <row r="1077" spans="1:2" ht="12.5" x14ac:dyDescent="0.25">
      <c r="A1077" t="str">
        <f ca="1">IFERROR(__xludf.DUMMYFUNCTION("""COMPUTED_VALUE"""),"München, Kreisfreie Stadt")</f>
        <v>München, Kreisfreie Stadt</v>
      </c>
      <c r="B1077" t="str">
        <f ca="1">IFERROR(__xludf.DUMMYFUNCTION("""COMPUTED_VALUE"""),"DE212")</f>
        <v>DE212</v>
      </c>
    </row>
    <row r="1078" spans="1:2" ht="12.5" x14ac:dyDescent="0.25">
      <c r="A1078" t="str">
        <f ca="1">IFERROR(__xludf.DUMMYFUNCTION("""COMPUTED_VALUE"""),"München, Landkreis")</f>
        <v>München, Landkreis</v>
      </c>
      <c r="B1078" t="str">
        <f ca="1">IFERROR(__xludf.DUMMYFUNCTION("""COMPUTED_VALUE"""),"DE21H")</f>
        <v>DE21H</v>
      </c>
    </row>
    <row r="1079" spans="1:2" ht="12.5" x14ac:dyDescent="0.25">
      <c r="A1079" t="str">
        <f ca="1">IFERROR(__xludf.DUMMYFUNCTION("""COMPUTED_VALUE"""),"Münster")</f>
        <v>Münster</v>
      </c>
      <c r="B1079" t="str">
        <f ca="1">IFERROR(__xludf.DUMMYFUNCTION("""COMPUTED_VALUE"""),"DEA3")</f>
        <v>DEA3</v>
      </c>
    </row>
    <row r="1080" spans="1:2" ht="12.5" x14ac:dyDescent="0.25">
      <c r="A1080" t="str">
        <f ca="1">IFERROR(__xludf.DUMMYFUNCTION("""COMPUTED_VALUE"""),"Münster, Kreisfreie Stadt")</f>
        <v>Münster, Kreisfreie Stadt</v>
      </c>
      <c r="B1080" t="str">
        <f ca="1">IFERROR(__xludf.DUMMYFUNCTION("""COMPUTED_VALUE"""),"DEA33")</f>
        <v>DEA33</v>
      </c>
    </row>
    <row r="1081" spans="1:2" ht="12.5" x14ac:dyDescent="0.25">
      <c r="A1081" t="str">
        <f ca="1">IFERROR(__xludf.DUMMYFUNCTION("""COMPUTED_VALUE"""),"Murcia")</f>
        <v>Murcia</v>
      </c>
      <c r="B1081" t="str">
        <f ca="1">IFERROR(__xludf.DUMMYFUNCTION("""COMPUTED_VALUE"""),"ES620")</f>
        <v>ES620</v>
      </c>
    </row>
    <row r="1082" spans="1:2" ht="12.5" x14ac:dyDescent="0.25">
      <c r="A1082" t="str">
        <f ca="1">IFERROR(__xludf.DUMMYFUNCTION("""COMPUTED_VALUE"""),"Mures")</f>
        <v>Mures</v>
      </c>
      <c r="B1082" t="str">
        <f ca="1">IFERROR(__xludf.DUMMYFUNCTION("""COMPUTED_VALUE"""),"RO125")</f>
        <v>RO125</v>
      </c>
    </row>
    <row r="1083" spans="1:2" ht="12.5" x14ac:dyDescent="0.25">
      <c r="A1083" t="str">
        <f ca="1">IFERROR(__xludf.DUMMYFUNCTION("""COMPUTED_VALUE"""),"Müritz")</f>
        <v>Müritz</v>
      </c>
      <c r="B1083" t="str">
        <f ca="1">IFERROR(__xludf.DUMMYFUNCTION("""COMPUTED_VALUE"""),"DE80C")</f>
        <v>DE80C</v>
      </c>
    </row>
    <row r="1084" spans="1:2" ht="12.5" x14ac:dyDescent="0.25">
      <c r="A1084" t="str">
        <f ca="1">IFERROR(__xludf.DUMMYFUNCTION("""COMPUTED_VALUE"""),"Napoli")</f>
        <v>Napoli</v>
      </c>
      <c r="B1084" t="str">
        <f ca="1">IFERROR(__xludf.DUMMYFUNCTION("""COMPUTED_VALUE"""),"ITF33")</f>
        <v>ITF33</v>
      </c>
    </row>
    <row r="1085" spans="1:2" ht="12.5" x14ac:dyDescent="0.25">
      <c r="A1085" t="str">
        <f ca="1">IFERROR(__xludf.DUMMYFUNCTION("""COMPUTED_VALUE"""),"Navarra")</f>
        <v>Navarra</v>
      </c>
      <c r="B1085" t="str">
        <f ca="1">IFERROR(__xludf.DUMMYFUNCTION("""COMPUTED_VALUE"""),"ES220")</f>
        <v>ES220</v>
      </c>
    </row>
    <row r="1086" spans="1:2" ht="12.5" x14ac:dyDescent="0.25">
      <c r="A1086" t="str">
        <f ca="1">IFERROR(__xludf.DUMMYFUNCTION("""COMPUTED_VALUE"""),"Neamt")</f>
        <v>Neamt</v>
      </c>
      <c r="B1086" t="str">
        <f ca="1">IFERROR(__xludf.DUMMYFUNCTION("""COMPUTED_VALUE"""),"RO214")</f>
        <v>RO214</v>
      </c>
    </row>
    <row r="1087" spans="1:2" ht="12.5" x14ac:dyDescent="0.25">
      <c r="A1087" t="str">
        <f ca="1">IFERROR(__xludf.DUMMYFUNCTION("""COMPUTED_VALUE"""),"Neckar-Odenwald-Kreis")</f>
        <v>Neckar-Odenwald-Kreis</v>
      </c>
      <c r="B1087" t="str">
        <f ca="1">IFERROR(__xludf.DUMMYFUNCTION("""COMPUTED_VALUE"""),"DE127")</f>
        <v>DE127</v>
      </c>
    </row>
    <row r="1088" spans="1:2" ht="12.5" x14ac:dyDescent="0.25">
      <c r="A1088" t="str">
        <f ca="1">IFERROR(__xludf.DUMMYFUNCTION("""COMPUTED_VALUE"""),"Nederland")</f>
        <v>Nederland</v>
      </c>
      <c r="B1088" t="str">
        <f ca="1">IFERROR(__xludf.DUMMYFUNCTION("""COMPUTED_VALUE"""),"NL")</f>
        <v>NL</v>
      </c>
    </row>
    <row r="1089" spans="1:2" ht="12.5" x14ac:dyDescent="0.25">
      <c r="A1089" t="str">
        <f ca="1">IFERROR(__xludf.DUMMYFUNCTION("""COMPUTED_VALUE"""),"Neu-Ulm")</f>
        <v>Neu-Ulm</v>
      </c>
      <c r="B1089" t="str">
        <f ca="1">IFERROR(__xludf.DUMMYFUNCTION("""COMPUTED_VALUE"""),"DE279")</f>
        <v>DE279</v>
      </c>
    </row>
    <row r="1090" spans="1:2" ht="12.5" x14ac:dyDescent="0.25">
      <c r="A1090" t="str">
        <f ca="1">IFERROR(__xludf.DUMMYFUNCTION("""COMPUTED_VALUE"""),"Neubrandenburg, Kreisfreie Stadt")</f>
        <v>Neubrandenburg, Kreisfreie Stadt</v>
      </c>
      <c r="B1090" t="str">
        <f ca="1">IFERROR(__xludf.DUMMYFUNCTION("""COMPUTED_VALUE"""),"DE802")</f>
        <v>DE802</v>
      </c>
    </row>
    <row r="1091" spans="1:2" ht="12.5" x14ac:dyDescent="0.25">
      <c r="A1091" t="str">
        <f ca="1">IFERROR(__xludf.DUMMYFUNCTION("""COMPUTED_VALUE"""),"Neuburg-Schrobenhausen")</f>
        <v>Neuburg-Schrobenhausen</v>
      </c>
      <c r="B1091" t="str">
        <f ca="1">IFERROR(__xludf.DUMMYFUNCTION("""COMPUTED_VALUE"""),"DE21I")</f>
        <v>DE21I</v>
      </c>
    </row>
    <row r="1092" spans="1:2" ht="12.5" x14ac:dyDescent="0.25">
      <c r="A1092" t="str">
        <f ca="1">IFERROR(__xludf.DUMMYFUNCTION("""COMPUTED_VALUE"""),"Neuchâtel")</f>
        <v>Neuchâtel</v>
      </c>
      <c r="B1092" t="str">
        <f ca="1">IFERROR(__xludf.DUMMYFUNCTION("""COMPUTED_VALUE"""),"CH024")</f>
        <v>CH024</v>
      </c>
    </row>
    <row r="1093" spans="1:2" ht="12.5" x14ac:dyDescent="0.25">
      <c r="A1093" t="str">
        <f ca="1">IFERROR(__xludf.DUMMYFUNCTION("""COMPUTED_VALUE"""),"Neumarkt I. D. Opf.")</f>
        <v>Neumarkt I. D. Opf.</v>
      </c>
      <c r="B1093" t="str">
        <f ca="1">IFERROR(__xludf.DUMMYFUNCTION("""COMPUTED_VALUE"""),"DE236")</f>
        <v>DE236</v>
      </c>
    </row>
    <row r="1094" spans="1:2" ht="12.5" x14ac:dyDescent="0.25">
      <c r="A1094" t="str">
        <f ca="1">IFERROR(__xludf.DUMMYFUNCTION("""COMPUTED_VALUE"""),"Neumünster, Kreisfreie Stadt")</f>
        <v>Neumünster, Kreisfreie Stadt</v>
      </c>
      <c r="B1094" t="str">
        <f ca="1">IFERROR(__xludf.DUMMYFUNCTION("""COMPUTED_VALUE"""),"DEF04")</f>
        <v>DEF04</v>
      </c>
    </row>
    <row r="1095" spans="1:2" ht="12.5" x14ac:dyDescent="0.25">
      <c r="A1095" t="str">
        <f ca="1">IFERROR(__xludf.DUMMYFUNCTION("""COMPUTED_VALUE"""),"Neunkirchen")</f>
        <v>Neunkirchen</v>
      </c>
      <c r="B1095" t="str">
        <f ca="1">IFERROR(__xludf.DUMMYFUNCTION("""COMPUTED_VALUE"""),"DEC03")</f>
        <v>DEC03</v>
      </c>
    </row>
    <row r="1096" spans="1:2" ht="12.5" x14ac:dyDescent="0.25">
      <c r="A1096" t="str">
        <f ca="1">IFERROR(__xludf.DUMMYFUNCTION("""COMPUTED_VALUE"""),"Neustadt A. D. Aisch-Bad Windsheim")</f>
        <v>Neustadt A. D. Aisch-Bad Windsheim</v>
      </c>
      <c r="B1096" t="str">
        <f ca="1">IFERROR(__xludf.DUMMYFUNCTION("""COMPUTED_VALUE"""),"DE25A")</f>
        <v>DE25A</v>
      </c>
    </row>
    <row r="1097" spans="1:2" ht="12.5" x14ac:dyDescent="0.25">
      <c r="A1097" t="str">
        <f ca="1">IFERROR(__xludf.DUMMYFUNCTION("""COMPUTED_VALUE"""),"Neustadt A. D. Waldnaab")</f>
        <v>Neustadt A. D. Waldnaab</v>
      </c>
      <c r="B1097" t="str">
        <f ca="1">IFERROR(__xludf.DUMMYFUNCTION("""COMPUTED_VALUE"""),"DE237")</f>
        <v>DE237</v>
      </c>
    </row>
    <row r="1098" spans="1:2" ht="12.5" x14ac:dyDescent="0.25">
      <c r="A1098" t="str">
        <f ca="1">IFERROR(__xludf.DUMMYFUNCTION("""COMPUTED_VALUE"""),"Neustadt An Der Weinstraße, Kreisfreie Stadt")</f>
        <v>Neustadt An Der Weinstraße, Kreisfreie Stadt</v>
      </c>
      <c r="B1098" t="str">
        <f ca="1">IFERROR(__xludf.DUMMYFUNCTION("""COMPUTED_VALUE"""),"DEB36")</f>
        <v>DEB36</v>
      </c>
    </row>
    <row r="1099" spans="1:2" ht="12.5" x14ac:dyDescent="0.25">
      <c r="A1099" t="str">
        <f ca="1">IFERROR(__xludf.DUMMYFUNCTION("""COMPUTED_VALUE"""),"Neuwied")</f>
        <v>Neuwied</v>
      </c>
      <c r="B1099" t="str">
        <f ca="1">IFERROR(__xludf.DUMMYFUNCTION("""COMPUTED_VALUE"""),"DEB18")</f>
        <v>DEB18</v>
      </c>
    </row>
    <row r="1100" spans="1:2" ht="12.5" x14ac:dyDescent="0.25">
      <c r="A1100" t="str">
        <f ca="1">IFERROR(__xludf.DUMMYFUNCTION("""COMPUTED_VALUE"""),"Nidwalden")</f>
        <v>Nidwalden</v>
      </c>
      <c r="B1100" t="str">
        <f ca="1">IFERROR(__xludf.DUMMYFUNCTION("""COMPUTED_VALUE"""),"CH065")</f>
        <v>CH065</v>
      </c>
    </row>
    <row r="1101" spans="1:2" ht="12.5" x14ac:dyDescent="0.25">
      <c r="A1101" t="str">
        <f ca="1">IFERROR(__xludf.DUMMYFUNCTION("""COMPUTED_VALUE"""),"Niederbayern")</f>
        <v>Niederbayern</v>
      </c>
      <c r="B1101" t="str">
        <f ca="1">IFERROR(__xludf.DUMMYFUNCTION("""COMPUTED_VALUE"""),"DE22")</f>
        <v>DE22</v>
      </c>
    </row>
    <row r="1102" spans="1:2" ht="12.5" x14ac:dyDescent="0.25">
      <c r="A1102" t="str">
        <f ca="1">IFERROR(__xludf.DUMMYFUNCTION("""COMPUTED_VALUE"""),"Niederösterreich")</f>
        <v>Niederösterreich</v>
      </c>
      <c r="B1102" t="str">
        <f ca="1">IFERROR(__xludf.DUMMYFUNCTION("""COMPUTED_VALUE"""),"AT12")</f>
        <v>AT12</v>
      </c>
    </row>
    <row r="1103" spans="1:2" ht="12.5" x14ac:dyDescent="0.25">
      <c r="A1103" t="str">
        <f ca="1">IFERROR(__xludf.DUMMYFUNCTION("""COMPUTED_VALUE"""),"Niederösterreich-Süd")</f>
        <v>Niederösterreich-Süd</v>
      </c>
      <c r="B1103" t="str">
        <f ca="1">IFERROR(__xludf.DUMMYFUNCTION("""COMPUTED_VALUE"""),"AT122")</f>
        <v>AT122</v>
      </c>
    </row>
    <row r="1104" spans="1:2" ht="12.5" x14ac:dyDescent="0.25">
      <c r="A1104" t="str">
        <f ca="1">IFERROR(__xludf.DUMMYFUNCTION("""COMPUTED_VALUE"""),"Niedersachsen")</f>
        <v>Niedersachsen</v>
      </c>
      <c r="B1104" t="str">
        <f ca="1">IFERROR(__xludf.DUMMYFUNCTION("""COMPUTED_VALUE"""),"DE9")</f>
        <v>DE9</v>
      </c>
    </row>
    <row r="1105" spans="1:2" ht="12.5" x14ac:dyDescent="0.25">
      <c r="A1105" t="str">
        <f ca="1">IFERROR(__xludf.DUMMYFUNCTION("""COMPUTED_VALUE"""),"Niederschlesischer Oberlausitzkreis")</f>
        <v>Niederschlesischer Oberlausitzkreis</v>
      </c>
      <c r="B1105" t="str">
        <f ca="1">IFERROR(__xludf.DUMMYFUNCTION("""COMPUTED_VALUE"""),"DED26")</f>
        <v>DED26</v>
      </c>
    </row>
    <row r="1106" spans="1:2" ht="12.5" x14ac:dyDescent="0.25">
      <c r="A1106" t="str">
        <f ca="1">IFERROR(__xludf.DUMMYFUNCTION("""COMPUTED_VALUE"""),"Nienburg (Weser)")</f>
        <v>Nienburg (Weser)</v>
      </c>
      <c r="B1106" t="str">
        <f ca="1">IFERROR(__xludf.DUMMYFUNCTION("""COMPUTED_VALUE"""),"DE927")</f>
        <v>DE927</v>
      </c>
    </row>
    <row r="1107" spans="1:2" ht="12.5" x14ac:dyDescent="0.25">
      <c r="A1107" t="str">
        <f ca="1">IFERROR(__xludf.DUMMYFUNCTION("""COMPUTED_VALUE"""),"Nièvre")</f>
        <v>Nièvre</v>
      </c>
      <c r="B1107" t="str">
        <f ca="1">IFERROR(__xludf.DUMMYFUNCTION("""COMPUTED_VALUE"""),"FR262")</f>
        <v>FR262</v>
      </c>
    </row>
    <row r="1108" spans="1:2" ht="12.5" x14ac:dyDescent="0.25">
      <c r="A1108" t="str">
        <f ca="1">IFERROR(__xludf.DUMMYFUNCTION("""COMPUTED_VALUE"""),"Nisia Aigaiou, Kriti")</f>
        <v>Nisia Aigaiou, Kriti</v>
      </c>
      <c r="B1108" t="str">
        <f ca="1">IFERROR(__xludf.DUMMYFUNCTION("""COMPUTED_VALUE"""),"GR4")</f>
        <v>GR4</v>
      </c>
    </row>
    <row r="1109" spans="1:2" ht="12.5" x14ac:dyDescent="0.25">
      <c r="A1109" t="str">
        <f ca="1">IFERROR(__xludf.DUMMYFUNCTION("""COMPUTED_VALUE"""),"Nitriansky Kraj")</f>
        <v>Nitriansky Kraj</v>
      </c>
      <c r="B1109" t="str">
        <f ca="1">IFERROR(__xludf.DUMMYFUNCTION("""COMPUTED_VALUE"""),"SK023")</f>
        <v>SK023</v>
      </c>
    </row>
    <row r="1110" spans="1:2" ht="12.5" x14ac:dyDescent="0.25">
      <c r="A1110" t="str">
        <f ca="1">IFERROR(__xludf.DUMMYFUNCTION("""COMPUTED_VALUE"""),"Nograd")</f>
        <v>Nograd</v>
      </c>
      <c r="B1110" t="str">
        <f ca="1">IFERROR(__xludf.DUMMYFUNCTION("""COMPUTED_VALUE"""),"HU313")</f>
        <v>HU313</v>
      </c>
    </row>
    <row r="1111" spans="1:2" ht="12.5" x14ac:dyDescent="0.25">
      <c r="A1111" t="str">
        <f ca="1">IFERROR(__xludf.DUMMYFUNCTION("""COMPUTED_VALUE"""),"Noord-Brabant")</f>
        <v>Noord-Brabant</v>
      </c>
      <c r="B1111" t="str">
        <f ca="1">IFERROR(__xludf.DUMMYFUNCTION("""COMPUTED_VALUE"""),"NL41")</f>
        <v>NL41</v>
      </c>
    </row>
    <row r="1112" spans="1:2" ht="12.5" x14ac:dyDescent="0.25">
      <c r="A1112" t="str">
        <f ca="1">IFERROR(__xludf.DUMMYFUNCTION("""COMPUTED_VALUE"""),"Noord-Drenthe")</f>
        <v>Noord-Drenthe</v>
      </c>
      <c r="B1112" t="str">
        <f ca="1">IFERROR(__xludf.DUMMYFUNCTION("""COMPUTED_VALUE"""),"NL131")</f>
        <v>NL131</v>
      </c>
    </row>
    <row r="1113" spans="1:2" ht="12.5" x14ac:dyDescent="0.25">
      <c r="A1113" t="str">
        <f ca="1">IFERROR(__xludf.DUMMYFUNCTION("""COMPUTED_VALUE"""),"Noord-Friesland")</f>
        <v>Noord-Friesland</v>
      </c>
      <c r="B1113" t="str">
        <f ca="1">IFERROR(__xludf.DUMMYFUNCTION("""COMPUTED_VALUE"""),"NL121")</f>
        <v>NL121</v>
      </c>
    </row>
    <row r="1114" spans="1:2" ht="12.5" x14ac:dyDescent="0.25">
      <c r="A1114" t="str">
        <f ca="1">IFERROR(__xludf.DUMMYFUNCTION("""COMPUTED_VALUE"""),"Noord-Holland")</f>
        <v>Noord-Holland</v>
      </c>
      <c r="B1114" t="str">
        <f ca="1">IFERROR(__xludf.DUMMYFUNCTION("""COMPUTED_VALUE"""),"NL32")</f>
        <v>NL32</v>
      </c>
    </row>
    <row r="1115" spans="1:2" ht="12.5" x14ac:dyDescent="0.25">
      <c r="A1115" t="str">
        <f ca="1">IFERROR(__xludf.DUMMYFUNCTION("""COMPUTED_VALUE"""),"Noord-Limburg")</f>
        <v>Noord-Limburg</v>
      </c>
      <c r="B1115" t="str">
        <f ca="1">IFERROR(__xludf.DUMMYFUNCTION("""COMPUTED_VALUE"""),"NL421")</f>
        <v>NL421</v>
      </c>
    </row>
    <row r="1116" spans="1:2" ht="12.5" x14ac:dyDescent="0.25">
      <c r="A1116" t="str">
        <f ca="1">IFERROR(__xludf.DUMMYFUNCTION("""COMPUTED_VALUE"""),"Noord-Nederland")</f>
        <v>Noord-Nederland</v>
      </c>
      <c r="B1116" t="str">
        <f ca="1">IFERROR(__xludf.DUMMYFUNCTION("""COMPUTED_VALUE"""),"NL1")</f>
        <v>NL1</v>
      </c>
    </row>
    <row r="1117" spans="1:2" ht="12.5" x14ac:dyDescent="0.25">
      <c r="A1117" t="str">
        <f ca="1">IFERROR(__xludf.DUMMYFUNCTION("""COMPUTED_VALUE"""),"Noord-Overijssel")</f>
        <v>Noord-Overijssel</v>
      </c>
      <c r="B1117" t="str">
        <f ca="1">IFERROR(__xludf.DUMMYFUNCTION("""COMPUTED_VALUE"""),"NL211")</f>
        <v>NL211</v>
      </c>
    </row>
    <row r="1118" spans="1:2" ht="12.5" x14ac:dyDescent="0.25">
      <c r="A1118" t="str">
        <f ca="1">IFERROR(__xludf.DUMMYFUNCTION("""COMPUTED_VALUE"""),"Noordoost-Noord-Brabant")</f>
        <v>Noordoost-Noord-Brabant</v>
      </c>
      <c r="B1118" t="str">
        <f ca="1">IFERROR(__xludf.DUMMYFUNCTION("""COMPUTED_VALUE"""),"NL413")</f>
        <v>NL413</v>
      </c>
    </row>
    <row r="1119" spans="1:2" ht="12.5" x14ac:dyDescent="0.25">
      <c r="A1119" t="str">
        <f ca="1">IFERROR(__xludf.DUMMYFUNCTION("""COMPUTED_VALUE"""),"Nord")</f>
        <v>Nord</v>
      </c>
      <c r="B1119" t="str">
        <f ca="1">IFERROR(__xludf.DUMMYFUNCTION("""COMPUTED_VALUE"""),"FR301")</f>
        <v>FR301</v>
      </c>
    </row>
    <row r="1120" spans="1:2" ht="12.5" x14ac:dyDescent="0.25">
      <c r="A1120" t="str">
        <f ca="1">IFERROR(__xludf.DUMMYFUNCTION("""COMPUTED_VALUE"""),"Nord - Pas-De-Calais")</f>
        <v>Nord - Pas-De-Calais</v>
      </c>
      <c r="B1120" t="str">
        <f ca="1">IFERROR(__xludf.DUMMYFUNCTION("""COMPUTED_VALUE"""),"FR3")</f>
        <v>FR3</v>
      </c>
    </row>
    <row r="1121" spans="1:2" ht="12.5" x14ac:dyDescent="0.25">
      <c r="A1121" t="str">
        <f ca="1">IFERROR(__xludf.DUMMYFUNCTION("""COMPUTED_VALUE"""),"Nord - Pas-De-Calais (*)")</f>
        <v>Nord - Pas-De-Calais (*)</v>
      </c>
      <c r="B1121" t="str">
        <f ca="1">IFERROR(__xludf.DUMMYFUNCTION("""COMPUTED_VALUE"""),"FR30")</f>
        <v>FR30</v>
      </c>
    </row>
    <row r="1122" spans="1:2" ht="12.5" x14ac:dyDescent="0.25">
      <c r="A1122" t="str">
        <f ca="1">IFERROR(__xludf.DUMMYFUNCTION("""COMPUTED_VALUE"""),"Nord-Est")</f>
        <v>Nord-Est</v>
      </c>
      <c r="B1122" t="str">
        <f ca="1">IFERROR(__xludf.DUMMYFUNCTION("""COMPUTED_VALUE"""),"ITD")</f>
        <v>ITD</v>
      </c>
    </row>
    <row r="1123" spans="1:2" ht="12.5" x14ac:dyDescent="0.25">
      <c r="A1123" t="str">
        <f ca="1">IFERROR(__xludf.DUMMYFUNCTION("""COMPUTED_VALUE"""),"Nord-Est (*)")</f>
        <v>Nord-Est (*)</v>
      </c>
      <c r="B1123" t="str">
        <f ca="1">IFERROR(__xludf.DUMMYFUNCTION("""COMPUTED_VALUE"""),"RO21")</f>
        <v>RO21</v>
      </c>
    </row>
    <row r="1124" spans="1:2" ht="12.5" x14ac:dyDescent="0.25">
      <c r="A1124" t="str">
        <f ca="1">IFERROR(__xludf.DUMMYFUNCTION("""COMPUTED_VALUE"""),"Nord-Norge")</f>
        <v>Nord-Norge</v>
      </c>
      <c r="B1124" t="str">
        <f ca="1">IFERROR(__xludf.DUMMYFUNCTION("""COMPUTED_VALUE"""),"NO07")</f>
        <v>NO07</v>
      </c>
    </row>
    <row r="1125" spans="1:2" ht="12.5" x14ac:dyDescent="0.25">
      <c r="A1125" t="str">
        <f ca="1">IFERROR(__xludf.DUMMYFUNCTION("""COMPUTED_VALUE"""),"Nord-Ovest")</f>
        <v>Nord-Ovest</v>
      </c>
      <c r="B1125" t="str">
        <f ca="1">IFERROR(__xludf.DUMMYFUNCTION("""COMPUTED_VALUE"""),"ITC")</f>
        <v>ITC</v>
      </c>
    </row>
    <row r="1126" spans="1:2" ht="12.5" x14ac:dyDescent="0.25">
      <c r="A1126" t="str">
        <f ca="1">IFERROR(__xludf.DUMMYFUNCTION("""COMPUTED_VALUE"""),"Nord-Trøndelag")</f>
        <v>Nord-Trøndelag</v>
      </c>
      <c r="B1126" t="str">
        <f ca="1">IFERROR(__xludf.DUMMYFUNCTION("""COMPUTED_VALUE"""),"NO062")</f>
        <v>NO062</v>
      </c>
    </row>
    <row r="1127" spans="1:2" ht="12.5" x14ac:dyDescent="0.25">
      <c r="A1127" t="str">
        <f ca="1">IFERROR(__xludf.DUMMYFUNCTION("""COMPUTED_VALUE"""),"Nord-Vest")</f>
        <v>Nord-Vest</v>
      </c>
      <c r="B1127" t="str">
        <f ca="1">IFERROR(__xludf.DUMMYFUNCTION("""COMPUTED_VALUE"""),"RO11")</f>
        <v>RO11</v>
      </c>
    </row>
    <row r="1128" spans="1:2" ht="12.5" x14ac:dyDescent="0.25">
      <c r="A1128" t="str">
        <f ca="1">IFERROR(__xludf.DUMMYFUNCTION("""COMPUTED_VALUE"""),"Nordburgenland")</f>
        <v>Nordburgenland</v>
      </c>
      <c r="B1128" t="str">
        <f ca="1">IFERROR(__xludf.DUMMYFUNCTION("""COMPUTED_VALUE"""),"AT112")</f>
        <v>AT112</v>
      </c>
    </row>
    <row r="1129" spans="1:2" ht="12.5" x14ac:dyDescent="0.25">
      <c r="A1129" t="str">
        <f ca="1">IFERROR(__xludf.DUMMYFUNCTION("""COMPUTED_VALUE"""),"Nordfriesland")</f>
        <v>Nordfriesland</v>
      </c>
      <c r="B1129" t="str">
        <f ca="1">IFERROR(__xludf.DUMMYFUNCTION("""COMPUTED_VALUE"""),"DEF07")</f>
        <v>DEF07</v>
      </c>
    </row>
    <row r="1130" spans="1:2" ht="12.5" x14ac:dyDescent="0.25">
      <c r="A1130" t="str">
        <f ca="1">IFERROR(__xludf.DUMMYFUNCTION("""COMPUTED_VALUE"""),"Nordhausen")</f>
        <v>Nordhausen</v>
      </c>
      <c r="B1130" t="str">
        <f ca="1">IFERROR(__xludf.DUMMYFUNCTION("""COMPUTED_VALUE"""),"DEG07")</f>
        <v>DEG07</v>
      </c>
    </row>
    <row r="1131" spans="1:2" ht="12.5" x14ac:dyDescent="0.25">
      <c r="A1131" t="str">
        <f ca="1">IFERROR(__xludf.DUMMYFUNCTION("""COMPUTED_VALUE"""),"Nordjylland")</f>
        <v>Nordjylland</v>
      </c>
      <c r="B1131" t="str">
        <f ca="1">IFERROR(__xludf.DUMMYFUNCTION("""COMPUTED_VALUE"""),"DK05")</f>
        <v>DK05</v>
      </c>
    </row>
    <row r="1132" spans="1:2" ht="12.5" x14ac:dyDescent="0.25">
      <c r="A1132" t="str">
        <f ca="1">IFERROR(__xludf.DUMMYFUNCTION("""COMPUTED_VALUE"""),"Nordjylland (*)")</f>
        <v>Nordjylland (*)</v>
      </c>
      <c r="B1132" t="str">
        <f ca="1">IFERROR(__xludf.DUMMYFUNCTION("""COMPUTED_VALUE"""),"DK050")</f>
        <v>DK050</v>
      </c>
    </row>
    <row r="1133" spans="1:2" ht="12.5" x14ac:dyDescent="0.25">
      <c r="A1133" t="str">
        <f ca="1">IFERROR(__xludf.DUMMYFUNCTION("""COMPUTED_VALUE"""),"Nordland")</f>
        <v>Nordland</v>
      </c>
      <c r="B1133" t="str">
        <f ca="1">IFERROR(__xludf.DUMMYFUNCTION("""COMPUTED_VALUE"""),"NO071")</f>
        <v>NO071</v>
      </c>
    </row>
    <row r="1134" spans="1:2" ht="12.5" x14ac:dyDescent="0.25">
      <c r="A1134" t="str">
        <f ca="1">IFERROR(__xludf.DUMMYFUNCTION("""COMPUTED_VALUE"""),"Nordrhein-Westfalen")</f>
        <v>Nordrhein-Westfalen</v>
      </c>
      <c r="B1134" t="str">
        <f ca="1">IFERROR(__xludf.DUMMYFUNCTION("""COMPUTED_VALUE"""),"DEA")</f>
        <v>DEA</v>
      </c>
    </row>
    <row r="1135" spans="1:2" ht="12.5" x14ac:dyDescent="0.25">
      <c r="A1135" t="str">
        <f ca="1">IFERROR(__xludf.DUMMYFUNCTION("""COMPUTED_VALUE"""),"Nordsjælland")</f>
        <v>Nordsjælland</v>
      </c>
      <c r="B1135" t="str">
        <f ca="1">IFERROR(__xludf.DUMMYFUNCTION("""COMPUTED_VALUE"""),"DK013")</f>
        <v>DK013</v>
      </c>
    </row>
    <row r="1136" spans="1:2" ht="12.5" x14ac:dyDescent="0.25">
      <c r="A1136" t="str">
        <f ca="1">IFERROR(__xludf.DUMMYFUNCTION("""COMPUTED_VALUE"""),"Nordvorpommern")</f>
        <v>Nordvorpommern</v>
      </c>
      <c r="B1136" t="str">
        <f ca="1">IFERROR(__xludf.DUMMYFUNCTION("""COMPUTED_VALUE"""),"DE80D")</f>
        <v>DE80D</v>
      </c>
    </row>
    <row r="1137" spans="1:2" ht="12.5" x14ac:dyDescent="0.25">
      <c r="A1137" t="str">
        <f ca="1">IFERROR(__xludf.DUMMYFUNCTION("""COMPUTED_VALUE"""),"Nordwestmecklenburg")</f>
        <v>Nordwestmecklenburg</v>
      </c>
      <c r="B1137" t="str">
        <f ca="1">IFERROR(__xludf.DUMMYFUNCTION("""COMPUTED_VALUE"""),"DE80E")</f>
        <v>DE80E</v>
      </c>
    </row>
    <row r="1138" spans="1:2" ht="12.5" x14ac:dyDescent="0.25">
      <c r="A1138" t="str">
        <f ca="1">IFERROR(__xludf.DUMMYFUNCTION("""COMPUTED_VALUE"""),"Nordwestschweiz")</f>
        <v>Nordwestschweiz</v>
      </c>
      <c r="B1138" t="str">
        <f ca="1">IFERROR(__xludf.DUMMYFUNCTION("""COMPUTED_VALUE"""),"CH03")</f>
        <v>CH03</v>
      </c>
    </row>
    <row r="1139" spans="1:2" ht="12.5" x14ac:dyDescent="0.25">
      <c r="A1139" t="str">
        <f ca="1">IFERROR(__xludf.DUMMYFUNCTION("""COMPUTED_VALUE"""),"Noreste")</f>
        <v>Noreste</v>
      </c>
      <c r="B1139" t="str">
        <f ca="1">IFERROR(__xludf.DUMMYFUNCTION("""COMPUTED_VALUE"""),"ES2")</f>
        <v>ES2</v>
      </c>
    </row>
    <row r="1140" spans="1:2" ht="12.5" x14ac:dyDescent="0.25">
      <c r="A1140" t="str">
        <f ca="1">IFERROR(__xludf.DUMMYFUNCTION("""COMPUTED_VALUE"""),"Norfolk")</f>
        <v>Norfolk</v>
      </c>
      <c r="B1140" t="str">
        <f ca="1">IFERROR(__xludf.DUMMYFUNCTION("""COMPUTED_VALUE"""),"UKH13")</f>
        <v>UKH13</v>
      </c>
    </row>
    <row r="1141" spans="1:2" ht="12.5" x14ac:dyDescent="0.25">
      <c r="A1141" t="str">
        <f ca="1">IFERROR(__xludf.DUMMYFUNCTION("""COMPUTED_VALUE"""),"Norge")</f>
        <v>Norge</v>
      </c>
      <c r="B1141" t="str">
        <f ca="1">IFERROR(__xludf.DUMMYFUNCTION("""COMPUTED_VALUE"""),"NO")</f>
        <v>NO</v>
      </c>
    </row>
    <row r="1142" spans="1:2" ht="12.5" x14ac:dyDescent="0.25">
      <c r="A1142" t="str">
        <f ca="1">IFERROR(__xludf.DUMMYFUNCTION("""COMPUTED_VALUE"""),"Norge (*)")</f>
        <v>Norge (*)</v>
      </c>
      <c r="B1142" t="str">
        <f ca="1">IFERROR(__xludf.DUMMYFUNCTION("""COMPUTED_VALUE"""),"NO0")</f>
        <v>NO0</v>
      </c>
    </row>
    <row r="1143" spans="1:2" ht="12.5" x14ac:dyDescent="0.25">
      <c r="A1143" t="str">
        <f ca="1">IFERROR(__xludf.DUMMYFUNCTION("""COMPUTED_VALUE"""),"Noroeste")</f>
        <v>Noroeste</v>
      </c>
      <c r="B1143" t="str">
        <f ca="1">IFERROR(__xludf.DUMMYFUNCTION("""COMPUTED_VALUE"""),"ES1")</f>
        <v>ES1</v>
      </c>
    </row>
    <row r="1144" spans="1:2" ht="12.5" x14ac:dyDescent="0.25">
      <c r="A1144" t="str">
        <f ca="1">IFERROR(__xludf.DUMMYFUNCTION("""COMPUTED_VALUE"""),"Norra Mellansverige")</f>
        <v>Norra Mellansverige</v>
      </c>
      <c r="B1144" t="str">
        <f ca="1">IFERROR(__xludf.DUMMYFUNCTION("""COMPUTED_VALUE"""),"SE31")</f>
        <v>SE31</v>
      </c>
    </row>
    <row r="1145" spans="1:2" ht="12.5" x14ac:dyDescent="0.25">
      <c r="A1145" t="str">
        <f ca="1">IFERROR(__xludf.DUMMYFUNCTION("""COMPUTED_VALUE"""),"Norra Sverige")</f>
        <v>Norra Sverige</v>
      </c>
      <c r="B1145" t="str">
        <f ca="1">IFERROR(__xludf.DUMMYFUNCTION("""COMPUTED_VALUE"""),"SE3")</f>
        <v>SE3</v>
      </c>
    </row>
    <row r="1146" spans="1:2" ht="12.5" x14ac:dyDescent="0.25">
      <c r="A1146" t="str">
        <f ca="1">IFERROR(__xludf.DUMMYFUNCTION("""COMPUTED_VALUE"""),"Norrbottens Län")</f>
        <v>Norrbottens Län</v>
      </c>
      <c r="B1146" t="str">
        <f ca="1">IFERROR(__xludf.DUMMYFUNCTION("""COMPUTED_VALUE"""),"SE332")</f>
        <v>SE332</v>
      </c>
    </row>
    <row r="1147" spans="1:2" ht="12.5" x14ac:dyDescent="0.25">
      <c r="A1147" t="str">
        <f ca="1">IFERROR(__xludf.DUMMYFUNCTION("""COMPUTED_VALUE"""),"Norte")</f>
        <v>Norte</v>
      </c>
      <c r="B1147" t="str">
        <f ca="1">IFERROR(__xludf.DUMMYFUNCTION("""COMPUTED_VALUE"""),"PT11")</f>
        <v>PT11</v>
      </c>
    </row>
    <row r="1148" spans="1:2" ht="12.5" x14ac:dyDescent="0.25">
      <c r="A1148" t="str">
        <f ca="1">IFERROR(__xludf.DUMMYFUNCTION("""COMPUTED_VALUE"""),"North And North East Lincolnshire")</f>
        <v>North And North East Lincolnshire</v>
      </c>
      <c r="B1148" t="str">
        <f ca="1">IFERROR(__xludf.DUMMYFUNCTION("""COMPUTED_VALUE"""),"UKE13")</f>
        <v>UKE13</v>
      </c>
    </row>
    <row r="1149" spans="1:2" ht="12.5" x14ac:dyDescent="0.25">
      <c r="A1149" t="str">
        <f ca="1">IFERROR(__xludf.DUMMYFUNCTION("""COMPUTED_VALUE"""),"North East (England)")</f>
        <v>North East (England)</v>
      </c>
      <c r="B1149" t="str">
        <f ca="1">IFERROR(__xludf.DUMMYFUNCTION("""COMPUTED_VALUE"""),"UKC")</f>
        <v>UKC</v>
      </c>
    </row>
    <row r="1150" spans="1:2" ht="12.5" x14ac:dyDescent="0.25">
      <c r="A1150" t="str">
        <f ca="1">IFERROR(__xludf.DUMMYFUNCTION("""COMPUTED_VALUE"""),"North Eastern Scotland")</f>
        <v>North Eastern Scotland</v>
      </c>
      <c r="B1150" t="str">
        <f ca="1">IFERROR(__xludf.DUMMYFUNCTION("""COMPUTED_VALUE"""),"UKM5")</f>
        <v>UKM5</v>
      </c>
    </row>
    <row r="1151" spans="1:2" ht="12.5" x14ac:dyDescent="0.25">
      <c r="A1151" t="str">
        <f ca="1">IFERROR(__xludf.DUMMYFUNCTION("""COMPUTED_VALUE"""),"North Lanarkshire")</f>
        <v>North Lanarkshire</v>
      </c>
      <c r="B1151" t="str">
        <f ca="1">IFERROR(__xludf.DUMMYFUNCTION("""COMPUTED_VALUE"""),"UKM36")</f>
        <v>UKM36</v>
      </c>
    </row>
    <row r="1152" spans="1:2" ht="12.5" x14ac:dyDescent="0.25">
      <c r="A1152" t="str">
        <f ca="1">IFERROR(__xludf.DUMMYFUNCTION("""COMPUTED_VALUE"""),"North Nottinghamshire")</f>
        <v>North Nottinghamshire</v>
      </c>
      <c r="B1152" t="str">
        <f ca="1">IFERROR(__xludf.DUMMYFUNCTION("""COMPUTED_VALUE"""),"UKF15")</f>
        <v>UKF15</v>
      </c>
    </row>
    <row r="1153" spans="1:2" ht="12.5" x14ac:dyDescent="0.25">
      <c r="A1153" t="str">
        <f ca="1">IFERROR(__xludf.DUMMYFUNCTION("""COMPUTED_VALUE"""),"North Of Northern Ireland")</f>
        <v>North Of Northern Ireland</v>
      </c>
      <c r="B1153" t="str">
        <f ca="1">IFERROR(__xludf.DUMMYFUNCTION("""COMPUTED_VALUE"""),"UKN04")</f>
        <v>UKN04</v>
      </c>
    </row>
    <row r="1154" spans="1:2" ht="12.5" x14ac:dyDescent="0.25">
      <c r="A1154" t="str">
        <f ca="1">IFERROR(__xludf.DUMMYFUNCTION("""COMPUTED_VALUE"""),"North West (England)")</f>
        <v>North West (England)</v>
      </c>
      <c r="B1154" t="str">
        <f ca="1">IFERROR(__xludf.DUMMYFUNCTION("""COMPUTED_VALUE"""),"UKD")</f>
        <v>UKD</v>
      </c>
    </row>
    <row r="1155" spans="1:2" ht="12.5" x14ac:dyDescent="0.25">
      <c r="A1155" t="str">
        <f ca="1">IFERROR(__xludf.DUMMYFUNCTION("""COMPUTED_VALUE"""),"North Yorkshire")</f>
        <v>North Yorkshire</v>
      </c>
      <c r="B1155" t="str">
        <f ca="1">IFERROR(__xludf.DUMMYFUNCTION("""COMPUTED_VALUE"""),"UKE2")</f>
        <v>UKE2</v>
      </c>
    </row>
    <row r="1156" spans="1:2" ht="12.5" x14ac:dyDescent="0.25">
      <c r="A1156" t="str">
        <f ca="1">IFERROR(__xludf.DUMMYFUNCTION("""COMPUTED_VALUE"""),"North Yorkshire Cc")</f>
        <v>North Yorkshire Cc</v>
      </c>
      <c r="B1156" t="str">
        <f ca="1">IFERROR(__xludf.DUMMYFUNCTION("""COMPUTED_VALUE"""),"UKE22")</f>
        <v>UKE22</v>
      </c>
    </row>
    <row r="1157" spans="1:2" ht="12.5" x14ac:dyDescent="0.25">
      <c r="A1157" t="str">
        <f ca="1">IFERROR(__xludf.DUMMYFUNCTION("""COMPUTED_VALUE"""),"Northamptonshire")</f>
        <v>Northamptonshire</v>
      </c>
      <c r="B1157" t="str">
        <f ca="1">IFERROR(__xludf.DUMMYFUNCTION("""COMPUTED_VALUE"""),"UKF23")</f>
        <v>UKF23</v>
      </c>
    </row>
    <row r="1158" spans="1:2" ht="12.5" x14ac:dyDescent="0.25">
      <c r="A1158" t="str">
        <f ca="1">IFERROR(__xludf.DUMMYFUNCTION("""COMPUTED_VALUE"""),"Northeim")</f>
        <v>Northeim</v>
      </c>
      <c r="B1158" t="str">
        <f ca="1">IFERROR(__xludf.DUMMYFUNCTION("""COMPUTED_VALUE"""),"DE918")</f>
        <v>DE918</v>
      </c>
    </row>
    <row r="1159" spans="1:2" ht="12.5" x14ac:dyDescent="0.25">
      <c r="A1159" t="str">
        <f ca="1">IFERROR(__xludf.DUMMYFUNCTION("""COMPUTED_VALUE"""),"Northern Ireland")</f>
        <v>Northern Ireland</v>
      </c>
      <c r="B1159" t="str">
        <f ca="1">IFERROR(__xludf.DUMMYFUNCTION("""COMPUTED_VALUE"""),"UKN")</f>
        <v>UKN</v>
      </c>
    </row>
    <row r="1160" spans="1:2" ht="12.5" x14ac:dyDescent="0.25">
      <c r="A1160" t="str">
        <f ca="1">IFERROR(__xludf.DUMMYFUNCTION("""COMPUTED_VALUE"""),"Northern Ireland (*)")</f>
        <v>Northern Ireland (*)</v>
      </c>
      <c r="B1160" t="str">
        <f ca="1">IFERROR(__xludf.DUMMYFUNCTION("""COMPUTED_VALUE"""),"UKN0")</f>
        <v>UKN0</v>
      </c>
    </row>
    <row r="1161" spans="1:2" ht="12.5" x14ac:dyDescent="0.25">
      <c r="A1161" t="str">
        <f ca="1">IFERROR(__xludf.DUMMYFUNCTION("""COMPUTED_VALUE"""),"Northumberland")</f>
        <v>Northumberland</v>
      </c>
      <c r="B1161" t="str">
        <f ca="1">IFERROR(__xludf.DUMMYFUNCTION("""COMPUTED_VALUE"""),"UKC21")</f>
        <v>UKC21</v>
      </c>
    </row>
    <row r="1162" spans="1:2" ht="12.5" x14ac:dyDescent="0.25">
      <c r="A1162" t="str">
        <f ca="1">IFERROR(__xludf.DUMMYFUNCTION("""COMPUTED_VALUE"""),"Northumberland And Tyne And Wear")</f>
        <v>Northumberland And Tyne And Wear</v>
      </c>
      <c r="B1162" t="str">
        <f ca="1">IFERROR(__xludf.DUMMYFUNCTION("""COMPUTED_VALUE"""),"UKC2")</f>
        <v>UKC2</v>
      </c>
    </row>
    <row r="1163" spans="1:2" ht="12.5" x14ac:dyDescent="0.25">
      <c r="A1163" t="str">
        <f ca="1">IFERROR(__xludf.DUMMYFUNCTION("""COMPUTED_VALUE"""),"Notio Aigaio")</f>
        <v>Notio Aigaio</v>
      </c>
      <c r="B1163" t="str">
        <f ca="1">IFERROR(__xludf.DUMMYFUNCTION("""COMPUTED_VALUE"""),"GR42")</f>
        <v>GR42</v>
      </c>
    </row>
    <row r="1164" spans="1:2" ht="12.5" x14ac:dyDescent="0.25">
      <c r="A1164" t="str">
        <f ca="1">IFERROR(__xludf.DUMMYFUNCTION("""COMPUTED_VALUE"""),"Notranjsko-Kraska")</f>
        <v>Notranjsko-Kraska</v>
      </c>
      <c r="B1164" t="str">
        <f ca="1">IFERROR(__xludf.DUMMYFUNCTION("""COMPUTED_VALUE"""),"SI018")</f>
        <v>SI018</v>
      </c>
    </row>
    <row r="1165" spans="1:2" ht="12.5" x14ac:dyDescent="0.25">
      <c r="A1165" t="str">
        <f ca="1">IFERROR(__xludf.DUMMYFUNCTION("""COMPUTED_VALUE"""),"Nottingham")</f>
        <v>Nottingham</v>
      </c>
      <c r="B1165" t="str">
        <f ca="1">IFERROR(__xludf.DUMMYFUNCTION("""COMPUTED_VALUE"""),"UKF14")</f>
        <v>UKF14</v>
      </c>
    </row>
    <row r="1166" spans="1:2" ht="12.5" x14ac:dyDescent="0.25">
      <c r="A1166" t="str">
        <f ca="1">IFERROR(__xludf.DUMMYFUNCTION("""COMPUTED_VALUE"""),"Novara")</f>
        <v>Novara</v>
      </c>
      <c r="B1166" t="str">
        <f ca="1">IFERROR(__xludf.DUMMYFUNCTION("""COMPUTED_VALUE"""),"ITC15")</f>
        <v>ITC15</v>
      </c>
    </row>
    <row r="1167" spans="1:2" ht="12.5" x14ac:dyDescent="0.25">
      <c r="A1167" t="str">
        <f ca="1">IFERROR(__xludf.DUMMYFUNCTION("""COMPUTED_VALUE"""),"Nowosadecki")</f>
        <v>Nowosadecki</v>
      </c>
      <c r="B1167" t="str">
        <f ca="1">IFERROR(__xludf.DUMMYFUNCTION("""COMPUTED_VALUE"""),"PL215")</f>
        <v>PL215</v>
      </c>
    </row>
    <row r="1168" spans="1:2" ht="12.5" x14ac:dyDescent="0.25">
      <c r="A1168" t="str">
        <f ca="1">IFERROR(__xludf.DUMMYFUNCTION("""COMPUTED_VALUE"""),"Nuoro")</f>
        <v>Nuoro</v>
      </c>
      <c r="B1168" t="str">
        <f ca="1">IFERROR(__xludf.DUMMYFUNCTION("""COMPUTED_VALUE"""),"ITG26")</f>
        <v>ITG26</v>
      </c>
    </row>
    <row r="1169" spans="1:2" ht="12.5" x14ac:dyDescent="0.25">
      <c r="A1169" t="str">
        <f ca="1">IFERROR(__xludf.DUMMYFUNCTION("""COMPUTED_VALUE"""),"Nürnberg, Kreisfreie Stadt")</f>
        <v>Nürnberg, Kreisfreie Stadt</v>
      </c>
      <c r="B1169" t="str">
        <f ca="1">IFERROR(__xludf.DUMMYFUNCTION("""COMPUTED_VALUE"""),"DE254")</f>
        <v>DE254</v>
      </c>
    </row>
    <row r="1170" spans="1:2" ht="12.5" x14ac:dyDescent="0.25">
      <c r="A1170" t="str">
        <f ca="1">IFERROR(__xludf.DUMMYFUNCTION("""COMPUTED_VALUE"""),"Nürnberger Land")</f>
        <v>Nürnberger Land</v>
      </c>
      <c r="B1170" t="str">
        <f ca="1">IFERROR(__xludf.DUMMYFUNCTION("""COMPUTED_VALUE"""),"DE259")</f>
        <v>DE259</v>
      </c>
    </row>
    <row r="1171" spans="1:2" ht="12.5" x14ac:dyDescent="0.25">
      <c r="A1171" t="str">
        <f ca="1">IFERROR(__xludf.DUMMYFUNCTION("""COMPUTED_VALUE"""),"Nyski")</f>
        <v>Nyski</v>
      </c>
      <c r="B1171" t="str">
        <f ca="1">IFERROR(__xludf.DUMMYFUNCTION("""COMPUTED_VALUE"""),"PL521")</f>
        <v>PL521</v>
      </c>
    </row>
    <row r="1172" spans="1:2" ht="12.5" x14ac:dyDescent="0.25">
      <c r="A1172" t="str">
        <f ca="1">IFERROR(__xludf.DUMMYFUNCTION("""COMPUTED_VALUE"""),"Nyugat-Dunantul")</f>
        <v>Nyugat-Dunantul</v>
      </c>
      <c r="B1172" t="str">
        <f ca="1">IFERROR(__xludf.DUMMYFUNCTION("""COMPUTED_VALUE"""),"HU22")</f>
        <v>HU22</v>
      </c>
    </row>
    <row r="1173" spans="1:2" ht="12.5" x14ac:dyDescent="0.25">
      <c r="A1173" t="str">
        <f ca="1">IFERROR(__xludf.DUMMYFUNCTION("""COMPUTED_VALUE"""),"Obalno-Kraska")</f>
        <v>Obalno-Kraska</v>
      </c>
      <c r="B1173" t="str">
        <f ca="1">IFERROR(__xludf.DUMMYFUNCTION("""COMPUTED_VALUE"""),"SI024")</f>
        <v>SI024</v>
      </c>
    </row>
    <row r="1174" spans="1:2" ht="12.5" x14ac:dyDescent="0.25">
      <c r="A1174" t="str">
        <f ca="1">IFERROR(__xludf.DUMMYFUNCTION("""COMPUTED_VALUE"""),"Oberallgäu")</f>
        <v>Oberallgäu</v>
      </c>
      <c r="B1174" t="str">
        <f ca="1">IFERROR(__xludf.DUMMYFUNCTION("""COMPUTED_VALUE"""),"DE27E")</f>
        <v>DE27E</v>
      </c>
    </row>
    <row r="1175" spans="1:2" ht="12.5" x14ac:dyDescent="0.25">
      <c r="A1175" t="str">
        <f ca="1">IFERROR(__xludf.DUMMYFUNCTION("""COMPUTED_VALUE"""),"Oberbayern")</f>
        <v>Oberbayern</v>
      </c>
      <c r="B1175" t="str">
        <f ca="1">IFERROR(__xludf.DUMMYFUNCTION("""COMPUTED_VALUE"""),"DE21")</f>
        <v>DE21</v>
      </c>
    </row>
    <row r="1176" spans="1:2" ht="12.5" x14ac:dyDescent="0.25">
      <c r="A1176" t="str">
        <f ca="1">IFERROR(__xludf.DUMMYFUNCTION("""COMPUTED_VALUE"""),"Oberbergischer Kreis")</f>
        <v>Oberbergischer Kreis</v>
      </c>
      <c r="B1176" t="str">
        <f ca="1">IFERROR(__xludf.DUMMYFUNCTION("""COMPUTED_VALUE"""),"DEA2A")</f>
        <v>DEA2A</v>
      </c>
    </row>
    <row r="1177" spans="1:2" ht="12.5" x14ac:dyDescent="0.25">
      <c r="A1177" t="str">
        <f ca="1">IFERROR(__xludf.DUMMYFUNCTION("""COMPUTED_VALUE"""),"Oberfranken")</f>
        <v>Oberfranken</v>
      </c>
      <c r="B1177" t="str">
        <f ca="1">IFERROR(__xludf.DUMMYFUNCTION("""COMPUTED_VALUE"""),"DE24")</f>
        <v>DE24</v>
      </c>
    </row>
    <row r="1178" spans="1:2" ht="12.5" x14ac:dyDescent="0.25">
      <c r="A1178" t="str">
        <f ca="1">IFERROR(__xludf.DUMMYFUNCTION("""COMPUTED_VALUE"""),"Oberhausen, Kreisfreie Stadt")</f>
        <v>Oberhausen, Kreisfreie Stadt</v>
      </c>
      <c r="B1178" t="str">
        <f ca="1">IFERROR(__xludf.DUMMYFUNCTION("""COMPUTED_VALUE"""),"DEA17")</f>
        <v>DEA17</v>
      </c>
    </row>
    <row r="1179" spans="1:2" ht="12.5" x14ac:dyDescent="0.25">
      <c r="A1179" t="str">
        <f ca="1">IFERROR(__xludf.DUMMYFUNCTION("""COMPUTED_VALUE"""),"Oberhavel")</f>
        <v>Oberhavel</v>
      </c>
      <c r="B1179" t="str">
        <f ca="1">IFERROR(__xludf.DUMMYFUNCTION("""COMPUTED_VALUE"""),"DE414")</f>
        <v>DE414</v>
      </c>
    </row>
    <row r="1180" spans="1:2" ht="12.5" x14ac:dyDescent="0.25">
      <c r="A1180" t="str">
        <f ca="1">IFERROR(__xludf.DUMMYFUNCTION("""COMPUTED_VALUE"""),"Oberkärnten")</f>
        <v>Oberkärnten</v>
      </c>
      <c r="B1180" t="str">
        <f ca="1">IFERROR(__xludf.DUMMYFUNCTION("""COMPUTED_VALUE"""),"AT212")</f>
        <v>AT212</v>
      </c>
    </row>
    <row r="1181" spans="1:2" ht="12.5" x14ac:dyDescent="0.25">
      <c r="A1181" t="str">
        <f ca="1">IFERROR(__xludf.DUMMYFUNCTION("""COMPUTED_VALUE"""),"Oberösterreich")</f>
        <v>Oberösterreich</v>
      </c>
      <c r="B1181" t="str">
        <f ca="1">IFERROR(__xludf.DUMMYFUNCTION("""COMPUTED_VALUE"""),"AT31")</f>
        <v>AT31</v>
      </c>
    </row>
    <row r="1182" spans="1:2" ht="12.5" x14ac:dyDescent="0.25">
      <c r="A1182" t="str">
        <f ca="1">IFERROR(__xludf.DUMMYFUNCTION("""COMPUTED_VALUE"""),"Oberpfalz")</f>
        <v>Oberpfalz</v>
      </c>
      <c r="B1182" t="str">
        <f ca="1">IFERROR(__xludf.DUMMYFUNCTION("""COMPUTED_VALUE"""),"DE23")</f>
        <v>DE23</v>
      </c>
    </row>
    <row r="1183" spans="1:2" ht="12.5" x14ac:dyDescent="0.25">
      <c r="A1183" t="str">
        <f ca="1">IFERROR(__xludf.DUMMYFUNCTION("""COMPUTED_VALUE"""),"Oberspreewald-Lausitz")</f>
        <v>Oberspreewald-Lausitz</v>
      </c>
      <c r="B1183" t="str">
        <f ca="1">IFERROR(__xludf.DUMMYFUNCTION("""COMPUTED_VALUE"""),"DE427")</f>
        <v>DE427</v>
      </c>
    </row>
    <row r="1184" spans="1:2" ht="12.5" x14ac:dyDescent="0.25">
      <c r="A1184" t="str">
        <f ca="1">IFERROR(__xludf.DUMMYFUNCTION("""COMPUTED_VALUE"""),"Obwalden")</f>
        <v>Obwalden</v>
      </c>
      <c r="B1184" t="str">
        <f ca="1">IFERROR(__xludf.DUMMYFUNCTION("""COMPUTED_VALUE"""),"CH064")</f>
        <v>CH064</v>
      </c>
    </row>
    <row r="1185" spans="1:2" ht="12.5" x14ac:dyDescent="0.25">
      <c r="A1185" t="str">
        <f ca="1">IFERROR(__xludf.DUMMYFUNCTION("""COMPUTED_VALUE"""),"Odenwaldkreis")</f>
        <v>Odenwaldkreis</v>
      </c>
      <c r="B1185" t="str">
        <f ca="1">IFERROR(__xludf.DUMMYFUNCTION("""COMPUTED_VALUE"""),"DE71B")</f>
        <v>DE71B</v>
      </c>
    </row>
    <row r="1186" spans="1:2" ht="12.5" x14ac:dyDescent="0.25">
      <c r="A1186" t="str">
        <f ca="1">IFERROR(__xludf.DUMMYFUNCTION("""COMPUTED_VALUE"""),"Oder-Spree")</f>
        <v>Oder-Spree</v>
      </c>
      <c r="B1186" t="str">
        <f ca="1">IFERROR(__xludf.DUMMYFUNCTION("""COMPUTED_VALUE"""),"DE415")</f>
        <v>DE415</v>
      </c>
    </row>
    <row r="1187" spans="1:2" ht="12.5" x14ac:dyDescent="0.25">
      <c r="A1187" t="str">
        <f ca="1">IFERROR(__xludf.DUMMYFUNCTION("""COMPUTED_VALUE"""),"Oeste")</f>
        <v>Oeste</v>
      </c>
      <c r="B1187" t="str">
        <f ca="1">IFERROR(__xludf.DUMMYFUNCTION("""COMPUTED_VALUE"""),"PT16B")</f>
        <v>PT16B</v>
      </c>
    </row>
    <row r="1188" spans="1:2" ht="12.5" x14ac:dyDescent="0.25">
      <c r="A1188" t="str">
        <f ca="1">IFERROR(__xludf.DUMMYFUNCTION("""COMPUTED_VALUE"""),"Offenbach Am Main, Kreisfreie Stadt")</f>
        <v>Offenbach Am Main, Kreisfreie Stadt</v>
      </c>
      <c r="B1188" t="str">
        <f ca="1">IFERROR(__xludf.DUMMYFUNCTION("""COMPUTED_VALUE"""),"DE713")</f>
        <v>DE713</v>
      </c>
    </row>
    <row r="1189" spans="1:2" ht="12.5" x14ac:dyDescent="0.25">
      <c r="A1189" t="str">
        <f ca="1">IFERROR(__xludf.DUMMYFUNCTION("""COMPUTED_VALUE"""),"Offenbach, Landkreis")</f>
        <v>Offenbach, Landkreis</v>
      </c>
      <c r="B1189" t="str">
        <f ca="1">IFERROR(__xludf.DUMMYFUNCTION("""COMPUTED_VALUE"""),"DE71C")</f>
        <v>DE71C</v>
      </c>
    </row>
    <row r="1190" spans="1:2" ht="12.5" x14ac:dyDescent="0.25">
      <c r="A1190" t="str">
        <f ca="1">IFERROR(__xludf.DUMMYFUNCTION("""COMPUTED_VALUE"""),"Ogliastra")</f>
        <v>Ogliastra</v>
      </c>
      <c r="B1190" t="str">
        <f ca="1">IFERROR(__xludf.DUMMYFUNCTION("""COMPUTED_VALUE"""),"ITG2A")</f>
        <v>ITG2A</v>
      </c>
    </row>
    <row r="1191" spans="1:2" ht="12.5" x14ac:dyDescent="0.25">
      <c r="A1191" t="str">
        <f ca="1">IFERROR(__xludf.DUMMYFUNCTION("""COMPUTED_VALUE"""),"Oise")</f>
        <v>Oise</v>
      </c>
      <c r="B1191" t="str">
        <f ca="1">IFERROR(__xludf.DUMMYFUNCTION("""COMPUTED_VALUE"""),"FR222")</f>
        <v>FR222</v>
      </c>
    </row>
    <row r="1192" spans="1:2" ht="12.5" x14ac:dyDescent="0.25">
      <c r="A1192" t="str">
        <f ca="1">IFERROR(__xludf.DUMMYFUNCTION("""COMPUTED_VALUE"""),"Olbia-Tempio")</f>
        <v>Olbia-Tempio</v>
      </c>
      <c r="B1192" t="str">
        <f ca="1">IFERROR(__xludf.DUMMYFUNCTION("""COMPUTED_VALUE"""),"ITG29")</f>
        <v>ITG29</v>
      </c>
    </row>
    <row r="1193" spans="1:2" ht="12.5" x14ac:dyDescent="0.25">
      <c r="A1193" t="str">
        <f ca="1">IFERROR(__xludf.DUMMYFUNCTION("""COMPUTED_VALUE"""),"Oldenburg (Oldenburg), Kreisfreie Stadt")</f>
        <v>Oldenburg (Oldenburg), Kreisfreie Stadt</v>
      </c>
      <c r="B1193" t="str">
        <f ca="1">IFERROR(__xludf.DUMMYFUNCTION("""COMPUTED_VALUE"""),"DE943")</f>
        <v>DE943</v>
      </c>
    </row>
    <row r="1194" spans="1:2" ht="12.5" x14ac:dyDescent="0.25">
      <c r="A1194" t="str">
        <f ca="1">IFERROR(__xludf.DUMMYFUNCTION("""COMPUTED_VALUE"""),"Oldenburg, Landkreis")</f>
        <v>Oldenburg, Landkreis</v>
      </c>
      <c r="B1194" t="str">
        <f ca="1">IFERROR(__xludf.DUMMYFUNCTION("""COMPUTED_VALUE"""),"DE94D")</f>
        <v>DE94D</v>
      </c>
    </row>
    <row r="1195" spans="1:2" ht="12.5" x14ac:dyDescent="0.25">
      <c r="A1195" t="str">
        <f ca="1">IFERROR(__xludf.DUMMYFUNCTION("""COMPUTED_VALUE"""),"Olomoucky Kraj")</f>
        <v>Olomoucky Kraj</v>
      </c>
      <c r="B1195" t="str">
        <f ca="1">IFERROR(__xludf.DUMMYFUNCTION("""COMPUTED_VALUE"""),"CZ071")</f>
        <v>CZ071</v>
      </c>
    </row>
    <row r="1196" spans="1:2" ht="12.5" x14ac:dyDescent="0.25">
      <c r="A1196" t="str">
        <f ca="1">IFERROR(__xludf.DUMMYFUNCTION("""COMPUTED_VALUE"""),"Olpe")</f>
        <v>Olpe</v>
      </c>
      <c r="B1196" t="str">
        <f ca="1">IFERROR(__xludf.DUMMYFUNCTION("""COMPUTED_VALUE"""),"DEA59")</f>
        <v>DEA59</v>
      </c>
    </row>
    <row r="1197" spans="1:2" ht="12.5" x14ac:dyDescent="0.25">
      <c r="A1197" t="str">
        <f ca="1">IFERROR(__xludf.DUMMYFUNCTION("""COMPUTED_VALUE"""),"Olsztynski")</f>
        <v>Olsztynski</v>
      </c>
      <c r="B1197" t="str">
        <f ca="1">IFERROR(__xludf.DUMMYFUNCTION("""COMPUTED_VALUE"""),"PL622")</f>
        <v>PL622</v>
      </c>
    </row>
    <row r="1198" spans="1:2" ht="12.5" x14ac:dyDescent="0.25">
      <c r="A1198" t="str">
        <f ca="1">IFERROR(__xludf.DUMMYFUNCTION("""COMPUTED_VALUE"""),"Olt")</f>
        <v>Olt</v>
      </c>
      <c r="B1198" t="str">
        <f ca="1">IFERROR(__xludf.DUMMYFUNCTION("""COMPUTED_VALUE"""),"RO414")</f>
        <v>RO414</v>
      </c>
    </row>
    <row r="1199" spans="1:2" ht="12.5" x14ac:dyDescent="0.25">
      <c r="A1199" t="str">
        <f ca="1">IFERROR(__xludf.DUMMYFUNCTION("""COMPUTED_VALUE"""),"Oost-Groningen")</f>
        <v>Oost-Groningen</v>
      </c>
      <c r="B1199" t="str">
        <f ca="1">IFERROR(__xludf.DUMMYFUNCTION("""COMPUTED_VALUE"""),"NL111")</f>
        <v>NL111</v>
      </c>
    </row>
    <row r="1200" spans="1:2" ht="12.5" x14ac:dyDescent="0.25">
      <c r="A1200" t="str">
        <f ca="1">IFERROR(__xludf.DUMMYFUNCTION("""COMPUTED_VALUE"""),"Oost-Nederland")</f>
        <v>Oost-Nederland</v>
      </c>
      <c r="B1200" t="str">
        <f ca="1">IFERROR(__xludf.DUMMYFUNCTION("""COMPUTED_VALUE"""),"NL2")</f>
        <v>NL2</v>
      </c>
    </row>
    <row r="1201" spans="1:2" ht="12.5" x14ac:dyDescent="0.25">
      <c r="A1201" t="str">
        <f ca="1">IFERROR(__xludf.DUMMYFUNCTION("""COMPUTED_VALUE"""),"Oost-Zuid-Holland")</f>
        <v>Oost-Zuid-Holland</v>
      </c>
      <c r="B1201" t="str">
        <f ca="1">IFERROR(__xludf.DUMMYFUNCTION("""COMPUTED_VALUE"""),"NL334")</f>
        <v>NL334</v>
      </c>
    </row>
    <row r="1202" spans="1:2" ht="12.5" x14ac:dyDescent="0.25">
      <c r="A1202" t="str">
        <f ca="1">IFERROR(__xludf.DUMMYFUNCTION("""COMPUTED_VALUE"""),"Opolski")</f>
        <v>Opolski</v>
      </c>
      <c r="B1202" t="str">
        <f ca="1">IFERROR(__xludf.DUMMYFUNCTION("""COMPUTED_VALUE"""),"PL522")</f>
        <v>PL522</v>
      </c>
    </row>
    <row r="1203" spans="1:2" ht="12.5" x14ac:dyDescent="0.25">
      <c r="A1203" t="str">
        <f ca="1">IFERROR(__xludf.DUMMYFUNCTION("""COMPUTED_VALUE"""),"Opolskie")</f>
        <v>Opolskie</v>
      </c>
      <c r="B1203" t="str">
        <f ca="1">IFERROR(__xludf.DUMMYFUNCTION("""COMPUTED_VALUE"""),"PL52")</f>
        <v>PL52</v>
      </c>
    </row>
    <row r="1204" spans="1:2" ht="12.5" x14ac:dyDescent="0.25">
      <c r="A1204" t="str">
        <f ca="1">IFERROR(__xludf.DUMMYFUNCTION("""COMPUTED_VALUE"""),"Oppland")</f>
        <v>Oppland</v>
      </c>
      <c r="B1204" t="str">
        <f ca="1">IFERROR(__xludf.DUMMYFUNCTION("""COMPUTED_VALUE"""),"NO022")</f>
        <v>NO022</v>
      </c>
    </row>
    <row r="1205" spans="1:2" ht="12.5" x14ac:dyDescent="0.25">
      <c r="A1205" t="str">
        <f ca="1">IFERROR(__xludf.DUMMYFUNCTION("""COMPUTED_VALUE"""),"Örebro Län")</f>
        <v>Örebro Län</v>
      </c>
      <c r="B1205" t="str">
        <f ca="1">IFERROR(__xludf.DUMMYFUNCTION("""COMPUTED_VALUE"""),"SE124")</f>
        <v>SE124</v>
      </c>
    </row>
    <row r="1206" spans="1:2" ht="12.5" x14ac:dyDescent="0.25">
      <c r="A1206" t="str">
        <f ca="1">IFERROR(__xludf.DUMMYFUNCTION("""COMPUTED_VALUE"""),"Oristano")</f>
        <v>Oristano</v>
      </c>
      <c r="B1206" t="str">
        <f ca="1">IFERROR(__xludf.DUMMYFUNCTION("""COMPUTED_VALUE"""),"ITG28")</f>
        <v>ITG28</v>
      </c>
    </row>
    <row r="1207" spans="1:2" ht="12.5" x14ac:dyDescent="0.25">
      <c r="A1207" t="str">
        <f ca="1">IFERROR(__xludf.DUMMYFUNCTION("""COMPUTED_VALUE"""),"Orkney Islands")</f>
        <v>Orkney Islands</v>
      </c>
      <c r="B1207" t="str">
        <f ca="1">IFERROR(__xludf.DUMMYFUNCTION("""COMPUTED_VALUE"""),"UKM65")</f>
        <v>UKM65</v>
      </c>
    </row>
    <row r="1208" spans="1:2" ht="12.5" x14ac:dyDescent="0.25">
      <c r="A1208" t="str">
        <f ca="1">IFERROR(__xludf.DUMMYFUNCTION("""COMPUTED_VALUE"""),"Orne")</f>
        <v>Orne</v>
      </c>
      <c r="B1208" t="str">
        <f ca="1">IFERROR(__xludf.DUMMYFUNCTION("""COMPUTED_VALUE"""),"FR253")</f>
        <v>FR253</v>
      </c>
    </row>
    <row r="1209" spans="1:2" ht="12.5" x14ac:dyDescent="0.25">
      <c r="A1209" t="str">
        <f ca="1">IFERROR(__xludf.DUMMYFUNCTION("""COMPUTED_VALUE"""),"Ortenaukreis")</f>
        <v>Ortenaukreis</v>
      </c>
      <c r="B1209" t="str">
        <f ca="1">IFERROR(__xludf.DUMMYFUNCTION("""COMPUTED_VALUE"""),"DE134")</f>
        <v>DE134</v>
      </c>
    </row>
    <row r="1210" spans="1:2" ht="12.5" x14ac:dyDescent="0.25">
      <c r="A1210" t="str">
        <f ca="1">IFERROR(__xludf.DUMMYFUNCTION("""COMPUTED_VALUE"""),"Oslo")</f>
        <v>Oslo</v>
      </c>
      <c r="B1210" t="str">
        <f ca="1">IFERROR(__xludf.DUMMYFUNCTION("""COMPUTED_VALUE"""),"NO011")</f>
        <v>NO011</v>
      </c>
    </row>
    <row r="1211" spans="1:2" ht="12.5" x14ac:dyDescent="0.25">
      <c r="A1211" t="str">
        <f ca="1">IFERROR(__xludf.DUMMYFUNCTION("""COMPUTED_VALUE"""),"Oslo Og Akershus")</f>
        <v>Oslo Og Akershus</v>
      </c>
      <c r="B1211" t="str">
        <f ca="1">IFERROR(__xludf.DUMMYFUNCTION("""COMPUTED_VALUE"""),"NO01")</f>
        <v>NO01</v>
      </c>
    </row>
    <row r="1212" spans="1:2" ht="12.5" x14ac:dyDescent="0.25">
      <c r="A1212" t="str">
        <f ca="1">IFERROR(__xludf.DUMMYFUNCTION("""COMPUTED_VALUE"""),"Osnabrück, Kreisfreie Stadt")</f>
        <v>Osnabrück, Kreisfreie Stadt</v>
      </c>
      <c r="B1212" t="str">
        <f ca="1">IFERROR(__xludf.DUMMYFUNCTION("""COMPUTED_VALUE"""),"DE944")</f>
        <v>DE944</v>
      </c>
    </row>
    <row r="1213" spans="1:2" ht="12.5" x14ac:dyDescent="0.25">
      <c r="A1213" t="str">
        <f ca="1">IFERROR(__xludf.DUMMYFUNCTION("""COMPUTED_VALUE"""),"Osnabrück, Landkreis")</f>
        <v>Osnabrück, Landkreis</v>
      </c>
      <c r="B1213" t="str">
        <f ca="1">IFERROR(__xludf.DUMMYFUNCTION("""COMPUTED_VALUE"""),"DE94E")</f>
        <v>DE94E</v>
      </c>
    </row>
    <row r="1214" spans="1:2" ht="12.5" x14ac:dyDescent="0.25">
      <c r="A1214" t="str">
        <f ca="1">IFERROR(__xludf.DUMMYFUNCTION("""COMPUTED_VALUE"""),"Osrednjeslovenska")</f>
        <v>Osrednjeslovenska</v>
      </c>
      <c r="B1214" t="str">
        <f ca="1">IFERROR(__xludf.DUMMYFUNCTION("""COMPUTED_VALUE"""),"SI021")</f>
        <v>SI021</v>
      </c>
    </row>
    <row r="1215" spans="1:2" ht="12.5" x14ac:dyDescent="0.25">
      <c r="A1215" t="str">
        <f ca="1">IFERROR(__xludf.DUMMYFUNCTION("""COMPUTED_VALUE"""),"Ostalbkreis")</f>
        <v>Ostalbkreis</v>
      </c>
      <c r="B1215" t="str">
        <f ca="1">IFERROR(__xludf.DUMMYFUNCTION("""COMPUTED_VALUE"""),"DE11D")</f>
        <v>DE11D</v>
      </c>
    </row>
    <row r="1216" spans="1:2" ht="12.5" x14ac:dyDescent="0.25">
      <c r="A1216" t="str">
        <f ca="1">IFERROR(__xludf.DUMMYFUNCTION("""COMPUTED_VALUE"""),"Ostallgäu")</f>
        <v>Ostallgäu</v>
      </c>
      <c r="B1216" t="str">
        <f ca="1">IFERROR(__xludf.DUMMYFUNCTION("""COMPUTED_VALUE"""),"DE27B")</f>
        <v>DE27B</v>
      </c>
    </row>
    <row r="1217" spans="1:2" ht="12.5" x14ac:dyDescent="0.25">
      <c r="A1217" t="str">
        <f ca="1">IFERROR(__xludf.DUMMYFUNCTION("""COMPUTED_VALUE"""),"Östergötlands Län")</f>
        <v>Östergötlands Län</v>
      </c>
      <c r="B1217" t="str">
        <f ca="1">IFERROR(__xludf.DUMMYFUNCTION("""COMPUTED_VALUE"""),"SE123")</f>
        <v>SE123</v>
      </c>
    </row>
    <row r="1218" spans="1:2" ht="12.5" x14ac:dyDescent="0.25">
      <c r="A1218" t="str">
        <f ca="1">IFERROR(__xludf.DUMMYFUNCTION("""COMPUTED_VALUE"""),"Osterholz")</f>
        <v>Osterholz</v>
      </c>
      <c r="B1218" t="str">
        <f ca="1">IFERROR(__xludf.DUMMYFUNCTION("""COMPUTED_VALUE"""),"DE936")</f>
        <v>DE936</v>
      </c>
    </row>
    <row r="1219" spans="1:2" ht="12.5" x14ac:dyDescent="0.25">
      <c r="A1219" t="str">
        <f ca="1">IFERROR(__xludf.DUMMYFUNCTION("""COMPUTED_VALUE"""),"Osterode Am Harz")</f>
        <v>Osterode Am Harz</v>
      </c>
      <c r="B1219" t="str">
        <f ca="1">IFERROR(__xludf.DUMMYFUNCTION("""COMPUTED_VALUE"""),"DE919")</f>
        <v>DE919</v>
      </c>
    </row>
    <row r="1220" spans="1:2" ht="12.5" x14ac:dyDescent="0.25">
      <c r="A1220" t="str">
        <f ca="1">IFERROR(__xludf.DUMMYFUNCTION("""COMPUTED_VALUE"""),"Österreich")</f>
        <v>Österreich</v>
      </c>
      <c r="B1220" t="str">
        <f ca="1">IFERROR(__xludf.DUMMYFUNCTION("""COMPUTED_VALUE"""),"AT")</f>
        <v>AT</v>
      </c>
    </row>
    <row r="1221" spans="1:2" ht="12.5" x14ac:dyDescent="0.25">
      <c r="A1221" t="str">
        <f ca="1">IFERROR(__xludf.DUMMYFUNCTION("""COMPUTED_VALUE"""),"Østfold")</f>
        <v>Østfold</v>
      </c>
      <c r="B1221" t="str">
        <f ca="1">IFERROR(__xludf.DUMMYFUNCTION("""COMPUTED_VALUE"""),"NO031")</f>
        <v>NO031</v>
      </c>
    </row>
    <row r="1222" spans="1:2" ht="12.5" x14ac:dyDescent="0.25">
      <c r="A1222" t="str">
        <f ca="1">IFERROR(__xludf.DUMMYFUNCTION("""COMPUTED_VALUE"""),"Ostholstein")</f>
        <v>Ostholstein</v>
      </c>
      <c r="B1222" t="str">
        <f ca="1">IFERROR(__xludf.DUMMYFUNCTION("""COMPUTED_VALUE"""),"DEF08")</f>
        <v>DEF08</v>
      </c>
    </row>
    <row r="1223" spans="1:2" ht="12.5" x14ac:dyDescent="0.25">
      <c r="A1223" t="str">
        <f ca="1">IFERROR(__xludf.DUMMYFUNCTION("""COMPUTED_VALUE"""),"Østjylland")</f>
        <v>Østjylland</v>
      </c>
      <c r="B1223" t="str">
        <f ca="1">IFERROR(__xludf.DUMMYFUNCTION("""COMPUTED_VALUE"""),"DK042")</f>
        <v>DK042</v>
      </c>
    </row>
    <row r="1224" spans="1:2" ht="12.5" x14ac:dyDescent="0.25">
      <c r="A1224" t="str">
        <f ca="1">IFERROR(__xludf.DUMMYFUNCTION("""COMPUTED_VALUE"""),"Östliche Obersteiermark")</f>
        <v>Östliche Obersteiermark</v>
      </c>
      <c r="B1224" t="str">
        <f ca="1">IFERROR(__xludf.DUMMYFUNCTION("""COMPUTED_VALUE"""),"AT223")</f>
        <v>AT223</v>
      </c>
    </row>
    <row r="1225" spans="1:2" ht="12.5" x14ac:dyDescent="0.25">
      <c r="A1225" t="str">
        <f ca="1">IFERROR(__xludf.DUMMYFUNCTION("""COMPUTED_VALUE"""),"Ostösterreich")</f>
        <v>Ostösterreich</v>
      </c>
      <c r="B1225" t="str">
        <f ca="1">IFERROR(__xludf.DUMMYFUNCTION("""COMPUTED_VALUE"""),"AT1")</f>
        <v>AT1</v>
      </c>
    </row>
    <row r="1226" spans="1:2" ht="12.5" x14ac:dyDescent="0.25">
      <c r="A1226" t="str">
        <f ca="1">IFERROR(__xludf.DUMMYFUNCTION("""COMPUTED_VALUE"""),"Ostprignitz-Ruppin")</f>
        <v>Ostprignitz-Ruppin</v>
      </c>
      <c r="B1226" t="str">
        <f ca="1">IFERROR(__xludf.DUMMYFUNCTION("""COMPUTED_VALUE"""),"DE416")</f>
        <v>DE416</v>
      </c>
    </row>
    <row r="1227" spans="1:2" ht="12.5" x14ac:dyDescent="0.25">
      <c r="A1227" t="str">
        <f ca="1">IFERROR(__xludf.DUMMYFUNCTION("""COMPUTED_VALUE"""),"Östra Mellansverige")</f>
        <v>Östra Mellansverige</v>
      </c>
      <c r="B1227" t="str">
        <f ca="1">IFERROR(__xludf.DUMMYFUNCTION("""COMPUTED_VALUE"""),"SE12")</f>
        <v>SE12</v>
      </c>
    </row>
    <row r="1228" spans="1:2" ht="12.5" x14ac:dyDescent="0.25">
      <c r="A1228" t="str">
        <f ca="1">IFERROR(__xludf.DUMMYFUNCTION("""COMPUTED_VALUE"""),"Östra Sverige")</f>
        <v>Östra Sverige</v>
      </c>
      <c r="B1228" t="str">
        <f ca="1">IFERROR(__xludf.DUMMYFUNCTION("""COMPUTED_VALUE"""),"SE1")</f>
        <v>SE1</v>
      </c>
    </row>
    <row r="1229" spans="1:2" ht="12.5" x14ac:dyDescent="0.25">
      <c r="A1229" t="str">
        <f ca="1">IFERROR(__xludf.DUMMYFUNCTION("""COMPUTED_VALUE"""),"Ostrolecko-Siedlecki")</f>
        <v>Ostrolecko-Siedlecki</v>
      </c>
      <c r="B1229" t="str">
        <f ca="1">IFERROR(__xludf.DUMMYFUNCTION("""COMPUTED_VALUE"""),"PL122")</f>
        <v>PL122</v>
      </c>
    </row>
    <row r="1230" spans="1:2" ht="12.5" x14ac:dyDescent="0.25">
      <c r="A1230" t="str">
        <f ca="1">IFERROR(__xludf.DUMMYFUNCTION("""COMPUTED_VALUE"""),"Ostschweiz")</f>
        <v>Ostschweiz</v>
      </c>
      <c r="B1230" t="str">
        <f ca="1">IFERROR(__xludf.DUMMYFUNCTION("""COMPUTED_VALUE"""),"CH05")</f>
        <v>CH05</v>
      </c>
    </row>
    <row r="1231" spans="1:2" ht="12.5" x14ac:dyDescent="0.25">
      <c r="A1231" t="str">
        <f ca="1">IFERROR(__xludf.DUMMYFUNCTION("""COMPUTED_VALUE"""),"Østsjælland")</f>
        <v>Østsjælland</v>
      </c>
      <c r="B1231" t="str">
        <f ca="1">IFERROR(__xludf.DUMMYFUNCTION("""COMPUTED_VALUE"""),"DK021")</f>
        <v>DK021</v>
      </c>
    </row>
    <row r="1232" spans="1:2" ht="12.5" x14ac:dyDescent="0.25">
      <c r="A1232" t="str">
        <f ca="1">IFERROR(__xludf.DUMMYFUNCTION("""COMPUTED_VALUE"""),"Oststeiermark")</f>
        <v>Oststeiermark</v>
      </c>
      <c r="B1232" t="str">
        <f ca="1">IFERROR(__xludf.DUMMYFUNCTION("""COMPUTED_VALUE"""),"AT224")</f>
        <v>AT224</v>
      </c>
    </row>
    <row r="1233" spans="1:2" ht="12.5" x14ac:dyDescent="0.25">
      <c r="A1233" t="str">
        <f ca="1">IFERROR(__xludf.DUMMYFUNCTION("""COMPUTED_VALUE"""),"Osttirol")</f>
        <v>Osttirol</v>
      </c>
      <c r="B1233" t="str">
        <f ca="1">IFERROR(__xludf.DUMMYFUNCTION("""COMPUTED_VALUE"""),"AT333")</f>
        <v>AT333</v>
      </c>
    </row>
    <row r="1234" spans="1:2" ht="12.5" x14ac:dyDescent="0.25">
      <c r="A1234" t="str">
        <f ca="1">IFERROR(__xludf.DUMMYFUNCTION("""COMPUTED_VALUE"""),"Ostvorpommern")</f>
        <v>Ostvorpommern</v>
      </c>
      <c r="B1234" t="str">
        <f ca="1">IFERROR(__xludf.DUMMYFUNCTION("""COMPUTED_VALUE"""),"DE80F")</f>
        <v>DE80F</v>
      </c>
    </row>
    <row r="1235" spans="1:2" ht="12.5" x14ac:dyDescent="0.25">
      <c r="A1235" t="str">
        <f ca="1">IFERROR(__xludf.DUMMYFUNCTION("""COMPUTED_VALUE"""),"Oswiecimski")</f>
        <v>Oswiecimski</v>
      </c>
      <c r="B1235" t="str">
        <f ca="1">IFERROR(__xludf.DUMMYFUNCTION("""COMPUTED_VALUE"""),"PL216")</f>
        <v>PL216</v>
      </c>
    </row>
    <row r="1236" spans="1:2" ht="12.5" x14ac:dyDescent="0.25">
      <c r="A1236" t="str">
        <f ca="1">IFERROR(__xludf.DUMMYFUNCTION("""COMPUTED_VALUE"""),"Ouest")</f>
        <v>Ouest</v>
      </c>
      <c r="B1236" t="str">
        <f ca="1">IFERROR(__xludf.DUMMYFUNCTION("""COMPUTED_VALUE"""),"FR5")</f>
        <v>FR5</v>
      </c>
    </row>
    <row r="1237" spans="1:2" ht="12.5" x14ac:dyDescent="0.25">
      <c r="A1237" t="str">
        <f ca="1">IFERROR(__xludf.DUMMYFUNCTION("""COMPUTED_VALUE"""),"Ourense")</f>
        <v>Ourense</v>
      </c>
      <c r="B1237" t="str">
        <f ca="1">IFERROR(__xludf.DUMMYFUNCTION("""COMPUTED_VALUE"""),"ES113")</f>
        <v>ES113</v>
      </c>
    </row>
    <row r="1238" spans="1:2" ht="12.5" x14ac:dyDescent="0.25">
      <c r="A1238" t="str">
        <f ca="1">IFERROR(__xludf.DUMMYFUNCTION("""COMPUTED_VALUE"""),"Outer Belfast")</f>
        <v>Outer Belfast</v>
      </c>
      <c r="B1238" t="str">
        <f ca="1">IFERROR(__xludf.DUMMYFUNCTION("""COMPUTED_VALUE"""),"UKN02")</f>
        <v>UKN02</v>
      </c>
    </row>
    <row r="1239" spans="1:2" ht="12.5" x14ac:dyDescent="0.25">
      <c r="A1239" t="str">
        <f ca="1">IFERROR(__xludf.DUMMYFUNCTION("""COMPUTED_VALUE"""),"Outer London")</f>
        <v>Outer London</v>
      </c>
      <c r="B1239" t="str">
        <f ca="1">IFERROR(__xludf.DUMMYFUNCTION("""COMPUTED_VALUE"""),"UKI2")</f>
        <v>UKI2</v>
      </c>
    </row>
    <row r="1240" spans="1:2" ht="12.5" x14ac:dyDescent="0.25">
      <c r="A1240" t="str">
        <f ca="1">IFERROR(__xludf.DUMMYFUNCTION("""COMPUTED_VALUE"""),"Outer London - East And North East")</f>
        <v>Outer London - East And North East</v>
      </c>
      <c r="B1240" t="str">
        <f ca="1">IFERROR(__xludf.DUMMYFUNCTION("""COMPUTED_VALUE"""),"UKI21")</f>
        <v>UKI21</v>
      </c>
    </row>
    <row r="1241" spans="1:2" ht="12.5" x14ac:dyDescent="0.25">
      <c r="A1241" t="str">
        <f ca="1">IFERROR(__xludf.DUMMYFUNCTION("""COMPUTED_VALUE"""),"Outer London - South")</f>
        <v>Outer London - South</v>
      </c>
      <c r="B1241" t="str">
        <f ca="1">IFERROR(__xludf.DUMMYFUNCTION("""COMPUTED_VALUE"""),"UKI22")</f>
        <v>UKI22</v>
      </c>
    </row>
    <row r="1242" spans="1:2" ht="12.5" x14ac:dyDescent="0.25">
      <c r="A1242" t="str">
        <f ca="1">IFERROR(__xludf.DUMMYFUNCTION("""COMPUTED_VALUE"""),"Outer London - West And North West")</f>
        <v>Outer London - West And North West</v>
      </c>
      <c r="B1242" t="str">
        <f ca="1">IFERROR(__xludf.DUMMYFUNCTION("""COMPUTED_VALUE"""),"UKI23")</f>
        <v>UKI23</v>
      </c>
    </row>
    <row r="1243" spans="1:2" ht="12.5" x14ac:dyDescent="0.25">
      <c r="A1243" t="str">
        <f ca="1">IFERROR(__xludf.DUMMYFUNCTION("""COMPUTED_VALUE"""),"Overig Groningen")</f>
        <v>Overig Groningen</v>
      </c>
      <c r="B1243" t="str">
        <f ca="1">IFERROR(__xludf.DUMMYFUNCTION("""COMPUTED_VALUE"""),"NL113")</f>
        <v>NL113</v>
      </c>
    </row>
    <row r="1244" spans="1:2" ht="12.5" x14ac:dyDescent="0.25">
      <c r="A1244" t="str">
        <f ca="1">IFERROR(__xludf.DUMMYFUNCTION("""COMPUTED_VALUE"""),"Overig Zeeland")</f>
        <v>Overig Zeeland</v>
      </c>
      <c r="B1244" t="str">
        <f ca="1">IFERROR(__xludf.DUMMYFUNCTION("""COMPUTED_VALUE"""),"NL342")</f>
        <v>NL342</v>
      </c>
    </row>
    <row r="1245" spans="1:2" ht="12.5" x14ac:dyDescent="0.25">
      <c r="A1245" t="str">
        <f ca="1">IFERROR(__xludf.DUMMYFUNCTION("""COMPUTED_VALUE"""),"Overijssel")</f>
        <v>Overijssel</v>
      </c>
      <c r="B1245" t="str">
        <f ca="1">IFERROR(__xludf.DUMMYFUNCTION("""COMPUTED_VALUE"""),"NL21")</f>
        <v>NL21</v>
      </c>
    </row>
    <row r="1246" spans="1:2" ht="12.5" x14ac:dyDescent="0.25">
      <c r="A1246" t="str">
        <f ca="1">IFERROR(__xludf.DUMMYFUNCTION("""COMPUTED_VALUE"""),"Övre Norrland")</f>
        <v>Övre Norrland</v>
      </c>
      <c r="B1246" t="str">
        <f ca="1">IFERROR(__xludf.DUMMYFUNCTION("""COMPUTED_VALUE"""),"SE33")</f>
        <v>SE33</v>
      </c>
    </row>
    <row r="1247" spans="1:2" ht="12.5" x14ac:dyDescent="0.25">
      <c r="A1247" t="str">
        <f ca="1">IFERROR(__xludf.DUMMYFUNCTION("""COMPUTED_VALUE"""),"Oxfordshire")</f>
        <v>Oxfordshire</v>
      </c>
      <c r="B1247" t="str">
        <f ca="1">IFERROR(__xludf.DUMMYFUNCTION("""COMPUTED_VALUE"""),"UKJ14")</f>
        <v>UKJ14</v>
      </c>
    </row>
    <row r="1248" spans="1:2" ht="12.5" x14ac:dyDescent="0.25">
      <c r="A1248" t="str">
        <f ca="1">IFERROR(__xludf.DUMMYFUNCTION("""COMPUTED_VALUE"""),"Paderborn")</f>
        <v>Paderborn</v>
      </c>
      <c r="B1248" t="str">
        <f ca="1">IFERROR(__xludf.DUMMYFUNCTION("""COMPUTED_VALUE"""),"DEA47")</f>
        <v>DEA47</v>
      </c>
    </row>
    <row r="1249" spans="1:2" ht="12.5" x14ac:dyDescent="0.25">
      <c r="A1249" t="str">
        <f ca="1">IFERROR(__xludf.DUMMYFUNCTION("""COMPUTED_VALUE"""),"Padova")</f>
        <v>Padova</v>
      </c>
      <c r="B1249" t="str">
        <f ca="1">IFERROR(__xludf.DUMMYFUNCTION("""COMPUTED_VALUE"""),"ITD36")</f>
        <v>ITD36</v>
      </c>
    </row>
    <row r="1250" spans="1:2" ht="12.5" x14ac:dyDescent="0.25">
      <c r="A1250" t="str">
        <f ca="1">IFERROR(__xludf.DUMMYFUNCTION("""COMPUTED_VALUE"""),"Päijät-Häme")</f>
        <v>Päijät-Häme</v>
      </c>
      <c r="B1250" t="str">
        <f ca="1">IFERROR(__xludf.DUMMYFUNCTION("""COMPUTED_VALUE"""),"FI185")</f>
        <v>FI185</v>
      </c>
    </row>
    <row r="1251" spans="1:2" ht="12.5" x14ac:dyDescent="0.25">
      <c r="A1251" t="str">
        <f ca="1">IFERROR(__xludf.DUMMYFUNCTION("""COMPUTED_VALUE"""),"País Vasco")</f>
        <v>País Vasco</v>
      </c>
      <c r="B1251" t="str">
        <f ca="1">IFERROR(__xludf.DUMMYFUNCTION("""COMPUTED_VALUE"""),"ES21")</f>
        <v>ES21</v>
      </c>
    </row>
    <row r="1252" spans="1:2" ht="12.5" x14ac:dyDescent="0.25">
      <c r="A1252" t="str">
        <f ca="1">IFERROR(__xludf.DUMMYFUNCTION("""COMPUTED_VALUE"""),"Palencia")</f>
        <v>Palencia</v>
      </c>
      <c r="B1252" t="str">
        <f ca="1">IFERROR(__xludf.DUMMYFUNCTION("""COMPUTED_VALUE"""),"ES414")</f>
        <v>ES414</v>
      </c>
    </row>
    <row r="1253" spans="1:2" ht="12.5" x14ac:dyDescent="0.25">
      <c r="A1253" t="str">
        <f ca="1">IFERROR(__xludf.DUMMYFUNCTION("""COMPUTED_VALUE"""),"Palermo")</f>
        <v>Palermo</v>
      </c>
      <c r="B1253" t="str">
        <f ca="1">IFERROR(__xludf.DUMMYFUNCTION("""COMPUTED_VALUE"""),"ITG12")</f>
        <v>ITG12</v>
      </c>
    </row>
    <row r="1254" spans="1:2" ht="12.5" x14ac:dyDescent="0.25">
      <c r="A1254" t="str">
        <f ca="1">IFERROR(__xludf.DUMMYFUNCTION("""COMPUTED_VALUE"""),"Panevezio Apskritis")</f>
        <v>Panevezio Apskritis</v>
      </c>
      <c r="B1254" t="str">
        <f ca="1">IFERROR(__xludf.DUMMYFUNCTION("""COMPUTED_VALUE"""),"LT005")</f>
        <v>LT005</v>
      </c>
    </row>
    <row r="1255" spans="1:2" ht="12.5" x14ac:dyDescent="0.25">
      <c r="A1255" t="str">
        <f ca="1">IFERROR(__xludf.DUMMYFUNCTION("""COMPUTED_VALUE"""),"Parchim")</f>
        <v>Parchim</v>
      </c>
      <c r="B1255" t="str">
        <f ca="1">IFERROR(__xludf.DUMMYFUNCTION("""COMPUTED_VALUE"""),"DE80G")</f>
        <v>DE80G</v>
      </c>
    </row>
    <row r="1256" spans="1:2" ht="12.5" x14ac:dyDescent="0.25">
      <c r="A1256" t="str">
        <f ca="1">IFERROR(__xludf.DUMMYFUNCTION("""COMPUTED_VALUE"""),"Pardubicky Kraj")</f>
        <v>Pardubicky Kraj</v>
      </c>
      <c r="B1256" t="str">
        <f ca="1">IFERROR(__xludf.DUMMYFUNCTION("""COMPUTED_VALUE"""),"CZ053")</f>
        <v>CZ053</v>
      </c>
    </row>
    <row r="1257" spans="1:2" ht="12.5" x14ac:dyDescent="0.25">
      <c r="A1257" t="str">
        <f ca="1">IFERROR(__xludf.DUMMYFUNCTION("""COMPUTED_VALUE"""),"Paris")</f>
        <v>Paris</v>
      </c>
      <c r="B1257" t="str">
        <f ca="1">IFERROR(__xludf.DUMMYFUNCTION("""COMPUTED_VALUE"""),"FR101")</f>
        <v>FR101</v>
      </c>
    </row>
    <row r="1258" spans="1:2" ht="12.5" x14ac:dyDescent="0.25">
      <c r="A1258" t="str">
        <f ca="1">IFERROR(__xludf.DUMMYFUNCTION("""COMPUTED_VALUE"""),"Parma")</f>
        <v>Parma</v>
      </c>
      <c r="B1258" t="str">
        <f ca="1">IFERROR(__xludf.DUMMYFUNCTION("""COMPUTED_VALUE"""),"ITD52")</f>
        <v>ITD52</v>
      </c>
    </row>
    <row r="1259" spans="1:2" ht="12.5" x14ac:dyDescent="0.25">
      <c r="A1259" t="str">
        <f ca="1">IFERROR(__xludf.DUMMYFUNCTION("""COMPUTED_VALUE"""),"Pas-De-Calais")</f>
        <v>Pas-De-Calais</v>
      </c>
      <c r="B1259" t="str">
        <f ca="1">IFERROR(__xludf.DUMMYFUNCTION("""COMPUTED_VALUE"""),"FR302")</f>
        <v>FR302</v>
      </c>
    </row>
    <row r="1260" spans="1:2" ht="12.5" x14ac:dyDescent="0.25">
      <c r="A1260" t="str">
        <f ca="1">IFERROR(__xludf.DUMMYFUNCTION("""COMPUTED_VALUE"""),"Passau, Kreisfreie Stadt")</f>
        <v>Passau, Kreisfreie Stadt</v>
      </c>
      <c r="B1260" t="str">
        <f ca="1">IFERROR(__xludf.DUMMYFUNCTION("""COMPUTED_VALUE"""),"DE222")</f>
        <v>DE222</v>
      </c>
    </row>
    <row r="1261" spans="1:2" ht="12.5" x14ac:dyDescent="0.25">
      <c r="A1261" t="str">
        <f ca="1">IFERROR(__xludf.DUMMYFUNCTION("""COMPUTED_VALUE"""),"Passau, Landkreis")</f>
        <v>Passau, Landkreis</v>
      </c>
      <c r="B1261" t="str">
        <f ca="1">IFERROR(__xludf.DUMMYFUNCTION("""COMPUTED_VALUE"""),"DE228")</f>
        <v>DE228</v>
      </c>
    </row>
    <row r="1262" spans="1:2" ht="12.5" x14ac:dyDescent="0.25">
      <c r="A1262" t="str">
        <f ca="1">IFERROR(__xludf.DUMMYFUNCTION("""COMPUTED_VALUE"""),"Pavia")</f>
        <v>Pavia</v>
      </c>
      <c r="B1262" t="str">
        <f ca="1">IFERROR(__xludf.DUMMYFUNCTION("""COMPUTED_VALUE"""),"ITC48")</f>
        <v>ITC48</v>
      </c>
    </row>
    <row r="1263" spans="1:2" ht="12.5" x14ac:dyDescent="0.25">
      <c r="A1263" t="str">
        <f ca="1">IFERROR(__xludf.DUMMYFUNCTION("""COMPUTED_VALUE"""),"Pays De La Loire")</f>
        <v>Pays De La Loire</v>
      </c>
      <c r="B1263" t="str">
        <f ca="1">IFERROR(__xludf.DUMMYFUNCTION("""COMPUTED_VALUE"""),"FR51")</f>
        <v>FR51</v>
      </c>
    </row>
    <row r="1264" spans="1:2" ht="12.5" x14ac:dyDescent="0.25">
      <c r="A1264" t="str">
        <f ca="1">IFERROR(__xludf.DUMMYFUNCTION("""COMPUTED_VALUE"""),"Pazardzhik")</f>
        <v>Pazardzhik</v>
      </c>
      <c r="B1264" t="str">
        <f ca="1">IFERROR(__xludf.DUMMYFUNCTION("""COMPUTED_VALUE"""),"BG423")</f>
        <v>BG423</v>
      </c>
    </row>
    <row r="1265" spans="1:2" ht="12.5" x14ac:dyDescent="0.25">
      <c r="A1265" t="str">
        <f ca="1">IFERROR(__xludf.DUMMYFUNCTION("""COMPUTED_VALUE"""),"Peine")</f>
        <v>Peine</v>
      </c>
      <c r="B1265" t="str">
        <f ca="1">IFERROR(__xludf.DUMMYFUNCTION("""COMPUTED_VALUE"""),"DE91A")</f>
        <v>DE91A</v>
      </c>
    </row>
    <row r="1266" spans="1:2" ht="12.5" x14ac:dyDescent="0.25">
      <c r="A1266" t="str">
        <f ca="1">IFERROR(__xludf.DUMMYFUNCTION("""COMPUTED_VALUE"""),"Pella")</f>
        <v>Pella</v>
      </c>
      <c r="B1266" t="str">
        <f ca="1">IFERROR(__xludf.DUMMYFUNCTION("""COMPUTED_VALUE"""),"GR124")</f>
        <v>GR124</v>
      </c>
    </row>
    <row r="1267" spans="1:2" ht="12.5" x14ac:dyDescent="0.25">
      <c r="A1267" t="str">
        <f ca="1">IFERROR(__xludf.DUMMYFUNCTION("""COMPUTED_VALUE"""),"Peloponnisos")</f>
        <v>Peloponnisos</v>
      </c>
      <c r="B1267" t="str">
        <f ca="1">IFERROR(__xludf.DUMMYFUNCTION("""COMPUTED_VALUE"""),"GR25")</f>
        <v>GR25</v>
      </c>
    </row>
    <row r="1268" spans="1:2" ht="12.5" x14ac:dyDescent="0.25">
      <c r="A1268" t="str">
        <f ca="1">IFERROR(__xludf.DUMMYFUNCTION("""COMPUTED_VALUE"""),"Península De Setúbal")</f>
        <v>Península De Setúbal</v>
      </c>
      <c r="B1268" t="str">
        <f ca="1">IFERROR(__xludf.DUMMYFUNCTION("""COMPUTED_VALUE"""),"PT172")</f>
        <v>PT172</v>
      </c>
    </row>
    <row r="1269" spans="1:2" ht="12.5" x14ac:dyDescent="0.25">
      <c r="A1269" t="str">
        <f ca="1">IFERROR(__xludf.DUMMYFUNCTION("""COMPUTED_VALUE"""),"Pernik")</f>
        <v>Pernik</v>
      </c>
      <c r="B1269" t="str">
        <f ca="1">IFERROR(__xludf.DUMMYFUNCTION("""COMPUTED_VALUE"""),"BG414")</f>
        <v>BG414</v>
      </c>
    </row>
    <row r="1270" spans="1:2" ht="12.5" x14ac:dyDescent="0.25">
      <c r="A1270" t="str">
        <f ca="1">IFERROR(__xludf.DUMMYFUNCTION("""COMPUTED_VALUE"""),"Perth &amp; Kinross And Stirling")</f>
        <v>Perth &amp; Kinross And Stirling</v>
      </c>
      <c r="B1270" t="str">
        <f ca="1">IFERROR(__xludf.DUMMYFUNCTION("""COMPUTED_VALUE"""),"UKM27")</f>
        <v>UKM27</v>
      </c>
    </row>
    <row r="1271" spans="1:2" ht="12.5" x14ac:dyDescent="0.25">
      <c r="A1271" t="str">
        <f ca="1">IFERROR(__xludf.DUMMYFUNCTION("""COMPUTED_VALUE"""),"Perugia")</f>
        <v>Perugia</v>
      </c>
      <c r="B1271" t="str">
        <f ca="1">IFERROR(__xludf.DUMMYFUNCTION("""COMPUTED_VALUE"""),"ITE21")</f>
        <v>ITE21</v>
      </c>
    </row>
    <row r="1272" spans="1:2" ht="12.5" x14ac:dyDescent="0.25">
      <c r="A1272" t="str">
        <f ca="1">IFERROR(__xludf.DUMMYFUNCTION("""COMPUTED_VALUE"""),"Pesaro E Urbino")</f>
        <v>Pesaro E Urbino</v>
      </c>
      <c r="B1272" t="str">
        <f ca="1">IFERROR(__xludf.DUMMYFUNCTION("""COMPUTED_VALUE"""),"ITE31")</f>
        <v>ITE31</v>
      </c>
    </row>
    <row r="1273" spans="1:2" ht="12.5" x14ac:dyDescent="0.25">
      <c r="A1273" t="str">
        <f ca="1">IFERROR(__xludf.DUMMYFUNCTION("""COMPUTED_VALUE"""),"Pescara")</f>
        <v>Pescara</v>
      </c>
      <c r="B1273" t="str">
        <f ca="1">IFERROR(__xludf.DUMMYFUNCTION("""COMPUTED_VALUE"""),"ITF13")</f>
        <v>ITF13</v>
      </c>
    </row>
    <row r="1274" spans="1:2" ht="12.5" x14ac:dyDescent="0.25">
      <c r="A1274" t="str">
        <f ca="1">IFERROR(__xludf.DUMMYFUNCTION("""COMPUTED_VALUE"""),"Pest")</f>
        <v>Pest</v>
      </c>
      <c r="B1274" t="str">
        <f ca="1">IFERROR(__xludf.DUMMYFUNCTION("""COMPUTED_VALUE"""),"HU102")</f>
        <v>HU102</v>
      </c>
    </row>
    <row r="1275" spans="1:2" ht="12.5" x14ac:dyDescent="0.25">
      <c r="A1275" t="str">
        <f ca="1">IFERROR(__xludf.DUMMYFUNCTION("""COMPUTED_VALUE"""),"Peterborough")</f>
        <v>Peterborough</v>
      </c>
      <c r="B1275" t="str">
        <f ca="1">IFERROR(__xludf.DUMMYFUNCTION("""COMPUTED_VALUE"""),"UKH11")</f>
        <v>UKH11</v>
      </c>
    </row>
    <row r="1276" spans="1:2" ht="12.5" x14ac:dyDescent="0.25">
      <c r="A1276" t="str">
        <f ca="1">IFERROR(__xludf.DUMMYFUNCTION("""COMPUTED_VALUE"""),"Pfaffenhofen A. D. Ilm")</f>
        <v>Pfaffenhofen A. D. Ilm</v>
      </c>
      <c r="B1276" t="str">
        <f ca="1">IFERROR(__xludf.DUMMYFUNCTION("""COMPUTED_VALUE"""),"DE21J")</f>
        <v>DE21J</v>
      </c>
    </row>
    <row r="1277" spans="1:2" ht="12.5" x14ac:dyDescent="0.25">
      <c r="A1277" t="str">
        <f ca="1">IFERROR(__xludf.DUMMYFUNCTION("""COMPUTED_VALUE"""),"Pforzheim, Stadtkreis")</f>
        <v>Pforzheim, Stadtkreis</v>
      </c>
      <c r="B1277" t="str">
        <f ca="1">IFERROR(__xludf.DUMMYFUNCTION("""COMPUTED_VALUE"""),"DE129")</f>
        <v>DE129</v>
      </c>
    </row>
    <row r="1278" spans="1:2" ht="12.5" x14ac:dyDescent="0.25">
      <c r="A1278" t="str">
        <f ca="1">IFERROR(__xludf.DUMMYFUNCTION("""COMPUTED_VALUE"""),"Piacenza")</f>
        <v>Piacenza</v>
      </c>
      <c r="B1278" t="str">
        <f ca="1">IFERROR(__xludf.DUMMYFUNCTION("""COMPUTED_VALUE"""),"ITD51")</f>
        <v>ITD51</v>
      </c>
    </row>
    <row r="1279" spans="1:2" ht="12.5" x14ac:dyDescent="0.25">
      <c r="A1279" t="str">
        <f ca="1">IFERROR(__xludf.DUMMYFUNCTION("""COMPUTED_VALUE"""),"Picardie")</f>
        <v>Picardie</v>
      </c>
      <c r="B1279" t="str">
        <f ca="1">IFERROR(__xludf.DUMMYFUNCTION("""COMPUTED_VALUE"""),"FR22")</f>
        <v>FR22</v>
      </c>
    </row>
    <row r="1280" spans="1:2" ht="12.5" x14ac:dyDescent="0.25">
      <c r="A1280" t="str">
        <f ca="1">IFERROR(__xludf.DUMMYFUNCTION("""COMPUTED_VALUE"""),"Piemonte")</f>
        <v>Piemonte</v>
      </c>
      <c r="B1280" t="str">
        <f ca="1">IFERROR(__xludf.DUMMYFUNCTION("""COMPUTED_VALUE"""),"ITC1")</f>
        <v>ITC1</v>
      </c>
    </row>
    <row r="1281" spans="1:2" ht="12.5" x14ac:dyDescent="0.25">
      <c r="A1281" t="str">
        <f ca="1">IFERROR(__xludf.DUMMYFUNCTION("""COMPUTED_VALUE"""),"Pieria")</f>
        <v>Pieria</v>
      </c>
      <c r="B1281" t="str">
        <f ca="1">IFERROR(__xludf.DUMMYFUNCTION("""COMPUTED_VALUE"""),"GR125")</f>
        <v>GR125</v>
      </c>
    </row>
    <row r="1282" spans="1:2" ht="12.5" x14ac:dyDescent="0.25">
      <c r="A1282" t="str">
        <f ca="1">IFERROR(__xludf.DUMMYFUNCTION("""COMPUTED_VALUE"""),"Pieriga")</f>
        <v>Pieriga</v>
      </c>
      <c r="B1282" t="str">
        <f ca="1">IFERROR(__xludf.DUMMYFUNCTION("""COMPUTED_VALUE"""),"LV007")</f>
        <v>LV007</v>
      </c>
    </row>
    <row r="1283" spans="1:2" ht="12.5" x14ac:dyDescent="0.25">
      <c r="A1283" t="str">
        <f ca="1">IFERROR(__xludf.DUMMYFUNCTION("""COMPUTED_VALUE"""),"Pilski")</f>
        <v>Pilski</v>
      </c>
      <c r="B1283" t="str">
        <f ca="1">IFERROR(__xludf.DUMMYFUNCTION("""COMPUTED_VALUE"""),"PL411")</f>
        <v>PL411</v>
      </c>
    </row>
    <row r="1284" spans="1:2" ht="12.5" x14ac:dyDescent="0.25">
      <c r="A1284" t="str">
        <f ca="1">IFERROR(__xludf.DUMMYFUNCTION("""COMPUTED_VALUE"""),"Pinhal Interior Norte")</f>
        <v>Pinhal Interior Norte</v>
      </c>
      <c r="B1284" t="str">
        <f ca="1">IFERROR(__xludf.DUMMYFUNCTION("""COMPUTED_VALUE"""),"PT164")</f>
        <v>PT164</v>
      </c>
    </row>
    <row r="1285" spans="1:2" ht="12.5" x14ac:dyDescent="0.25">
      <c r="A1285" t="str">
        <f ca="1">IFERROR(__xludf.DUMMYFUNCTION("""COMPUTED_VALUE"""),"Pinhal Interior Sul")</f>
        <v>Pinhal Interior Sul</v>
      </c>
      <c r="B1285" t="str">
        <f ca="1">IFERROR(__xludf.DUMMYFUNCTION("""COMPUTED_VALUE"""),"PT166")</f>
        <v>PT166</v>
      </c>
    </row>
    <row r="1286" spans="1:2" ht="12.5" x14ac:dyDescent="0.25">
      <c r="A1286" t="str">
        <f ca="1">IFERROR(__xludf.DUMMYFUNCTION("""COMPUTED_VALUE"""),"Pinhal Litoral")</f>
        <v>Pinhal Litoral</v>
      </c>
      <c r="B1286" t="str">
        <f ca="1">IFERROR(__xludf.DUMMYFUNCTION("""COMPUTED_VALUE"""),"PT163")</f>
        <v>PT163</v>
      </c>
    </row>
    <row r="1287" spans="1:2" ht="12.5" x14ac:dyDescent="0.25">
      <c r="A1287" t="str">
        <f ca="1">IFERROR(__xludf.DUMMYFUNCTION("""COMPUTED_VALUE"""),"Pinneberg")</f>
        <v>Pinneberg</v>
      </c>
      <c r="B1287" t="str">
        <f ca="1">IFERROR(__xludf.DUMMYFUNCTION("""COMPUTED_VALUE"""),"DEF09")</f>
        <v>DEF09</v>
      </c>
    </row>
    <row r="1288" spans="1:2" ht="12.5" x14ac:dyDescent="0.25">
      <c r="A1288" t="str">
        <f ca="1">IFERROR(__xludf.DUMMYFUNCTION("""COMPUTED_VALUE"""),"Pinzgau-Pongau")</f>
        <v>Pinzgau-Pongau</v>
      </c>
      <c r="B1288" t="str">
        <f ca="1">IFERROR(__xludf.DUMMYFUNCTION("""COMPUTED_VALUE"""),"AT322")</f>
        <v>AT322</v>
      </c>
    </row>
    <row r="1289" spans="1:2" ht="12.5" x14ac:dyDescent="0.25">
      <c r="A1289" t="str">
        <f ca="1">IFERROR(__xludf.DUMMYFUNCTION("""COMPUTED_VALUE"""),"Piotrkowski")</f>
        <v>Piotrkowski</v>
      </c>
      <c r="B1289" t="str">
        <f ca="1">IFERROR(__xludf.DUMMYFUNCTION("""COMPUTED_VALUE"""),"PL115")</f>
        <v>PL115</v>
      </c>
    </row>
    <row r="1290" spans="1:2" ht="12.5" x14ac:dyDescent="0.25">
      <c r="A1290" t="str">
        <f ca="1">IFERROR(__xludf.DUMMYFUNCTION("""COMPUTED_VALUE"""),"Pirkanmaa")</f>
        <v>Pirkanmaa</v>
      </c>
      <c r="B1290" t="str">
        <f ca="1">IFERROR(__xludf.DUMMYFUNCTION("""COMPUTED_VALUE"""),"FI197")</f>
        <v>FI197</v>
      </c>
    </row>
    <row r="1291" spans="1:2" ht="12.5" x14ac:dyDescent="0.25">
      <c r="A1291" t="str">
        <f ca="1">IFERROR(__xludf.DUMMYFUNCTION("""COMPUTED_VALUE"""),"Pirmasens, Kreisfreie Stadt")</f>
        <v>Pirmasens, Kreisfreie Stadt</v>
      </c>
      <c r="B1291" t="str">
        <f ca="1">IFERROR(__xludf.DUMMYFUNCTION("""COMPUTED_VALUE"""),"DEB37")</f>
        <v>DEB37</v>
      </c>
    </row>
    <row r="1292" spans="1:2" ht="12.5" x14ac:dyDescent="0.25">
      <c r="A1292" t="str">
        <f ca="1">IFERROR(__xludf.DUMMYFUNCTION("""COMPUTED_VALUE"""),"Pisa")</f>
        <v>Pisa</v>
      </c>
      <c r="B1292" t="str">
        <f ca="1">IFERROR(__xludf.DUMMYFUNCTION("""COMPUTED_VALUE"""),"ITE17")</f>
        <v>ITE17</v>
      </c>
    </row>
    <row r="1293" spans="1:2" ht="12.5" x14ac:dyDescent="0.25">
      <c r="A1293" t="str">
        <f ca="1">IFERROR(__xludf.DUMMYFUNCTION("""COMPUTED_VALUE"""),"Pistoia")</f>
        <v>Pistoia</v>
      </c>
      <c r="B1293" t="str">
        <f ca="1">IFERROR(__xludf.DUMMYFUNCTION("""COMPUTED_VALUE"""),"ITE13")</f>
        <v>ITE13</v>
      </c>
    </row>
    <row r="1294" spans="1:2" ht="12.5" x14ac:dyDescent="0.25">
      <c r="A1294" t="str">
        <f ca="1">IFERROR(__xludf.DUMMYFUNCTION("""COMPUTED_VALUE"""),"Plauen, Kreisfreie Stadt")</f>
        <v>Plauen, Kreisfreie Stadt</v>
      </c>
      <c r="B1294" t="str">
        <f ca="1">IFERROR(__xludf.DUMMYFUNCTION("""COMPUTED_VALUE"""),"DED12")</f>
        <v>DED12</v>
      </c>
    </row>
    <row r="1295" spans="1:2" ht="12.5" x14ac:dyDescent="0.25">
      <c r="A1295" t="str">
        <f ca="1">IFERROR(__xludf.DUMMYFUNCTION("""COMPUTED_VALUE"""),"Pleven")</f>
        <v>Pleven</v>
      </c>
      <c r="B1295" t="str">
        <f ca="1">IFERROR(__xludf.DUMMYFUNCTION("""COMPUTED_VALUE"""),"BG314")</f>
        <v>BG314</v>
      </c>
    </row>
    <row r="1296" spans="1:2" ht="12.5" x14ac:dyDescent="0.25">
      <c r="A1296" t="str">
        <f ca="1">IFERROR(__xludf.DUMMYFUNCTION("""COMPUTED_VALUE"""),"Plön")</f>
        <v>Plön</v>
      </c>
      <c r="B1296" t="str">
        <f ca="1">IFERROR(__xludf.DUMMYFUNCTION("""COMPUTED_VALUE"""),"DEF0A")</f>
        <v>DEF0A</v>
      </c>
    </row>
    <row r="1297" spans="1:2" ht="12.5" x14ac:dyDescent="0.25">
      <c r="A1297" t="str">
        <f ca="1">IFERROR(__xludf.DUMMYFUNCTION("""COMPUTED_VALUE"""),"Plovdiv")</f>
        <v>Plovdiv</v>
      </c>
      <c r="B1297" t="str">
        <f ca="1">IFERROR(__xludf.DUMMYFUNCTION("""COMPUTED_VALUE"""),"BG421")</f>
        <v>BG421</v>
      </c>
    </row>
    <row r="1298" spans="1:2" ht="12.5" x14ac:dyDescent="0.25">
      <c r="A1298" t="str">
        <f ca="1">IFERROR(__xludf.DUMMYFUNCTION("""COMPUTED_VALUE"""),"Plymouth")</f>
        <v>Plymouth</v>
      </c>
      <c r="B1298" t="str">
        <f ca="1">IFERROR(__xludf.DUMMYFUNCTION("""COMPUTED_VALUE"""),"UKK41")</f>
        <v>UKK41</v>
      </c>
    </row>
    <row r="1299" spans="1:2" ht="12.5" x14ac:dyDescent="0.25">
      <c r="A1299" t="str">
        <f ca="1">IFERROR(__xludf.DUMMYFUNCTION("""COMPUTED_VALUE"""),"Plzensky Kraj")</f>
        <v>Plzensky Kraj</v>
      </c>
      <c r="B1299" t="str">
        <f ca="1">IFERROR(__xludf.DUMMYFUNCTION("""COMPUTED_VALUE"""),"CZ032")</f>
        <v>CZ032</v>
      </c>
    </row>
    <row r="1300" spans="1:2" ht="12.5" x14ac:dyDescent="0.25">
      <c r="A1300" t="str">
        <f ca="1">IFERROR(__xludf.DUMMYFUNCTION("""COMPUTED_VALUE"""),"Podkarpackie")</f>
        <v>Podkarpackie</v>
      </c>
      <c r="B1300" t="str">
        <f ca="1">IFERROR(__xludf.DUMMYFUNCTION("""COMPUTED_VALUE"""),"PL32")</f>
        <v>PL32</v>
      </c>
    </row>
    <row r="1301" spans="1:2" ht="12.5" x14ac:dyDescent="0.25">
      <c r="A1301" t="str">
        <f ca="1">IFERROR(__xludf.DUMMYFUNCTION("""COMPUTED_VALUE"""),"Podlaskie")</f>
        <v>Podlaskie</v>
      </c>
      <c r="B1301" t="str">
        <f ca="1">IFERROR(__xludf.DUMMYFUNCTION("""COMPUTED_VALUE"""),"PL34")</f>
        <v>PL34</v>
      </c>
    </row>
    <row r="1302" spans="1:2" ht="12.5" x14ac:dyDescent="0.25">
      <c r="A1302" t="str">
        <f ca="1">IFERROR(__xludf.DUMMYFUNCTION("""COMPUTED_VALUE"""),"Podravska")</f>
        <v>Podravska</v>
      </c>
      <c r="B1302" t="str">
        <f ca="1">IFERROR(__xludf.DUMMYFUNCTION("""COMPUTED_VALUE"""),"SI012")</f>
        <v>SI012</v>
      </c>
    </row>
    <row r="1303" spans="1:2" ht="12.5" x14ac:dyDescent="0.25">
      <c r="A1303" t="str">
        <f ca="1">IFERROR(__xludf.DUMMYFUNCTION("""COMPUTED_VALUE"""),"Põhja-Eesti")</f>
        <v>Põhja-Eesti</v>
      </c>
      <c r="B1303" t="str">
        <f ca="1">IFERROR(__xludf.DUMMYFUNCTION("""COMPUTED_VALUE"""),"EE001")</f>
        <v>EE001</v>
      </c>
    </row>
    <row r="1304" spans="1:2" ht="12.5" x14ac:dyDescent="0.25">
      <c r="A1304" t="str">
        <f ca="1">IFERROR(__xludf.DUMMYFUNCTION("""COMPUTED_VALUE"""),"Pohjanmaa")</f>
        <v>Pohjanmaa</v>
      </c>
      <c r="B1304" t="str">
        <f ca="1">IFERROR(__xludf.DUMMYFUNCTION("""COMPUTED_VALUE"""),"FI195")</f>
        <v>FI195</v>
      </c>
    </row>
    <row r="1305" spans="1:2" ht="12.5" x14ac:dyDescent="0.25">
      <c r="A1305" t="str">
        <f ca="1">IFERROR(__xludf.DUMMYFUNCTION("""COMPUTED_VALUE"""),"Pohjois-Karjala")</f>
        <v>Pohjois-Karjala</v>
      </c>
      <c r="B1305" t="str">
        <f ca="1">IFERROR(__xludf.DUMMYFUNCTION("""COMPUTED_VALUE"""),"FI133")</f>
        <v>FI133</v>
      </c>
    </row>
    <row r="1306" spans="1:2" ht="12.5" x14ac:dyDescent="0.25">
      <c r="A1306" t="str">
        <f ca="1">IFERROR(__xludf.DUMMYFUNCTION("""COMPUTED_VALUE"""),"Pohjois-Pohjanmaa")</f>
        <v>Pohjois-Pohjanmaa</v>
      </c>
      <c r="B1306" t="str">
        <f ca="1">IFERROR(__xludf.DUMMYFUNCTION("""COMPUTED_VALUE"""),"FI1A2")</f>
        <v>FI1A2</v>
      </c>
    </row>
    <row r="1307" spans="1:2" ht="12.5" x14ac:dyDescent="0.25">
      <c r="A1307" t="str">
        <f ca="1">IFERROR(__xludf.DUMMYFUNCTION("""COMPUTED_VALUE"""),"Pohjois-Savo")</f>
        <v>Pohjois-Savo</v>
      </c>
      <c r="B1307" t="str">
        <f ca="1">IFERROR(__xludf.DUMMYFUNCTION("""COMPUTED_VALUE"""),"FI132")</f>
        <v>FI132</v>
      </c>
    </row>
    <row r="1308" spans="1:2" ht="12.5" x14ac:dyDescent="0.25">
      <c r="A1308" t="str">
        <f ca="1">IFERROR(__xludf.DUMMYFUNCTION("""COMPUTED_VALUE"""),"Pohjois-Suomi")</f>
        <v>Pohjois-Suomi</v>
      </c>
      <c r="B1308" t="str">
        <f ca="1">IFERROR(__xludf.DUMMYFUNCTION("""COMPUTED_VALUE"""),"FI1A")</f>
        <v>FI1A</v>
      </c>
    </row>
    <row r="1309" spans="1:2" ht="12.5" x14ac:dyDescent="0.25">
      <c r="A1309" t="str">
        <f ca="1">IFERROR(__xludf.DUMMYFUNCTION("""COMPUTED_VALUE"""),"Poitou-Charentes")</f>
        <v>Poitou-Charentes</v>
      </c>
      <c r="B1309" t="str">
        <f ca="1">IFERROR(__xludf.DUMMYFUNCTION("""COMPUTED_VALUE"""),"FR53")</f>
        <v>FR53</v>
      </c>
    </row>
    <row r="1310" spans="1:2" ht="12.5" x14ac:dyDescent="0.25">
      <c r="A1310" t="str">
        <f ca="1">IFERROR(__xludf.DUMMYFUNCTION("""COMPUTED_VALUE"""),"Polska")</f>
        <v>Polska</v>
      </c>
      <c r="B1310" t="str">
        <f ca="1">IFERROR(__xludf.DUMMYFUNCTION("""COMPUTED_VALUE"""),"PL")</f>
        <v>PL</v>
      </c>
    </row>
    <row r="1311" spans="1:2" ht="12.5" x14ac:dyDescent="0.25">
      <c r="A1311" t="str">
        <f ca="1">IFERROR(__xludf.DUMMYFUNCTION("""COMPUTED_VALUE"""),"Pomorskie")</f>
        <v>Pomorskie</v>
      </c>
      <c r="B1311" t="str">
        <f ca="1">IFERROR(__xludf.DUMMYFUNCTION("""COMPUTED_VALUE"""),"PL63")</f>
        <v>PL63</v>
      </c>
    </row>
    <row r="1312" spans="1:2" ht="12.5" x14ac:dyDescent="0.25">
      <c r="A1312" t="str">
        <f ca="1">IFERROR(__xludf.DUMMYFUNCTION("""COMPUTED_VALUE"""),"Pomurska")</f>
        <v>Pomurska</v>
      </c>
      <c r="B1312" t="str">
        <f ca="1">IFERROR(__xludf.DUMMYFUNCTION("""COMPUTED_VALUE"""),"SI011")</f>
        <v>SI011</v>
      </c>
    </row>
    <row r="1313" spans="1:2" ht="12.5" x14ac:dyDescent="0.25">
      <c r="A1313" t="str">
        <f ca="1">IFERROR(__xludf.DUMMYFUNCTION("""COMPUTED_VALUE"""),"Pontevedra")</f>
        <v>Pontevedra</v>
      </c>
      <c r="B1313" t="str">
        <f ca="1">IFERROR(__xludf.DUMMYFUNCTION("""COMPUTED_VALUE"""),"ES114")</f>
        <v>ES114</v>
      </c>
    </row>
    <row r="1314" spans="1:2" ht="12.5" x14ac:dyDescent="0.25">
      <c r="A1314" t="str">
        <f ca="1">IFERROR(__xludf.DUMMYFUNCTION("""COMPUTED_VALUE"""),"Pordenone")</f>
        <v>Pordenone</v>
      </c>
      <c r="B1314" t="str">
        <f ca="1">IFERROR(__xludf.DUMMYFUNCTION("""COMPUTED_VALUE"""),"ITD41")</f>
        <v>ITD41</v>
      </c>
    </row>
    <row r="1315" spans="1:2" ht="12.5" x14ac:dyDescent="0.25">
      <c r="A1315" t="str">
        <f ca="1">IFERROR(__xludf.DUMMYFUNCTION("""COMPUTED_VALUE"""),"Portsmouth")</f>
        <v>Portsmouth</v>
      </c>
      <c r="B1315" t="str">
        <f ca="1">IFERROR(__xludf.DUMMYFUNCTION("""COMPUTED_VALUE"""),"UKJ31")</f>
        <v>UKJ31</v>
      </c>
    </row>
    <row r="1316" spans="1:2" ht="12.5" x14ac:dyDescent="0.25">
      <c r="A1316" t="str">
        <f ca="1">IFERROR(__xludf.DUMMYFUNCTION("""COMPUTED_VALUE"""),"Portugal")</f>
        <v>Portugal</v>
      </c>
      <c r="B1316" t="str">
        <f ca="1">IFERROR(__xludf.DUMMYFUNCTION("""COMPUTED_VALUE"""),"PT")</f>
        <v>PT</v>
      </c>
    </row>
    <row r="1317" spans="1:2" ht="12.5" x14ac:dyDescent="0.25">
      <c r="A1317" t="str">
        <f ca="1">IFERROR(__xludf.DUMMYFUNCTION("""COMPUTED_VALUE"""),"Potenza")</f>
        <v>Potenza</v>
      </c>
      <c r="B1317" t="str">
        <f ca="1">IFERROR(__xludf.DUMMYFUNCTION("""COMPUTED_VALUE"""),"ITF51")</f>
        <v>ITF51</v>
      </c>
    </row>
    <row r="1318" spans="1:2" ht="12.5" x14ac:dyDescent="0.25">
      <c r="A1318" t="str">
        <f ca="1">IFERROR(__xludf.DUMMYFUNCTION("""COMPUTED_VALUE"""),"Potsdam-Mittelmark")</f>
        <v>Potsdam-Mittelmark</v>
      </c>
      <c r="B1318" t="str">
        <f ca="1">IFERROR(__xludf.DUMMYFUNCTION("""COMPUTED_VALUE"""),"DE428")</f>
        <v>DE428</v>
      </c>
    </row>
    <row r="1319" spans="1:2" ht="12.5" x14ac:dyDescent="0.25">
      <c r="A1319" t="str">
        <f ca="1">IFERROR(__xludf.DUMMYFUNCTION("""COMPUTED_VALUE"""),"Potsdam, Kreisfreie Stadt")</f>
        <v>Potsdam, Kreisfreie Stadt</v>
      </c>
      <c r="B1319" t="str">
        <f ca="1">IFERROR(__xludf.DUMMYFUNCTION("""COMPUTED_VALUE"""),"DE423")</f>
        <v>DE423</v>
      </c>
    </row>
    <row r="1320" spans="1:2" ht="12.5" x14ac:dyDescent="0.25">
      <c r="A1320" t="str">
        <f ca="1">IFERROR(__xludf.DUMMYFUNCTION("""COMPUTED_VALUE"""),"Powys")</f>
        <v>Powys</v>
      </c>
      <c r="B1320" t="str">
        <f ca="1">IFERROR(__xludf.DUMMYFUNCTION("""COMPUTED_VALUE"""),"UKL24")</f>
        <v>UKL24</v>
      </c>
    </row>
    <row r="1321" spans="1:2" ht="12.5" x14ac:dyDescent="0.25">
      <c r="A1321" t="str">
        <f ca="1">IFERROR(__xludf.DUMMYFUNCTION("""COMPUTED_VALUE"""),"Poznanski")</f>
        <v>Poznanski</v>
      </c>
      <c r="B1321" t="str">
        <f ca="1">IFERROR(__xludf.DUMMYFUNCTION("""COMPUTED_VALUE"""),"PL418")</f>
        <v>PL418</v>
      </c>
    </row>
    <row r="1322" spans="1:2" ht="12.5" x14ac:dyDescent="0.25">
      <c r="A1322" t="str">
        <f ca="1">IFERROR(__xludf.DUMMYFUNCTION("""COMPUTED_VALUE"""),"Praha")</f>
        <v>Praha</v>
      </c>
      <c r="B1322" t="str">
        <f ca="1">IFERROR(__xludf.DUMMYFUNCTION("""COMPUTED_VALUE"""),"CZ01")</f>
        <v>CZ01</v>
      </c>
    </row>
    <row r="1323" spans="1:2" ht="12.5" x14ac:dyDescent="0.25">
      <c r="A1323" t="str">
        <f ca="1">IFERROR(__xludf.DUMMYFUNCTION("""COMPUTED_VALUE"""),"Prahova")</f>
        <v>Prahova</v>
      </c>
      <c r="B1323" t="str">
        <f ca="1">IFERROR(__xludf.DUMMYFUNCTION("""COMPUTED_VALUE"""),"RO316")</f>
        <v>RO316</v>
      </c>
    </row>
    <row r="1324" spans="1:2" ht="12.5" x14ac:dyDescent="0.25">
      <c r="A1324" t="str">
        <f ca="1">IFERROR(__xludf.DUMMYFUNCTION("""COMPUTED_VALUE"""),"Prato")</f>
        <v>Prato</v>
      </c>
      <c r="B1324" t="str">
        <f ca="1">IFERROR(__xludf.DUMMYFUNCTION("""COMPUTED_VALUE"""),"ITE15")</f>
        <v>ITE15</v>
      </c>
    </row>
    <row r="1325" spans="1:2" ht="12.5" x14ac:dyDescent="0.25">
      <c r="A1325" t="str">
        <f ca="1">IFERROR(__xludf.DUMMYFUNCTION("""COMPUTED_VALUE"""),"Presovsky Kraj")</f>
        <v>Presovsky Kraj</v>
      </c>
      <c r="B1325" t="str">
        <f ca="1">IFERROR(__xludf.DUMMYFUNCTION("""COMPUTED_VALUE"""),"SK041")</f>
        <v>SK041</v>
      </c>
    </row>
    <row r="1326" spans="1:2" ht="12.5" x14ac:dyDescent="0.25">
      <c r="A1326" t="str">
        <f ca="1">IFERROR(__xludf.DUMMYFUNCTION("""COMPUTED_VALUE"""),"Preveza")</f>
        <v>Preveza</v>
      </c>
      <c r="B1326" t="str">
        <f ca="1">IFERROR(__xludf.DUMMYFUNCTION("""COMPUTED_VALUE"""),"GR214")</f>
        <v>GR214</v>
      </c>
    </row>
    <row r="1327" spans="1:2" ht="12.5" x14ac:dyDescent="0.25">
      <c r="A1327" t="str">
        <f ca="1">IFERROR(__xludf.DUMMYFUNCTION("""COMPUTED_VALUE"""),"Prignitz")</f>
        <v>Prignitz</v>
      </c>
      <c r="B1327" t="str">
        <f ca="1">IFERROR(__xludf.DUMMYFUNCTION("""COMPUTED_VALUE"""),"DE417")</f>
        <v>DE417</v>
      </c>
    </row>
    <row r="1328" spans="1:2" ht="12.5" x14ac:dyDescent="0.25">
      <c r="A1328" t="str">
        <f ca="1">IFERROR(__xludf.DUMMYFUNCTION("""COMPUTED_VALUE"""),"Principado De Asturias")</f>
        <v>Principado De Asturias</v>
      </c>
      <c r="B1328" t="str">
        <f ca="1">IFERROR(__xludf.DUMMYFUNCTION("""COMPUTED_VALUE"""),"ES12")</f>
        <v>ES12</v>
      </c>
    </row>
    <row r="1329" spans="1:2" ht="12.5" x14ac:dyDescent="0.25">
      <c r="A1329" t="str">
        <f ca="1">IFERROR(__xludf.DUMMYFUNCTION("""COMPUTED_VALUE"""),"Prov. Antwerpen")</f>
        <v>Prov. Antwerpen</v>
      </c>
      <c r="B1329" t="str">
        <f ca="1">IFERROR(__xludf.DUMMYFUNCTION("""COMPUTED_VALUE"""),"BE21")</f>
        <v>BE21</v>
      </c>
    </row>
    <row r="1330" spans="1:2" ht="12.5" x14ac:dyDescent="0.25">
      <c r="A1330" t="str">
        <f ca="1">IFERROR(__xludf.DUMMYFUNCTION("""COMPUTED_VALUE"""),"Prov. Brabant Wallon")</f>
        <v>Prov. Brabant Wallon</v>
      </c>
      <c r="B1330" t="str">
        <f ca="1">IFERROR(__xludf.DUMMYFUNCTION("""COMPUTED_VALUE"""),"BE31")</f>
        <v>BE31</v>
      </c>
    </row>
    <row r="1331" spans="1:2" ht="12.5" x14ac:dyDescent="0.25">
      <c r="A1331" t="str">
        <f ca="1">IFERROR(__xludf.DUMMYFUNCTION("""COMPUTED_VALUE"""),"Prov. Hainaut")</f>
        <v>Prov. Hainaut</v>
      </c>
      <c r="B1331" t="str">
        <f ca="1">IFERROR(__xludf.DUMMYFUNCTION("""COMPUTED_VALUE"""),"BE32")</f>
        <v>BE32</v>
      </c>
    </row>
    <row r="1332" spans="1:2" ht="12.5" x14ac:dyDescent="0.25">
      <c r="A1332" t="str">
        <f ca="1">IFERROR(__xludf.DUMMYFUNCTION("""COMPUTED_VALUE"""),"Prov. Liège")</f>
        <v>Prov. Liège</v>
      </c>
      <c r="B1332" t="str">
        <f ca="1">IFERROR(__xludf.DUMMYFUNCTION("""COMPUTED_VALUE"""),"BE33")</f>
        <v>BE33</v>
      </c>
    </row>
    <row r="1333" spans="1:2" ht="12.5" x14ac:dyDescent="0.25">
      <c r="A1333" t="str">
        <f ca="1">IFERROR(__xludf.DUMMYFUNCTION("""COMPUTED_VALUE"""),"Prov. Limburg (B)")</f>
        <v>Prov. Limburg (B)</v>
      </c>
      <c r="B1333" t="str">
        <f ca="1">IFERROR(__xludf.DUMMYFUNCTION("""COMPUTED_VALUE"""),"BE22")</f>
        <v>BE22</v>
      </c>
    </row>
    <row r="1334" spans="1:2" ht="12.5" x14ac:dyDescent="0.25">
      <c r="A1334" t="str">
        <f ca="1">IFERROR(__xludf.DUMMYFUNCTION("""COMPUTED_VALUE"""),"Prov. Luxembourg (B)")</f>
        <v>Prov. Luxembourg (B)</v>
      </c>
      <c r="B1334" t="str">
        <f ca="1">IFERROR(__xludf.DUMMYFUNCTION("""COMPUTED_VALUE"""),"BE34")</f>
        <v>BE34</v>
      </c>
    </row>
    <row r="1335" spans="1:2" ht="12.5" x14ac:dyDescent="0.25">
      <c r="A1335" t="str">
        <f ca="1">IFERROR(__xludf.DUMMYFUNCTION("""COMPUTED_VALUE"""),"Prov. Namur")</f>
        <v>Prov. Namur</v>
      </c>
      <c r="B1335" t="str">
        <f ca="1">IFERROR(__xludf.DUMMYFUNCTION("""COMPUTED_VALUE"""),"BE35")</f>
        <v>BE35</v>
      </c>
    </row>
    <row r="1336" spans="1:2" ht="12.5" x14ac:dyDescent="0.25">
      <c r="A1336" t="str">
        <f ca="1">IFERROR(__xludf.DUMMYFUNCTION("""COMPUTED_VALUE"""),"Prov. Oost-Vlaanderen")</f>
        <v>Prov. Oost-Vlaanderen</v>
      </c>
      <c r="B1336" t="str">
        <f ca="1">IFERROR(__xludf.DUMMYFUNCTION("""COMPUTED_VALUE"""),"BE23")</f>
        <v>BE23</v>
      </c>
    </row>
    <row r="1337" spans="1:2" ht="12.5" x14ac:dyDescent="0.25">
      <c r="A1337" t="str">
        <f ca="1">IFERROR(__xludf.DUMMYFUNCTION("""COMPUTED_VALUE"""),"Prov. Vlaams-Brabant")</f>
        <v>Prov. Vlaams-Brabant</v>
      </c>
      <c r="B1337" t="str">
        <f ca="1">IFERROR(__xludf.DUMMYFUNCTION("""COMPUTED_VALUE"""),"BE24")</f>
        <v>BE24</v>
      </c>
    </row>
    <row r="1338" spans="1:2" ht="12.5" x14ac:dyDescent="0.25">
      <c r="A1338" t="str">
        <f ca="1">IFERROR(__xludf.DUMMYFUNCTION("""COMPUTED_VALUE"""),"Prov. West-Vlaanderen")</f>
        <v>Prov. West-Vlaanderen</v>
      </c>
      <c r="B1338" t="str">
        <f ca="1">IFERROR(__xludf.DUMMYFUNCTION("""COMPUTED_VALUE"""),"BE25")</f>
        <v>BE25</v>
      </c>
    </row>
    <row r="1339" spans="1:2" ht="12.5" x14ac:dyDescent="0.25">
      <c r="A1339" t="str">
        <f ca="1">IFERROR(__xludf.DUMMYFUNCTION("""COMPUTED_VALUE"""),"Provence-Alpes-Côte D'Azur")</f>
        <v>Provence-Alpes-Côte D'Azur</v>
      </c>
      <c r="B1339" t="str">
        <f ca="1">IFERROR(__xludf.DUMMYFUNCTION("""COMPUTED_VALUE"""),"FR82")</f>
        <v>FR82</v>
      </c>
    </row>
    <row r="1340" spans="1:2" ht="12.5" x14ac:dyDescent="0.25">
      <c r="A1340" t="str">
        <f ca="1">IFERROR(__xludf.DUMMYFUNCTION("""COMPUTED_VALUE"""),"Provincia Autonoma Bolzano-Bozen")</f>
        <v>Provincia Autonoma Bolzano-Bozen</v>
      </c>
      <c r="B1340" t="str">
        <f ca="1">IFERROR(__xludf.DUMMYFUNCTION("""COMPUTED_VALUE"""),"ITD1")</f>
        <v>ITD1</v>
      </c>
    </row>
    <row r="1341" spans="1:2" ht="12.5" x14ac:dyDescent="0.25">
      <c r="A1341" t="str">
        <f ca="1">IFERROR(__xludf.DUMMYFUNCTION("""COMPUTED_VALUE"""),"Provincia Autonoma Trento")</f>
        <v>Provincia Autonoma Trento</v>
      </c>
      <c r="B1341" t="str">
        <f ca="1">IFERROR(__xludf.DUMMYFUNCTION("""COMPUTED_VALUE"""),"ITD2")</f>
        <v>ITD2</v>
      </c>
    </row>
    <row r="1342" spans="1:2" ht="12.5" x14ac:dyDescent="0.25">
      <c r="A1342" t="str">
        <f ca="1">IFERROR(__xludf.DUMMYFUNCTION("""COMPUTED_VALUE"""),"Przemyski")</f>
        <v>Przemyski</v>
      </c>
      <c r="B1342" t="str">
        <f ca="1">IFERROR(__xludf.DUMMYFUNCTION("""COMPUTED_VALUE"""),"PL324")</f>
        <v>PL324</v>
      </c>
    </row>
    <row r="1343" spans="1:2" ht="12.5" x14ac:dyDescent="0.25">
      <c r="A1343" t="str">
        <f ca="1">IFERROR(__xludf.DUMMYFUNCTION("""COMPUTED_VALUE"""),"Puglia")</f>
        <v>Puglia</v>
      </c>
      <c r="B1343" t="str">
        <f ca="1">IFERROR(__xludf.DUMMYFUNCTION("""COMPUTED_VALUE"""),"ITF4")</f>
        <v>ITF4</v>
      </c>
    </row>
    <row r="1344" spans="1:2" ht="12.5" x14ac:dyDescent="0.25">
      <c r="A1344" t="str">
        <f ca="1">IFERROR(__xludf.DUMMYFUNCTION("""COMPUTED_VALUE"""),"Pulawski")</f>
        <v>Pulawski</v>
      </c>
      <c r="B1344" t="str">
        <f ca="1">IFERROR(__xludf.DUMMYFUNCTION("""COMPUTED_VALUE"""),"PL315")</f>
        <v>PL315</v>
      </c>
    </row>
    <row r="1345" spans="1:2" ht="12.5" x14ac:dyDescent="0.25">
      <c r="A1345" t="str">
        <f ca="1">IFERROR(__xludf.DUMMYFUNCTION("""COMPUTED_VALUE"""),"Puy-De-Dôme")</f>
        <v>Puy-De-Dôme</v>
      </c>
      <c r="B1345" t="str">
        <f ca="1">IFERROR(__xludf.DUMMYFUNCTION("""COMPUTED_VALUE"""),"FR724")</f>
        <v>FR724</v>
      </c>
    </row>
    <row r="1346" spans="1:2" ht="12.5" x14ac:dyDescent="0.25">
      <c r="A1346" t="str">
        <f ca="1">IFERROR(__xludf.DUMMYFUNCTION("""COMPUTED_VALUE"""),"Pyrénées-Atlantiques")</f>
        <v>Pyrénées-Atlantiques</v>
      </c>
      <c r="B1346" t="str">
        <f ca="1">IFERROR(__xludf.DUMMYFUNCTION("""COMPUTED_VALUE"""),"FR615")</f>
        <v>FR615</v>
      </c>
    </row>
    <row r="1347" spans="1:2" ht="12.5" x14ac:dyDescent="0.25">
      <c r="A1347" t="str">
        <f ca="1">IFERROR(__xludf.DUMMYFUNCTION("""COMPUTED_VALUE"""),"Pyrénées-Orientales")</f>
        <v>Pyrénées-Orientales</v>
      </c>
      <c r="B1347" t="str">
        <f ca="1">IFERROR(__xludf.DUMMYFUNCTION("""COMPUTED_VALUE"""),"FR815")</f>
        <v>FR815</v>
      </c>
    </row>
    <row r="1348" spans="1:2" ht="12.5" x14ac:dyDescent="0.25">
      <c r="A1348" t="str">
        <f ca="1">IFERROR(__xludf.DUMMYFUNCTION("""COMPUTED_VALUE"""),"Radomski")</f>
        <v>Radomski</v>
      </c>
      <c r="B1348" t="str">
        <f ca="1">IFERROR(__xludf.DUMMYFUNCTION("""COMPUTED_VALUE"""),"PL128")</f>
        <v>PL128</v>
      </c>
    </row>
    <row r="1349" spans="1:2" ht="12.5" x14ac:dyDescent="0.25">
      <c r="A1349" t="str">
        <f ca="1">IFERROR(__xludf.DUMMYFUNCTION("""COMPUTED_VALUE"""),"Ragusa")</f>
        <v>Ragusa</v>
      </c>
      <c r="B1349" t="str">
        <f ca="1">IFERROR(__xludf.DUMMYFUNCTION("""COMPUTED_VALUE"""),"ITG18")</f>
        <v>ITG18</v>
      </c>
    </row>
    <row r="1350" spans="1:2" ht="12.5" x14ac:dyDescent="0.25">
      <c r="A1350" t="str">
        <f ca="1">IFERROR(__xludf.DUMMYFUNCTION("""COMPUTED_VALUE"""),"Rastatt")</f>
        <v>Rastatt</v>
      </c>
      <c r="B1350" t="str">
        <f ca="1">IFERROR(__xludf.DUMMYFUNCTION("""COMPUTED_VALUE"""),"DE124")</f>
        <v>DE124</v>
      </c>
    </row>
    <row r="1351" spans="1:2" ht="12.5" x14ac:dyDescent="0.25">
      <c r="A1351" t="str">
        <f ca="1">IFERROR(__xludf.DUMMYFUNCTION("""COMPUTED_VALUE"""),"Ravenna")</f>
        <v>Ravenna</v>
      </c>
      <c r="B1351" t="str">
        <f ca="1">IFERROR(__xludf.DUMMYFUNCTION("""COMPUTED_VALUE"""),"ITD57")</f>
        <v>ITD57</v>
      </c>
    </row>
    <row r="1352" spans="1:2" ht="12.5" x14ac:dyDescent="0.25">
      <c r="A1352" t="str">
        <f ca="1">IFERROR(__xludf.DUMMYFUNCTION("""COMPUTED_VALUE"""),"Ravensburg")</f>
        <v>Ravensburg</v>
      </c>
      <c r="B1352" t="str">
        <f ca="1">IFERROR(__xludf.DUMMYFUNCTION("""COMPUTED_VALUE"""),"DE148")</f>
        <v>DE148</v>
      </c>
    </row>
    <row r="1353" spans="1:2" ht="12.5" x14ac:dyDescent="0.25">
      <c r="A1353" t="str">
        <f ca="1">IFERROR(__xludf.DUMMYFUNCTION("""COMPUTED_VALUE"""),"Razgrad")</f>
        <v>Razgrad</v>
      </c>
      <c r="B1353" t="str">
        <f ca="1">IFERROR(__xludf.DUMMYFUNCTION("""COMPUTED_VALUE"""),"BG324")</f>
        <v>BG324</v>
      </c>
    </row>
    <row r="1354" spans="1:2" ht="12.5" x14ac:dyDescent="0.25">
      <c r="A1354" t="str">
        <f ca="1">IFERROR(__xludf.DUMMYFUNCTION("""COMPUTED_VALUE"""),"Recklinghausen")</f>
        <v>Recklinghausen</v>
      </c>
      <c r="B1354" t="str">
        <f ca="1">IFERROR(__xludf.DUMMYFUNCTION("""COMPUTED_VALUE"""),"DEA36")</f>
        <v>DEA36</v>
      </c>
    </row>
    <row r="1355" spans="1:2" ht="12.5" x14ac:dyDescent="0.25">
      <c r="A1355" t="str">
        <f ca="1">IFERROR(__xludf.DUMMYFUNCTION("""COMPUTED_VALUE"""),"Regen")</f>
        <v>Regen</v>
      </c>
      <c r="B1355" t="str">
        <f ca="1">IFERROR(__xludf.DUMMYFUNCTION("""COMPUTED_VALUE"""),"DE229")</f>
        <v>DE229</v>
      </c>
    </row>
    <row r="1356" spans="1:2" ht="12.5" x14ac:dyDescent="0.25">
      <c r="A1356" t="str">
        <f ca="1">IFERROR(__xludf.DUMMYFUNCTION("""COMPUTED_VALUE"""),"Regensburg, Kreisfreie Stadt")</f>
        <v>Regensburg, Kreisfreie Stadt</v>
      </c>
      <c r="B1356" t="str">
        <f ca="1">IFERROR(__xludf.DUMMYFUNCTION("""COMPUTED_VALUE"""),"DE232")</f>
        <v>DE232</v>
      </c>
    </row>
    <row r="1357" spans="1:2" ht="12.5" x14ac:dyDescent="0.25">
      <c r="A1357" t="str">
        <f ca="1">IFERROR(__xludf.DUMMYFUNCTION("""COMPUTED_VALUE"""),"Regensburg, Landkreis")</f>
        <v>Regensburg, Landkreis</v>
      </c>
      <c r="B1357" t="str">
        <f ca="1">IFERROR(__xludf.DUMMYFUNCTION("""COMPUTED_VALUE"""),"DE238")</f>
        <v>DE238</v>
      </c>
    </row>
    <row r="1358" spans="1:2" ht="12.5" x14ac:dyDescent="0.25">
      <c r="A1358" t="str">
        <f ca="1">IFERROR(__xludf.DUMMYFUNCTION("""COMPUTED_VALUE"""),"Reggio Di Calabria")</f>
        <v>Reggio Di Calabria</v>
      </c>
      <c r="B1358" t="str">
        <f ca="1">IFERROR(__xludf.DUMMYFUNCTION("""COMPUTED_VALUE"""),"ITF65")</f>
        <v>ITF65</v>
      </c>
    </row>
    <row r="1359" spans="1:2" ht="12.5" x14ac:dyDescent="0.25">
      <c r="A1359" t="str">
        <f ca="1">IFERROR(__xludf.DUMMYFUNCTION("""COMPUTED_VALUE"""),"Reggio Nell'Emilia")</f>
        <v>Reggio Nell'Emilia</v>
      </c>
      <c r="B1359" t="str">
        <f ca="1">IFERROR(__xludf.DUMMYFUNCTION("""COMPUTED_VALUE"""),"ITD53")</f>
        <v>ITD53</v>
      </c>
    </row>
    <row r="1360" spans="1:2" ht="12.5" x14ac:dyDescent="0.25">
      <c r="A1360" t="str">
        <f ca="1">IFERROR(__xludf.DUMMYFUNCTION("""COMPUTED_VALUE"""),"Região Autónoma Da Madeira")</f>
        <v>Região Autónoma Da Madeira</v>
      </c>
      <c r="B1360" t="str">
        <f ca="1">IFERROR(__xludf.DUMMYFUNCTION("""COMPUTED_VALUE"""),"PT3")</f>
        <v>PT3</v>
      </c>
    </row>
    <row r="1361" spans="1:2" ht="12.5" x14ac:dyDescent="0.25">
      <c r="A1361" t="str">
        <f ca="1">IFERROR(__xludf.DUMMYFUNCTION("""COMPUTED_VALUE"""),"Região Autónoma Da Madeira (*)")</f>
        <v>Região Autónoma Da Madeira (*)</v>
      </c>
      <c r="B1361" t="str">
        <f ca="1">IFERROR(__xludf.DUMMYFUNCTION("""COMPUTED_VALUE"""),"PT30")</f>
        <v>PT30</v>
      </c>
    </row>
    <row r="1362" spans="1:2" ht="12.5" x14ac:dyDescent="0.25">
      <c r="A1362" t="str">
        <f ca="1">IFERROR(__xludf.DUMMYFUNCTION("""COMPUTED_VALUE"""),"Região Autónoma Da Madeira (**)")</f>
        <v>Região Autónoma Da Madeira (**)</v>
      </c>
      <c r="B1362" t="str">
        <f ca="1">IFERROR(__xludf.DUMMYFUNCTION("""COMPUTED_VALUE"""),"PT300")</f>
        <v>PT300</v>
      </c>
    </row>
    <row r="1363" spans="1:2" ht="12.5" x14ac:dyDescent="0.25">
      <c r="A1363" t="str">
        <f ca="1">IFERROR(__xludf.DUMMYFUNCTION("""COMPUTED_VALUE"""),"Região Autónoma Dos Açores")</f>
        <v>Região Autónoma Dos Açores</v>
      </c>
      <c r="B1363" t="str">
        <f ca="1">IFERROR(__xludf.DUMMYFUNCTION("""COMPUTED_VALUE"""),"PT2")</f>
        <v>PT2</v>
      </c>
    </row>
    <row r="1364" spans="1:2" ht="12.5" x14ac:dyDescent="0.25">
      <c r="A1364" t="str">
        <f ca="1">IFERROR(__xludf.DUMMYFUNCTION("""COMPUTED_VALUE"""),"Região Autónoma Dos Açores (*)")</f>
        <v>Região Autónoma Dos Açores (*)</v>
      </c>
      <c r="B1364" t="str">
        <f ca="1">IFERROR(__xludf.DUMMYFUNCTION("""COMPUTED_VALUE"""),"PT20")</f>
        <v>PT20</v>
      </c>
    </row>
    <row r="1365" spans="1:2" ht="12.5" x14ac:dyDescent="0.25">
      <c r="A1365" t="str">
        <f ca="1">IFERROR(__xludf.DUMMYFUNCTION("""COMPUTED_VALUE"""),"Região Autónoma Dos Açores (**)")</f>
        <v>Região Autónoma Dos Açores (**)</v>
      </c>
      <c r="B1365" t="str">
        <f ca="1">IFERROR(__xludf.DUMMYFUNCTION("""COMPUTED_VALUE"""),"PT200")</f>
        <v>PT200</v>
      </c>
    </row>
    <row r="1366" spans="1:2" ht="12.5" x14ac:dyDescent="0.25">
      <c r="A1366" t="str">
        <f ca="1">IFERROR(__xludf.DUMMYFUNCTION("""COMPUTED_VALUE"""),"Region Centralny")</f>
        <v>Region Centralny</v>
      </c>
      <c r="B1366" t="str">
        <f ca="1">IFERROR(__xludf.DUMMYFUNCTION("""COMPUTED_VALUE"""),"PL1")</f>
        <v>PL1</v>
      </c>
    </row>
    <row r="1367" spans="1:2" ht="12.5" x14ac:dyDescent="0.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x14ac:dyDescent="0.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x14ac:dyDescent="0.25">
      <c r="A1369" t="str">
        <f ca="1">IFERROR(__xludf.DUMMYFUNCTION("""COMPUTED_VALUE"""),"Región De Murcia")</f>
        <v>Región De Murcia</v>
      </c>
      <c r="B1369" t="str">
        <f ca="1">IFERROR(__xludf.DUMMYFUNCTION("""COMPUTED_VALUE"""),"ES62")</f>
        <v>ES62</v>
      </c>
    </row>
    <row r="1370" spans="1:2" ht="12.5" x14ac:dyDescent="0.25">
      <c r="A1370" t="str">
        <f ca="1">IFERROR(__xludf.DUMMYFUNCTION("""COMPUTED_VALUE"""),"Region Hannover")</f>
        <v>Region Hannover</v>
      </c>
      <c r="B1370" t="str">
        <f ca="1">IFERROR(__xludf.DUMMYFUNCTION("""COMPUTED_VALUE"""),"DE929")</f>
        <v>DE929</v>
      </c>
    </row>
    <row r="1371" spans="1:2" ht="12.5" x14ac:dyDescent="0.25">
      <c r="A1371" t="str">
        <f ca="1">IFERROR(__xludf.DUMMYFUNCTION("""COMPUTED_VALUE"""),"Région Lémanique")</f>
        <v>Région Lémanique</v>
      </c>
      <c r="B1371" t="str">
        <f ca="1">IFERROR(__xludf.DUMMYFUNCTION("""COMPUTED_VALUE"""),"CH01")</f>
        <v>CH01</v>
      </c>
    </row>
    <row r="1372" spans="1:2" ht="12.5" x14ac:dyDescent="0.25">
      <c r="A1372" t="str">
        <f ca="1">IFERROR(__xludf.DUMMYFUNCTION("""COMPUTED_VALUE"""),"Region Polnocno-Zachodni")</f>
        <v>Region Polnocno-Zachodni</v>
      </c>
      <c r="B1372" t="str">
        <f ca="1">IFERROR(__xludf.DUMMYFUNCTION("""COMPUTED_VALUE"""),"PL4")</f>
        <v>PL4</v>
      </c>
    </row>
    <row r="1373" spans="1:2" ht="12.5" x14ac:dyDescent="0.25">
      <c r="A1373" t="str">
        <f ca="1">IFERROR(__xludf.DUMMYFUNCTION("""COMPUTED_VALUE"""),"Region Polnocny")</f>
        <v>Region Polnocny</v>
      </c>
      <c r="B1373" t="str">
        <f ca="1">IFERROR(__xludf.DUMMYFUNCTION("""COMPUTED_VALUE"""),"PL6")</f>
        <v>PL6</v>
      </c>
    </row>
    <row r="1374" spans="1:2" ht="12.5" x14ac:dyDescent="0.25">
      <c r="A1374" t="str">
        <f ca="1">IFERROR(__xludf.DUMMYFUNCTION("""COMPUTED_VALUE"""),"Region Poludniowo-Zachodni")</f>
        <v>Region Poludniowo-Zachodni</v>
      </c>
      <c r="B1374" t="str">
        <f ca="1">IFERROR(__xludf.DUMMYFUNCTION("""COMPUTED_VALUE"""),"PL5")</f>
        <v>PL5</v>
      </c>
    </row>
    <row r="1375" spans="1:2" ht="12.5" x14ac:dyDescent="0.25">
      <c r="A1375" t="str">
        <f ca="1">IFERROR(__xludf.DUMMYFUNCTION("""COMPUTED_VALUE"""),"Region Poludniowy")</f>
        <v>Region Poludniowy</v>
      </c>
      <c r="B1375" t="str">
        <f ca="1">IFERROR(__xludf.DUMMYFUNCTION("""COMPUTED_VALUE"""),"PL2")</f>
        <v>PL2</v>
      </c>
    </row>
    <row r="1376" spans="1:2" ht="12.5" x14ac:dyDescent="0.25">
      <c r="A1376" t="str">
        <f ca="1">IFERROR(__xludf.DUMMYFUNCTION("""COMPUTED_VALUE"""),"Région Wallonne")</f>
        <v>Région Wallonne</v>
      </c>
      <c r="B1376" t="str">
        <f ca="1">IFERROR(__xludf.DUMMYFUNCTION("""COMPUTED_VALUE"""),"BE3")</f>
        <v>BE3</v>
      </c>
    </row>
    <row r="1377" spans="1:2" ht="12.5" x14ac:dyDescent="0.25">
      <c r="A1377" t="str">
        <f ca="1">IFERROR(__xludf.DUMMYFUNCTION("""COMPUTED_VALUE"""),"Region Wschodni")</f>
        <v>Region Wschodni</v>
      </c>
      <c r="B1377" t="str">
        <f ca="1">IFERROR(__xludf.DUMMYFUNCTION("""COMPUTED_VALUE"""),"PL3")</f>
        <v>PL3</v>
      </c>
    </row>
    <row r="1378" spans="1:2" ht="12.5" x14ac:dyDescent="0.25">
      <c r="A1378" t="str">
        <f ca="1">IFERROR(__xludf.DUMMYFUNCTION("""COMPUTED_VALUE"""),"Rems-Murr-Kreis")</f>
        <v>Rems-Murr-Kreis</v>
      </c>
      <c r="B1378" t="str">
        <f ca="1">IFERROR(__xludf.DUMMYFUNCTION("""COMPUTED_VALUE"""),"DE116")</f>
        <v>DE116</v>
      </c>
    </row>
    <row r="1379" spans="1:2" ht="12.5" x14ac:dyDescent="0.25">
      <c r="A1379" t="str">
        <f ca="1">IFERROR(__xludf.DUMMYFUNCTION("""COMPUTED_VALUE"""),"Remscheid, Kreisfreie Stadt")</f>
        <v>Remscheid, Kreisfreie Stadt</v>
      </c>
      <c r="B1379" t="str">
        <f ca="1">IFERROR(__xludf.DUMMYFUNCTION("""COMPUTED_VALUE"""),"DEA18")</f>
        <v>DEA18</v>
      </c>
    </row>
    <row r="1380" spans="1:2" ht="12.5" x14ac:dyDescent="0.25">
      <c r="A1380" t="str">
        <f ca="1">IFERROR(__xludf.DUMMYFUNCTION("""COMPUTED_VALUE"""),"Rendsburg-Eckernförde")</f>
        <v>Rendsburg-Eckernförde</v>
      </c>
      <c r="B1380" t="str">
        <f ca="1">IFERROR(__xludf.DUMMYFUNCTION("""COMPUTED_VALUE"""),"DEF0B")</f>
        <v>DEF0B</v>
      </c>
    </row>
    <row r="1381" spans="1:2" ht="12.5" x14ac:dyDescent="0.25">
      <c r="A1381" t="str">
        <f ca="1">IFERROR(__xludf.DUMMYFUNCTION("""COMPUTED_VALUE"""),"Rethymni")</f>
        <v>Rethymni</v>
      </c>
      <c r="B1381" t="str">
        <f ca="1">IFERROR(__xludf.DUMMYFUNCTION("""COMPUTED_VALUE"""),"GR433")</f>
        <v>GR433</v>
      </c>
    </row>
    <row r="1382" spans="1:2" ht="12.5" x14ac:dyDescent="0.25">
      <c r="A1382" t="str">
        <f ca="1">IFERROR(__xludf.DUMMYFUNCTION("""COMPUTED_VALUE"""),"Réunion")</f>
        <v>Réunion</v>
      </c>
      <c r="B1382" t="str">
        <f ca="1">IFERROR(__xludf.DUMMYFUNCTION("""COMPUTED_VALUE"""),"FR94")</f>
        <v>FR94</v>
      </c>
    </row>
    <row r="1383" spans="1:2" ht="12.5" x14ac:dyDescent="0.25">
      <c r="A1383" t="str">
        <f ca="1">IFERROR(__xludf.DUMMYFUNCTION("""COMPUTED_VALUE"""),"Réunion (*)")</f>
        <v>Réunion (*)</v>
      </c>
      <c r="B1383" t="str">
        <f ca="1">IFERROR(__xludf.DUMMYFUNCTION("""COMPUTED_VALUE"""),"FR940")</f>
        <v>FR940</v>
      </c>
    </row>
    <row r="1384" spans="1:2" ht="12.5" x14ac:dyDescent="0.25">
      <c r="A1384" t="str">
        <f ca="1">IFERROR(__xludf.DUMMYFUNCTION("""COMPUTED_VALUE"""),"Reutlingen")</f>
        <v>Reutlingen</v>
      </c>
      <c r="B1384" t="str">
        <f ca="1">IFERROR(__xludf.DUMMYFUNCTION("""COMPUTED_VALUE"""),"DE141")</f>
        <v>DE141</v>
      </c>
    </row>
    <row r="1385" spans="1:2" ht="12.5" x14ac:dyDescent="0.25">
      <c r="A1385" t="str">
        <f ca="1">IFERROR(__xludf.DUMMYFUNCTION("""COMPUTED_VALUE"""),"Rhein-Erft-Kreis")</f>
        <v>Rhein-Erft-Kreis</v>
      </c>
      <c r="B1385" t="str">
        <f ca="1">IFERROR(__xludf.DUMMYFUNCTION("""COMPUTED_VALUE"""),"DEA27")</f>
        <v>DEA27</v>
      </c>
    </row>
    <row r="1386" spans="1:2" ht="12.5" x14ac:dyDescent="0.25">
      <c r="A1386" t="str">
        <f ca="1">IFERROR(__xludf.DUMMYFUNCTION("""COMPUTED_VALUE"""),"Rhein-Hunsrück-Kreis")</f>
        <v>Rhein-Hunsrück-Kreis</v>
      </c>
      <c r="B1386" t="str">
        <f ca="1">IFERROR(__xludf.DUMMYFUNCTION("""COMPUTED_VALUE"""),"DEB19")</f>
        <v>DEB19</v>
      </c>
    </row>
    <row r="1387" spans="1:2" ht="12.5" x14ac:dyDescent="0.25">
      <c r="A1387" t="str">
        <f ca="1">IFERROR(__xludf.DUMMYFUNCTION("""COMPUTED_VALUE"""),"Rhein-Kreis Neuss")</f>
        <v>Rhein-Kreis Neuss</v>
      </c>
      <c r="B1387" t="str">
        <f ca="1">IFERROR(__xludf.DUMMYFUNCTION("""COMPUTED_VALUE"""),"DEA1D")</f>
        <v>DEA1D</v>
      </c>
    </row>
    <row r="1388" spans="1:2" ht="12.5" x14ac:dyDescent="0.25">
      <c r="A1388" t="str">
        <f ca="1">IFERROR(__xludf.DUMMYFUNCTION("""COMPUTED_VALUE"""),"Rhein-Lahn-Kreis")</f>
        <v>Rhein-Lahn-Kreis</v>
      </c>
      <c r="B1388" t="str">
        <f ca="1">IFERROR(__xludf.DUMMYFUNCTION("""COMPUTED_VALUE"""),"DEB1A")</f>
        <v>DEB1A</v>
      </c>
    </row>
    <row r="1389" spans="1:2" ht="12.5" x14ac:dyDescent="0.25">
      <c r="A1389" t="str">
        <f ca="1">IFERROR(__xludf.DUMMYFUNCTION("""COMPUTED_VALUE"""),"Rhein-Neckar-Kreis")</f>
        <v>Rhein-Neckar-Kreis</v>
      </c>
      <c r="B1389" t="str">
        <f ca="1">IFERROR(__xludf.DUMMYFUNCTION("""COMPUTED_VALUE"""),"DE128")</f>
        <v>DE128</v>
      </c>
    </row>
    <row r="1390" spans="1:2" ht="12.5" x14ac:dyDescent="0.25">
      <c r="A1390" t="str">
        <f ca="1">IFERROR(__xludf.DUMMYFUNCTION("""COMPUTED_VALUE"""),"Rhein-Pfalz-Kreis")</f>
        <v>Rhein-Pfalz-Kreis</v>
      </c>
      <c r="B1390" t="str">
        <f ca="1">IFERROR(__xludf.DUMMYFUNCTION("""COMPUTED_VALUE"""),"DEB3I")</f>
        <v>DEB3I</v>
      </c>
    </row>
    <row r="1391" spans="1:2" ht="12.5" x14ac:dyDescent="0.25">
      <c r="A1391" t="str">
        <f ca="1">IFERROR(__xludf.DUMMYFUNCTION("""COMPUTED_VALUE"""),"Rhein-Sieg-Kreis")</f>
        <v>Rhein-Sieg-Kreis</v>
      </c>
      <c r="B1391" t="str">
        <f ca="1">IFERROR(__xludf.DUMMYFUNCTION("""COMPUTED_VALUE"""),"DEA2C")</f>
        <v>DEA2C</v>
      </c>
    </row>
    <row r="1392" spans="1:2" ht="12.5" x14ac:dyDescent="0.25">
      <c r="A1392" t="str">
        <f ca="1">IFERROR(__xludf.DUMMYFUNCTION("""COMPUTED_VALUE"""),"Rheingau-Taunus-Kreis")</f>
        <v>Rheingau-Taunus-Kreis</v>
      </c>
      <c r="B1392" t="str">
        <f ca="1">IFERROR(__xludf.DUMMYFUNCTION("""COMPUTED_VALUE"""),"DE71D")</f>
        <v>DE71D</v>
      </c>
    </row>
    <row r="1393" spans="1:2" ht="12.5" x14ac:dyDescent="0.25">
      <c r="A1393" t="str">
        <f ca="1">IFERROR(__xludf.DUMMYFUNCTION("""COMPUTED_VALUE"""),"Rheinhessen-Pfalz")</f>
        <v>Rheinhessen-Pfalz</v>
      </c>
      <c r="B1393" t="str">
        <f ca="1">IFERROR(__xludf.DUMMYFUNCTION("""COMPUTED_VALUE"""),"DEB3")</f>
        <v>DEB3</v>
      </c>
    </row>
    <row r="1394" spans="1:2" ht="12.5" x14ac:dyDescent="0.25">
      <c r="A1394" t="str">
        <f ca="1">IFERROR(__xludf.DUMMYFUNCTION("""COMPUTED_VALUE"""),"Rheinisch-Bergischer Kreis")</f>
        <v>Rheinisch-Bergischer Kreis</v>
      </c>
      <c r="B1394" t="str">
        <f ca="1">IFERROR(__xludf.DUMMYFUNCTION("""COMPUTED_VALUE"""),"DEA2B")</f>
        <v>DEA2B</v>
      </c>
    </row>
    <row r="1395" spans="1:2" ht="12.5" x14ac:dyDescent="0.25">
      <c r="A1395" t="str">
        <f ca="1">IFERROR(__xludf.DUMMYFUNCTION("""COMPUTED_VALUE"""),"Rheinland-Pfalz")</f>
        <v>Rheinland-Pfalz</v>
      </c>
      <c r="B1395" t="str">
        <f ca="1">IFERROR(__xludf.DUMMYFUNCTION("""COMPUTED_VALUE"""),"DEB")</f>
        <v>DEB</v>
      </c>
    </row>
    <row r="1396" spans="1:2" ht="12.5" x14ac:dyDescent="0.25">
      <c r="A1396" t="str">
        <f ca="1">IFERROR(__xludf.DUMMYFUNCTION("""COMPUTED_VALUE"""),"Rheintal-Bodenseegebiet")</f>
        <v>Rheintal-Bodenseegebiet</v>
      </c>
      <c r="B1396" t="str">
        <f ca="1">IFERROR(__xludf.DUMMYFUNCTION("""COMPUTED_VALUE"""),"AT342")</f>
        <v>AT342</v>
      </c>
    </row>
    <row r="1397" spans="1:2" ht="12.5" x14ac:dyDescent="0.25">
      <c r="A1397" t="str">
        <f ca="1">IFERROR(__xludf.DUMMYFUNCTION("""COMPUTED_VALUE"""),"Rhön-Grabfeld")</f>
        <v>Rhön-Grabfeld</v>
      </c>
      <c r="B1397" t="str">
        <f ca="1">IFERROR(__xludf.DUMMYFUNCTION("""COMPUTED_VALUE"""),"DE266")</f>
        <v>DE266</v>
      </c>
    </row>
    <row r="1398" spans="1:2" ht="12.5" x14ac:dyDescent="0.25">
      <c r="A1398" t="str">
        <f ca="1">IFERROR(__xludf.DUMMYFUNCTION("""COMPUTED_VALUE"""),"Rhône")</f>
        <v>Rhône</v>
      </c>
      <c r="B1398" t="str">
        <f ca="1">IFERROR(__xludf.DUMMYFUNCTION("""COMPUTED_VALUE"""),"FR716")</f>
        <v>FR716</v>
      </c>
    </row>
    <row r="1399" spans="1:2" ht="12.5" x14ac:dyDescent="0.25">
      <c r="A1399" t="str">
        <f ca="1">IFERROR(__xludf.DUMMYFUNCTION("""COMPUTED_VALUE"""),"Rhône-Alpes")</f>
        <v>Rhône-Alpes</v>
      </c>
      <c r="B1399" t="str">
        <f ca="1">IFERROR(__xludf.DUMMYFUNCTION("""COMPUTED_VALUE"""),"FR71")</f>
        <v>FR71</v>
      </c>
    </row>
    <row r="1400" spans="1:2" ht="12.5" x14ac:dyDescent="0.25">
      <c r="A1400" t="str">
        <f ca="1">IFERROR(__xludf.DUMMYFUNCTION("""COMPUTED_VALUE"""),"Riesa-Großenhain")</f>
        <v>Riesa-Großenhain</v>
      </c>
      <c r="B1400" t="str">
        <f ca="1">IFERROR(__xludf.DUMMYFUNCTION("""COMPUTED_VALUE"""),"DED27")</f>
        <v>DED27</v>
      </c>
    </row>
    <row r="1401" spans="1:2" ht="12.5" x14ac:dyDescent="0.25">
      <c r="A1401" t="str">
        <f ca="1">IFERROR(__xludf.DUMMYFUNCTION("""COMPUTED_VALUE"""),"Rieti")</f>
        <v>Rieti</v>
      </c>
      <c r="B1401" t="str">
        <f ca="1">IFERROR(__xludf.DUMMYFUNCTION("""COMPUTED_VALUE"""),"ITE42")</f>
        <v>ITE42</v>
      </c>
    </row>
    <row r="1402" spans="1:2" ht="12.5" x14ac:dyDescent="0.25">
      <c r="A1402" t="str">
        <f ca="1">IFERROR(__xludf.DUMMYFUNCTION("""COMPUTED_VALUE"""),"Riga")</f>
        <v>Riga</v>
      </c>
      <c r="B1402" t="str">
        <f ca="1">IFERROR(__xludf.DUMMYFUNCTION("""COMPUTED_VALUE"""),"LV006")</f>
        <v>LV006</v>
      </c>
    </row>
    <row r="1403" spans="1:2" ht="12.5" x14ac:dyDescent="0.25">
      <c r="A1403" t="str">
        <f ca="1">IFERROR(__xludf.DUMMYFUNCTION("""COMPUTED_VALUE"""),"Rimini")</f>
        <v>Rimini</v>
      </c>
      <c r="B1403" t="str">
        <f ca="1">IFERROR(__xludf.DUMMYFUNCTION("""COMPUTED_VALUE"""),"ITD59")</f>
        <v>ITD59</v>
      </c>
    </row>
    <row r="1404" spans="1:2" ht="12.5" x14ac:dyDescent="0.25">
      <c r="A1404" t="str">
        <f ca="1">IFERROR(__xludf.DUMMYFUNCTION("""COMPUTED_VALUE"""),"Rodopi")</f>
        <v>Rodopi</v>
      </c>
      <c r="B1404" t="str">
        <f ca="1">IFERROR(__xludf.DUMMYFUNCTION("""COMPUTED_VALUE"""),"GR113")</f>
        <v>GR113</v>
      </c>
    </row>
    <row r="1405" spans="1:2" ht="12.5" x14ac:dyDescent="0.25">
      <c r="A1405" t="str">
        <f ca="1">IFERROR(__xludf.DUMMYFUNCTION("""COMPUTED_VALUE"""),"Rogaland")</f>
        <v>Rogaland</v>
      </c>
      <c r="B1405" t="str">
        <f ca="1">IFERROR(__xludf.DUMMYFUNCTION("""COMPUTED_VALUE"""),"NO043")</f>
        <v>NO043</v>
      </c>
    </row>
    <row r="1406" spans="1:2" ht="12.5" x14ac:dyDescent="0.25">
      <c r="A1406" t="str">
        <f ca="1">IFERROR(__xludf.DUMMYFUNCTION("""COMPUTED_VALUE"""),"Roma")</f>
        <v>Roma</v>
      </c>
      <c r="B1406" t="str">
        <f ca="1">IFERROR(__xludf.DUMMYFUNCTION("""COMPUTED_VALUE"""),"ITE43")</f>
        <v>ITE43</v>
      </c>
    </row>
    <row r="1407" spans="1:2" ht="12.5" x14ac:dyDescent="0.25">
      <c r="A1407" t="str">
        <f ca="1">IFERROR(__xludf.DUMMYFUNCTION("""COMPUTED_VALUE"""),"Romania")</f>
        <v>Romania</v>
      </c>
      <c r="B1407" t="str">
        <f ca="1">IFERROR(__xludf.DUMMYFUNCTION("""COMPUTED_VALUE"""),"RO")</f>
        <v>RO</v>
      </c>
    </row>
    <row r="1408" spans="1:2" ht="12.5" x14ac:dyDescent="0.25">
      <c r="A1408" t="str">
        <f ca="1">IFERROR(__xludf.DUMMYFUNCTION("""COMPUTED_VALUE"""),"Rosenheim, Kreisfreie Stadt")</f>
        <v>Rosenheim, Kreisfreie Stadt</v>
      </c>
      <c r="B1408" t="str">
        <f ca="1">IFERROR(__xludf.DUMMYFUNCTION("""COMPUTED_VALUE"""),"DE213")</f>
        <v>DE213</v>
      </c>
    </row>
    <row r="1409" spans="1:2" ht="12.5" x14ac:dyDescent="0.25">
      <c r="A1409" t="str">
        <f ca="1">IFERROR(__xludf.DUMMYFUNCTION("""COMPUTED_VALUE"""),"Rosenheim, Landkreis")</f>
        <v>Rosenheim, Landkreis</v>
      </c>
      <c r="B1409" t="str">
        <f ca="1">IFERROR(__xludf.DUMMYFUNCTION("""COMPUTED_VALUE"""),"DE21K")</f>
        <v>DE21K</v>
      </c>
    </row>
    <row r="1410" spans="1:2" ht="12.5" x14ac:dyDescent="0.25">
      <c r="A1410" t="str">
        <f ca="1">IFERROR(__xludf.DUMMYFUNCTION("""COMPUTED_VALUE"""),"Rostock, Kreisfreie Stadt")</f>
        <v>Rostock, Kreisfreie Stadt</v>
      </c>
      <c r="B1410" t="str">
        <f ca="1">IFERROR(__xludf.DUMMYFUNCTION("""COMPUTED_VALUE"""),"DE803")</f>
        <v>DE803</v>
      </c>
    </row>
    <row r="1411" spans="1:2" ht="12.5" x14ac:dyDescent="0.25">
      <c r="A1411" t="str">
        <f ca="1">IFERROR(__xludf.DUMMYFUNCTION("""COMPUTED_VALUE"""),"Rotenburg (Wümme)")</f>
        <v>Rotenburg (Wümme)</v>
      </c>
      <c r="B1411" t="str">
        <f ca="1">IFERROR(__xludf.DUMMYFUNCTION("""COMPUTED_VALUE"""),"DE937")</f>
        <v>DE937</v>
      </c>
    </row>
    <row r="1412" spans="1:2" ht="12.5" x14ac:dyDescent="0.25">
      <c r="A1412" t="str">
        <f ca="1">IFERROR(__xludf.DUMMYFUNCTION("""COMPUTED_VALUE"""),"Roth")</f>
        <v>Roth</v>
      </c>
      <c r="B1412" t="str">
        <f ca="1">IFERROR(__xludf.DUMMYFUNCTION("""COMPUTED_VALUE"""),"DE25B")</f>
        <v>DE25B</v>
      </c>
    </row>
    <row r="1413" spans="1:2" ht="12.5" x14ac:dyDescent="0.25">
      <c r="A1413" t="str">
        <f ca="1">IFERROR(__xludf.DUMMYFUNCTION("""COMPUTED_VALUE"""),"Rottal-Inn")</f>
        <v>Rottal-Inn</v>
      </c>
      <c r="B1413" t="str">
        <f ca="1">IFERROR(__xludf.DUMMYFUNCTION("""COMPUTED_VALUE"""),"DE22A")</f>
        <v>DE22A</v>
      </c>
    </row>
    <row r="1414" spans="1:2" ht="12.5" x14ac:dyDescent="0.25">
      <c r="A1414" t="str">
        <f ca="1">IFERROR(__xludf.DUMMYFUNCTION("""COMPUTED_VALUE"""),"Rottweil")</f>
        <v>Rottweil</v>
      </c>
      <c r="B1414" t="str">
        <f ca="1">IFERROR(__xludf.DUMMYFUNCTION("""COMPUTED_VALUE"""),"DE135")</f>
        <v>DE135</v>
      </c>
    </row>
    <row r="1415" spans="1:2" ht="12.5" x14ac:dyDescent="0.25">
      <c r="A1415" t="str">
        <f ca="1">IFERROR(__xludf.DUMMYFUNCTION("""COMPUTED_VALUE"""),"Rovigo")</f>
        <v>Rovigo</v>
      </c>
      <c r="B1415" t="str">
        <f ca="1">IFERROR(__xludf.DUMMYFUNCTION("""COMPUTED_VALUE"""),"ITD37")</f>
        <v>ITD37</v>
      </c>
    </row>
    <row r="1416" spans="1:2" ht="12.5" x14ac:dyDescent="0.25">
      <c r="A1416" t="str">
        <f ca="1">IFERROR(__xludf.DUMMYFUNCTION("""COMPUTED_VALUE"""),"Rügen")</f>
        <v>Rügen</v>
      </c>
      <c r="B1416" t="str">
        <f ca="1">IFERROR(__xludf.DUMMYFUNCTION("""COMPUTED_VALUE"""),"DE80H")</f>
        <v>DE80H</v>
      </c>
    </row>
    <row r="1417" spans="1:2" ht="12.5" x14ac:dyDescent="0.25">
      <c r="A1417" t="str">
        <f ca="1">IFERROR(__xludf.DUMMYFUNCTION("""COMPUTED_VALUE"""),"Ruse")</f>
        <v>Ruse</v>
      </c>
      <c r="B1417" t="str">
        <f ca="1">IFERROR(__xludf.DUMMYFUNCTION("""COMPUTED_VALUE"""),"BG323")</f>
        <v>BG323</v>
      </c>
    </row>
    <row r="1418" spans="1:2" ht="12.5" x14ac:dyDescent="0.25">
      <c r="A1418" t="str">
        <f ca="1">IFERROR(__xludf.DUMMYFUNCTION("""COMPUTED_VALUE"""),"Rybnicki")</f>
        <v>Rybnicki</v>
      </c>
      <c r="B1418" t="str">
        <f ca="1">IFERROR(__xludf.DUMMYFUNCTION("""COMPUTED_VALUE"""),"PL227")</f>
        <v>PL227</v>
      </c>
    </row>
    <row r="1419" spans="1:2" ht="12.5" x14ac:dyDescent="0.25">
      <c r="A1419" t="str">
        <f ca="1">IFERROR(__xludf.DUMMYFUNCTION("""COMPUTED_VALUE"""),"Rzeszowski")</f>
        <v>Rzeszowski</v>
      </c>
      <c r="B1419" t="str">
        <f ca="1">IFERROR(__xludf.DUMMYFUNCTION("""COMPUTED_VALUE"""),"PL325")</f>
        <v>PL325</v>
      </c>
    </row>
    <row r="1420" spans="1:2" ht="12.5" x14ac:dyDescent="0.25">
      <c r="A1420" t="str">
        <f ca="1">IFERROR(__xludf.DUMMYFUNCTION("""COMPUTED_VALUE"""),"Saale-Holzland-Kreis")</f>
        <v>Saale-Holzland-Kreis</v>
      </c>
      <c r="B1420" t="str">
        <f ca="1">IFERROR(__xludf.DUMMYFUNCTION("""COMPUTED_VALUE"""),"DEG0J")</f>
        <v>DEG0J</v>
      </c>
    </row>
    <row r="1421" spans="1:2" ht="12.5" x14ac:dyDescent="0.25">
      <c r="A1421" t="str">
        <f ca="1">IFERROR(__xludf.DUMMYFUNCTION("""COMPUTED_VALUE"""),"Saale-Orla-Kreis")</f>
        <v>Saale-Orla-Kreis</v>
      </c>
      <c r="B1421" t="str">
        <f ca="1">IFERROR(__xludf.DUMMYFUNCTION("""COMPUTED_VALUE"""),"DEG0K")</f>
        <v>DEG0K</v>
      </c>
    </row>
    <row r="1422" spans="1:2" ht="12.5" x14ac:dyDescent="0.25">
      <c r="A1422" t="str">
        <f ca="1">IFERROR(__xludf.DUMMYFUNCTION("""COMPUTED_VALUE"""),"Saalekreis")</f>
        <v>Saalekreis</v>
      </c>
      <c r="B1422" t="str">
        <f ca="1">IFERROR(__xludf.DUMMYFUNCTION("""COMPUTED_VALUE"""),"DEE0B")</f>
        <v>DEE0B</v>
      </c>
    </row>
    <row r="1423" spans="1:2" ht="12.5" x14ac:dyDescent="0.25">
      <c r="A1423" t="str">
        <f ca="1">IFERROR(__xludf.DUMMYFUNCTION("""COMPUTED_VALUE"""),"Saalfeld-Rudolstadt")</f>
        <v>Saalfeld-Rudolstadt</v>
      </c>
      <c r="B1423" t="str">
        <f ca="1">IFERROR(__xludf.DUMMYFUNCTION("""COMPUTED_VALUE"""),"DEG0I")</f>
        <v>DEG0I</v>
      </c>
    </row>
    <row r="1424" spans="1:2" ht="12.5" x14ac:dyDescent="0.25">
      <c r="A1424" t="str">
        <f ca="1">IFERROR(__xludf.DUMMYFUNCTION("""COMPUTED_VALUE"""),"Saarland")</f>
        <v>Saarland</v>
      </c>
      <c r="B1424" t="str">
        <f ca="1">IFERROR(__xludf.DUMMYFUNCTION("""COMPUTED_VALUE"""),"DEC")</f>
        <v>DEC</v>
      </c>
    </row>
    <row r="1425" spans="1:2" ht="12.5" x14ac:dyDescent="0.25">
      <c r="A1425" t="str">
        <f ca="1">IFERROR(__xludf.DUMMYFUNCTION("""COMPUTED_VALUE"""),"Saarland (*)")</f>
        <v>Saarland (*)</v>
      </c>
      <c r="B1425" t="str">
        <f ca="1">IFERROR(__xludf.DUMMYFUNCTION("""COMPUTED_VALUE"""),"DEC0")</f>
        <v>DEC0</v>
      </c>
    </row>
    <row r="1426" spans="1:2" ht="12.5" x14ac:dyDescent="0.25">
      <c r="A1426" t="str">
        <f ca="1">IFERROR(__xludf.DUMMYFUNCTION("""COMPUTED_VALUE"""),"Saarlouis")</f>
        <v>Saarlouis</v>
      </c>
      <c r="B1426" t="str">
        <f ca="1">IFERROR(__xludf.DUMMYFUNCTION("""COMPUTED_VALUE"""),"DEC04")</f>
        <v>DEC04</v>
      </c>
    </row>
    <row r="1427" spans="1:2" ht="12.5" x14ac:dyDescent="0.25">
      <c r="A1427" t="str">
        <f ca="1">IFERROR(__xludf.DUMMYFUNCTION("""COMPUTED_VALUE"""),"Saarpfalz-Kreis")</f>
        <v>Saarpfalz-Kreis</v>
      </c>
      <c r="B1427" t="str">
        <f ca="1">IFERROR(__xludf.DUMMYFUNCTION("""COMPUTED_VALUE"""),"DEC05")</f>
        <v>DEC05</v>
      </c>
    </row>
    <row r="1428" spans="1:2" ht="12.5" x14ac:dyDescent="0.25">
      <c r="A1428" t="str">
        <f ca="1">IFERROR(__xludf.DUMMYFUNCTION("""COMPUTED_VALUE"""),"Sachsen")</f>
        <v>Sachsen</v>
      </c>
      <c r="B1428" t="str">
        <f ca="1">IFERROR(__xludf.DUMMYFUNCTION("""COMPUTED_VALUE"""),"DED")</f>
        <v>DED</v>
      </c>
    </row>
    <row r="1429" spans="1:2" ht="12.5" x14ac:dyDescent="0.25">
      <c r="A1429" t="str">
        <f ca="1">IFERROR(__xludf.DUMMYFUNCTION("""COMPUTED_VALUE"""),"Sachsen-Anhalt")</f>
        <v>Sachsen-Anhalt</v>
      </c>
      <c r="B1429" t="str">
        <f ca="1">IFERROR(__xludf.DUMMYFUNCTION("""COMPUTED_VALUE"""),"DEE")</f>
        <v>DEE</v>
      </c>
    </row>
    <row r="1430" spans="1:2" ht="12.5" x14ac:dyDescent="0.25">
      <c r="A1430" t="str">
        <f ca="1">IFERROR(__xludf.DUMMYFUNCTION("""COMPUTED_VALUE"""),"Sachsen-Anhalt (*)")</f>
        <v>Sachsen-Anhalt (*)</v>
      </c>
      <c r="B1430" t="str">
        <f ca="1">IFERROR(__xludf.DUMMYFUNCTION("""COMPUTED_VALUE"""),"DEE0")</f>
        <v>DEE0</v>
      </c>
    </row>
    <row r="1431" spans="1:2" ht="12.5" x14ac:dyDescent="0.25">
      <c r="A1431" t="str">
        <f ca="1">IFERROR(__xludf.DUMMYFUNCTION("""COMPUTED_VALUE"""),"Sächsische Schweiz")</f>
        <v>Sächsische Schweiz</v>
      </c>
      <c r="B1431" t="str">
        <f ca="1">IFERROR(__xludf.DUMMYFUNCTION("""COMPUTED_VALUE"""),"DED29")</f>
        <v>DED29</v>
      </c>
    </row>
    <row r="1432" spans="1:2" ht="12.5" x14ac:dyDescent="0.25">
      <c r="A1432" t="str">
        <f ca="1">IFERROR(__xludf.DUMMYFUNCTION("""COMPUTED_VALUE"""),"Salaj")</f>
        <v>Salaj</v>
      </c>
      <c r="B1432" t="str">
        <f ca="1">IFERROR(__xludf.DUMMYFUNCTION("""COMPUTED_VALUE"""),"RO116")</f>
        <v>RO116</v>
      </c>
    </row>
    <row r="1433" spans="1:2" ht="12.5" x14ac:dyDescent="0.25">
      <c r="A1433" t="str">
        <f ca="1">IFERROR(__xludf.DUMMYFUNCTION("""COMPUTED_VALUE"""),"Salamanca")</f>
        <v>Salamanca</v>
      </c>
      <c r="B1433" t="str">
        <f ca="1">IFERROR(__xludf.DUMMYFUNCTION("""COMPUTED_VALUE"""),"ES415")</f>
        <v>ES415</v>
      </c>
    </row>
    <row r="1434" spans="1:2" ht="12.5" x14ac:dyDescent="0.25">
      <c r="A1434" t="str">
        <f ca="1">IFERROR(__xludf.DUMMYFUNCTION("""COMPUTED_VALUE"""),"Salerno")</f>
        <v>Salerno</v>
      </c>
      <c r="B1434" t="str">
        <f ca="1">IFERROR(__xludf.DUMMYFUNCTION("""COMPUTED_VALUE"""),"ITF35")</f>
        <v>ITF35</v>
      </c>
    </row>
    <row r="1435" spans="1:2" ht="12.5" x14ac:dyDescent="0.25">
      <c r="A1435" t="str">
        <f ca="1">IFERROR(__xludf.DUMMYFUNCTION("""COMPUTED_VALUE"""),"Salzburg")</f>
        <v>Salzburg</v>
      </c>
      <c r="B1435" t="str">
        <f ca="1">IFERROR(__xludf.DUMMYFUNCTION("""COMPUTED_VALUE"""),"AT32")</f>
        <v>AT32</v>
      </c>
    </row>
    <row r="1436" spans="1:2" ht="12.5" x14ac:dyDescent="0.25">
      <c r="A1436" t="str">
        <f ca="1">IFERROR(__xludf.DUMMYFUNCTION("""COMPUTED_VALUE"""),"Salzburg Und Umgebung")</f>
        <v>Salzburg Und Umgebung</v>
      </c>
      <c r="B1436" t="str">
        <f ca="1">IFERROR(__xludf.DUMMYFUNCTION("""COMPUTED_VALUE"""),"AT323")</f>
        <v>AT323</v>
      </c>
    </row>
    <row r="1437" spans="1:2" ht="12.5" x14ac:dyDescent="0.25">
      <c r="A1437" t="str">
        <f ca="1">IFERROR(__xludf.DUMMYFUNCTION("""COMPUTED_VALUE"""),"Salzgitter, Kreisfreie Stadt")</f>
        <v>Salzgitter, Kreisfreie Stadt</v>
      </c>
      <c r="B1437" t="str">
        <f ca="1">IFERROR(__xludf.DUMMYFUNCTION("""COMPUTED_VALUE"""),"DE912")</f>
        <v>DE912</v>
      </c>
    </row>
    <row r="1438" spans="1:2" ht="12.5" x14ac:dyDescent="0.25">
      <c r="A1438" t="str">
        <f ca="1">IFERROR(__xludf.DUMMYFUNCTION("""COMPUTED_VALUE"""),"Salzland")</f>
        <v>Salzland</v>
      </c>
      <c r="B1438" t="str">
        <f ca="1">IFERROR(__xludf.DUMMYFUNCTION("""COMPUTED_VALUE"""),"DEE0C")</f>
        <v>DEE0C</v>
      </c>
    </row>
    <row r="1439" spans="1:2" ht="12.5" x14ac:dyDescent="0.25">
      <c r="A1439" t="str">
        <f ca="1">IFERROR(__xludf.DUMMYFUNCTION("""COMPUTED_VALUE"""),"Samos")</f>
        <v>Samos</v>
      </c>
      <c r="B1439" t="str">
        <f ca="1">IFERROR(__xludf.DUMMYFUNCTION("""COMPUTED_VALUE"""),"GR412")</f>
        <v>GR412</v>
      </c>
    </row>
    <row r="1440" spans="1:2" ht="12.5" x14ac:dyDescent="0.25">
      <c r="A1440" t="str">
        <f ca="1">IFERROR(__xludf.DUMMYFUNCTION("""COMPUTED_VALUE"""),"Sandomiersko-Jedrzejowski")</f>
        <v>Sandomiersko-Jedrzejowski</v>
      </c>
      <c r="B1440" t="str">
        <f ca="1">IFERROR(__xludf.DUMMYFUNCTION("""COMPUTED_VALUE"""),"PL332")</f>
        <v>PL332</v>
      </c>
    </row>
    <row r="1441" spans="1:2" ht="12.5" x14ac:dyDescent="0.25">
      <c r="A1441" t="str">
        <f ca="1">IFERROR(__xludf.DUMMYFUNCTION("""COMPUTED_VALUE"""),"Sankt Pölten")</f>
        <v>Sankt Pölten</v>
      </c>
      <c r="B1441" t="str">
        <f ca="1">IFERROR(__xludf.DUMMYFUNCTION("""COMPUTED_VALUE"""),"AT123")</f>
        <v>AT123</v>
      </c>
    </row>
    <row r="1442" spans="1:2" ht="12.5" x14ac:dyDescent="0.25">
      <c r="A1442" t="str">
        <f ca="1">IFERROR(__xludf.DUMMYFUNCTION("""COMPUTED_VALUE"""),"Saône-Et-Loire")</f>
        <v>Saône-Et-Loire</v>
      </c>
      <c r="B1442" t="str">
        <f ca="1">IFERROR(__xludf.DUMMYFUNCTION("""COMPUTED_VALUE"""),"FR263")</f>
        <v>FR263</v>
      </c>
    </row>
    <row r="1443" spans="1:2" ht="12.5" x14ac:dyDescent="0.25">
      <c r="A1443" t="str">
        <f ca="1">IFERROR(__xludf.DUMMYFUNCTION("""COMPUTED_VALUE"""),"Sardegna")</f>
        <v>Sardegna</v>
      </c>
      <c r="B1443" t="str">
        <f ca="1">IFERROR(__xludf.DUMMYFUNCTION("""COMPUTED_VALUE"""),"ITG2")</f>
        <v>ITG2</v>
      </c>
    </row>
    <row r="1444" spans="1:2" ht="12.5" x14ac:dyDescent="0.25">
      <c r="A1444" t="str">
        <f ca="1">IFERROR(__xludf.DUMMYFUNCTION("""COMPUTED_VALUE"""),"Sarthe")</f>
        <v>Sarthe</v>
      </c>
      <c r="B1444" t="str">
        <f ca="1">IFERROR(__xludf.DUMMYFUNCTION("""COMPUTED_VALUE"""),"FR514")</f>
        <v>FR514</v>
      </c>
    </row>
    <row r="1445" spans="1:2" ht="12.5" x14ac:dyDescent="0.25">
      <c r="A1445" t="str">
        <f ca="1">IFERROR(__xludf.DUMMYFUNCTION("""COMPUTED_VALUE"""),"Sassari")</f>
        <v>Sassari</v>
      </c>
      <c r="B1445" t="str">
        <f ca="1">IFERROR(__xludf.DUMMYFUNCTION("""COMPUTED_VALUE"""),"ITG25")</f>
        <v>ITG25</v>
      </c>
    </row>
    <row r="1446" spans="1:2" ht="12.5" x14ac:dyDescent="0.25">
      <c r="A1446" t="str">
        <f ca="1">IFERROR(__xludf.DUMMYFUNCTION("""COMPUTED_VALUE"""),"Satakunta")</f>
        <v>Satakunta</v>
      </c>
      <c r="B1446" t="str">
        <f ca="1">IFERROR(__xludf.DUMMYFUNCTION("""COMPUTED_VALUE"""),"FI196")</f>
        <v>FI196</v>
      </c>
    </row>
    <row r="1447" spans="1:2" ht="12.5" x14ac:dyDescent="0.25">
      <c r="A1447" t="str">
        <f ca="1">IFERROR(__xludf.DUMMYFUNCTION("""COMPUTED_VALUE"""),"Satu Mare")</f>
        <v>Satu Mare</v>
      </c>
      <c r="B1447" t="str">
        <f ca="1">IFERROR(__xludf.DUMMYFUNCTION("""COMPUTED_VALUE"""),"RO115")</f>
        <v>RO115</v>
      </c>
    </row>
    <row r="1448" spans="1:2" ht="12.5" x14ac:dyDescent="0.25">
      <c r="A1448" t="str">
        <f ca="1">IFERROR(__xludf.DUMMYFUNCTION("""COMPUTED_VALUE"""),"Savinjska")</f>
        <v>Savinjska</v>
      </c>
      <c r="B1448" t="str">
        <f ca="1">IFERROR(__xludf.DUMMYFUNCTION("""COMPUTED_VALUE"""),"SI014")</f>
        <v>SI014</v>
      </c>
    </row>
    <row r="1449" spans="1:2" ht="12.5" x14ac:dyDescent="0.25">
      <c r="A1449" t="str">
        <f ca="1">IFERROR(__xludf.DUMMYFUNCTION("""COMPUTED_VALUE"""),"Savoie")</f>
        <v>Savoie</v>
      </c>
      <c r="B1449" t="str">
        <f ca="1">IFERROR(__xludf.DUMMYFUNCTION("""COMPUTED_VALUE"""),"FR717")</f>
        <v>FR717</v>
      </c>
    </row>
    <row r="1450" spans="1:2" ht="12.5" x14ac:dyDescent="0.25">
      <c r="A1450" t="str">
        <f ca="1">IFERROR(__xludf.DUMMYFUNCTION("""COMPUTED_VALUE"""),"Savona")</f>
        <v>Savona</v>
      </c>
      <c r="B1450" t="str">
        <f ca="1">IFERROR(__xludf.DUMMYFUNCTION("""COMPUTED_VALUE"""),"ITC32")</f>
        <v>ITC32</v>
      </c>
    </row>
    <row r="1451" spans="1:2" ht="12.5" x14ac:dyDescent="0.25">
      <c r="A1451" t="str">
        <f ca="1">IFERROR(__xludf.DUMMYFUNCTION("""COMPUTED_VALUE"""),"Schaffhausen")</f>
        <v>Schaffhausen</v>
      </c>
      <c r="B1451" t="str">
        <f ca="1">IFERROR(__xludf.DUMMYFUNCTION("""COMPUTED_VALUE"""),"CH052")</f>
        <v>CH052</v>
      </c>
    </row>
    <row r="1452" spans="1:2" ht="12.5" x14ac:dyDescent="0.25">
      <c r="A1452" t="str">
        <f ca="1">IFERROR(__xludf.DUMMYFUNCTION("""COMPUTED_VALUE"""),"Schaumburg")</f>
        <v>Schaumburg</v>
      </c>
      <c r="B1452" t="str">
        <f ca="1">IFERROR(__xludf.DUMMYFUNCTION("""COMPUTED_VALUE"""),"DE928")</f>
        <v>DE928</v>
      </c>
    </row>
    <row r="1453" spans="1:2" ht="12.5" x14ac:dyDescent="0.25">
      <c r="A1453" t="str">
        <f ca="1">IFERROR(__xludf.DUMMYFUNCTION("""COMPUTED_VALUE"""),"Schleswig-Flensburg")</f>
        <v>Schleswig-Flensburg</v>
      </c>
      <c r="B1453" t="str">
        <f ca="1">IFERROR(__xludf.DUMMYFUNCTION("""COMPUTED_VALUE"""),"DEF0C")</f>
        <v>DEF0C</v>
      </c>
    </row>
    <row r="1454" spans="1:2" ht="12.5" x14ac:dyDescent="0.25">
      <c r="A1454" t="str">
        <f ca="1">IFERROR(__xludf.DUMMYFUNCTION("""COMPUTED_VALUE"""),"Schleswig-Holstein")</f>
        <v>Schleswig-Holstein</v>
      </c>
      <c r="B1454" t="str">
        <f ca="1">IFERROR(__xludf.DUMMYFUNCTION("""COMPUTED_VALUE"""),"DEF")</f>
        <v>DEF</v>
      </c>
    </row>
    <row r="1455" spans="1:2" ht="12.5" x14ac:dyDescent="0.25">
      <c r="A1455" t="str">
        <f ca="1">IFERROR(__xludf.DUMMYFUNCTION("""COMPUTED_VALUE"""),"Schleswig-Holstein (*)")</f>
        <v>Schleswig-Holstein (*)</v>
      </c>
      <c r="B1455" t="str">
        <f ca="1">IFERROR(__xludf.DUMMYFUNCTION("""COMPUTED_VALUE"""),"DEF0")</f>
        <v>DEF0</v>
      </c>
    </row>
    <row r="1456" spans="1:2" ht="12.5" x14ac:dyDescent="0.25">
      <c r="A1456" t="str">
        <f ca="1">IFERROR(__xludf.DUMMYFUNCTION("""COMPUTED_VALUE"""),"Schmalkalden-Meiningen")</f>
        <v>Schmalkalden-Meiningen</v>
      </c>
      <c r="B1456" t="str">
        <f ca="1">IFERROR(__xludf.DUMMYFUNCTION("""COMPUTED_VALUE"""),"DEG0B")</f>
        <v>DEG0B</v>
      </c>
    </row>
    <row r="1457" spans="1:2" ht="12.5" x14ac:dyDescent="0.25">
      <c r="A1457" t="str">
        <f ca="1">IFERROR(__xludf.DUMMYFUNCTION("""COMPUTED_VALUE"""),"Schwabach, Kreisfreie Stadt")</f>
        <v>Schwabach, Kreisfreie Stadt</v>
      </c>
      <c r="B1457" t="str">
        <f ca="1">IFERROR(__xludf.DUMMYFUNCTION("""COMPUTED_VALUE"""),"DE255")</f>
        <v>DE255</v>
      </c>
    </row>
    <row r="1458" spans="1:2" ht="12.5" x14ac:dyDescent="0.25">
      <c r="A1458" t="str">
        <f ca="1">IFERROR(__xludf.DUMMYFUNCTION("""COMPUTED_VALUE"""),"Schwaben")</f>
        <v>Schwaben</v>
      </c>
      <c r="B1458" t="str">
        <f ca="1">IFERROR(__xludf.DUMMYFUNCTION("""COMPUTED_VALUE"""),"DE27")</f>
        <v>DE27</v>
      </c>
    </row>
    <row r="1459" spans="1:2" ht="12.5" x14ac:dyDescent="0.25">
      <c r="A1459" t="str">
        <f ca="1">IFERROR(__xludf.DUMMYFUNCTION("""COMPUTED_VALUE"""),"Schwäbisch Hall")</f>
        <v>Schwäbisch Hall</v>
      </c>
      <c r="B1459" t="str">
        <f ca="1">IFERROR(__xludf.DUMMYFUNCTION("""COMPUTED_VALUE"""),"DE11A")</f>
        <v>DE11A</v>
      </c>
    </row>
    <row r="1460" spans="1:2" ht="12.5" x14ac:dyDescent="0.25">
      <c r="A1460" t="str">
        <f ca="1">IFERROR(__xludf.DUMMYFUNCTION("""COMPUTED_VALUE"""),"Schwalm-Eder-Kreis")</f>
        <v>Schwalm-Eder-Kreis</v>
      </c>
      <c r="B1460" t="str">
        <f ca="1">IFERROR(__xludf.DUMMYFUNCTION("""COMPUTED_VALUE"""),"DE735")</f>
        <v>DE735</v>
      </c>
    </row>
    <row r="1461" spans="1:2" ht="12.5" x14ac:dyDescent="0.25">
      <c r="A1461" t="str">
        <f ca="1">IFERROR(__xludf.DUMMYFUNCTION("""COMPUTED_VALUE"""),"Schwandorf")</f>
        <v>Schwandorf</v>
      </c>
      <c r="B1461" t="str">
        <f ca="1">IFERROR(__xludf.DUMMYFUNCTION("""COMPUTED_VALUE"""),"DE239")</f>
        <v>DE239</v>
      </c>
    </row>
    <row r="1462" spans="1:2" ht="12.5" x14ac:dyDescent="0.25">
      <c r="A1462" t="str">
        <f ca="1">IFERROR(__xludf.DUMMYFUNCTION("""COMPUTED_VALUE"""),"Schwarzwald-Baar-Kreis")</f>
        <v>Schwarzwald-Baar-Kreis</v>
      </c>
      <c r="B1462" t="str">
        <f ca="1">IFERROR(__xludf.DUMMYFUNCTION("""COMPUTED_VALUE"""),"DE136")</f>
        <v>DE136</v>
      </c>
    </row>
    <row r="1463" spans="1:2" ht="12.5" x14ac:dyDescent="0.25">
      <c r="A1463" t="str">
        <f ca="1">IFERROR(__xludf.DUMMYFUNCTION("""COMPUTED_VALUE"""),"Schweinfurt, Kreisfreie Stadt")</f>
        <v>Schweinfurt, Kreisfreie Stadt</v>
      </c>
      <c r="B1463" t="str">
        <f ca="1">IFERROR(__xludf.DUMMYFUNCTION("""COMPUTED_VALUE"""),"DE262")</f>
        <v>DE262</v>
      </c>
    </row>
    <row r="1464" spans="1:2" ht="12.5" x14ac:dyDescent="0.25">
      <c r="A1464" t="str">
        <f ca="1">IFERROR(__xludf.DUMMYFUNCTION("""COMPUTED_VALUE"""),"Schweinfurt, Landkreis")</f>
        <v>Schweinfurt, Landkreis</v>
      </c>
      <c r="B1464" t="str">
        <f ca="1">IFERROR(__xludf.DUMMYFUNCTION("""COMPUTED_VALUE"""),"DE26B")</f>
        <v>DE26B</v>
      </c>
    </row>
    <row r="1465" spans="1:2" ht="12.5" x14ac:dyDescent="0.25">
      <c r="A1465" t="str">
        <f ca="1">IFERROR(__xludf.DUMMYFUNCTION("""COMPUTED_VALUE"""),"Schweiz-Suisse-Svizzera")</f>
        <v>Schweiz-Suisse-Svizzera</v>
      </c>
      <c r="B1465" t="str">
        <f ca="1">IFERROR(__xludf.DUMMYFUNCTION("""COMPUTED_VALUE"""),"CH")</f>
        <v>CH</v>
      </c>
    </row>
    <row r="1466" spans="1:2" ht="12.5" x14ac:dyDescent="0.25">
      <c r="A1466" t="str">
        <f ca="1">IFERROR(__xludf.DUMMYFUNCTION("""COMPUTED_VALUE"""),"Schweiz-Suisse-Svizzera (*)")</f>
        <v>Schweiz-Suisse-Svizzera (*)</v>
      </c>
      <c r="B1466" t="str">
        <f ca="1">IFERROR(__xludf.DUMMYFUNCTION("""COMPUTED_VALUE"""),"CH0")</f>
        <v>CH0</v>
      </c>
    </row>
    <row r="1467" spans="1:2" ht="12.5" x14ac:dyDescent="0.25">
      <c r="A1467" t="str">
        <f ca="1">IFERROR(__xludf.DUMMYFUNCTION("""COMPUTED_VALUE"""),"Schwerin, Kreisfreie Stadt")</f>
        <v>Schwerin, Kreisfreie Stadt</v>
      </c>
      <c r="B1467" t="str">
        <f ca="1">IFERROR(__xludf.DUMMYFUNCTION("""COMPUTED_VALUE"""),"DE804")</f>
        <v>DE804</v>
      </c>
    </row>
    <row r="1468" spans="1:2" ht="12.5" x14ac:dyDescent="0.25">
      <c r="A1468" t="str">
        <f ca="1">IFERROR(__xludf.DUMMYFUNCTION("""COMPUTED_VALUE"""),"Schwyz")</f>
        <v>Schwyz</v>
      </c>
      <c r="B1468" t="str">
        <f ca="1">IFERROR(__xludf.DUMMYFUNCTION("""COMPUTED_VALUE"""),"CH063")</f>
        <v>CH063</v>
      </c>
    </row>
    <row r="1469" spans="1:2" ht="12.5" x14ac:dyDescent="0.25">
      <c r="A1469" t="str">
        <f ca="1">IFERROR(__xludf.DUMMYFUNCTION("""COMPUTED_VALUE"""),"Scotland")</f>
        <v>Scotland</v>
      </c>
      <c r="B1469" t="str">
        <f ca="1">IFERROR(__xludf.DUMMYFUNCTION("""COMPUTED_VALUE"""),"UKM")</f>
        <v>UKM</v>
      </c>
    </row>
    <row r="1470" spans="1:2" ht="12.5" x14ac:dyDescent="0.25">
      <c r="A1470" t="str">
        <f ca="1">IFERROR(__xludf.DUMMYFUNCTION("""COMPUTED_VALUE"""),"Scottish Borders")</f>
        <v>Scottish Borders</v>
      </c>
      <c r="B1470" t="str">
        <f ca="1">IFERROR(__xludf.DUMMYFUNCTION("""COMPUTED_VALUE"""),"UKM24")</f>
        <v>UKM24</v>
      </c>
    </row>
    <row r="1471" spans="1:2" ht="12.5" x14ac:dyDescent="0.25">
      <c r="A1471" t="str">
        <f ca="1">IFERROR(__xludf.DUMMYFUNCTION("""COMPUTED_VALUE"""),"Sefton")</f>
        <v>Sefton</v>
      </c>
      <c r="B1471" t="str">
        <f ca="1">IFERROR(__xludf.DUMMYFUNCTION("""COMPUTED_VALUE"""),"UKD53")</f>
        <v>UKD53</v>
      </c>
    </row>
    <row r="1472" spans="1:2" ht="12.5" x14ac:dyDescent="0.25">
      <c r="A1472" t="str">
        <f ca="1">IFERROR(__xludf.DUMMYFUNCTION("""COMPUTED_VALUE"""),"Segeberg")</f>
        <v>Segeberg</v>
      </c>
      <c r="B1472" t="str">
        <f ca="1">IFERROR(__xludf.DUMMYFUNCTION("""COMPUTED_VALUE"""),"DEF0D")</f>
        <v>DEF0D</v>
      </c>
    </row>
    <row r="1473" spans="1:2" ht="12.5" x14ac:dyDescent="0.25">
      <c r="A1473" t="str">
        <f ca="1">IFERROR(__xludf.DUMMYFUNCTION("""COMPUTED_VALUE"""),"Segovia")</f>
        <v>Segovia</v>
      </c>
      <c r="B1473" t="str">
        <f ca="1">IFERROR(__xludf.DUMMYFUNCTION("""COMPUTED_VALUE"""),"ES416")</f>
        <v>ES416</v>
      </c>
    </row>
    <row r="1474" spans="1:2" ht="12.5" x14ac:dyDescent="0.25">
      <c r="A1474" t="str">
        <f ca="1">IFERROR(__xludf.DUMMYFUNCTION("""COMPUTED_VALUE"""),"Seine-Et-Marne")</f>
        <v>Seine-Et-Marne</v>
      </c>
      <c r="B1474" t="str">
        <f ca="1">IFERROR(__xludf.DUMMYFUNCTION("""COMPUTED_VALUE"""),"FR102")</f>
        <v>FR102</v>
      </c>
    </row>
    <row r="1475" spans="1:2" ht="12.5" x14ac:dyDescent="0.25">
      <c r="A1475" t="str">
        <f ca="1">IFERROR(__xludf.DUMMYFUNCTION("""COMPUTED_VALUE"""),"Seine-Maritime")</f>
        <v>Seine-Maritime</v>
      </c>
      <c r="B1475" t="str">
        <f ca="1">IFERROR(__xludf.DUMMYFUNCTION("""COMPUTED_VALUE"""),"FR232")</f>
        <v>FR232</v>
      </c>
    </row>
    <row r="1476" spans="1:2" ht="12.5" x14ac:dyDescent="0.25">
      <c r="A1476" t="str">
        <f ca="1">IFERROR(__xludf.DUMMYFUNCTION("""COMPUTED_VALUE"""),"Seine-Saint-Denis")</f>
        <v>Seine-Saint-Denis</v>
      </c>
      <c r="B1476" t="str">
        <f ca="1">IFERROR(__xludf.DUMMYFUNCTION("""COMPUTED_VALUE"""),"FR106")</f>
        <v>FR106</v>
      </c>
    </row>
    <row r="1477" spans="1:2" ht="12.5" x14ac:dyDescent="0.25">
      <c r="A1477" t="str">
        <f ca="1">IFERROR(__xludf.DUMMYFUNCTION("""COMPUTED_VALUE"""),"Serra Da Estrela")</f>
        <v>Serra Da Estrela</v>
      </c>
      <c r="B1477" t="str">
        <f ca="1">IFERROR(__xludf.DUMMYFUNCTION("""COMPUTED_VALUE"""),"PT167")</f>
        <v>PT167</v>
      </c>
    </row>
    <row r="1478" spans="1:2" ht="12.5" x14ac:dyDescent="0.25">
      <c r="A1478" t="str">
        <f ca="1">IFERROR(__xludf.DUMMYFUNCTION("""COMPUTED_VALUE"""),"Serres")</f>
        <v>Serres</v>
      </c>
      <c r="B1478" t="str">
        <f ca="1">IFERROR(__xludf.DUMMYFUNCTION("""COMPUTED_VALUE"""),"GR126")</f>
        <v>GR126</v>
      </c>
    </row>
    <row r="1479" spans="1:2" ht="12.5" x14ac:dyDescent="0.25">
      <c r="A1479" t="str">
        <f ca="1">IFERROR(__xludf.DUMMYFUNCTION("""COMPUTED_VALUE"""),"Severen Tsentralen")</f>
        <v>Severen Tsentralen</v>
      </c>
      <c r="B1479" t="str">
        <f ca="1">IFERROR(__xludf.DUMMYFUNCTION("""COMPUTED_VALUE"""),"BG32")</f>
        <v>BG32</v>
      </c>
    </row>
    <row r="1480" spans="1:2" ht="12.5" x14ac:dyDescent="0.25">
      <c r="A1480" t="str">
        <f ca="1">IFERROR(__xludf.DUMMYFUNCTION("""COMPUTED_VALUE"""),"Severna I Iztochna Bulgaria")</f>
        <v>Severna I Iztochna Bulgaria</v>
      </c>
      <c r="B1480" t="str">
        <f ca="1">IFERROR(__xludf.DUMMYFUNCTION("""COMPUTED_VALUE"""),"BG3")</f>
        <v>BG3</v>
      </c>
    </row>
    <row r="1481" spans="1:2" ht="12.5" x14ac:dyDescent="0.25">
      <c r="A1481" t="str">
        <f ca="1">IFERROR(__xludf.DUMMYFUNCTION("""COMPUTED_VALUE"""),"Severoiztochen")</f>
        <v>Severoiztochen</v>
      </c>
      <c r="B1481" t="str">
        <f ca="1">IFERROR(__xludf.DUMMYFUNCTION("""COMPUTED_VALUE"""),"BG33")</f>
        <v>BG33</v>
      </c>
    </row>
    <row r="1482" spans="1:2" ht="12.5" x14ac:dyDescent="0.25">
      <c r="A1482" t="str">
        <f ca="1">IFERROR(__xludf.DUMMYFUNCTION("""COMPUTED_VALUE"""),"Severovychod")</f>
        <v>Severovychod</v>
      </c>
      <c r="B1482" t="str">
        <f ca="1">IFERROR(__xludf.DUMMYFUNCTION("""COMPUTED_VALUE"""),"CZ05")</f>
        <v>CZ05</v>
      </c>
    </row>
    <row r="1483" spans="1:2" ht="12.5" x14ac:dyDescent="0.25">
      <c r="A1483" t="str">
        <f ca="1">IFERROR(__xludf.DUMMYFUNCTION("""COMPUTED_VALUE"""),"Severozapad")</f>
        <v>Severozapad</v>
      </c>
      <c r="B1483" t="str">
        <f ca="1">IFERROR(__xludf.DUMMYFUNCTION("""COMPUTED_VALUE"""),"CZ04")</f>
        <v>CZ04</v>
      </c>
    </row>
    <row r="1484" spans="1:2" ht="12.5" x14ac:dyDescent="0.25">
      <c r="A1484" t="str">
        <f ca="1">IFERROR(__xludf.DUMMYFUNCTION("""COMPUTED_VALUE"""),"Severozapaden")</f>
        <v>Severozapaden</v>
      </c>
      <c r="B1484" t="str">
        <f ca="1">IFERROR(__xludf.DUMMYFUNCTION("""COMPUTED_VALUE"""),"BG31")</f>
        <v>BG31</v>
      </c>
    </row>
    <row r="1485" spans="1:2" ht="12.5" x14ac:dyDescent="0.25">
      <c r="A1485" t="str">
        <f ca="1">IFERROR(__xludf.DUMMYFUNCTION("""COMPUTED_VALUE"""),"Sevilla")</f>
        <v>Sevilla</v>
      </c>
      <c r="B1485" t="str">
        <f ca="1">IFERROR(__xludf.DUMMYFUNCTION("""COMPUTED_VALUE"""),"ES618")</f>
        <v>ES618</v>
      </c>
    </row>
    <row r="1486" spans="1:2" ht="12.5" x14ac:dyDescent="0.25">
      <c r="A1486" t="str">
        <f ca="1">IFERROR(__xludf.DUMMYFUNCTION("""COMPUTED_VALUE"""),"Sheffield")</f>
        <v>Sheffield</v>
      </c>
      <c r="B1486" t="str">
        <f ca="1">IFERROR(__xludf.DUMMYFUNCTION("""COMPUTED_VALUE"""),"UKE32")</f>
        <v>UKE32</v>
      </c>
    </row>
    <row r="1487" spans="1:2" ht="12.5" x14ac:dyDescent="0.25">
      <c r="A1487" t="str">
        <f ca="1">IFERROR(__xludf.DUMMYFUNCTION("""COMPUTED_VALUE"""),"Shetland Islands")</f>
        <v>Shetland Islands</v>
      </c>
      <c r="B1487" t="str">
        <f ca="1">IFERROR(__xludf.DUMMYFUNCTION("""COMPUTED_VALUE"""),"UKM66")</f>
        <v>UKM66</v>
      </c>
    </row>
    <row r="1488" spans="1:2" ht="12.5" x14ac:dyDescent="0.25">
      <c r="A1488" t="str">
        <f ca="1">IFERROR(__xludf.DUMMYFUNCTION("""COMPUTED_VALUE"""),"Shropshire And Staffordshire")</f>
        <v>Shropshire And Staffordshire</v>
      </c>
      <c r="B1488" t="str">
        <f ca="1">IFERROR(__xludf.DUMMYFUNCTION("""COMPUTED_VALUE"""),"UKG2")</f>
        <v>UKG2</v>
      </c>
    </row>
    <row r="1489" spans="1:2" ht="12.5" x14ac:dyDescent="0.25">
      <c r="A1489" t="str">
        <f ca="1">IFERROR(__xludf.DUMMYFUNCTION("""COMPUTED_VALUE"""),"Shropshire Cc")</f>
        <v>Shropshire Cc</v>
      </c>
      <c r="B1489" t="str">
        <f ca="1">IFERROR(__xludf.DUMMYFUNCTION("""COMPUTED_VALUE"""),"UKG22")</f>
        <v>UKG22</v>
      </c>
    </row>
    <row r="1490" spans="1:2" ht="12.5" x14ac:dyDescent="0.25">
      <c r="A1490" t="str">
        <f ca="1">IFERROR(__xludf.DUMMYFUNCTION("""COMPUTED_VALUE"""),"Shumen")</f>
        <v>Shumen</v>
      </c>
      <c r="B1490" t="str">
        <f ca="1">IFERROR(__xludf.DUMMYFUNCTION("""COMPUTED_VALUE"""),"BG333")</f>
        <v>BG333</v>
      </c>
    </row>
    <row r="1491" spans="1:2" ht="12.5" x14ac:dyDescent="0.25">
      <c r="A1491" t="str">
        <f ca="1">IFERROR(__xludf.DUMMYFUNCTION("""COMPUTED_VALUE"""),"Siauliu Apskritis")</f>
        <v>Siauliu Apskritis</v>
      </c>
      <c r="B1491" t="str">
        <f ca="1">IFERROR(__xludf.DUMMYFUNCTION("""COMPUTED_VALUE"""),"LT006")</f>
        <v>LT006</v>
      </c>
    </row>
    <row r="1492" spans="1:2" ht="12.5" x14ac:dyDescent="0.25">
      <c r="A1492" t="str">
        <f ca="1">IFERROR(__xludf.DUMMYFUNCTION("""COMPUTED_VALUE"""),"Sibiu")</f>
        <v>Sibiu</v>
      </c>
      <c r="B1492" t="str">
        <f ca="1">IFERROR(__xludf.DUMMYFUNCTION("""COMPUTED_VALUE"""),"RO126")</f>
        <v>RO126</v>
      </c>
    </row>
    <row r="1493" spans="1:2" ht="12.5" x14ac:dyDescent="0.25">
      <c r="A1493" t="str">
        <f ca="1">IFERROR(__xludf.DUMMYFUNCTION("""COMPUTED_VALUE"""),"Sicilia")</f>
        <v>Sicilia</v>
      </c>
      <c r="B1493" t="str">
        <f ca="1">IFERROR(__xludf.DUMMYFUNCTION("""COMPUTED_VALUE"""),"ITG1")</f>
        <v>ITG1</v>
      </c>
    </row>
    <row r="1494" spans="1:2" ht="12.5" x14ac:dyDescent="0.25">
      <c r="A1494" t="str">
        <f ca="1">IFERROR(__xludf.DUMMYFUNCTION("""COMPUTED_VALUE"""),"Siegen-Wittgenstein")</f>
        <v>Siegen-Wittgenstein</v>
      </c>
      <c r="B1494" t="str">
        <f ca="1">IFERROR(__xludf.DUMMYFUNCTION("""COMPUTED_VALUE"""),"DEA5A")</f>
        <v>DEA5A</v>
      </c>
    </row>
    <row r="1495" spans="1:2" ht="12.5" x14ac:dyDescent="0.25">
      <c r="A1495" t="str">
        <f ca="1">IFERROR(__xludf.DUMMYFUNCTION("""COMPUTED_VALUE"""),"Siena")</f>
        <v>Siena</v>
      </c>
      <c r="B1495" t="str">
        <f ca="1">IFERROR(__xludf.DUMMYFUNCTION("""COMPUTED_VALUE"""),"ITE19")</f>
        <v>ITE19</v>
      </c>
    </row>
    <row r="1496" spans="1:2" ht="12.5" x14ac:dyDescent="0.25">
      <c r="A1496" t="str">
        <f ca="1">IFERROR(__xludf.DUMMYFUNCTION("""COMPUTED_VALUE"""),"Sieradzki")</f>
        <v>Sieradzki</v>
      </c>
      <c r="B1496" t="str">
        <f ca="1">IFERROR(__xludf.DUMMYFUNCTION("""COMPUTED_VALUE"""),"PL116")</f>
        <v>PL116</v>
      </c>
    </row>
    <row r="1497" spans="1:2" ht="12.5" x14ac:dyDescent="0.25">
      <c r="A1497" t="str">
        <f ca="1">IFERROR(__xludf.DUMMYFUNCTION("""COMPUTED_VALUE"""),"Sigmaringen")</f>
        <v>Sigmaringen</v>
      </c>
      <c r="B1497" t="str">
        <f ca="1">IFERROR(__xludf.DUMMYFUNCTION("""COMPUTED_VALUE"""),"DE149")</f>
        <v>DE149</v>
      </c>
    </row>
    <row r="1498" spans="1:2" ht="12.5" x14ac:dyDescent="0.25">
      <c r="A1498" t="str">
        <f ca="1">IFERROR(__xludf.DUMMYFUNCTION("""COMPUTED_VALUE"""),"Silistra")</f>
        <v>Silistra</v>
      </c>
      <c r="B1498" t="str">
        <f ca="1">IFERROR(__xludf.DUMMYFUNCTION("""COMPUTED_VALUE"""),"BG325")</f>
        <v>BG325</v>
      </c>
    </row>
    <row r="1499" spans="1:2" ht="12.5" x14ac:dyDescent="0.25">
      <c r="A1499" t="str">
        <f ca="1">IFERROR(__xludf.DUMMYFUNCTION("""COMPUTED_VALUE"""),"Siracusa")</f>
        <v>Siracusa</v>
      </c>
      <c r="B1499" t="str">
        <f ca="1">IFERROR(__xludf.DUMMYFUNCTION("""COMPUTED_VALUE"""),"ITG19")</f>
        <v>ITG19</v>
      </c>
    </row>
    <row r="1500" spans="1:2" ht="12.5" x14ac:dyDescent="0.25">
      <c r="A1500" t="str">
        <f ca="1">IFERROR(__xludf.DUMMYFUNCTION("""COMPUTED_VALUE"""),"Sjælland")</f>
        <v>Sjælland</v>
      </c>
      <c r="B1500" t="str">
        <f ca="1">IFERROR(__xludf.DUMMYFUNCTION("""COMPUTED_VALUE"""),"DK02")</f>
        <v>DK02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5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IFERROR(__xludf.DUMMYFUNCTION("importrange(""https://docs.google.com/spreadsheets/d/1C6N4-YWX9OMmNStd2rYlSUaVys-aiJGLj00cD44aVc8/edit#gid=1894320575"",""Country!A1:O2500"")"),"Value")</f>
        <v>Value</v>
      </c>
      <c r="B1" t="str">
        <f ca="1">IFERROR(__xludf.DUMMYFUNCTION("""COMPUTED_VALUE"""),"ID")</f>
        <v>ID</v>
      </c>
      <c r="C1" t="str">
        <f ca="1">IFERROR(__xludf.DUMMYFUNCTION("""COMPUTED_VALUE"""),"Comment")</f>
        <v>Comment</v>
      </c>
    </row>
    <row r="2" spans="1:3" ht="12.5" x14ac:dyDescent="0.25">
      <c r="A2" t="str">
        <f ca="1">IFERROR(__xludf.DUMMYFUNCTION("""COMPUTED_VALUE"""),"Afghanistan")</f>
        <v>Afghanistan</v>
      </c>
      <c r="B2" t="str">
        <f ca="1">IFERROR(__xludf.DUMMYFUNCTION("""COMPUTED_VALUE"""),"AF")</f>
        <v>AF</v>
      </c>
    </row>
    <row r="3" spans="1:3" ht="12.5" x14ac:dyDescent="0.25">
      <c r="A3" t="str">
        <f ca="1">IFERROR(__xludf.DUMMYFUNCTION("""COMPUTED_VALUE"""),"Aland Islands")</f>
        <v>Aland Islands</v>
      </c>
      <c r="B3" t="str">
        <f ca="1">IFERROR(__xludf.DUMMYFUNCTION("""COMPUTED_VALUE"""),"AX")</f>
        <v>AX</v>
      </c>
    </row>
    <row r="4" spans="1:3" ht="12.5" x14ac:dyDescent="0.25">
      <c r="A4" t="str">
        <f ca="1">IFERROR(__xludf.DUMMYFUNCTION("""COMPUTED_VALUE"""),"Albania")</f>
        <v>Albania</v>
      </c>
      <c r="B4" t="str">
        <f ca="1">IFERROR(__xludf.DUMMYFUNCTION("""COMPUTED_VALUE"""),"AL")</f>
        <v>AL</v>
      </c>
    </row>
    <row r="5" spans="1:3" ht="12.5" x14ac:dyDescent="0.25">
      <c r="A5" t="str">
        <f ca="1">IFERROR(__xludf.DUMMYFUNCTION("""COMPUTED_VALUE"""),"Algeria")</f>
        <v>Algeria</v>
      </c>
      <c r="B5" t="str">
        <f ca="1">IFERROR(__xludf.DUMMYFUNCTION("""COMPUTED_VALUE"""),"DZ")</f>
        <v>DZ</v>
      </c>
    </row>
    <row r="6" spans="1:3" ht="12.5" x14ac:dyDescent="0.25">
      <c r="A6" t="str">
        <f ca="1">IFERROR(__xludf.DUMMYFUNCTION("""COMPUTED_VALUE"""),"American Samoa")</f>
        <v>American Samoa</v>
      </c>
      <c r="B6" t="str">
        <f ca="1">IFERROR(__xludf.DUMMYFUNCTION("""COMPUTED_VALUE"""),"AS")</f>
        <v>AS</v>
      </c>
    </row>
    <row r="7" spans="1:3" ht="12.5" x14ac:dyDescent="0.25">
      <c r="A7" t="str">
        <f ca="1">IFERROR(__xludf.DUMMYFUNCTION("""COMPUTED_VALUE"""),"Andorra")</f>
        <v>Andorra</v>
      </c>
      <c r="B7" t="str">
        <f ca="1">IFERROR(__xludf.DUMMYFUNCTION("""COMPUTED_VALUE"""),"AD")</f>
        <v>AD</v>
      </c>
    </row>
    <row r="8" spans="1:3" ht="12.5" x14ac:dyDescent="0.25">
      <c r="A8" t="str">
        <f ca="1">IFERROR(__xludf.DUMMYFUNCTION("""COMPUTED_VALUE"""),"Angola")</f>
        <v>Angola</v>
      </c>
      <c r="B8" t="str">
        <f ca="1">IFERROR(__xludf.DUMMYFUNCTION("""COMPUTED_VALUE"""),"AO")</f>
        <v>AO</v>
      </c>
    </row>
    <row r="9" spans="1:3" ht="12.5" x14ac:dyDescent="0.25">
      <c r="A9" t="str">
        <f ca="1">IFERROR(__xludf.DUMMYFUNCTION("""COMPUTED_VALUE"""),"Anguilla")</f>
        <v>Anguilla</v>
      </c>
      <c r="B9" t="str">
        <f ca="1">IFERROR(__xludf.DUMMYFUNCTION("""COMPUTED_VALUE"""),"AI")</f>
        <v>AI</v>
      </c>
    </row>
    <row r="10" spans="1:3" ht="12.5" x14ac:dyDescent="0.25">
      <c r="A10" t="str">
        <f ca="1">IFERROR(__xludf.DUMMYFUNCTION("""COMPUTED_VALUE"""),"Antarctica")</f>
        <v>Antarctica</v>
      </c>
      <c r="B10" t="str">
        <f ca="1">IFERROR(__xludf.DUMMYFUNCTION("""COMPUTED_VALUE"""),"AQ")</f>
        <v>AQ</v>
      </c>
    </row>
    <row r="11" spans="1:3" ht="12.5" x14ac:dyDescent="0.25">
      <c r="A11" t="str">
        <f ca="1">IFERROR(__xludf.DUMMYFUNCTION("""COMPUTED_VALUE"""),"Antigua and Barbuda")</f>
        <v>Antigua and Barbuda</v>
      </c>
      <c r="B11" t="str">
        <f ca="1">IFERROR(__xludf.DUMMYFUNCTION("""COMPUTED_VALUE"""),"AG")</f>
        <v>AG</v>
      </c>
    </row>
    <row r="12" spans="1:3" ht="12.5" x14ac:dyDescent="0.25">
      <c r="A12" t="str">
        <f ca="1">IFERROR(__xludf.DUMMYFUNCTION("""COMPUTED_VALUE"""),"Argentina")</f>
        <v>Argentina</v>
      </c>
      <c r="B12" t="str">
        <f ca="1">IFERROR(__xludf.DUMMYFUNCTION("""COMPUTED_VALUE"""),"AR")</f>
        <v>AR</v>
      </c>
    </row>
    <row r="13" spans="1:3" ht="12.5" x14ac:dyDescent="0.25">
      <c r="A13" t="str">
        <f ca="1">IFERROR(__xludf.DUMMYFUNCTION("""COMPUTED_VALUE"""),"Armenia")</f>
        <v>Armenia</v>
      </c>
      <c r="B13" t="str">
        <f ca="1">IFERROR(__xludf.DUMMYFUNCTION("""COMPUTED_VALUE"""),"AM")</f>
        <v>AM</v>
      </c>
    </row>
    <row r="14" spans="1:3" ht="12.5" x14ac:dyDescent="0.25">
      <c r="A14" t="str">
        <f ca="1">IFERROR(__xludf.DUMMYFUNCTION("""COMPUTED_VALUE"""),"Aruba")</f>
        <v>Aruba</v>
      </c>
      <c r="B14" t="str">
        <f ca="1">IFERROR(__xludf.DUMMYFUNCTION("""COMPUTED_VALUE"""),"AW")</f>
        <v>AW</v>
      </c>
    </row>
    <row r="15" spans="1:3" ht="12.5" x14ac:dyDescent="0.25">
      <c r="A15" t="str">
        <f ca="1">IFERROR(__xludf.DUMMYFUNCTION("""COMPUTED_VALUE"""),"Australia")</f>
        <v>Australia</v>
      </c>
      <c r="B15" t="str">
        <f ca="1">IFERROR(__xludf.DUMMYFUNCTION("""COMPUTED_VALUE"""),"AU")</f>
        <v>AU</v>
      </c>
    </row>
    <row r="16" spans="1:3" ht="12.5" x14ac:dyDescent="0.25">
      <c r="A16" t="str">
        <f ca="1">IFERROR(__xludf.DUMMYFUNCTION("""COMPUTED_VALUE"""),"Austria")</f>
        <v>Austria</v>
      </c>
      <c r="B16" t="str">
        <f ca="1">IFERROR(__xludf.DUMMYFUNCTION("""COMPUTED_VALUE"""),"AT")</f>
        <v>AT</v>
      </c>
    </row>
    <row r="17" spans="1:2" ht="12.5" x14ac:dyDescent="0.25">
      <c r="A17" t="str">
        <f ca="1">IFERROR(__xludf.DUMMYFUNCTION("""COMPUTED_VALUE"""),"Azerbaijan")</f>
        <v>Azerbaijan</v>
      </c>
      <c r="B17" t="str">
        <f ca="1">IFERROR(__xludf.DUMMYFUNCTION("""COMPUTED_VALUE"""),"AZ")</f>
        <v>AZ</v>
      </c>
    </row>
    <row r="18" spans="1:2" ht="12.5" x14ac:dyDescent="0.25">
      <c r="A18" t="str">
        <f ca="1">IFERROR(__xludf.DUMMYFUNCTION("""COMPUTED_VALUE"""),"Bahamas")</f>
        <v>Bahamas</v>
      </c>
      <c r="B18" t="str">
        <f ca="1">IFERROR(__xludf.DUMMYFUNCTION("""COMPUTED_VALUE"""),"BS")</f>
        <v>BS</v>
      </c>
    </row>
    <row r="19" spans="1:2" ht="12.5" x14ac:dyDescent="0.25">
      <c r="A19" t="str">
        <f ca="1">IFERROR(__xludf.DUMMYFUNCTION("""COMPUTED_VALUE"""),"Bahrain")</f>
        <v>Bahrain</v>
      </c>
      <c r="B19" t="str">
        <f ca="1">IFERROR(__xludf.DUMMYFUNCTION("""COMPUTED_VALUE"""),"BH")</f>
        <v>BH</v>
      </c>
    </row>
    <row r="20" spans="1:2" ht="12.5" x14ac:dyDescent="0.25">
      <c r="A20" t="str">
        <f ca="1">IFERROR(__xludf.DUMMYFUNCTION("""COMPUTED_VALUE"""),"Bangladesh")</f>
        <v>Bangladesh</v>
      </c>
      <c r="B20" t="str">
        <f ca="1">IFERROR(__xludf.DUMMYFUNCTION("""COMPUTED_VALUE"""),"BD")</f>
        <v>BD</v>
      </c>
    </row>
    <row r="21" spans="1:2" ht="12.5" x14ac:dyDescent="0.25">
      <c r="A21" t="str">
        <f ca="1">IFERROR(__xludf.DUMMYFUNCTION("""COMPUTED_VALUE"""),"Barbados")</f>
        <v>Barbados</v>
      </c>
      <c r="B21" t="str">
        <f ca="1">IFERROR(__xludf.DUMMYFUNCTION("""COMPUTED_VALUE"""),"BB")</f>
        <v>BB</v>
      </c>
    </row>
    <row r="22" spans="1:2" ht="12.5" x14ac:dyDescent="0.25">
      <c r="A22" t="str">
        <f ca="1">IFERROR(__xludf.DUMMYFUNCTION("""COMPUTED_VALUE"""),"Belarus")</f>
        <v>Belarus</v>
      </c>
      <c r="B22" t="str">
        <f ca="1">IFERROR(__xludf.DUMMYFUNCTION("""COMPUTED_VALUE"""),"BY")</f>
        <v>BY</v>
      </c>
    </row>
    <row r="23" spans="1:2" ht="12.5" x14ac:dyDescent="0.25">
      <c r="A23" t="str">
        <f ca="1">IFERROR(__xludf.DUMMYFUNCTION("""COMPUTED_VALUE"""),"Belgium")</f>
        <v>Belgium</v>
      </c>
      <c r="B23" t="str">
        <f ca="1">IFERROR(__xludf.DUMMYFUNCTION("""COMPUTED_VALUE"""),"BE")</f>
        <v>BE</v>
      </c>
    </row>
    <row r="24" spans="1:2" ht="12.5" x14ac:dyDescent="0.25">
      <c r="A24" t="str">
        <f ca="1">IFERROR(__xludf.DUMMYFUNCTION("""COMPUTED_VALUE"""),"Belize")</f>
        <v>Belize</v>
      </c>
      <c r="B24" t="str">
        <f ca="1">IFERROR(__xludf.DUMMYFUNCTION("""COMPUTED_VALUE"""),"BZ")</f>
        <v>BZ</v>
      </c>
    </row>
    <row r="25" spans="1:2" ht="12.5" x14ac:dyDescent="0.25">
      <c r="A25" t="str">
        <f ca="1">IFERROR(__xludf.DUMMYFUNCTION("""COMPUTED_VALUE"""),"Benin")</f>
        <v>Benin</v>
      </c>
      <c r="B25" t="str">
        <f ca="1">IFERROR(__xludf.DUMMYFUNCTION("""COMPUTED_VALUE"""),"BJ")</f>
        <v>BJ</v>
      </c>
    </row>
    <row r="26" spans="1:2" ht="12.5" x14ac:dyDescent="0.25">
      <c r="A26" t="str">
        <f ca="1">IFERROR(__xludf.DUMMYFUNCTION("""COMPUTED_VALUE"""),"Bermuda")</f>
        <v>Bermuda</v>
      </c>
      <c r="B26" t="str">
        <f ca="1">IFERROR(__xludf.DUMMYFUNCTION("""COMPUTED_VALUE"""),"BM")</f>
        <v>BM</v>
      </c>
    </row>
    <row r="27" spans="1:2" ht="12.5" x14ac:dyDescent="0.25">
      <c r="A27" t="str">
        <f ca="1">IFERROR(__xludf.DUMMYFUNCTION("""COMPUTED_VALUE"""),"Bhutan")</f>
        <v>Bhutan</v>
      </c>
      <c r="B27" t="str">
        <f ca="1">IFERROR(__xludf.DUMMYFUNCTION("""COMPUTED_VALUE"""),"BT")</f>
        <v>BT</v>
      </c>
    </row>
    <row r="28" spans="1:2" ht="12.5" x14ac:dyDescent="0.25">
      <c r="A28" t="str">
        <f ca="1">IFERROR(__xludf.DUMMYFUNCTION("""COMPUTED_VALUE"""),"Bolivia, Plurinational State of")</f>
        <v>Bolivia, Plurinational State of</v>
      </c>
      <c r="B28" t="str">
        <f ca="1">IFERROR(__xludf.DUMMYFUNCTION("""COMPUTED_VALUE"""),"BO")</f>
        <v>BO</v>
      </c>
    </row>
    <row r="29" spans="1:2" ht="12.5" x14ac:dyDescent="0.25">
      <c r="A29" t="str">
        <f ca="1">IFERROR(__xludf.DUMMYFUNCTION("""COMPUTED_VALUE"""),"Bonaire, Sint Eustatius and Saba")</f>
        <v>Bonaire, Sint Eustatius and Saba</v>
      </c>
      <c r="B29" t="str">
        <f ca="1">IFERROR(__xludf.DUMMYFUNCTION("""COMPUTED_VALUE"""),"BQ")</f>
        <v>BQ</v>
      </c>
    </row>
    <row r="30" spans="1:2" ht="12.5" x14ac:dyDescent="0.25">
      <c r="A30" t="str">
        <f ca="1">IFERROR(__xludf.DUMMYFUNCTION("""COMPUTED_VALUE"""),"Bosnia and Herzegovina")</f>
        <v>Bosnia and Herzegovina</v>
      </c>
      <c r="B30" t="str">
        <f ca="1">IFERROR(__xludf.DUMMYFUNCTION("""COMPUTED_VALUE"""),"BA")</f>
        <v>BA</v>
      </c>
    </row>
    <row r="31" spans="1:2" ht="12.5" x14ac:dyDescent="0.25">
      <c r="A31" t="str">
        <f ca="1">IFERROR(__xludf.DUMMYFUNCTION("""COMPUTED_VALUE"""),"Botswana")</f>
        <v>Botswana</v>
      </c>
      <c r="B31" t="str">
        <f ca="1">IFERROR(__xludf.DUMMYFUNCTION("""COMPUTED_VALUE"""),"BW")</f>
        <v>BW</v>
      </c>
    </row>
    <row r="32" spans="1:2" ht="12.5" x14ac:dyDescent="0.25">
      <c r="A32" t="str">
        <f ca="1">IFERROR(__xludf.DUMMYFUNCTION("""COMPUTED_VALUE"""),"Bouvet Island")</f>
        <v>Bouvet Island</v>
      </c>
      <c r="B32" t="str">
        <f ca="1">IFERROR(__xludf.DUMMYFUNCTION("""COMPUTED_VALUE"""),"BV")</f>
        <v>BV</v>
      </c>
    </row>
    <row r="33" spans="1:2" ht="12.5" x14ac:dyDescent="0.25">
      <c r="A33" t="str">
        <f ca="1">IFERROR(__xludf.DUMMYFUNCTION("""COMPUTED_VALUE"""),"Brazil")</f>
        <v>Brazil</v>
      </c>
      <c r="B33" t="str">
        <f ca="1">IFERROR(__xludf.DUMMYFUNCTION("""COMPUTED_VALUE"""),"BR")</f>
        <v>BR</v>
      </c>
    </row>
    <row r="34" spans="1:2" ht="12.5" x14ac:dyDescent="0.25">
      <c r="A34" t="str">
        <f ca="1">IFERROR(__xludf.DUMMYFUNCTION("""COMPUTED_VALUE"""),"British Indian Ocean Territory")</f>
        <v>British Indian Ocean Territory</v>
      </c>
      <c r="B34" t="str">
        <f ca="1">IFERROR(__xludf.DUMMYFUNCTION("""COMPUTED_VALUE"""),"IO")</f>
        <v>IO</v>
      </c>
    </row>
    <row r="35" spans="1:2" ht="12.5" x14ac:dyDescent="0.25">
      <c r="A35" t="str">
        <f ca="1">IFERROR(__xludf.DUMMYFUNCTION("""COMPUTED_VALUE"""),"Brunei Darussalam")</f>
        <v>Brunei Darussalam</v>
      </c>
      <c r="B35" t="str">
        <f ca="1">IFERROR(__xludf.DUMMYFUNCTION("""COMPUTED_VALUE"""),"BN")</f>
        <v>BN</v>
      </c>
    </row>
    <row r="36" spans="1:2" ht="12.5" x14ac:dyDescent="0.25">
      <c r="A36" t="str">
        <f ca="1">IFERROR(__xludf.DUMMYFUNCTION("""COMPUTED_VALUE"""),"Bulgaria")</f>
        <v>Bulgaria</v>
      </c>
      <c r="B36" t="str">
        <f ca="1">IFERROR(__xludf.DUMMYFUNCTION("""COMPUTED_VALUE"""),"BG")</f>
        <v>BG</v>
      </c>
    </row>
    <row r="37" spans="1:2" ht="12.5" x14ac:dyDescent="0.25">
      <c r="A37" t="str">
        <f ca="1">IFERROR(__xludf.DUMMYFUNCTION("""COMPUTED_VALUE"""),"Burkina Faso")</f>
        <v>Burkina Faso</v>
      </c>
      <c r="B37" t="str">
        <f ca="1">IFERROR(__xludf.DUMMYFUNCTION("""COMPUTED_VALUE"""),"BF")</f>
        <v>BF</v>
      </c>
    </row>
    <row r="38" spans="1:2" ht="12.5" x14ac:dyDescent="0.25">
      <c r="A38" t="str">
        <f ca="1">IFERROR(__xludf.DUMMYFUNCTION("""COMPUTED_VALUE"""),"Burundi")</f>
        <v>Burundi</v>
      </c>
      <c r="B38" t="str">
        <f ca="1">IFERROR(__xludf.DUMMYFUNCTION("""COMPUTED_VALUE"""),"BI")</f>
        <v>BI</v>
      </c>
    </row>
    <row r="39" spans="1:2" ht="12.5" x14ac:dyDescent="0.25">
      <c r="A39" t="str">
        <f ca="1">IFERROR(__xludf.DUMMYFUNCTION("""COMPUTED_VALUE"""),"Cambodia")</f>
        <v>Cambodia</v>
      </c>
      <c r="B39" t="str">
        <f ca="1">IFERROR(__xludf.DUMMYFUNCTION("""COMPUTED_VALUE"""),"KH")</f>
        <v>KH</v>
      </c>
    </row>
    <row r="40" spans="1:2" ht="12.5" x14ac:dyDescent="0.25">
      <c r="A40" t="str">
        <f ca="1">IFERROR(__xludf.DUMMYFUNCTION("""COMPUTED_VALUE"""),"Cameroon")</f>
        <v>Cameroon</v>
      </c>
      <c r="B40" t="str">
        <f ca="1">IFERROR(__xludf.DUMMYFUNCTION("""COMPUTED_VALUE"""),"CM")</f>
        <v>CM</v>
      </c>
    </row>
    <row r="41" spans="1:2" ht="12.5" x14ac:dyDescent="0.25">
      <c r="A41" t="str">
        <f ca="1">IFERROR(__xludf.DUMMYFUNCTION("""COMPUTED_VALUE"""),"Canada")</f>
        <v>Canada</v>
      </c>
      <c r="B41" t="str">
        <f ca="1">IFERROR(__xludf.DUMMYFUNCTION("""COMPUTED_VALUE"""),"CA")</f>
        <v>CA</v>
      </c>
    </row>
    <row r="42" spans="1:2" ht="12.5" x14ac:dyDescent="0.25">
      <c r="A42" t="str">
        <f ca="1">IFERROR(__xludf.DUMMYFUNCTION("""COMPUTED_VALUE"""),"Cape Verde")</f>
        <v>Cape Verde</v>
      </c>
      <c r="B42" t="str">
        <f ca="1">IFERROR(__xludf.DUMMYFUNCTION("""COMPUTED_VALUE"""),"CV")</f>
        <v>CV</v>
      </c>
    </row>
    <row r="43" spans="1:2" ht="12.5" x14ac:dyDescent="0.25">
      <c r="A43" t="str">
        <f ca="1">IFERROR(__xludf.DUMMYFUNCTION("""COMPUTED_VALUE"""),"Cayman Islands")</f>
        <v>Cayman Islands</v>
      </c>
      <c r="B43" t="str">
        <f ca="1">IFERROR(__xludf.DUMMYFUNCTION("""COMPUTED_VALUE"""),"KY")</f>
        <v>KY</v>
      </c>
    </row>
    <row r="44" spans="1:2" ht="12.5" x14ac:dyDescent="0.25">
      <c r="A44" t="str">
        <f ca="1">IFERROR(__xludf.DUMMYFUNCTION("""COMPUTED_VALUE"""),"Central African Republic")</f>
        <v>Central African Republic</v>
      </c>
      <c r="B44" t="str">
        <f ca="1">IFERROR(__xludf.DUMMYFUNCTION("""COMPUTED_VALUE"""),"CF")</f>
        <v>CF</v>
      </c>
    </row>
    <row r="45" spans="1:2" ht="12.5" x14ac:dyDescent="0.25">
      <c r="A45" t="str">
        <f ca="1">IFERROR(__xludf.DUMMYFUNCTION("""COMPUTED_VALUE"""),"Chad")</f>
        <v>Chad</v>
      </c>
      <c r="B45" t="str">
        <f ca="1">IFERROR(__xludf.DUMMYFUNCTION("""COMPUTED_VALUE"""),"TD")</f>
        <v>TD</v>
      </c>
    </row>
    <row r="46" spans="1:2" ht="12.5" x14ac:dyDescent="0.25">
      <c r="A46" t="str">
        <f ca="1">IFERROR(__xludf.DUMMYFUNCTION("""COMPUTED_VALUE"""),"Chile")</f>
        <v>Chile</v>
      </c>
      <c r="B46" t="str">
        <f ca="1">IFERROR(__xludf.DUMMYFUNCTION("""COMPUTED_VALUE"""),"CL")</f>
        <v>CL</v>
      </c>
    </row>
    <row r="47" spans="1:2" ht="12.5" x14ac:dyDescent="0.25">
      <c r="A47" t="str">
        <f ca="1">IFERROR(__xludf.DUMMYFUNCTION("""COMPUTED_VALUE"""),"China")</f>
        <v>China</v>
      </c>
      <c r="B47" t="str">
        <f ca="1">IFERROR(__xludf.DUMMYFUNCTION("""COMPUTED_VALUE"""),"CN")</f>
        <v>CN</v>
      </c>
    </row>
    <row r="48" spans="1:2" ht="12.5" x14ac:dyDescent="0.25">
      <c r="A48" t="str">
        <f ca="1">IFERROR(__xludf.DUMMYFUNCTION("""COMPUTED_VALUE"""),"Christmas Island")</f>
        <v>Christmas Island</v>
      </c>
      <c r="B48" t="str">
        <f ca="1">IFERROR(__xludf.DUMMYFUNCTION("""COMPUTED_VALUE"""),"CX")</f>
        <v>CX</v>
      </c>
    </row>
    <row r="49" spans="1:2" ht="12.5" x14ac:dyDescent="0.25">
      <c r="A49" t="str">
        <f ca="1">IFERROR(__xludf.DUMMYFUNCTION("""COMPUTED_VALUE"""),"Cocos (Keeling) Islands")</f>
        <v>Cocos (Keeling) Islands</v>
      </c>
      <c r="B49" t="str">
        <f ca="1">IFERROR(__xludf.DUMMYFUNCTION("""COMPUTED_VALUE"""),"CC")</f>
        <v>CC</v>
      </c>
    </row>
    <row r="50" spans="1:2" ht="12.5" x14ac:dyDescent="0.25">
      <c r="A50" t="str">
        <f ca="1">IFERROR(__xludf.DUMMYFUNCTION("""COMPUTED_VALUE"""),"Colombia")</f>
        <v>Colombia</v>
      </c>
      <c r="B50" t="str">
        <f ca="1">IFERROR(__xludf.DUMMYFUNCTION("""COMPUTED_VALUE"""),"CO")</f>
        <v>CO</v>
      </c>
    </row>
    <row r="51" spans="1:2" ht="12.5" x14ac:dyDescent="0.25">
      <c r="A51" t="str">
        <f ca="1">IFERROR(__xludf.DUMMYFUNCTION("""COMPUTED_VALUE"""),"Comoros")</f>
        <v>Comoros</v>
      </c>
      <c r="B51" t="str">
        <f ca="1">IFERROR(__xludf.DUMMYFUNCTION("""COMPUTED_VALUE"""),"KM")</f>
        <v>KM</v>
      </c>
    </row>
    <row r="52" spans="1:2" ht="12.5" x14ac:dyDescent="0.25">
      <c r="A52" t="str">
        <f ca="1">IFERROR(__xludf.DUMMYFUNCTION("""COMPUTED_VALUE"""),"Congo")</f>
        <v>Congo</v>
      </c>
      <c r="B52" t="str">
        <f ca="1">IFERROR(__xludf.DUMMYFUNCTION("""COMPUTED_VALUE"""),"CG")</f>
        <v>CG</v>
      </c>
    </row>
    <row r="53" spans="1:2" ht="12.5" x14ac:dyDescent="0.25">
      <c r="A53" t="str">
        <f ca="1">IFERROR(__xludf.DUMMYFUNCTION("""COMPUTED_VALUE"""),"Congo, The Democratic Republic of the")</f>
        <v>Congo, The Democratic Republic of the</v>
      </c>
      <c r="B53" t="str">
        <f ca="1">IFERROR(__xludf.DUMMYFUNCTION("""COMPUTED_VALUE"""),"CD")</f>
        <v>CD</v>
      </c>
    </row>
    <row r="54" spans="1:2" ht="12.5" x14ac:dyDescent="0.25">
      <c r="A54" t="str">
        <f ca="1">IFERROR(__xludf.DUMMYFUNCTION("""COMPUTED_VALUE"""),"Cook Islands")</f>
        <v>Cook Islands</v>
      </c>
      <c r="B54" t="str">
        <f ca="1">IFERROR(__xludf.DUMMYFUNCTION("""COMPUTED_VALUE"""),"CK")</f>
        <v>CK</v>
      </c>
    </row>
    <row r="55" spans="1:2" ht="12.5" x14ac:dyDescent="0.25">
      <c r="A55" t="str">
        <f ca="1">IFERROR(__xludf.DUMMYFUNCTION("""COMPUTED_VALUE"""),"Costa Rica")</f>
        <v>Costa Rica</v>
      </c>
      <c r="B55" t="str">
        <f ca="1">IFERROR(__xludf.DUMMYFUNCTION("""COMPUTED_VALUE"""),"CR")</f>
        <v>CR</v>
      </c>
    </row>
    <row r="56" spans="1:2" ht="12.5" x14ac:dyDescent="0.25">
      <c r="A56" t="str">
        <f ca="1">IFERROR(__xludf.DUMMYFUNCTION("""COMPUTED_VALUE"""),"Côte d'Ivoire")</f>
        <v>Côte d'Ivoire</v>
      </c>
      <c r="B56" t="str">
        <f ca="1">IFERROR(__xludf.DUMMYFUNCTION("""COMPUTED_VALUE"""),"CI")</f>
        <v>CI</v>
      </c>
    </row>
    <row r="57" spans="1:2" ht="12.5" x14ac:dyDescent="0.25">
      <c r="A57" t="str">
        <f ca="1">IFERROR(__xludf.DUMMYFUNCTION("""COMPUTED_VALUE"""),"Croatia")</f>
        <v>Croatia</v>
      </c>
      <c r="B57" t="str">
        <f ca="1">IFERROR(__xludf.DUMMYFUNCTION("""COMPUTED_VALUE"""),"HR")</f>
        <v>HR</v>
      </c>
    </row>
    <row r="58" spans="1:2" ht="12.5" x14ac:dyDescent="0.25">
      <c r="A58" t="str">
        <f ca="1">IFERROR(__xludf.DUMMYFUNCTION("""COMPUTED_VALUE"""),"Cuba")</f>
        <v>Cuba</v>
      </c>
      <c r="B58" t="str">
        <f ca="1">IFERROR(__xludf.DUMMYFUNCTION("""COMPUTED_VALUE"""),"CU")</f>
        <v>CU</v>
      </c>
    </row>
    <row r="59" spans="1:2" ht="12.5" x14ac:dyDescent="0.25">
      <c r="A59" t="str">
        <f ca="1">IFERROR(__xludf.DUMMYFUNCTION("""COMPUTED_VALUE"""),"Curaçao")</f>
        <v>Curaçao</v>
      </c>
      <c r="B59" t="str">
        <f ca="1">IFERROR(__xludf.DUMMYFUNCTION("""COMPUTED_VALUE"""),"CW")</f>
        <v>CW</v>
      </c>
    </row>
    <row r="60" spans="1:2" ht="12.5" x14ac:dyDescent="0.25">
      <c r="A60" t="str">
        <f ca="1">IFERROR(__xludf.DUMMYFUNCTION("""COMPUTED_VALUE"""),"Cyprus")</f>
        <v>Cyprus</v>
      </c>
      <c r="B60" t="str">
        <f ca="1">IFERROR(__xludf.DUMMYFUNCTION("""COMPUTED_VALUE"""),"CY")</f>
        <v>CY</v>
      </c>
    </row>
    <row r="61" spans="1:2" ht="12.5" x14ac:dyDescent="0.25">
      <c r="A61" t="str">
        <f ca="1">IFERROR(__xludf.DUMMYFUNCTION("""COMPUTED_VALUE"""),"Czech Republic")</f>
        <v>Czech Republic</v>
      </c>
      <c r="B61" t="str">
        <f ca="1">IFERROR(__xludf.DUMMYFUNCTION("""COMPUTED_VALUE"""),"CZ")</f>
        <v>CZ</v>
      </c>
    </row>
    <row r="62" spans="1:2" ht="12.5" x14ac:dyDescent="0.25">
      <c r="A62" t="str">
        <f ca="1">IFERROR(__xludf.DUMMYFUNCTION("""COMPUTED_VALUE"""),"Denmark")</f>
        <v>Denmark</v>
      </c>
      <c r="B62" t="str">
        <f ca="1">IFERROR(__xludf.DUMMYFUNCTION("""COMPUTED_VALUE"""),"DK")</f>
        <v>DK</v>
      </c>
    </row>
    <row r="63" spans="1:2" ht="12.5" x14ac:dyDescent="0.25">
      <c r="A63" t="str">
        <f ca="1">IFERROR(__xludf.DUMMYFUNCTION("""COMPUTED_VALUE"""),"Djibouti")</f>
        <v>Djibouti</v>
      </c>
      <c r="B63" t="str">
        <f ca="1">IFERROR(__xludf.DUMMYFUNCTION("""COMPUTED_VALUE"""),"DJ")</f>
        <v>DJ</v>
      </c>
    </row>
    <row r="64" spans="1:2" ht="12.5" x14ac:dyDescent="0.25">
      <c r="A64" t="str">
        <f ca="1">IFERROR(__xludf.DUMMYFUNCTION("""COMPUTED_VALUE"""),"Dominica")</f>
        <v>Dominica</v>
      </c>
      <c r="B64" t="str">
        <f ca="1">IFERROR(__xludf.DUMMYFUNCTION("""COMPUTED_VALUE"""),"DM")</f>
        <v>DM</v>
      </c>
    </row>
    <row r="65" spans="1:2" ht="12.5" x14ac:dyDescent="0.25">
      <c r="A65" t="str">
        <f ca="1">IFERROR(__xludf.DUMMYFUNCTION("""COMPUTED_VALUE"""),"Dominican Republic")</f>
        <v>Dominican Republic</v>
      </c>
      <c r="B65" t="str">
        <f ca="1">IFERROR(__xludf.DUMMYFUNCTION("""COMPUTED_VALUE"""),"DO")</f>
        <v>DO</v>
      </c>
    </row>
    <row r="66" spans="1:2" ht="12.5" x14ac:dyDescent="0.25">
      <c r="A66" t="str">
        <f ca="1">IFERROR(__xludf.DUMMYFUNCTION("""COMPUTED_VALUE"""),"Ecuador")</f>
        <v>Ecuador</v>
      </c>
      <c r="B66" t="str">
        <f ca="1">IFERROR(__xludf.DUMMYFUNCTION("""COMPUTED_VALUE"""),"EC")</f>
        <v>EC</v>
      </c>
    </row>
    <row r="67" spans="1:2" ht="12.5" x14ac:dyDescent="0.25">
      <c r="A67" t="str">
        <f ca="1">IFERROR(__xludf.DUMMYFUNCTION("""COMPUTED_VALUE"""),"EEA")</f>
        <v>EEA</v>
      </c>
      <c r="B67" t="str">
        <f ca="1">IFERROR(__xludf.DUMMYFUNCTION("""COMPUTED_VALUE"""),"AA")</f>
        <v>AA</v>
      </c>
    </row>
    <row r="68" spans="1:2" ht="12.5" x14ac:dyDescent="0.25">
      <c r="A68" t="str">
        <f ca="1">IFERROR(__xludf.DUMMYFUNCTION("""COMPUTED_VALUE"""),"Egypt")</f>
        <v>Egypt</v>
      </c>
      <c r="B68" t="str">
        <f ca="1">IFERROR(__xludf.DUMMYFUNCTION("""COMPUTED_VALUE"""),"EG")</f>
        <v>EG</v>
      </c>
    </row>
    <row r="69" spans="1:2" ht="12.5" x14ac:dyDescent="0.25">
      <c r="A69" t="str">
        <f ca="1">IFERROR(__xludf.DUMMYFUNCTION("""COMPUTED_VALUE"""),"El Salvador")</f>
        <v>El Salvador</v>
      </c>
      <c r="B69" t="str">
        <f ca="1">IFERROR(__xludf.DUMMYFUNCTION("""COMPUTED_VALUE"""),"SV")</f>
        <v>SV</v>
      </c>
    </row>
    <row r="70" spans="1:2" ht="12.5" x14ac:dyDescent="0.25">
      <c r="A70" t="str">
        <f ca="1">IFERROR(__xludf.DUMMYFUNCTION("""COMPUTED_VALUE"""),"Equatorial Guinea")</f>
        <v>Equatorial Guinea</v>
      </c>
      <c r="B70" t="str">
        <f ca="1">IFERROR(__xludf.DUMMYFUNCTION("""COMPUTED_VALUE"""),"GQ")</f>
        <v>GQ</v>
      </c>
    </row>
    <row r="71" spans="1:2" ht="12.5" x14ac:dyDescent="0.25">
      <c r="A71" t="str">
        <f ca="1">IFERROR(__xludf.DUMMYFUNCTION("""COMPUTED_VALUE"""),"Eritrea")</f>
        <v>Eritrea</v>
      </c>
      <c r="B71" t="str">
        <f ca="1">IFERROR(__xludf.DUMMYFUNCTION("""COMPUTED_VALUE"""),"ER")</f>
        <v>ER</v>
      </c>
    </row>
    <row r="72" spans="1:2" ht="12.5" x14ac:dyDescent="0.25">
      <c r="A72" t="str">
        <f ca="1">IFERROR(__xludf.DUMMYFUNCTION("""COMPUTED_VALUE"""),"Estonia")</f>
        <v>Estonia</v>
      </c>
      <c r="B72" t="str">
        <f ca="1">IFERROR(__xludf.DUMMYFUNCTION("""COMPUTED_VALUE"""),"EE")</f>
        <v>EE</v>
      </c>
    </row>
    <row r="73" spans="1:2" ht="12.5" x14ac:dyDescent="0.25">
      <c r="A73" t="str">
        <f ca="1">IFERROR(__xludf.DUMMYFUNCTION("""COMPUTED_VALUE"""),"Ethiopia")</f>
        <v>Ethiopia</v>
      </c>
      <c r="B73" t="str">
        <f ca="1">IFERROR(__xludf.DUMMYFUNCTION("""COMPUTED_VALUE"""),"ET")</f>
        <v>ET</v>
      </c>
    </row>
    <row r="74" spans="1:2" ht="12.5" x14ac:dyDescent="0.25">
      <c r="A74" t="str">
        <f ca="1">IFERROR(__xludf.DUMMYFUNCTION("""COMPUTED_VALUE"""),"European Union")</f>
        <v>European Union</v>
      </c>
      <c r="B74" t="str">
        <f ca="1">IFERROR(__xludf.DUMMYFUNCTION("""COMPUTED_VALUE"""),"EU")</f>
        <v>EU</v>
      </c>
    </row>
    <row r="75" spans="1:2" ht="12.5" x14ac:dyDescent="0.25">
      <c r="A75" t="str">
        <f ca="1">IFERROR(__xludf.DUMMYFUNCTION("""COMPUTED_VALUE"""),"Falkland Islands (Malvinas)")</f>
        <v>Falkland Islands (Malvinas)</v>
      </c>
      <c r="B75" t="str">
        <f ca="1">IFERROR(__xludf.DUMMYFUNCTION("""COMPUTED_VALUE"""),"FK")</f>
        <v>FK</v>
      </c>
    </row>
    <row r="76" spans="1:2" ht="12.5" x14ac:dyDescent="0.25">
      <c r="A76" t="str">
        <f ca="1">IFERROR(__xludf.DUMMYFUNCTION("""COMPUTED_VALUE"""),"Faroe Islands")</f>
        <v>Faroe Islands</v>
      </c>
      <c r="B76" t="str">
        <f ca="1">IFERROR(__xludf.DUMMYFUNCTION("""COMPUTED_VALUE"""),"FO")</f>
        <v>FO</v>
      </c>
    </row>
    <row r="77" spans="1:2" ht="12.5" x14ac:dyDescent="0.25">
      <c r="A77" t="str">
        <f ca="1">IFERROR(__xludf.DUMMYFUNCTION("""COMPUTED_VALUE"""),"Fiji")</f>
        <v>Fiji</v>
      </c>
      <c r="B77" t="str">
        <f ca="1">IFERROR(__xludf.DUMMYFUNCTION("""COMPUTED_VALUE"""),"FJ")</f>
        <v>FJ</v>
      </c>
    </row>
    <row r="78" spans="1:2" ht="12.5" x14ac:dyDescent="0.25">
      <c r="A78" t="str">
        <f ca="1">IFERROR(__xludf.DUMMYFUNCTION("""COMPUTED_VALUE"""),"Finland")</f>
        <v>Finland</v>
      </c>
      <c r="B78" t="str">
        <f ca="1">IFERROR(__xludf.DUMMYFUNCTION("""COMPUTED_VALUE"""),"FI")</f>
        <v>FI</v>
      </c>
    </row>
    <row r="79" spans="1:2" ht="12.5" x14ac:dyDescent="0.25">
      <c r="A79" t="str">
        <f ca="1">IFERROR(__xludf.DUMMYFUNCTION("""COMPUTED_VALUE"""),"France")</f>
        <v>France</v>
      </c>
      <c r="B79" t="str">
        <f ca="1">IFERROR(__xludf.DUMMYFUNCTION("""COMPUTED_VALUE"""),"FR")</f>
        <v>FR</v>
      </c>
    </row>
    <row r="80" spans="1:2" ht="12.5" x14ac:dyDescent="0.25">
      <c r="A80" t="str">
        <f ca="1">IFERROR(__xludf.DUMMYFUNCTION("""COMPUTED_VALUE"""),"French Guiana")</f>
        <v>French Guiana</v>
      </c>
      <c r="B80" t="str">
        <f ca="1">IFERROR(__xludf.DUMMYFUNCTION("""COMPUTED_VALUE"""),"GF")</f>
        <v>GF</v>
      </c>
    </row>
    <row r="81" spans="1:2" ht="12.5" x14ac:dyDescent="0.25">
      <c r="A81" t="str">
        <f ca="1">IFERROR(__xludf.DUMMYFUNCTION("""COMPUTED_VALUE"""),"French Polynesia")</f>
        <v>French Polynesia</v>
      </c>
      <c r="B81" t="str">
        <f ca="1">IFERROR(__xludf.DUMMYFUNCTION("""COMPUTED_VALUE"""),"PF")</f>
        <v>PF</v>
      </c>
    </row>
    <row r="82" spans="1:2" ht="12.5" x14ac:dyDescent="0.25">
      <c r="A82" t="str">
        <f ca="1">IFERROR(__xludf.DUMMYFUNCTION("""COMPUTED_VALUE"""),"French Southern Territories")</f>
        <v>French Southern Territories</v>
      </c>
      <c r="B82" t="str">
        <f ca="1">IFERROR(__xludf.DUMMYFUNCTION("""COMPUTED_VALUE"""),"TF")</f>
        <v>TF</v>
      </c>
    </row>
    <row r="83" spans="1:2" ht="12.5" x14ac:dyDescent="0.25">
      <c r="A83" t="str">
        <f ca="1">IFERROR(__xludf.DUMMYFUNCTION("""COMPUTED_VALUE"""),"Gabon")</f>
        <v>Gabon</v>
      </c>
      <c r="B83" t="str">
        <f ca="1">IFERROR(__xludf.DUMMYFUNCTION("""COMPUTED_VALUE"""),"GA")</f>
        <v>GA</v>
      </c>
    </row>
    <row r="84" spans="1:2" ht="12.5" x14ac:dyDescent="0.25">
      <c r="A84" t="str">
        <f ca="1">IFERROR(__xludf.DUMMYFUNCTION("""COMPUTED_VALUE"""),"Gambia")</f>
        <v>Gambia</v>
      </c>
      <c r="B84" t="str">
        <f ca="1">IFERROR(__xludf.DUMMYFUNCTION("""COMPUTED_VALUE"""),"GM")</f>
        <v>GM</v>
      </c>
    </row>
    <row r="85" spans="1:2" ht="12.5" x14ac:dyDescent="0.25">
      <c r="A85" t="str">
        <f ca="1">IFERROR(__xludf.DUMMYFUNCTION("""COMPUTED_VALUE"""),"Georgia")</f>
        <v>Georgia</v>
      </c>
      <c r="B85" t="str">
        <f ca="1">IFERROR(__xludf.DUMMYFUNCTION("""COMPUTED_VALUE"""),"GE")</f>
        <v>GE</v>
      </c>
    </row>
    <row r="86" spans="1:2" ht="12.5" x14ac:dyDescent="0.25">
      <c r="A86" t="str">
        <f ca="1">IFERROR(__xludf.DUMMYFUNCTION("""COMPUTED_VALUE"""),"Germany")</f>
        <v>Germany</v>
      </c>
      <c r="B86" t="str">
        <f ca="1">IFERROR(__xludf.DUMMYFUNCTION("""COMPUTED_VALUE"""),"DE")</f>
        <v>DE</v>
      </c>
    </row>
    <row r="87" spans="1:2" ht="12.5" x14ac:dyDescent="0.25">
      <c r="A87" t="str">
        <f ca="1">IFERROR(__xludf.DUMMYFUNCTION("""COMPUTED_VALUE"""),"Ghana")</f>
        <v>Ghana</v>
      </c>
      <c r="B87" t="str">
        <f ca="1">IFERROR(__xludf.DUMMYFUNCTION("""COMPUTED_VALUE"""),"GH")</f>
        <v>GH</v>
      </c>
    </row>
    <row r="88" spans="1:2" ht="12.5" x14ac:dyDescent="0.25">
      <c r="A88" t="str">
        <f ca="1">IFERROR(__xludf.DUMMYFUNCTION("""COMPUTED_VALUE"""),"Gibraltar")</f>
        <v>Gibraltar</v>
      </c>
      <c r="B88" t="str">
        <f ca="1">IFERROR(__xludf.DUMMYFUNCTION("""COMPUTED_VALUE"""),"GI")</f>
        <v>GI</v>
      </c>
    </row>
    <row r="89" spans="1:2" ht="12.5" x14ac:dyDescent="0.25">
      <c r="A89" t="str">
        <f ca="1">IFERROR(__xludf.DUMMYFUNCTION("""COMPUTED_VALUE"""),"Greece")</f>
        <v>Greece</v>
      </c>
      <c r="B89" t="str">
        <f ca="1">IFERROR(__xludf.DUMMYFUNCTION("""COMPUTED_VALUE"""),"GR")</f>
        <v>GR</v>
      </c>
    </row>
    <row r="90" spans="1:2" ht="12.5" x14ac:dyDescent="0.25">
      <c r="A90" t="str">
        <f ca="1">IFERROR(__xludf.DUMMYFUNCTION("""COMPUTED_VALUE"""),"Greenland")</f>
        <v>Greenland</v>
      </c>
      <c r="B90" t="str">
        <f ca="1">IFERROR(__xludf.DUMMYFUNCTION("""COMPUTED_VALUE"""),"GL")</f>
        <v>GL</v>
      </c>
    </row>
    <row r="91" spans="1:2" ht="12.5" x14ac:dyDescent="0.25">
      <c r="A91" t="str">
        <f ca="1">IFERROR(__xludf.DUMMYFUNCTION("""COMPUTED_VALUE"""),"Grenada")</f>
        <v>Grenada</v>
      </c>
      <c r="B91" t="str">
        <f ca="1">IFERROR(__xludf.DUMMYFUNCTION("""COMPUTED_VALUE"""),"GD")</f>
        <v>GD</v>
      </c>
    </row>
    <row r="92" spans="1:2" ht="12.5" x14ac:dyDescent="0.25">
      <c r="A92" t="str">
        <f ca="1">IFERROR(__xludf.DUMMYFUNCTION("""COMPUTED_VALUE"""),"Guadeloupe")</f>
        <v>Guadeloupe</v>
      </c>
      <c r="B92" t="str">
        <f ca="1">IFERROR(__xludf.DUMMYFUNCTION("""COMPUTED_VALUE"""),"GP")</f>
        <v>GP</v>
      </c>
    </row>
    <row r="93" spans="1:2" ht="12.5" x14ac:dyDescent="0.25">
      <c r="A93" t="str">
        <f ca="1">IFERROR(__xludf.DUMMYFUNCTION("""COMPUTED_VALUE"""),"Guam")</f>
        <v>Guam</v>
      </c>
      <c r="B93" t="str">
        <f ca="1">IFERROR(__xludf.DUMMYFUNCTION("""COMPUTED_VALUE"""),"GU")</f>
        <v>GU</v>
      </c>
    </row>
    <row r="94" spans="1:2" ht="12.5" x14ac:dyDescent="0.25">
      <c r="A94" t="str">
        <f ca="1">IFERROR(__xludf.DUMMYFUNCTION("""COMPUTED_VALUE"""),"Guatemala")</f>
        <v>Guatemala</v>
      </c>
      <c r="B94" t="str">
        <f ca="1">IFERROR(__xludf.DUMMYFUNCTION("""COMPUTED_VALUE"""),"GT")</f>
        <v>GT</v>
      </c>
    </row>
    <row r="95" spans="1:2" ht="12.5" x14ac:dyDescent="0.25">
      <c r="A95" t="str">
        <f ca="1">IFERROR(__xludf.DUMMYFUNCTION("""COMPUTED_VALUE"""),"Guernsey")</f>
        <v>Guernsey</v>
      </c>
      <c r="B95" t="str">
        <f ca="1">IFERROR(__xludf.DUMMYFUNCTION("""COMPUTED_VALUE"""),"GG")</f>
        <v>GG</v>
      </c>
    </row>
    <row r="96" spans="1:2" ht="12.5" x14ac:dyDescent="0.25">
      <c r="A96" t="str">
        <f ca="1">IFERROR(__xludf.DUMMYFUNCTION("""COMPUTED_VALUE"""),"Guinea")</f>
        <v>Guinea</v>
      </c>
      <c r="B96" t="str">
        <f ca="1">IFERROR(__xludf.DUMMYFUNCTION("""COMPUTED_VALUE"""),"GN")</f>
        <v>GN</v>
      </c>
    </row>
    <row r="97" spans="1:2" ht="12.5" x14ac:dyDescent="0.25">
      <c r="A97" t="str">
        <f ca="1">IFERROR(__xludf.DUMMYFUNCTION("""COMPUTED_VALUE"""),"Guinea-Bissau")</f>
        <v>Guinea-Bissau</v>
      </c>
      <c r="B97" t="str">
        <f ca="1">IFERROR(__xludf.DUMMYFUNCTION("""COMPUTED_VALUE"""),"GW")</f>
        <v>GW</v>
      </c>
    </row>
    <row r="98" spans="1:2" ht="12.5" x14ac:dyDescent="0.25">
      <c r="A98" t="str">
        <f ca="1">IFERROR(__xludf.DUMMYFUNCTION("""COMPUTED_VALUE"""),"Guyana")</f>
        <v>Guyana</v>
      </c>
      <c r="B98" t="str">
        <f ca="1">IFERROR(__xludf.DUMMYFUNCTION("""COMPUTED_VALUE"""),"GY")</f>
        <v>GY</v>
      </c>
    </row>
    <row r="99" spans="1:2" ht="12.5" x14ac:dyDescent="0.25">
      <c r="A99" t="str">
        <f ca="1">IFERROR(__xludf.DUMMYFUNCTION("""COMPUTED_VALUE"""),"Haiti")</f>
        <v>Haiti</v>
      </c>
      <c r="B99" t="str">
        <f ca="1">IFERROR(__xludf.DUMMYFUNCTION("""COMPUTED_VALUE"""),"HT")</f>
        <v>HT</v>
      </c>
    </row>
    <row r="100" spans="1:2" ht="12.5" x14ac:dyDescent="0.25">
      <c r="A100" t="str">
        <f ca="1">IFERROR(__xludf.DUMMYFUNCTION("""COMPUTED_VALUE"""),"Heard Island and McDonald Islands")</f>
        <v>Heard Island and McDonald Islands</v>
      </c>
      <c r="B100" t="str">
        <f ca="1">IFERROR(__xludf.DUMMYFUNCTION("""COMPUTED_VALUE"""),"HM")</f>
        <v>HM</v>
      </c>
    </row>
    <row r="101" spans="1:2" ht="12.5" x14ac:dyDescent="0.25">
      <c r="A101" t="str">
        <f ca="1">IFERROR(__xludf.DUMMYFUNCTION("""COMPUTED_VALUE"""),"Holy See (Vatican City State)")</f>
        <v>Holy See (Vatican City State)</v>
      </c>
      <c r="B101" t="str">
        <f ca="1">IFERROR(__xludf.DUMMYFUNCTION("""COMPUTED_VALUE"""),"VA")</f>
        <v>VA</v>
      </c>
    </row>
    <row r="102" spans="1:2" ht="12.5" x14ac:dyDescent="0.25">
      <c r="A102" t="str">
        <f ca="1">IFERROR(__xludf.DUMMYFUNCTION("""COMPUTED_VALUE"""),"Honduras")</f>
        <v>Honduras</v>
      </c>
      <c r="B102" t="str">
        <f ca="1">IFERROR(__xludf.DUMMYFUNCTION("""COMPUTED_VALUE"""),"HN")</f>
        <v>HN</v>
      </c>
    </row>
    <row r="103" spans="1:2" ht="12.5" x14ac:dyDescent="0.25">
      <c r="A103" t="str">
        <f ca="1">IFERROR(__xludf.DUMMYFUNCTION("""COMPUTED_VALUE"""),"Hong Kong")</f>
        <v>Hong Kong</v>
      </c>
      <c r="B103" t="str">
        <f ca="1">IFERROR(__xludf.DUMMYFUNCTION("""COMPUTED_VALUE"""),"HK")</f>
        <v>HK</v>
      </c>
    </row>
    <row r="104" spans="1:2" ht="12.5" x14ac:dyDescent="0.25">
      <c r="A104" t="str">
        <f ca="1">IFERROR(__xludf.DUMMYFUNCTION("""COMPUTED_VALUE"""),"Hungary")</f>
        <v>Hungary</v>
      </c>
      <c r="B104" t="str">
        <f ca="1">IFERROR(__xludf.DUMMYFUNCTION("""COMPUTED_VALUE"""),"HU")</f>
        <v>HU</v>
      </c>
    </row>
    <row r="105" spans="1:2" ht="12.5" x14ac:dyDescent="0.25">
      <c r="A105" t="str">
        <f ca="1">IFERROR(__xludf.DUMMYFUNCTION("""COMPUTED_VALUE"""),"Iceland")</f>
        <v>Iceland</v>
      </c>
      <c r="B105" t="str">
        <f ca="1">IFERROR(__xludf.DUMMYFUNCTION("""COMPUTED_VALUE"""),"IS")</f>
        <v>IS</v>
      </c>
    </row>
    <row r="106" spans="1:2" ht="12.5" x14ac:dyDescent="0.25">
      <c r="A106" t="str">
        <f ca="1">IFERROR(__xludf.DUMMYFUNCTION("""COMPUTED_VALUE"""),"India")</f>
        <v>India</v>
      </c>
      <c r="B106" t="str">
        <f ca="1">IFERROR(__xludf.DUMMYFUNCTION("""COMPUTED_VALUE"""),"IN")</f>
        <v>IN</v>
      </c>
    </row>
    <row r="107" spans="1:2" ht="12.5" x14ac:dyDescent="0.25">
      <c r="A107" t="str">
        <f ca="1">IFERROR(__xludf.DUMMYFUNCTION("""COMPUTED_VALUE"""),"Indonesia")</f>
        <v>Indonesia</v>
      </c>
      <c r="B107" t="str">
        <f ca="1">IFERROR(__xludf.DUMMYFUNCTION("""COMPUTED_VALUE"""),"ID")</f>
        <v>ID</v>
      </c>
    </row>
    <row r="108" spans="1:2" ht="12.5" x14ac:dyDescent="0.25">
      <c r="A108" t="str">
        <f ca="1">IFERROR(__xludf.DUMMYFUNCTION("""COMPUTED_VALUE"""),"Iran, Islamic Republic of")</f>
        <v>Iran, Islamic Republic of</v>
      </c>
      <c r="B108" t="str">
        <f ca="1">IFERROR(__xludf.DUMMYFUNCTION("""COMPUTED_VALUE"""),"IR")</f>
        <v>IR</v>
      </c>
    </row>
    <row r="109" spans="1:2" ht="12.5" x14ac:dyDescent="0.25">
      <c r="A109" t="str">
        <f ca="1">IFERROR(__xludf.DUMMYFUNCTION("""COMPUTED_VALUE"""),"Iraq")</f>
        <v>Iraq</v>
      </c>
      <c r="B109" t="str">
        <f ca="1">IFERROR(__xludf.DUMMYFUNCTION("""COMPUTED_VALUE"""),"IQ")</f>
        <v>IQ</v>
      </c>
    </row>
    <row r="110" spans="1:2" ht="12.5" x14ac:dyDescent="0.25">
      <c r="A110" t="str">
        <f ca="1">IFERROR(__xludf.DUMMYFUNCTION("""COMPUTED_VALUE"""),"Ireland")</f>
        <v>Ireland</v>
      </c>
      <c r="B110" t="str">
        <f ca="1">IFERROR(__xludf.DUMMYFUNCTION("""COMPUTED_VALUE"""),"IE")</f>
        <v>IE</v>
      </c>
    </row>
    <row r="111" spans="1:2" ht="12.5" x14ac:dyDescent="0.25">
      <c r="A111" t="str">
        <f ca="1">IFERROR(__xludf.DUMMYFUNCTION("""COMPUTED_VALUE"""),"Isle of Man")</f>
        <v>Isle of Man</v>
      </c>
      <c r="B111" t="str">
        <f ca="1">IFERROR(__xludf.DUMMYFUNCTION("""COMPUTED_VALUE"""),"IM")</f>
        <v>IM</v>
      </c>
    </row>
    <row r="112" spans="1:2" ht="12.5" x14ac:dyDescent="0.25">
      <c r="A112" t="str">
        <f ca="1">IFERROR(__xludf.DUMMYFUNCTION("""COMPUTED_VALUE"""),"Israel")</f>
        <v>Israel</v>
      </c>
      <c r="B112" t="str">
        <f ca="1">IFERROR(__xludf.DUMMYFUNCTION("""COMPUTED_VALUE"""),"IL")</f>
        <v>IL</v>
      </c>
    </row>
    <row r="113" spans="1:2" ht="12.5" x14ac:dyDescent="0.25">
      <c r="A113" t="str">
        <f ca="1">IFERROR(__xludf.DUMMYFUNCTION("""COMPUTED_VALUE"""),"Italy")</f>
        <v>Italy</v>
      </c>
      <c r="B113" t="str">
        <f ca="1">IFERROR(__xludf.DUMMYFUNCTION("""COMPUTED_VALUE"""),"IT")</f>
        <v>IT</v>
      </c>
    </row>
    <row r="114" spans="1:2" ht="12.5" x14ac:dyDescent="0.25">
      <c r="A114" t="str">
        <f ca="1">IFERROR(__xludf.DUMMYFUNCTION("""COMPUTED_VALUE"""),"Jamaica")</f>
        <v>Jamaica</v>
      </c>
      <c r="B114" t="str">
        <f ca="1">IFERROR(__xludf.DUMMYFUNCTION("""COMPUTED_VALUE"""),"JM")</f>
        <v>JM</v>
      </c>
    </row>
    <row r="115" spans="1:2" ht="12.5" x14ac:dyDescent="0.25">
      <c r="A115" t="str">
        <f ca="1">IFERROR(__xludf.DUMMYFUNCTION("""COMPUTED_VALUE"""),"Japan")</f>
        <v>Japan</v>
      </c>
      <c r="B115" t="str">
        <f ca="1">IFERROR(__xludf.DUMMYFUNCTION("""COMPUTED_VALUE"""),"JP")</f>
        <v>JP</v>
      </c>
    </row>
    <row r="116" spans="1:2" ht="12.5" x14ac:dyDescent="0.25">
      <c r="A116" t="str">
        <f ca="1">IFERROR(__xludf.DUMMYFUNCTION("""COMPUTED_VALUE"""),"Jersey")</f>
        <v>Jersey</v>
      </c>
      <c r="B116" t="str">
        <f ca="1">IFERROR(__xludf.DUMMYFUNCTION("""COMPUTED_VALUE"""),"JE")</f>
        <v>JE</v>
      </c>
    </row>
    <row r="117" spans="1:2" ht="12.5" x14ac:dyDescent="0.25">
      <c r="A117" t="str">
        <f ca="1">IFERROR(__xludf.DUMMYFUNCTION("""COMPUTED_VALUE"""),"Jordan")</f>
        <v>Jordan</v>
      </c>
      <c r="B117" t="str">
        <f ca="1">IFERROR(__xludf.DUMMYFUNCTION("""COMPUTED_VALUE"""),"JO")</f>
        <v>JO</v>
      </c>
    </row>
    <row r="118" spans="1:2" ht="12.5" x14ac:dyDescent="0.25">
      <c r="A118" t="str">
        <f ca="1">IFERROR(__xludf.DUMMYFUNCTION("""COMPUTED_VALUE"""),"Kazakhstan")</f>
        <v>Kazakhstan</v>
      </c>
      <c r="B118" t="str">
        <f ca="1">IFERROR(__xludf.DUMMYFUNCTION("""COMPUTED_VALUE"""),"KZ")</f>
        <v>KZ</v>
      </c>
    </row>
    <row r="119" spans="1:2" ht="12.5" x14ac:dyDescent="0.25">
      <c r="A119" t="str">
        <f ca="1">IFERROR(__xludf.DUMMYFUNCTION("""COMPUTED_VALUE"""),"Kenya")</f>
        <v>Kenya</v>
      </c>
      <c r="B119" t="str">
        <f ca="1">IFERROR(__xludf.DUMMYFUNCTION("""COMPUTED_VALUE"""),"KE")</f>
        <v>KE</v>
      </c>
    </row>
    <row r="120" spans="1:2" ht="12.5" x14ac:dyDescent="0.25">
      <c r="A120" t="str">
        <f ca="1">IFERROR(__xludf.DUMMYFUNCTION("""COMPUTED_VALUE"""),"Kiribati")</f>
        <v>Kiribati</v>
      </c>
      <c r="B120" t="str">
        <f ca="1">IFERROR(__xludf.DUMMYFUNCTION("""COMPUTED_VALUE"""),"KI")</f>
        <v>KI</v>
      </c>
    </row>
    <row r="121" spans="1:2" ht="12.5" x14ac:dyDescent="0.25">
      <c r="A121" t="str">
        <f ca="1">IFERROR(__xludf.DUMMYFUNCTION("""COMPUTED_VALUE"""),"Korea, Democratic People's Republic of")</f>
        <v>Korea, Democratic People's Republic of</v>
      </c>
      <c r="B121" t="str">
        <f ca="1">IFERROR(__xludf.DUMMYFUNCTION("""COMPUTED_VALUE"""),"KP")</f>
        <v>KP</v>
      </c>
    </row>
    <row r="122" spans="1:2" ht="12.5" x14ac:dyDescent="0.25">
      <c r="A122" t="str">
        <f ca="1">IFERROR(__xludf.DUMMYFUNCTION("""COMPUTED_VALUE"""),"Korea, Republic of")</f>
        <v>Korea, Republic of</v>
      </c>
      <c r="B122" t="str">
        <f ca="1">IFERROR(__xludf.DUMMYFUNCTION("""COMPUTED_VALUE"""),"KR")</f>
        <v>KR</v>
      </c>
    </row>
    <row r="123" spans="1:2" ht="12.5" x14ac:dyDescent="0.25">
      <c r="A123" t="str">
        <f ca="1">IFERROR(__xludf.DUMMYFUNCTION("""COMPUTED_VALUE"""),"Kuwait")</f>
        <v>Kuwait</v>
      </c>
      <c r="B123" t="str">
        <f ca="1">IFERROR(__xludf.DUMMYFUNCTION("""COMPUTED_VALUE"""),"KW")</f>
        <v>KW</v>
      </c>
    </row>
    <row r="124" spans="1:2" ht="12.5" x14ac:dyDescent="0.25">
      <c r="A124" t="str">
        <f ca="1">IFERROR(__xludf.DUMMYFUNCTION("""COMPUTED_VALUE"""),"Kyrgyzstan")</f>
        <v>Kyrgyzstan</v>
      </c>
      <c r="B124" t="str">
        <f ca="1">IFERROR(__xludf.DUMMYFUNCTION("""COMPUTED_VALUE"""),"KG")</f>
        <v>KG</v>
      </c>
    </row>
    <row r="125" spans="1:2" ht="12.5" x14ac:dyDescent="0.25">
      <c r="A125" t="str">
        <f ca="1">IFERROR(__xludf.DUMMYFUNCTION("""COMPUTED_VALUE"""),"Lao People's Democratic Republic")</f>
        <v>Lao People's Democratic Republic</v>
      </c>
      <c r="B125" t="str">
        <f ca="1">IFERROR(__xludf.DUMMYFUNCTION("""COMPUTED_VALUE"""),"LA")</f>
        <v>LA</v>
      </c>
    </row>
    <row r="126" spans="1:2" ht="12.5" x14ac:dyDescent="0.25">
      <c r="A126" t="str">
        <f ca="1">IFERROR(__xludf.DUMMYFUNCTION("""COMPUTED_VALUE"""),"Latvia")</f>
        <v>Latvia</v>
      </c>
      <c r="B126" t="str">
        <f ca="1">IFERROR(__xludf.DUMMYFUNCTION("""COMPUTED_VALUE"""),"LV")</f>
        <v>LV</v>
      </c>
    </row>
    <row r="127" spans="1:2" ht="12.5" x14ac:dyDescent="0.25">
      <c r="A127" t="str">
        <f ca="1">IFERROR(__xludf.DUMMYFUNCTION("""COMPUTED_VALUE"""),"Lebanon")</f>
        <v>Lebanon</v>
      </c>
      <c r="B127" t="str">
        <f ca="1">IFERROR(__xludf.DUMMYFUNCTION("""COMPUTED_VALUE"""),"LB")</f>
        <v>LB</v>
      </c>
    </row>
    <row r="128" spans="1:2" ht="12.5" x14ac:dyDescent="0.25">
      <c r="A128" t="str">
        <f ca="1">IFERROR(__xludf.DUMMYFUNCTION("""COMPUTED_VALUE"""),"Lesotho")</f>
        <v>Lesotho</v>
      </c>
      <c r="B128" t="str">
        <f ca="1">IFERROR(__xludf.DUMMYFUNCTION("""COMPUTED_VALUE"""),"LS")</f>
        <v>LS</v>
      </c>
    </row>
    <row r="129" spans="1:2" ht="12.5" x14ac:dyDescent="0.25">
      <c r="A129" t="str">
        <f ca="1">IFERROR(__xludf.DUMMYFUNCTION("""COMPUTED_VALUE"""),"Liberia")</f>
        <v>Liberia</v>
      </c>
      <c r="B129" t="str">
        <f ca="1">IFERROR(__xludf.DUMMYFUNCTION("""COMPUTED_VALUE"""),"LR")</f>
        <v>LR</v>
      </c>
    </row>
    <row r="130" spans="1:2" ht="12.5" x14ac:dyDescent="0.25">
      <c r="A130" t="str">
        <f ca="1">IFERROR(__xludf.DUMMYFUNCTION("""COMPUTED_VALUE"""),"Libya")</f>
        <v>Libya</v>
      </c>
      <c r="B130" t="str">
        <f ca="1">IFERROR(__xludf.DUMMYFUNCTION("""COMPUTED_VALUE"""),"LY")</f>
        <v>LY</v>
      </c>
    </row>
    <row r="131" spans="1:2" ht="12.5" x14ac:dyDescent="0.25">
      <c r="A131" t="str">
        <f ca="1">IFERROR(__xludf.DUMMYFUNCTION("""COMPUTED_VALUE"""),"Liechtenstein")</f>
        <v>Liechtenstein</v>
      </c>
      <c r="B131" t="str">
        <f ca="1">IFERROR(__xludf.DUMMYFUNCTION("""COMPUTED_VALUE"""),"LI")</f>
        <v>LI</v>
      </c>
    </row>
    <row r="132" spans="1:2" ht="12.5" x14ac:dyDescent="0.25">
      <c r="A132" t="str">
        <f ca="1">IFERROR(__xludf.DUMMYFUNCTION("""COMPUTED_VALUE"""),"Lithuania")</f>
        <v>Lithuania</v>
      </c>
      <c r="B132" t="str">
        <f ca="1">IFERROR(__xludf.DUMMYFUNCTION("""COMPUTED_VALUE"""),"LT")</f>
        <v>LT</v>
      </c>
    </row>
    <row r="133" spans="1:2" ht="12.5" x14ac:dyDescent="0.25">
      <c r="A133" t="str">
        <f ca="1">IFERROR(__xludf.DUMMYFUNCTION("""COMPUTED_VALUE"""),"Luxembourg")</f>
        <v>Luxembourg</v>
      </c>
      <c r="B133" t="str">
        <f ca="1">IFERROR(__xludf.DUMMYFUNCTION("""COMPUTED_VALUE"""),"LU")</f>
        <v>LU</v>
      </c>
    </row>
    <row r="134" spans="1:2" ht="12.5" x14ac:dyDescent="0.25">
      <c r="A134" t="str">
        <f ca="1">IFERROR(__xludf.DUMMYFUNCTION("""COMPUTED_VALUE"""),"Macao")</f>
        <v>Macao</v>
      </c>
      <c r="B134" t="str">
        <f ca="1">IFERROR(__xludf.DUMMYFUNCTION("""COMPUTED_VALUE"""),"MO")</f>
        <v>MO</v>
      </c>
    </row>
    <row r="135" spans="1:2" ht="12.5" x14ac:dyDescent="0.25">
      <c r="A135" t="str">
        <f ca="1">IFERROR(__xludf.DUMMYFUNCTION("""COMPUTED_VALUE"""),"Macedonia, The Former Yugoslav Republic of")</f>
        <v>Macedonia, The Former Yugoslav Republic of</v>
      </c>
      <c r="B135" t="str">
        <f ca="1">IFERROR(__xludf.DUMMYFUNCTION("""COMPUTED_VALUE"""),"MK")</f>
        <v>MK</v>
      </c>
    </row>
    <row r="136" spans="1:2" ht="12.5" x14ac:dyDescent="0.25">
      <c r="A136" t="str">
        <f ca="1">IFERROR(__xludf.DUMMYFUNCTION("""COMPUTED_VALUE"""),"Madagascar")</f>
        <v>Madagascar</v>
      </c>
      <c r="B136" t="str">
        <f ca="1">IFERROR(__xludf.DUMMYFUNCTION("""COMPUTED_VALUE"""),"MG")</f>
        <v>MG</v>
      </c>
    </row>
    <row r="137" spans="1:2" ht="12.5" x14ac:dyDescent="0.25">
      <c r="A137" t="str">
        <f ca="1">IFERROR(__xludf.DUMMYFUNCTION("""COMPUTED_VALUE"""),"Malawi")</f>
        <v>Malawi</v>
      </c>
      <c r="B137" t="str">
        <f ca="1">IFERROR(__xludf.DUMMYFUNCTION("""COMPUTED_VALUE"""),"MW")</f>
        <v>MW</v>
      </c>
    </row>
    <row r="138" spans="1:2" ht="12.5" x14ac:dyDescent="0.25">
      <c r="A138" t="str">
        <f ca="1">IFERROR(__xludf.DUMMYFUNCTION("""COMPUTED_VALUE"""),"Malaysia")</f>
        <v>Malaysia</v>
      </c>
      <c r="B138" t="str">
        <f ca="1">IFERROR(__xludf.DUMMYFUNCTION("""COMPUTED_VALUE"""),"MY")</f>
        <v>MY</v>
      </c>
    </row>
    <row r="139" spans="1:2" ht="12.5" x14ac:dyDescent="0.25">
      <c r="A139" t="str">
        <f ca="1">IFERROR(__xludf.DUMMYFUNCTION("""COMPUTED_VALUE"""),"Maldives")</f>
        <v>Maldives</v>
      </c>
      <c r="B139" t="str">
        <f ca="1">IFERROR(__xludf.DUMMYFUNCTION("""COMPUTED_VALUE"""),"MV")</f>
        <v>MV</v>
      </c>
    </row>
    <row r="140" spans="1:2" ht="12.5" x14ac:dyDescent="0.25">
      <c r="A140" t="str">
        <f ca="1">IFERROR(__xludf.DUMMYFUNCTION("""COMPUTED_VALUE"""),"Mali")</f>
        <v>Mali</v>
      </c>
      <c r="B140" t="str">
        <f ca="1">IFERROR(__xludf.DUMMYFUNCTION("""COMPUTED_VALUE"""),"ML")</f>
        <v>ML</v>
      </c>
    </row>
    <row r="141" spans="1:2" ht="12.5" x14ac:dyDescent="0.25">
      <c r="A141" t="str">
        <f ca="1">IFERROR(__xludf.DUMMYFUNCTION("""COMPUTED_VALUE"""),"Malta")</f>
        <v>Malta</v>
      </c>
      <c r="B141" t="str">
        <f ca="1">IFERROR(__xludf.DUMMYFUNCTION("""COMPUTED_VALUE"""),"MT")</f>
        <v>MT</v>
      </c>
    </row>
    <row r="142" spans="1:2" ht="12.5" x14ac:dyDescent="0.25">
      <c r="A142" t="str">
        <f ca="1">IFERROR(__xludf.DUMMYFUNCTION("""COMPUTED_VALUE"""),"Marshall Islands")</f>
        <v>Marshall Islands</v>
      </c>
      <c r="B142" t="str">
        <f ca="1">IFERROR(__xludf.DUMMYFUNCTION("""COMPUTED_VALUE"""),"MH")</f>
        <v>MH</v>
      </c>
    </row>
    <row r="143" spans="1:2" ht="12.5" x14ac:dyDescent="0.25">
      <c r="A143" t="str">
        <f ca="1">IFERROR(__xludf.DUMMYFUNCTION("""COMPUTED_VALUE"""),"Martinique")</f>
        <v>Martinique</v>
      </c>
      <c r="B143" t="str">
        <f ca="1">IFERROR(__xludf.DUMMYFUNCTION("""COMPUTED_VALUE"""),"MQ")</f>
        <v>MQ</v>
      </c>
    </row>
    <row r="144" spans="1:2" ht="12.5" x14ac:dyDescent="0.25">
      <c r="A144" t="str">
        <f ca="1">IFERROR(__xludf.DUMMYFUNCTION("""COMPUTED_VALUE"""),"Mauritania")</f>
        <v>Mauritania</v>
      </c>
      <c r="B144" t="str">
        <f ca="1">IFERROR(__xludf.DUMMYFUNCTION("""COMPUTED_VALUE"""),"MR")</f>
        <v>MR</v>
      </c>
    </row>
    <row r="145" spans="1:2" ht="12.5" x14ac:dyDescent="0.25">
      <c r="A145" t="str">
        <f ca="1">IFERROR(__xludf.DUMMYFUNCTION("""COMPUTED_VALUE"""),"Mauritius")</f>
        <v>Mauritius</v>
      </c>
      <c r="B145" t="str">
        <f ca="1">IFERROR(__xludf.DUMMYFUNCTION("""COMPUTED_VALUE"""),"MU")</f>
        <v>MU</v>
      </c>
    </row>
    <row r="146" spans="1:2" ht="12.5" x14ac:dyDescent="0.25">
      <c r="A146" t="str">
        <f ca="1">IFERROR(__xludf.DUMMYFUNCTION("""COMPUTED_VALUE"""),"Mayotte")</f>
        <v>Mayotte</v>
      </c>
      <c r="B146" t="str">
        <f ca="1">IFERROR(__xludf.DUMMYFUNCTION("""COMPUTED_VALUE"""),"YT")</f>
        <v>YT</v>
      </c>
    </row>
    <row r="147" spans="1:2" ht="12.5" x14ac:dyDescent="0.25">
      <c r="A147" t="str">
        <f ca="1">IFERROR(__xludf.DUMMYFUNCTION("""COMPUTED_VALUE"""),"Mexico")</f>
        <v>Mexico</v>
      </c>
      <c r="B147" t="str">
        <f ca="1">IFERROR(__xludf.DUMMYFUNCTION("""COMPUTED_VALUE"""),"MX")</f>
        <v>MX</v>
      </c>
    </row>
    <row r="148" spans="1:2" ht="12.5" x14ac:dyDescent="0.25">
      <c r="A148" t="str">
        <f ca="1">IFERROR(__xludf.DUMMYFUNCTION("""COMPUTED_VALUE"""),"Micronesia, Federated States of")</f>
        <v>Micronesia, Federated States of</v>
      </c>
      <c r="B148" t="str">
        <f ca="1">IFERROR(__xludf.DUMMYFUNCTION("""COMPUTED_VALUE"""),"FM")</f>
        <v>FM</v>
      </c>
    </row>
    <row r="149" spans="1:2" ht="12.5" x14ac:dyDescent="0.25">
      <c r="A149" t="str">
        <f ca="1">IFERROR(__xludf.DUMMYFUNCTION("""COMPUTED_VALUE"""),"Moldova, Republic of")</f>
        <v>Moldova, Republic of</v>
      </c>
      <c r="B149" t="str">
        <f ca="1">IFERROR(__xludf.DUMMYFUNCTION("""COMPUTED_VALUE"""),"MD")</f>
        <v>MD</v>
      </c>
    </row>
    <row r="150" spans="1:2" ht="12.5" x14ac:dyDescent="0.25">
      <c r="A150" t="str">
        <f ca="1">IFERROR(__xludf.DUMMYFUNCTION("""COMPUTED_VALUE"""),"Monaco")</f>
        <v>Monaco</v>
      </c>
      <c r="B150" t="str">
        <f ca="1">IFERROR(__xludf.DUMMYFUNCTION("""COMPUTED_VALUE"""),"MC")</f>
        <v>MC</v>
      </c>
    </row>
    <row r="151" spans="1:2" ht="12.5" x14ac:dyDescent="0.25">
      <c r="A151" t="str">
        <f ca="1">IFERROR(__xludf.DUMMYFUNCTION("""COMPUTED_VALUE"""),"Mongolia")</f>
        <v>Mongolia</v>
      </c>
      <c r="B151" t="str">
        <f ca="1">IFERROR(__xludf.DUMMYFUNCTION("""COMPUTED_VALUE"""),"MN")</f>
        <v>MN</v>
      </c>
    </row>
    <row r="152" spans="1:2" ht="12.5" x14ac:dyDescent="0.25">
      <c r="A152" t="str">
        <f ca="1">IFERROR(__xludf.DUMMYFUNCTION("""COMPUTED_VALUE"""),"Montenegro")</f>
        <v>Montenegro</v>
      </c>
      <c r="B152" t="str">
        <f ca="1">IFERROR(__xludf.DUMMYFUNCTION("""COMPUTED_VALUE"""),"ME")</f>
        <v>ME</v>
      </c>
    </row>
    <row r="153" spans="1:2" ht="12.5" x14ac:dyDescent="0.25">
      <c r="A153" t="str">
        <f ca="1">IFERROR(__xludf.DUMMYFUNCTION("""COMPUTED_VALUE"""),"Montserrat")</f>
        <v>Montserrat</v>
      </c>
      <c r="B153" t="str">
        <f ca="1">IFERROR(__xludf.DUMMYFUNCTION("""COMPUTED_VALUE"""),"MS")</f>
        <v>MS</v>
      </c>
    </row>
    <row r="154" spans="1:2" ht="12.5" x14ac:dyDescent="0.25">
      <c r="A154" t="str">
        <f ca="1">IFERROR(__xludf.DUMMYFUNCTION("""COMPUTED_VALUE"""),"Morocco")</f>
        <v>Morocco</v>
      </c>
      <c r="B154" t="str">
        <f ca="1">IFERROR(__xludf.DUMMYFUNCTION("""COMPUTED_VALUE"""),"MA")</f>
        <v>MA</v>
      </c>
    </row>
    <row r="155" spans="1:2" ht="12.5" x14ac:dyDescent="0.25">
      <c r="A155" t="str">
        <f ca="1">IFERROR(__xludf.DUMMYFUNCTION("""COMPUTED_VALUE"""),"Mozambique")</f>
        <v>Mozambique</v>
      </c>
      <c r="B155" t="str">
        <f ca="1">IFERROR(__xludf.DUMMYFUNCTION("""COMPUTED_VALUE"""),"MZ")</f>
        <v>MZ</v>
      </c>
    </row>
    <row r="156" spans="1:2" ht="12.5" x14ac:dyDescent="0.25">
      <c r="A156" t="str">
        <f ca="1">IFERROR(__xludf.DUMMYFUNCTION("""COMPUTED_VALUE"""),"Myanmar")</f>
        <v>Myanmar</v>
      </c>
      <c r="B156" t="str">
        <f ca="1">IFERROR(__xludf.DUMMYFUNCTION("""COMPUTED_VALUE"""),"MM")</f>
        <v>MM</v>
      </c>
    </row>
    <row r="157" spans="1:2" ht="12.5" x14ac:dyDescent="0.25">
      <c r="A157" t="str">
        <f ca="1">IFERROR(__xludf.DUMMYFUNCTION("""COMPUTED_VALUE"""),"Namibia")</f>
        <v>Namibia</v>
      </c>
      <c r="B157" t="str">
        <f ca="1">IFERROR(__xludf.DUMMYFUNCTION("""COMPUTED_VALUE"""),"NA")</f>
        <v>NA</v>
      </c>
    </row>
    <row r="158" spans="1:2" ht="12.5" x14ac:dyDescent="0.25">
      <c r="A158" t="str">
        <f ca="1">IFERROR(__xludf.DUMMYFUNCTION("""COMPUTED_VALUE"""),"Nauru")</f>
        <v>Nauru</v>
      </c>
      <c r="B158" t="str">
        <f ca="1">IFERROR(__xludf.DUMMYFUNCTION("""COMPUTED_VALUE"""),"NR")</f>
        <v>NR</v>
      </c>
    </row>
    <row r="159" spans="1:2" ht="12.5" x14ac:dyDescent="0.25">
      <c r="A159" t="str">
        <f ca="1">IFERROR(__xludf.DUMMYFUNCTION("""COMPUTED_VALUE"""),"Nepal")</f>
        <v>Nepal</v>
      </c>
      <c r="B159" t="str">
        <f ca="1">IFERROR(__xludf.DUMMYFUNCTION("""COMPUTED_VALUE"""),"NP")</f>
        <v>NP</v>
      </c>
    </row>
    <row r="160" spans="1:2" ht="12.5" x14ac:dyDescent="0.25">
      <c r="A160" t="str">
        <f ca="1">IFERROR(__xludf.DUMMYFUNCTION("""COMPUTED_VALUE"""),"Netherlands")</f>
        <v>Netherlands</v>
      </c>
      <c r="B160" t="str">
        <f ca="1">IFERROR(__xludf.DUMMYFUNCTION("""COMPUTED_VALUE"""),"NL")</f>
        <v>NL</v>
      </c>
    </row>
    <row r="161" spans="1:2" ht="12.5" x14ac:dyDescent="0.25">
      <c r="A161" t="str">
        <f ca="1">IFERROR(__xludf.DUMMYFUNCTION("""COMPUTED_VALUE"""),"Netherlands Antilles")</f>
        <v>Netherlands Antilles</v>
      </c>
      <c r="B161" t="str">
        <f ca="1">IFERROR(__xludf.DUMMYFUNCTION("""COMPUTED_VALUE"""),"AN")</f>
        <v>AN</v>
      </c>
    </row>
    <row r="162" spans="1:2" ht="12.5" x14ac:dyDescent="0.25">
      <c r="A162" t="str">
        <f ca="1">IFERROR(__xludf.DUMMYFUNCTION("""COMPUTED_VALUE"""),"New Caledonia")</f>
        <v>New Caledonia</v>
      </c>
      <c r="B162" t="str">
        <f ca="1">IFERROR(__xludf.DUMMYFUNCTION("""COMPUTED_VALUE"""),"NC")</f>
        <v>NC</v>
      </c>
    </row>
    <row r="163" spans="1:2" ht="12.5" x14ac:dyDescent="0.25">
      <c r="A163" t="str">
        <f ca="1">IFERROR(__xludf.DUMMYFUNCTION("""COMPUTED_VALUE"""),"New Zealand")</f>
        <v>New Zealand</v>
      </c>
      <c r="B163" t="str">
        <f ca="1">IFERROR(__xludf.DUMMYFUNCTION("""COMPUTED_VALUE"""),"NZ")</f>
        <v>NZ</v>
      </c>
    </row>
    <row r="164" spans="1:2" ht="12.5" x14ac:dyDescent="0.25">
      <c r="A164" t="str">
        <f ca="1">IFERROR(__xludf.DUMMYFUNCTION("""COMPUTED_VALUE"""),"Nicaragua")</f>
        <v>Nicaragua</v>
      </c>
      <c r="B164" t="str">
        <f ca="1">IFERROR(__xludf.DUMMYFUNCTION("""COMPUTED_VALUE"""),"NI")</f>
        <v>NI</v>
      </c>
    </row>
    <row r="165" spans="1:2" ht="12.5" x14ac:dyDescent="0.25">
      <c r="A165" t="str">
        <f ca="1">IFERROR(__xludf.DUMMYFUNCTION("""COMPUTED_VALUE"""),"Niger")</f>
        <v>Niger</v>
      </c>
      <c r="B165" t="str">
        <f ca="1">IFERROR(__xludf.DUMMYFUNCTION("""COMPUTED_VALUE"""),"NE")</f>
        <v>NE</v>
      </c>
    </row>
    <row r="166" spans="1:2" ht="12.5" x14ac:dyDescent="0.25">
      <c r="A166" t="str">
        <f ca="1">IFERROR(__xludf.DUMMYFUNCTION("""COMPUTED_VALUE"""),"Nigeria")</f>
        <v>Nigeria</v>
      </c>
      <c r="B166" t="str">
        <f ca="1">IFERROR(__xludf.DUMMYFUNCTION("""COMPUTED_VALUE"""),"NG")</f>
        <v>NG</v>
      </c>
    </row>
    <row r="167" spans="1:2" ht="12.5" x14ac:dyDescent="0.25">
      <c r="A167" t="str">
        <f ca="1">IFERROR(__xludf.DUMMYFUNCTION("""COMPUTED_VALUE"""),"Niue")</f>
        <v>Niue</v>
      </c>
      <c r="B167" t="str">
        <f ca="1">IFERROR(__xludf.DUMMYFUNCTION("""COMPUTED_VALUE"""),"NU")</f>
        <v>NU</v>
      </c>
    </row>
    <row r="168" spans="1:2" ht="12.5" x14ac:dyDescent="0.25">
      <c r="A168" t="str">
        <f ca="1">IFERROR(__xludf.DUMMYFUNCTION("""COMPUTED_VALUE"""),"Non domestic, import")</f>
        <v>Non domestic, import</v>
      </c>
      <c r="B168" t="str">
        <f ca="1">IFERROR(__xludf.DUMMYFUNCTION("""COMPUTED_VALUE"""),"XD")</f>
        <v>XD</v>
      </c>
    </row>
    <row r="169" spans="1:2" ht="12.5" x14ac:dyDescent="0.25">
      <c r="A169" t="str">
        <f ca="1">IFERROR(__xludf.DUMMYFUNCTION("""COMPUTED_VALUE"""),"Non EEA")</f>
        <v>Non EEA</v>
      </c>
      <c r="B169" t="str">
        <f ca="1">IFERROR(__xludf.DUMMYFUNCTION("""COMPUTED_VALUE"""),"XC")</f>
        <v>XC</v>
      </c>
    </row>
    <row r="170" spans="1:2" ht="12.5" x14ac:dyDescent="0.25">
      <c r="A170" t="str">
        <f ca="1">IFERROR(__xludf.DUMMYFUNCTION("""COMPUTED_VALUE"""),"Non European Union")</f>
        <v>Non European Union</v>
      </c>
      <c r="B170" t="str">
        <f ca="1">IFERROR(__xludf.DUMMYFUNCTION("""COMPUTED_VALUE"""),"XE")</f>
        <v>XE</v>
      </c>
    </row>
    <row r="171" spans="1:2" ht="12.5" x14ac:dyDescent="0.25">
      <c r="A171" t="str">
        <f ca="1">IFERROR(__xludf.DUMMYFUNCTION("""COMPUTED_VALUE"""),"Norfolk Island")</f>
        <v>Norfolk Island</v>
      </c>
      <c r="B171" t="str">
        <f ca="1">IFERROR(__xludf.DUMMYFUNCTION("""COMPUTED_VALUE"""),"NF")</f>
        <v>NF</v>
      </c>
    </row>
    <row r="172" spans="1:2" ht="12.5" x14ac:dyDescent="0.25">
      <c r="A172" t="str">
        <f ca="1">IFERROR(__xludf.DUMMYFUNCTION("""COMPUTED_VALUE"""),"Northern Mariana Islands")</f>
        <v>Northern Mariana Islands</v>
      </c>
      <c r="B172" t="str">
        <f ca="1">IFERROR(__xludf.DUMMYFUNCTION("""COMPUTED_VALUE"""),"MP")</f>
        <v>MP</v>
      </c>
    </row>
    <row r="173" spans="1:2" ht="12.5" x14ac:dyDescent="0.25">
      <c r="A173" t="str">
        <f ca="1">IFERROR(__xludf.DUMMYFUNCTION("""COMPUTED_VALUE"""),"Norway")</f>
        <v>Norway</v>
      </c>
      <c r="B173" t="str">
        <f ca="1">IFERROR(__xludf.DUMMYFUNCTION("""COMPUTED_VALUE"""),"NO")</f>
        <v>NO</v>
      </c>
    </row>
    <row r="174" spans="1:2" ht="12.5" x14ac:dyDescent="0.25">
      <c r="A174" t="str">
        <f ca="1">IFERROR(__xludf.DUMMYFUNCTION("""COMPUTED_VALUE"""),"Oman")</f>
        <v>Oman</v>
      </c>
      <c r="B174" t="str">
        <f ca="1">IFERROR(__xludf.DUMMYFUNCTION("""COMPUTED_VALUE"""),"OM")</f>
        <v>OM</v>
      </c>
    </row>
    <row r="175" spans="1:2" ht="12.5" x14ac:dyDescent="0.25">
      <c r="A175" t="str">
        <f ca="1">IFERROR(__xludf.DUMMYFUNCTION("""COMPUTED_VALUE"""),"Pakistan")</f>
        <v>Pakistan</v>
      </c>
      <c r="B175" t="str">
        <f ca="1">IFERROR(__xludf.DUMMYFUNCTION("""COMPUTED_VALUE"""),"PK")</f>
        <v>PK</v>
      </c>
    </row>
    <row r="176" spans="1:2" ht="12.5" x14ac:dyDescent="0.25">
      <c r="A176" t="str">
        <f ca="1">IFERROR(__xludf.DUMMYFUNCTION("""COMPUTED_VALUE"""),"Palau")</f>
        <v>Palau</v>
      </c>
      <c r="B176" t="str">
        <f ca="1">IFERROR(__xludf.DUMMYFUNCTION("""COMPUTED_VALUE"""),"PW")</f>
        <v>PW</v>
      </c>
    </row>
    <row r="177" spans="1:2" ht="12.5" x14ac:dyDescent="0.25">
      <c r="A177" t="str">
        <f ca="1">IFERROR(__xludf.DUMMYFUNCTION("""COMPUTED_VALUE"""),"Palestinian Territory, Occupied")</f>
        <v>Palestinian Territory, Occupied</v>
      </c>
      <c r="B177" t="str">
        <f ca="1">IFERROR(__xludf.DUMMYFUNCTION("""COMPUTED_VALUE"""),"PS")</f>
        <v>PS</v>
      </c>
    </row>
    <row r="178" spans="1:2" ht="12.5" x14ac:dyDescent="0.25">
      <c r="A178" t="str">
        <f ca="1">IFERROR(__xludf.DUMMYFUNCTION("""COMPUTED_VALUE"""),"Panama")</f>
        <v>Panama</v>
      </c>
      <c r="B178" t="str">
        <f ca="1">IFERROR(__xludf.DUMMYFUNCTION("""COMPUTED_VALUE"""),"PA")</f>
        <v>PA</v>
      </c>
    </row>
    <row r="179" spans="1:2" ht="12.5" x14ac:dyDescent="0.25">
      <c r="A179" t="str">
        <f ca="1">IFERROR(__xludf.DUMMYFUNCTION("""COMPUTED_VALUE"""),"Papua New Guinea")</f>
        <v>Papua New Guinea</v>
      </c>
      <c r="B179" t="str">
        <f ca="1">IFERROR(__xludf.DUMMYFUNCTION("""COMPUTED_VALUE"""),"PG")</f>
        <v>PG</v>
      </c>
    </row>
    <row r="180" spans="1:2" ht="12.5" x14ac:dyDescent="0.25">
      <c r="A180" t="str">
        <f ca="1">IFERROR(__xludf.DUMMYFUNCTION("""COMPUTED_VALUE"""),"Paraguay")</f>
        <v>Paraguay</v>
      </c>
      <c r="B180" t="str">
        <f ca="1">IFERROR(__xludf.DUMMYFUNCTION("""COMPUTED_VALUE"""),"PY")</f>
        <v>PY</v>
      </c>
    </row>
    <row r="181" spans="1:2" ht="12.5" x14ac:dyDescent="0.25">
      <c r="A181" t="str">
        <f ca="1">IFERROR(__xludf.DUMMYFUNCTION("""COMPUTED_VALUE"""),"Peru")</f>
        <v>Peru</v>
      </c>
      <c r="B181" t="str">
        <f ca="1">IFERROR(__xludf.DUMMYFUNCTION("""COMPUTED_VALUE"""),"PE")</f>
        <v>PE</v>
      </c>
    </row>
    <row r="182" spans="1:2" ht="12.5" x14ac:dyDescent="0.25">
      <c r="A182" t="str">
        <f ca="1">IFERROR(__xludf.DUMMYFUNCTION("""COMPUTED_VALUE"""),"Philippines")</f>
        <v>Philippines</v>
      </c>
      <c r="B182" t="str">
        <f ca="1">IFERROR(__xludf.DUMMYFUNCTION("""COMPUTED_VALUE"""),"PH")</f>
        <v>PH</v>
      </c>
    </row>
    <row r="183" spans="1:2" ht="12.5" x14ac:dyDescent="0.25">
      <c r="A183" t="str">
        <f ca="1">IFERROR(__xludf.DUMMYFUNCTION("""COMPUTED_VALUE"""),"Pitcairn")</f>
        <v>Pitcairn</v>
      </c>
      <c r="B183" t="str">
        <f ca="1">IFERROR(__xludf.DUMMYFUNCTION("""COMPUTED_VALUE"""),"PN")</f>
        <v>PN</v>
      </c>
    </row>
    <row r="184" spans="1:2" ht="12.5" x14ac:dyDescent="0.25">
      <c r="A184" t="str">
        <f ca="1">IFERROR(__xludf.DUMMYFUNCTION("""COMPUTED_VALUE"""),"Poland")</f>
        <v>Poland</v>
      </c>
      <c r="B184" t="str">
        <f ca="1">IFERROR(__xludf.DUMMYFUNCTION("""COMPUTED_VALUE"""),"PL")</f>
        <v>PL</v>
      </c>
    </row>
    <row r="185" spans="1:2" ht="12.5" x14ac:dyDescent="0.25">
      <c r="A185" t="str">
        <f ca="1">IFERROR(__xludf.DUMMYFUNCTION("""COMPUTED_VALUE"""),"Portugal")</f>
        <v>Portugal</v>
      </c>
      <c r="B185" t="str">
        <f ca="1">IFERROR(__xludf.DUMMYFUNCTION("""COMPUTED_VALUE"""),"PT")</f>
        <v>PT</v>
      </c>
    </row>
    <row r="186" spans="1:2" ht="12.5" x14ac:dyDescent="0.25">
      <c r="A186" t="str">
        <f ca="1">IFERROR(__xludf.DUMMYFUNCTION("""COMPUTED_VALUE"""),"Puerto Rico")</f>
        <v>Puerto Rico</v>
      </c>
      <c r="B186" t="str">
        <f ca="1">IFERROR(__xludf.DUMMYFUNCTION("""COMPUTED_VALUE"""),"PR")</f>
        <v>PR</v>
      </c>
    </row>
    <row r="187" spans="1:2" ht="12.5" x14ac:dyDescent="0.25">
      <c r="A187" t="str">
        <f ca="1">IFERROR(__xludf.DUMMYFUNCTION("""COMPUTED_VALUE"""),"Qatar")</f>
        <v>Qatar</v>
      </c>
      <c r="B187" t="str">
        <f ca="1">IFERROR(__xludf.DUMMYFUNCTION("""COMPUTED_VALUE"""),"QA")</f>
        <v>QA</v>
      </c>
    </row>
    <row r="188" spans="1:2" ht="12.5" x14ac:dyDescent="0.25">
      <c r="A188" t="str">
        <f ca="1">IFERROR(__xludf.DUMMYFUNCTION("""COMPUTED_VALUE"""),"Reunion")</f>
        <v>Reunion</v>
      </c>
      <c r="B188" t="str">
        <f ca="1">IFERROR(__xludf.DUMMYFUNCTION("""COMPUTED_VALUE"""),"RE")</f>
        <v>RE</v>
      </c>
    </row>
    <row r="189" spans="1:2" ht="12.5" x14ac:dyDescent="0.25">
      <c r="A189" t="str">
        <f ca="1">IFERROR(__xludf.DUMMYFUNCTION("""COMPUTED_VALUE"""),"Romania")</f>
        <v>Romania</v>
      </c>
      <c r="B189" t="str">
        <f ca="1">IFERROR(__xludf.DUMMYFUNCTION("""COMPUTED_VALUE"""),"RO")</f>
        <v>RO</v>
      </c>
    </row>
    <row r="190" spans="1:2" ht="12.5" x14ac:dyDescent="0.25">
      <c r="A190" t="str">
        <f ca="1">IFERROR(__xludf.DUMMYFUNCTION("""COMPUTED_VALUE"""),"Russian Federation")</f>
        <v>Russian Federation</v>
      </c>
      <c r="B190" t="str">
        <f ca="1">IFERROR(__xludf.DUMMYFUNCTION("""COMPUTED_VALUE"""),"RU")</f>
        <v>RU</v>
      </c>
    </row>
    <row r="191" spans="1:2" ht="12.5" x14ac:dyDescent="0.25">
      <c r="A191" t="str">
        <f ca="1">IFERROR(__xludf.DUMMYFUNCTION("""COMPUTED_VALUE"""),"Rwanda")</f>
        <v>Rwanda</v>
      </c>
      <c r="B191" t="str">
        <f ca="1">IFERROR(__xludf.DUMMYFUNCTION("""COMPUTED_VALUE"""),"RW")</f>
        <v>RW</v>
      </c>
    </row>
    <row r="192" spans="1:2" ht="12.5" x14ac:dyDescent="0.25">
      <c r="A192" t="str">
        <f ca="1">IFERROR(__xludf.DUMMYFUNCTION("""COMPUTED_VALUE"""),"Saint Barthélemy")</f>
        <v>Saint Barthélemy</v>
      </c>
      <c r="B192" t="str">
        <f ca="1">IFERROR(__xludf.DUMMYFUNCTION("""COMPUTED_VALUE"""),"BL")</f>
        <v>BL</v>
      </c>
    </row>
    <row r="193" spans="1:2" ht="12.5" x14ac:dyDescent="0.25">
      <c r="A193" t="str">
        <f ca="1">IFERROR(__xludf.DUMMYFUNCTION("""COMPUTED_VALUE"""),"Saint Helena, Ascension and Tristan Da Cunha")</f>
        <v>Saint Helena, Ascension and Tristan Da Cunha</v>
      </c>
      <c r="B193" t="str">
        <f ca="1">IFERROR(__xludf.DUMMYFUNCTION("""COMPUTED_VALUE"""),"SH")</f>
        <v>SH</v>
      </c>
    </row>
    <row r="194" spans="1:2" ht="12.5" x14ac:dyDescent="0.25">
      <c r="A194" t="str">
        <f ca="1">IFERROR(__xludf.DUMMYFUNCTION("""COMPUTED_VALUE"""),"Saint Kitts and Nevis")</f>
        <v>Saint Kitts and Nevis</v>
      </c>
      <c r="B194" t="str">
        <f ca="1">IFERROR(__xludf.DUMMYFUNCTION("""COMPUTED_VALUE"""),"KN")</f>
        <v>KN</v>
      </c>
    </row>
    <row r="195" spans="1:2" ht="12.5" x14ac:dyDescent="0.25">
      <c r="A195" t="str">
        <f ca="1">IFERROR(__xludf.DUMMYFUNCTION("""COMPUTED_VALUE"""),"Saint Lucia")</f>
        <v>Saint Lucia</v>
      </c>
      <c r="B195" t="str">
        <f ca="1">IFERROR(__xludf.DUMMYFUNCTION("""COMPUTED_VALUE"""),"LC")</f>
        <v>LC</v>
      </c>
    </row>
    <row r="196" spans="1:2" ht="12.5" x14ac:dyDescent="0.25">
      <c r="A196" t="str">
        <f ca="1">IFERROR(__xludf.DUMMYFUNCTION("""COMPUTED_VALUE"""),"Saint Martin (French Part)")</f>
        <v>Saint Martin (French Part)</v>
      </c>
      <c r="B196" t="str">
        <f ca="1">IFERROR(__xludf.DUMMYFUNCTION("""COMPUTED_VALUE"""),"MF")</f>
        <v>MF</v>
      </c>
    </row>
    <row r="197" spans="1:2" ht="12.5" x14ac:dyDescent="0.25">
      <c r="A197" t="str">
        <f ca="1">IFERROR(__xludf.DUMMYFUNCTION("""COMPUTED_VALUE"""),"Saint Pierre And Miquelon")</f>
        <v>Saint Pierre And Miquelon</v>
      </c>
      <c r="B197" t="str">
        <f ca="1">IFERROR(__xludf.DUMMYFUNCTION("""COMPUTED_VALUE"""),"PM")</f>
        <v>PM</v>
      </c>
    </row>
    <row r="198" spans="1:2" ht="12.5" x14ac:dyDescent="0.25">
      <c r="A198" t="str">
        <f ca="1">IFERROR(__xludf.DUMMYFUNCTION("""COMPUTED_VALUE"""),"Saint Vincent and the Grenadines")</f>
        <v>Saint Vincent and the Grenadines</v>
      </c>
      <c r="B198" t="str">
        <f ca="1">IFERROR(__xludf.DUMMYFUNCTION("""COMPUTED_VALUE"""),"VC")</f>
        <v>VC</v>
      </c>
    </row>
    <row r="199" spans="1:2" ht="12.5" x14ac:dyDescent="0.25">
      <c r="A199" t="str">
        <f ca="1">IFERROR(__xludf.DUMMYFUNCTION("""COMPUTED_VALUE"""),"Samoa")</f>
        <v>Samoa</v>
      </c>
      <c r="B199" t="str">
        <f ca="1">IFERROR(__xludf.DUMMYFUNCTION("""COMPUTED_VALUE"""),"WS")</f>
        <v>WS</v>
      </c>
    </row>
    <row r="200" spans="1:2" ht="12.5" x14ac:dyDescent="0.25">
      <c r="A200" t="str">
        <f ca="1">IFERROR(__xludf.DUMMYFUNCTION("""COMPUTED_VALUE"""),"San Marino")</f>
        <v>San Marino</v>
      </c>
      <c r="B200" t="str">
        <f ca="1">IFERROR(__xludf.DUMMYFUNCTION("""COMPUTED_VALUE"""),"SM")</f>
        <v>SM</v>
      </c>
    </row>
    <row r="201" spans="1:2" ht="12.5" x14ac:dyDescent="0.25">
      <c r="A201" t="str">
        <f ca="1">IFERROR(__xludf.DUMMYFUNCTION("""COMPUTED_VALUE"""),"Sao Tome and Principe")</f>
        <v>Sao Tome and Principe</v>
      </c>
      <c r="B201" t="str">
        <f ca="1">IFERROR(__xludf.DUMMYFUNCTION("""COMPUTED_VALUE"""),"ST")</f>
        <v>ST</v>
      </c>
    </row>
    <row r="202" spans="1:2" ht="12.5" x14ac:dyDescent="0.25">
      <c r="A202" t="str">
        <f ca="1">IFERROR(__xludf.DUMMYFUNCTION("""COMPUTED_VALUE"""),"Saudi Arabia")</f>
        <v>Saudi Arabia</v>
      </c>
      <c r="B202" t="str">
        <f ca="1">IFERROR(__xludf.DUMMYFUNCTION("""COMPUTED_VALUE"""),"SA")</f>
        <v>SA</v>
      </c>
    </row>
    <row r="203" spans="1:2" ht="12.5" x14ac:dyDescent="0.25">
      <c r="A203" t="str">
        <f ca="1">IFERROR(__xludf.DUMMYFUNCTION("""COMPUTED_VALUE"""),"Senegal")</f>
        <v>Senegal</v>
      </c>
      <c r="B203" t="str">
        <f ca="1">IFERROR(__xludf.DUMMYFUNCTION("""COMPUTED_VALUE"""),"SN")</f>
        <v>SN</v>
      </c>
    </row>
    <row r="204" spans="1:2" ht="12.5" x14ac:dyDescent="0.25">
      <c r="A204" t="str">
        <f ca="1">IFERROR(__xludf.DUMMYFUNCTION("""COMPUTED_VALUE"""),"Serbia")</f>
        <v>Serbia</v>
      </c>
      <c r="B204" t="str">
        <f ca="1">IFERROR(__xludf.DUMMYFUNCTION("""COMPUTED_VALUE"""),"RS")</f>
        <v>RS</v>
      </c>
    </row>
    <row r="205" spans="1:2" ht="12.5" x14ac:dyDescent="0.25">
      <c r="A205" t="str">
        <f ca="1">IFERROR(__xludf.DUMMYFUNCTION("""COMPUTED_VALUE"""),"Seychelles")</f>
        <v>Seychelles</v>
      </c>
      <c r="B205" t="str">
        <f ca="1">IFERROR(__xludf.DUMMYFUNCTION("""COMPUTED_VALUE"""),"SC")</f>
        <v>SC</v>
      </c>
    </row>
    <row r="206" spans="1:2" ht="12.5" x14ac:dyDescent="0.25">
      <c r="A206" t="str">
        <f ca="1">IFERROR(__xludf.DUMMYFUNCTION("""COMPUTED_VALUE"""),"Sierra Leone")</f>
        <v>Sierra Leone</v>
      </c>
      <c r="B206" t="str">
        <f ca="1">IFERROR(__xludf.DUMMYFUNCTION("""COMPUTED_VALUE"""),"SL")</f>
        <v>SL</v>
      </c>
    </row>
    <row r="207" spans="1:2" ht="12.5" x14ac:dyDescent="0.25">
      <c r="A207" t="str">
        <f ca="1">IFERROR(__xludf.DUMMYFUNCTION("""COMPUTED_VALUE"""),"Singapore")</f>
        <v>Singapore</v>
      </c>
      <c r="B207" t="str">
        <f ca="1">IFERROR(__xludf.DUMMYFUNCTION("""COMPUTED_VALUE"""),"SG")</f>
        <v>SG</v>
      </c>
    </row>
    <row r="208" spans="1:2" ht="12.5" x14ac:dyDescent="0.25">
      <c r="A208" t="str">
        <f ca="1">IFERROR(__xludf.DUMMYFUNCTION("""COMPUTED_VALUE"""),"Sint Maarten (Dutch Part)")</f>
        <v>Sint Maarten (Dutch Part)</v>
      </c>
      <c r="B208" t="str">
        <f ca="1">IFERROR(__xludf.DUMMYFUNCTION("""COMPUTED_VALUE"""),"SX")</f>
        <v>SX</v>
      </c>
    </row>
    <row r="209" spans="1:2" ht="12.5" x14ac:dyDescent="0.25">
      <c r="A209" t="str">
        <f ca="1">IFERROR(__xludf.DUMMYFUNCTION("""COMPUTED_VALUE"""),"Slovakia")</f>
        <v>Slovakia</v>
      </c>
      <c r="B209" t="str">
        <f ca="1">IFERROR(__xludf.DUMMYFUNCTION("""COMPUTED_VALUE"""),"SK")</f>
        <v>SK</v>
      </c>
    </row>
    <row r="210" spans="1:2" ht="12.5" x14ac:dyDescent="0.25">
      <c r="A210" t="str">
        <f ca="1">IFERROR(__xludf.DUMMYFUNCTION("""COMPUTED_VALUE"""),"Slovenia")</f>
        <v>Slovenia</v>
      </c>
      <c r="B210" t="str">
        <f ca="1">IFERROR(__xludf.DUMMYFUNCTION("""COMPUTED_VALUE"""),"SI")</f>
        <v>SI</v>
      </c>
    </row>
    <row r="211" spans="1:2" ht="12.5" x14ac:dyDescent="0.25">
      <c r="A211" t="str">
        <f ca="1">IFERROR(__xludf.DUMMYFUNCTION("""COMPUTED_VALUE"""),"Solomon Islands")</f>
        <v>Solomon Islands</v>
      </c>
      <c r="B211" t="str">
        <f ca="1">IFERROR(__xludf.DUMMYFUNCTION("""COMPUTED_VALUE"""),"SB")</f>
        <v>SB</v>
      </c>
    </row>
    <row r="212" spans="1:2" ht="12.5" x14ac:dyDescent="0.25">
      <c r="A212" t="str">
        <f ca="1">IFERROR(__xludf.DUMMYFUNCTION("""COMPUTED_VALUE"""),"Somalia")</f>
        <v>Somalia</v>
      </c>
      <c r="B212" t="str">
        <f ca="1">IFERROR(__xludf.DUMMYFUNCTION("""COMPUTED_VALUE"""),"SO")</f>
        <v>SO</v>
      </c>
    </row>
    <row r="213" spans="1:2" ht="12.5" x14ac:dyDescent="0.25">
      <c r="A213" t="str">
        <f ca="1">IFERROR(__xludf.DUMMYFUNCTION("""COMPUTED_VALUE"""),"South Africa")</f>
        <v>South Africa</v>
      </c>
      <c r="B213" t="str">
        <f ca="1">IFERROR(__xludf.DUMMYFUNCTION("""COMPUTED_VALUE"""),"ZA")</f>
        <v>ZA</v>
      </c>
    </row>
    <row r="214" spans="1:2" ht="12.5" x14ac:dyDescent="0.25">
      <c r="A214" t="str">
        <f ca="1">IFERROR(__xludf.DUMMYFUNCTION("""COMPUTED_VALUE"""),"South Georgia and The South Sandwich Islands")</f>
        <v>South Georgia and The South Sandwich Islands</v>
      </c>
      <c r="B214" t="str">
        <f ca="1">IFERROR(__xludf.DUMMYFUNCTION("""COMPUTED_VALUE"""),"GS")</f>
        <v>GS</v>
      </c>
    </row>
    <row r="215" spans="1:2" ht="12.5" x14ac:dyDescent="0.25">
      <c r="A215" t="str">
        <f ca="1">IFERROR(__xludf.DUMMYFUNCTION("""COMPUTED_VALUE"""),"Spain")</f>
        <v>Spain</v>
      </c>
      <c r="B215" t="str">
        <f ca="1">IFERROR(__xludf.DUMMYFUNCTION("""COMPUTED_VALUE"""),"ES")</f>
        <v>ES</v>
      </c>
    </row>
    <row r="216" spans="1:2" ht="12.5" x14ac:dyDescent="0.25">
      <c r="A216" t="str">
        <f ca="1">IFERROR(__xludf.DUMMYFUNCTION("""COMPUTED_VALUE"""),"Sri Lanka")</f>
        <v>Sri Lanka</v>
      </c>
      <c r="B216" t="str">
        <f ca="1">IFERROR(__xludf.DUMMYFUNCTION("""COMPUTED_VALUE"""),"LK")</f>
        <v>LK</v>
      </c>
    </row>
    <row r="217" spans="1:2" ht="12.5" x14ac:dyDescent="0.25">
      <c r="A217" t="str">
        <f ca="1">IFERROR(__xludf.DUMMYFUNCTION("""COMPUTED_VALUE"""),"Sudan")</f>
        <v>Sudan</v>
      </c>
      <c r="B217" t="str">
        <f ca="1">IFERROR(__xludf.DUMMYFUNCTION("""COMPUTED_VALUE"""),"SD")</f>
        <v>SD</v>
      </c>
    </row>
    <row r="218" spans="1:2" ht="12.5" x14ac:dyDescent="0.25">
      <c r="A218" t="str">
        <f ca="1">IFERROR(__xludf.DUMMYFUNCTION("""COMPUTED_VALUE"""),"Suriname")</f>
        <v>Suriname</v>
      </c>
      <c r="B218" t="str">
        <f ca="1">IFERROR(__xludf.DUMMYFUNCTION("""COMPUTED_VALUE"""),"SR")</f>
        <v>SR</v>
      </c>
    </row>
    <row r="219" spans="1:2" ht="12.5" x14ac:dyDescent="0.25">
      <c r="A219" t="str">
        <f ca="1">IFERROR(__xludf.DUMMYFUNCTION("""COMPUTED_VALUE"""),"Svalbard And Jan Mayen")</f>
        <v>Svalbard And Jan Mayen</v>
      </c>
      <c r="B219" t="str">
        <f ca="1">IFERROR(__xludf.DUMMYFUNCTION("""COMPUTED_VALUE"""),"SJ")</f>
        <v>SJ</v>
      </c>
    </row>
    <row r="220" spans="1:2" ht="12.5" x14ac:dyDescent="0.25">
      <c r="A220" t="str">
        <f ca="1">IFERROR(__xludf.DUMMYFUNCTION("""COMPUTED_VALUE"""),"Swaziland")</f>
        <v>Swaziland</v>
      </c>
      <c r="B220" t="str">
        <f ca="1">IFERROR(__xludf.DUMMYFUNCTION("""COMPUTED_VALUE"""),"SZ")</f>
        <v>SZ</v>
      </c>
    </row>
    <row r="221" spans="1:2" ht="12.5" x14ac:dyDescent="0.25">
      <c r="A221" t="str">
        <f ca="1">IFERROR(__xludf.DUMMYFUNCTION("""COMPUTED_VALUE"""),"Sweden")</f>
        <v>Sweden</v>
      </c>
      <c r="B221" t="str">
        <f ca="1">IFERROR(__xludf.DUMMYFUNCTION("""COMPUTED_VALUE"""),"SE")</f>
        <v>SE</v>
      </c>
    </row>
    <row r="222" spans="1:2" ht="12.5" x14ac:dyDescent="0.25">
      <c r="A222" t="str">
        <f ca="1">IFERROR(__xludf.DUMMYFUNCTION("""COMPUTED_VALUE"""),"Switzerland")</f>
        <v>Switzerland</v>
      </c>
      <c r="B222" t="str">
        <f ca="1">IFERROR(__xludf.DUMMYFUNCTION("""COMPUTED_VALUE"""),"CH")</f>
        <v>CH</v>
      </c>
    </row>
    <row r="223" spans="1:2" ht="12.5" x14ac:dyDescent="0.25">
      <c r="A223" t="str">
        <f ca="1">IFERROR(__xludf.DUMMYFUNCTION("""COMPUTED_VALUE"""),"Syrian Arab Republic")</f>
        <v>Syrian Arab Republic</v>
      </c>
      <c r="B223" t="str">
        <f ca="1">IFERROR(__xludf.DUMMYFUNCTION("""COMPUTED_VALUE"""),"SY")</f>
        <v>SY</v>
      </c>
    </row>
    <row r="224" spans="1:2" ht="12.5" x14ac:dyDescent="0.25">
      <c r="A224" t="str">
        <f ca="1">IFERROR(__xludf.DUMMYFUNCTION("""COMPUTED_VALUE"""),"Taiwan, Province of China")</f>
        <v>Taiwan, Province of China</v>
      </c>
      <c r="B224" t="str">
        <f ca="1">IFERROR(__xludf.DUMMYFUNCTION("""COMPUTED_VALUE"""),"TW")</f>
        <v>TW</v>
      </c>
    </row>
    <row r="225" spans="1:2" ht="12.5" x14ac:dyDescent="0.25">
      <c r="A225" t="str">
        <f ca="1">IFERROR(__xludf.DUMMYFUNCTION("""COMPUTED_VALUE"""),"Tajikistan")</f>
        <v>Tajikistan</v>
      </c>
      <c r="B225" t="str">
        <f ca="1">IFERROR(__xludf.DUMMYFUNCTION("""COMPUTED_VALUE"""),"TJ")</f>
        <v>TJ</v>
      </c>
    </row>
    <row r="226" spans="1:2" ht="12.5" x14ac:dyDescent="0.25">
      <c r="A226" t="str">
        <f ca="1">IFERROR(__xludf.DUMMYFUNCTION("""COMPUTED_VALUE"""),"Tanzania, United Republic of")</f>
        <v>Tanzania, United Republic of</v>
      </c>
      <c r="B226" t="str">
        <f ca="1">IFERROR(__xludf.DUMMYFUNCTION("""COMPUTED_VALUE"""),"TZ")</f>
        <v>TZ</v>
      </c>
    </row>
    <row r="227" spans="1:2" ht="12.5" x14ac:dyDescent="0.25">
      <c r="A227" t="str">
        <f ca="1">IFERROR(__xludf.DUMMYFUNCTION("""COMPUTED_VALUE"""),"Thailand")</f>
        <v>Thailand</v>
      </c>
      <c r="B227" t="str">
        <f ca="1">IFERROR(__xludf.DUMMYFUNCTION("""COMPUTED_VALUE"""),"TH")</f>
        <v>TH</v>
      </c>
    </row>
    <row r="228" spans="1:2" ht="12.5" x14ac:dyDescent="0.25">
      <c r="A228" t="str">
        <f ca="1">IFERROR(__xludf.DUMMYFUNCTION("""COMPUTED_VALUE"""),"Timor-Leste")</f>
        <v>Timor-Leste</v>
      </c>
      <c r="B228" t="str">
        <f ca="1">IFERROR(__xludf.DUMMYFUNCTION("""COMPUTED_VALUE"""),"TL")</f>
        <v>TL</v>
      </c>
    </row>
    <row r="229" spans="1:2" ht="12.5" x14ac:dyDescent="0.25">
      <c r="A229" t="str">
        <f ca="1">IFERROR(__xludf.DUMMYFUNCTION("""COMPUTED_VALUE"""),"Togo")</f>
        <v>Togo</v>
      </c>
      <c r="B229" t="str">
        <f ca="1">IFERROR(__xludf.DUMMYFUNCTION("""COMPUTED_VALUE"""),"TG")</f>
        <v>TG</v>
      </c>
    </row>
    <row r="230" spans="1:2" ht="12.5" x14ac:dyDescent="0.25">
      <c r="A230" t="str">
        <f ca="1">IFERROR(__xludf.DUMMYFUNCTION("""COMPUTED_VALUE"""),"Tokelau")</f>
        <v>Tokelau</v>
      </c>
      <c r="B230" t="str">
        <f ca="1">IFERROR(__xludf.DUMMYFUNCTION("""COMPUTED_VALUE"""),"TK")</f>
        <v>TK</v>
      </c>
    </row>
    <row r="231" spans="1:2" ht="12.5" x14ac:dyDescent="0.25">
      <c r="A231" t="str">
        <f ca="1">IFERROR(__xludf.DUMMYFUNCTION("""COMPUTED_VALUE"""),"Tonga")</f>
        <v>Tonga</v>
      </c>
      <c r="B231" t="str">
        <f ca="1">IFERROR(__xludf.DUMMYFUNCTION("""COMPUTED_VALUE"""),"TO")</f>
        <v>TO</v>
      </c>
    </row>
    <row r="232" spans="1:2" ht="12.5" x14ac:dyDescent="0.25">
      <c r="A232" t="str">
        <f ca="1">IFERROR(__xludf.DUMMYFUNCTION("""COMPUTED_VALUE"""),"Trinidad And Tobago")</f>
        <v>Trinidad And Tobago</v>
      </c>
      <c r="B232" t="str">
        <f ca="1">IFERROR(__xludf.DUMMYFUNCTION("""COMPUTED_VALUE"""),"TT")</f>
        <v>TT</v>
      </c>
    </row>
    <row r="233" spans="1:2" ht="12.5" x14ac:dyDescent="0.25">
      <c r="A233" t="str">
        <f ca="1">IFERROR(__xludf.DUMMYFUNCTION("""COMPUTED_VALUE"""),"Tunisia")</f>
        <v>Tunisia</v>
      </c>
      <c r="B233" t="str">
        <f ca="1">IFERROR(__xludf.DUMMYFUNCTION("""COMPUTED_VALUE"""),"TN")</f>
        <v>TN</v>
      </c>
    </row>
    <row r="234" spans="1:2" ht="12.5" x14ac:dyDescent="0.25">
      <c r="A234" t="str">
        <f ca="1">IFERROR(__xludf.DUMMYFUNCTION("""COMPUTED_VALUE"""),"Turkey")</f>
        <v>Turkey</v>
      </c>
      <c r="B234" t="str">
        <f ca="1">IFERROR(__xludf.DUMMYFUNCTION("""COMPUTED_VALUE"""),"TR")</f>
        <v>TR</v>
      </c>
    </row>
    <row r="235" spans="1:2" ht="12.5" x14ac:dyDescent="0.25">
      <c r="A235" t="str">
        <f ca="1">IFERROR(__xludf.DUMMYFUNCTION("""COMPUTED_VALUE"""),"Turkmenistan")</f>
        <v>Turkmenistan</v>
      </c>
      <c r="B235" t="str">
        <f ca="1">IFERROR(__xludf.DUMMYFUNCTION("""COMPUTED_VALUE"""),"TM")</f>
        <v>TM</v>
      </c>
    </row>
    <row r="236" spans="1:2" ht="12.5" x14ac:dyDescent="0.25">
      <c r="A236" t="str">
        <f ca="1">IFERROR(__xludf.DUMMYFUNCTION("""COMPUTED_VALUE"""),"Turks and Caicos Islands")</f>
        <v>Turks and Caicos Islands</v>
      </c>
      <c r="B236" t="str">
        <f ca="1">IFERROR(__xludf.DUMMYFUNCTION("""COMPUTED_VALUE"""),"TC")</f>
        <v>TC</v>
      </c>
    </row>
    <row r="237" spans="1:2" ht="12.5" x14ac:dyDescent="0.25">
      <c r="A237" t="str">
        <f ca="1">IFERROR(__xludf.DUMMYFUNCTION("""COMPUTED_VALUE"""),"Tuvalu")</f>
        <v>Tuvalu</v>
      </c>
      <c r="B237" t="str">
        <f ca="1">IFERROR(__xludf.DUMMYFUNCTION("""COMPUTED_VALUE"""),"TV")</f>
        <v>TV</v>
      </c>
    </row>
    <row r="238" spans="1:2" ht="12.5" x14ac:dyDescent="0.25">
      <c r="A238" t="str">
        <f ca="1">IFERROR(__xludf.DUMMYFUNCTION("""COMPUTED_VALUE"""),"Uganda")</f>
        <v>Uganda</v>
      </c>
      <c r="B238" t="str">
        <f ca="1">IFERROR(__xludf.DUMMYFUNCTION("""COMPUTED_VALUE"""),"UG")</f>
        <v>UG</v>
      </c>
    </row>
    <row r="239" spans="1:2" ht="12.5" x14ac:dyDescent="0.25">
      <c r="A239" t="str">
        <f ca="1">IFERROR(__xludf.DUMMYFUNCTION("""COMPUTED_VALUE"""),"Ukraine")</f>
        <v>Ukraine</v>
      </c>
      <c r="B239" t="str">
        <f ca="1">IFERROR(__xludf.DUMMYFUNCTION("""COMPUTED_VALUE"""),"UA")</f>
        <v>UA</v>
      </c>
    </row>
    <row r="240" spans="1:2" ht="12.5" x14ac:dyDescent="0.25">
      <c r="A240" t="str">
        <f ca="1">IFERROR(__xludf.DUMMYFUNCTION("""COMPUTED_VALUE"""),"United Arab Emirates")</f>
        <v>United Arab Emirates</v>
      </c>
      <c r="B240" t="str">
        <f ca="1">IFERROR(__xludf.DUMMYFUNCTION("""COMPUTED_VALUE"""),"AE")</f>
        <v>AE</v>
      </c>
    </row>
    <row r="241" spans="1:2" ht="12.5" x14ac:dyDescent="0.25">
      <c r="A241" t="str">
        <f ca="1">IFERROR(__xludf.DUMMYFUNCTION("""COMPUTED_VALUE"""),"United Kingdom")</f>
        <v>United Kingdom</v>
      </c>
      <c r="B241" t="str">
        <f ca="1">IFERROR(__xludf.DUMMYFUNCTION("""COMPUTED_VALUE"""),"GB")</f>
        <v>GB</v>
      </c>
    </row>
    <row r="242" spans="1:2" ht="12.5" x14ac:dyDescent="0.25">
      <c r="A242" t="str">
        <f ca="1">IFERROR(__xludf.DUMMYFUNCTION("""COMPUTED_VALUE"""),"United States")</f>
        <v>United States</v>
      </c>
      <c r="B242" t="str">
        <f ca="1">IFERROR(__xludf.DUMMYFUNCTION("""COMPUTED_VALUE"""),"US")</f>
        <v>US</v>
      </c>
    </row>
    <row r="243" spans="1:2" ht="12.5" x14ac:dyDescent="0.25">
      <c r="A243" t="str">
        <f ca="1">IFERROR(__xludf.DUMMYFUNCTION("""COMPUTED_VALUE"""),"United States Minor Outlying Islands")</f>
        <v>United States Minor Outlying Islands</v>
      </c>
      <c r="B243" t="str">
        <f ca="1">IFERROR(__xludf.DUMMYFUNCTION("""COMPUTED_VALUE"""),"UM")</f>
        <v>UM</v>
      </c>
    </row>
    <row r="244" spans="1:2" ht="12.5" x14ac:dyDescent="0.25">
      <c r="A244" t="str">
        <f ca="1">IFERROR(__xludf.DUMMYFUNCTION("""COMPUTED_VALUE"""),"Unknown")</f>
        <v>Unknown</v>
      </c>
      <c r="B244" t="str">
        <f ca="1">IFERROR(__xludf.DUMMYFUNCTION("""COMPUTED_VALUE"""),"XX")</f>
        <v>XX</v>
      </c>
    </row>
    <row r="245" spans="1:2" ht="12.5" x14ac:dyDescent="0.25">
      <c r="A245" t="str">
        <f ca="1">IFERROR(__xludf.DUMMYFUNCTION("""COMPUTED_VALUE"""),"Uruguay")</f>
        <v>Uruguay</v>
      </c>
      <c r="B245" t="str">
        <f ca="1">IFERROR(__xludf.DUMMYFUNCTION("""COMPUTED_VALUE"""),"UY")</f>
        <v>UY</v>
      </c>
    </row>
    <row r="246" spans="1:2" ht="12.5" x14ac:dyDescent="0.25">
      <c r="A246" t="str">
        <f ca="1">IFERROR(__xludf.DUMMYFUNCTION("""COMPUTED_VALUE"""),"Uzbekistan")</f>
        <v>Uzbekistan</v>
      </c>
      <c r="B246" t="str">
        <f ca="1">IFERROR(__xludf.DUMMYFUNCTION("""COMPUTED_VALUE"""),"UZ")</f>
        <v>UZ</v>
      </c>
    </row>
    <row r="247" spans="1:2" ht="12.5" x14ac:dyDescent="0.25">
      <c r="A247" t="str">
        <f ca="1">IFERROR(__xludf.DUMMYFUNCTION("""COMPUTED_VALUE"""),"Vanuatu")</f>
        <v>Vanuatu</v>
      </c>
      <c r="B247" t="str">
        <f ca="1">IFERROR(__xludf.DUMMYFUNCTION("""COMPUTED_VALUE"""),"VU")</f>
        <v>VU</v>
      </c>
    </row>
    <row r="248" spans="1:2" ht="12.5" x14ac:dyDescent="0.25">
      <c r="A248" t="str">
        <f ca="1">IFERROR(__xludf.DUMMYFUNCTION("""COMPUTED_VALUE"""),"Venezuela, Bolivarian Republic of")</f>
        <v>Venezuela, Bolivarian Republic of</v>
      </c>
      <c r="B248" t="str">
        <f ca="1">IFERROR(__xludf.DUMMYFUNCTION("""COMPUTED_VALUE"""),"VE")</f>
        <v>VE</v>
      </c>
    </row>
    <row r="249" spans="1:2" ht="12.5" x14ac:dyDescent="0.25">
      <c r="A249" t="str">
        <f ca="1">IFERROR(__xludf.DUMMYFUNCTION("""COMPUTED_VALUE"""),"Viet Nam")</f>
        <v>Viet Nam</v>
      </c>
      <c r="B249" t="str">
        <f ca="1">IFERROR(__xludf.DUMMYFUNCTION("""COMPUTED_VALUE"""),"VN")</f>
        <v>VN</v>
      </c>
    </row>
    <row r="250" spans="1:2" ht="12.5" x14ac:dyDescent="0.25">
      <c r="A250" t="str">
        <f ca="1">IFERROR(__xludf.DUMMYFUNCTION("""COMPUTED_VALUE"""),"Virgin Islands, British")</f>
        <v>Virgin Islands, British</v>
      </c>
      <c r="B250" t="str">
        <f ca="1">IFERROR(__xludf.DUMMYFUNCTION("""COMPUTED_VALUE"""),"VG")</f>
        <v>VG</v>
      </c>
    </row>
    <row r="251" spans="1:2" ht="12.5" x14ac:dyDescent="0.25">
      <c r="A251" t="str">
        <f ca="1">IFERROR(__xludf.DUMMYFUNCTION("""COMPUTED_VALUE"""),"Virgin Islands, U.S.")</f>
        <v>Virgin Islands, U.S.</v>
      </c>
      <c r="B251" t="str">
        <f ca="1">IFERROR(__xludf.DUMMYFUNCTION("""COMPUTED_VALUE"""),"VI")</f>
        <v>VI</v>
      </c>
    </row>
    <row r="252" spans="1:2" ht="12.5" x14ac:dyDescent="0.25">
      <c r="A252" t="str">
        <f ca="1">IFERROR(__xludf.DUMMYFUNCTION("""COMPUTED_VALUE"""),"Wallis and Futuna Islands")</f>
        <v>Wallis and Futuna Islands</v>
      </c>
      <c r="B252" t="str">
        <f ca="1">IFERROR(__xludf.DUMMYFUNCTION("""COMPUTED_VALUE"""),"WF")</f>
        <v>WF</v>
      </c>
    </row>
    <row r="253" spans="1:2" ht="12.5" x14ac:dyDescent="0.25">
      <c r="A253" t="str">
        <f ca="1">IFERROR(__xludf.DUMMYFUNCTION("""COMPUTED_VALUE"""),"Western Sahara")</f>
        <v>Western Sahara</v>
      </c>
      <c r="B253" t="str">
        <f ca="1">IFERROR(__xludf.DUMMYFUNCTION("""COMPUTED_VALUE"""),"EH")</f>
        <v>EH</v>
      </c>
    </row>
    <row r="254" spans="1:2" ht="12.5" x14ac:dyDescent="0.25">
      <c r="A254" t="str">
        <f ca="1">IFERROR(__xludf.DUMMYFUNCTION("""COMPUTED_VALUE"""),"Yemen")</f>
        <v>Yemen</v>
      </c>
      <c r="B254" t="str">
        <f ca="1">IFERROR(__xludf.DUMMYFUNCTION("""COMPUTED_VALUE"""),"YE")</f>
        <v>YE</v>
      </c>
    </row>
    <row r="255" spans="1:2" ht="12.5" x14ac:dyDescent="0.25">
      <c r="A255" t="str">
        <f ca="1">IFERROR(__xludf.DUMMYFUNCTION("""COMPUTED_VALUE"""),"Zambia")</f>
        <v>Zambia</v>
      </c>
      <c r="B255" t="str">
        <f ca="1">IFERROR(__xludf.DUMMYFUNCTION("""COMPUTED_VALUE"""),"ZM")</f>
        <v>ZM</v>
      </c>
    </row>
    <row r="256" spans="1:2" ht="12.5" x14ac:dyDescent="0.25">
      <c r="A256" t="str">
        <f ca="1">IFERROR(__xludf.DUMMYFUNCTION("""COMPUTED_VALUE"""),"Zimbabwe")</f>
        <v>Zimbabwe</v>
      </c>
      <c r="B256" t="str">
        <f ca="1">IFERROR(__xludf.DUMMYFUNCTION("""COMPUTED_VALUE"""),"ZW")</f>
        <v>ZW</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x14ac:dyDescent="0.25"/>
  <sheetData>
    <row r="1" spans="1:3" x14ac:dyDescent="0.25">
      <c r="A1" t="str">
        <f ca="1">IFERROR(__xludf.DUMMYFUNCTION("importrange(""https://docs.google.com/spreadsheets/d/1C6N4-YWX9OMmNStd2rYlSUaVys-aiJGLj00cD44aVc8/edit#gid=1894320575"",""Accreditation procedure Ass.Tec!A1:O500"")"),"Value")</f>
        <v>Value</v>
      </c>
      <c r="B1" t="str">
        <f ca="1">IFERROR(__xludf.DUMMYFUNCTION("""COMPUTED_VALUE"""),"ID")</f>
        <v>ID</v>
      </c>
      <c r="C1" t="str">
        <f ca="1">IFERROR(__xludf.DUMMYFUNCTION("""COMPUTED_VALUE"""),"Comment")</f>
        <v>Comment</v>
      </c>
    </row>
    <row r="2" spans="1:3" x14ac:dyDescent="0.25">
      <c r="A2" t="str">
        <f ca="1">IFERROR(__xludf.DUMMYFUNCTION("""COMPUTED_VALUE"""),"According to OIE guidelines")</f>
        <v>According to OIE guidelines</v>
      </c>
      <c r="B2" t="str">
        <f ca="1">IFERROR(__xludf.DUMMYFUNCTION("""COMPUTED_VALUE"""),"V006A")</f>
        <v>V006A</v>
      </c>
    </row>
    <row r="3" spans="1:3" x14ac:dyDescent="0.25">
      <c r="A3" t="str">
        <f ca="1">IFERROR(__xludf.DUMMYFUNCTION("""COMPUTED_VALUE"""),"Internally validated")</f>
        <v>Internally validated</v>
      </c>
      <c r="B3" t="str">
        <f ca="1">IFERROR(__xludf.DUMMYFUNCTION("""COMPUTED_VALUE"""),"V005A")</f>
        <v>V005A</v>
      </c>
    </row>
    <row r="4" spans="1:3" x14ac:dyDescent="0.25">
      <c r="A4" t="str">
        <f ca="1">IFERROR(__xludf.DUMMYFUNCTION("""COMPUTED_VALUE"""),"ISO/IEC17025")</f>
        <v>ISO/IEC17025</v>
      </c>
      <c r="B4" t="str">
        <f ca="1">IFERROR(__xludf.DUMMYFUNCTION("""COMPUTED_VALUE"""),"V001A")</f>
        <v>V001A</v>
      </c>
    </row>
    <row r="5" spans="1:3" x14ac:dyDescent="0.25">
      <c r="A5" t="str">
        <f ca="1">IFERROR(__xludf.DUMMYFUNCTION("""COMPUTED_VALUE"""),"Not validated")</f>
        <v>Not validated</v>
      </c>
      <c r="B5" t="str">
        <f ca="1">IFERROR(__xludf.DUMMYFUNCTION("""COMPUTED_VALUE"""),"V999A")</f>
        <v>V999A</v>
      </c>
    </row>
    <row r="6" spans="1:3" x14ac:dyDescent="0.25">
      <c r="A6" t="str">
        <f ca="1">IFERROR(__xludf.DUMMYFUNCTION("""COMPUTED_VALUE"""),"Other third party quality assessment procedure")</f>
        <v>Other third party quality assessment procedure</v>
      </c>
      <c r="B6" t="str">
        <f ca="1">IFERROR(__xludf.DUMMYFUNCTION("""COMPUTED_VALUE"""),"V004A")</f>
        <v>V004A</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75"/>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IFERROR(__xludf.DUMMYFUNCTION("importrange(""https://docs.google.com/spreadsheets/d/1C6N4-YWX9OMmNStd2rYlSUaVys-aiJGLj00cD44aVc8/edit#gid=1894320575"",""Study Assay Technology type!A1:O500"")"),"Value")</f>
        <v>Value</v>
      </c>
      <c r="B1" t="str">
        <f ca="1">IFERROR(__xludf.DUMMYFUNCTION("""COMPUTED_VALUE"""),"ID")</f>
        <v>ID</v>
      </c>
      <c r="C1" t="str">
        <f ca="1">IFERROR(__xludf.DUMMYFUNCTION("""COMPUTED_VALUE"""),"Comment")</f>
        <v>Comment</v>
      </c>
    </row>
    <row r="2" spans="1:3" ht="12.5" x14ac:dyDescent="0.25">
      <c r="A2" t="str">
        <f ca="1">IFERROR(__xludf.DUMMYFUNCTION("""COMPUTED_VALUE"""),"AAS")</f>
        <v>AAS</v>
      </c>
      <c r="B2" t="str">
        <f ca="1">IFERROR(__xludf.DUMMYFUNCTION("""COMPUTED_VALUE"""),"F052A")</f>
        <v>F052A</v>
      </c>
      <c r="C2" t="str">
        <f ca="1">IFERROR(__xludf.DUMMYFUNCTION("""COMPUTED_VALUE"""),"Atomic Absorption spectroscopy and similar spectorscopy (e.g. AAS, F-AAS, HG-AAS etc.).")</f>
        <v>Atomic Absorption spectroscopy and similar spectorscopy (e.g. AAS, F-AAS, HG-AAS etc.).</v>
      </c>
    </row>
    <row r="3" spans="1:3" ht="12.5" x14ac:dyDescent="0.25">
      <c r="A3" t="str">
        <f ca="1">IFERROR(__xludf.DUMMYFUNCTION("""COMPUTED_VALUE"""),"AES")</f>
        <v>AES</v>
      </c>
      <c r="B3" t="str">
        <f ca="1">IFERROR(__xludf.DUMMYFUNCTION("""COMPUTED_VALUE"""),"F055A")</f>
        <v>F055A</v>
      </c>
      <c r="C3" t="str">
        <f ca="1">IFERROR(__xludf.DUMMYFUNCTION("""COMPUTED_VALUE"""),"Atomic emission spectroscopy and similar spectroscopy")</f>
        <v>Atomic emission spectroscopy and similar spectroscopy</v>
      </c>
    </row>
    <row r="4" spans="1:3" ht="12.5" x14ac:dyDescent="0.25">
      <c r="A4" t="str">
        <f ca="1">IFERROR(__xludf.DUMMYFUNCTION("""COMPUTED_VALUE"""),"AFS")</f>
        <v>AFS</v>
      </c>
      <c r="B4" t="str">
        <f ca="1">IFERROR(__xludf.DUMMYFUNCTION("""COMPUTED_VALUE"""),"F058A")</f>
        <v>F058A</v>
      </c>
      <c r="C4" t="str">
        <f ca="1">IFERROR(__xludf.DUMMYFUNCTION("""COMPUTED_VALUE"""),"Atomic fluorescence spectrometry")</f>
        <v>Atomic fluorescence spectrometry</v>
      </c>
    </row>
    <row r="5" spans="1:3" ht="12.5" x14ac:dyDescent="0.25">
      <c r="A5" t="str">
        <f ca="1">IFERROR(__xludf.DUMMYFUNCTION("""COMPUTED_VALUE"""),"Agglutination")</f>
        <v>Agglutination</v>
      </c>
      <c r="B5" t="str">
        <f ca="1">IFERROR(__xludf.DUMMYFUNCTION("""COMPUTED_VALUE"""),"F082A")</f>
        <v>F082A</v>
      </c>
    </row>
    <row r="6" spans="1:3" ht="12.5" x14ac:dyDescent="0.25">
      <c r="A6" t="str">
        <f ca="1">IFERROR(__xludf.DUMMYFUNCTION("""COMPUTED_VALUE"""),"AMS")</f>
        <v>AMS</v>
      </c>
      <c r="B6" t="str">
        <f ca="1">IFERROR(__xludf.DUMMYFUNCTION("""COMPUTED_VALUE"""),"F066A")</f>
        <v>F066A</v>
      </c>
      <c r="C6" t="str">
        <f ca="1">IFERROR(__xludf.DUMMYFUNCTION("""COMPUTED_VALUE"""),"Accelerator mass spectrometry")</f>
        <v>Accelerator mass spectrometry</v>
      </c>
    </row>
    <row r="7" spans="1:3" ht="12.5" x14ac:dyDescent="0.25">
      <c r="A7" t="str">
        <f ca="1">IFERROR(__xludf.DUMMYFUNCTION("""COMPUTED_VALUE"""),"Anatomic-pathologic standard tests")</f>
        <v>Anatomic-pathologic standard tests</v>
      </c>
      <c r="B7" t="str">
        <f ca="1">IFERROR(__xludf.DUMMYFUNCTION("""COMPUTED_VALUE"""),"F103A")</f>
        <v>F103A</v>
      </c>
    </row>
    <row r="8" spans="1:3" ht="12.5" x14ac:dyDescent="0.25">
      <c r="A8" t="str">
        <f ca="1">IFERROR(__xludf.DUMMYFUNCTION("""COMPUTED_VALUE"""),"Anatomic-pathologic Tests")</f>
        <v>Anatomic-pathologic Tests</v>
      </c>
      <c r="B8" t="str">
        <f ca="1">IFERROR(__xludf.DUMMYFUNCTION("""COMPUTED_VALUE"""),"F102A")</f>
        <v>F102A</v>
      </c>
    </row>
    <row r="9" spans="1:3" ht="12.5" x14ac:dyDescent="0.25">
      <c r="A9" t="str">
        <f ca="1">IFERROR(__xludf.DUMMYFUNCTION("""COMPUTED_VALUE"""),"Animal based tests")</f>
        <v>Animal based tests</v>
      </c>
      <c r="B9" t="str">
        <f ca="1">IFERROR(__xludf.DUMMYFUNCTION("""COMPUTED_VALUE"""),"F112A")</f>
        <v>F112A</v>
      </c>
    </row>
    <row r="10" spans="1:3" ht="12.5" x14ac:dyDescent="0.25">
      <c r="A10" t="str">
        <f ca="1">IFERROR(__xludf.DUMMYFUNCTION("""COMPUTED_VALUE"""),"Biological test")</f>
        <v>Biological test</v>
      </c>
      <c r="B10" t="str">
        <f ca="1">IFERROR(__xludf.DUMMYFUNCTION("""COMPUTED_VALUE"""),"F113A")</f>
        <v>F113A</v>
      </c>
      <c r="C10" t="str">
        <f ca="1">IFERROR(__xludf.DUMMYFUNCTION("""COMPUTED_VALUE"""),"Biological test")</f>
        <v>Biological test</v>
      </c>
    </row>
    <row r="11" spans="1:3" ht="12.5" x14ac:dyDescent="0.25">
      <c r="A11" t="str">
        <f ca="1">IFERROR(__xludf.DUMMYFUNCTION("""COMPUTED_VALUE"""),"CE (or CZE)")</f>
        <v>CE (or CZE)</v>
      </c>
      <c r="B11" t="str">
        <f ca="1">IFERROR(__xludf.DUMMYFUNCTION("""COMPUTED_VALUE"""),"F071A")</f>
        <v>F071A</v>
      </c>
      <c r="C11" t="str">
        <f ca="1">IFERROR(__xludf.DUMMYFUNCTION("""COMPUTED_VALUE"""),"Capillary (Zone) Electrophoresis")</f>
        <v>Capillary (Zone) Electrophoresis</v>
      </c>
    </row>
    <row r="12" spans="1:3" ht="12.5" x14ac:dyDescent="0.25">
      <c r="A12" t="str">
        <f ca="1">IFERROR(__xludf.DUMMYFUNCTION("""COMPUTED_VALUE"""),"Cell based tests")</f>
        <v>Cell based tests</v>
      </c>
      <c r="B12" t="str">
        <f ca="1">IFERROR(__xludf.DUMMYFUNCTION("""COMPUTED_VALUE"""),"F117A")</f>
        <v>F117A</v>
      </c>
    </row>
    <row r="13" spans="1:3" ht="12.5" x14ac:dyDescent="0.25">
      <c r="A13" t="str">
        <f ca="1">IFERROR(__xludf.DUMMYFUNCTION("""COMPUTED_VALUE"""),"Chemical-physical investigations on animals")</f>
        <v>Chemical-physical investigations on animals</v>
      </c>
      <c r="B13" t="str">
        <f ca="1">IFERROR(__xludf.DUMMYFUNCTION("""COMPUTED_VALUE"""),"F107A")</f>
        <v>F107A</v>
      </c>
    </row>
    <row r="14" spans="1:3" ht="12.5" x14ac:dyDescent="0.25">
      <c r="A14" t="str">
        <f ca="1">IFERROR(__xludf.DUMMYFUNCTION("""COMPUTED_VALUE"""),"Chromatographic tests")</f>
        <v>Chromatographic tests</v>
      </c>
      <c r="B14" t="str">
        <f ca="1">IFERROR(__xludf.DUMMYFUNCTION("""COMPUTED_VALUE"""),"F015A")</f>
        <v>F015A</v>
      </c>
      <c r="C14" t="str">
        <f ca="1">IFERROR(__xludf.DUMMYFUNCTION("""COMPUTED_VALUE"""),"Chromatographic tests with main focus on isolation of the analyte and providing qualitatve or semiquantitative results.")</f>
        <v>Chromatographic tests with main focus on isolation of the analyte and providing qualitatve or semiquantitative results.</v>
      </c>
    </row>
    <row r="15" spans="1:3" ht="12.5" x14ac:dyDescent="0.25">
      <c r="A15" t="str">
        <f ca="1">IFERROR(__xludf.DUMMYFUNCTION("""COMPUTED_VALUE"""),"Chromatography hyphenated to element spectrometry")</f>
        <v>Chromatography hyphenated to element spectrometry</v>
      </c>
      <c r="B15" t="str">
        <f ca="1">IFERROR(__xludf.DUMMYFUNCTION("""COMPUTED_VALUE"""),"F155A")</f>
        <v>F155A</v>
      </c>
      <c r="C15" t="str">
        <f ca="1">IFERROR(__xludf.DUMMYFUNCTION("""COMPUTED_VALUE"""),"Chromatography hyphenated to element spectrometry")</f>
        <v>Chromatography hyphenated to element spectrometry</v>
      </c>
    </row>
    <row r="16" spans="1:3" ht="12.5" x14ac:dyDescent="0.25">
      <c r="A16" t="str">
        <f ca="1">IFERROR(__xludf.DUMMYFUNCTION("""COMPUTED_VALUE"""),"Classification not possible")</f>
        <v>Classification not possible</v>
      </c>
      <c r="B16" t="str">
        <f ca="1">IFERROR(__xludf.DUMMYFUNCTION("""COMPUTED_VALUE"""),"F001A")</f>
        <v>F001A</v>
      </c>
      <c r="C16" t="str">
        <f ca="1">IFERROR(__xludf.DUMMYFUNCTION("""COMPUTED_VALUE"""),"Analytical method  measuring principle is known, but could not be classified.")</f>
        <v>Analytical method  measuring principle is known, but could not be classified.</v>
      </c>
    </row>
    <row r="17" spans="1:3" ht="12.5" x14ac:dyDescent="0.25">
      <c r="A17" t="str">
        <f ca="1">IFERROR(__xludf.DUMMYFUNCTION("""COMPUTED_VALUE"""),"Colorimetry, Spectrocopy (Spectrometry) and Photometry")</f>
        <v>Colorimetry, Spectrocopy (Spectrometry) and Photometry</v>
      </c>
      <c r="B17" t="str">
        <f ca="1">IFERROR(__xludf.DUMMYFUNCTION("""COMPUTED_VALUE"""),"F008A")</f>
        <v>F008A</v>
      </c>
      <c r="C17" t="str">
        <f ca="1">IFERROR(__xludf.DUMMYFUNCTION("""COMPUTED_VALUE"""),"Identifying and quantifying one or more analytes through the respective spectrum of absorbtion and-or emission. If quantification is the main focus of the method, the term ""spectrometry"" is widely used.")</f>
        <v>Identifying and quantifying one or more analytes through the respective spectrum of absorbtion and-or emission. If quantification is the main focus of the method, the term "spectrometry" is widely used.</v>
      </c>
    </row>
    <row r="18" spans="1:3" ht="12.5" x14ac:dyDescent="0.25">
      <c r="A18" t="str">
        <f ca="1">IFERROR(__xludf.DUMMYFUNCTION("""COMPUTED_VALUE"""),"Coproantigen ELISA")</f>
        <v>Coproantigen ELISA</v>
      </c>
      <c r="B18" t="str">
        <f ca="1">IFERROR(__xludf.DUMMYFUNCTION("""COMPUTED_VALUE"""),"F183A")</f>
        <v>F183A</v>
      </c>
      <c r="C18" t="str">
        <f ca="1">IFERROR(__xludf.DUMMYFUNCTION("""COMPUTED_VALUE"""),"Deplazes P, Alther P, Tanner I, Thompson RCA, Eckert J, 1999.")</f>
        <v>Deplazes P, Alther P, Tanner I, Thompson RCA, Eckert J, 1999.</v>
      </c>
    </row>
    <row r="19" spans="1:3" ht="12.5" x14ac:dyDescent="0.25">
      <c r="A19" t="str">
        <f ca="1">IFERROR(__xludf.DUMMYFUNCTION("""COMPUTED_VALUE"""),"CVAAS")</f>
        <v>CVAAS</v>
      </c>
      <c r="B19" t="str">
        <f ca="1">IFERROR(__xludf.DUMMYFUNCTION("""COMPUTED_VALUE"""),"F151A")</f>
        <v>F151A</v>
      </c>
      <c r="C19" t="str">
        <f ca="1">IFERROR(__xludf.DUMMYFUNCTION("""COMPUTED_VALUE"""),"Cold vapour atomic absorption spectrometry")</f>
        <v>Cold vapour atomic absorption spectrometry</v>
      </c>
    </row>
    <row r="20" spans="1:3" ht="12.5" x14ac:dyDescent="0.25">
      <c r="A20" t="str">
        <f ca="1">IFERROR(__xludf.DUMMYFUNCTION("""COMPUTED_VALUE"""),"CVAFS")</f>
        <v>CVAFS</v>
      </c>
      <c r="B20" t="str">
        <f ca="1">IFERROR(__xludf.DUMMYFUNCTION("""COMPUTED_VALUE"""),"F152A")</f>
        <v>F152A</v>
      </c>
      <c r="C20" t="str">
        <f ca="1">IFERROR(__xludf.DUMMYFUNCTION("""COMPUTED_VALUE"""),"Cold vapour atomic fluorescence spectrometry")</f>
        <v>Cold vapour atomic fluorescence spectrometry</v>
      </c>
    </row>
    <row r="21" spans="1:3" ht="12.5" x14ac:dyDescent="0.25">
      <c r="A21" t="str">
        <f ca="1">IFERROR(__xludf.DUMMYFUNCTION("""COMPUTED_VALUE"""),"DHS")</f>
        <v>DHS</v>
      </c>
      <c r="B21" t="str">
        <f ca="1">IFERROR(__xludf.DUMMYFUNCTION("""COMPUTED_VALUE"""),"F175A")</f>
        <v>F175A</v>
      </c>
      <c r="C21" t="str">
        <f ca="1">IFERROR(__xludf.DUMMYFUNCTION("""COMPUTED_VALUE"""),"Dynamic headspace extraction")</f>
        <v>Dynamic headspace extraction</v>
      </c>
    </row>
    <row r="22" spans="1:3" ht="12.5" x14ac:dyDescent="0.25">
      <c r="A22" t="str">
        <f ca="1">IFERROR(__xludf.DUMMYFUNCTION("""COMPUTED_VALUE"""),"DNA based tests")</f>
        <v>DNA based tests</v>
      </c>
      <c r="B22" t="str">
        <f ca="1">IFERROR(__xludf.DUMMYFUNCTION("""COMPUTED_VALUE"""),"F115A")</f>
        <v>F115A</v>
      </c>
    </row>
    <row r="23" spans="1:3" ht="12.5" x14ac:dyDescent="0.25">
      <c r="A23" t="str">
        <f ca="1">IFERROR(__xludf.DUMMYFUNCTION("""COMPUTED_VALUE"""),"DNA hybridization")</f>
        <v>DNA hybridization</v>
      </c>
      <c r="B23" t="str">
        <f ca="1">IFERROR(__xludf.DUMMYFUNCTION("""COMPUTED_VALUE"""),"F090A")</f>
        <v>F090A</v>
      </c>
      <c r="C23" t="str">
        <f ca="1">IFERROR(__xludf.DUMMYFUNCTION("""COMPUTED_VALUE"""),"Monnier P, Cliquet F, Aubert M, Bretagne S, 1996.
")</f>
        <v xml:space="preserve">Monnier P, Cliquet F, Aubert M, Bretagne S, 1996.
</v>
      </c>
    </row>
    <row r="24" spans="1:3" ht="12.5" x14ac:dyDescent="0.25">
      <c r="A24" t="str">
        <f ca="1">IFERROR(__xludf.DUMMYFUNCTION("""COMPUTED_VALUE"""),"DNA sequencing")</f>
        <v>DNA sequencing</v>
      </c>
      <c r="B24" t="str">
        <f ca="1">IFERROR(__xludf.DUMMYFUNCTION("""COMPUTED_VALUE"""),"F089A")</f>
        <v>F089A</v>
      </c>
    </row>
    <row r="25" spans="1:3" ht="12.5" x14ac:dyDescent="0.25">
      <c r="A25" t="str">
        <f ca="1">IFERROR(__xludf.DUMMYFUNCTION("""COMPUTED_VALUE"""),"Eastern blotting")</f>
        <v>Eastern blotting</v>
      </c>
      <c r="B25" t="str">
        <f ca="1">IFERROR(__xludf.DUMMYFUNCTION("""COMPUTED_VALUE"""),"F073A")</f>
        <v>F073A</v>
      </c>
      <c r="C25" t="str">
        <f ca="1">IFERROR(__xludf.DUMMYFUNCTION("""COMPUTED_VALUE"""),"for detection of protein after post translational modifications")</f>
        <v>for detection of protein after post translational modifications</v>
      </c>
    </row>
    <row r="26" spans="1:3" ht="12.5" x14ac:dyDescent="0.25">
      <c r="A26" t="str">
        <f ca="1">IFERROR(__xludf.DUMMYFUNCTION("""COMPUTED_VALUE"""),"EIA")</f>
        <v>EIA</v>
      </c>
      <c r="B26" t="str">
        <f ca="1">IFERROR(__xludf.DUMMYFUNCTION("""COMPUTED_VALUE"""),"F079A")</f>
        <v>F079A</v>
      </c>
      <c r="C26" t="str">
        <f ca="1">IFERROR(__xludf.DUMMYFUNCTION("""COMPUTED_VALUE"""),"Enzyme Immunoassay Tests")</f>
        <v>Enzyme Immunoassay Tests</v>
      </c>
    </row>
    <row r="27" spans="1:3" ht="12.5" x14ac:dyDescent="0.25">
      <c r="A27" t="str">
        <f ca="1">IFERROR(__xludf.DUMMYFUNCTION("""COMPUTED_VALUE"""),"Electrochemical tests")</f>
        <v>Electrochemical tests</v>
      </c>
      <c r="B27" t="str">
        <f ca="1">IFERROR(__xludf.DUMMYFUNCTION("""COMPUTED_VALUE"""),"F012A")</f>
        <v>F012A</v>
      </c>
      <c r="C27" t="str">
        <f ca="1">IFERROR(__xludf.DUMMYFUNCTION("""COMPUTED_VALUE"""),"Identifying and quantifying an analyte by measuring electrochemical properties.")</f>
        <v>Identifying and quantifying an analyte by measuring electrochemical properties.</v>
      </c>
    </row>
    <row r="28" spans="1:3" ht="12.5" x14ac:dyDescent="0.25">
      <c r="A28" t="str">
        <f ca="1">IFERROR(__xludf.DUMMYFUNCTION("""COMPUTED_VALUE"""),"Electrochemical tests (voltametry and polarography)")</f>
        <v>Electrochemical tests (voltametry and polarography)</v>
      </c>
      <c r="B28" t="str">
        <f ca="1">IFERROR(__xludf.DUMMYFUNCTION("""COMPUTED_VALUE"""),"F014A")</f>
        <v>F014A</v>
      </c>
      <c r="C28" t="str">
        <f ca="1">IFERROR(__xludf.DUMMYFUNCTION("""COMPUTED_VALUE"""),"Voltammetry applies a constant and-or varying potential at an electrode's surface and measures the resulting current with a three electrode system. Polarometry is a subclass of voltammetry. Amperometry is also a subclass of voltammetry.")</f>
        <v>Voltammetry applies a constant and-or varying potential at an electrode's surface and measures the resulting current with a three electrode system. Polarometry is a subclass of voltammetry. Amperometry is also a subclass of voltammetry.</v>
      </c>
    </row>
    <row r="29" spans="1:3" ht="12.5" x14ac:dyDescent="0.25">
      <c r="A29" t="str">
        <f ca="1">IFERROR(__xludf.DUMMYFUNCTION("""COMPUTED_VALUE"""),"Electrochemical tests based on potentiometry (pH electrodes, ionsensitive electrodes, potentiometry)")</f>
        <v>Electrochemical tests based on potentiometry (pH electrodes, ionsensitive electrodes, potentiometry)</v>
      </c>
      <c r="B29" t="str">
        <f ca="1">IFERROR(__xludf.DUMMYFUNCTION("""COMPUTED_VALUE"""),"F013A")</f>
        <v>F013A</v>
      </c>
      <c r="C29" t="str">
        <f ca="1">IFERROR(__xludf.DUMMYFUNCTION("""COMPUTED_VALUE"""),"Potentiometry passively measures the potential of a solution between two electrodes, affecting the solution very little in the process. The potential is then related to the concentration of one or more analytes.")</f>
        <v>Potentiometry passively measures the potential of a solution between two electrodes, affecting the solution very little in the process. The potential is then related to the concentration of one or more analytes.</v>
      </c>
    </row>
    <row r="30" spans="1:3" ht="12.5" x14ac:dyDescent="0.25">
      <c r="A30" t="str">
        <f ca="1">IFERROR(__xludf.DUMMYFUNCTION("""COMPUTED_VALUE"""),"Electron microscopical tests")</f>
        <v>Electron microscopical tests</v>
      </c>
      <c r="B30" t="str">
        <f ca="1">IFERROR(__xludf.DUMMYFUNCTION("""COMPUTED_VALUE"""),"F096A")</f>
        <v>F096A</v>
      </c>
    </row>
    <row r="31" spans="1:3" ht="12.5" x14ac:dyDescent="0.25">
      <c r="A31" t="str">
        <f ca="1">IFERROR(__xludf.DUMMYFUNCTION("""COMPUTED_VALUE"""),"Electron Spin Resonance (ESR) spectroscopy")</f>
        <v>Electron Spin Resonance (ESR) spectroscopy</v>
      </c>
      <c r="B31" t="str">
        <f ca="1">IFERROR(__xludf.DUMMYFUNCTION("""COMPUTED_VALUE"""),"F062A")</f>
        <v>F062A</v>
      </c>
    </row>
    <row r="32" spans="1:3" ht="12.5" x14ac:dyDescent="0.25">
      <c r="A32" t="str">
        <f ca="1">IFERROR(__xludf.DUMMYFUNCTION("""COMPUTED_VALUE"""),"Electrophoretical tests")</f>
        <v>Electrophoretical tests</v>
      </c>
      <c r="B32" t="str">
        <f ca="1">IFERROR(__xludf.DUMMYFUNCTION("""COMPUTED_VALUE"""),"F070A")</f>
        <v>F070A</v>
      </c>
    </row>
    <row r="33" spans="1:3" ht="12.5" x14ac:dyDescent="0.25">
      <c r="A33" t="str">
        <f ca="1">IFERROR(__xludf.DUMMYFUNCTION("""COMPUTED_VALUE"""),"Element spectroscopy")</f>
        <v>Element spectroscopy</v>
      </c>
      <c r="B33" t="str">
        <f ca="1">IFERROR(__xludf.DUMMYFUNCTION("""COMPUTED_VALUE"""),"F051A")</f>
        <v>F051A</v>
      </c>
      <c r="C33" t="str">
        <f ca="1">IFERROR(__xludf.DUMMYFUNCTION("""COMPUTED_VALUE"""),"Element spectroscopy (AAS, AES, AFS, ICP-MS)")</f>
        <v>Element spectroscopy (AAS, AES, AFS, ICP-MS)</v>
      </c>
    </row>
    <row r="34" spans="1:3" ht="12.5" x14ac:dyDescent="0.25">
      <c r="A34" t="str">
        <f ca="1">IFERROR(__xludf.DUMMYFUNCTION("""COMPUTED_VALUE"""),"ELISA")</f>
        <v>ELISA</v>
      </c>
      <c r="B34" t="str">
        <f ca="1">IFERROR(__xludf.DUMMYFUNCTION("""COMPUTED_VALUE"""),"F080A")</f>
        <v>F080A</v>
      </c>
      <c r="C34" t="str">
        <f ca="1">IFERROR(__xludf.DUMMYFUNCTION("""COMPUTED_VALUE"""),"Enzyme-linked immunosorbent assay")</f>
        <v>Enzyme-linked immunosorbent assay</v>
      </c>
    </row>
    <row r="35" spans="1:3" ht="12.5" x14ac:dyDescent="0.25">
      <c r="A35" t="str">
        <f ca="1">IFERROR(__xludf.DUMMYFUNCTION("""COMPUTED_VALUE"""),"Enzymatic tests")</f>
        <v>Enzymatic tests</v>
      </c>
      <c r="B35" t="str">
        <f ca="1">IFERROR(__xludf.DUMMYFUNCTION("""COMPUTED_VALUE"""),"F069A")</f>
        <v>F069A</v>
      </c>
    </row>
    <row r="36" spans="1:3" ht="12.5" x14ac:dyDescent="0.25">
      <c r="A36" t="str">
        <f ca="1">IFERROR(__xludf.DUMMYFUNCTION("""COMPUTED_VALUE"""),"ETAAS (GFAAS)")</f>
        <v>ETAAS (GFAAS)</v>
      </c>
      <c r="B36" t="str">
        <f ca="1">IFERROR(__xludf.DUMMYFUNCTION("""COMPUTED_VALUE"""),"F054A")</f>
        <v>F054A</v>
      </c>
      <c r="C36" t="str">
        <f ca="1">IFERROR(__xludf.DUMMYFUNCTION("""COMPUTED_VALUE"""),"Electrothermal atomic absorption spectrometry (Graphite furnance atomic absorption spectrometry)")</f>
        <v>Electrothermal atomic absorption spectrometry (Graphite furnance atomic absorption spectrometry)</v>
      </c>
    </row>
    <row r="37" spans="1:3" ht="12.5" x14ac:dyDescent="0.25">
      <c r="A37" t="str">
        <f ca="1">IFERROR(__xludf.DUMMYFUNCTION("""COMPUTED_VALUE"""),"FAAS")</f>
        <v>FAAS</v>
      </c>
      <c r="B37" t="str">
        <f ca="1">IFERROR(__xludf.DUMMYFUNCTION("""COMPUTED_VALUE"""),"F150A")</f>
        <v>F150A</v>
      </c>
      <c r="C37" t="str">
        <f ca="1">IFERROR(__xludf.DUMMYFUNCTION("""COMPUTED_VALUE"""),"Flame atomic absorption spectrometry")</f>
        <v>Flame atomic absorption spectrometry</v>
      </c>
    </row>
    <row r="38" spans="1:3" ht="12.5" x14ac:dyDescent="0.25">
      <c r="A38" t="str">
        <f ca="1">IFERROR(__xludf.DUMMYFUNCTION("""COMPUTED_VALUE"""),"Fluorimetry, Nephelometry and Polarimetry")</f>
        <v>Fluorimetry, Nephelometry and Polarimetry</v>
      </c>
      <c r="B38" t="str">
        <f ca="1">IFERROR(__xludf.DUMMYFUNCTION("""COMPUTED_VALUE"""),"F011A")</f>
        <v>F011A</v>
      </c>
    </row>
    <row r="39" spans="1:3" ht="12.5" x14ac:dyDescent="0.25">
      <c r="A39" t="str">
        <f ca="1">IFERROR(__xludf.DUMMYFUNCTION("""COMPUTED_VALUE"""),"Gaschromatography (GC)")</f>
        <v>Gaschromatography (GC)</v>
      </c>
      <c r="B39" t="str">
        <f ca="1">IFERROR(__xludf.DUMMYFUNCTION("""COMPUTED_VALUE"""),"F037A")</f>
        <v>F037A</v>
      </c>
      <c r="C39" t="str">
        <f ca="1">IFERROR(__xludf.DUMMYFUNCTION("""COMPUTED_VALUE"""),"Gaschromatography (GC)")</f>
        <v>Gaschromatography (GC)</v>
      </c>
    </row>
    <row r="40" spans="1:3" ht="12.5" x14ac:dyDescent="0.25">
      <c r="A40" t="str">
        <f ca="1">IFERROR(__xludf.DUMMYFUNCTION("""COMPUTED_VALUE"""),"GC hypenated to element spectrometry")</f>
        <v>GC hypenated to element spectrometry</v>
      </c>
      <c r="B40" t="str">
        <f ca="1">IFERROR(__xludf.DUMMYFUNCTION("""COMPUTED_VALUE"""),"F161A")</f>
        <v>F161A</v>
      </c>
      <c r="C40" t="str">
        <f ca="1">IFERROR(__xludf.DUMMYFUNCTION("""COMPUTED_VALUE"""),"Gas chromatography hypenated to element spectrometry")</f>
        <v>Gas chromatography hypenated to element spectrometry</v>
      </c>
    </row>
    <row r="41" spans="1:3" ht="12.5" x14ac:dyDescent="0.25">
      <c r="A41" t="str">
        <f ca="1">IFERROR(__xludf.DUMMYFUNCTION("""COMPUTED_VALUE"""),"GC hyphenated methods")</f>
        <v>GC hyphenated methods</v>
      </c>
      <c r="B41" t="str">
        <f ca="1">IFERROR(__xludf.DUMMYFUNCTION("""COMPUTED_VALUE"""),"F042A")</f>
        <v>F042A</v>
      </c>
      <c r="C41" t="str">
        <f ca="1">IFERROR(__xludf.DUMMYFUNCTION("""COMPUTED_VALUE"""),"GC coupled with special detectors, mostly multichanel detectors (e.g. GC-MS, GC-MS-MS, HG-(CT)GC-AAS, HG-(CT)GC-AFS, GC-ITD,GC-MS, GC-HRMS, etc.).")</f>
        <v>GC coupled with special detectors, mostly multichanel detectors (e.g. GC-MS, GC-MS-MS, HG-(CT)GC-AAS, HG-(CT)GC-AFS, GC-ITD,GC-MS, GC-HRMS, etc.).</v>
      </c>
    </row>
    <row r="42" spans="1:3" ht="12.5" x14ac:dyDescent="0.25">
      <c r="A42" t="str">
        <f ca="1">IFERROR(__xludf.DUMMYFUNCTION("""COMPUTED_VALUE"""),"GC with standard detection methods")</f>
        <v>GC with standard detection methods</v>
      </c>
      <c r="B42" t="str">
        <f ca="1">IFERROR(__xludf.DUMMYFUNCTION("""COMPUTED_VALUE"""),"F038A")</f>
        <v>F038A</v>
      </c>
      <c r="C42" t="str">
        <f ca="1">IFERROR(__xludf.DUMMYFUNCTION("""COMPUTED_VALUE"""),"Standard detector equipment of GC, identification of the analyte is possible comparing the retention time with a standard, quantification can be done using the detector signal (e.g. GC-FID, GC-ECD, GC-NPD, GC-ELCD, GC-FPD, etc.).")</f>
        <v>Standard detector equipment of GC, identification of the analyte is possible comparing the retention time with a standard, quantification can be done using the detector signal (e.g. GC-FID, GC-ECD, GC-NPD, GC-ELCD, GC-FPD, etc.).</v>
      </c>
    </row>
    <row r="43" spans="1:3" ht="12.5" x14ac:dyDescent="0.25">
      <c r="A43" t="str">
        <f ca="1">IFERROR(__xludf.DUMMYFUNCTION("""COMPUTED_VALUE"""),"GC-(P)FPD")</f>
        <v>GC-(P)FPD</v>
      </c>
      <c r="B43" t="str">
        <f ca="1">IFERROR(__xludf.DUMMYFUNCTION("""COMPUTED_VALUE"""),"F050A")</f>
        <v>F050A</v>
      </c>
      <c r="C43" t="str">
        <f ca="1">IFERROR(__xludf.DUMMYFUNCTION("""COMPUTED_VALUE"""),"Gas chromatography with (pulsed) flame photometric detection")</f>
        <v>Gas chromatography with (pulsed) flame photometric detection</v>
      </c>
    </row>
    <row r="44" spans="1:3" ht="12.5" x14ac:dyDescent="0.25">
      <c r="A44" t="str">
        <f ca="1">IFERROR(__xludf.DUMMYFUNCTION("""COMPUTED_VALUE"""),"GC-AAS")</f>
        <v>GC-AAS</v>
      </c>
      <c r="B44" t="str">
        <f ca="1">IFERROR(__xludf.DUMMYFUNCTION("""COMPUTED_VALUE"""),"F163A")</f>
        <v>F163A</v>
      </c>
      <c r="C44" t="str">
        <f ca="1">IFERROR(__xludf.DUMMYFUNCTION("""COMPUTED_VALUE"""),"Gas Chromatography Atomic Absorption Spectrometry")</f>
        <v>Gas Chromatography Atomic Absorption Spectrometry</v>
      </c>
    </row>
    <row r="45" spans="1:3" ht="12.5" x14ac:dyDescent="0.25">
      <c r="A45" t="str">
        <f ca="1">IFERROR(__xludf.DUMMYFUNCTION("""COMPUTED_VALUE"""),"GC-AES")</f>
        <v>GC-AES</v>
      </c>
      <c r="B45" t="str">
        <f ca="1">IFERROR(__xludf.DUMMYFUNCTION("""COMPUTED_VALUE"""),"F165A")</f>
        <v>F165A</v>
      </c>
      <c r="C45" t="str">
        <f ca="1">IFERROR(__xludf.DUMMYFUNCTION("""COMPUTED_VALUE"""),"Gas Chromatography Atomic Emission Spectrometry")</f>
        <v>Gas Chromatography Atomic Emission Spectrometry</v>
      </c>
    </row>
    <row r="46" spans="1:3" ht="12.5" x14ac:dyDescent="0.25">
      <c r="A46" t="str">
        <f ca="1">IFERROR(__xludf.DUMMYFUNCTION("""COMPUTED_VALUE"""),"GC-AFS")</f>
        <v>GC-AFS</v>
      </c>
      <c r="B46" t="str">
        <f ca="1">IFERROR(__xludf.DUMMYFUNCTION("""COMPUTED_VALUE"""),"F164A")</f>
        <v>F164A</v>
      </c>
      <c r="C46" t="str">
        <f ca="1">IFERROR(__xludf.DUMMYFUNCTION("""COMPUTED_VALUE"""),"Gas Chromatography Atomic Fluorescence Spectrometry")</f>
        <v>Gas Chromatography Atomic Fluorescence Spectrometry</v>
      </c>
    </row>
    <row r="47" spans="1:3" ht="12.5" x14ac:dyDescent="0.25">
      <c r="A47" t="str">
        <f ca="1">IFERROR(__xludf.DUMMYFUNCTION("""COMPUTED_VALUE"""),"GC-ECD")</f>
        <v>GC-ECD</v>
      </c>
      <c r="B47" t="str">
        <f ca="1">IFERROR(__xludf.DUMMYFUNCTION("""COMPUTED_VALUE"""),"F039A")</f>
        <v>F039A</v>
      </c>
      <c r="C47" t="str">
        <f ca="1">IFERROR(__xludf.DUMMYFUNCTION("""COMPUTED_VALUE"""),"Gas chromatography with electron capture detection")</f>
        <v>Gas chromatography with electron capture detection</v>
      </c>
    </row>
    <row r="48" spans="1:3" ht="12.5" x14ac:dyDescent="0.25">
      <c r="A48" t="str">
        <f ca="1">IFERROR(__xludf.DUMMYFUNCTION("""COMPUTED_VALUE"""),"GC-ELCD")</f>
        <v>GC-ELCD</v>
      </c>
      <c r="B48" t="str">
        <f ca="1">IFERROR(__xludf.DUMMYFUNCTION("""COMPUTED_VALUE"""),"F141A")</f>
        <v>F141A</v>
      </c>
      <c r="C48" t="str">
        <f ca="1">IFERROR(__xludf.DUMMYFUNCTION("""COMPUTED_VALUE"""),"Gas chromatography with electrolytic conductivity detection")</f>
        <v>Gas chromatography with electrolytic conductivity detection</v>
      </c>
    </row>
    <row r="49" spans="1:3" ht="12.5" x14ac:dyDescent="0.25">
      <c r="A49" t="str">
        <f ca="1">IFERROR(__xludf.DUMMYFUNCTION("""COMPUTED_VALUE"""),"GC-FID")</f>
        <v>GC-FID</v>
      </c>
      <c r="B49" t="str">
        <f ca="1">IFERROR(__xludf.DUMMYFUNCTION("""COMPUTED_VALUE"""),"F040A")</f>
        <v>F040A</v>
      </c>
      <c r="C49" t="str">
        <f ca="1">IFERROR(__xludf.DUMMYFUNCTION("""COMPUTED_VALUE"""),"Gas chromatography with flame ionization detection")</f>
        <v>Gas chromatography with flame ionization detection</v>
      </c>
    </row>
    <row r="50" spans="1:3" ht="12.5" x14ac:dyDescent="0.25">
      <c r="A50" t="str">
        <f ca="1">IFERROR(__xludf.DUMMYFUNCTION("""COMPUTED_VALUE"""),"GC-HR-TOF-MS")</f>
        <v>GC-HR-TOF-MS</v>
      </c>
      <c r="B50" t="str">
        <f ca="1">IFERROR(__xludf.DUMMYFUNCTION("""COMPUTED_VALUE"""),"F147A")</f>
        <v>F147A</v>
      </c>
      <c r="C50" t="str">
        <f ca="1">IFERROR(__xludf.DUMMYFUNCTION("""COMPUTED_VALUE"""),"Gas chromatography with high resolution time-of-flight mass spectrometry")</f>
        <v>Gas chromatography with high resolution time-of-flight mass spectrometry</v>
      </c>
    </row>
    <row r="51" spans="1:3" ht="12.5" x14ac:dyDescent="0.25">
      <c r="A51" t="str">
        <f ca="1">IFERROR(__xludf.DUMMYFUNCTION("""COMPUTED_VALUE"""),"GC-HRMS")</f>
        <v>GC-HRMS</v>
      </c>
      <c r="B51" t="str">
        <f ca="1">IFERROR(__xludf.DUMMYFUNCTION("""COMPUTED_VALUE"""),"F047A")</f>
        <v>F047A</v>
      </c>
      <c r="C51" t="str">
        <f ca="1">IFERROR(__xludf.DUMMYFUNCTION("""COMPUTED_VALUE"""),"Gas chromatography with high resolution mass spectrometric detection")</f>
        <v>Gas chromatography with high resolution mass spectrometric detection</v>
      </c>
    </row>
    <row r="52" spans="1:3" ht="12.5" x14ac:dyDescent="0.25">
      <c r="A52" t="str">
        <f ca="1">IFERROR(__xludf.DUMMYFUNCTION("""COMPUTED_VALUE"""),"GC-HRMS (magnetic sector)")</f>
        <v>GC-HRMS (magnetic sector)</v>
      </c>
      <c r="B52" t="str">
        <f ca="1">IFERROR(__xludf.DUMMYFUNCTION("""COMPUTED_VALUE"""),"F146A")</f>
        <v>F146A</v>
      </c>
      <c r="C52" t="str">
        <f ca="1">IFERROR(__xludf.DUMMYFUNCTION("""COMPUTED_VALUE"""),"Gas chromatography hyphenated to a high resolution magnetic sector mass spectrometer")</f>
        <v>Gas chromatography hyphenated to a high resolution magnetic sector mass spectrometer</v>
      </c>
    </row>
    <row r="53" spans="1:3" ht="12.5" x14ac:dyDescent="0.25">
      <c r="A53" t="str">
        <f ca="1">IFERROR(__xludf.DUMMYFUNCTION("""COMPUTED_VALUE"""),"GC-ICP-MS")</f>
        <v>GC-ICP-MS</v>
      </c>
      <c r="B53" t="str">
        <f ca="1">IFERROR(__xludf.DUMMYFUNCTION("""COMPUTED_VALUE"""),"F166A")</f>
        <v>F166A</v>
      </c>
      <c r="C53" t="str">
        <f ca="1">IFERROR(__xludf.DUMMYFUNCTION("""COMPUTED_VALUE"""),"Gas Chromatography Inductively Coupled Plasma Mass Spectrometry")</f>
        <v>Gas Chromatography Inductively Coupled Plasma Mass Spectrometry</v>
      </c>
    </row>
    <row r="54" spans="1:3" ht="12.5" x14ac:dyDescent="0.25">
      <c r="A54" t="str">
        <f ca="1">IFERROR(__xludf.DUMMYFUNCTION("""COMPUTED_VALUE"""),"GC-ITMS")</f>
        <v>GC-ITMS</v>
      </c>
      <c r="B54" t="str">
        <f ca="1">IFERROR(__xludf.DUMMYFUNCTION("""COMPUTED_VALUE"""),"F045A")</f>
        <v>F045A</v>
      </c>
      <c r="C54" t="str">
        <f ca="1">IFERROR(__xludf.DUMMYFUNCTION("""COMPUTED_VALUE"""),"Gas chromatography with ion trap mass spectrometry")</f>
        <v>Gas chromatography with ion trap mass spectrometry</v>
      </c>
    </row>
    <row r="55" spans="1:3" ht="12.5" x14ac:dyDescent="0.25">
      <c r="A55" t="str">
        <f ca="1">IFERROR(__xludf.DUMMYFUNCTION("""COMPUTED_VALUE"""),"GC-LR-MS")</f>
        <v>GC-LR-MS</v>
      </c>
      <c r="B55" t="str">
        <f ca="1">IFERROR(__xludf.DUMMYFUNCTION("""COMPUTED_VALUE"""),"F143A")</f>
        <v>F143A</v>
      </c>
      <c r="C55" t="str">
        <f ca="1">IFERROR(__xludf.DUMMYFUNCTION("""COMPUTED_VALUE"""),"Gas chromatography with low resolution mass spectrometry")</f>
        <v>Gas chromatography with low resolution mass spectrometry</v>
      </c>
    </row>
    <row r="56" spans="1:3" ht="12.5" x14ac:dyDescent="0.25">
      <c r="A56" t="str">
        <f ca="1">IFERROR(__xludf.DUMMYFUNCTION("""COMPUTED_VALUE"""),"GC-LR-TOFMS")</f>
        <v>GC-LR-TOFMS</v>
      </c>
      <c r="B56" t="str">
        <f ca="1">IFERROR(__xludf.DUMMYFUNCTION("""COMPUTED_VALUE"""),"F145A")</f>
        <v>F145A</v>
      </c>
      <c r="C56" t="str">
        <f ca="1">IFERROR(__xludf.DUMMYFUNCTION("""COMPUTED_VALUE"""),"Gas chromatography with low resolution time-of-flight mass spectrometry")</f>
        <v>Gas chromatography with low resolution time-of-flight mass spectrometry</v>
      </c>
    </row>
    <row r="57" spans="1:3" ht="12.5" x14ac:dyDescent="0.25">
      <c r="A57" t="str">
        <f ca="1">IFERROR(__xludf.DUMMYFUNCTION("""COMPUTED_VALUE"""),"GC-MS")</f>
        <v>GC-MS</v>
      </c>
      <c r="B57" t="str">
        <f ca="1">IFERROR(__xludf.DUMMYFUNCTION("""COMPUTED_VALUE"""),"F046A")</f>
        <v>F046A</v>
      </c>
      <c r="C57" t="str">
        <f ca="1">IFERROR(__xludf.DUMMYFUNCTION("""COMPUTED_VALUE"""),"Gas chromatography Mass Spectrometry")</f>
        <v>Gas chromatography Mass Spectrometry</v>
      </c>
    </row>
    <row r="58" spans="1:3" ht="12.5" x14ac:dyDescent="0.25">
      <c r="A58" t="str">
        <f ca="1">IFERROR(__xludf.DUMMYFUNCTION("""COMPUTED_VALUE"""),"GC-MS (Q)")</f>
        <v>GC-MS (Q)</v>
      </c>
      <c r="B58" t="str">
        <f ca="1">IFERROR(__xludf.DUMMYFUNCTION("""COMPUTED_VALUE"""),"F144A")</f>
        <v>F144A</v>
      </c>
      <c r="C58" t="str">
        <f ca="1">IFERROR(__xludf.DUMMYFUNCTION("""COMPUTED_VALUE"""),"Gas chromatography with single quadrupole mass spectrometry")</f>
        <v>Gas chromatography with single quadrupole mass spectrometry</v>
      </c>
    </row>
    <row r="59" spans="1:3" ht="12.5" x14ac:dyDescent="0.25">
      <c r="A59" t="str">
        <f ca="1">IFERROR(__xludf.DUMMYFUNCTION("""COMPUTED_VALUE"""),"GC-MS-MS")</f>
        <v>GC-MS-MS</v>
      </c>
      <c r="B59" t="str">
        <f ca="1">IFERROR(__xludf.DUMMYFUNCTION("""COMPUTED_VALUE"""),"F049A")</f>
        <v>F049A</v>
      </c>
      <c r="C59" t="str">
        <f ca="1">IFERROR(__xludf.DUMMYFUNCTION("""COMPUTED_VALUE"""),"Gas chromatography tandem mass spectrometry")</f>
        <v>Gas chromatography tandem mass spectrometry</v>
      </c>
    </row>
    <row r="60" spans="1:3" ht="12.5" x14ac:dyDescent="0.25">
      <c r="A60" t="str">
        <f ca="1">IFERROR(__xludf.DUMMYFUNCTION("""COMPUTED_VALUE"""),"GC-NPD (TID)")</f>
        <v>GC-NPD (TID)</v>
      </c>
      <c r="B60" t="str">
        <f ca="1">IFERROR(__xludf.DUMMYFUNCTION("""COMPUTED_VALUE"""),"F041A")</f>
        <v>F041A</v>
      </c>
      <c r="C60" t="str">
        <f ca="1">IFERROR(__xludf.DUMMYFUNCTION("""COMPUTED_VALUE"""),"Gas chromatography with nitrogen-phosphorus sensitive detection (thermionic ionization detection)")</f>
        <v>Gas chromatography with nitrogen-phosphorus sensitive detection (thermionic ionization detection)</v>
      </c>
    </row>
    <row r="61" spans="1:3" ht="12.5" x14ac:dyDescent="0.25">
      <c r="A61" t="str">
        <f ca="1">IFERROR(__xludf.DUMMYFUNCTION("""COMPUTED_VALUE"""),"GC-QqQ-MS-MS")</f>
        <v>GC-QqQ-MS-MS</v>
      </c>
      <c r="B61" t="str">
        <f ca="1">IFERROR(__xludf.DUMMYFUNCTION("""COMPUTED_VALUE"""),"F148A")</f>
        <v>F148A</v>
      </c>
      <c r="C61" t="str">
        <f ca="1">IFERROR(__xludf.DUMMYFUNCTION("""COMPUTED_VALUE"""),"Gas chromatography tandem quadrupole mass spectrometry")</f>
        <v>Gas chromatography tandem quadrupole mass spectrometry</v>
      </c>
    </row>
    <row r="62" spans="1:3" ht="12.5" x14ac:dyDescent="0.25">
      <c r="A62" t="str">
        <f ca="1">IFERROR(__xludf.DUMMYFUNCTION("""COMPUTED_VALUE"""),"GC-QTOF-MS")</f>
        <v>GC-QTOF-MS</v>
      </c>
      <c r="B62" t="str">
        <f ca="1">IFERROR(__xludf.DUMMYFUNCTION("""COMPUTED_VALUE"""),"F149A")</f>
        <v>F149A</v>
      </c>
      <c r="C62" t="str">
        <f ca="1">IFERROR(__xludf.DUMMYFUNCTION("""COMPUTED_VALUE"""),"Gas Chromography Quadrupole-Time-of-Flight Mass Spectrometry")</f>
        <v>Gas Chromography Quadrupole-Time-of-Flight Mass Spectrometry</v>
      </c>
    </row>
    <row r="63" spans="1:3" ht="12.5" x14ac:dyDescent="0.25">
      <c r="A63" t="str">
        <f ca="1">IFERROR(__xludf.DUMMYFUNCTION("""COMPUTED_VALUE"""),"GC-SCD")</f>
        <v>GC-SCD</v>
      </c>
      <c r="B63" t="str">
        <f ca="1">IFERROR(__xludf.DUMMYFUNCTION("""COMPUTED_VALUE"""),"F140A")</f>
        <v>F140A</v>
      </c>
      <c r="C63" t="str">
        <f ca="1">IFERROR(__xludf.DUMMYFUNCTION("""COMPUTED_VALUE"""),"Gas chromatography with sulfur chemiluminiscence detection")</f>
        <v>Gas chromatography with sulfur chemiluminiscence detection</v>
      </c>
    </row>
    <row r="64" spans="1:3" ht="12.5" x14ac:dyDescent="0.25">
      <c r="A64" t="str">
        <f ca="1">IFERROR(__xludf.DUMMYFUNCTION("""COMPUTED_VALUE"""),"GC-TCD")</f>
        <v>GC-TCD</v>
      </c>
      <c r="B64" t="str">
        <f ca="1">IFERROR(__xludf.DUMMYFUNCTION("""COMPUTED_VALUE"""),"F142A")</f>
        <v>F142A</v>
      </c>
      <c r="C64" t="str">
        <f ca="1">IFERROR(__xludf.DUMMYFUNCTION("""COMPUTED_VALUE"""),"Gas chromatography with thermal conductivity detection")</f>
        <v>Gas chromatography with thermal conductivity detection</v>
      </c>
    </row>
    <row r="65" spans="1:3" ht="12.5" x14ac:dyDescent="0.25">
      <c r="A65" t="str">
        <f ca="1">IFERROR(__xludf.DUMMYFUNCTION("""COMPUTED_VALUE"""),"Gel electrophoresis")</f>
        <v>Gel electrophoresis</v>
      </c>
      <c r="B65" t="str">
        <f ca="1">IFERROR(__xludf.DUMMYFUNCTION("""COMPUTED_VALUE"""),"F076A")</f>
        <v>F076A</v>
      </c>
      <c r="C65" t="str">
        <f ca="1">IFERROR(__xludf.DUMMYFUNCTION("""COMPUTED_VALUE"""),"for DNA or RNA detection")</f>
        <v>for DNA or RNA detection</v>
      </c>
    </row>
    <row r="66" spans="1:3" ht="12.5" x14ac:dyDescent="0.25">
      <c r="A66" t="str">
        <f ca="1">IFERROR(__xludf.DUMMYFUNCTION("""COMPUTED_VALUE"""),"Gelpermeation, High Performance Thin Layer Chromatography (HPTLC)")</f>
        <v>Gelpermeation, High Performance Thin Layer Chromatography (HPTLC)</v>
      </c>
      <c r="B66" t="str">
        <f ca="1">IFERROR(__xludf.DUMMYFUNCTION("""COMPUTED_VALUE"""),"F017A")</f>
        <v>F017A</v>
      </c>
    </row>
    <row r="67" spans="1:3" ht="12.5" x14ac:dyDescent="0.25">
      <c r="A67" t="str">
        <f ca="1">IFERROR(__xludf.DUMMYFUNCTION("""COMPUTED_VALUE"""),"Gravimetric tests")</f>
        <v>Gravimetric tests</v>
      </c>
      <c r="B67" t="str">
        <f ca="1">IFERROR(__xludf.DUMMYFUNCTION("""COMPUTED_VALUE"""),"F004A")</f>
        <v>F004A</v>
      </c>
      <c r="C67" t="str">
        <f ca="1">IFERROR(__xludf.DUMMYFUNCTION("""COMPUTED_VALUE"""),"Gravimetric analysis which trought the quantitavively measurement of the anayte mass. It determines the amount of material present by weighing the sample before and-or after some transformation e.g. precipitation, drying and ashing.")</f>
        <v>Gravimetric analysis which trought the quantitavively measurement of the anayte mass. It determines the amount of material present by weighing the sample before and-or after some transformation e.g. precipitation, drying and ashing.</v>
      </c>
    </row>
    <row r="68" spans="1:3" ht="12.5" x14ac:dyDescent="0.25">
      <c r="A68" t="str">
        <f ca="1">IFERROR(__xludf.DUMMYFUNCTION("""COMPUTED_VALUE"""),"HG-(CT)GC-AAS")</f>
        <v>HG-(CT)GC-AAS</v>
      </c>
      <c r="B68" t="str">
        <f ca="1">IFERROR(__xludf.DUMMYFUNCTION("""COMPUTED_VALUE"""),"F043A")</f>
        <v>F043A</v>
      </c>
      <c r="C68" t="str">
        <f ca="1">IFERROR(__xludf.DUMMYFUNCTION("""COMPUTED_VALUE"""),"Hydride generation (Cold trapping or cryogenic trapping) Gas Chromatography Atomic Absorption Spectrometry")</f>
        <v>Hydride generation (Cold trapping or cryogenic trapping) Gas Chromatography Atomic Absorption Spectrometry</v>
      </c>
    </row>
    <row r="69" spans="1:3" ht="12.5" x14ac:dyDescent="0.25">
      <c r="A69" t="str">
        <f ca="1">IFERROR(__xludf.DUMMYFUNCTION("""COMPUTED_VALUE"""),"HG-(CT)GC-AFS")</f>
        <v>HG-(CT)GC-AFS</v>
      </c>
      <c r="B69" t="str">
        <f ca="1">IFERROR(__xludf.DUMMYFUNCTION("""COMPUTED_VALUE"""),"F044A")</f>
        <v>F044A</v>
      </c>
      <c r="C69" t="str">
        <f ca="1">IFERROR(__xludf.DUMMYFUNCTION("""COMPUTED_VALUE"""),"Hydride generation (Cold trapping or cryogenic trapping) Gas Chromatography Atomic Fluorescence Spectrometry")</f>
        <v>Hydride generation (Cold trapping or cryogenic trapping) Gas Chromatography Atomic Fluorescence Spectrometry</v>
      </c>
    </row>
    <row r="70" spans="1:3" ht="12.5" x14ac:dyDescent="0.25">
      <c r="A70" t="str">
        <f ca="1">IFERROR(__xludf.DUMMYFUNCTION("""COMPUTED_VALUE"""),"HG-(CT)GC-ICP-MS")</f>
        <v>HG-(CT)GC-ICP-MS</v>
      </c>
      <c r="B70" t="str">
        <f ca="1">IFERROR(__xludf.DUMMYFUNCTION("""COMPUTED_VALUE"""),"F162A")</f>
        <v>F162A</v>
      </c>
      <c r="C70" t="str">
        <f ca="1">IFERROR(__xludf.DUMMYFUNCTION("""COMPUTED_VALUE"""),"Hydride generation (Cold trapping or cryogenic trapping) Gas Chromatography Inductively Coupled Plasma Mass Spectrometry")</f>
        <v>Hydride generation (Cold trapping or cryogenic trapping) Gas Chromatography Inductively Coupled Plasma Mass Spectrometry</v>
      </c>
    </row>
    <row r="71" spans="1:3" ht="12.5" x14ac:dyDescent="0.25">
      <c r="A71" t="str">
        <f ca="1">IFERROR(__xludf.DUMMYFUNCTION("""COMPUTED_VALUE"""),"HG-AFS")</f>
        <v>HG-AFS</v>
      </c>
      <c r="B71" t="str">
        <f ca="1">IFERROR(__xludf.DUMMYFUNCTION("""COMPUTED_VALUE"""),"F059A")</f>
        <v>F059A</v>
      </c>
      <c r="C71" t="str">
        <f ca="1">IFERROR(__xludf.DUMMYFUNCTION("""COMPUTED_VALUE"""),"Hydride generation atomic fluorescence spectrometry")</f>
        <v>Hydride generation atomic fluorescence spectrometry</v>
      </c>
    </row>
    <row r="72" spans="1:3" ht="12.5" x14ac:dyDescent="0.25">
      <c r="A72" t="str">
        <f ca="1">IFERROR(__xludf.DUMMYFUNCTION("""COMPUTED_VALUE"""),"HG-ICP-AES")</f>
        <v>HG-ICP-AES</v>
      </c>
      <c r="B72" t="str">
        <f ca="1">IFERROR(__xludf.DUMMYFUNCTION("""COMPUTED_VALUE"""),"F056A")</f>
        <v>F056A</v>
      </c>
      <c r="C72" t="str">
        <f ca="1">IFERROR(__xludf.DUMMYFUNCTION("""COMPUTED_VALUE"""),"hydride generation inductively coupled plasma atomic emission spectrometry")</f>
        <v>hydride generation inductively coupled plasma atomic emission spectrometry</v>
      </c>
    </row>
    <row r="73" spans="1:3" ht="12.5" x14ac:dyDescent="0.25">
      <c r="A73" t="str">
        <f ca="1">IFERROR(__xludf.DUMMYFUNCTION("""COMPUTED_VALUE"""),"HGAAS")</f>
        <v>HGAAS</v>
      </c>
      <c r="B73" t="str">
        <f ca="1">IFERROR(__xludf.DUMMYFUNCTION("""COMPUTED_VALUE"""),"F053A")</f>
        <v>F053A</v>
      </c>
      <c r="C73" t="str">
        <f ca="1">IFERROR(__xludf.DUMMYFUNCTION("""COMPUTED_VALUE"""),"hydride generation atomic absorption spectrometry")</f>
        <v>hydride generation atomic absorption spectrometry</v>
      </c>
    </row>
    <row r="74" spans="1:3" ht="12.5" x14ac:dyDescent="0.25">
      <c r="A74" t="str">
        <f ca="1">IFERROR(__xludf.DUMMYFUNCTION("""COMPUTED_VALUE"""),"High Performance Liquid Chromatography (HPLC)-Liquid Chromatography (LC)")</f>
        <v>High Performance Liquid Chromatography (HPLC)-Liquid Chromatography (LC)</v>
      </c>
      <c r="B74" t="str">
        <f ca="1">IFERROR(__xludf.DUMMYFUNCTION("""COMPUTED_VALUE"""),"F018A")</f>
        <v>F018A</v>
      </c>
      <c r="C74" t="str">
        <f ca="1">IFERROR(__xludf.DUMMYFUNCTION("""COMPUTED_VALUE"""),"High Performance, High Pressure and Liquid Chromatography.")</f>
        <v>High Performance, High Pressure and Liquid Chromatography.</v>
      </c>
    </row>
    <row r="75" spans="1:3" ht="12.5" x14ac:dyDescent="0.25">
      <c r="A75" t="str">
        <f ca="1">IFERROR(__xludf.DUMMYFUNCTION("""COMPUTED_VALUE"""),"Histometrical standard tests")</f>
        <v>Histometrical standard tests</v>
      </c>
      <c r="B75" t="str">
        <f ca="1">IFERROR(__xludf.DUMMYFUNCTION("""COMPUTED_VALUE"""),"F097A")</f>
        <v>F097A</v>
      </c>
    </row>
    <row r="76" spans="1:3" ht="12.5" x14ac:dyDescent="0.25">
      <c r="A76" t="str">
        <f ca="1">IFERROR(__xludf.DUMMYFUNCTION("""COMPUTED_VALUE"""),"HNA")</f>
        <v>HNA</v>
      </c>
      <c r="B76" t="str">
        <f ca="1">IFERROR(__xludf.DUMMYFUNCTION("""COMPUTED_VALUE"""),"F118A")</f>
        <v>F118A</v>
      </c>
      <c r="C76" t="str">
        <f ca="1">IFERROR(__xludf.DUMMYFUNCTION("""COMPUTED_VALUE"""),"Hemolysis Neutralisation assay")</f>
        <v>Hemolysis Neutralisation assay</v>
      </c>
    </row>
    <row r="77" spans="1:3" ht="12.5" x14ac:dyDescent="0.25">
      <c r="A77" t="str">
        <f ca="1">IFERROR(__xludf.DUMMYFUNCTION("""COMPUTED_VALUE"""),"HPLC hypenated to element spectrometry")</f>
        <v>HPLC hypenated to element spectrometry</v>
      </c>
      <c r="B77" t="str">
        <f ca="1">IFERROR(__xludf.DUMMYFUNCTION("""COMPUTED_VALUE"""),"F156A")</f>
        <v>F156A</v>
      </c>
      <c r="C77" t="str">
        <f ca="1">IFERROR(__xludf.DUMMYFUNCTION("""COMPUTED_VALUE"""),"High performance liquid chromatography hypenated to element spectrometry")</f>
        <v>High performance liquid chromatography hypenated to element spectrometry</v>
      </c>
    </row>
    <row r="78" spans="1:3" ht="12.5" x14ac:dyDescent="0.25">
      <c r="A78" t="str">
        <f ca="1">IFERROR(__xludf.DUMMYFUNCTION("""COMPUTED_VALUE"""),"HPLC with standard detection methods")</f>
        <v>HPLC with standard detection methods</v>
      </c>
      <c r="B78" t="str">
        <f ca="1">IFERROR(__xludf.DUMMYFUNCTION("""COMPUTED_VALUE"""),"F019A")</f>
        <v>F019A</v>
      </c>
    </row>
    <row r="79" spans="1:3" ht="12.5" x14ac:dyDescent="0.25">
      <c r="A79" t="str">
        <f ca="1">IFERROR(__xludf.DUMMYFUNCTION("""COMPUTED_VALUE"""),"HPLC-CAD")</f>
        <v>HPLC-CAD</v>
      </c>
      <c r="B79" t="str">
        <f ca="1">IFERROR(__xludf.DUMMYFUNCTION("""COMPUTED_VALUE"""),"F128A")</f>
        <v>F128A</v>
      </c>
      <c r="C79" t="str">
        <f ca="1">IFERROR(__xludf.DUMMYFUNCTION("""COMPUTED_VALUE"""),"High Performance Liquid Chromatography with Corona Discharge Detection")</f>
        <v>High Performance Liquid Chromatography with Corona Discharge Detection</v>
      </c>
    </row>
    <row r="80" spans="1:3" ht="12.5" x14ac:dyDescent="0.25">
      <c r="A80" t="str">
        <f ca="1">IFERROR(__xludf.DUMMYFUNCTION("""COMPUTED_VALUE"""),"HPLC-CF")</f>
        <v>HPLC-CF</v>
      </c>
      <c r="B80" t="str">
        <f ca="1">IFERROR(__xludf.DUMMYFUNCTION("""COMPUTED_VALUE"""),"F036A")</f>
        <v>F036A</v>
      </c>
      <c r="C80" t="str">
        <f ca="1">IFERROR(__xludf.DUMMYFUNCTION("""COMPUTED_VALUE"""),"High Performance Liquid Chromatography coupled to continuous-flow")</f>
        <v>High Performance Liquid Chromatography coupled to continuous-flow</v>
      </c>
    </row>
    <row r="81" spans="1:3" ht="12.5" x14ac:dyDescent="0.25">
      <c r="A81" t="str">
        <f ca="1">IFERROR(__xludf.DUMMYFUNCTION("""COMPUTED_VALUE"""),"HPLC-Decomp-HG-ICP-MS")</f>
        <v>HPLC-Decomp-HG-ICP-MS</v>
      </c>
      <c r="B81" t="str">
        <f ca="1">IFERROR(__xludf.DUMMYFUNCTION("""COMPUTED_VALUE"""),"F160A")</f>
        <v>F160A</v>
      </c>
      <c r="C81" t="str">
        <f ca="1">IFERROR(__xludf.DUMMYFUNCTION("""COMPUTED_VALUE"""),"High performance liquid chromatography-decomposition-hydride generation inductively coupled plasma mass spectrometry")</f>
        <v>High performance liquid chromatography-decomposition-hydride generation inductively coupled plasma mass spectrometry</v>
      </c>
    </row>
    <row r="82" spans="1:3" ht="12.5" x14ac:dyDescent="0.25">
      <c r="A82" t="str">
        <f ca="1">IFERROR(__xludf.DUMMYFUNCTION("""COMPUTED_VALUE"""),"HPLC-Decomposition-HGAAS")</f>
        <v>HPLC-Decomposition-HGAAS</v>
      </c>
      <c r="B82" t="str">
        <f ca="1">IFERROR(__xludf.DUMMYFUNCTION("""COMPUTED_VALUE"""),"F030A")</f>
        <v>F030A</v>
      </c>
      <c r="C82" t="str">
        <f ca="1">IFERROR(__xludf.DUMMYFUNCTION("""COMPUTED_VALUE"""),"High performance liquid chromatography-decomposition-hydride generation atomic absorption spectrometry")</f>
        <v>High performance liquid chromatography-decomposition-hydride generation atomic absorption spectrometry</v>
      </c>
    </row>
    <row r="83" spans="1:3" ht="12.5" x14ac:dyDescent="0.25">
      <c r="A83" t="str">
        <f ca="1">IFERROR(__xludf.DUMMYFUNCTION("""COMPUTED_VALUE"""),"HPLC-Decomposition-HGAFS")</f>
        <v>HPLC-Decomposition-HGAFS</v>
      </c>
      <c r="B83" t="str">
        <f ca="1">IFERROR(__xludf.DUMMYFUNCTION("""COMPUTED_VALUE"""),"F031A")</f>
        <v>F031A</v>
      </c>
      <c r="C83" t="str">
        <f ca="1">IFERROR(__xludf.DUMMYFUNCTION("""COMPUTED_VALUE"""),"High Performance Liquid Chromatography-Decomposition-Hydride Generation Atomic Fluorescence Spectrometry")</f>
        <v>High Performance Liquid Chromatography-Decomposition-Hydride Generation Atomic Fluorescence Spectrometry</v>
      </c>
    </row>
    <row r="84" spans="1:3" ht="12.5" x14ac:dyDescent="0.25">
      <c r="A84" t="str">
        <f ca="1">IFERROR(__xludf.DUMMYFUNCTION("""COMPUTED_VALUE"""),"HPLC-ECD")</f>
        <v>HPLC-ECD</v>
      </c>
      <c r="B84" t="str">
        <f ca="1">IFERROR(__xludf.DUMMYFUNCTION("""COMPUTED_VALUE"""),"F023A")</f>
        <v>F023A</v>
      </c>
      <c r="C84" t="str">
        <f ca="1">IFERROR(__xludf.DUMMYFUNCTION("""COMPUTED_VALUE"""),"High Performance Liquid Chromatography with Electrochemical detection")</f>
        <v>High Performance Liquid Chromatography with Electrochemical detection</v>
      </c>
    </row>
    <row r="85" spans="1:3" ht="12.5" x14ac:dyDescent="0.25">
      <c r="A85" t="str">
        <f ca="1">IFERROR(__xludf.DUMMYFUNCTION("""COMPUTED_VALUE"""),"HPLC-Electrical Conductivity Detector")</f>
        <v>HPLC-Electrical Conductivity Detector</v>
      </c>
      <c r="B85" t="str">
        <f ca="1">IFERROR(__xludf.DUMMYFUNCTION("""COMPUTED_VALUE"""),"F024A")</f>
        <v>F024A</v>
      </c>
      <c r="C85" t="str">
        <f ca="1">IFERROR(__xludf.DUMMYFUNCTION("""COMPUTED_VALUE"""),"High Performance Liquid with Electrical Conductivity Detector")</f>
        <v>High Performance Liquid with Electrical Conductivity Detector</v>
      </c>
    </row>
    <row r="86" spans="1:3" ht="12.5" x14ac:dyDescent="0.25">
      <c r="A86" t="str">
        <f ca="1">IFERROR(__xludf.DUMMYFUNCTION("""COMPUTED_VALUE"""),"HPLC-ELSD")</f>
        <v>HPLC-ELSD</v>
      </c>
      <c r="B86" t="str">
        <f ca="1">IFERROR(__xludf.DUMMYFUNCTION("""COMPUTED_VALUE"""),"F0127A")</f>
        <v>F0127A</v>
      </c>
      <c r="C86" t="str">
        <f ca="1">IFERROR(__xludf.DUMMYFUNCTION("""COMPUTED_VALUE"""),"High Performance Liquid Chromatography with Evaporative Light Scattering Detection")</f>
        <v>High Performance Liquid Chromatography with Evaporative Light Scattering Detection</v>
      </c>
    </row>
    <row r="87" spans="1:3" ht="12.5" x14ac:dyDescent="0.25">
      <c r="A87" t="str">
        <f ca="1">IFERROR(__xludf.DUMMYFUNCTION("""COMPUTED_VALUE"""),"HPLC-ESI-MS")</f>
        <v>HPLC-ESI-MS</v>
      </c>
      <c r="B87" t="str">
        <f ca="1">IFERROR(__xludf.DUMMYFUNCTION("""COMPUTED_VALUE"""),"F033A")</f>
        <v>F033A</v>
      </c>
      <c r="C87" t="str">
        <f ca="1">IFERROR(__xludf.DUMMYFUNCTION("""COMPUTED_VALUE"""),"High Performance Liquid Chromatography Electrospray (ionisation) Mass Spectrometry")</f>
        <v>High Performance Liquid Chromatography Electrospray (ionisation) Mass Spectrometry</v>
      </c>
    </row>
    <row r="88" spans="1:3" ht="12.5" x14ac:dyDescent="0.25">
      <c r="A88" t="str">
        <f ca="1">IFERROR(__xludf.DUMMYFUNCTION("""COMPUTED_VALUE"""),"HPLC-FD")</f>
        <v>HPLC-FD</v>
      </c>
      <c r="B88" t="str">
        <f ca="1">IFERROR(__xludf.DUMMYFUNCTION("""COMPUTED_VALUE"""),"F022A")</f>
        <v>F022A</v>
      </c>
      <c r="C88" t="str">
        <f ca="1">IFERROR(__xludf.DUMMYFUNCTION("""COMPUTED_VALUE"""),"High Performance Liquid Chromatography with Fluorescent Detection")</f>
        <v>High Performance Liquid Chromatography with Fluorescent Detection</v>
      </c>
    </row>
    <row r="89" spans="1:3" ht="12.5" x14ac:dyDescent="0.25">
      <c r="A89" t="str">
        <f ca="1">IFERROR(__xludf.DUMMYFUNCTION("""COMPUTED_VALUE"""),"HPLC-HG-AFS")</f>
        <v>HPLC-HG-AFS</v>
      </c>
      <c r="B89" t="str">
        <f ca="1">IFERROR(__xludf.DUMMYFUNCTION("""COMPUTED_VALUE"""),"F035A")</f>
        <v>F035A</v>
      </c>
      <c r="C89" t="str">
        <f ca="1">IFERROR(__xludf.DUMMYFUNCTION("""COMPUTED_VALUE"""),"High performance liquid chromatography hydride generation atomic fluorescence  spectrometry")</f>
        <v>High performance liquid chromatography hydride generation atomic fluorescence  spectrometry</v>
      </c>
    </row>
    <row r="90" spans="1:3" ht="12.5" x14ac:dyDescent="0.25">
      <c r="A90" t="str">
        <f ca="1">IFERROR(__xludf.DUMMYFUNCTION("""COMPUTED_VALUE"""),"HPLC-HG-ETAAS")</f>
        <v>HPLC-HG-ETAAS</v>
      </c>
      <c r="B90" t="str">
        <f ca="1">IFERROR(__xludf.DUMMYFUNCTION("""COMPUTED_VALUE"""),"F157A")</f>
        <v>F157A</v>
      </c>
      <c r="C90" t="str">
        <f ca="1">IFERROR(__xludf.DUMMYFUNCTION("""COMPUTED_VALUE"""),"High performance liquid chromatography hydride generation electrothermal atomic absorption spectrometry")</f>
        <v>High performance liquid chromatography hydride generation electrothermal atomic absorption spectrometry</v>
      </c>
    </row>
    <row r="91" spans="1:3" ht="12.5" x14ac:dyDescent="0.25">
      <c r="A91" t="str">
        <f ca="1">IFERROR(__xludf.DUMMYFUNCTION("""COMPUTED_VALUE"""),"HPLC-HG-ICP-AES")</f>
        <v>HPLC-HG-ICP-AES</v>
      </c>
      <c r="B91" t="str">
        <f ca="1">IFERROR(__xludf.DUMMYFUNCTION("""COMPUTED_VALUE"""),"F159A")</f>
        <v>F159A</v>
      </c>
      <c r="C91" t="str">
        <f ca="1">IFERROR(__xludf.DUMMYFUNCTION("""COMPUTED_VALUE"""),"High performance liquid chromatography hydride generation inductively coupled plasma atomic emission spectrometry")</f>
        <v>High performance liquid chromatography hydride generation inductively coupled plasma atomic emission spectrometry</v>
      </c>
    </row>
    <row r="92" spans="1:3" ht="12.5" x14ac:dyDescent="0.25">
      <c r="A92" t="str">
        <f ca="1">IFERROR(__xludf.DUMMYFUNCTION("""COMPUTED_VALUE"""),"HPLC-HG-ICP-MS")</f>
        <v>HPLC-HG-ICP-MS</v>
      </c>
      <c r="B92" t="str">
        <f ca="1">IFERROR(__xludf.DUMMYFUNCTION("""COMPUTED_VALUE"""),"F032A")</f>
        <v>F032A</v>
      </c>
      <c r="C92" t="str">
        <f ca="1">IFERROR(__xludf.DUMMYFUNCTION("""COMPUTED_VALUE"""),"High performance liquid chromatography hydride generation inductively coupled plasma mass spectrometry")</f>
        <v>High performance liquid chromatography hydride generation inductively coupled plasma mass spectrometry</v>
      </c>
    </row>
    <row r="93" spans="1:3" ht="12.5" x14ac:dyDescent="0.25">
      <c r="A93" t="str">
        <f ca="1">IFERROR(__xludf.DUMMYFUNCTION("""COMPUTED_VALUE"""),"HPLC-ICP-AES")</f>
        <v>HPLC-ICP-AES</v>
      </c>
      <c r="B93" t="str">
        <f ca="1">IFERROR(__xludf.DUMMYFUNCTION("""COMPUTED_VALUE"""),"F158A")</f>
        <v>F158A</v>
      </c>
      <c r="C93" t="str">
        <f ca="1">IFERROR(__xludf.DUMMYFUNCTION("""COMPUTED_VALUE"""),"High performance liquid chromatography inductively coupled plasma atomic emission spectrometry")</f>
        <v>High performance liquid chromatography inductively coupled plasma atomic emission spectrometry</v>
      </c>
    </row>
    <row r="94" spans="1:3" ht="12.5" x14ac:dyDescent="0.25">
      <c r="A94" t="str">
        <f ca="1">IFERROR(__xludf.DUMMYFUNCTION("""COMPUTED_VALUE"""),"HPLC-ICP-MS")</f>
        <v>HPLC-ICP-MS</v>
      </c>
      <c r="B94" t="str">
        <f ca="1">IFERROR(__xludf.DUMMYFUNCTION("""COMPUTED_VALUE"""),"F029A")</f>
        <v>F029A</v>
      </c>
      <c r="C94" t="str">
        <f ca="1">IFERROR(__xludf.DUMMYFUNCTION("""COMPUTED_VALUE"""),"High performance liquid chromatography inductively coupled plasma mass spectrometry")</f>
        <v>High performance liquid chromatography inductively coupled plasma mass spectrometry</v>
      </c>
    </row>
    <row r="95" spans="1:3" ht="12.5" x14ac:dyDescent="0.25">
      <c r="A95" t="str">
        <f ca="1">IFERROR(__xludf.DUMMYFUNCTION("""COMPUTED_VALUE"""),"HPLC-LC hyphenated methods")</f>
        <v>HPLC-LC hyphenated methods</v>
      </c>
      <c r="B95" t="str">
        <f ca="1">IFERROR(__xludf.DUMMYFUNCTION("""COMPUTED_VALUE"""),"F025A")</f>
        <v>F025A</v>
      </c>
      <c r="C95" t="str">
        <f ca="1">IFERROR(__xludf.DUMMYFUNCTION("""COMPUTED_VALUE"""),"HPLC-LC highphenated to element spectroscopy (HPLC-ICPMS, HPLC-Decomposition-HG-AAS, HPLC-Decomposition-HG-AFS, HPLC-HG-ICPMS, HPLC-ESMS, HPLC,HG-AFS, HPLC-HG-AAS, etc.).")</f>
        <v>HPLC-LC highphenated to element spectroscopy (HPLC-ICPMS, HPLC-Decomposition-HG-AAS, HPLC-Decomposition-HG-AFS, HPLC-HG-ICPMS, HPLC-ESMS, HPLC,HG-AFS, HPLC-HG-AAS, etc.).</v>
      </c>
    </row>
    <row r="96" spans="1:3" ht="12.5" x14ac:dyDescent="0.25">
      <c r="A96" t="str">
        <f ca="1">IFERROR(__xludf.DUMMYFUNCTION("""COMPUTED_VALUE"""),"HPLC-RI")</f>
        <v>HPLC-RI</v>
      </c>
      <c r="B96" t="str">
        <f ca="1">IFERROR(__xludf.DUMMYFUNCTION("""COMPUTED_VALUE"""),"F020A")</f>
        <v>F020A</v>
      </c>
      <c r="C96" t="str">
        <f ca="1">IFERROR(__xludf.DUMMYFUNCTION("""COMPUTED_VALUE"""),"High Performance Liquid Chromatography with Refractive Index Detection")</f>
        <v>High Performance Liquid Chromatography with Refractive Index Detection</v>
      </c>
    </row>
    <row r="97" spans="1:3" ht="12.5" x14ac:dyDescent="0.25">
      <c r="A97" t="str">
        <f ca="1">IFERROR(__xludf.DUMMYFUNCTION("""COMPUTED_VALUE"""),"HPLC-UV")</f>
        <v>HPLC-UV</v>
      </c>
      <c r="B97" t="str">
        <f ca="1">IFERROR(__xludf.DUMMYFUNCTION("""COMPUTED_VALUE"""),"F021A")</f>
        <v>F021A</v>
      </c>
      <c r="C97" t="str">
        <f ca="1">IFERROR(__xludf.DUMMYFUNCTION("""COMPUTED_VALUE"""),"High Performance Liquid Chromatography with UV Detection")</f>
        <v>High Performance Liquid Chromatography with UV Detection</v>
      </c>
    </row>
    <row r="98" spans="1:3" ht="12.5" x14ac:dyDescent="0.25">
      <c r="A98" t="str">
        <f ca="1">IFERROR(__xludf.DUMMYFUNCTION("""COMPUTED_VALUE"""),"HRGC-HRMS")</f>
        <v>HRGC-HRMS</v>
      </c>
      <c r="B98" t="str">
        <f ca="1">IFERROR(__xludf.DUMMYFUNCTION("""COMPUTED_VALUE"""),"F048A")</f>
        <v>F048A</v>
      </c>
      <c r="C98" t="str">
        <f ca="1">IFERROR(__xludf.DUMMYFUNCTION("""COMPUTED_VALUE"""),"High Resolution Gas chromatography High Resolution Mass Spectrometry")</f>
        <v>High Resolution Gas chromatography High Resolution Mass Spectrometry</v>
      </c>
    </row>
    <row r="99" spans="1:3" ht="12.5" x14ac:dyDescent="0.25">
      <c r="A99" t="str">
        <f ca="1">IFERROR(__xludf.DUMMYFUNCTION("""COMPUTED_VALUE"""),"HS")</f>
        <v>HS</v>
      </c>
      <c r="B99" t="str">
        <f ca="1">IFERROR(__xludf.DUMMYFUNCTION("""COMPUTED_VALUE"""),"F174A")</f>
        <v>F174A</v>
      </c>
      <c r="C99" t="str">
        <f ca="1">IFERROR(__xludf.DUMMYFUNCTION("""COMPUTED_VALUE"""),"Static headspace extraction")</f>
        <v>Static headspace extraction</v>
      </c>
    </row>
    <row r="100" spans="1:3" ht="12.5" x14ac:dyDescent="0.25">
      <c r="A100" t="str">
        <f ca="1">IFERROR(__xludf.DUMMYFUNCTION("""COMPUTED_VALUE"""),"HS-SPME")</f>
        <v>HS-SPME</v>
      </c>
      <c r="B100" t="str">
        <f ca="1">IFERROR(__xludf.DUMMYFUNCTION("""COMPUTED_VALUE"""),"F178A")</f>
        <v>F178A</v>
      </c>
      <c r="C100" t="str">
        <f ca="1">IFERROR(__xludf.DUMMYFUNCTION("""COMPUTED_VALUE"""),"head space - solid phase micro extraction")</f>
        <v>head space - solid phase micro extraction</v>
      </c>
    </row>
    <row r="101" spans="1:3" ht="12.5" x14ac:dyDescent="0.25">
      <c r="A101" t="str">
        <f ca="1">IFERROR(__xludf.DUMMYFUNCTION("""COMPUTED_VALUE"""),"IC hyphenated to element spectrometry")</f>
        <v>IC hyphenated to element spectrometry</v>
      </c>
      <c r="B101" t="str">
        <f ca="1">IFERROR(__xludf.DUMMYFUNCTION("""COMPUTED_VALUE"""),"F167A")</f>
        <v>F167A</v>
      </c>
      <c r="C101" t="str">
        <f ca="1">IFERROR(__xludf.DUMMYFUNCTION("""COMPUTED_VALUE"""),"Ion chromatography hypenated to element spectrometry")</f>
        <v>Ion chromatography hypenated to element spectrometry</v>
      </c>
    </row>
    <row r="102" spans="1:3" ht="12.5" x14ac:dyDescent="0.25">
      <c r="A102" t="str">
        <f ca="1">IFERROR(__xludf.DUMMYFUNCTION("""COMPUTED_VALUE"""),"IC-AAS")</f>
        <v>IC-AAS</v>
      </c>
      <c r="B102" t="str">
        <f ca="1">IFERROR(__xludf.DUMMYFUNCTION("""COMPUTED_VALUE"""),"F169A")</f>
        <v>F169A</v>
      </c>
      <c r="C102" t="str">
        <f ca="1">IFERROR(__xludf.DUMMYFUNCTION("""COMPUTED_VALUE"""),"Ion chromatography Atomic Absorption Spectrometry")</f>
        <v>Ion chromatography Atomic Absorption Spectrometry</v>
      </c>
    </row>
    <row r="103" spans="1:3" ht="12.5" x14ac:dyDescent="0.25">
      <c r="A103" t="str">
        <f ca="1">IFERROR(__xludf.DUMMYFUNCTION("""COMPUTED_VALUE"""),"IC-HG-AFS")</f>
        <v>IC-HG-AFS</v>
      </c>
      <c r="B103" t="str">
        <f ca="1">IFERROR(__xludf.DUMMYFUNCTION("""COMPUTED_VALUE"""),"F170A")</f>
        <v>F170A</v>
      </c>
      <c r="C103" t="str">
        <f ca="1">IFERROR(__xludf.DUMMYFUNCTION("""COMPUTED_VALUE"""),"Ion Chromatography Hydride Generation Atomic Fluorescence Spectrometry")</f>
        <v>Ion Chromatography Hydride Generation Atomic Fluorescence Spectrometry</v>
      </c>
    </row>
    <row r="104" spans="1:3" ht="12.5" x14ac:dyDescent="0.25">
      <c r="A104" t="str">
        <f ca="1">IFERROR(__xludf.DUMMYFUNCTION("""COMPUTED_VALUE"""),"IC-ICP-MS")</f>
        <v>IC-ICP-MS</v>
      </c>
      <c r="B104" t="str">
        <f ca="1">IFERROR(__xludf.DUMMYFUNCTION("""COMPUTED_VALUE"""),"F168A")</f>
        <v>F168A</v>
      </c>
      <c r="C104" t="str">
        <f ca="1">IFERROR(__xludf.DUMMYFUNCTION("""COMPUTED_VALUE"""),"Ion Chromatography Inductively Coupled Plasma Mass Spectrometry")</f>
        <v>Ion Chromatography Inductively Coupled Plasma Mass Spectrometry</v>
      </c>
    </row>
    <row r="105" spans="1:3" ht="12.5" x14ac:dyDescent="0.25">
      <c r="A105" t="str">
        <f ca="1">IFERROR(__xludf.DUMMYFUNCTION("""COMPUTED_VALUE"""),"ICP-AES")</f>
        <v>ICP-AES</v>
      </c>
      <c r="B105" t="str">
        <f ca="1">IFERROR(__xludf.DUMMYFUNCTION("""COMPUTED_VALUE"""),"F057A")</f>
        <v>F057A</v>
      </c>
      <c r="C105" t="str">
        <f ca="1">IFERROR(__xludf.DUMMYFUNCTION("""COMPUTED_VALUE"""),"Inductively coupled plasma atomic emission spectroscopy")</f>
        <v>Inductively coupled plasma atomic emission spectroscopy</v>
      </c>
    </row>
    <row r="106" spans="1:3" ht="12.5" x14ac:dyDescent="0.25">
      <c r="A106" t="str">
        <f ca="1">IFERROR(__xludf.DUMMYFUNCTION("""COMPUTED_VALUE"""),"ICP-HR-MS")</f>
        <v>ICP-HR-MS</v>
      </c>
      <c r="B106" t="str">
        <f ca="1">IFERROR(__xludf.DUMMYFUNCTION("""COMPUTED_VALUE"""),"F154A")</f>
        <v>F154A</v>
      </c>
      <c r="C106" t="str">
        <f ca="1">IFERROR(__xludf.DUMMYFUNCTION("""COMPUTED_VALUE"""),"Idcutively coupled plasma high resolution mass spectrometry")</f>
        <v>Idcutively coupled plasma high resolution mass spectrometry</v>
      </c>
    </row>
    <row r="107" spans="1:3" ht="12.5" x14ac:dyDescent="0.25">
      <c r="A107" t="str">
        <f ca="1">IFERROR(__xludf.DUMMYFUNCTION("""COMPUTED_VALUE"""),"ICP-LR-MS")</f>
        <v>ICP-LR-MS</v>
      </c>
      <c r="B107" t="str">
        <f ca="1">IFERROR(__xludf.DUMMYFUNCTION("""COMPUTED_VALUE"""),"F153A")</f>
        <v>F153A</v>
      </c>
      <c r="C107" t="str">
        <f ca="1">IFERROR(__xludf.DUMMYFUNCTION("""COMPUTED_VALUE"""),"Idcutively coupled plasma low resolution mass spectrometry")</f>
        <v>Idcutively coupled plasma low resolution mass spectrometry</v>
      </c>
    </row>
    <row r="108" spans="1:3" ht="12.5" x14ac:dyDescent="0.25">
      <c r="A108" t="str">
        <f ca="1">IFERROR(__xludf.DUMMYFUNCTION("""COMPUTED_VALUE"""),"ICP-MS")</f>
        <v>ICP-MS</v>
      </c>
      <c r="B108" t="str">
        <f ca="1">IFERROR(__xludf.DUMMYFUNCTION("""COMPUTED_VALUE"""),"F064A")</f>
        <v>F064A</v>
      </c>
      <c r="C108" t="str">
        <f ca="1">IFERROR(__xludf.DUMMYFUNCTION("""COMPUTED_VALUE"""),"Inductively coupled plasma mass spectrometry")</f>
        <v>Inductively coupled plasma mass spectrometry</v>
      </c>
    </row>
    <row r="109" spans="1:3" ht="12.5" x14ac:dyDescent="0.25">
      <c r="A109" t="str">
        <f ca="1">IFERROR(__xludf.DUMMYFUNCTION("""COMPUTED_VALUE"""),"Immunochemical tests")</f>
        <v>Immunochemical tests</v>
      </c>
      <c r="B109" t="str">
        <f ca="1">IFERROR(__xludf.DUMMYFUNCTION("""COMPUTED_VALUE"""),"F077A")</f>
        <v>F077A</v>
      </c>
      <c r="C109" t="str">
        <f ca="1">IFERROR(__xludf.DUMMYFUNCTION("""COMPUTED_VALUE"""),"Applies to e.g. immunoelectrophoresis")</f>
        <v>Applies to e.g. immunoelectrophoresis</v>
      </c>
    </row>
    <row r="110" spans="1:3" ht="12.5" x14ac:dyDescent="0.25">
      <c r="A110" t="str">
        <f ca="1">IFERROR(__xludf.DUMMYFUNCTION("""COMPUTED_VALUE"""),"Indirect Immunofluorescent Antibody test (IFAT)")</f>
        <v>Indirect Immunofluorescent Antibody test (IFAT)</v>
      </c>
      <c r="B110" t="str">
        <f ca="1">IFERROR(__xludf.DUMMYFUNCTION("""COMPUTED_VALUE"""),"F121A")</f>
        <v>F121A</v>
      </c>
      <c r="C110" t="str">
        <f ca="1">IFERROR(__xludf.DUMMYFUNCTION("""COMPUTED_VALUE"""),"A form of fluorescent antibody technique using antigen-antibody complex labeled with flourescein-conjugated anti-immunoglobulin antibody")</f>
        <v>A form of fluorescent antibody technique using antigen-antibody complex labeled with flourescein-conjugated anti-immunoglobulin antibody</v>
      </c>
    </row>
    <row r="111" spans="1:3" ht="12.5" x14ac:dyDescent="0.25">
      <c r="A111" t="str">
        <f ca="1">IFERROR(__xludf.DUMMYFUNCTION("""COMPUTED_VALUE"""),"Intestinal Scrapping Technique")</f>
        <v>Intestinal Scrapping Technique</v>
      </c>
      <c r="B111" t="str">
        <f ca="1">IFERROR(__xludf.DUMMYFUNCTION("""COMPUTED_VALUE"""),"F181A")</f>
        <v>F181A</v>
      </c>
      <c r="C111" t="str">
        <f ca="1">IFERROR(__xludf.DUMMYFUNCTION("""COMPUTED_VALUE"""),"Hofer S, Gloor S, Muller U, Mathis A, Hegglin D, Deplazes P, 2000")</f>
        <v>Hofer S, Gloor S, Muller U, Mathis A, Hegglin D, Deplazes P, 2000</v>
      </c>
    </row>
    <row r="112" spans="1:3" ht="12.5" x14ac:dyDescent="0.25">
      <c r="A112" t="str">
        <f ca="1">IFERROR(__xludf.DUMMYFUNCTION("""COMPUTED_VALUE"""),"IR and Raman Spectroscopy")</f>
        <v>IR and Raman Spectroscopy</v>
      </c>
      <c r="B112" t="str">
        <f ca="1">IFERROR(__xludf.DUMMYFUNCTION("""COMPUTED_VALUE"""),"F010A")</f>
        <v>F010A</v>
      </c>
    </row>
    <row r="113" spans="1:3" ht="12.5" x14ac:dyDescent="0.25">
      <c r="A113" t="str">
        <f ca="1">IFERROR(__xludf.DUMMYFUNCTION("""COMPUTED_VALUE"""),"Lateral flow tests")</f>
        <v>Lateral flow tests</v>
      </c>
      <c r="B113" t="str">
        <f ca="1">IFERROR(__xludf.DUMMYFUNCTION("""COMPUTED_VALUE"""),"F084A")</f>
        <v>F084A</v>
      </c>
    </row>
    <row r="114" spans="1:3" ht="12.5" x14ac:dyDescent="0.25">
      <c r="A114" t="str">
        <f ca="1">IFERROR(__xludf.DUMMYFUNCTION("""COMPUTED_VALUE"""),"LC-HR-MS")</f>
        <v>LC-HR-MS</v>
      </c>
      <c r="B114" t="str">
        <f ca="1">IFERROR(__xludf.DUMMYFUNCTION("""COMPUTED_VALUE"""),"F129A")</f>
        <v>F129A</v>
      </c>
      <c r="C114" t="str">
        <f ca="1">IFERROR(__xludf.DUMMYFUNCTION("""COMPUTED_VALUE"""),"Liquid Chromatography with High Resolution Mass Spectrometry")</f>
        <v>Liquid Chromatography with High Resolution Mass Spectrometry</v>
      </c>
    </row>
    <row r="115" spans="1:3" ht="12.5" x14ac:dyDescent="0.25">
      <c r="A115" t="str">
        <f ca="1">IFERROR(__xludf.DUMMYFUNCTION("""COMPUTED_VALUE"""),"LC-ITMS")</f>
        <v>LC-ITMS</v>
      </c>
      <c r="B115" t="str">
        <f ca="1">IFERROR(__xludf.DUMMYFUNCTION("""COMPUTED_VALUE"""),"F131A")</f>
        <v>F131A</v>
      </c>
      <c r="C115" t="str">
        <f ca="1">IFERROR(__xludf.DUMMYFUNCTION("""COMPUTED_VALUE"""),"Liquid Chromatography with Ion Trap Mass Spectrometry")</f>
        <v>Liquid Chromatography with Ion Trap Mass Spectrometry</v>
      </c>
    </row>
    <row r="116" spans="1:3" ht="12.5" x14ac:dyDescent="0.25">
      <c r="A116" t="str">
        <f ca="1">IFERROR(__xludf.DUMMYFUNCTION("""COMPUTED_VALUE"""),"LC-LR-MS")</f>
        <v>LC-LR-MS</v>
      </c>
      <c r="B116" t="str">
        <f ca="1">IFERROR(__xludf.DUMMYFUNCTION("""COMPUTED_VALUE"""),"F130A")</f>
        <v>F130A</v>
      </c>
      <c r="C116" t="str">
        <f ca="1">IFERROR(__xludf.DUMMYFUNCTION("""COMPUTED_VALUE"""),"Liquid Chromatography with Low Resolution Mass Spectrometry")</f>
        <v>Liquid Chromatography with Low Resolution Mass Spectrometry</v>
      </c>
    </row>
    <row r="117" spans="1:3" ht="12.5" x14ac:dyDescent="0.25">
      <c r="A117" t="str">
        <f ca="1">IFERROR(__xludf.DUMMYFUNCTION("""COMPUTED_VALUE"""),"LC-MS")</f>
        <v>LC-MS</v>
      </c>
      <c r="B117" t="str">
        <f ca="1">IFERROR(__xludf.DUMMYFUNCTION("""COMPUTED_VALUE"""),"F026A")</f>
        <v>F026A</v>
      </c>
      <c r="C117" t="str">
        <f ca="1">IFERROR(__xludf.DUMMYFUNCTION("""COMPUTED_VALUE"""),"Liquid Chromography Mass Spectrometry")</f>
        <v>Liquid Chromography Mass Spectrometry</v>
      </c>
    </row>
    <row r="118" spans="1:3" ht="12.5" x14ac:dyDescent="0.25">
      <c r="A118" t="str">
        <f ca="1">IFERROR(__xludf.DUMMYFUNCTION("""COMPUTED_VALUE"""),"LC-MS (quadrupole)")</f>
        <v>LC-MS (quadrupole)</v>
      </c>
      <c r="B118" t="str">
        <f ca="1">IFERROR(__xludf.DUMMYFUNCTION("""COMPUTED_VALUE"""),"F028A")</f>
        <v>F028A</v>
      </c>
      <c r="C118" t="str">
        <f ca="1">IFERROR(__xludf.DUMMYFUNCTION("""COMPUTED_VALUE"""),"Liquid Chromatography Single Quadrupole Mass Spectrometry")</f>
        <v>Liquid Chromatography Single Quadrupole Mass Spectrometry</v>
      </c>
    </row>
    <row r="119" spans="1:3" ht="12.5" x14ac:dyDescent="0.25">
      <c r="A119" t="str">
        <f ca="1">IFERROR(__xludf.DUMMYFUNCTION("""COMPUTED_VALUE"""),"LC-MS-MS")</f>
        <v>LC-MS-MS</v>
      </c>
      <c r="B119" t="str">
        <f ca="1">IFERROR(__xludf.DUMMYFUNCTION("""COMPUTED_VALUE"""),"F027A")</f>
        <v>F027A</v>
      </c>
      <c r="C119" t="str">
        <f ca="1">IFERROR(__xludf.DUMMYFUNCTION("""COMPUTED_VALUE"""),"Liquid Chromography Tandem Mass Spectrometry")</f>
        <v>Liquid Chromography Tandem Mass Spectrometry</v>
      </c>
    </row>
    <row r="120" spans="1:3" ht="12.5" x14ac:dyDescent="0.25">
      <c r="A120" t="str">
        <f ca="1">IFERROR(__xludf.DUMMYFUNCTION("""COMPUTED_VALUE"""),"LC-MS-MS (QqQ)")</f>
        <v>LC-MS-MS (QqQ)</v>
      </c>
      <c r="B120" t="str">
        <f ca="1">IFERROR(__xludf.DUMMYFUNCTION("""COMPUTED_VALUE"""),"F034A")</f>
        <v>F034A</v>
      </c>
      <c r="C120" t="str">
        <f ca="1">IFERROR(__xludf.DUMMYFUNCTION("""COMPUTED_VALUE"""),"Liquid Chromography Tandem Quadrupole Mass Spectrometry")</f>
        <v>Liquid Chromography Tandem Quadrupole Mass Spectrometry</v>
      </c>
    </row>
    <row r="121" spans="1:3" ht="12.5" x14ac:dyDescent="0.25">
      <c r="A121" t="str">
        <f ca="1">IFERROR(__xludf.DUMMYFUNCTION("""COMPUTED_VALUE"""),"LC-orbitrap-MS")</f>
        <v>LC-orbitrap-MS</v>
      </c>
      <c r="B121" t="str">
        <f ca="1">IFERROR(__xludf.DUMMYFUNCTION("""COMPUTED_VALUE"""),"F133A")</f>
        <v>F133A</v>
      </c>
      <c r="C121" t="str">
        <f ca="1">IFERROR(__xludf.DUMMYFUNCTION("""COMPUTED_VALUE"""),"Liquid Chromatography with orbitrap detection")</f>
        <v>Liquid Chromatography with orbitrap detection</v>
      </c>
    </row>
    <row r="122" spans="1:3" ht="12.5" x14ac:dyDescent="0.25">
      <c r="A122" t="str">
        <f ca="1">IFERROR(__xludf.DUMMYFUNCTION("""COMPUTED_VALUE"""),"LC-Q-Trap-MS")</f>
        <v>LC-Q-Trap-MS</v>
      </c>
      <c r="B122" t="str">
        <f ca="1">IFERROR(__xludf.DUMMYFUNCTION("""COMPUTED_VALUE"""),"F136A")</f>
        <v>F136A</v>
      </c>
      <c r="C122" t="str">
        <f ca="1">IFERROR(__xludf.DUMMYFUNCTION("""COMPUTED_VALUE"""),"Liquid Chromatography with Quadrupole-Linear-Ion-Tap Mass Spectrometry")</f>
        <v>Liquid Chromatography with Quadrupole-Linear-Ion-Tap Mass Spectrometry</v>
      </c>
    </row>
    <row r="123" spans="1:3" ht="12.5" x14ac:dyDescent="0.25">
      <c r="A123" t="str">
        <f ca="1">IFERROR(__xludf.DUMMYFUNCTION("""COMPUTED_VALUE"""),"LC-QTOF-MS")</f>
        <v>LC-QTOF-MS</v>
      </c>
      <c r="B123" t="str">
        <f ca="1">IFERROR(__xludf.DUMMYFUNCTION("""COMPUTED_VALUE"""),"F137A")</f>
        <v>F137A</v>
      </c>
      <c r="C123" t="str">
        <f ca="1">IFERROR(__xludf.DUMMYFUNCTION("""COMPUTED_VALUE"""),"Liquid Chromography Quadrupole-Time-of-Flight Mass Spectrometry")</f>
        <v>Liquid Chromography Quadrupole-Time-of-Flight Mass Spectrometry</v>
      </c>
    </row>
    <row r="124" spans="1:3" ht="12.5" x14ac:dyDescent="0.25">
      <c r="A124" t="str">
        <f ca="1">IFERROR(__xludf.DUMMYFUNCTION("""COMPUTED_VALUE"""),"LC-TOF-MS")</f>
        <v>LC-TOF-MS</v>
      </c>
      <c r="B124" t="str">
        <f ca="1">IFERROR(__xludf.DUMMYFUNCTION("""COMPUTED_VALUE"""),"F134A")</f>
        <v>F134A</v>
      </c>
      <c r="C124" t="str">
        <f ca="1">IFERROR(__xludf.DUMMYFUNCTION("""COMPUTED_VALUE"""),"Liquid Chromatography with Time-of-Flight Mass Spectrometry")</f>
        <v>Liquid Chromatography with Time-of-Flight Mass Spectrometry</v>
      </c>
    </row>
    <row r="125" spans="1:3" ht="12.5" x14ac:dyDescent="0.25">
      <c r="A125" t="str">
        <f ca="1">IFERROR(__xludf.DUMMYFUNCTION("""COMPUTED_VALUE"""),"liquid injection")</f>
        <v>liquid injection</v>
      </c>
      <c r="B125" t="str">
        <f ca="1">IFERROR(__xludf.DUMMYFUNCTION("""COMPUTED_VALUE"""),"F173A")</f>
        <v>F173A</v>
      </c>
    </row>
    <row r="126" spans="1:3" ht="12.5" x14ac:dyDescent="0.25">
      <c r="A126" t="str">
        <f ca="1">IFERROR(__xludf.DUMMYFUNCTION("""COMPUTED_VALUE"""),"Luminescense based tests")</f>
        <v>Luminescense based tests</v>
      </c>
      <c r="B126" t="str">
        <f ca="1">IFERROR(__xludf.DUMMYFUNCTION("""COMPUTED_VALUE"""),"F094A")</f>
        <v>F094A</v>
      </c>
      <c r="C126" t="str">
        <f ca="1">IFERROR(__xludf.DUMMYFUNCTION("""COMPUTED_VALUE"""),"Tests based on luminescense measurements")</f>
        <v>Tests based on luminescense measurements</v>
      </c>
    </row>
    <row r="127" spans="1:3" ht="12.5" x14ac:dyDescent="0.25">
      <c r="A127" t="str">
        <f ca="1">IFERROR(__xludf.DUMMYFUNCTION("""COMPUTED_VALUE"""),"MALDI-TOFMS")</f>
        <v>MALDI-TOFMS</v>
      </c>
      <c r="B127" t="str">
        <f ca="1">IFERROR(__xludf.DUMMYFUNCTION("""COMPUTED_VALUE"""),"F065A")</f>
        <v>F065A</v>
      </c>
      <c r="C127" t="str">
        <f ca="1">IFERROR(__xludf.DUMMYFUNCTION("""COMPUTED_VALUE"""),"Matrix-assisted laser desorption ionization time-of-flight mass spectrometry")</f>
        <v>Matrix-assisted laser desorption ionization time-of-flight mass spectrometry</v>
      </c>
    </row>
    <row r="128" spans="1:3" ht="12.5" x14ac:dyDescent="0.25">
      <c r="A128" t="str">
        <f ca="1">IFERROR(__xludf.DUMMYFUNCTION("""COMPUTED_VALUE"""),"Mass Spectroscopy and hyphenated methods without chromatography")</f>
        <v>Mass Spectroscopy and hyphenated methods without chromatography</v>
      </c>
      <c r="B128" t="str">
        <f ca="1">IFERROR(__xludf.DUMMYFUNCTION("""COMPUTED_VALUE"""),"F063A")</f>
        <v>F063A</v>
      </c>
    </row>
    <row r="129" spans="1:3" ht="12.5" x14ac:dyDescent="0.25">
      <c r="A129" t="str">
        <f ca="1">IFERROR(__xludf.DUMMYFUNCTION("""COMPUTED_VALUE"""),"MBA")</f>
        <v>MBA</v>
      </c>
      <c r="B129" t="str">
        <f ca="1">IFERROR(__xludf.DUMMYFUNCTION("""COMPUTED_VALUE"""),"F108A")</f>
        <v>F108A</v>
      </c>
      <c r="C129" t="str">
        <f ca="1">IFERROR(__xludf.DUMMYFUNCTION("""COMPUTED_VALUE"""),"Mouse bioassay")</f>
        <v>Mouse bioassay</v>
      </c>
    </row>
    <row r="130" spans="1:3" ht="12.5" x14ac:dyDescent="0.25">
      <c r="A130" t="str">
        <f ca="1">IFERROR(__xludf.DUMMYFUNCTION("""COMPUTED_VALUE"""),"MIA")</f>
        <v>MIA</v>
      </c>
      <c r="B130" t="str">
        <f ca="1">IFERROR(__xludf.DUMMYFUNCTION("""COMPUTED_VALUE"""),"F081A")</f>
        <v>F081A</v>
      </c>
      <c r="C130" t="str">
        <f ca="1">IFERROR(__xludf.DUMMYFUNCTION("""COMPUTED_VALUE"""),"Magnetic Immunoassay Tests")</f>
        <v>Magnetic Immunoassay Tests</v>
      </c>
    </row>
    <row r="131" spans="1:3" ht="12.5" x14ac:dyDescent="0.25">
      <c r="A131" t="str">
        <f ca="1">IFERROR(__xludf.DUMMYFUNCTION("""COMPUTED_VALUE"""),"Microbiological special tests")</f>
        <v>Microbiological special tests</v>
      </c>
      <c r="B131" t="str">
        <f ca="1">IFERROR(__xludf.DUMMYFUNCTION("""COMPUTED_VALUE"""),"F101A")</f>
        <v>F101A</v>
      </c>
      <c r="C131" t="str">
        <f ca="1">IFERROR(__xludf.DUMMYFUNCTION("""COMPUTED_VALUE"""),"Applies to e.g. Keimdiff, Salm test, etc.")</f>
        <v>Applies to e.g. Keimdiff, Salm test, etc.</v>
      </c>
    </row>
    <row r="132" spans="1:3" ht="12.5" x14ac:dyDescent="0.25">
      <c r="A132" t="str">
        <f ca="1">IFERROR(__xludf.DUMMYFUNCTION("""COMPUTED_VALUE"""),"Microbiological standard tests")</f>
        <v>Microbiological standard tests</v>
      </c>
      <c r="B132" t="str">
        <f ca="1">IFERROR(__xludf.DUMMYFUNCTION("""COMPUTED_VALUE"""),"F100A")</f>
        <v>F100A</v>
      </c>
      <c r="C132" t="str">
        <f ca="1">IFERROR(__xludf.DUMMYFUNCTION("""COMPUTED_VALUE"""),"Applies to e.g. MPN")</f>
        <v>Applies to e.g. MPN</v>
      </c>
    </row>
    <row r="133" spans="1:3" ht="12.5" x14ac:dyDescent="0.25">
      <c r="A133" t="str">
        <f ca="1">IFERROR(__xludf.DUMMYFUNCTION("""COMPUTED_VALUE"""),"Microbiological tests")</f>
        <v>Microbiological tests</v>
      </c>
      <c r="B133" t="str">
        <f ca="1">IFERROR(__xludf.DUMMYFUNCTION("""COMPUTED_VALUE"""),"F099A")</f>
        <v>F099A</v>
      </c>
    </row>
    <row r="134" spans="1:3" ht="12.5" x14ac:dyDescent="0.25">
      <c r="A134" t="str">
        <f ca="1">IFERROR(__xludf.DUMMYFUNCTION("""COMPUTED_VALUE"""),"Microscopical and histometrical tests")</f>
        <v>Microscopical and histometrical tests</v>
      </c>
      <c r="B134" t="str">
        <f ca="1">IFERROR(__xludf.DUMMYFUNCTION("""COMPUTED_VALUE"""),"F095A")</f>
        <v>F095A</v>
      </c>
    </row>
    <row r="135" spans="1:3" ht="12.5" x14ac:dyDescent="0.25">
      <c r="A135" t="str">
        <f ca="1">IFERROR(__xludf.DUMMYFUNCTION("""COMPUTED_VALUE"""),"Microscopy-PCR RNAsn U1")</f>
        <v>Microscopy-PCR RNAsn U1</v>
      </c>
      <c r="B135" t="str">
        <f ca="1">IFERROR(__xludf.DUMMYFUNCTION("""COMPUTED_VALUE"""),"F185A")</f>
        <v>F185A</v>
      </c>
      <c r="C135" t="str">
        <f ca="1">IFERROR(__xludf.DUMMYFUNCTION("""COMPUTED_VALUE"""),"Mathis A, Deplazes P, Eckert J, 1996.")</f>
        <v>Mathis A, Deplazes P, Eckert J, 1996.</v>
      </c>
    </row>
    <row r="136" spans="1:3" ht="12.5" x14ac:dyDescent="0.25">
      <c r="A136" t="str">
        <f ca="1">IFERROR(__xludf.DUMMYFUNCTION("""COMPUTED_VALUE"""),"Modified Sedimentation and Counting Technique")</f>
        <v>Modified Sedimentation and Counting Technique</v>
      </c>
      <c r="B136" t="str">
        <f ca="1">IFERROR(__xludf.DUMMYFUNCTION("""COMPUTED_VALUE"""),"F180A")</f>
        <v>F180A</v>
      </c>
      <c r="C136" t="str">
        <f ca="1">IFERROR(__xludf.DUMMYFUNCTION("""COMPUTED_VALUE"""),"Umhang G, Woronoff-Rhen N, Combes B, Boué F, 2011.")</f>
        <v>Umhang G, Woronoff-Rhen N, Combes B, Boué F, 2011.</v>
      </c>
    </row>
    <row r="137" spans="1:3" ht="12.5" x14ac:dyDescent="0.25">
      <c r="A137" t="str">
        <f ca="1">IFERROR(__xludf.DUMMYFUNCTION("""COMPUTED_VALUE"""),"Molecular biological tests")</f>
        <v>Molecular biological tests</v>
      </c>
      <c r="B137" t="str">
        <f ca="1">IFERROR(__xludf.DUMMYFUNCTION("""COMPUTED_VALUE"""),"F085A")</f>
        <v>F085A</v>
      </c>
    </row>
    <row r="138" spans="1:3" ht="12.5" x14ac:dyDescent="0.25">
      <c r="A138" t="str">
        <f ca="1">IFERROR(__xludf.DUMMYFUNCTION("""COMPUTED_VALUE"""),"Morphological identification")</f>
        <v>Morphological identification</v>
      </c>
      <c r="B138" t="str">
        <f ca="1">IFERROR(__xludf.DUMMYFUNCTION("""COMPUTED_VALUE"""),"F120A")</f>
        <v>F120A</v>
      </c>
      <c r="C138" t="str">
        <f ca="1">IFERROR(__xludf.DUMMYFUNCTION("""COMPUTED_VALUE"""),"Morphological identification for insect samples")</f>
        <v>Morphological identification for insect samples</v>
      </c>
    </row>
    <row r="139" spans="1:3" ht="12.5" x14ac:dyDescent="0.25">
      <c r="A139" t="str">
        <f ca="1">IFERROR(__xludf.DUMMYFUNCTION("""COMPUTED_VALUE"""),"Nephelometry")</f>
        <v>Nephelometry</v>
      </c>
      <c r="B139" t="str">
        <f ca="1">IFERROR(__xludf.DUMMYFUNCTION("""COMPUTED_VALUE"""),"F083A")</f>
        <v>F083A</v>
      </c>
    </row>
    <row r="140" spans="1:3" ht="12.5" x14ac:dyDescent="0.25">
      <c r="A140" t="str">
        <f ca="1">IFERROR(__xludf.DUMMYFUNCTION("""COMPUTED_VALUE"""),"Northern blot")</f>
        <v>Northern blot</v>
      </c>
      <c r="B140" t="str">
        <f ca="1">IFERROR(__xludf.DUMMYFUNCTION("""COMPUTED_VALUE"""),"F074A")</f>
        <v>F074A</v>
      </c>
      <c r="C140" t="str">
        <f ca="1">IFERROR(__xludf.DUMMYFUNCTION("""COMPUTED_VALUE"""),"for RNA detection")</f>
        <v>for RNA detection</v>
      </c>
    </row>
    <row r="141" spans="1:3" ht="12.5" x14ac:dyDescent="0.25">
      <c r="A141" t="str">
        <f ca="1">IFERROR(__xludf.DUMMYFUNCTION("""COMPUTED_VALUE"""),"Nuclear Magnetic Resonance (NMR)")</f>
        <v>Nuclear Magnetic Resonance (NMR)</v>
      </c>
      <c r="B141" t="str">
        <f ca="1">IFERROR(__xludf.DUMMYFUNCTION("""COMPUTED_VALUE"""),"F061A")</f>
        <v>F061A</v>
      </c>
    </row>
    <row r="142" spans="1:3" ht="12.5" x14ac:dyDescent="0.25">
      <c r="A142" t="str">
        <f ca="1">IFERROR(__xludf.DUMMYFUNCTION("""COMPUTED_VALUE"""),"Nuclear Magnetic Resonance (NMR) and Electron Spin Resonance (ESR) spectroscopy")</f>
        <v>Nuclear Magnetic Resonance (NMR) and Electron Spin Resonance (ESR) spectroscopy</v>
      </c>
      <c r="B142" t="str">
        <f ca="1">IFERROR(__xludf.DUMMYFUNCTION("""COMPUTED_VALUE"""),"F060A")</f>
        <v>F060A</v>
      </c>
    </row>
    <row r="143" spans="1:3" ht="12.5" x14ac:dyDescent="0.25">
      <c r="A143" t="str">
        <f ca="1">IFERROR(__xludf.DUMMYFUNCTION("""COMPUTED_VALUE"""),"Organoleptic (sensoric) tests of food")</f>
        <v>Organoleptic (sensoric) tests of food</v>
      </c>
      <c r="B143" t="str">
        <f ca="1">IFERROR(__xludf.DUMMYFUNCTION("""COMPUTED_VALUE"""),"F002A")</f>
        <v>F002A</v>
      </c>
      <c r="C143" t="str">
        <f ca="1">IFERROR(__xludf.DUMMYFUNCTION("""COMPUTED_VALUE"""),"Applies to e.g. smelling, tasting, etc.… - not usual for ""chemical occurances"" as contaminants or pesticde residues.")</f>
        <v>Applies to e.g. smelling, tasting, etc.… - not usual for "chemical occurances" as contaminants or pesticde residues.</v>
      </c>
    </row>
    <row r="144" spans="1:3" ht="12.5" x14ac:dyDescent="0.25">
      <c r="A144" t="str">
        <f ca="1">IFERROR(__xludf.DUMMYFUNCTION("""COMPUTED_VALUE"""),"Other")</f>
        <v>Other</v>
      </c>
      <c r="B144" t="str">
        <f ca="1">IFERROR(__xludf.DUMMYFUNCTION("""COMPUTED_VALUE"""),"Other")</f>
        <v>Other</v>
      </c>
    </row>
    <row r="145" spans="1:3" ht="12.5" x14ac:dyDescent="0.25">
      <c r="A145" t="str">
        <f ca="1">IFERROR(__xludf.DUMMYFUNCTION("""COMPUTED_VALUE"""),"PCR")</f>
        <v>PCR</v>
      </c>
      <c r="B145" t="str">
        <f ca="1">IFERROR(__xludf.DUMMYFUNCTION("""COMPUTED_VALUE"""),"F086A")</f>
        <v>F086A</v>
      </c>
      <c r="C145" t="str">
        <f ca="1">IFERROR(__xludf.DUMMYFUNCTION("""COMPUTED_VALUE"""),"polymerase chain reaction")</f>
        <v>polymerase chain reaction</v>
      </c>
    </row>
    <row r="146" spans="1:3" ht="12.5" x14ac:dyDescent="0.25">
      <c r="A146" t="str">
        <f ca="1">IFERROR(__xludf.DUMMYFUNCTION("""COMPUTED_VALUE"""),"PCR  RNAsn U1")</f>
        <v>PCR  RNAsn U1</v>
      </c>
      <c r="B146" t="str">
        <f ca="1">IFERROR(__xludf.DUMMYFUNCTION("""COMPUTED_VALUE"""),"F184A")</f>
        <v>F184A</v>
      </c>
    </row>
    <row r="147" spans="1:3" ht="12.5" x14ac:dyDescent="0.25">
      <c r="A147" t="str">
        <f ca="1">IFERROR(__xludf.DUMMYFUNCTION("""COMPUTED_VALUE"""),"PCR Cest1-Cest2 NAD1")</f>
        <v>PCR Cest1-Cest2 NAD1</v>
      </c>
      <c r="B147" t="str">
        <f ca="1">IFERROR(__xludf.DUMMYFUNCTION("""COMPUTED_VALUE"""),"F187A")</f>
        <v>F187A</v>
      </c>
      <c r="C147" t="str">
        <f ca="1">IFERROR(__xludf.DUMMYFUNCTION("""COMPUTED_VALUE"""),"Trachsel D, Deplazes P, Mathis A, 2007.")</f>
        <v>Trachsel D, Deplazes P, Mathis A, 2007.</v>
      </c>
    </row>
    <row r="148" spans="1:3" ht="12.5" x14ac:dyDescent="0.25">
      <c r="A148" t="str">
        <f ca="1">IFERROR(__xludf.DUMMYFUNCTION("""COMPUTED_VALUE"""),"PCR H15-H17 12S rRNA")</f>
        <v>PCR H15-H17 12S rRNA</v>
      </c>
      <c r="B148" t="str">
        <f ca="1">IFERROR(__xludf.DUMMYFUNCTION("""COMPUTED_VALUE"""),"F186A")</f>
        <v>F186A</v>
      </c>
      <c r="C148" t="str">
        <f ca="1">IFERROR(__xludf.DUMMYFUNCTION("""COMPUTED_VALUE"""),"Van Der Giessen JW, Rombout YB, Franchimont JH, Limper LP, Homan WL, 1999.
")</f>
        <v xml:space="preserve">Van Der Giessen JW, Rombout YB, Franchimont JH, Limper LP, Homan WL, 1999.
</v>
      </c>
    </row>
    <row r="149" spans="1:3" ht="12.5" x14ac:dyDescent="0.25">
      <c r="A149" t="str">
        <f ca="1">IFERROR(__xludf.DUMMYFUNCTION("""COMPUTED_VALUE"""),"PCR-ELISA")</f>
        <v>PCR-ELISA</v>
      </c>
      <c r="B149" t="str">
        <f ca="1">IFERROR(__xludf.DUMMYFUNCTION("""COMPUTED_VALUE"""),"F088A")</f>
        <v>F088A</v>
      </c>
      <c r="C149" t="str">
        <f ca="1">IFERROR(__xludf.DUMMYFUNCTION("""COMPUTED_VALUE"""),"polymerase chain reaction coupled to ELISA detection")</f>
        <v>polymerase chain reaction coupled to ELISA detection</v>
      </c>
    </row>
    <row r="150" spans="1:3" ht="12.5" x14ac:dyDescent="0.25">
      <c r="A150" t="str">
        <f ca="1">IFERROR(__xludf.DUMMYFUNCTION("""COMPUTED_VALUE"""),"Physical tests")</f>
        <v>Physical tests</v>
      </c>
      <c r="B150" t="str">
        <f ca="1">IFERROR(__xludf.DUMMYFUNCTION("""COMPUTED_VALUE"""),"F006A")</f>
        <v>F006A</v>
      </c>
      <c r="C150" t="str">
        <f ca="1">IFERROR(__xludf.DUMMYFUNCTION("""COMPUTED_VALUE"""),"Quantifying an analyte by measuring physical properties i.e. refractometry, densitometry, etc. (does not apply to colorimetry, photometry and spectroscopy).")</f>
        <v>Quantifying an analyte by measuring physical properties i.e. refractometry, densitometry, etc. (does not apply to colorimetry, photometry and spectroscopy).</v>
      </c>
    </row>
    <row r="151" spans="1:3" ht="12.5" x14ac:dyDescent="0.25">
      <c r="A151" t="str">
        <f ca="1">IFERROR(__xludf.DUMMYFUNCTION("""COMPUTED_VALUE"""),"PP2A")</f>
        <v>PP2A</v>
      </c>
      <c r="B151" t="str">
        <f ca="1">IFERROR(__xludf.DUMMYFUNCTION("""COMPUTED_VALUE"""),"F114A")</f>
        <v>F114A</v>
      </c>
      <c r="C151" t="str">
        <f ca="1">IFERROR(__xludf.DUMMYFUNCTION("""COMPUTED_VALUE"""),"Protein phosphatase inhibition test")</f>
        <v>Protein phosphatase inhibition test</v>
      </c>
    </row>
    <row r="152" spans="1:3" ht="12.5" x14ac:dyDescent="0.25">
      <c r="A152" t="str">
        <f ca="1">IFERROR(__xludf.DUMMYFUNCTION("""COMPUTED_VALUE"""),"QPCR")</f>
        <v>QPCR</v>
      </c>
      <c r="B152" t="str">
        <f ca="1">IFERROR(__xludf.DUMMYFUNCTION("""COMPUTED_VALUE"""),"F087A")</f>
        <v>F087A</v>
      </c>
      <c r="C152" t="str">
        <f ca="1">IFERROR(__xludf.DUMMYFUNCTION("""COMPUTED_VALUE"""),"real time polymerase chain reaction used for DNA quantification")</f>
        <v>real time polymerase chain reaction used for DNA quantification</v>
      </c>
    </row>
    <row r="153" spans="1:3" ht="12.5" x14ac:dyDescent="0.25">
      <c r="A153" t="str">
        <f ca="1">IFERROR(__xludf.DUMMYFUNCTION("""COMPUTED_VALUE"""),"Qualitative tests")</f>
        <v>Qualitative tests</v>
      </c>
      <c r="B153" t="str">
        <f ca="1">IFERROR(__xludf.DUMMYFUNCTION("""COMPUTED_VALUE"""),"F007A")</f>
        <v>F007A</v>
      </c>
      <c r="C153" t="str">
        <f ca="1">IFERROR(__xludf.DUMMYFUNCTION("""COMPUTED_VALUE"""),"Tests based on a chemical or enzimatic reaction with reagents and trough the observation of the results of the reaction like precipitation or change of colour, etc. Only approximative quantification is possible.")</f>
        <v>Tests based on a chemical or enzimatic reaction with reagents and trough the observation of the results of the reaction like precipitation or change of colour, etc. Only approximative quantification is possible.</v>
      </c>
    </row>
    <row r="154" spans="1:3" ht="12.5" x14ac:dyDescent="0.25">
      <c r="A154" t="str">
        <f ca="1">IFERROR(__xludf.DUMMYFUNCTION("""COMPUTED_VALUE"""),"Radioactivity based tests")</f>
        <v>Radioactivity based tests</v>
      </c>
      <c r="B154" t="str">
        <f ca="1">IFERROR(__xludf.DUMMYFUNCTION("""COMPUTED_VALUE"""),"F093A")</f>
        <v>F093A</v>
      </c>
      <c r="C154" t="str">
        <f ca="1">IFERROR(__xludf.DUMMYFUNCTION("""COMPUTED_VALUE"""),"Tests based on radioactivity and spectroscopy")</f>
        <v>Tests based on radioactivity and spectroscopy</v>
      </c>
    </row>
    <row r="155" spans="1:3" ht="12.5" x14ac:dyDescent="0.25">
      <c r="A155" t="str">
        <f ca="1">IFERROR(__xludf.DUMMYFUNCTION("""COMPUTED_VALUE"""),"Radiochemical tests")</f>
        <v>Radiochemical tests</v>
      </c>
      <c r="B155" t="str">
        <f ca="1">IFERROR(__xludf.DUMMYFUNCTION("""COMPUTED_VALUE"""),"F091A")</f>
        <v>F091A</v>
      </c>
    </row>
    <row r="156" spans="1:3" ht="12.5" x14ac:dyDescent="0.25">
      <c r="A156" t="str">
        <f ca="1">IFERROR(__xludf.DUMMYFUNCTION("""COMPUTED_VALUE"""),"RBA")</f>
        <v>RBA</v>
      </c>
      <c r="B156" t="str">
        <f ca="1">IFERROR(__xludf.DUMMYFUNCTION("""COMPUTED_VALUE"""),"F110A")</f>
        <v>F110A</v>
      </c>
      <c r="C156" t="str">
        <f ca="1">IFERROR(__xludf.DUMMYFUNCTION("""COMPUTED_VALUE"""),"Rat bioassay")</f>
        <v>Rat bioassay</v>
      </c>
    </row>
    <row r="157" spans="1:3" ht="12.5" x14ac:dyDescent="0.25">
      <c r="A157" t="str">
        <f ca="1">IFERROR(__xludf.DUMMYFUNCTION("""COMPUTED_VALUE"""),"Receptor based tests")</f>
        <v>Receptor based tests</v>
      </c>
      <c r="B157" t="str">
        <f ca="1">IFERROR(__xludf.DUMMYFUNCTION("""COMPUTED_VALUE"""),"F116A")</f>
        <v>F116A</v>
      </c>
    </row>
    <row r="158" spans="1:3" ht="12.5" x14ac:dyDescent="0.25">
      <c r="A158" t="str">
        <f ca="1">IFERROR(__xludf.DUMMYFUNCTION("""COMPUTED_VALUE"""),"RIA")</f>
        <v>RIA</v>
      </c>
      <c r="B158" t="str">
        <f ca="1">IFERROR(__xludf.DUMMYFUNCTION("""COMPUTED_VALUE"""),"F078A")</f>
        <v>F078A</v>
      </c>
      <c r="C158" t="str">
        <f ca="1">IFERROR(__xludf.DUMMYFUNCTION("""COMPUTED_VALUE"""),"Radio Immunoassay Tests")</f>
        <v>Radio Immunoassay Tests</v>
      </c>
    </row>
    <row r="159" spans="1:3" ht="12.5" x14ac:dyDescent="0.25">
      <c r="A159" t="str">
        <f ca="1">IFERROR(__xludf.DUMMYFUNCTION("""COMPUTED_VALUE"""),"Sample introduction")</f>
        <v>Sample introduction</v>
      </c>
      <c r="B159" t="str">
        <f ca="1">IFERROR(__xludf.DUMMYFUNCTION("""COMPUTED_VALUE"""),"F172A")</f>
        <v>F172A</v>
      </c>
    </row>
    <row r="160" spans="1:3" ht="12.5" x14ac:dyDescent="0.25">
      <c r="A160" t="str">
        <f ca="1">IFERROR(__xludf.DUMMYFUNCTION("""COMPUTED_VALUE"""),"SBS")</f>
        <v>SBS</v>
      </c>
      <c r="B160" t="str">
        <f ca="1">IFERROR(__xludf.DUMMYFUNCTION("""COMPUTED_VALUE"""),"F179A")</f>
        <v>F179A</v>
      </c>
      <c r="C160" t="str">
        <f ca="1">IFERROR(__xludf.DUMMYFUNCTION("""COMPUTED_VALUE"""),"Stir bar sorpitive extraction")</f>
        <v>Stir bar sorpitive extraction</v>
      </c>
    </row>
    <row r="161" spans="1:3" ht="12.5" x14ac:dyDescent="0.25">
      <c r="A161" t="str">
        <f ca="1">IFERROR(__xludf.DUMMYFUNCTION("""COMPUTED_VALUE"""),"Sedimentation and Counting Technique")</f>
        <v>Sedimentation and Counting Technique</v>
      </c>
      <c r="B161" t="str">
        <f ca="1">IFERROR(__xludf.DUMMYFUNCTION("""COMPUTED_VALUE"""),"F188A")</f>
        <v>F188A</v>
      </c>
      <c r="C161" t="str">
        <f ca="1">IFERROR(__xludf.DUMMYFUNCTION("""COMPUTED_VALUE"""),"Eckert J, Deplazes P, Craig PS, Gemmel MA, Gottstein B, Heath D, Jenkins DJ, Kamiya M, Lightowlers M, 2001a.
")</f>
        <v xml:space="preserve">Eckert J, Deplazes P, Craig PS, Gemmel MA, Gottstein B, Heath D, Jenkins DJ, Kamiya M, Lightowlers M, 2001a.
</v>
      </c>
    </row>
    <row r="162" spans="1:3" ht="12.5" x14ac:dyDescent="0.25">
      <c r="A162" t="str">
        <f ca="1">IFERROR(__xludf.DUMMYFUNCTION("""COMPUTED_VALUE"""),"Shaking in a Vessel Technique")</f>
        <v>Shaking in a Vessel Technique</v>
      </c>
      <c r="B162" t="str">
        <f ca="1">IFERROR(__xludf.DUMMYFUNCTION("""COMPUTED_VALUE"""),"F182A")</f>
        <v>F182A</v>
      </c>
      <c r="C162" t="str">
        <f ca="1">IFERROR(__xludf.DUMMYFUNCTION("""COMPUTED_VALUE"""),"Duscher G, Prosl H, Joachim A, 2005.")</f>
        <v>Duscher G, Prosl H, Joachim A, 2005.</v>
      </c>
    </row>
    <row r="163" spans="1:3" ht="12.5" x14ac:dyDescent="0.25">
      <c r="A163" t="str">
        <f ca="1">IFERROR(__xludf.DUMMYFUNCTION("""COMPUTED_VALUE"""),"Southwestern blotting")</f>
        <v>Southwestern blotting</v>
      </c>
      <c r="B163" t="str">
        <f ca="1">IFERROR(__xludf.DUMMYFUNCTION("""COMPUTED_VALUE"""),"F075A")</f>
        <v>F075A</v>
      </c>
      <c r="C163" t="str">
        <f ca="1">IFERROR(__xludf.DUMMYFUNCTION("""COMPUTED_VALUE"""),"for detection of DNA-binding proteins")</f>
        <v>for detection of DNA-binding proteins</v>
      </c>
    </row>
    <row r="164" spans="1:3" ht="12.5" x14ac:dyDescent="0.25">
      <c r="A164" t="str">
        <f ca="1">IFERROR(__xludf.DUMMYFUNCTION("""COMPUTED_VALUE"""),"Special tests")</f>
        <v>Special tests</v>
      </c>
      <c r="B164" t="str">
        <f ca="1">IFERROR(__xludf.DUMMYFUNCTION("""COMPUTED_VALUE"""),"F098A")</f>
        <v>F098A</v>
      </c>
    </row>
    <row r="165" spans="1:3" ht="12.5" x14ac:dyDescent="0.25">
      <c r="A165" t="str">
        <f ca="1">IFERROR(__xludf.DUMMYFUNCTION("""COMPUTED_VALUE"""),"SPME")</f>
        <v>SPME</v>
      </c>
      <c r="B165" t="str">
        <f ca="1">IFERROR(__xludf.DUMMYFUNCTION("""COMPUTED_VALUE"""),"F177A")</f>
        <v>F177A</v>
      </c>
      <c r="C165" t="str">
        <f ca="1">IFERROR(__xludf.DUMMYFUNCTION("""COMPUTED_VALUE"""),"solid phase micro extraction")</f>
        <v>solid phase micro extraction</v>
      </c>
    </row>
    <row r="166" spans="1:3" ht="12.5" x14ac:dyDescent="0.25">
      <c r="A166" t="str">
        <f ca="1">IFERROR(__xludf.DUMMYFUNCTION("""COMPUTED_VALUE"""),"SPR-biosensor")</f>
        <v>SPR-biosensor</v>
      </c>
      <c r="B166" t="str">
        <f ca="1">IFERROR(__xludf.DUMMYFUNCTION("""COMPUTED_VALUE"""),"F119A")</f>
        <v>F119A</v>
      </c>
      <c r="C166" t="str">
        <f ca="1">IFERROR(__xludf.DUMMYFUNCTION("""COMPUTED_VALUE"""),"Surface plasmon resonance")</f>
        <v>Surface plasmon resonance</v>
      </c>
    </row>
    <row r="167" spans="1:3" ht="12.5" x14ac:dyDescent="0.25">
      <c r="A167" t="str">
        <f ca="1">IFERROR(__xludf.DUMMYFUNCTION("""COMPUTED_VALUE"""),"SSMS")</f>
        <v>SSMS</v>
      </c>
      <c r="B167" t="str">
        <f ca="1">IFERROR(__xludf.DUMMYFUNCTION("""COMPUTED_VALUE"""),"F068A")</f>
        <v>F068A</v>
      </c>
      <c r="C167" t="str">
        <f ca="1">IFERROR(__xludf.DUMMYFUNCTION("""COMPUTED_VALUE"""),"Spark source mass spectrometry")</f>
        <v>Spark source mass spectrometry</v>
      </c>
    </row>
    <row r="168" spans="1:3" ht="12.5" x14ac:dyDescent="0.25">
      <c r="A168" t="str">
        <f ca="1">IFERROR(__xludf.DUMMYFUNCTION("""COMPUTED_VALUE"""),"Standard Chromatographic tests (paper-, thin layer- and column chromatography)")</f>
        <v>Standard Chromatographic tests (paper-, thin layer- and column chromatography)</v>
      </c>
      <c r="B168" t="str">
        <f ca="1">IFERROR(__xludf.DUMMYFUNCTION("""COMPUTED_VALUE"""),"F016A")</f>
        <v>F016A</v>
      </c>
      <c r="C168" t="str">
        <f ca="1">IFERROR(__xludf.DUMMYFUNCTION("""COMPUTED_VALUE"""),"Applies to e.g. TLC")</f>
        <v>Applies to e.g. TLC</v>
      </c>
    </row>
    <row r="169" spans="1:3" ht="12.5" x14ac:dyDescent="0.25">
      <c r="A169" t="str">
        <f ca="1">IFERROR(__xludf.DUMMYFUNCTION("""COMPUTED_VALUE"""),"TD")</f>
        <v>TD</v>
      </c>
      <c r="B169" t="str">
        <f ca="1">IFERROR(__xludf.DUMMYFUNCTION("""COMPUTED_VALUE"""),"F176A")</f>
        <v>F176A</v>
      </c>
      <c r="C169" t="str">
        <f ca="1">IFERROR(__xludf.DUMMYFUNCTION("""COMPUTED_VALUE"""),"Thermo desorption")</f>
        <v>Thermo desorption</v>
      </c>
    </row>
    <row r="170" spans="1:3" ht="12.5" x14ac:dyDescent="0.25">
      <c r="A170" t="str">
        <f ca="1">IFERROR(__xludf.DUMMYFUNCTION("""COMPUTED_VALUE"""),"TIMS")</f>
        <v>TIMS</v>
      </c>
      <c r="B170" t="str">
        <f ca="1">IFERROR(__xludf.DUMMYFUNCTION("""COMPUTED_VALUE"""),"F067A")</f>
        <v>F067A</v>
      </c>
      <c r="C170" t="str">
        <f ca="1">IFERROR(__xludf.DUMMYFUNCTION("""COMPUTED_VALUE"""),"Thermal ionization-mass spectrometry")</f>
        <v>Thermal ionization-mass spectrometry</v>
      </c>
    </row>
    <row r="171" spans="1:3" ht="12.5" x14ac:dyDescent="0.25">
      <c r="A171" t="str">
        <f ca="1">IFERROR(__xludf.DUMMYFUNCTION("""COMPUTED_VALUE"""),"Traditional analytical techniques (wet chemical tests)")</f>
        <v>Traditional analytical techniques (wet chemical tests)</v>
      </c>
      <c r="B171" t="str">
        <f ca="1">IFERROR(__xludf.DUMMYFUNCTION("""COMPUTED_VALUE"""),"F003A")</f>
        <v>F003A</v>
      </c>
      <c r="C171" t="str">
        <f ca="1">IFERROR(__xludf.DUMMYFUNCTION("""COMPUTED_VALUE"""),"Applies to e.g. reacting with reagents and measuring the results of the reaction like precipitation or change of colour, etc (does not apply to colorimetry, photometry and spectroscopy).")</f>
        <v>Applies to e.g. reacting with reagents and measuring the results of the reaction like precipitation or change of colour, etc (does not apply to colorimetry, photometry and spectroscopy).</v>
      </c>
    </row>
    <row r="172" spans="1:3" ht="12.5" x14ac:dyDescent="0.25">
      <c r="A172" t="str">
        <f ca="1">IFERROR(__xludf.DUMMYFUNCTION("""COMPUTED_VALUE"""),"Turbidimetry")</f>
        <v>Turbidimetry</v>
      </c>
      <c r="B172" t="str">
        <f ca="1">IFERROR(__xludf.DUMMYFUNCTION("""COMPUTED_VALUE"""),"F122A")</f>
        <v>F122A</v>
      </c>
      <c r="C172" t="str">
        <f ca="1">IFERROR(__xludf.DUMMYFUNCTION("""COMPUTED_VALUE"""),"A method for determining the concentration of a substance in a solution by measuring the loss in intensity of a light beam through a solution that contains suspended particulate matter.")</f>
        <v>A method for determining the concentration of a substance in a solution by measuring the loss in intensity of a light beam through a solution that contains suspended particulate matter.</v>
      </c>
    </row>
    <row r="173" spans="1:3" ht="12.5" x14ac:dyDescent="0.25">
      <c r="A173" t="str">
        <f ca="1">IFERROR(__xludf.DUMMYFUNCTION("""COMPUTED_VALUE"""),"UV-VIS spectroscopy (photometry)")</f>
        <v>UV-VIS spectroscopy (photometry)</v>
      </c>
      <c r="B173" t="str">
        <f ca="1">IFERROR(__xludf.DUMMYFUNCTION("""COMPUTED_VALUE"""),"F009A")</f>
        <v>F009A</v>
      </c>
    </row>
    <row r="174" spans="1:3" ht="12.5" x14ac:dyDescent="0.25">
      <c r="A174" t="str">
        <f ca="1">IFERROR(__xludf.DUMMYFUNCTION("""COMPUTED_VALUE"""),"Volumetric tests")</f>
        <v>Volumetric tests</v>
      </c>
      <c r="B174" t="str">
        <f ca="1">IFERROR(__xludf.DUMMYFUNCTION("""COMPUTED_VALUE"""),"F005A")</f>
        <v>F005A</v>
      </c>
      <c r="C174" t="str">
        <f ca="1">IFERROR(__xludf.DUMMYFUNCTION("""COMPUTED_VALUE"""),"A reagent (called titrator) of a known concentration (a standard solution) and volume is used to react with a solution of the analyte (called titrand), whose concentration is not known e.g. acidimetry, chelatometry, etc.")</f>
        <v>A reagent (called titrator) of a known concentration (a standard solution) and volume is used to react with a solution of the analyte (called titrand), whose concentration is not known e.g. acidimetry, chelatometry, etc.</v>
      </c>
    </row>
    <row r="175" spans="1:3" ht="12.5" x14ac:dyDescent="0.25">
      <c r="A175" t="str">
        <f ca="1">IFERROR(__xludf.DUMMYFUNCTION("""COMPUTED_VALUE"""),"Western blot")</f>
        <v>Western blot</v>
      </c>
      <c r="B175" t="str">
        <f ca="1">IFERROR(__xludf.DUMMYFUNCTION("""COMPUTED_VALUE"""),"F072A")</f>
        <v>F072A</v>
      </c>
      <c r="C175" t="str">
        <f ca="1">IFERROR(__xludf.DUMMYFUNCTION("""COMPUTED_VALUE"""),"for protein detection")</f>
        <v>for protein detection</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IFERROR(__xludf.DUMMYFUNCTION("importrange(""https://docs.google.com/spreadsheets/d/1C6N4-YWX9OMmNStd2rYlSUaVys-aiJGLj00cD44aVc8/edit#gid=1894320575"",""Sampling strategy!A1:O500"")"),"Value")</f>
        <v>Value</v>
      </c>
      <c r="B1" t="str">
        <f ca="1">IFERROR(__xludf.DUMMYFUNCTION("""COMPUTED_VALUE"""),"ID")</f>
        <v>ID</v>
      </c>
      <c r="C1" t="str">
        <f ca="1">IFERROR(__xludf.DUMMYFUNCTION("""COMPUTED_VALUE"""),"Comment")</f>
        <v>Comment</v>
      </c>
    </row>
    <row r="2" spans="1:3" ht="12.5" x14ac:dyDescent="0.25">
      <c r="A2" t="str">
        <f ca="1">IFERROR(__xludf.DUMMYFUNCTION("""COMPUTED_VALUE"""),"Census")</f>
        <v>Census</v>
      </c>
      <c r="B2" t="str">
        <f ca="1">IFERROR(__xludf.DUMMYFUNCTION("""COMPUTED_VALUE"""),"Sampling strategy_5")</f>
        <v>Sampling strategy_5</v>
      </c>
      <c r="C2" t="str">
        <f ca="1">IFERROR(__xludf.DUMMYFUNCTION("""COMPUTED_VALUE"""),"When the totality of a population or sub-population, on which the data are reported, is controlled.")</f>
        <v>When the totality of a population or sub-population, on which the data are reported, is controlled.</v>
      </c>
    </row>
    <row r="3" spans="1:3" ht="12.5" x14ac:dyDescent="0.25">
      <c r="A3" t="str">
        <f ca="1">IFERROR(__xludf.DUMMYFUNCTION("""COMPUTED_VALUE"""),"Convenient sampling")</f>
        <v>Convenient sampling</v>
      </c>
      <c r="B3" t="str">
        <f ca="1">IFERROR(__xludf.DUMMYFUNCTION("""COMPUTED_VALUE"""),"Sampling strategy_4")</f>
        <v>Sampling strategy_4</v>
      </c>
      <c r="C3" t="str">
        <f ca="1">IFERROR(__xludf.DUMMYFUNCTION("""COMPUTED_VALUE"""),"Special instance of selective sampling where no randomisation is performed in extracting the sample but units are selected only on the basis of feasibility or ease of data collection. Sampling used in exploratory research where the researcher is intereste"&amp;"d in getting an inexpensive approximation of the truth. 
The subpopulations may or may not be determined on a risk basis.  The sampling from each subpopulation may not be proportional: the sample size is proportionally bigger for instance in subpopulation"&amp;"s considered at high risk. This methodology is potentially subject to serious bias.")</f>
        <v>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v>
      </c>
    </row>
    <row r="4" spans="1:3" ht="12.5" x14ac:dyDescent="0.25">
      <c r="A4" t="str">
        <f ca="1">IFERROR(__xludf.DUMMYFUNCTION("""COMPUTED_VALUE"""),"Not specified")</f>
        <v>Not specified</v>
      </c>
      <c r="B4" t="str">
        <f ca="1">IFERROR(__xludf.DUMMYFUNCTION("""COMPUTED_VALUE"""),"Sampling strategy_7")</f>
        <v>Sampling strategy_7</v>
      </c>
    </row>
    <row r="5" spans="1:3" ht="12.5" x14ac:dyDescent="0.25">
      <c r="A5" t="str">
        <f ca="1">IFERROR(__xludf.DUMMYFUNCTION("""COMPUTED_VALUE"""),"Objective sampling")</f>
        <v>Objective sampling</v>
      </c>
      <c r="B5" t="str">
        <f ca="1">IFERROR(__xludf.DUMMYFUNCTION("""COMPUTED_VALUE"""),"Sampling strategy_1")</f>
        <v>Sampling strategy_1</v>
      </c>
      <c r="C5" t="str">
        <f ca="1">IFERROR(__xludf.DUMMYFUNCTION("""COMPUTED_VALUE"""),"Planned strategy based on the selection of a random sample from a population on which the data are reported. Random sample is a sample which is taken under statistical consideration to provide representative data of population to be analysed. ")</f>
        <v xml:space="preserve">Planned strategy based on the selection of a random sample from a population on which the data are reported. Random sample is a sample which is taken under statistical consideration to provide representative data of population to be analysed. </v>
      </c>
    </row>
    <row r="6" spans="1:3" ht="12.5" x14ac:dyDescent="0.25">
      <c r="A6" t="str">
        <f ca="1">IFERROR(__xludf.DUMMYFUNCTION("""COMPUTED_VALUE"""),"Other")</f>
        <v>Other</v>
      </c>
      <c r="B6" t="str">
        <f ca="1">IFERROR(__xludf.DUMMYFUNCTION("""COMPUTED_VALUE"""),"Sampling strategy_6")</f>
        <v>Sampling strategy_6</v>
      </c>
    </row>
    <row r="7" spans="1:3" ht="12.5" x14ac:dyDescent="0.25">
      <c r="A7" t="str">
        <f ca="1">IFERROR(__xludf.DUMMYFUNCTION("""COMPUTED_VALUE"""),"Selective sampling")</f>
        <v>Selective sampling</v>
      </c>
      <c r="B7" t="str">
        <f ca="1">IFERROR(__xludf.DUMMYFUNCTION("""COMPUTED_VALUE"""),"Sampling strategy_2")</f>
        <v>Sampling strategy_2</v>
      </c>
      <c r="C7" t="str">
        <f ca="1">IFERROR(__xludf.DUMMYFUNCTION("""COMPUTED_VALUE"""),"Planned strategy based on the selection of a sample from a subpopulation (or more frequently from subpopulations) of a population on which the data are reported. The sampling is deliberately biased and is directed at the particular products or manufacture"&amp;"rs. The subpopulations may or may not be determined on a risk basis. The specification of the ‘high - risk’ population comes from either scientific studies or previous analysis and information of other regions or countries.  The sampling procedure can be "&amp;"random or not. The sampling from each subpopulation may not be proportional: the sample size is proportionally bigger for instance in subpopulations considered at high risk. ")</f>
        <v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v>
      </c>
    </row>
    <row r="8" spans="1:3" ht="12.5" x14ac:dyDescent="0.25">
      <c r="A8" t="str">
        <f ca="1">IFERROR(__xludf.DUMMYFUNCTION("""COMPUTED_VALUE"""),"Suspect sampling")</f>
        <v>Suspect sampling</v>
      </c>
      <c r="B8" t="str">
        <f ca="1">IFERROR(__xludf.DUMMYFUNCTION("""COMPUTED_VALUE"""),"Sampling strategy_3")</f>
        <v>Sampling strategy_3</v>
      </c>
      <c r="C8" t="str">
        <f ca="1">IFERROR(__xludf.DUMMYFUNCTION("""COMPUTED_VALUE"""),"Selection of an individual sample in order to confirm or reject a suspicion of non-conformity. It's not a random sampling, therefore there is no sample extracted from the population.")</f>
        <v>Selection of an individual sample in order to confirm or reject a suspicion of non-conformity. It's not a random sampling, therefore there is no sample extracted from the population.</v>
      </c>
    </row>
    <row r="26" spans="6:6" ht="12.5" x14ac:dyDescent="0.25">
      <c r="F26" t="str">
        <f ca="1">IFERROR(__xludf.DUMMYFUNCTION("""COMPUTED_VALUE"""),"
")</f>
        <v xml:space="preserve">
</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1"/>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IFERROR(__xludf.DUMMYFUNCTION("importrange(""https://docs.google.com/spreadsheets/d/1C6N4-YWX9OMmNStd2rYlSUaVys-aiJGLj00cD44aVc8/edit#gid=1894320575"",""type of sampling program!A1:O500"")"),"Value")</f>
        <v>Value</v>
      </c>
      <c r="B1" t="str">
        <f ca="1">IFERROR(__xludf.DUMMYFUNCTION("""COMPUTED_VALUE"""),"ID")</f>
        <v>ID</v>
      </c>
      <c r="C1" t="str">
        <f ca="1">IFERROR(__xludf.DUMMYFUNCTION("""COMPUTED_VALUE"""),"Comment")</f>
        <v>Comment</v>
      </c>
    </row>
    <row r="2" spans="1:3" ht="12.5" x14ac:dyDescent="0.25">
      <c r="A2" t="str">
        <f ca="1">IFERROR(__xludf.DUMMYFUNCTION("""COMPUTED_VALUE"""),"Clinical investigations")</f>
        <v>Clinical investigations</v>
      </c>
      <c r="B2" t="str">
        <f ca="1">IFERROR(__xludf.DUMMYFUNCTION("""COMPUTED_VALUE"""),"K020A")</f>
        <v>K020A</v>
      </c>
    </row>
    <row r="3" spans="1:3" ht="12.5" x14ac:dyDescent="0.25">
      <c r="A3" t="str">
        <f ca="1">IFERROR(__xludf.DUMMYFUNCTION("""COMPUTED_VALUE"""),"Control and eradication programmes")</f>
        <v>Control and eradication programmes</v>
      </c>
      <c r="B3" t="str">
        <f ca="1">IFERROR(__xludf.DUMMYFUNCTION("""COMPUTED_VALUE"""),"K021A")</f>
        <v>K021A</v>
      </c>
    </row>
    <row r="4" spans="1:3" ht="12.5" x14ac:dyDescent="0.25">
      <c r="A4" t="str">
        <f ca="1">IFERROR(__xludf.DUMMYFUNCTION("""COMPUTED_VALUE"""),"Diet study")</f>
        <v>Diet study</v>
      </c>
      <c r="B4" t="str">
        <f ca="1">IFERROR(__xludf.DUMMYFUNCTION("""COMPUTED_VALUE"""),"K010A")</f>
        <v>K010A</v>
      </c>
    </row>
    <row r="5" spans="1:3" ht="12.5" x14ac:dyDescent="0.25">
      <c r="A5" t="str">
        <f ca="1">IFERROR(__xludf.DUMMYFUNCTION("""COMPUTED_VALUE"""),"EU increased control programme on imported food")</f>
        <v>EU increased control programme on imported food</v>
      </c>
      <c r="B5" t="str">
        <f ca="1">IFERROR(__xludf.DUMMYFUNCTION("""COMPUTED_VALUE"""),"K019A")</f>
        <v>K019A</v>
      </c>
    </row>
    <row r="6" spans="1:3" ht="12.5" x14ac:dyDescent="0.25">
      <c r="A6" t="str">
        <f ca="1">IFERROR(__xludf.DUMMYFUNCTION("""COMPUTED_VALUE"""),"Industry - private programme")</f>
        <v>Industry - private programme</v>
      </c>
      <c r="B6" t="str">
        <f ca="1">IFERROR(__xludf.DUMMYFUNCTION("""COMPUTED_VALUE"""),"K012A")</f>
        <v>K012A</v>
      </c>
    </row>
    <row r="7" spans="1:3" ht="12.5" x14ac:dyDescent="0.25">
      <c r="A7" t="str">
        <f ca="1">IFERROR(__xludf.DUMMYFUNCTION("""COMPUTED_VALUE"""),"Monitoring")</f>
        <v>Monitoring</v>
      </c>
      <c r="B7" t="str">
        <f ca="1">IFERROR(__xludf.DUMMYFUNCTION("""COMPUTED_VALUE"""),"K022A")</f>
        <v>K022A</v>
      </c>
    </row>
    <row r="8" spans="1:3" ht="12.5" x14ac:dyDescent="0.25">
      <c r="A8" t="str">
        <f ca="1">IFERROR(__xludf.DUMMYFUNCTION("""COMPUTED_VALUE"""),"Monitoring - active")</f>
        <v>Monitoring - active</v>
      </c>
      <c r="B8" t="str">
        <f ca="1">IFERROR(__xludf.DUMMYFUNCTION("""COMPUTED_VALUE"""),"K023A")</f>
        <v>K023A</v>
      </c>
    </row>
    <row r="9" spans="1:3" ht="12.5" x14ac:dyDescent="0.25">
      <c r="A9" t="str">
        <f ca="1">IFERROR(__xludf.DUMMYFUNCTION("""COMPUTED_VALUE"""),"Monitoring - EFSA specifications")</f>
        <v>Monitoring - EFSA specifications</v>
      </c>
      <c r="B9" t="str">
        <f ca="1">IFERROR(__xludf.DUMMYFUNCTION("""COMPUTED_VALUE"""),"K025A")</f>
        <v>K025A</v>
      </c>
    </row>
    <row r="10" spans="1:3" ht="12.5" x14ac:dyDescent="0.25">
      <c r="A10" t="str">
        <f ca="1">IFERROR(__xludf.DUMMYFUNCTION("""COMPUTED_VALUE"""),"Monitoring - passive")</f>
        <v>Monitoring - passive</v>
      </c>
      <c r="B10" t="str">
        <f ca="1">IFERROR(__xludf.DUMMYFUNCTION("""COMPUTED_VALUE"""),"K024A")</f>
        <v>K024A</v>
      </c>
    </row>
    <row r="11" spans="1:3" ht="12.5" x14ac:dyDescent="0.25">
      <c r="A11" t="str">
        <f ca="1">IFERROR(__xludf.DUMMYFUNCTION("""COMPUTED_VALUE"""),"Official (EU) programme")</f>
        <v>Official (EU) programme</v>
      </c>
      <c r="B11" t="str">
        <f ca="1">IFERROR(__xludf.DUMMYFUNCTION("""COMPUTED_VALUE"""),"K009A")</f>
        <v>K009A</v>
      </c>
    </row>
    <row r="12" spans="1:3" ht="12.5" x14ac:dyDescent="0.25">
      <c r="A12" t="str">
        <f ca="1">IFERROR(__xludf.DUMMYFUNCTION("""COMPUTED_VALUE"""),"Official (National and EU) programme")</f>
        <v>Official (National and EU) programme</v>
      </c>
      <c r="B12" t="str">
        <f ca="1">IFERROR(__xludf.DUMMYFUNCTION("""COMPUTED_VALUE"""),"K018A")</f>
        <v>K018A</v>
      </c>
    </row>
    <row r="13" spans="1:3" ht="12.5" x14ac:dyDescent="0.25">
      <c r="A13" t="str">
        <f ca="1">IFERROR(__xludf.DUMMYFUNCTION("""COMPUTED_VALUE"""),"Official (National) programme")</f>
        <v>Official (National) programme</v>
      </c>
      <c r="B13" t="str">
        <f ca="1">IFERROR(__xludf.DUMMYFUNCTION("""COMPUTED_VALUE"""),"K005A")</f>
        <v>K005A</v>
      </c>
    </row>
    <row r="14" spans="1:3" ht="12.5" x14ac:dyDescent="0.25">
      <c r="A14" t="str">
        <f ca="1">IFERROR(__xludf.DUMMYFUNCTION("""COMPUTED_VALUE"""),"Other - Combination of several programmes")</f>
        <v>Other - Combination of several programmes</v>
      </c>
      <c r="B14" t="str">
        <f ca="1">IFERROR(__xludf.DUMMYFUNCTION("""COMPUTED_VALUE"""),"K014A")</f>
        <v>K014A</v>
      </c>
    </row>
    <row r="15" spans="1:3" ht="12.5" x14ac:dyDescent="0.25">
      <c r="A15" t="str">
        <f ca="1">IFERROR(__xludf.DUMMYFUNCTION("""COMPUTED_VALUE"""),"Surveillance")</f>
        <v>Surveillance</v>
      </c>
      <c r="B15" t="str">
        <f ca="1">IFERROR(__xludf.DUMMYFUNCTION("""COMPUTED_VALUE"""),"K026A")</f>
        <v>K026A</v>
      </c>
    </row>
    <row r="16" spans="1:3" ht="12.5" x14ac:dyDescent="0.25">
      <c r="A16" t="str">
        <f ca="1">IFERROR(__xludf.DUMMYFUNCTION("""COMPUTED_VALUE"""),"Surveillance active")</f>
        <v>Surveillance active</v>
      </c>
      <c r="B16" t="str">
        <f ca="1">IFERROR(__xludf.DUMMYFUNCTION("""COMPUTED_VALUE"""),"K030A")</f>
        <v>K030A</v>
      </c>
    </row>
    <row r="17" spans="1:2" ht="12.5" x14ac:dyDescent="0.25">
      <c r="A17" t="str">
        <f ca="1">IFERROR(__xludf.DUMMYFUNCTION("""COMPUTED_VALUE"""),"Surveillance passive")</f>
        <v>Surveillance passive</v>
      </c>
      <c r="B17" t="str">
        <f ca="1">IFERROR(__xludf.DUMMYFUNCTION("""COMPUTED_VALUE"""),"K031A")</f>
        <v>K031A</v>
      </c>
    </row>
    <row r="18" spans="1:2" ht="12.5" x14ac:dyDescent="0.25">
      <c r="A18" t="str">
        <f ca="1">IFERROR(__xludf.DUMMYFUNCTION("""COMPUTED_VALUE"""),"Survey")</f>
        <v>Survey</v>
      </c>
      <c r="B18" t="str">
        <f ca="1">IFERROR(__xludf.DUMMYFUNCTION("""COMPUTED_VALUE"""),"K013A")</f>
        <v>K013A</v>
      </c>
    </row>
    <row r="19" spans="1:2" ht="12.5" x14ac:dyDescent="0.25">
      <c r="A19" t="str">
        <f ca="1">IFERROR(__xludf.DUMMYFUNCTION("""COMPUTED_VALUE"""),"Survey - EU baseline survey")</f>
        <v>Survey - EU baseline survey</v>
      </c>
      <c r="B19" t="str">
        <f ca="1">IFERROR(__xludf.DUMMYFUNCTION("""COMPUTED_VALUE"""),"K027A")</f>
        <v>K027A</v>
      </c>
    </row>
    <row r="20" spans="1:2" ht="12.5" x14ac:dyDescent="0.25">
      <c r="A20" t="str">
        <f ca="1">IFERROR(__xludf.DUMMYFUNCTION("""COMPUTED_VALUE"""),"Survey - national survey")</f>
        <v>Survey - national survey</v>
      </c>
      <c r="B20" t="str">
        <f ca="1">IFERROR(__xludf.DUMMYFUNCTION("""COMPUTED_VALUE"""),"K028A")</f>
        <v>K028A</v>
      </c>
    </row>
    <row r="21" spans="1:2" ht="12.5" x14ac:dyDescent="0.25">
      <c r="A21" t="str">
        <f ca="1">IFERROR(__xludf.DUMMYFUNCTION("""COMPUTED_VALUE"""),"Unspecified")</f>
        <v>Unspecified</v>
      </c>
      <c r="B21" t="str">
        <f ca="1">IFERROR(__xludf.DUMMYFUNCTION("""COMPUTED_VALUE"""),"K029A")</f>
        <v>K029A</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9"/>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IFERROR(__xludf.DUMMYFUNCTION("importrange(""https://docs.google.com/spreadsheets/d/1C6N4-YWX9OMmNStd2rYlSUaVys-aiJGLj00cD44aVc8/edit#gid=1894320575"",""Sampling method!A1:O500"")"),"Value")</f>
        <v>Value</v>
      </c>
      <c r="B1" t="str">
        <f ca="1">IFERROR(__xludf.DUMMYFUNCTION("""COMPUTED_VALUE"""),"ID")</f>
        <v>ID</v>
      </c>
      <c r="C1" t="str">
        <f ca="1">IFERROR(__xludf.DUMMYFUNCTION("""COMPUTED_VALUE"""),"Comment")</f>
        <v>Comment</v>
      </c>
    </row>
    <row r="2" spans="1:3" ht="12.5" x14ac:dyDescent="0.25">
      <c r="A2" t="str">
        <f ca="1">IFERROR(__xludf.DUMMYFUNCTION("""COMPUTED_VALUE"""),"According to 97/747/EC")</f>
        <v>According to 97/747/EC</v>
      </c>
      <c r="B2" t="str">
        <f ca="1">IFERROR(__xludf.DUMMYFUNCTION("""COMPUTED_VALUE"""),"N010A")</f>
        <v>N010A</v>
      </c>
      <c r="C2" t="str">
        <f ca="1">IFERROR(__xludf.DUMMYFUNCTION("""COMPUTED_VALUE"""),"Directive 97/747/EC - Fixing the levels and frequencies of sampling provided for by Council Directive 96/23/EC for the monitoring of certain substances and residues thereof in certain animal products")</f>
        <v>Directive 97/747/EC - Fixing the levels and frequencies of sampling provided for by Council Directive 96/23/EC for the monitoring of certain substances and residues thereof in certain animal products</v>
      </c>
    </row>
    <row r="3" spans="1:3" ht="12.5" x14ac:dyDescent="0.25">
      <c r="A3" t="str">
        <f ca="1">IFERROR(__xludf.DUMMYFUNCTION("""COMPUTED_VALUE"""),"According to Dir. 2002/63/EC")</f>
        <v>According to Dir. 2002/63/EC</v>
      </c>
      <c r="B3" t="str">
        <f ca="1">IFERROR(__xludf.DUMMYFUNCTION("""COMPUTED_VALUE"""),"N009A")</f>
        <v>N009A</v>
      </c>
      <c r="C3" t="str">
        <f ca="1">IFERROR(__xludf.DUMMYFUNCTION("""COMPUTED_VALUE"""),"Directive 2002/63/EC - Community methods of sampling for the official control of pesticide residues")</f>
        <v>Directive 2002/63/EC - Community methods of sampling for the official control of pesticide residues</v>
      </c>
    </row>
    <row r="4" spans="1:3" ht="12.5" x14ac:dyDescent="0.25">
      <c r="A4" t="str">
        <f ca="1">IFERROR(__xludf.DUMMYFUNCTION("""COMPUTED_VALUE"""),"According to Reg 152/2009")</f>
        <v>According to Reg 152/2009</v>
      </c>
      <c r="B4" t="str">
        <f ca="1">IFERROR(__xludf.DUMMYFUNCTION("""COMPUTED_VALUE"""),"N014A")</f>
        <v>N014A</v>
      </c>
      <c r="C4" t="str">
        <f ca="1">IFERROR(__xludf.DUMMYFUNCTION("""COMPUTED_VALUE"""),"Commission Regulation (EC) No 152/2009 of 27 January 2009 laying down the methods of sampling and analysis for the official control of feed.")</f>
        <v>Commission Regulation (EC) No 152/2009 of 27 January 2009 laying down the methods of sampling and analysis for the official control of feed.</v>
      </c>
    </row>
    <row r="5" spans="1:3" ht="12.5" x14ac:dyDescent="0.25">
      <c r="A5" t="str">
        <f ca="1">IFERROR(__xludf.DUMMYFUNCTION("""COMPUTED_VALUE"""),"According to Reg 1882/2006")</f>
        <v>According to Reg 1882/2006</v>
      </c>
      <c r="B5" t="str">
        <f ca="1">IFERROR(__xludf.DUMMYFUNCTION("""COMPUTED_VALUE"""),"N012A")</f>
        <v>N012A</v>
      </c>
      <c r="C5" t="str">
        <f ca="1">IFERROR(__xludf.DUMMYFUNCTION("""COMPUTED_VALUE"""),"Commission Regulation (EC) (EC) No 1882/2006
of 19 December 2006, laying down methods of
 sampling and analysis for the official control of the levels of nitrates in
certain foodstuffs")</f>
        <v>Commission Regulation (EC) (EC) No 1882/2006
of 19 December 2006, laying down methods of
 sampling and analysis for the official control of the levels of nitrates in
certain foodstuffs</v>
      </c>
    </row>
    <row r="6" spans="1:3" ht="12.5" x14ac:dyDescent="0.25">
      <c r="A6" t="str">
        <f ca="1">IFERROR(__xludf.DUMMYFUNCTION("""COMPUTED_VALUE"""),"According to Reg 1883/2006")</f>
        <v>According to Reg 1883/2006</v>
      </c>
      <c r="B6" t="str">
        <f ca="1">IFERROR(__xludf.DUMMYFUNCTION("""COMPUTED_VALUE"""),"N015A")</f>
        <v>N015A</v>
      </c>
      <c r="C6" t="str">
        <f ca="1">IFERROR(__xludf.DUMMYFUNCTION("""COMPUTED_VALUE"""),"Commission Regulation (EC) No 1883/2006 of 19 December 2006 laying down methods of sampling and analysis for the official control of levels of dioxins and dioxin-like PCBs in certain foodstuffs")</f>
        <v>Commission Regulation (EC) No 1883/2006 of 19 December 2006 laying down methods of sampling and analysis for the official control of levels of dioxins and dioxin-like PCBs in certain foodstuffs</v>
      </c>
    </row>
    <row r="7" spans="1:3" ht="12.5" x14ac:dyDescent="0.25">
      <c r="A7" t="str">
        <f ca="1">IFERROR(__xludf.DUMMYFUNCTION("""COMPUTED_VALUE"""),"According to Reg 333/2007")</f>
        <v>According to Reg 333/2007</v>
      </c>
      <c r="B7" t="str">
        <f ca="1">IFERROR(__xludf.DUMMYFUNCTION("""COMPUTED_VALUE"""),"N011A")</f>
        <v>N011A</v>
      </c>
      <c r="C7" t="str">
        <f ca="1">IFERROR(__xludf.DUMMYFUNCTION("""COMPUTED_VALUE"""),"Commission Regulation (EC) No 333/2007 laying down the methods of sampling and analysis for the official control of the levels of lead, cadmium, mercury, inorganic tin, 3-MCPD and benzo(a)pyrene in foodstuffs")</f>
        <v>Commission Regulation (EC) No 333/2007 laying down the methods of sampling and analysis for the official control of the levels of lead, cadmium, mercury, inorganic tin, 3-MCPD and benzo(a)pyrene in foodstuffs</v>
      </c>
    </row>
    <row r="8" spans="1:3" ht="12.5" x14ac:dyDescent="0.25">
      <c r="A8" t="str">
        <f ca="1">IFERROR(__xludf.DUMMYFUNCTION("""COMPUTED_VALUE"""),"According to Reg 401/2006")</f>
        <v>According to Reg 401/2006</v>
      </c>
      <c r="B8" t="str">
        <f ca="1">IFERROR(__xludf.DUMMYFUNCTION("""COMPUTED_VALUE"""),"N013A")</f>
        <v>N013A</v>
      </c>
      <c r="C8" t="str">
        <f ca="1">IFERROR(__xludf.DUMMYFUNCTION("""COMPUTED_VALUE"""),"Commission Regulation (EC) No 401/2006 of 23 February 2006 laying down the methods of sampling and analysis for the official control of the levels of mycotoxins in foodstuffs.")</f>
        <v>Commission Regulation (EC) No 401/2006 of 23 February 2006 laying down the methods of sampling and analysis for the official control of the levels of mycotoxins in foodstuffs.</v>
      </c>
    </row>
    <row r="9" spans="1:3" ht="12.5" x14ac:dyDescent="0.25">
      <c r="A9" t="str">
        <f ca="1">IFERROR(__xludf.DUMMYFUNCTION("""COMPUTED_VALUE"""),"HACCP and owns check")</f>
        <v>HACCP and owns check</v>
      </c>
      <c r="B9" t="str">
        <f ca="1">IFERROR(__xludf.DUMMYFUNCTION("""COMPUTED_VALUE"""),"N019A")</f>
        <v>N019A</v>
      </c>
    </row>
    <row r="10" spans="1:3" ht="12.5" x14ac:dyDescent="0.25">
      <c r="A10" t="str">
        <f ca="1">IFERROR(__xludf.DUMMYFUNCTION("""COMPUTED_VALUE"""),"Individual")</f>
        <v>Individual</v>
      </c>
      <c r="B10" t="str">
        <f ca="1">IFERROR(__xludf.DUMMYFUNCTION("""COMPUTED_VALUE"""),"N030A")</f>
        <v>N030A</v>
      </c>
    </row>
    <row r="11" spans="1:3" ht="12.5" x14ac:dyDescent="0.25">
      <c r="A11" t="str">
        <f ca="1">IFERROR(__xludf.DUMMYFUNCTION("""COMPUTED_VALUE"""),"Individual/single")</f>
        <v>Individual/single</v>
      </c>
      <c r="B11" t="str">
        <f ca="1">IFERROR(__xludf.DUMMYFUNCTION("""COMPUTED_VALUE"""),"N001A")</f>
        <v>N001A</v>
      </c>
    </row>
    <row r="12" spans="1:3" ht="12.5" x14ac:dyDescent="0.25">
      <c r="A12" t="str">
        <f ca="1">IFERROR(__xludf.DUMMYFUNCTION("""COMPUTED_VALUE"""),"Industry sampling")</f>
        <v>Industry sampling</v>
      </c>
      <c r="B12" t="str">
        <f ca="1">IFERROR(__xludf.DUMMYFUNCTION("""COMPUTED_VALUE"""),"N016A")</f>
        <v>N016A</v>
      </c>
    </row>
    <row r="13" spans="1:3" ht="12.5" x14ac:dyDescent="0.25">
      <c r="A13" t="str">
        <f ca="1">IFERROR(__xludf.DUMMYFUNCTION("""COMPUTED_VALUE"""),"Not applicable")</f>
        <v>Not applicable</v>
      </c>
      <c r="B13" t="str">
        <f ca="1">IFERROR(__xludf.DUMMYFUNCTION("""COMPUTED_VALUE"""),"N020A")</f>
        <v>N020A</v>
      </c>
    </row>
    <row r="14" spans="1:3" ht="12.5" x14ac:dyDescent="0.25">
      <c r="A14" t="str">
        <f ca="1">IFERROR(__xludf.DUMMYFUNCTION("""COMPUTED_VALUE"""),"Official and industry sampling")</f>
        <v>Official and industry sampling</v>
      </c>
      <c r="B14" t="str">
        <f ca="1">IFERROR(__xludf.DUMMYFUNCTION("""COMPUTED_VALUE"""),"N018A")</f>
        <v>N018A</v>
      </c>
    </row>
    <row r="15" spans="1:3" ht="12.5" x14ac:dyDescent="0.25">
      <c r="A15" t="str">
        <f ca="1">IFERROR(__xludf.DUMMYFUNCTION("""COMPUTED_VALUE"""),"Official sampling")</f>
        <v>Official sampling</v>
      </c>
      <c r="B15" t="str">
        <f ca="1">IFERROR(__xludf.DUMMYFUNCTION("""COMPUTED_VALUE"""),"N017A")</f>
        <v>N017A</v>
      </c>
    </row>
    <row r="16" spans="1:3" ht="12.5" x14ac:dyDescent="0.25">
      <c r="A16" t="str">
        <f ca="1">IFERROR(__xludf.DUMMYFUNCTION("""COMPUTED_VALUE"""),"Other")</f>
        <v>Other</v>
      </c>
      <c r="B16" t="str">
        <f ca="1">IFERROR(__xludf.DUMMYFUNCTION("""COMPUTED_VALUE"""),"Other")</f>
        <v>Other</v>
      </c>
    </row>
    <row r="17" spans="1:2" ht="12.5" x14ac:dyDescent="0.25">
      <c r="A17" t="str">
        <f ca="1">IFERROR(__xludf.DUMMYFUNCTION("""COMPUTED_VALUE"""),"Pooled")</f>
        <v>Pooled</v>
      </c>
      <c r="B17" t="str">
        <f ca="1">IFERROR(__xludf.DUMMYFUNCTION("""COMPUTED_VALUE"""),"N031A")</f>
        <v>N031A</v>
      </c>
    </row>
    <row r="18" spans="1:2" ht="12.5" x14ac:dyDescent="0.25">
      <c r="A18" t="str">
        <f ca="1">IFERROR(__xludf.DUMMYFUNCTION("""COMPUTED_VALUE"""),"Pooled/batch")</f>
        <v>Pooled/batch</v>
      </c>
      <c r="B18" t="str">
        <f ca="1">IFERROR(__xludf.DUMMYFUNCTION("""COMPUTED_VALUE"""),"N002A")</f>
        <v>N002A</v>
      </c>
    </row>
    <row r="19" spans="1:2" ht="12.5" x14ac:dyDescent="0.25">
      <c r="A19" t="str">
        <f ca="1">IFERROR(__xludf.DUMMYFUNCTION("""COMPUTED_VALUE"""),"Unknown")</f>
        <v>Unknown</v>
      </c>
      <c r="B19" t="str">
        <f ca="1">IFERROR(__xludf.DUMMYFUNCTION("""COMPUTED_VALUE"""),"N008A")</f>
        <v>N008A</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7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IFERROR(__xludf.DUMMYFUNCTION("importrange(""https://docs.google.com/spreadsheets/d/1C6N4-YWX9OMmNStd2rYlSUaVys-aiJGLj00cD44aVc8/edit#gid=1894320575"",""Sampling point!A1:O500"")"),"Value")</f>
        <v>Value</v>
      </c>
      <c r="B1" t="str">
        <f ca="1">IFERROR(__xludf.DUMMYFUNCTION("""COMPUTED_VALUE"""),"ID")</f>
        <v>ID</v>
      </c>
      <c r="C1" t="str">
        <f ca="1">IFERROR(__xludf.DUMMYFUNCTION("""COMPUTED_VALUE"""),"Comment")</f>
        <v>Comment</v>
      </c>
    </row>
    <row r="2" spans="1:3" ht="12.5" x14ac:dyDescent="0.25">
      <c r="A2" t="str">
        <f ca="1">IFERROR(__xludf.DUMMYFUNCTION("""COMPUTED_VALUE"""),"Air transport")</f>
        <v>Air transport</v>
      </c>
      <c r="B2" t="str">
        <f ca="1">IFERROR(__xludf.DUMMYFUNCTION("""COMPUTED_VALUE"""),"E840A")</f>
        <v>E840A</v>
      </c>
    </row>
    <row r="3" spans="1:3" ht="12.5" x14ac:dyDescent="0.25">
      <c r="A3" t="str">
        <f ca="1">IFERROR(__xludf.DUMMYFUNCTION("""COMPUTED_VALUE"""),"Aquaculture")</f>
        <v>Aquaculture</v>
      </c>
      <c r="B3" t="str">
        <f ca="1">IFERROR(__xludf.DUMMYFUNCTION("""COMPUTED_VALUE"""),"E152A")</f>
        <v>E152A</v>
      </c>
    </row>
    <row r="4" spans="1:3" ht="12.5" x14ac:dyDescent="0.25">
      <c r="A4" t="str">
        <f ca="1">IFERROR(__xludf.DUMMYFUNCTION("""COMPUTED_VALUE"""),"Bee hives")</f>
        <v>Bee hives</v>
      </c>
      <c r="B4" t="str">
        <f ca="1">IFERROR(__xludf.DUMMYFUNCTION("""COMPUTED_VALUE"""),"E112A")</f>
        <v>E112A</v>
      </c>
    </row>
    <row r="5" spans="1:3" ht="12.5" x14ac:dyDescent="0.25">
      <c r="A5" t="str">
        <f ca="1">IFERROR(__xludf.DUMMYFUNCTION("""COMPUTED_VALUE"""),"Border inspection activities")</f>
        <v>Border inspection activities</v>
      </c>
      <c r="B5" t="str">
        <f ca="1">IFERROR(__xludf.DUMMYFUNCTION("""COMPUTED_VALUE"""),"E010A")</f>
        <v>E010A</v>
      </c>
    </row>
    <row r="6" spans="1:3" ht="12.5" x14ac:dyDescent="0.25">
      <c r="A6" t="str">
        <f ca="1">IFERROR(__xludf.DUMMYFUNCTION("""COMPUTED_VALUE"""),"Breeding")</f>
        <v>Breeding</v>
      </c>
      <c r="B6" t="str">
        <f ca="1">IFERROR(__xludf.DUMMYFUNCTION("""COMPUTED_VALUE"""),"E121A")</f>
        <v>E121A</v>
      </c>
    </row>
    <row r="7" spans="1:3" ht="12.5" x14ac:dyDescent="0.25">
      <c r="A7" t="str">
        <f ca="1">IFERROR(__xludf.DUMMYFUNCTION("""COMPUTED_VALUE"""),"Camp, picnic")</f>
        <v>Camp, picnic</v>
      </c>
      <c r="B7" t="str">
        <f ca="1">IFERROR(__xludf.DUMMYFUNCTION("""COMPUTED_VALUE"""),"E960A")</f>
        <v>E960A</v>
      </c>
    </row>
    <row r="8" spans="1:3" ht="12.5" x14ac:dyDescent="0.25">
      <c r="A8" t="str">
        <f ca="1">IFERROR(__xludf.DUMMYFUNCTION("""COMPUTED_VALUE"""),"Canteen or workplace catering")</f>
        <v>Canteen or workplace catering</v>
      </c>
      <c r="B8" t="str">
        <f ca="1">IFERROR(__xludf.DUMMYFUNCTION("""COMPUTED_VALUE"""),"E940A")</f>
        <v>E940A</v>
      </c>
    </row>
    <row r="9" spans="1:3" ht="12.5" x14ac:dyDescent="0.25">
      <c r="A9" t="str">
        <f ca="1">IFERROR(__xludf.DUMMYFUNCTION("""COMPUTED_VALUE"""),"Catering")</f>
        <v>Catering</v>
      </c>
      <c r="B9" t="str">
        <f ca="1">IFERROR(__xludf.DUMMYFUNCTION("""COMPUTED_VALUE"""),"E900A")</f>
        <v>E900A</v>
      </c>
    </row>
    <row r="10" spans="1:3" ht="12.5" x14ac:dyDescent="0.25">
      <c r="A10" t="str">
        <f ca="1">IFERROR(__xludf.DUMMYFUNCTION("""COMPUTED_VALUE"""),"Catering on aircraft, ship, train")</f>
        <v>Catering on aircraft, ship, train</v>
      </c>
      <c r="B10" t="str">
        <f ca="1">IFERROR(__xludf.DUMMYFUNCTION("""COMPUTED_VALUE"""),"E990A")</f>
        <v>E990A</v>
      </c>
    </row>
    <row r="11" spans="1:3" ht="12.5" x14ac:dyDescent="0.25">
      <c r="A11" t="str">
        <f ca="1">IFERROR(__xludf.DUMMYFUNCTION("""COMPUTED_VALUE"""),"Cold storage")</f>
        <v>Cold storage</v>
      </c>
      <c r="B11" t="str">
        <f ca="1">IFERROR(__xludf.DUMMYFUNCTION("""COMPUTED_VALUE"""),"E710A")</f>
        <v>E710A</v>
      </c>
    </row>
    <row r="12" spans="1:3" ht="12.5" x14ac:dyDescent="0.25">
      <c r="A12" t="str">
        <f ca="1">IFERROR(__xludf.DUMMYFUNCTION("""COMPUTED_VALUE"""),"Conservation Facilities")</f>
        <v>Conservation Facilities</v>
      </c>
      <c r="B12" t="str">
        <f ca="1">IFERROR(__xludf.DUMMYFUNCTION("""COMPUTED_VALUE"""),"E720A")</f>
        <v>E720A</v>
      </c>
    </row>
    <row r="13" spans="1:3" ht="12.5" x14ac:dyDescent="0.25">
      <c r="A13" t="str">
        <f ca="1">IFERROR(__xludf.DUMMYFUNCTION("""COMPUTED_VALUE"""),"Disseminated cases")</f>
        <v>Disseminated cases</v>
      </c>
      <c r="B13" t="str">
        <f ca="1">IFERROR(__xludf.DUMMYFUNCTION("""COMPUTED_VALUE"""),"E970A")</f>
        <v>E970A</v>
      </c>
    </row>
    <row r="14" spans="1:3" ht="12.5" x14ac:dyDescent="0.25">
      <c r="A14" t="str">
        <f ca="1">IFERROR(__xludf.DUMMYFUNCTION("""COMPUTED_VALUE"""),"Distribution: wholesale and retail sale")</f>
        <v>Distribution: wholesale and retail sale</v>
      </c>
      <c r="B14" t="str">
        <f ca="1">IFERROR(__xludf.DUMMYFUNCTION("""COMPUTED_VALUE"""),"E500A")</f>
        <v>E500A</v>
      </c>
    </row>
    <row r="15" spans="1:3" ht="12.5" x14ac:dyDescent="0.25">
      <c r="A15" t="str">
        <f ca="1">IFERROR(__xludf.DUMMYFUNCTION("""COMPUTED_VALUE"""),"Farming")</f>
        <v>Farming</v>
      </c>
      <c r="B15" t="str">
        <f ca="1">IFERROR(__xludf.DUMMYFUNCTION("""COMPUTED_VALUE"""),"E101A")</f>
        <v>E101A</v>
      </c>
    </row>
    <row r="16" spans="1:3" ht="12.5" x14ac:dyDescent="0.25">
      <c r="A16" t="str">
        <f ca="1">IFERROR(__xludf.DUMMYFUNCTION("""COMPUTED_VALUE"""),"Feed mill")</f>
        <v>Feed mill</v>
      </c>
      <c r="B16" t="str">
        <f ca="1">IFERROR(__xludf.DUMMYFUNCTION("""COMPUTED_VALUE"""),"E354A")</f>
        <v>E354A</v>
      </c>
    </row>
    <row r="17" spans="1:2" ht="12.5" x14ac:dyDescent="0.25">
      <c r="A17" t="str">
        <f ca="1">IFERROR(__xludf.DUMMYFUNCTION("""COMPUTED_VALUE"""),"Fish freezing")</f>
        <v>Fish freezing</v>
      </c>
      <c r="B17" t="str">
        <f ca="1">IFERROR(__xludf.DUMMYFUNCTION("""COMPUTED_VALUE"""),"E321A")</f>
        <v>E321A</v>
      </c>
    </row>
    <row r="18" spans="1:2" ht="12.5" x14ac:dyDescent="0.25">
      <c r="A18" t="str">
        <f ca="1">IFERROR(__xludf.DUMMYFUNCTION("""COMPUTED_VALUE"""),"Fish processing")</f>
        <v>Fish processing</v>
      </c>
      <c r="B18" t="str">
        <f ca="1">IFERROR(__xludf.DUMMYFUNCTION("""COMPUTED_VALUE"""),"E320A")</f>
        <v>E320A</v>
      </c>
    </row>
    <row r="19" spans="1:2" ht="12.5" x14ac:dyDescent="0.25">
      <c r="A19" t="str">
        <f ca="1">IFERROR(__xludf.DUMMYFUNCTION("""COMPUTED_VALUE"""),"Fish processing activities, other than freezing")</f>
        <v>Fish processing activities, other than freezing</v>
      </c>
      <c r="B19" t="str">
        <f ca="1">IFERROR(__xludf.DUMMYFUNCTION("""COMPUTED_VALUE"""),"E329A")</f>
        <v>E329A</v>
      </c>
    </row>
    <row r="20" spans="1:2" ht="12.5" x14ac:dyDescent="0.25">
      <c r="A20" t="str">
        <f ca="1">IFERROR(__xludf.DUMMYFUNCTION("""COMPUTED_VALUE"""),"Fishery activities")</f>
        <v>Fishery activities</v>
      </c>
      <c r="B20" t="str">
        <f ca="1">IFERROR(__xludf.DUMMYFUNCTION("""COMPUTED_VALUE"""),"E150A")</f>
        <v>E150A</v>
      </c>
    </row>
    <row r="21" spans="1:2" ht="12.5" x14ac:dyDescent="0.25">
      <c r="A21" t="str">
        <f ca="1">IFERROR(__xludf.DUMMYFUNCTION("""COMPUTED_VALUE"""),"Fishing and fish processing")</f>
        <v>Fishing and fish processing</v>
      </c>
      <c r="B21" t="str">
        <f ca="1">IFERROR(__xludf.DUMMYFUNCTION("""COMPUTED_VALUE"""),"E151A")</f>
        <v>E151A</v>
      </c>
    </row>
    <row r="22" spans="1:2" ht="12.5" x14ac:dyDescent="0.25">
      <c r="A22" t="str">
        <f ca="1">IFERROR(__xludf.DUMMYFUNCTION("""COMPUTED_VALUE"""),"Game handling estabilishment")</f>
        <v>Game handling estabilishment</v>
      </c>
      <c r="B22" t="str">
        <f ca="1">IFERROR(__xludf.DUMMYFUNCTION("""COMPUTED_VALUE"""),"E170A")</f>
        <v>E170A</v>
      </c>
    </row>
    <row r="23" spans="1:2" ht="12.5" x14ac:dyDescent="0.25">
      <c r="A23" t="str">
        <f ca="1">IFERROR(__xludf.DUMMYFUNCTION("""COMPUTED_VALUE"""),"Growing crops")</f>
        <v>Growing crops</v>
      </c>
      <c r="B23" t="str">
        <f ca="1">IFERROR(__xludf.DUMMYFUNCTION("""COMPUTED_VALUE"""),"E110A")</f>
        <v>E110A</v>
      </c>
    </row>
    <row r="24" spans="1:2" ht="12.5" x14ac:dyDescent="0.25">
      <c r="A24" t="str">
        <f ca="1">IFERROR(__xludf.DUMMYFUNCTION("""COMPUTED_VALUE"""),"Hatchery")</f>
        <v>Hatchery</v>
      </c>
      <c r="B24" t="str">
        <f ca="1">IFERROR(__xludf.DUMMYFUNCTION("""COMPUTED_VALUE"""),"E160A")</f>
        <v>E160A</v>
      </c>
    </row>
    <row r="25" spans="1:2" ht="12.5" x14ac:dyDescent="0.25">
      <c r="A25" t="str">
        <f ca="1">IFERROR(__xludf.DUMMYFUNCTION("""COMPUTED_VALUE"""),"Hospital or medical care facility")</f>
        <v>Hospital or medical care facility</v>
      </c>
      <c r="B25" t="str">
        <f ca="1">IFERROR(__xludf.DUMMYFUNCTION("""COMPUTED_VALUE"""),"E210A")</f>
        <v>E210A</v>
      </c>
    </row>
    <row r="26" spans="1:2" ht="12.5" x14ac:dyDescent="0.25">
      <c r="A26" t="str">
        <f ca="1">IFERROR(__xludf.DUMMYFUNCTION("""COMPUTED_VALUE"""),"Household")</f>
        <v>Household</v>
      </c>
      <c r="B26" t="str">
        <f ca="1">IFERROR(__xludf.DUMMYFUNCTION("""COMPUTED_VALUE"""),"E230A")</f>
        <v>E230A</v>
      </c>
    </row>
    <row r="27" spans="1:2" ht="12.5" x14ac:dyDescent="0.25">
      <c r="A27" t="str">
        <f ca="1">IFERROR(__xludf.DUMMYFUNCTION("""COMPUTED_VALUE"""),"Hunting")</f>
        <v>Hunting</v>
      </c>
      <c r="B27" t="str">
        <f ca="1">IFERROR(__xludf.DUMMYFUNCTION("""COMPUTED_VALUE"""),"E180A")</f>
        <v>E180A</v>
      </c>
    </row>
    <row r="28" spans="1:2" ht="12.5" x14ac:dyDescent="0.25">
      <c r="A28" t="str">
        <f ca="1">IFERROR(__xludf.DUMMYFUNCTION("""COMPUTED_VALUE"""),"Import activities")</f>
        <v>Import activities</v>
      </c>
      <c r="B28" t="str">
        <f ca="1">IFERROR(__xludf.DUMMYFUNCTION("""COMPUTED_VALUE"""),"E530A")</f>
        <v>E530A</v>
      </c>
    </row>
    <row r="29" spans="1:2" ht="12.5" x14ac:dyDescent="0.25">
      <c r="A29" t="str">
        <f ca="1">IFERROR(__xludf.DUMMYFUNCTION("""COMPUTED_VALUE"""),"Insemination")</f>
        <v>Insemination</v>
      </c>
      <c r="B29" t="str">
        <f ca="1">IFERROR(__xludf.DUMMYFUNCTION("""COMPUTED_VALUE"""),"E132A")</f>
        <v>E132A</v>
      </c>
    </row>
    <row r="30" spans="1:2" ht="12.5" x14ac:dyDescent="0.25">
      <c r="A30" t="str">
        <f ca="1">IFERROR(__xludf.DUMMYFUNCTION("""COMPUTED_VALUE"""),"Manufacture of  compound feedingstuffs")</f>
        <v>Manufacture of  compound feedingstuffs</v>
      </c>
      <c r="B30" t="str">
        <f ca="1">IFERROR(__xludf.DUMMYFUNCTION("""COMPUTED_VALUE"""),"E351A")</f>
        <v>E351A</v>
      </c>
    </row>
    <row r="31" spans="1:2" ht="12.5" x14ac:dyDescent="0.25">
      <c r="A31" t="str">
        <f ca="1">IFERROR(__xludf.DUMMYFUNCTION("""COMPUTED_VALUE"""),"Manufacture of feed additives and pre-mixtures")</f>
        <v>Manufacture of feed additives and pre-mixtures</v>
      </c>
      <c r="B31" t="str">
        <f ca="1">IFERROR(__xludf.DUMMYFUNCTION("""COMPUTED_VALUE"""),"E352A")</f>
        <v>E352A</v>
      </c>
    </row>
    <row r="32" spans="1:2" ht="12.5" x14ac:dyDescent="0.25">
      <c r="A32" t="str">
        <f ca="1">IFERROR(__xludf.DUMMYFUNCTION("""COMPUTED_VALUE"""),"Manufacture of prepared animal feeds")</f>
        <v>Manufacture of prepared animal feeds</v>
      </c>
      <c r="B32" t="str">
        <f ca="1">IFERROR(__xludf.DUMMYFUNCTION("""COMPUTED_VALUE"""),"E350A")</f>
        <v>E350A</v>
      </c>
    </row>
    <row r="33" spans="1:2" ht="12.5" x14ac:dyDescent="0.25">
      <c r="A33" t="str">
        <f ca="1">IFERROR(__xludf.DUMMYFUNCTION("""COMPUTED_VALUE"""),"Manufacture of prepared petfoods")</f>
        <v>Manufacture of prepared petfoods</v>
      </c>
      <c r="B33" t="str">
        <f ca="1">IFERROR(__xludf.DUMMYFUNCTION("""COMPUTED_VALUE"""),"E353A")</f>
        <v>E353A</v>
      </c>
    </row>
    <row r="34" spans="1:2" ht="12.5" x14ac:dyDescent="0.25">
      <c r="A34" t="str">
        <f ca="1">IFERROR(__xludf.DUMMYFUNCTION("""COMPUTED_VALUE"""),"Manufacturing")</f>
        <v>Manufacturing</v>
      </c>
      <c r="B34" t="str">
        <f ca="1">IFERROR(__xludf.DUMMYFUNCTION("""COMPUTED_VALUE"""),"E300A")</f>
        <v>E300A</v>
      </c>
    </row>
    <row r="35" spans="1:2" ht="12.5" x14ac:dyDescent="0.25">
      <c r="A35" t="str">
        <f ca="1">IFERROR(__xludf.DUMMYFUNCTION("""COMPUTED_VALUE"""),"Meat cutting")</f>
        <v>Meat cutting</v>
      </c>
      <c r="B35" t="str">
        <f ca="1">IFERROR(__xludf.DUMMYFUNCTION("""COMPUTED_VALUE"""),"E312A")</f>
        <v>E312A</v>
      </c>
    </row>
    <row r="36" spans="1:2" ht="12.5" x14ac:dyDescent="0.25">
      <c r="A36" t="str">
        <f ca="1">IFERROR(__xludf.DUMMYFUNCTION("""COMPUTED_VALUE"""),"Meat mincing")</f>
        <v>Meat mincing</v>
      </c>
      <c r="B36" t="str">
        <f ca="1">IFERROR(__xludf.DUMMYFUNCTION("""COMPUTED_VALUE"""),"E313A")</f>
        <v>E313A</v>
      </c>
    </row>
    <row r="37" spans="1:2" ht="12.5" x14ac:dyDescent="0.25">
      <c r="A37" t="str">
        <f ca="1">IFERROR(__xludf.DUMMYFUNCTION("""COMPUTED_VALUE"""),"Meat preparing")</f>
        <v>Meat preparing</v>
      </c>
      <c r="B37" t="str">
        <f ca="1">IFERROR(__xludf.DUMMYFUNCTION("""COMPUTED_VALUE"""),"E314A")</f>
        <v>E314A</v>
      </c>
    </row>
    <row r="38" spans="1:2" ht="12.5" x14ac:dyDescent="0.25">
      <c r="A38" t="str">
        <f ca="1">IFERROR(__xludf.DUMMYFUNCTION("""COMPUTED_VALUE"""),"Meat processing")</f>
        <v>Meat processing</v>
      </c>
      <c r="B38" t="str">
        <f ca="1">IFERROR(__xludf.DUMMYFUNCTION("""COMPUTED_VALUE"""),"E310A")</f>
        <v>E310A</v>
      </c>
    </row>
    <row r="39" spans="1:2" ht="12.5" x14ac:dyDescent="0.25">
      <c r="A39" t="str">
        <f ca="1">IFERROR(__xludf.DUMMYFUNCTION("""COMPUTED_VALUE"""),"Mechanical separation of meat")</f>
        <v>Mechanical separation of meat</v>
      </c>
      <c r="B39" t="str">
        <f ca="1">IFERROR(__xludf.DUMMYFUNCTION("""COMPUTED_VALUE"""),"E315A")</f>
        <v>E315A</v>
      </c>
    </row>
    <row r="40" spans="1:2" ht="12.5" x14ac:dyDescent="0.25">
      <c r="A40" t="str">
        <f ca="1">IFERROR(__xludf.DUMMYFUNCTION("""COMPUTED_VALUE"""),"Mobile retailer, market-street vendor")</f>
        <v>Mobile retailer, market-street vendor</v>
      </c>
      <c r="B40" t="str">
        <f ca="1">IFERROR(__xludf.DUMMYFUNCTION("""COMPUTED_VALUE"""),"E920A")</f>
        <v>E920A</v>
      </c>
    </row>
    <row r="41" spans="1:2" ht="12.5" x14ac:dyDescent="0.25">
      <c r="A41" t="str">
        <f ca="1">IFERROR(__xludf.DUMMYFUNCTION("""COMPUTED_VALUE"""),"Natural habitat")</f>
        <v>Natural habitat</v>
      </c>
      <c r="B41" t="str">
        <f ca="1">IFERROR(__xludf.DUMMYFUNCTION("""COMPUTED_VALUE"""),"E191A")</f>
        <v>E191A</v>
      </c>
    </row>
    <row r="42" spans="1:2" ht="12.5" x14ac:dyDescent="0.25">
      <c r="A42" t="str">
        <f ca="1">IFERROR(__xludf.DUMMYFUNCTION("""COMPUTED_VALUE"""),"Not specified")</f>
        <v>Not specified</v>
      </c>
      <c r="B42" t="str">
        <f ca="1">IFERROR(__xludf.DUMMYFUNCTION("""COMPUTED_VALUE"""),"E098A")</f>
        <v>E098A</v>
      </c>
    </row>
    <row r="43" spans="1:2" ht="12.5" x14ac:dyDescent="0.25">
      <c r="A43" t="str">
        <f ca="1">IFERROR(__xludf.DUMMYFUNCTION("""COMPUTED_VALUE"""),"Other activities, n.e.c.")</f>
        <v>Other activities, n.e.c.</v>
      </c>
      <c r="B43" t="str">
        <f ca="1">IFERROR(__xludf.DUMMYFUNCTION("""COMPUTED_VALUE"""),"E099A")</f>
        <v>E099A</v>
      </c>
    </row>
    <row r="44" spans="1:2" ht="12.5" x14ac:dyDescent="0.25">
      <c r="A44" t="str">
        <f ca="1">IFERROR(__xludf.DUMMYFUNCTION("""COMPUTED_VALUE"""),"Other animal production support activity n.e.c")</f>
        <v>Other animal production support activity n.e.c</v>
      </c>
      <c r="B44" t="str">
        <f ca="1">IFERROR(__xludf.DUMMYFUNCTION("""COMPUTED_VALUE"""),"E139A")</f>
        <v>E139A</v>
      </c>
    </row>
    <row r="45" spans="1:2" ht="12.5" x14ac:dyDescent="0.25">
      <c r="A45" t="str">
        <f ca="1">IFERROR(__xludf.DUMMYFUNCTION("""COMPUTED_VALUE"""),"Other meat processing activities")</f>
        <v>Other meat processing activities</v>
      </c>
      <c r="B45" t="str">
        <f ca="1">IFERROR(__xludf.DUMMYFUNCTION("""COMPUTED_VALUE"""),"E319A")</f>
        <v>E319A</v>
      </c>
    </row>
    <row r="46" spans="1:2" ht="12.5" x14ac:dyDescent="0.25">
      <c r="A46" t="str">
        <f ca="1">IFERROR(__xludf.DUMMYFUNCTION("""COMPUTED_VALUE"""),"Other processing activities, N.E.C.")</f>
        <v>Other processing activities, N.E.C.</v>
      </c>
      <c r="B46" t="str">
        <f ca="1">IFERROR(__xludf.DUMMYFUNCTION("""COMPUTED_VALUE"""),"E355A")</f>
        <v>E355A</v>
      </c>
    </row>
    <row r="47" spans="1:2" ht="12.5" x14ac:dyDescent="0.25">
      <c r="A47" t="str">
        <f ca="1">IFERROR(__xludf.DUMMYFUNCTION("""COMPUTED_VALUE"""),"Packaging")</f>
        <v>Packaging</v>
      </c>
      <c r="B47" t="str">
        <f ca="1">IFERROR(__xludf.DUMMYFUNCTION("""COMPUTED_VALUE"""),"E600A")</f>
        <v>E600A</v>
      </c>
    </row>
    <row r="48" spans="1:2" ht="12.5" x14ac:dyDescent="0.25">
      <c r="A48" t="str">
        <f ca="1">IFERROR(__xludf.DUMMYFUNCTION("""COMPUTED_VALUE"""),"Primary production")</f>
        <v>Primary production</v>
      </c>
      <c r="B48" t="str">
        <f ca="1">IFERROR(__xludf.DUMMYFUNCTION("""COMPUTED_VALUE"""),"E100A")</f>
        <v>E100A</v>
      </c>
    </row>
    <row r="49" spans="1:2" ht="12.5" x14ac:dyDescent="0.25">
      <c r="A49" t="str">
        <f ca="1">IFERROR(__xludf.DUMMYFUNCTION("""COMPUTED_VALUE"""),"Processing plant")</f>
        <v>Processing plant</v>
      </c>
      <c r="B49" t="str">
        <f ca="1">IFERROR(__xludf.DUMMYFUNCTION("""COMPUTED_VALUE"""),"E301A")</f>
        <v>E301A</v>
      </c>
    </row>
    <row r="50" spans="1:2" ht="12.5" x14ac:dyDescent="0.25">
      <c r="A50" t="str">
        <f ca="1">IFERROR(__xludf.DUMMYFUNCTION("""COMPUTED_VALUE"""),"Rail transport")</f>
        <v>Rail transport</v>
      </c>
      <c r="B50" t="str">
        <f ca="1">IFERROR(__xludf.DUMMYFUNCTION("""COMPUTED_VALUE"""),"E820A")</f>
        <v>E820A</v>
      </c>
    </row>
    <row r="51" spans="1:2" ht="12.5" x14ac:dyDescent="0.25">
      <c r="A51" t="str">
        <f ca="1">IFERROR(__xludf.DUMMYFUNCTION("""COMPUTED_VALUE"""),"Re-wrapping")</f>
        <v>Re-wrapping</v>
      </c>
      <c r="B51" t="str">
        <f ca="1">IFERROR(__xludf.DUMMYFUNCTION("""COMPUTED_VALUE"""),"E610A")</f>
        <v>E610A</v>
      </c>
    </row>
    <row r="52" spans="1:2" ht="12.5" x14ac:dyDescent="0.25">
      <c r="A52" t="str">
        <f ca="1">IFERROR(__xludf.DUMMYFUNCTION("""COMPUTED_VALUE"""),"Rearing of animals")</f>
        <v>Rearing of animals</v>
      </c>
      <c r="B52" t="str">
        <f ca="1">IFERROR(__xludf.DUMMYFUNCTION("""COMPUTED_VALUE"""),"E120A")</f>
        <v>E120A</v>
      </c>
    </row>
    <row r="53" spans="1:2" ht="12.5" x14ac:dyDescent="0.25">
      <c r="A53" t="str">
        <f ca="1">IFERROR(__xludf.DUMMYFUNCTION("""COMPUTED_VALUE"""),"Residential institution (nursing home, prison, boarding school)")</f>
        <v>Residential institution (nursing home, prison, boarding school)</v>
      </c>
      <c r="B53" t="str">
        <f ca="1">IFERROR(__xludf.DUMMYFUNCTION("""COMPUTED_VALUE"""),"E220A")</f>
        <v>E220A</v>
      </c>
    </row>
    <row r="54" spans="1:2" ht="12.5" x14ac:dyDescent="0.25">
      <c r="A54" t="str">
        <f ca="1">IFERROR(__xludf.DUMMYFUNCTION("""COMPUTED_VALUE"""),"Restaurant, Cafe, Pub, Bar, Hotel, Catering service")</f>
        <v>Restaurant, Cafe, Pub, Bar, Hotel, Catering service</v>
      </c>
      <c r="B54" t="str">
        <f ca="1">IFERROR(__xludf.DUMMYFUNCTION("""COMPUTED_VALUE"""),"E910A")</f>
        <v>E910A</v>
      </c>
    </row>
    <row r="55" spans="1:2" ht="12.5" x14ac:dyDescent="0.25">
      <c r="A55" t="str">
        <f ca="1">IFERROR(__xludf.DUMMYFUNCTION("""COMPUTED_VALUE"""),"Retail sale")</f>
        <v>Retail sale</v>
      </c>
      <c r="B55" t="str">
        <f ca="1">IFERROR(__xludf.DUMMYFUNCTION("""COMPUTED_VALUE"""),"E520A")</f>
        <v>E520A</v>
      </c>
    </row>
    <row r="56" spans="1:2" ht="12.5" x14ac:dyDescent="0.25">
      <c r="A56" t="str">
        <f ca="1">IFERROR(__xludf.DUMMYFUNCTION("""COMPUTED_VALUE"""),"Road transport")</f>
        <v>Road transport</v>
      </c>
      <c r="B56" t="str">
        <f ca="1">IFERROR(__xludf.DUMMYFUNCTION("""COMPUTED_VALUE"""),"E810A")</f>
        <v>E810A</v>
      </c>
    </row>
    <row r="57" spans="1:2" ht="12.5" x14ac:dyDescent="0.25">
      <c r="A57" t="str">
        <f ca="1">IFERROR(__xludf.DUMMYFUNCTION("""COMPUTED_VALUE"""),"School, kindergarten")</f>
        <v>School, kindergarten</v>
      </c>
      <c r="B57" t="str">
        <f ca="1">IFERROR(__xludf.DUMMYFUNCTION("""COMPUTED_VALUE"""),"E240A")</f>
        <v>E240A</v>
      </c>
    </row>
    <row r="58" spans="1:2" ht="12.5" x14ac:dyDescent="0.25">
      <c r="A58" t="str">
        <f ca="1">IFERROR(__xludf.DUMMYFUNCTION("""COMPUTED_VALUE"""),"Slaughtering")</f>
        <v>Slaughtering</v>
      </c>
      <c r="B58" t="str">
        <f ca="1">IFERROR(__xludf.DUMMYFUNCTION("""COMPUTED_VALUE"""),"E311A")</f>
        <v>E311A</v>
      </c>
    </row>
    <row r="59" spans="1:2" ht="12.5" x14ac:dyDescent="0.25">
      <c r="A59" t="str">
        <f ca="1">IFERROR(__xludf.DUMMYFUNCTION("""COMPUTED_VALUE"""),"Storage")</f>
        <v>Storage</v>
      </c>
      <c r="B59" t="str">
        <f ca="1">IFERROR(__xludf.DUMMYFUNCTION("""COMPUTED_VALUE"""),"E700A")</f>
        <v>E700A</v>
      </c>
    </row>
    <row r="60" spans="1:2" ht="12.5" x14ac:dyDescent="0.25">
      <c r="A60" t="str">
        <f ca="1">IFERROR(__xludf.DUMMYFUNCTION("""COMPUTED_VALUE"""),"Support activities for crop production")</f>
        <v>Support activities for crop production</v>
      </c>
      <c r="B60" t="str">
        <f ca="1">IFERROR(__xludf.DUMMYFUNCTION("""COMPUTED_VALUE"""),"E131A")</f>
        <v>E131A</v>
      </c>
    </row>
    <row r="61" spans="1:2" ht="12.5" x14ac:dyDescent="0.25">
      <c r="A61" t="str">
        <f ca="1">IFERROR(__xludf.DUMMYFUNCTION("""COMPUTED_VALUE"""),"Support activities to agriculture")</f>
        <v>Support activities to agriculture</v>
      </c>
      <c r="B61" t="str">
        <f ca="1">IFERROR(__xludf.DUMMYFUNCTION("""COMPUTED_VALUE"""),"E130A")</f>
        <v>E130A</v>
      </c>
    </row>
    <row r="62" spans="1:2" ht="12.5" x14ac:dyDescent="0.25">
      <c r="A62" t="str">
        <f ca="1">IFERROR(__xludf.DUMMYFUNCTION("""COMPUTED_VALUE"""),"Take-away or fast-food outlet")</f>
        <v>Take-away or fast-food outlet</v>
      </c>
      <c r="B62" t="str">
        <f ca="1">IFERROR(__xludf.DUMMYFUNCTION("""COMPUTED_VALUE"""),"E930A")</f>
        <v>E930A</v>
      </c>
    </row>
    <row r="63" spans="1:2" ht="12.5" x14ac:dyDescent="0.25">
      <c r="A63" t="str">
        <f ca="1">IFERROR(__xludf.DUMMYFUNCTION("""COMPUTED_VALUE"""),"Temporary mass catering (fairs, festivals)")</f>
        <v>Temporary mass catering (fairs, festivals)</v>
      </c>
      <c r="B63" t="str">
        <f ca="1">IFERROR(__xludf.DUMMYFUNCTION("""COMPUTED_VALUE"""),"E950A")</f>
        <v>E950A</v>
      </c>
    </row>
    <row r="64" spans="1:2" ht="12.5" x14ac:dyDescent="0.25">
      <c r="A64" t="str">
        <f ca="1">IFERROR(__xludf.DUMMYFUNCTION("""COMPUTED_VALUE"""),"Transport")</f>
        <v>Transport</v>
      </c>
      <c r="B64" t="str">
        <f ca="1">IFERROR(__xludf.DUMMYFUNCTION("""COMPUTED_VALUE"""),"E800A")</f>
        <v>E800A</v>
      </c>
    </row>
    <row r="65" spans="1:2" ht="12.5" x14ac:dyDescent="0.25">
      <c r="A65" t="str">
        <f ca="1">IFERROR(__xludf.DUMMYFUNCTION("""COMPUTED_VALUE"""),"Travel (abroad)")</f>
        <v>Travel (abroad)</v>
      </c>
      <c r="B65" t="str">
        <f ca="1">IFERROR(__xludf.DUMMYFUNCTION("""COMPUTED_VALUE"""),"E850A")</f>
        <v>E850A</v>
      </c>
    </row>
    <row r="66" spans="1:2" ht="12.5" x14ac:dyDescent="0.25">
      <c r="A66" t="str">
        <f ca="1">IFERROR(__xludf.DUMMYFUNCTION("""COMPUTED_VALUE"""),"Unknown")</f>
        <v>Unknown</v>
      </c>
      <c r="B66" t="str">
        <f ca="1">IFERROR(__xludf.DUMMYFUNCTION("""COMPUTED_VALUE"""),"E980A")</f>
        <v>E980A</v>
      </c>
    </row>
    <row r="67" spans="1:2" ht="12.5" x14ac:dyDescent="0.25">
      <c r="A67" t="str">
        <f ca="1">IFERROR(__xludf.DUMMYFUNCTION("""COMPUTED_VALUE"""),"Veterinary activities")</f>
        <v>Veterinary activities</v>
      </c>
      <c r="B67" t="str">
        <f ca="1">IFERROR(__xludf.DUMMYFUNCTION("""COMPUTED_VALUE"""),"E011A")</f>
        <v>E011A</v>
      </c>
    </row>
    <row r="68" spans="1:2" ht="12.5" x14ac:dyDescent="0.25">
      <c r="A68" t="str">
        <f ca="1">IFERROR(__xludf.DUMMYFUNCTION("""COMPUTED_VALUE"""),"Veterinary clinics")</f>
        <v>Veterinary clinics</v>
      </c>
      <c r="B68" t="str">
        <f ca="1">IFERROR(__xludf.DUMMYFUNCTION("""COMPUTED_VALUE"""),"E013A")</f>
        <v>E013A</v>
      </c>
    </row>
    <row r="69" spans="1:2" ht="12.5" x14ac:dyDescent="0.25">
      <c r="A69" t="str">
        <f ca="1">IFERROR(__xludf.DUMMYFUNCTION("""COMPUTED_VALUE"""),"Water collection, treatment and supply")</f>
        <v>Water collection, treatment and supply</v>
      </c>
      <c r="B69" t="str">
        <f ca="1">IFERROR(__xludf.DUMMYFUNCTION("""COMPUTED_VALUE"""),"E400A")</f>
        <v>E400A</v>
      </c>
    </row>
    <row r="70" spans="1:2" ht="12.5" x14ac:dyDescent="0.25">
      <c r="A70" t="str">
        <f ca="1">IFERROR(__xludf.DUMMYFUNCTION("""COMPUTED_VALUE"""),"Water distribution system")</f>
        <v>Water distribution system</v>
      </c>
      <c r="B70" t="str">
        <f ca="1">IFERROR(__xludf.DUMMYFUNCTION("""COMPUTED_VALUE"""),"E410A")</f>
        <v>E410A</v>
      </c>
    </row>
    <row r="71" spans="1:2" ht="12.5" x14ac:dyDescent="0.25">
      <c r="A71" t="str">
        <f ca="1">IFERROR(__xludf.DUMMYFUNCTION("""COMPUTED_VALUE"""),"Water source")</f>
        <v>Water source</v>
      </c>
      <c r="B71" t="str">
        <f ca="1">IFERROR(__xludf.DUMMYFUNCTION("""COMPUTED_VALUE"""),"E420A")</f>
        <v>E420A</v>
      </c>
    </row>
    <row r="72" spans="1:2" ht="12.5" x14ac:dyDescent="0.25">
      <c r="A72" t="str">
        <f ca="1">IFERROR(__xludf.DUMMYFUNCTION("""COMPUTED_VALUE"""),"Water transport")</f>
        <v>Water transport</v>
      </c>
      <c r="B72" t="str">
        <f ca="1">IFERROR(__xludf.DUMMYFUNCTION("""COMPUTED_VALUE"""),"E830A")</f>
        <v>E830A</v>
      </c>
    </row>
    <row r="73" spans="1:2" ht="12.5" x14ac:dyDescent="0.25">
      <c r="A73" t="str">
        <f ca="1">IFERROR(__xludf.DUMMYFUNCTION("""COMPUTED_VALUE"""),"Water treatment plant")</f>
        <v>Water treatment plant</v>
      </c>
      <c r="B73" t="str">
        <f ca="1">IFERROR(__xludf.DUMMYFUNCTION("""COMPUTED_VALUE"""),"E430A")</f>
        <v>E430A</v>
      </c>
    </row>
    <row r="74" spans="1:2" ht="12.5" x14ac:dyDescent="0.25">
      <c r="A74" t="str">
        <f ca="1">IFERROR(__xludf.DUMMYFUNCTION("""COMPUTED_VALUE"""),"Wholesale")</f>
        <v>Wholesale</v>
      </c>
      <c r="B74" t="str">
        <f ca="1">IFERROR(__xludf.DUMMYFUNCTION("""COMPUTED_VALUE"""),"E510A")</f>
        <v>E510A</v>
      </c>
    </row>
    <row r="75" spans="1:2" ht="12.5" x14ac:dyDescent="0.25">
      <c r="A75" t="str">
        <f ca="1">IFERROR(__xludf.DUMMYFUNCTION("""COMPUTED_VALUE"""),"Wildlife Research Station")</f>
        <v>Wildlife Research Station</v>
      </c>
      <c r="B75" t="str">
        <f ca="1">IFERROR(__xludf.DUMMYFUNCTION("""COMPUTED_VALUE"""),"E190A")</f>
        <v>E190A</v>
      </c>
    </row>
    <row r="76" spans="1:2" ht="12.5" x14ac:dyDescent="0.25">
      <c r="A76" t="str">
        <f ca="1">IFERROR(__xludf.DUMMYFUNCTION("""COMPUTED_VALUE"""),"Zoo")</f>
        <v>Zoo</v>
      </c>
      <c r="B76" t="str">
        <f ca="1">IFERROR(__xludf.DUMMYFUNCTION("""COMPUTED_VALUE"""),"E012A")</f>
        <v>E012A</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IFERROR(__xludf.DUMMYFUNCTION("importrange(""https://docs.google.com/spreadsheets/d/1C6N4-YWX9OMmNStd2rYlSUaVys-aiJGLj00cD44aVc8/edit#gid=1894320575"",""Method tool to collect data!A1:O500"")"),"Value")</f>
        <v>Value</v>
      </c>
      <c r="B1" t="str">
        <f ca="1">IFERROR(__xludf.DUMMYFUNCTION("""COMPUTED_VALUE"""),"ID")</f>
        <v>ID</v>
      </c>
      <c r="C1" t="str">
        <f ca="1">IFERROR(__xludf.DUMMYFUNCTION("""COMPUTED_VALUE"""),"Comment")</f>
        <v>Comment</v>
      </c>
    </row>
    <row r="2" spans="1:3" ht="12.5" x14ac:dyDescent="0.25">
      <c r="A2" t="str">
        <f ca="1">IFERROR(__xludf.DUMMYFUNCTION("""COMPUTED_VALUE"""),"24-hour recall interview")</f>
        <v>24-hour recall interview</v>
      </c>
      <c r="B2" t="str">
        <f ca="1">IFERROR(__xludf.DUMMYFUNCTION("""COMPUTED_VALUE"""),"Method. Tool to collect data_3")</f>
        <v>Method. Tool to collect data_3</v>
      </c>
    </row>
    <row r="3" spans="1:3" ht="12.5" x14ac:dyDescent="0.25">
      <c r="A3" t="str">
        <f ca="1">IFERROR(__xludf.DUMMYFUNCTION("""COMPUTED_VALUE"""),"eating outside questionnaire")</f>
        <v>eating outside questionnaire</v>
      </c>
      <c r="B3" t="str">
        <f ca="1">IFERROR(__xludf.DUMMYFUNCTION("""COMPUTED_VALUE"""),"Method. Tool to collect data_6")</f>
        <v>Method. Tool to collect data_6</v>
      </c>
    </row>
    <row r="4" spans="1:3" ht="12.5" x14ac:dyDescent="0.25">
      <c r="A4" t="str">
        <f ca="1">IFERROR(__xludf.DUMMYFUNCTION("""COMPUTED_VALUE"""),"food diaries")</f>
        <v>food diaries</v>
      </c>
      <c r="B4" t="str">
        <f ca="1">IFERROR(__xludf.DUMMYFUNCTION("""COMPUTED_VALUE"""),"Method. Tool to collect data_1")</f>
        <v>Method. Tool to collect data_1</v>
      </c>
    </row>
    <row r="5" spans="1:3" ht="12.5" x14ac:dyDescent="0.25">
      <c r="A5" t="str">
        <f ca="1">IFERROR(__xludf.DUMMYFUNCTION("""COMPUTED_VALUE"""),"food propensy questionnaire")</f>
        <v>food propensy questionnaire</v>
      </c>
      <c r="B5" t="str">
        <f ca="1">IFERROR(__xludf.DUMMYFUNCTION("""COMPUTED_VALUE"""),"Method. Tool to collect data_4")</f>
        <v>Method. Tool to collect data_4</v>
      </c>
    </row>
    <row r="6" spans="1:3" ht="12.5" x14ac:dyDescent="0.25">
      <c r="A6" t="str">
        <f ca="1">IFERROR(__xludf.DUMMYFUNCTION("""COMPUTED_VALUE"""),"interview")</f>
        <v>interview</v>
      </c>
      <c r="B6" t="str">
        <f ca="1">IFERROR(__xludf.DUMMYFUNCTION("""COMPUTED_VALUE"""),"Method. Tool to collect data_2")</f>
        <v>Method. Tool to collect data_2</v>
      </c>
    </row>
    <row r="7" spans="1:3" ht="12.5" x14ac:dyDescent="0.25">
      <c r="A7" t="str">
        <f ca="1">IFERROR(__xludf.DUMMYFUNCTION("""COMPUTED_VALUE"""),"Other experimental studies")</f>
        <v>Other experimental studies</v>
      </c>
      <c r="B7" t="str">
        <f ca="1">IFERROR(__xludf.DUMMYFUNCTION("""COMPUTED_VALUE"""),"Method. Tool to collect data_8")</f>
        <v>Method. Tool to collect data_8</v>
      </c>
    </row>
    <row r="8" spans="1:3" ht="12.5" x14ac:dyDescent="0.25">
      <c r="A8" t="str">
        <f ca="1">IFERROR(__xludf.DUMMYFUNCTION("""COMPUTED_VALUE"""),"Other observational studies")</f>
        <v>Other observational studies</v>
      </c>
      <c r="B8" t="str">
        <f ca="1">IFERROR(__xludf.DUMMYFUNCTION("""COMPUTED_VALUE"""),"Method. Tool to collect data_7")</f>
        <v>Method. Tool to collect data_7</v>
      </c>
    </row>
    <row r="9" spans="1:3" ht="12.5" x14ac:dyDescent="0.25">
      <c r="A9" t="str">
        <f ca="1">IFERROR(__xludf.DUMMYFUNCTION("""COMPUTED_VALUE"""),"portion size measurement aids")</f>
        <v>portion size measurement aids</v>
      </c>
      <c r="B9" t="str">
        <f ca="1">IFERROR(__xludf.DUMMYFUNCTION("""COMPUTED_VALUE"""),"Method. Tool to collect data_5")</f>
        <v>Method. Tool to collect data_5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IFERROR(__xludf.DUMMYFUNCTION("importrange(""https://docs.google.com/spreadsheets/d/1C6N4-YWX9OMmNStd2rYlSUaVys-aiJGLj00cD44aVc8/edit#gid=1894320575"",""Availability!A2:A500"")"),"Closed access")</f>
        <v>Closed access</v>
      </c>
    </row>
    <row r="2" spans="1:1" ht="12.5" x14ac:dyDescent="0.25">
      <c r="A2" t="str">
        <f ca="1">IFERROR(__xludf.DUMMYFUNCTION("""COMPUTED_VALUE"""),"Embargoed access")</f>
        <v>Embargoed access</v>
      </c>
    </row>
    <row r="3" spans="1:1" ht="12.5" x14ac:dyDescent="0.25">
      <c r="A3" t="str">
        <f ca="1">IFERROR(__xludf.DUMMYFUNCTION("""COMPUTED_VALUE"""),"Open access")</f>
        <v>Open access</v>
      </c>
    </row>
    <row r="4" spans="1:1" ht="12.5" x14ac:dyDescent="0.25">
      <c r="A4" t="str">
        <f ca="1">IFERROR(__xludf.DUMMYFUNCTION("""COMPUTED_VALUE"""),"Other")</f>
        <v>Other</v>
      </c>
    </row>
    <row r="5" spans="1:1" ht="12.5" x14ac:dyDescent="0.25">
      <c r="A5" t="str">
        <f ca="1">IFERROR(__xludf.DUMMYFUNCTION("""COMPUTED_VALUE"""),"Restricted access")</f>
        <v>Restricted access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Generic Metadata Schema</vt:lpstr>
      <vt:lpstr>Dose-response Model</vt:lpstr>
      <vt:lpstr>Parameter unit</vt:lpstr>
      <vt:lpstr>Exposure Model</vt:lpstr>
      <vt:lpstr>Process Model</vt:lpstr>
      <vt:lpstr>Predictive Model</vt:lpstr>
      <vt:lpstr>Toxicological reference value M</vt:lpstr>
      <vt:lpstr>QRA Models</vt:lpstr>
      <vt:lpstr>Risk Charact Model</vt:lpstr>
      <vt:lpstr>Other Empirical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Sampling point</vt:lpstr>
      <vt:lpstr>Methodological tool to collect </vt:lpstr>
      <vt:lpstr>Availability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Herr Dr. Marcel Fuhrmann</dc:creator>
  <cp:lastModifiedBy>Herr Dr. Marcel Fuhrmann</cp:lastModifiedBy>
  <dcterms:created xsi:type="dcterms:W3CDTF">2020-07-31T16:20:48Z</dcterms:created>
  <dcterms:modified xsi:type="dcterms:W3CDTF">2020-08-03T15:37:39Z</dcterms:modified>
</cp:coreProperties>
</file>